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arametres" sheetId="1" r:id="rId4"/>
    <sheet state="visible" name="Bilan" sheetId="2" r:id="rId5"/>
    <sheet state="hidden" name="Budget original" sheetId="3" r:id="rId6"/>
    <sheet state="hidden" name="Réel 2024" sheetId="4" r:id="rId7"/>
    <sheet state="hidden" name="Capex" sheetId="5" r:id="rId8"/>
    <sheet state="hidden" name="Inventaire_Used" sheetId="6" r:id="rId9"/>
    <sheet state="hidden" name="Inventaire_Neuf" sheetId="7" r:id="rId10"/>
    <sheet state="hidden" name="2pager" sheetId="8" r:id="rId11"/>
    <sheet state="visible" name="Print_Mois" sheetId="9" r:id="rId12"/>
    <sheet state="visible" name="Print_AAD" sheetId="10" r:id="rId13"/>
    <sheet state="hidden" name="Q2" sheetId="11" r:id="rId14"/>
    <sheet state="visible" name="Carrosserie_Mois" sheetId="12" r:id="rId15"/>
    <sheet state="visible" name="Carrosserie_AAD" sheetId="13" r:id="rId16"/>
    <sheet state="visible" name="BV_Data_An_Cour" sheetId="14" r:id="rId17"/>
    <sheet state="visible" name="Data_Validation" sheetId="15" r:id="rId18"/>
    <sheet state="visible" name="BV_Data_An_Prec" sheetId="16" r:id="rId19"/>
    <sheet state="visible" name="Résumé" sheetId="17" r:id="rId20"/>
    <sheet state="visible" name="Mensuel 2026" sheetId="18" r:id="rId21"/>
  </sheets>
  <definedNames>
    <definedName name="Ticker">#REF!</definedName>
    <definedName hidden="1" localSheetId="5" name="_xlnm._FilterDatabase">Inventaire_Used!$A$1:$H$75</definedName>
    <definedName hidden="1" localSheetId="6" name="_xlnm._FilterDatabase">Inventaire_Neuf!$A$1:$H$25</definedName>
    <definedName hidden="1" localSheetId="13" name="_xlnm._FilterDatabase">BV_Data_An_Cour!$A$2:$AZ$1118</definedName>
    <definedName hidden="1" localSheetId="14" name="_xlnm._FilterDatabase">Data_Validation!$A$1:$E$1415</definedName>
    <definedName hidden="1" localSheetId="15" name="_xlnm._FilterDatabase">BV_Data_An_Prec!$A$2:$AZ$899</definedName>
  </definedNames>
  <calcPr/>
  <extLst>
    <ext uri="GoogleSheetsCustomDataVersion2">
      <go:sheetsCustomData xmlns:go="http://customooxmlschemas.google.com/" r:id="rId22" roundtripDataChecksum="XpyFR1oIq/jTz42pk+xdi/D8UIfJRGUIUYV+5DkR29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85">
      <text>
        <t xml:space="preserve">======
ID#AAACA1_DwoY
User    (2026-10-07 10:35:57)
ajuster saisonalite</t>
      </text>
    </comment>
  </commentList>
  <extLst>
    <ext uri="GoogleSheetsCustomDataVersion2">
      <go:sheetsCustomData xmlns:go="http://customooxmlschemas.google.com/" r:id="rId1" roundtripDataSignature="AMtx7mipOj/o9Luu9jSWAWjhNBWQgAxOu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46">
      <text>
        <t xml:space="preserve">======
ID#AAACIzIMcgg
Maxime Allard    (2026-10-15 11:49:25)
Hawks a generer 230 WO 60K de Vente a 77%</t>
      </text>
    </comment>
  </commentList>
  <extLst>
    <ext uri="GoogleSheetsCustomDataVersion2">
      <go:sheetsCustomData xmlns:go="http://customooxmlschemas.google.com/" r:id="rId1" roundtripDataSignature="AMtx7mjbnZCbAjwZYjaQovIDqSBaeTP5f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O2">
      <text>
        <t xml:space="preserve">======
ID#AAACA1_Dwoc
    (2026-10-07 10:35:57)
SI #N/A compte non intégré = erreur</t>
      </text>
    </comment>
  </commentList>
  <extLst>
    <ext uri="GoogleSheetsCustomDataVersion2">
      <go:sheetsCustomData xmlns:go="http://customooxmlschemas.google.com/" r:id="rId1" roundtripDataSignature="AMtx7mhazu0GfH6yU+AepJIECrYwNHAV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O2">
      <text>
        <t xml:space="preserve">======
ID#AAACA1_DwoU
    (2026-10-07 10:35:57)
SI #N/A compte non intégré = erreur</t>
      </text>
    </comment>
  </commentList>
  <extLst>
    <ext uri="GoogleSheetsCustomDataVersion2">
      <go:sheetsCustomData xmlns:go="http://customooxmlschemas.google.com/" r:id="rId1" roundtripDataSignature="AMtx7mgMh9+vMruY/5wvx/fSmcYwYxgtDg=="/>
    </ext>
  </extLst>
</comments>
</file>

<file path=xl/sharedStrings.xml><?xml version="1.0" encoding="utf-8"?>
<sst xmlns="http://schemas.openxmlformats.org/spreadsheetml/2006/main" count="25487" uniqueCount="3552">
  <si>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</si>
  <si>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</si>
  <si>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</si>
  <si>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</si>
  <si>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</si>
  <si>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</si>
  <si>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</si>
  <si>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</si>
  <si>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</si>
  <si>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</si>
  <si>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</si>
  <si>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</si>
  <si>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</si>
  <si>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</si>
  <si>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</si>
  <si>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</si>
  <si>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</si>
  <si>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</si>
  <si>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</si>
  <si>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</si>
  <si>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</si>
  <si>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</si>
  <si>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</si>
  <si>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</si>
  <si>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</si>
  <si>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</si>
  <si>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</si>
  <si>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</si>
  <si>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</si>
  <si>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</si>
  <si>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</si>
  <si>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</si>
  <si>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</si>
  <si>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</si>
  <si>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</si>
  <si>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</si>
  <si>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</si>
  <si>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</si>
  <si>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</si>
  <si>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</si>
  <si>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</si>
  <si>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</si>
  <si>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</si>
  <si>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</si>
  <si>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</si>
  <si>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</si>
  <si>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</si>
  <si>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</si>
  <si>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</si>
  <si>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</si>
  <si>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</si>
  <si>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</si>
  <si>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</si>
  <si>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</si>
  <si>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</si>
  <si>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</si>
  <si>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</si>
  <si>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</si>
  <si>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</si>
  <si>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</si>
  <si>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</si>
  <si>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</si>
  <si>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</si>
  <si>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</si>
  <si>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</si>
  <si>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</si>
  <si>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</si>
  <si>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</si>
  <si>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</si>
  <si>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</si>
  <si>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</si>
  <si>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</si>
  <si>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</si>
  <si>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</si>
  <si>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</si>
  <si>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</si>
  <si>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</si>
  <si>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</si>
  <si>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</si>
  <si>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</si>
  <si>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</si>
  <si>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</si>
  <si>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</si>
  <si>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</si>
  <si>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</si>
  <si>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</si>
  <si>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</si>
  <si>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</si>
  <si>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</si>
  <si>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</si>
  <si>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</si>
  <si>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</si>
  <si>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</si>
  <si>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</si>
  <si>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</si>
  <si>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</si>
  <si>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</si>
  <si>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</si>
  <si>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</si>
  <si>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</si>
  <si>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</si>
  <si>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</si>
  <si>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</si>
  <si>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</si>
  <si>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</si>
  <si>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</si>
  <si>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</si>
  <si>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</si>
  <si>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</si>
  <si>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</si>
  <si>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</si>
  <si>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</si>
  <si>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</si>
  <si>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</si>
  <si>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</si>
  <si>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</si>
  <si>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</si>
  <si>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</si>
  <si>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</si>
  <si>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</si>
  <si>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</si>
  <si>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</si>
  <si>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</si>
  <si>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</si>
  <si>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</si>
  <si>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</si>
  <si>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</si>
  <si>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</si>
  <si>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</si>
  <si>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</si>
  <si>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</si>
  <si>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</si>
  <si>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</si>
  <si>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</si>
  <si>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</si>
  <si>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</si>
  <si>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</si>
  <si>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</si>
  <si>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</si>
  <si>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</si>
  <si>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</si>
  <si>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</si>
  <si>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</si>
  <si>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</si>
  <si>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</si>
  <si>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</si>
  <si>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</si>
  <si>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</si>
  <si>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</si>
  <si>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</si>
  <si>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</si>
  <si>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</si>
  <si>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</si>
  <si>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</si>
  <si>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</si>
  <si>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</si>
  <si>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</si>
  <si>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</si>
  <si>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</si>
  <si>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</si>
  <si>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</si>
  <si>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</si>
  <si>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</si>
  <si>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</si>
  <si>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</si>
  <si>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</si>
  <si>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</si>
  <si>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</si>
  <si>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</si>
  <si>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</si>
  <si>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</si>
  <si>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</si>
  <si>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</si>
  <si>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</si>
  <si>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</si>
  <si>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</si>
  <si>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</si>
  <si>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</si>
  <si>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</si>
  <si>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</si>
  <si>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</si>
  <si>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</si>
  <si>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</si>
  <si>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</si>
  <si>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</si>
  <si>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</si>
  <si>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</si>
  <si>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</si>
  <si>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</si>
  <si>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</si>
  <si>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</si>
  <si>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</si>
  <si>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</si>
  <si>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</si>
  <si>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</si>
  <si>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</si>
  <si>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</si>
  <si>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</si>
  <si>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</si>
  <si>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</si>
  <si>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</si>
  <si>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</si>
  <si>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</si>
  <si>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</si>
  <si>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</si>
  <si>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</si>
  <si>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</si>
  <si>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</si>
  <si>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</si>
  <si>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</si>
  <si>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</si>
  <si>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</si>
  <si>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</si>
  <si>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</si>
  <si>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</si>
  <si>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</si>
  <si>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</si>
  <si>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</si>
  <si>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</si>
  <si>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</si>
  <si>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</si>
  <si>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</si>
  <si>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</si>
  <si>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</si>
  <si>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</si>
  <si>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</si>
  <si>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</si>
  <si>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</si>
  <si>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</si>
  <si>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</si>
  <si>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</si>
  <si>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</si>
  <si>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</si>
  <si>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</si>
  <si>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</si>
  <si>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</si>
  <si>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</si>
  <si>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</si>
  <si>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</si>
  <si>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</si>
  <si>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</si>
  <si>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</si>
  <si>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</si>
  <si>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</si>
  <si>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</si>
  <si>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</si>
  <si>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</si>
  <si>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</si>
  <si>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</si>
  <si>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</si>
  <si>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</si>
  <si>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</si>
  <si>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</si>
  <si>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</si>
  <si>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</si>
  <si>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</si>
  <si>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</si>
  <si>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</si>
  <si>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</si>
  <si>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</si>
  <si>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</si>
  <si>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</si>
  <si>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</si>
  <si>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</si>
  <si>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</si>
  <si>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</si>
  <si>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</si>
  <si>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</si>
  <si>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</si>
  <si>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</si>
  <si>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</si>
  <si>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</si>
  <si>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</si>
  <si>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</si>
  <si>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</si>
  <si>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</si>
  <si>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</si>
  <si>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</si>
  <si>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</si>
  <si>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</si>
  <si>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</si>
  <si>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</si>
  <si>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</si>
  <si>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</si>
  <si>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</si>
  <si>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</si>
  <si>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</si>
  <si>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</si>
  <si>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</si>
  <si>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</si>
  <si>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</si>
  <si>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</si>
  <si>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</si>
  <si>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</si>
  <si>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</si>
  <si>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</si>
  <si>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</si>
  <si>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</si>
  <si>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</si>
  <si>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</si>
  <si>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</si>
  <si>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</si>
  <si>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</si>
  <si>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</si>
  <si>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</si>
  <si>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</si>
  <si>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</si>
  <si>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</si>
  <si>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</si>
  <si>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</si>
  <si>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</si>
  <si>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</si>
  <si>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</si>
  <si>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</si>
  <si>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</si>
  <si>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</si>
  <si>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</si>
  <si>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</si>
  <si>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</si>
  <si>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</si>
  <si>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</si>
  <si>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</si>
  <si>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</si>
  <si>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</si>
  <si>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</si>
  <si>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</si>
  <si>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</si>
  <si>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</si>
  <si>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</si>
  <si>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</si>
  <si>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</si>
  <si>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</si>
  <si>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</si>
  <si>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</si>
  <si>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</si>
  <si>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</si>
  <si>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</si>
  <si>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</si>
  <si>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</si>
  <si>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</si>
  <si>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</si>
  <si>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</si>
  <si>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</si>
  <si>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</si>
  <si>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</si>
  <si>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</si>
  <si>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</si>
  <si>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</si>
  <si>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</si>
  <si>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</si>
  <si>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</si>
  <si>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</si>
  <si>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</si>
  <si>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</si>
  <si>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</si>
  <si>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</si>
  <si>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</si>
  <si>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</si>
  <si>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</si>
  <si>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</si>
  <si>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</si>
  <si>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</si>
  <si>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</si>
  <si>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</si>
  <si>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</si>
  <si>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</si>
  <si>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</si>
  <si>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</si>
  <si>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</si>
  <si>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</si>
  <si>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</si>
  <si>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</si>
  <si>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</si>
  <si>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</si>
  <si>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</si>
  <si>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</si>
  <si>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</si>
  <si>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</si>
  <si>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</si>
  <si>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</si>
  <si>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</si>
  <si>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</si>
  <si>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</si>
  <si>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</si>
  <si>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</si>
  <si>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</si>
  <si>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</si>
  <si>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</si>
  <si>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</si>
  <si>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</si>
  <si>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</si>
  <si>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</si>
  <si>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</si>
  <si>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</si>
  <si>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</si>
  <si>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</si>
  <si>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</si>
  <si>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</si>
  <si>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</si>
  <si>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</si>
  <si>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</si>
  <si>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</si>
  <si>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</si>
  <si>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</si>
  <si>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</si>
  <si>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</si>
  <si>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</si>
  <si>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</si>
  <si>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</si>
  <si>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</si>
  <si>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</si>
  <si>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</si>
  <si>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</si>
  <si>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</si>
  <si>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</si>
  <si>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</si>
  <si>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</si>
  <si>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</si>
  <si>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</si>
  <si>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</si>
  <si>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</si>
  <si>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</si>
  <si>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</si>
  <si>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</si>
  <si>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</si>
  <si>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</si>
  <si>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</si>
  <si>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</si>
  <si>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</si>
  <si>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</si>
  <si>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</si>
  <si>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</si>
  <si>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</si>
  <si>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</si>
  <si>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</si>
  <si>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</si>
  <si>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</si>
  <si>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</si>
  <si>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</si>
  <si>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</si>
  <si>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</si>
  <si>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</si>
  <si>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</si>
  <si>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</si>
  <si>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</si>
  <si>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</si>
  <si>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</si>
  <si>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</si>
  <si>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</si>
  <si>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</si>
  <si>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</si>
  <si>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</si>
  <si>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</si>
  <si>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</si>
  <si>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</si>
  <si>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</si>
  <si>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</si>
  <si>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</si>
  <si>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</si>
  <si>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</si>
  <si>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</si>
  <si>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</si>
  <si>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</si>
  <si>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</si>
  <si>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</si>
  <si>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</si>
  <si>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</si>
  <si>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</si>
  <si>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</si>
  <si>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</si>
  <si>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</si>
  <si>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</si>
  <si>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</si>
  <si>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</si>
  <si>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</si>
  <si>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</si>
  <si>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</si>
  <si>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</si>
  <si>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</si>
  <si>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</si>
  <si>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</si>
  <si>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</si>
  <si>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</si>
  <si>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</si>
  <si>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</si>
  <si>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</si>
  <si>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</si>
  <si>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</si>
  <si>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</si>
  <si>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</si>
  <si>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</si>
  <si>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</si>
  <si>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</si>
  <si>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</si>
  <si>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</si>
  <si>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</si>
  <si>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</si>
  <si>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</si>
  <si>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</si>
  <si>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</si>
  <si>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</si>
  <si>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</si>
  <si>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</si>
  <si>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</si>
  <si>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</si>
  <si>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</si>
  <si>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</si>
  <si>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</si>
  <si>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</si>
  <si>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</si>
  <si>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</si>
  <si>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</si>
  <si>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</si>
  <si>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</si>
  <si>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</si>
  <si>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</si>
  <si>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</si>
  <si>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</si>
  <si>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</si>
  <si>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</si>
  <si>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</si>
  <si>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</si>
  <si>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</si>
  <si>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</si>
  <si>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</si>
  <si>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</si>
  <si>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</si>
  <si>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</si>
  <si>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</si>
  <si>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</si>
  <si>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</si>
  <si>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</si>
  <si>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</si>
  <si>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</si>
  <si>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</si>
  <si>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</si>
  <si>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</si>
  <si>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</si>
  <si>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</si>
  <si>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</si>
  <si>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</si>
  <si>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</si>
  <si>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</si>
  <si>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</si>
  <si>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</si>
  <si>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</si>
  <si>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</si>
  <si>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</si>
  <si>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</si>
  <si>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</si>
  <si>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</si>
  <si>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</si>
  <si>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</si>
  <si>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</si>
  <si>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</si>
  <si>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</si>
  <si>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</si>
  <si>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</si>
  <si>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</si>
  <si>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</si>
  <si>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</si>
  <si>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</si>
  <si>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</si>
  <si>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</si>
  <si>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</si>
  <si>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</si>
  <si>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</si>
  <si>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</si>
  <si>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</si>
  <si>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</si>
  <si>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</si>
  <si>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</si>
  <si>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</si>
  <si>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</si>
  <si>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</si>
  <si>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</si>
  <si>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</si>
  <si>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</si>
  <si>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</si>
  <si>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</si>
  <si>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</si>
  <si>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</si>
  <si>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</si>
  <si>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</si>
  <si>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</si>
  <si>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</si>
  <si>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</si>
  <si>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</si>
  <si>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</si>
  <si>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</si>
  <si>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</si>
  <si>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</si>
  <si>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</si>
  <si>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</si>
  <si>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</si>
  <si>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</si>
  <si>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</si>
  <si>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</si>
  <si>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</si>
  <si>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</si>
  <si>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</si>
  <si>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</si>
  <si>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</si>
  <si>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</si>
  <si>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</si>
  <si>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</si>
  <si>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</si>
  <si>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</si>
  <si>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</si>
  <si>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</si>
  <si>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</si>
  <si>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</si>
  <si>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</si>
  <si>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</si>
  <si>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</si>
  <si>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</si>
  <si>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</si>
  <si>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</si>
  <si>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</si>
  <si>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</si>
  <si>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</si>
  <si>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</si>
  <si>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</si>
  <si>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</si>
  <si>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</si>
  <si>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</si>
  <si>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</si>
  <si>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</si>
  <si>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</si>
  <si>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</si>
  <si>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</si>
  <si>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</si>
  <si>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</si>
  <si>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</si>
  <si>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</si>
  <si>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</si>
  <si>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</si>
  <si>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</si>
  <si>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</si>
  <si>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</si>
  <si>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</si>
  <si>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</si>
  <si>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</si>
  <si>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</si>
  <si>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</si>
  <si>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</si>
  <si>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</si>
  <si>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</si>
  <si>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</si>
  <si>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</si>
  <si>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</si>
  <si>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</si>
  <si>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</si>
  <si>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</si>
  <si>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</si>
  <si>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</si>
  <si>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</si>
  <si>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</si>
  <si>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</si>
  <si>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</si>
  <si>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</si>
  <si>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</si>
  <si>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</si>
  <si>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</si>
  <si>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</si>
  <si>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</si>
  <si>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</si>
  <si>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</si>
  <si>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</si>
  <si>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</si>
  <si>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</si>
  <si>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</si>
  <si>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</si>
  <si>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</si>
  <si>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</si>
  <si>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</si>
  <si>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</si>
  <si>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</si>
  <si>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</si>
  <si>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</si>
  <si>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</si>
  <si>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</si>
  <si>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</si>
  <si>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</si>
  <si>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</si>
  <si>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</si>
  <si>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</si>
  <si>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</si>
  <si>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</si>
  <si>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</si>
  <si>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</si>
  <si>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</si>
  <si>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</si>
  <si>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</si>
  <si>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</si>
  <si>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</si>
  <si>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</si>
  <si>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</si>
  <si>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</si>
  <si>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</si>
  <si>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</si>
  <si>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</si>
  <si>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</si>
  <si>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</si>
  <si>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</si>
  <si>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</si>
  <si>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</si>
  <si>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</si>
  <si>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</si>
  <si>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</si>
  <si>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</si>
  <si>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</si>
  <si>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</si>
  <si>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</si>
  <si>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</si>
  <si>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</si>
  <si>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</si>
  <si>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</si>
  <si>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</si>
  <si>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</si>
  <si>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</si>
  <si>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</si>
  <si>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</si>
  <si>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</si>
  <si>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</si>
  <si>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</si>
  <si>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</si>
  <si>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</si>
  <si>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</si>
  <si>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</si>
  <si>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</si>
  <si>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</si>
  <si>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</si>
  <si>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</si>
  <si>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</si>
  <si>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</si>
  <si>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</si>
  <si>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</si>
  <si>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</si>
  <si>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</si>
  <si>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</si>
  <si>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</si>
  <si>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</si>
  <si>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</si>
  <si>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</si>
  <si>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</si>
  <si>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</si>
  <si>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</si>
  <si>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</si>
  <si>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</si>
  <si>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</si>
  <si>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</si>
  <si>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</si>
  <si>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</si>
  <si>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</si>
  <si>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</si>
  <si>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</si>
  <si>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</si>
  <si>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</si>
  <si>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</si>
  <si>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</si>
  <si>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</si>
  <si>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</si>
  <si>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</si>
  <si>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</si>
  <si>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</si>
  <si>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</si>
  <si>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</si>
  <si>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</si>
  <si>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</si>
  <si>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</si>
  <si>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</si>
  <si>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</si>
  <si>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</si>
  <si>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</si>
  <si>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</si>
  <si>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</si>
  <si>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</si>
  <si>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</si>
  <si>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</si>
  <si>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</si>
  <si>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</si>
  <si>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</si>
  <si>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</si>
  <si>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</si>
  <si>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</si>
  <si>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</si>
  <si>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</si>
  <si>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</si>
  <si>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</si>
  <si>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</si>
  <si>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</si>
  <si>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</si>
  <si>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</si>
  <si>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</si>
  <si>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</si>
  <si>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</si>
  <si>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</si>
  <si>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</si>
  <si>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</si>
  <si>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</si>
  <si>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</si>
  <si>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</si>
  <si>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</si>
  <si>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</si>
  <si>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</si>
  <si>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</si>
  <si>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</si>
  <si>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</si>
  <si>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</si>
  <si>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</si>
  <si>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</si>
  <si>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</si>
  <si>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</si>
  <si>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</si>
  <si>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</si>
  <si>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</si>
  <si>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</si>
  <si>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</si>
  <si>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</si>
  <si>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</si>
  <si>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</si>
  <si>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</si>
  <si>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</si>
  <si>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</si>
  <si>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</si>
  <si>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</si>
  <si>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</si>
  <si>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</si>
  <si>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</si>
  <si>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</si>
  <si>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</si>
  <si>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</si>
  <si>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</si>
  <si>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</si>
  <si>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</si>
  <si>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</si>
  <si>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</si>
  <si>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</si>
  <si>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</si>
  <si>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</si>
  <si>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</si>
  <si>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</si>
  <si>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</si>
  <si>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</si>
  <si>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</si>
  <si>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</si>
  <si>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</si>
  <si>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</si>
  <si>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</si>
  <si>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</si>
  <si>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</si>
  <si>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</si>
  <si>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</si>
  <si>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</si>
  <si>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</si>
  <si>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</si>
  <si>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</si>
  <si>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</si>
  <si>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</si>
  <si>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</si>
  <si>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</si>
  <si>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</si>
  <si>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</si>
  <si>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</si>
  <si>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</si>
  <si>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</si>
  <si>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</si>
  <si>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</si>
  <si>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</si>
  <si>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</si>
  <si>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</si>
  <si>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</si>
  <si>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</si>
  <si>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</si>
  <si>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</si>
  <si>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</si>
  <si>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</si>
  <si>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</si>
  <si>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</si>
  <si>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</si>
  <si>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</si>
  <si>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</si>
  <si>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</si>
  <si>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</si>
  <si>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</si>
  <si>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</si>
  <si>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</si>
  <si>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</si>
  <si>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</si>
  <si>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</si>
  <si>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</si>
  <si>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</si>
  <si>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</si>
  <si>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</si>
  <si>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</si>
  <si>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</si>
  <si>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</si>
  <si>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</si>
  <si>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</si>
  <si>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</si>
  <si>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</si>
  <si>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</si>
  <si>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</si>
  <si>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</si>
  <si>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</si>
  <si>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</si>
  <si>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</si>
  <si>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</si>
  <si>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</si>
  <si>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</si>
  <si>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</si>
  <si>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</si>
  <si>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</si>
  <si>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</si>
  <si>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</si>
  <si>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</si>
  <si>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</si>
  <si>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</si>
  <si>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</si>
  <si>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</si>
  <si>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</si>
  <si>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</si>
  <si>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</si>
  <si>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</si>
  <si>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</si>
  <si>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</si>
  <si>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</si>
  <si>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</si>
  <si>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</si>
  <si>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</si>
  <si>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</si>
  <si>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</si>
  <si>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</si>
  <si>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</si>
  <si>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</si>
  <si>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</si>
  <si>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</si>
  <si>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</si>
  <si>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</si>
  <si>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</si>
  <si>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</si>
  <si>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</si>
  <si>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</si>
  <si>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</si>
  <si>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</si>
  <si>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</si>
  <si>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</si>
  <si>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</si>
  <si>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</si>
  <si>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</si>
  <si>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</si>
  <si>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</si>
  <si>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</si>
  <si>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</si>
  <si>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</si>
  <si>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</si>
  <si>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</si>
  <si>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</si>
  <si>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</si>
  <si>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</si>
  <si>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</si>
  <si>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</si>
  <si>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</si>
  <si>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</si>
  <si>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</si>
  <si>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</si>
  <si>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</si>
  <si>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</si>
  <si>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</si>
  <si>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</si>
  <si>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</si>
  <si>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</si>
  <si>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</si>
  <si>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</si>
  <si>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</si>
  <si>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</si>
  <si>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</si>
  <si>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</si>
  <si>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</si>
  <si>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</si>
  <si>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</si>
  <si>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</si>
  <si>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</si>
  <si>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</si>
  <si>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</si>
  <si>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</si>
  <si>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</si>
  <si>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</si>
  <si>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</si>
  <si>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</si>
  <si>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</si>
  <si>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</si>
  <si>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</si>
  <si>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</si>
  <si>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</si>
  <si>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</si>
  <si>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</si>
  <si>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</si>
  <si>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</si>
  <si>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</si>
  <si>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</si>
  <si>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</si>
  <si>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</si>
  <si>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</si>
  <si>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</si>
  <si>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</si>
  <si>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</si>
  <si>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</si>
  <si>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</si>
  <si>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</si>
  <si>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</si>
  <si>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</si>
  <si>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</si>
  <si>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</si>
  <si>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</si>
  <si>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</si>
  <si>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</si>
  <si>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</si>
  <si>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</si>
  <si>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</si>
  <si>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</si>
  <si>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</si>
  <si>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</si>
  <si>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</si>
  <si>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</si>
  <si>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</si>
  <si>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</si>
  <si>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</si>
  <si>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</si>
  <si>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</si>
  <si>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</si>
  <si>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</si>
  <si>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</si>
  <si>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</si>
  <si>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</si>
  <si>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</si>
  <si>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</si>
  <si>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</si>
  <si>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</si>
  <si>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</si>
  <si>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</si>
  <si>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</si>
  <si>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</si>
  <si>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</si>
  <si>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</si>
  <si>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</si>
  <si>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</si>
  <si>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</si>
  <si>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</si>
  <si>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</si>
  <si>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</si>
  <si>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</si>
  <si>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</si>
  <si>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</si>
  <si>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</si>
  <si>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</si>
  <si>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</si>
  <si>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</si>
  <si>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</si>
  <si>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</si>
  <si>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</si>
  <si>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</si>
  <si>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</si>
  <si>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</si>
  <si>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</si>
  <si>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</si>
  <si>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</si>
  <si>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</si>
  <si>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</si>
  <si>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</si>
  <si>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</si>
  <si>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</si>
  <si>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</si>
  <si>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</si>
  <si>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</si>
  <si>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</si>
  <si>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</si>
  <si>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</si>
  <si>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</si>
  <si>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</si>
  <si>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</si>
  <si>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</si>
  <si>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</si>
  <si>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</si>
  <si>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</si>
  <si>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</si>
  <si>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</si>
  <si>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</si>
  <si>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</si>
  <si>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</si>
  <si>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</si>
  <si>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</si>
  <si>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</si>
  <si>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</si>
  <si>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</si>
  <si>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</si>
  <si>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</si>
  <si>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</si>
  <si>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</si>
  <si>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</si>
  <si>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</si>
  <si>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</si>
  <si>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</si>
  <si>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</si>
  <si>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</si>
  <si>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</si>
  <si>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</si>
  <si>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</si>
  <si>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</si>
  <si>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</si>
  <si>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</si>
  <si>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</si>
  <si>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</si>
  <si>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</si>
  <si>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</si>
  <si>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</si>
  <si>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</si>
  <si>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</si>
  <si>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</si>
  <si>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</si>
  <si>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</si>
  <si>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</si>
  <si>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</si>
  <si>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</si>
  <si>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</si>
  <si>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</si>
  <si>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</si>
  <si>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</si>
  <si>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</si>
  <si>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</si>
  <si>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</si>
  <si>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</si>
  <si>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</si>
  <si>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</si>
  <si>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</si>
  <si>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</si>
  <si>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</si>
  <si>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</si>
  <si>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</si>
  <si>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</si>
  <si>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</si>
  <si>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</si>
  <si>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</si>
  <si>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</si>
  <si>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</si>
  <si>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</si>
  <si>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</si>
  <si>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</si>
  <si>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</si>
  <si>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</si>
  <si>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</si>
  <si>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</si>
  <si>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</si>
  <si>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</si>
  <si>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</si>
  <si>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</si>
  <si>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</si>
  <si>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</si>
  <si>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</si>
  <si>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</si>
  <si>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</si>
  <si>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</si>
  <si>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</si>
  <si>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</si>
  <si>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</si>
  <si>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</si>
  <si>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</si>
  <si>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</si>
  <si>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</si>
  <si>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</si>
  <si>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</si>
  <si>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</si>
  <si>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</si>
  <si>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</si>
  <si>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</si>
  <si>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</si>
  <si>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</si>
  <si>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</si>
  <si>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</si>
  <si>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</si>
  <si>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</si>
  <si>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</si>
  <si>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</si>
  <si>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</si>
  <si>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</si>
  <si>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</si>
  <si>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</si>
  <si>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</si>
  <si>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</si>
  <si>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</si>
  <si>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</si>
  <si>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</si>
  <si>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</si>
  <si>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</si>
  <si>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</si>
  <si>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</si>
  <si>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</si>
  <si>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</si>
  <si>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</si>
  <si>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</si>
  <si>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</si>
  <si>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</si>
  <si>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</si>
  <si>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</si>
  <si>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</si>
  <si>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</si>
  <si>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</si>
  <si>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</si>
  <si>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</si>
  <si>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</si>
  <si>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</si>
  <si>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</si>
  <si>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</si>
  <si>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</si>
  <si>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</si>
  <si>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</si>
  <si>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</si>
  <si>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</si>
  <si>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</si>
  <si>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</si>
  <si>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</si>
  <si>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</si>
  <si>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</si>
  <si>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</si>
  <si>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</si>
  <si>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</si>
  <si>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</si>
  <si>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</si>
  <si>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</si>
  <si>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</si>
  <si>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</si>
  <si>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</si>
  <si>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</si>
  <si>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</si>
  <si>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</si>
  <si>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</si>
  <si>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</si>
  <si>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</si>
  <si>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</si>
  <si>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</si>
  <si>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</si>
  <si>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</si>
  <si>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</si>
  <si>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</si>
  <si>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</si>
  <si>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</si>
  <si>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</si>
  <si>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</si>
  <si>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</si>
  <si>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</si>
  <si>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</si>
  <si>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</si>
  <si>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</si>
  <si>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</si>
  <si>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</si>
  <si>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</si>
  <si>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</si>
  <si>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</si>
  <si>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</si>
  <si>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</si>
  <si>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</si>
  <si>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</si>
  <si>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</si>
  <si>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</si>
  <si>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</si>
  <si>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</si>
  <si>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</si>
  <si>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</si>
  <si>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</si>
  <si>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</si>
  <si>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</si>
  <si>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</si>
  <si>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</si>
  <si>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</si>
  <si>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</si>
  <si>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</si>
  <si>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</si>
  <si>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</si>
  <si>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</si>
  <si>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</si>
  <si>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</si>
  <si>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</si>
  <si>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</si>
  <si>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</si>
  <si>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</si>
  <si>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</si>
  <si>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</si>
  <si>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</si>
  <si>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</si>
  <si>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</si>
  <si>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</si>
  <si>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</si>
  <si>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</si>
  <si>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</si>
  <si>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</si>
  <si>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</si>
  <si>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</si>
  <si>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</si>
  <si>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</si>
  <si>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</si>
  <si>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</si>
  <si>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</si>
  <si>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</si>
  <si>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</si>
  <si>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</si>
  <si>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</si>
  <si>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</si>
  <si>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</si>
  <si>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</si>
  <si>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</si>
  <si>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</si>
  <si>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</si>
  <si>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</si>
  <si>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</si>
  <si>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</si>
  <si>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</si>
  <si>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</si>
  <si>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</si>
  <si>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</si>
  <si>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</si>
  <si>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</si>
  <si>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</si>
  <si>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</si>
  <si>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</si>
  <si>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</si>
  <si>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</si>
  <si>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</si>
  <si>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</si>
  <si>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</si>
  <si>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</si>
  <si>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</si>
  <si>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</si>
  <si>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</si>
  <si>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</si>
  <si>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</si>
  <si>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</si>
  <si>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</si>
  <si>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</si>
  <si>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</si>
  <si>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</si>
  <si>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</si>
  <si>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</si>
  <si>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</si>
  <si>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</si>
  <si>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</si>
  <si>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</si>
  <si>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</si>
  <si>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</si>
  <si>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</si>
  <si>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</si>
  <si>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</si>
  <si>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</si>
  <si>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</si>
  <si>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</si>
  <si>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</si>
  <si>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</si>
  <si>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</si>
  <si>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</si>
  <si>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</si>
  <si>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</si>
  <si>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</si>
  <si>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</si>
  <si>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</si>
  <si>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</si>
  <si>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</si>
  <si>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</si>
  <si>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</si>
  <si>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</si>
  <si>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</si>
  <si>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</si>
  <si>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</si>
  <si>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</si>
  <si>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</si>
  <si>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</si>
  <si>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</si>
  <si>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</si>
  <si>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</si>
  <si>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</si>
  <si>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</si>
  <si>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</si>
  <si>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</si>
  <si>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</si>
  <si>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</si>
  <si>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</si>
  <si>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</si>
  <si>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</si>
  <si>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</si>
  <si>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</si>
  <si>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</si>
  <si>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</si>
  <si>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</si>
  <si>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</si>
  <si>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</si>
  <si>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</si>
  <si>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</si>
  <si>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</si>
  <si>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</si>
  <si>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</si>
  <si>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</si>
  <si>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</si>
  <si>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</si>
  <si>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</si>
  <si>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</si>
  <si>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</si>
  <si>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</si>
  <si>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</si>
  <si>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</si>
  <si>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</si>
  <si>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</si>
  <si>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</si>
  <si>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</si>
  <si>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</si>
  <si>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</si>
  <si>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</si>
  <si>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</si>
  <si>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</si>
  <si>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</si>
  <si>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</si>
  <si>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</si>
  <si>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</si>
  <si>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</si>
  <si>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</si>
  <si>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</si>
  <si>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</si>
  <si>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</si>
  <si>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</si>
  <si>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</si>
  <si>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</si>
  <si>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</si>
  <si>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</si>
  <si>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</si>
  <si>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</si>
  <si>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</si>
  <si>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</si>
  <si>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</si>
  <si>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</si>
  <si>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</si>
  <si>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</si>
  <si>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</si>
  <si>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</si>
  <si>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</si>
  <si>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</si>
  <si>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</si>
  <si>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</si>
  <si>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</si>
  <si>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</si>
  <si>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</si>
  <si>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</si>
  <si>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</si>
  <si>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</si>
  <si>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</si>
  <si>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</si>
  <si>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</si>
  <si>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</si>
  <si>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</si>
  <si>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</si>
  <si>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</si>
  <si>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</si>
  <si>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</si>
  <si>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</si>
  <si>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</si>
  <si>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</si>
  <si>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</si>
  <si>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</si>
  <si>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</si>
  <si>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</si>
  <si>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</si>
  <si>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</si>
  <si>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</si>
  <si>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</si>
  <si>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</si>
  <si>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</si>
  <si>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</si>
  <si>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</si>
  <si>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</si>
  <si>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</si>
  <si>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</si>
  <si>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</si>
  <si>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</si>
  <si>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</si>
  <si>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</si>
  <si>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</si>
  <si>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</si>
  <si>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</si>
  <si>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</si>
  <si>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</si>
  <si>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</si>
  <si>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</si>
  <si>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</si>
  <si>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</si>
  <si>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</si>
  <si>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</si>
  <si>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</si>
  <si>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</si>
  <si>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</si>
  <si>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</si>
  <si>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</si>
  <si>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</si>
  <si>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</si>
  <si>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</si>
  <si>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</si>
  <si>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</si>
  <si>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</si>
  <si>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</si>
  <si>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</si>
  <si>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</si>
  <si>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</si>
  <si>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</si>
  <si>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</si>
  <si>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</si>
  <si>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</si>
  <si>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</si>
  <si>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</si>
  <si>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</si>
  <si>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</si>
  <si>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</si>
  <si>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</si>
  <si>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</si>
  <si>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</si>
  <si>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</si>
  <si>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</si>
  <si>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</si>
  <si>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</si>
  <si>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</si>
  <si>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</si>
  <si>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</si>
  <si>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</si>
  <si>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</si>
  <si>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</si>
  <si>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</si>
  <si>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</si>
  <si>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</si>
  <si>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</si>
  <si>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</si>
  <si>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</si>
  <si>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</si>
  <si>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</si>
  <si>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</si>
  <si>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</si>
  <si>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</si>
  <si>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</si>
  <si>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</si>
  <si>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</si>
  <si>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</si>
  <si>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</si>
  <si>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</si>
  <si>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</si>
  <si>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</si>
  <si>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</si>
  <si>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</si>
  <si>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</si>
  <si>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</si>
  <si>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</si>
  <si>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</si>
  <si>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</si>
  <si>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</si>
  <si>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</si>
  <si>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</si>
  <si>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</si>
  <si>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</si>
  <si>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</si>
  <si>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</si>
  <si>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</si>
  <si>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</si>
  <si>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</si>
  <si>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</si>
  <si>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</si>
  <si>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</si>
  <si>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</si>
  <si>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</si>
  <si>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</si>
  <si>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</si>
  <si>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</si>
  <si>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</si>
  <si>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</si>
  <si>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</si>
  <si>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</si>
  <si>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</si>
  <si>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</si>
  <si>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</si>
  <si>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</si>
  <si>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</si>
  <si>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</si>
  <si>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</si>
  <si>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</si>
  <si>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</si>
  <si>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</si>
  <si>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</si>
  <si>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</si>
  <si>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</si>
  <si>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</si>
  <si>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</si>
  <si>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</si>
  <si>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</si>
  <si>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</si>
  <si>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</si>
  <si>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</si>
  <si>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</si>
  <si>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</si>
  <si>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</si>
  <si>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</si>
  <si>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</si>
  <si>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</si>
  <si>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</si>
  <si>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</si>
  <si>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</si>
  <si>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</si>
  <si>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</si>
  <si>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</si>
  <si>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</si>
  <si>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</si>
  <si>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</si>
  <si>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</si>
  <si>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</si>
  <si>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</si>
  <si>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</si>
  <si>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</si>
  <si>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</si>
  <si>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</si>
  <si>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</si>
  <si>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</si>
  <si>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</si>
  <si>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</si>
  <si>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</si>
  <si>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</si>
  <si>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</si>
  <si>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</si>
  <si>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</si>
  <si>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</si>
  <si>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</si>
  <si>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</si>
  <si>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</si>
  <si>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</si>
  <si>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</si>
  <si>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</si>
  <si>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</si>
  <si>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</si>
  <si>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</si>
  <si>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</si>
  <si>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</si>
  <si>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</si>
  <si>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</si>
  <si>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</si>
  <si>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</si>
  <si>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</si>
  <si>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</si>
  <si>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</si>
  <si>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</si>
  <si>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</si>
  <si>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</si>
  <si>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</si>
  <si>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</si>
  <si>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</si>
  <si>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</si>
  <si>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</si>
  <si>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</si>
  <si>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</si>
  <si>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</si>
  <si>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</si>
  <si>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</si>
  <si>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</si>
  <si>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</si>
  <si>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</si>
  <si>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</si>
  <si>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</si>
  <si>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</si>
  <si>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</si>
  <si>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</si>
  <si>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</si>
  <si>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</si>
  <si>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</si>
  <si>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</si>
  <si>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</si>
  <si>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</si>
  <si>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</si>
  <si>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</si>
  <si>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</si>
  <si>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</si>
  <si>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</si>
  <si>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</si>
  <si>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</si>
  <si>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</si>
  <si>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</si>
  <si>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</si>
  <si>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</si>
  <si>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</si>
  <si>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</si>
  <si>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</si>
  <si>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</si>
  <si>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</si>
  <si>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</si>
  <si>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</si>
  <si>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</si>
  <si>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</si>
  <si>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</si>
  <si>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</si>
  <si>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</si>
  <si>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</si>
  <si>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</si>
  <si>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</si>
  <si>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</si>
  <si>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</si>
  <si>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</si>
  <si>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</si>
  <si>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</si>
  <si>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</si>
  <si>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</si>
  <si>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</si>
  <si>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</si>
  <si>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</si>
  <si>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</si>
  <si>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</si>
  <si>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</si>
  <si>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</si>
  <si>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</si>
  <si>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</si>
  <si>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</si>
  <si>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</si>
  <si>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</si>
  <si>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</si>
  <si>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</si>
  <si>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</si>
  <si>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</si>
  <si>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</si>
  <si>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</si>
  <si>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</si>
  <si>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</si>
  <si>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</si>
  <si>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</si>
  <si>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</si>
  <si>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</si>
  <si>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</si>
  <si>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</si>
  <si>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</si>
  <si>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</si>
  <si>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</si>
  <si>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</si>
  <si>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</si>
  <si>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</si>
  <si>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</si>
  <si>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</si>
  <si>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</si>
  <si>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</si>
  <si>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</si>
  <si>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</si>
  <si>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</si>
  <si>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</si>
  <si>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</si>
  <si>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</si>
  <si>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</si>
  <si>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</si>
  <si>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</si>
  <si>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</si>
  <si>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</si>
  <si>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</si>
  <si>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</si>
  <si>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</si>
  <si>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</si>
  <si>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</si>
  <si>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</si>
  <si>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</si>
  <si>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</si>
  <si>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</si>
  <si>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</si>
  <si>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</si>
  <si>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</si>
  <si>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</si>
  <si>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</si>
  <si>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</si>
  <si>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</si>
  <si>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</si>
  <si>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</si>
  <si>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</si>
  <si>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</si>
  <si>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</si>
  <si>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</si>
  <si>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</si>
  <si>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</si>
  <si>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</si>
  <si>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</si>
  <si>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</si>
  <si>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</si>
  <si>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</si>
  <si>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</si>
  <si>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</si>
  <si>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</si>
  <si>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</si>
  <si>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</si>
  <si>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</si>
  <si>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</si>
  <si>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</si>
  <si>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</si>
  <si>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</si>
  <si>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</si>
  <si>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</si>
  <si>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</si>
  <si>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</si>
  <si>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</si>
  <si>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</si>
  <si>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</si>
  <si>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</si>
  <si>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</si>
  <si>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</si>
  <si>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</si>
  <si>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</si>
  <si>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</si>
  <si>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</si>
  <si>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</si>
  <si>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</si>
  <si>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</si>
  <si>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</si>
  <si>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</si>
  <si>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</si>
  <si>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</si>
  <si>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</si>
  <si>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</si>
  <si>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</si>
  <si>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</si>
  <si>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</si>
  <si>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</si>
  <si>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</si>
  <si>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</si>
  <si>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</si>
  <si>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</si>
  <si>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</si>
  <si>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</si>
  <si>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</si>
  <si>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</si>
  <si>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</si>
  <si>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</si>
  <si>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</si>
  <si>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</si>
  <si>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</si>
  <si>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</si>
  <si>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</si>
  <si>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</si>
  <si>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</si>
  <si>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</si>
  <si>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</si>
  <si>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</si>
  <si>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</si>
  <si>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</si>
  <si>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</si>
  <si>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</si>
  <si>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</si>
  <si>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</si>
  <si>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</si>
  <si>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</si>
  <si>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</si>
  <si>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</si>
  <si>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</si>
  <si>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</si>
  <si>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</si>
  <si>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</si>
  <si>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</si>
  <si>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</si>
  <si>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</si>
  <si>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</si>
  <si>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</si>
  <si>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</si>
  <si>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</si>
  <si>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</si>
  <si>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</si>
  <si>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</si>
  <si>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</si>
  <si>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</si>
  <si>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</si>
  <si>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</si>
  <si>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</si>
  <si>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</si>
  <si>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</si>
  <si>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</si>
  <si>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</si>
  <si>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</si>
  <si>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</si>
  <si>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</si>
  <si>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</si>
  <si>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</si>
  <si>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</si>
  <si>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</si>
  <si>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</si>
  <si>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</si>
  <si>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</si>
  <si>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</si>
  <si>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</si>
  <si>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</si>
  <si>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</si>
  <si>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</si>
  <si>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</si>
  <si>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</si>
  <si>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</si>
  <si>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</si>
  <si>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</si>
  <si>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</si>
  <si>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</si>
  <si>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</si>
  <si>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</si>
  <si>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</si>
  <si>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</si>
  <si>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</si>
  <si>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</si>
  <si>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</si>
  <si>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</si>
  <si>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</si>
  <si>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</si>
  <si>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</si>
  <si>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</si>
  <si>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</si>
  <si>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</si>
  <si>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</si>
  <si>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</si>
  <si>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</si>
  <si>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</si>
  <si>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</si>
  <si>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</si>
  <si>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</si>
  <si>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</si>
  <si>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</si>
  <si>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</si>
  <si>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</si>
  <si>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</si>
  <si>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</si>
  <si>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</si>
  <si>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</si>
  <si>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</si>
  <si>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</si>
  <si>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</si>
  <si>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</si>
  <si>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</si>
  <si>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</si>
  <si>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</si>
  <si>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</si>
  <si>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</si>
  <si>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</si>
  <si>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</si>
  <si>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</si>
  <si>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</si>
  <si>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</si>
  <si>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</si>
  <si>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</si>
  <si>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</si>
  <si>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</si>
  <si>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</si>
  <si>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</si>
  <si>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</si>
  <si>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</si>
  <si>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</si>
  <si>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</si>
  <si>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</si>
  <si>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</si>
  <si>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</si>
  <si>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</si>
  <si>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</si>
  <si>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</si>
  <si>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</si>
  <si>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</si>
  <si>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</si>
  <si>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</si>
  <si>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</si>
  <si>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</si>
  <si>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</si>
  <si>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</si>
  <si>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</si>
  <si>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</si>
  <si>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</si>
  <si>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</si>
  <si>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</si>
  <si>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</si>
  <si>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</si>
  <si>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</si>
  <si>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</si>
  <si>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</si>
  <si>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</si>
  <si>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</si>
  <si>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</si>
  <si>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</si>
  <si>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</si>
  <si>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</si>
  <si>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</si>
  <si>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</si>
  <si>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</si>
  <si>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</si>
  <si>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</si>
  <si>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</si>
  <si>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</si>
  <si>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</si>
  <si>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</si>
  <si>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</si>
  <si>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</si>
  <si>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</si>
  <si>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</si>
  <si>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</si>
  <si>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</si>
  <si>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</si>
  <si>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</si>
  <si>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</si>
  <si>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</si>
  <si>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</si>
  <si>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</si>
  <si>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</si>
  <si>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</si>
  <si>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</si>
  <si>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</si>
  <si>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</si>
  <si>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</si>
  <si>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</si>
  <si>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</si>
  <si>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</si>
  <si>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</si>
  <si>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</si>
  <si>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</si>
  <si>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</si>
  <si>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</si>
  <si>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</si>
  <si>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</si>
  <si>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</si>
  <si>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</si>
  <si>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</si>
  <si>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</si>
  <si>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</si>
  <si>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</si>
  <si>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</si>
  <si>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</si>
  <si>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</si>
  <si>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</si>
  <si>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</si>
  <si>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</si>
  <si>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</si>
  <si>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</si>
  <si>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</si>
  <si>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</si>
  <si>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</si>
  <si>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</si>
  <si>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</si>
  <si>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</si>
  <si>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</si>
  <si>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</si>
  <si>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</si>
  <si>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</si>
  <si>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</si>
  <si>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</si>
  <si>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</si>
  <si>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</si>
  <si>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</si>
  <si>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</si>
  <si>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</si>
  <si>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</si>
  <si>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</si>
  <si>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</si>
  <si>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</si>
  <si>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</si>
  <si>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</si>
  <si>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</si>
  <si>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</si>
  <si>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</si>
  <si>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</si>
  <si>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</si>
  <si>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</si>
  <si>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</si>
  <si>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</si>
  <si>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</si>
  <si>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</si>
  <si>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</si>
  <si>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</si>
  <si>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</si>
  <si>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</si>
  <si>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</si>
  <si>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</si>
  <si>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</si>
  <si>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</si>
  <si>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</si>
  <si>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</si>
  <si>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</si>
  <si>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</si>
  <si>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</si>
  <si>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</si>
  <si>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</si>
  <si>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</si>
  <si>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</si>
  <si>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</si>
  <si>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</si>
  <si>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</si>
  <si>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</si>
  <si>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</si>
  <si>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</si>
  <si>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</si>
  <si>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</si>
  <si>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</si>
  <si>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</si>
  <si>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</si>
  <si>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</si>
  <si>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</si>
  <si>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</si>
  <si>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</si>
  <si>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</si>
  <si>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</si>
  <si>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</si>
  <si>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</si>
  <si>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</si>
  <si>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</si>
  <si>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</si>
  <si>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</si>
  <si>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</si>
  <si>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</si>
  <si>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</si>
  <si>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</si>
  <si>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</si>
  <si>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</si>
  <si>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</si>
  <si>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</si>
  <si>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</si>
  <si>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</si>
  <si>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</si>
  <si>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</si>
  <si>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</si>
  <si>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</si>
  <si>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</si>
  <si>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</si>
  <si>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</si>
  <si>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</si>
  <si>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</si>
  <si>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</si>
  <si>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</si>
  <si>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</si>
  <si>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</si>
  <si>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</si>
  <si>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</si>
  <si>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</si>
  <si>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</si>
  <si>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</si>
  <si>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</si>
  <si>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</si>
  <si>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</si>
  <si>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</si>
  <si>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</si>
  <si>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</si>
  <si>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</si>
  <si>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</si>
  <si>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</si>
  <si>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</si>
  <si>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</si>
  <si>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</si>
  <si>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</si>
  <si>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</si>
  <si>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</si>
  <si>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</si>
  <si>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</si>
  <si>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</si>
  <si>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</si>
  <si>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</si>
  <si>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</si>
  <si>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</si>
  <si>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</si>
  <si>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</si>
  <si>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</si>
  <si>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</si>
  <si>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</si>
  <si>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</si>
  <si>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</si>
  <si>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</si>
  <si>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</si>
  <si>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</si>
  <si>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</si>
  <si>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</si>
  <si>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</si>
  <si>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</si>
  <si>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</si>
  <si>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</si>
  <si>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</si>
  <si>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</si>
  <si>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</si>
  <si>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</si>
  <si>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</si>
  <si>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</si>
  <si>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</si>
  <si>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</si>
  <si>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</si>
  <si>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</si>
  <si>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</si>
  <si>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</si>
  <si>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</si>
  <si>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</si>
  <si>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</si>
  <si>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</si>
  <si>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</si>
  <si>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</si>
  <si>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</si>
  <si>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</si>
  <si>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</si>
  <si>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</si>
  <si>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</si>
  <si>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</si>
  <si>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</si>
  <si>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</si>
  <si>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</si>
  <si>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</si>
  <si>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</si>
  <si>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</si>
  <si>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</si>
  <si>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</si>
  <si>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</si>
  <si>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</si>
  <si>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</si>
  <si>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</si>
  <si>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</si>
  <si>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</si>
  <si>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</si>
  <si>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</si>
  <si>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</si>
  <si>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</si>
  <si>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</si>
  <si>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</si>
  <si>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</si>
  <si>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</si>
  <si>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</si>
  <si>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</si>
  <si>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</si>
  <si>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</si>
  <si>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</si>
  <si>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</si>
  <si>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</si>
  <si>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</si>
  <si>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</si>
  <si>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</si>
  <si>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</si>
  <si>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</si>
  <si>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</si>
  <si>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</si>
  <si>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</si>
  <si>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</si>
  <si>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</si>
  <si>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</si>
  <si>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</si>
  <si>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</si>
  <si>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</si>
  <si>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</si>
  <si>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</si>
  <si>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</si>
  <si>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</si>
  <si>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</si>
  <si>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</si>
  <si>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</si>
  <si>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</si>
  <si>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</si>
  <si>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</si>
  <si>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</si>
  <si>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</si>
  <si>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</si>
  <si>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</si>
  <si>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</si>
  <si>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</si>
  <si>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</si>
  <si>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</si>
  <si>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</si>
  <si>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</si>
  <si>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</si>
  <si>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</si>
  <si>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</si>
  <si>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</si>
  <si>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</si>
  <si>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</si>
  <si>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</si>
  <si>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</si>
  <si>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</si>
  <si>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</si>
  <si>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</si>
  <si>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</si>
  <si>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</si>
  <si>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</si>
  <si>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</si>
  <si>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</si>
  <si>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</si>
  <si>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</si>
  <si>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</si>
  <si>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</si>
  <si>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</si>
  <si>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</si>
  <si>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</si>
  <si>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</si>
  <si>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</si>
  <si>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</si>
  <si>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</si>
  <si>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</si>
  <si>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</si>
  <si>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</si>
  <si>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</si>
  <si>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</si>
  <si>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</si>
  <si>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</si>
  <si>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</si>
  <si>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</si>
  <si>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</si>
  <si>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</si>
  <si>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</si>
  <si>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</si>
  <si>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</si>
  <si>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</si>
  <si>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</si>
  <si>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</si>
  <si>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</si>
  <si>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</si>
  <si>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</si>
  <si>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</si>
  <si>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</si>
  <si>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</si>
  <si>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</si>
  <si>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</si>
  <si>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</si>
  <si>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</si>
  <si>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</si>
  <si>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</si>
  <si>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</si>
  <si>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</si>
  <si>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</si>
  <si>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</si>
  <si>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</si>
  <si>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</si>
  <si>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</si>
  <si>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</si>
  <si>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</si>
  <si>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</si>
  <si>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</si>
  <si>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</si>
  <si>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</si>
  <si>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</si>
  <si>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</si>
  <si>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</si>
  <si>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</si>
  <si>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</si>
  <si>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</si>
  <si>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</si>
  <si>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</si>
  <si>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</si>
  <si>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</si>
  <si>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</si>
  <si>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</si>
  <si>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</si>
  <si>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</si>
  <si>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</si>
  <si>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</si>
  <si>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</si>
  <si>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</si>
  <si>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</si>
  <si>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</si>
  <si>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</si>
  <si>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</si>
  <si>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</si>
  <si>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</si>
  <si>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</si>
  <si>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</si>
  <si>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</si>
  <si>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</si>
  <si>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</si>
  <si>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</si>
  <si>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</si>
  <si>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</si>
  <si>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</si>
  <si>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</si>
  <si>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</si>
  <si>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</si>
  <si>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</si>
  <si>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</si>
  <si>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</si>
  <si>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</si>
  <si>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</si>
  <si>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</si>
  <si>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</si>
  <si>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</si>
  <si>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</si>
  <si>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</si>
  <si>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</si>
  <si>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</si>
  <si>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</si>
  <si>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</si>
  <si>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</si>
  <si>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</si>
  <si>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</si>
  <si>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</si>
  <si>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</si>
  <si>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</si>
  <si>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</si>
  <si>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</si>
  <si>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</si>
  <si>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</si>
  <si>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</si>
  <si>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</si>
  <si>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</si>
  <si>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</si>
  <si>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</si>
  <si>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</si>
  <si>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</si>
  <si>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</si>
  <si>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</si>
  <si>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</si>
  <si>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</si>
  <si>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</si>
  <si>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</si>
  <si>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</si>
  <si>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</si>
  <si>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</si>
  <si>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</si>
  <si>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</si>
  <si>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</si>
  <si>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</si>
  <si>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</si>
  <si>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</si>
  <si>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</si>
  <si>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</si>
  <si>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</si>
  <si>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</si>
  <si>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</si>
  <si>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</si>
  <si>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</si>
  <si>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</si>
  <si>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</si>
  <si>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</si>
  <si>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</si>
  <si>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</si>
  <si>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</si>
  <si>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</si>
  <si>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</si>
  <si>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</si>
  <si>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</si>
  <si>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</si>
  <si>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</si>
  <si>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</si>
  <si>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</si>
  <si>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</si>
  <si>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</si>
  <si>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</si>
  <si>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</si>
  <si>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</si>
  <si>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</si>
  <si>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</si>
  <si>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</si>
  <si>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</si>
  <si>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</si>
  <si>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</si>
  <si>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</si>
  <si>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</si>
  <si>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</si>
  <si>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</si>
  <si>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</si>
  <si>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</si>
  <si>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</si>
  <si>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</si>
  <si>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</si>
  <si>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</si>
  <si>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</si>
  <si>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</si>
  <si>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</si>
  <si>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</si>
  <si>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</si>
  <si>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</si>
  <si>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</si>
  <si>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</si>
  <si>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</si>
  <si>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</si>
  <si>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</si>
  <si>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</si>
  <si>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</si>
  <si>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</si>
  <si>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</si>
  <si>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</si>
  <si>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</si>
  <si>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</si>
  <si>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</si>
  <si>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</si>
  <si>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</si>
  <si>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</si>
  <si>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</si>
  <si>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</si>
  <si>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</si>
  <si>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</si>
  <si>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</si>
  <si>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</si>
  <si>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</si>
  <si>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</si>
  <si>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</si>
  <si>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</si>
  <si>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</si>
  <si>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</si>
  <si>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</si>
  <si>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</si>
  <si>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</si>
  <si>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</si>
  <si>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</si>
  <si>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</si>
  <si>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</si>
  <si>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</si>
  <si>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</si>
  <si>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</si>
  <si>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</si>
  <si>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</si>
  <si>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</si>
  <si>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</si>
  <si>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</si>
  <si>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</si>
  <si>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</si>
  <si>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</si>
  <si>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</si>
  <si>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</si>
  <si>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</si>
  <si>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</si>
  <si>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</si>
  <si>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</si>
  <si>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</si>
  <si>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</si>
  <si>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</si>
  <si>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</si>
  <si>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</si>
  <si>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</si>
  <si>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</si>
  <si>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</si>
  <si>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</si>
  <si>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</si>
  <si>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</si>
  <si>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</si>
  <si>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</si>
  <si>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</si>
  <si>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</si>
  <si>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</si>
  <si>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</si>
  <si>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</si>
  <si>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</si>
  <si>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</si>
  <si>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</si>
  <si>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</si>
  <si>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</si>
  <si>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</si>
  <si>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</si>
  <si>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</si>
  <si>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</si>
  <si>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</si>
  <si>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</si>
  <si>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</si>
  <si>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</si>
  <si>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</si>
  <si>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</si>
  <si>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</si>
  <si>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</si>
  <si>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</si>
  <si>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</si>
  <si>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</si>
  <si>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</si>
  <si>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</si>
  <si>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</si>
  <si>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</si>
  <si>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</si>
  <si>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</si>
  <si>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</si>
  <si>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</si>
  <si>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</si>
  <si>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</si>
  <si>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</si>
  <si>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</si>
  <si>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</si>
  <si>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</si>
  <si>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</si>
  <si>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</si>
  <si>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</si>
  <si>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</si>
  <si>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</si>
  <si>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</si>
  <si>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</si>
  <si>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</si>
  <si>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</si>
  <si>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</si>
  <si>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</si>
  <si>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</si>
  <si>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</si>
  <si>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</si>
  <si>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</si>
  <si>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</si>
  <si>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</si>
  <si>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</si>
  <si>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</si>
  <si>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</si>
  <si>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</si>
  <si>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</si>
  <si>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</si>
  <si>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</si>
  <si>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</si>
  <si>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</si>
  <si>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</si>
  <si>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</si>
  <si>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</si>
  <si>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</si>
  <si>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</si>
  <si>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</si>
  <si>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</si>
  <si>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</si>
  <si>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</si>
  <si>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</si>
  <si>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</si>
  <si>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</si>
  <si>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</si>
  <si>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</si>
  <si>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</si>
  <si>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</si>
  <si>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</si>
  <si>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</si>
  <si>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</si>
  <si>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</si>
  <si>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</si>
  <si>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</si>
  <si>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</si>
  <si>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</si>
  <si>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</si>
  <si>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</si>
  <si>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</si>
  <si>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</si>
  <si>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</si>
  <si>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</si>
  <si>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</si>
  <si>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</si>
  <si>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</si>
  <si>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</si>
  <si>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</si>
  <si>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</si>
  <si>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</si>
  <si>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</si>
  <si>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</si>
  <si>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</si>
  <si>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</si>
  <si>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</si>
  <si>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</si>
  <si>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</si>
  <si>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</si>
  <si>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</si>
  <si>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</si>
  <si>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</si>
  <si>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</si>
  <si>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</si>
  <si>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</si>
  <si>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</si>
  <si>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</si>
  <si>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</si>
  <si>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</si>
  <si>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</si>
  <si>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</si>
  <si>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</si>
  <si>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</si>
  <si>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</si>
  <si>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</si>
  <si>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</si>
  <si>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</si>
  <si>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</si>
  <si>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</si>
  <si>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</si>
  <si>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</si>
  <si>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</si>
  <si>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</si>
  <si>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</si>
  <si>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</si>
  <si>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</si>
  <si>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</si>
  <si>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</si>
  <si>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</si>
  <si>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</si>
  <si>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</si>
  <si>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</si>
  <si>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</si>
  <si>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</si>
  <si>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</si>
  <si>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</si>
  <si>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</si>
  <si>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</si>
  <si>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</si>
  <si>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</si>
  <si>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</si>
  <si>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</si>
  <si>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</si>
  <si>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</si>
  <si>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</si>
  <si>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</si>
  <si>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</si>
  <si>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</si>
  <si>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</si>
  <si>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</si>
  <si>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</si>
  <si>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</si>
  <si>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</si>
  <si>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</si>
  <si>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</si>
  <si>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</si>
  <si>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</si>
  <si>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</si>
  <si>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</si>
  <si>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</si>
  <si>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</si>
  <si>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</si>
  <si>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</si>
  <si>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</si>
  <si>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</si>
  <si>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</si>
  <si>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</si>
  <si>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</si>
  <si>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</si>
  <si>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</si>
  <si>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</si>
  <si>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</si>
  <si>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</si>
  <si>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</si>
  <si>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</si>
  <si>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</si>
  <si>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</si>
  <si>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</si>
  <si>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</si>
  <si>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</si>
  <si>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</si>
  <si>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</si>
  <si>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</si>
  <si>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</si>
  <si>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</si>
  <si>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</si>
  <si>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</si>
  <si>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</si>
  <si>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</si>
  <si>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</si>
  <si>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</si>
  <si>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</si>
  <si>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</si>
  <si>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</si>
  <si>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</si>
  <si>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</si>
  <si>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</si>
  <si>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</si>
  <si>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</si>
  <si>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</si>
  <si>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</si>
  <si>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</si>
  <si>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</si>
  <si>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</si>
  <si>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</si>
  <si>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</si>
  <si>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</si>
  <si>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</si>
  <si>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</si>
  <si>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</si>
  <si>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</si>
  <si>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</si>
  <si>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</si>
  <si>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</si>
  <si>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</si>
  <si>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</si>
  <si>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</si>
  <si>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</si>
  <si>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</si>
  <si>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</si>
  <si>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</si>
  <si>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</si>
  <si>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</si>
  <si>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</si>
  <si>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</si>
  <si>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</si>
  <si>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</si>
  <si>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</si>
  <si>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</si>
  <si>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</si>
  <si>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</si>
  <si>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</si>
  <si>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</si>
  <si>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</si>
  <si>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</si>
  <si>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</si>
  <si>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</si>
  <si>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</si>
  <si>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</si>
  <si>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</si>
  <si>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</si>
  <si>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</si>
  <si>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</si>
  <si>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</si>
  <si>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</si>
  <si>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</si>
  <si>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</si>
  <si>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</si>
  <si>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</si>
  <si>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</si>
  <si>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</si>
  <si>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</si>
  <si>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</si>
  <si>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</si>
  <si>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</si>
  <si>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</si>
  <si>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</si>
  <si>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</si>
  <si>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</si>
  <si>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</si>
  <si>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</si>
  <si>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</si>
  <si>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</si>
  <si>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</si>
  <si>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</si>
  <si>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</si>
  <si>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</si>
  <si>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</si>
  <si>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</si>
  <si>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</si>
  <si>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</si>
  <si>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</si>
  <si>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</si>
  <si>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</si>
  <si>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</si>
  <si>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</si>
  <si>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</si>
  <si>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</si>
  <si>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</si>
  <si>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</si>
  <si>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</si>
  <si>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</si>
  <si>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</si>
  <si>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</si>
  <si>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</si>
  <si>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</si>
  <si>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</si>
  <si>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</si>
  <si>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</si>
  <si>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</si>
  <si>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</si>
  <si>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</si>
  <si>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</si>
  <si>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</si>
  <si>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</si>
  <si>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</si>
  <si>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</si>
  <si>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</si>
  <si>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</si>
  <si>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</si>
  <si>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</si>
  <si>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</si>
  <si>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</si>
  <si>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</si>
  <si>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</si>
  <si>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</si>
  <si>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</si>
  <si>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</si>
  <si>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</si>
  <si>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</si>
  <si>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</si>
  <si>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</si>
  <si>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</si>
  <si>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</si>
  <si>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</si>
  <si>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</si>
  <si>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</si>
  <si>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</si>
  <si>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</si>
  <si>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</si>
  <si>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</si>
  <si>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</si>
  <si>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</si>
  <si>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</si>
  <si>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</si>
  <si>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</si>
  <si>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</si>
  <si>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</si>
  <si>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</si>
  <si>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</si>
  <si>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</si>
  <si>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</si>
  <si>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</si>
  <si>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</si>
  <si>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</si>
  <si>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</si>
  <si>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</si>
  <si>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</si>
  <si>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</si>
  <si>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</si>
  <si>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</si>
  <si>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</si>
  <si>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</si>
  <si>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</si>
  <si>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</si>
  <si>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</si>
  <si>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</si>
  <si>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</si>
  <si>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</si>
  <si>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</si>
  <si>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</si>
  <si>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</si>
  <si>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</si>
  <si>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</si>
  <si>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</si>
  <si>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</si>
  <si>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</si>
  <si>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</si>
  <si>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</si>
  <si>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</si>
  <si>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</si>
  <si>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</si>
  <si>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</si>
  <si>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</si>
  <si>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</si>
  <si>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</si>
  <si>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</si>
  <si>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</si>
  <si>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</si>
  <si>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</si>
  <si>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</si>
  <si>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</si>
  <si>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</si>
  <si>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</si>
  <si>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</si>
  <si>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</si>
  <si>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</si>
  <si>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</si>
  <si>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</si>
  <si>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</si>
  <si>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</si>
  <si>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</si>
  <si>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</si>
  <si>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</si>
  <si>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</si>
  <si>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</si>
  <si>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</si>
  <si>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</si>
  <si>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</si>
  <si>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</si>
  <si>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</si>
  <si>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</si>
  <si>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</si>
  <si>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</si>
  <si>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</si>
  <si>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</si>
  <si>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</si>
  <si>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</si>
  <si>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</si>
  <si>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</si>
  <si>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</si>
  <si>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</si>
  <si>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</si>
  <si>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</si>
  <si>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</si>
  <si>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</si>
  <si>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</si>
  <si>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</si>
  <si>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</si>
  <si>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</si>
  <si>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</si>
  <si>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</si>
  <si>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</si>
  <si>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</si>
  <si>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</si>
  <si>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</si>
  <si>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</si>
  <si>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</si>
  <si>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</si>
  <si>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</si>
  <si>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</si>
  <si>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</si>
  <si>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</si>
  <si>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</si>
  <si>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</si>
  <si>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</si>
  <si>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</si>
  <si>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</si>
  <si>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</si>
  <si>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</si>
  <si>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</si>
  <si>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</si>
  <si>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</si>
  <si>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</si>
  <si>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</si>
  <si>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</si>
  <si>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</si>
  <si>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</si>
  <si>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</si>
  <si>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</si>
  <si>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</si>
  <si>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</si>
  <si>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</si>
  <si>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</si>
  <si>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</si>
  <si>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</si>
  <si>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</si>
  <si>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</si>
  <si>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</si>
  <si>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</si>
  <si>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</si>
  <si>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</si>
  <si>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</si>
  <si>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</si>
  <si>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</si>
  <si>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</si>
  <si>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</si>
  <si>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</si>
  <si>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</si>
  <si>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</si>
  <si>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</si>
  <si>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</si>
  <si>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</si>
  <si>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</si>
  <si>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</si>
  <si>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</si>
  <si>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</si>
  <si>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</si>
  <si>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</si>
  <si>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</si>
  <si>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</si>
  <si>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</si>
  <si>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</si>
  <si>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</si>
  <si>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</si>
  <si>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</si>
  <si>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</si>
  <si>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</si>
  <si>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</si>
  <si>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</si>
  <si>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</si>
  <si>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</si>
  <si>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</si>
  <si>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</si>
  <si>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</si>
  <si>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</si>
  <si>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</si>
  <si>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</si>
  <si>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</si>
  <si>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</si>
  <si>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</si>
  <si>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</si>
  <si>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</si>
  <si>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</si>
  <si>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</si>
  <si>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</si>
  <si>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</si>
  <si>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</si>
  <si>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</si>
  <si>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</si>
  <si>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</si>
  <si>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</si>
  <si>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</si>
  <si>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</si>
  <si>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</si>
  <si>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</si>
  <si>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</si>
  <si>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</si>
  <si>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</si>
  <si>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</si>
  <si>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</si>
  <si>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</si>
  <si>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</si>
  <si>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</si>
  <si>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</si>
  <si>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</si>
  <si>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</si>
  <si>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</si>
  <si>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</si>
  <si>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</si>
  <si>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</si>
  <si>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</si>
  <si>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</si>
  <si>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</si>
  <si>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</si>
  <si>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</si>
  <si>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</si>
  <si>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</si>
  <si>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</si>
  <si>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</si>
  <si>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</si>
  <si>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</si>
  <si>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</si>
  <si>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</si>
  <si>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</si>
  <si>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</si>
  <si>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</si>
  <si>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</si>
  <si>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</si>
  <si>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</si>
  <si>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</si>
  <si>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</si>
  <si>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</si>
  <si>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</si>
  <si>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</si>
  <si>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</si>
  <si>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</si>
  <si>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</si>
  <si>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</si>
  <si>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</si>
  <si>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</si>
  <si>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</si>
  <si>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</si>
  <si>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</si>
  <si>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</si>
  <si>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</si>
  <si>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</si>
  <si>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</si>
  <si>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</si>
  <si>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</si>
  <si>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</si>
  <si>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</si>
  <si>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</si>
  <si>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</si>
  <si>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</si>
  <si>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</si>
  <si>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</si>
  <si>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</si>
  <si>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</si>
  <si>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</si>
  <si>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</si>
  <si>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</si>
  <si>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</si>
  <si>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</si>
  <si>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</si>
  <si>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</si>
  <si>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</si>
  <si>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</si>
  <si>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</si>
  <si>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</si>
  <si>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</si>
  <si>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</si>
  <si>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</si>
  <si>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</si>
  <si>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</si>
  <si>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</si>
  <si>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</si>
  <si>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</si>
  <si>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</si>
  <si>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</si>
  <si>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</si>
  <si>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</si>
  <si>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</si>
  <si>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</si>
  <si>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</si>
  <si>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</si>
  <si>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</si>
  <si>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</si>
  <si>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</si>
  <si>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</si>
  <si>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</si>
  <si>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</si>
  <si>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</si>
  <si>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</si>
  <si>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</si>
  <si>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</si>
  <si>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</si>
  <si>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</si>
  <si>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</si>
  <si>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</si>
  <si>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</si>
  <si>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</si>
  <si>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</si>
  <si>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</si>
  <si>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</si>
  <si>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</si>
  <si>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</si>
  <si>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</si>
  <si>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</si>
  <si>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</si>
  <si>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</si>
  <si>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</si>
  <si>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</si>
  <si>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</si>
  <si>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</si>
  <si>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</si>
  <si>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</si>
  <si>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</si>
  <si>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</si>
  <si>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</si>
  <si>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</si>
  <si>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</si>
  <si>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</si>
  <si>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</si>
  <si>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</si>
  <si>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</si>
  <si>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</si>
  <si>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</si>
  <si>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</si>
  <si>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</si>
  <si>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</si>
  <si>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</si>
  <si>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</si>
  <si>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</si>
  <si>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</si>
  <si>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</si>
  <si>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</si>
  <si>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</si>
  <si>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</si>
  <si>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</si>
  <si>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</si>
  <si>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</si>
  <si>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</si>
  <si>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</si>
  <si>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</si>
  <si>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</si>
  <si>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</si>
  <si>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</si>
  <si>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</si>
  <si>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</si>
  <si>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</si>
  <si>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</si>
  <si>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</si>
  <si>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</si>
  <si>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</si>
  <si>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</si>
  <si>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</si>
  <si>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</si>
  <si>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</si>
  <si>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</si>
  <si>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</si>
  <si>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</si>
  <si>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</si>
  <si>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</si>
  <si>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</si>
  <si>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</si>
  <si>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</si>
  <si>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</si>
  <si>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</si>
  <si>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</si>
  <si>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</si>
  <si>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</si>
  <si>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</si>
  <si>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</si>
  <si>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</si>
  <si>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</si>
  <si>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</si>
  <si>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</si>
  <si>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</si>
  <si>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</si>
  <si>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</si>
  <si>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</si>
  <si>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</si>
  <si>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</si>
  <si>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</si>
  <si>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</si>
  <si>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</si>
  <si>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</si>
  <si>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</si>
  <si>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</si>
  <si>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</si>
  <si>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</si>
  <si>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</si>
  <si>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</si>
  <si>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</si>
  <si>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</si>
  <si>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</si>
  <si>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</si>
  <si>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</si>
  <si>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</si>
  <si>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</si>
  <si>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</si>
  <si>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</si>
  <si>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</si>
  <si>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</si>
  <si>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</si>
  <si>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</si>
  <si>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</si>
  <si>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</si>
  <si>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</si>
  <si>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</si>
  <si>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</si>
  <si>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</si>
  <si>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</si>
  <si>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</si>
  <si>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</si>
  <si>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</si>
  <si>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</si>
  <si>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</si>
  <si>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</si>
  <si>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</si>
  <si>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</si>
  <si>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</si>
  <si>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</si>
  <si>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</si>
  <si>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</si>
  <si>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</si>
  <si>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</si>
  <si>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</si>
  <si>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</si>
  <si>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</si>
  <si>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</si>
  <si>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</si>
  <si>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</si>
  <si>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</si>
  <si>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</si>
  <si>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</si>
  <si>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</si>
  <si>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</si>
  <si>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</si>
  <si>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</si>
  <si>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</si>
  <si>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</si>
  <si>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</si>
  <si>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</si>
  <si>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</si>
  <si>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</si>
  <si>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</si>
  <si>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</si>
  <si>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</si>
  <si>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</si>
  <si>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</si>
  <si>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</si>
  <si>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</si>
  <si>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</si>
  <si>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</si>
  <si>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</si>
  <si>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</si>
  <si>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</si>
  <si>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</si>
  <si>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</si>
  <si>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</si>
  <si>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</si>
  <si>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</si>
  <si>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</si>
  <si>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</si>
  <si>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</si>
  <si>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</si>
  <si>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</si>
  <si>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</si>
  <si>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</si>
  <si>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</si>
  <si>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</si>
  <si>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</si>
  <si>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</si>
  <si>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</si>
  <si>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</si>
  <si>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</si>
  <si>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</si>
  <si>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</si>
  <si>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</si>
  <si>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</si>
  <si>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</si>
  <si>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</si>
  <si>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</si>
  <si>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</si>
  <si>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</si>
  <si>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</si>
  <si>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</si>
  <si>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</si>
  <si>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</si>
  <si>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</si>
  <si>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</si>
  <si>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</si>
  <si>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</si>
  <si>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</si>
  <si>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</si>
  <si>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</si>
  <si>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</si>
  <si>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</si>
  <si>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</si>
  <si>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</si>
  <si>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</si>
  <si>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</si>
  <si>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</si>
  <si>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</si>
  <si>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</si>
  <si>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</si>
  <si>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</si>
  <si>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</si>
  <si>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</si>
  <si>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</si>
  <si>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</si>
  <si>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</si>
  <si>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</si>
  <si>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</si>
  <si>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</si>
  <si>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</si>
  <si>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</si>
  <si>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</si>
  <si>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</si>
  <si>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</si>
  <si>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</si>
  <si>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</si>
  <si>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</si>
  <si>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</si>
  <si>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</si>
  <si>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</si>
  <si>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</si>
  <si>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</si>
  <si>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</si>
  <si>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</si>
  <si>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</si>
  <si>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</si>
  <si>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</si>
  <si>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</si>
  <si>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</si>
  <si>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</si>
  <si>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</si>
  <si>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</si>
  <si>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</si>
  <si>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</si>
  <si>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</si>
  <si>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</si>
  <si>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</si>
  <si>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</si>
  <si>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</si>
  <si>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</si>
  <si>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</si>
  <si>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</si>
  <si>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</si>
  <si>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</si>
  <si>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</si>
  <si>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</si>
  <si>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</si>
  <si>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</si>
  <si>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</si>
  <si>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</si>
  <si>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</si>
  <si>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</si>
  <si>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</si>
  <si>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</si>
  <si>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</si>
  <si>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</si>
  <si>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</si>
  <si>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</si>
  <si>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</si>
  <si>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</si>
  <si>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</si>
  <si>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</si>
  <si>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</si>
  <si>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</si>
  <si>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</si>
  <si>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</si>
  <si>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</si>
  <si>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</si>
  <si>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</si>
  <si>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</si>
  <si>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</si>
  <si>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</si>
  <si>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</si>
  <si>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</si>
  <si>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</si>
  <si>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</si>
  <si>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</si>
  <si>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</si>
  <si>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</si>
  <si>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</si>
  <si>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</si>
  <si>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</si>
  <si>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</si>
  <si>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</si>
  <si>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</si>
  <si>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</si>
  <si>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</si>
  <si>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</si>
  <si>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</si>
  <si>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</si>
  <si>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</si>
  <si>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</si>
  <si>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</si>
  <si>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</si>
  <si>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</si>
  <si>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</si>
  <si>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</si>
  <si>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</si>
  <si>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</si>
  <si>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</si>
  <si>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</si>
  <si>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</si>
  <si>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</si>
  <si>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</si>
  <si>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</si>
  <si>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</si>
  <si>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</si>
  <si>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</si>
  <si>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</si>
  <si>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</si>
  <si>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</si>
  <si>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</si>
  <si>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</si>
  <si>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</si>
  <si>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</si>
  <si>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</si>
  <si>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</si>
  <si>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</si>
  <si>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</si>
  <si>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</si>
  <si>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</si>
  <si>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</si>
  <si>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</si>
  <si>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</si>
  <si>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</si>
  <si>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</si>
  <si>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</si>
  <si>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</si>
  <si>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</si>
  <si>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</si>
  <si>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</si>
  <si>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</si>
  <si>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</si>
  <si>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</si>
  <si>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</si>
  <si>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</si>
  <si>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</si>
  <si>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</si>
  <si>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</si>
  <si>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</si>
  <si>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</si>
  <si>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</si>
  <si>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</si>
  <si>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</si>
  <si>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</si>
  <si>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</si>
  <si>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</si>
  <si>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</si>
  <si>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</si>
  <si>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</si>
  <si>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</si>
  <si>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</si>
  <si>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</si>
  <si>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</si>
  <si>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</si>
  <si>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</si>
  <si>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</si>
  <si>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</si>
  <si>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</si>
  <si>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</si>
  <si>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</si>
  <si>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</si>
  <si>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</si>
  <si>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</si>
  <si>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</si>
  <si>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</si>
  <si>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</si>
  <si>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</si>
  <si>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</si>
  <si>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</si>
  <si>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</si>
  <si>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</si>
  <si>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</si>
  <si>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</si>
  <si>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</si>
  <si>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</si>
  <si>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</si>
  <si>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</si>
  <si>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</si>
  <si>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</si>
  <si>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</si>
  <si>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</si>
  <si>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</si>
  <si>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</si>
  <si>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</si>
  <si>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</si>
  <si>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</si>
  <si>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</si>
  <si>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</si>
  <si>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</si>
  <si>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</si>
  <si>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</si>
  <si>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</si>
  <si>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</si>
  <si>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</si>
  <si>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</si>
  <si>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</si>
  <si>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</si>
  <si>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Vacances ?</t>
  </si>
  <si>
    <t>OK CORRECTION DE JUILLET</t>
  </si>
  <si>
    <t>Variable causé par le réserve dans les ventes d'unité (LMB &amp; USA)</t>
  </si>
  <si>
    <t>Tout semble parfait, aucune correction , moins d'achat</t>
  </si>
  <si>
    <t>Dépense exceptionnelle pour 3400,00 (David- voir Pat Grenon pour détail)</t>
  </si>
</sst>
</file>

<file path=xl/styles.xml><?xml version="1.0" encoding="utf-8"?>
<styleSheet xmlns="http://schemas.openxmlformats.org/spreadsheetml/2006/main" xmlns:x14ac="http://schemas.microsoft.com/office/spreadsheetml/2009/9/ac" xmlns:mc="http://schemas.openxmlformats.org/markup-compatibility/2006">
  <numFmts count="20">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0.00_);_(* \(#,##0.00\);_(* &quot;-&quot;??_);_(@_)"/>
    <numFmt numFmtId="173" formatCode="_ * #,##0.00_)\ _$_ ;_ * \(#,##0.00\)\ _$_ ;_ * &quot;-&quot;??_)\ _$_ ;_ @_ "/>
    <numFmt numFmtId="174" formatCode="#,###.00;\-#,###.00;.00"/>
    <numFmt numFmtId="175" formatCode="#;#;0"/>
    <numFmt numFmtId="176" formatCode="D/M/YYYY"/>
    <numFmt numFmtId="177" formatCode="_ * #,##0_)\ _$_ ;_ * \(#,##0\)\ _$_ ;_ * &quot;-&quot;??_)\ _$_ ;_ @_ "/>
    <numFmt numFmtId="178" formatCode="_(&quot;$&quot;* #,##0.00_);_(&quot;$&quot;* \(#,##0.00\);_(&quot;$&quot;* &quot;-&quot;??_);_(@_)"/>
    <numFmt numFmtId="179" formatCode="_ * #,##0_)\ &quot;$&quot;_ ;_ * \(#,##0\)\ &quot;$&quot;_ ;_ * &quot;-&quot;??_)\ &quot;$&quot;_ ;_ @_ "/>
    <numFmt numFmtId="180" formatCode="d/m/yyyy"/>
    <numFmt numFmtId="181" formatCode="_-* #,##0.00_-;\-* #,##0.00_-;_-* &quot;-&quot;??_-;_-@"/>
    <numFmt numFmtId="182" formatCode="&quot;$&quot;#,##0_);[Red]\(&quot;$&quot;#,##0\)"/>
    <numFmt numFmtId="183" formatCode="[$-F400]h:mm:ss\ AM/PM"/>
  </numFmts>
  <fonts count="52">
    <font>
      <sz val="11.0"/>
      <color theme="1"/>
      <name val="Arial"/>
      <scheme val="minor"/>
    </font>
    <font>
      <b/>
      <sz val="11.0"/>
      <color theme="1"/>
      <name val="Calibri"/>
    </font>
    <font>
      <sz val="11.0"/>
      <color theme="1"/>
      <name val="Calibri"/>
    </font>
    <font>
      <sz val="11.0"/>
      <color theme="1"/>
      <name val="Arial"/>
    </font>
    <font>
      <b/>
      <sz val="16.0"/>
      <color theme="1"/>
      <name val="Arial"/>
    </font>
    <font>
      <b/>
      <sz val="28.0"/>
      <color theme="1"/>
      <name val="Arial"/>
    </font>
    <font>
      <sz val="10.0"/>
      <color theme="1"/>
      <name val="Arial"/>
    </font>
    <font>
      <b/>
      <sz val="10.0"/>
      <color theme="1"/>
      <name val="Arial"/>
    </font>
    <font>
      <b/>
      <sz val="20.0"/>
      <color theme="1"/>
      <name val="Arial"/>
    </font>
    <font>
      <sz val="12.0"/>
      <color theme="1"/>
      <name val="Arial"/>
    </font>
    <font>
      <sz val="16.0"/>
      <color theme="1"/>
      <name val="Arial"/>
    </font>
    <font/>
    <font>
      <sz val="14.0"/>
      <color theme="1"/>
      <name val="Arial"/>
    </font>
    <font>
      <sz val="18.0"/>
      <color theme="1"/>
      <name val="Arial"/>
    </font>
    <font>
      <b/>
      <sz val="14.0"/>
      <color theme="1"/>
      <name val="Arial"/>
    </font>
    <font>
      <b/>
      <sz val="12.0"/>
      <color theme="1"/>
      <name val="Arial"/>
    </font>
    <font>
      <b/>
      <i/>
      <sz val="12.0"/>
      <color theme="1"/>
      <name val="Arial"/>
    </font>
    <font>
      <b/>
      <sz val="14.0"/>
      <color theme="1"/>
      <name val="Times New Roman"/>
    </font>
    <font>
      <sz val="12.0"/>
      <color theme="1"/>
      <name val="Times New Roman"/>
    </font>
    <font>
      <b/>
      <sz val="24.0"/>
      <color theme="1"/>
      <name val="Times New Roman"/>
    </font>
    <font>
      <sz val="12.0"/>
      <color rgb="FF0000FF"/>
      <name val="Arial"/>
    </font>
    <font>
      <sz val="14.0"/>
      <color rgb="FFF2F2F2"/>
      <name val="Arial"/>
    </font>
    <font>
      <b/>
      <sz val="14.0"/>
      <color rgb="FFF2F2F2"/>
      <name val="Arial"/>
    </font>
    <font>
      <sz val="24.0"/>
      <color theme="1"/>
      <name val="Calibri"/>
    </font>
    <font>
      <sz val="16.0"/>
      <color theme="1"/>
      <name val="Calibri"/>
    </font>
    <font>
      <sz val="16.0"/>
      <color theme="0"/>
      <name val="Calibri"/>
    </font>
    <font>
      <b/>
      <sz val="12.0"/>
      <color theme="1"/>
      <name val="Calibri"/>
    </font>
    <font>
      <color theme="1"/>
      <name val="Arial"/>
      <scheme val="minor"/>
    </font>
    <font>
      <b/>
      <u/>
      <sz val="11.0"/>
      <color theme="1"/>
      <name val="Arial"/>
    </font>
    <font>
      <b/>
      <u/>
      <sz val="11.0"/>
      <color theme="1"/>
      <name val="Calibri"/>
    </font>
    <font>
      <b/>
      <u/>
      <sz val="11.0"/>
      <color theme="1"/>
      <name val="Arial"/>
    </font>
    <font>
      <b/>
      <u/>
      <sz val="11.0"/>
      <color theme="1"/>
      <name val="Arial"/>
    </font>
    <font>
      <b/>
      <sz val="11.0"/>
      <color rgb="FFFF0000"/>
      <name val="Arial"/>
    </font>
    <font>
      <i/>
      <sz val="9.0"/>
      <color theme="1"/>
      <name val="Calibri"/>
    </font>
    <font>
      <b/>
      <u/>
      <sz val="11.0"/>
      <color theme="1"/>
      <name val="Calibri"/>
    </font>
    <font>
      <b/>
      <u/>
      <sz val="11.0"/>
      <color theme="1"/>
      <name val="Calibri"/>
    </font>
    <font>
      <b/>
      <sz val="28.0"/>
      <color theme="0"/>
      <name val="Arial"/>
    </font>
    <font>
      <sz val="12.0"/>
      <color theme="0"/>
      <name val="Arial"/>
    </font>
    <font>
      <b/>
      <sz val="11.0"/>
      <color rgb="FFFFFF00"/>
      <name val="Arial"/>
    </font>
    <font>
      <sz val="11.0"/>
      <color rgb="FFFFFFFF"/>
      <name val="Arial"/>
    </font>
    <font>
      <sz val="10.0"/>
      <color rgb="FFFFFFFF"/>
      <name val="Calibri"/>
    </font>
    <font>
      <sz val="12.0"/>
      <color rgb="FFFF0000"/>
      <name val="Arial"/>
    </font>
    <font>
      <sz val="16.0"/>
      <color rgb="FFFF0000"/>
      <name val="Arial"/>
    </font>
    <font>
      <b/>
      <sz val="11.0"/>
      <color rgb="FF002060"/>
      <name val="Arial"/>
    </font>
    <font>
      <b/>
      <sz val="24.0"/>
      <color theme="0"/>
      <name val="Arial"/>
    </font>
    <font>
      <b/>
      <sz val="18.0"/>
      <color theme="1"/>
      <name val="Arial"/>
    </font>
    <font>
      <sz val="20.0"/>
      <color rgb="FFFF0000"/>
      <name val="Arial"/>
    </font>
    <font>
      <b/>
      <u/>
      <sz val="11.0"/>
      <color theme="1"/>
      <name val="Calibri"/>
    </font>
    <font>
      <b/>
      <u/>
      <sz val="11.0"/>
      <color theme="1"/>
      <name val="Calibri"/>
    </font>
    <font>
      <b/>
      <sz val="8.0"/>
      <color rgb="FF1F2021"/>
      <name val="Verdana"/>
    </font>
    <font>
      <sz val="8.0"/>
      <color rgb="FF000000"/>
      <name val="Verdana"/>
    </font>
    <font>
      <b/>
      <sz val="11.0"/>
      <color theme="1"/>
      <name val="Arial"/>
    </font>
  </fonts>
  <fills count="32">
    <fill>
      <patternFill patternType="none"/>
    </fill>
    <fill>
      <patternFill patternType="lightGray"/>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s>
  <borders count="148">
    <border/>
    <border>
      <left/>
      <right/>
      <top/>
      <bottom/>
    </border>
    <border>
      <bottom style="thick">
        <color rgb="FF000000"/>
      </bottom>
    </border>
    <border>
      <left style="thick">
        <color rgb="FF000000"/>
      </left>
      <top style="thick">
        <color rgb="FF000000"/>
      </top>
      <bottom style="thin">
        <color rgb="FF000000"/>
      </bottom>
    </border>
    <border>
      <right style="thick">
        <color rgb="FF000000"/>
      </right>
      <top style="thick">
        <color rgb="FF000000"/>
      </top>
      <bottom style="thin">
        <color rgb="FF000000"/>
      </bottom>
    </border>
    <border>
      <right style="thick">
        <color rgb="FF000000"/>
      </right>
      <bottom style="thin">
        <color rgb="FF000000"/>
      </bottom>
    </border>
    <border>
      <left style="thick">
        <color rgb="FF000000"/>
      </left>
      <top style="thin">
        <color rgb="FF000000"/>
      </top>
    </border>
    <border>
      <right style="thick">
        <color rgb="FF000000"/>
      </right>
      <top style="thin">
        <color rgb="FF000000"/>
      </top>
    </border>
    <border>
      <left style="thick">
        <color rgb="FF000000"/>
      </left>
    </border>
    <border>
      <right style="thick">
        <color rgb="FF000000"/>
      </right>
    </border>
    <border>
      <left style="thick">
        <color rgb="FF000000"/>
      </left>
      <right/>
      <top style="thick">
        <color rgb="FF000000"/>
      </top>
      <bottom/>
    </border>
    <border>
      <left/>
      <right style="thick">
        <color rgb="FF000000"/>
      </right>
      <top style="thick">
        <color rgb="FF000000"/>
      </top>
      <bottom/>
    </border>
    <border>
      <left style="thick">
        <color rgb="FF000000"/>
      </left>
      <right/>
      <top/>
      <bottom style="thick">
        <color rgb="FF000000"/>
      </bottom>
    </border>
    <border>
      <left/>
      <right style="thick">
        <color rgb="FF000000"/>
      </right>
      <top/>
      <bottom style="thick">
        <color rgb="FF000000"/>
      </bottom>
    </border>
    <border>
      <bottom style="thin">
        <color rgb="FF000000"/>
      </bottom>
    </border>
    <border>
      <left/>
      <right/>
      <top style="thin">
        <color rgb="FF000000"/>
      </top>
      <bottom/>
    </border>
    <border>
      <left style="thick">
        <color rgb="FF000000"/>
      </left>
      <right/>
      <top style="thick">
        <color rgb="FF000000"/>
      </top>
      <bottom style="thin">
        <color rgb="FF000000"/>
      </bottom>
    </border>
    <border>
      <top style="thick">
        <color rgb="FF000000"/>
      </top>
      <bottom style="thin">
        <color rgb="FF000000"/>
      </bottom>
    </border>
    <border>
      <left/>
      <right/>
      <top style="thick">
        <color rgb="FF000000"/>
      </top>
      <bottom style="thin">
        <color rgb="FF000000"/>
      </bottom>
    </border>
    <border>
      <left/>
      <right style="thick">
        <color rgb="FF000000"/>
      </right>
      <top style="thick">
        <color rgb="FF000000"/>
      </top>
      <bottom style="thin">
        <color rgb="FF000000"/>
      </bottom>
    </border>
    <border>
      <left style="thick">
        <color rgb="FF000000"/>
      </left>
      <right/>
      <top style="thin">
        <color rgb="FF000000"/>
      </top>
      <bottom/>
    </border>
    <border>
      <left style="thick">
        <color rgb="FF000000"/>
      </left>
      <right/>
      <top/>
      <bottom/>
    </border>
    <border>
      <left/>
      <right style="thick">
        <color rgb="FF000000"/>
      </right>
      <top/>
      <bottom/>
    </border>
    <border>
      <left style="thick">
        <color rgb="FF000000"/>
      </left>
      <right/>
      <top/>
      <bottom style="thin">
        <color rgb="FF000000"/>
      </bottom>
    </border>
    <border>
      <left/>
      <right/>
      <top/>
      <bottom style="thin">
        <color rgb="FF000000"/>
      </bottom>
    </border>
    <border>
      <left/>
      <right style="thick">
        <color rgb="FF000000"/>
      </right>
      <top/>
      <bottom style="thin">
        <color rgb="FF000000"/>
      </bottom>
    </border>
    <border>
      <left/>
      <right style="thick">
        <color rgb="FF000000"/>
      </right>
      <top style="thin">
        <color rgb="FF000000"/>
      </top>
      <bottom/>
    </border>
    <border>
      <left/>
      <right/>
      <top style="thick">
        <color rgb="FF000000"/>
      </top>
      <bottom/>
    </border>
    <border>
      <left/>
      <right/>
      <top/>
      <bottom style="thick">
        <color rgb="FF000000"/>
      </bottom>
    </border>
    <border>
      <left style="thick">
        <color rgb="FF000000"/>
      </left>
      <right/>
      <top style="thin">
        <color rgb="FF000000"/>
      </top>
      <bottom style="thin">
        <color rgb="FF000000"/>
      </bottom>
    </border>
    <border>
      <left/>
      <right/>
      <top style="thin">
        <color rgb="FF000000"/>
      </top>
      <bottom style="thin">
        <color rgb="FF000000"/>
      </bottom>
    </border>
    <border>
      <left/>
      <right style="thick">
        <color rgb="FF000000"/>
      </right>
      <top style="thin">
        <color rgb="FF000000"/>
      </top>
      <bottom style="thin">
        <color rgb="FF000000"/>
      </bottom>
    </border>
    <border>
      <left style="thin">
        <color rgb="FF000000"/>
      </left>
      <right/>
      <top style="thin">
        <color rgb="FF000000"/>
      </top>
      <bottom style="thin">
        <color rgb="FF000000"/>
      </bottom>
    </border>
    <border>
      <left style="thick">
        <color rgb="FF000000"/>
      </left>
      <right/>
      <top style="thin">
        <color rgb="FF000000"/>
      </top>
      <bottom style="medium">
        <color rgb="FF000000"/>
      </bottom>
    </border>
    <border>
      <left/>
      <right/>
      <top style="thin">
        <color rgb="FF000000"/>
      </top>
      <bottom style="medium">
        <color rgb="FF000000"/>
      </bottom>
    </border>
    <border>
      <left/>
      <right style="thick">
        <color rgb="FF000000"/>
      </right>
      <top style="thin">
        <color rgb="FF000000"/>
      </top>
      <bottom style="medium">
        <color rgb="FF000000"/>
      </bottom>
    </border>
    <border>
      <left style="thick">
        <color rgb="FF000000"/>
      </left>
      <right style="thick">
        <color rgb="FF000000"/>
      </right>
      <top style="thin">
        <color rgb="FF000000"/>
      </top>
      <bottom style="thin">
        <color rgb="FF000000"/>
      </bottom>
    </border>
    <border>
      <left style="thick">
        <color rgb="FF000000"/>
      </left>
      <right/>
      <top style="thin">
        <color rgb="FF000000"/>
      </top>
      <bottom style="thick">
        <color rgb="FF000000"/>
      </bottom>
    </border>
    <border>
      <left/>
      <right/>
      <top style="thin">
        <color rgb="FF000000"/>
      </top>
      <bottom style="thick">
        <color rgb="FF000000"/>
      </bottom>
    </border>
    <border>
      <left/>
      <right style="thick">
        <color rgb="FF000000"/>
      </right>
      <top style="thin">
        <color rgb="FF000000"/>
      </top>
      <bottom style="thick">
        <color rgb="FF000000"/>
      </bottom>
    </border>
    <border>
      <left style="thick">
        <color rgb="FF000000"/>
      </left>
      <right/>
      <top style="thick">
        <color rgb="FF000000"/>
      </top>
      <bottom style="thick">
        <color rgb="FF000000"/>
      </bottom>
    </border>
    <border>
      <left/>
      <right/>
      <top style="thick">
        <color rgb="FF000000"/>
      </top>
      <bottom style="thick">
        <color rgb="FF000000"/>
      </bottom>
    </border>
    <border>
      <left/>
      <right style="thick">
        <color rgb="FF000000"/>
      </right>
      <top style="thick">
        <color rgb="FF000000"/>
      </top>
      <bottom style="thick">
        <color rgb="FF000000"/>
      </bottom>
    </border>
    <border>
      <left style="thick">
        <color rgb="FF000000"/>
      </left>
      <right style="thick">
        <color rgb="FF000000"/>
      </right>
      <top style="thick">
        <color rgb="FF000000"/>
      </top>
      <bottom style="thin">
        <color rgb="FF000000"/>
      </bottom>
    </border>
    <border>
      <left style="thick">
        <color rgb="FF000000"/>
      </left>
      <right style="thick">
        <color rgb="FF000000"/>
      </right>
      <top/>
      <bottom/>
    </border>
    <border>
      <left style="thick">
        <color rgb="FF000000"/>
      </left>
      <right style="thick">
        <color rgb="FF000000"/>
      </right>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medium">
        <color rgb="FF000000"/>
      </right>
      <top style="medium">
        <color rgb="FF000000"/>
      </top>
    </border>
    <border>
      <left/>
      <right/>
      <top style="medium">
        <color rgb="FF000000"/>
      </top>
      <bottom/>
    </border>
    <border>
      <left/>
      <right style="medium">
        <color rgb="FF000000"/>
      </right>
      <top style="medium">
        <color rgb="FF000000"/>
      </top>
      <bottom/>
    </border>
    <border>
      <left style="medium">
        <color rgb="FF000000"/>
      </left>
      <right/>
      <top style="medium">
        <color rgb="FF000000"/>
      </top>
      <bottom/>
    </border>
    <border>
      <left style="medium">
        <color rgb="FF000000"/>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top style="medium">
        <color rgb="FF000000"/>
      </top>
      <bottom style="medium">
        <color rgb="FF000000"/>
      </bottom>
    </border>
    <border>
      <left/>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right style="medium">
        <color rgb="FF000000"/>
      </right>
    </border>
    <border>
      <left style="medium">
        <color rgb="FF000000"/>
      </left>
    </border>
    <border>
      <left style="medium">
        <color rgb="FF000000"/>
      </left>
      <right style="medium">
        <color rgb="FF000000"/>
      </right>
    </border>
    <border>
      <left style="medium">
        <color rgb="FF000000"/>
      </left>
      <bottom style="medium">
        <color rgb="FF000000"/>
      </bottom>
    </border>
    <border>
      <right style="medium">
        <color rgb="FF000000"/>
      </right>
      <bottom style="medium">
        <color rgb="FF000000"/>
      </bottom>
    </border>
    <border>
      <bottom style="medium">
        <color rgb="FF000000"/>
      </bottom>
    </border>
    <border>
      <left style="thin">
        <color rgb="FF000000"/>
      </left>
      <right style="thin">
        <color rgb="FF000000"/>
      </right>
      <top style="thin">
        <color rgb="FF000000"/>
      </top>
      <bottom style="thin">
        <color rgb="FF000000"/>
      </bottom>
    </border>
    <border>
      <top style="thin">
        <color rgb="FF000000"/>
      </top>
      <bottom style="dotted">
        <color rgb="FF000000"/>
      </bottom>
    </border>
    <border>
      <top style="thin">
        <color rgb="FF000000"/>
      </top>
      <bottom style="thin">
        <color rgb="FF000000"/>
      </bottom>
    </border>
    <border>
      <bottom style="double">
        <color rgb="FF000000"/>
      </bottom>
    </border>
    <border>
      <left style="thin">
        <color rgb="FF000000"/>
      </left>
      <right style="hair">
        <color rgb="FF000000"/>
      </right>
      <top style="thin">
        <color rgb="FF000000"/>
      </top>
      <bottom style="thin">
        <color rgb="FF000000"/>
      </bottom>
    </border>
    <border>
      <left style="hair">
        <color rgb="FF000000"/>
      </left>
      <right style="hair">
        <color rgb="FF000000"/>
      </right>
      <top style="thin">
        <color rgb="FF000000"/>
      </top>
      <bottom style="thin">
        <color rgb="FF000000"/>
      </bottom>
    </border>
    <border>
      <left style="hair">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rder>
    <border>
      <left style="thin">
        <color rgb="FF000000"/>
      </left>
      <right style="hair">
        <color rgb="FF000000"/>
      </right>
    </border>
    <border>
      <left style="hair">
        <color rgb="FF000000"/>
      </left>
      <right style="hair">
        <color rgb="FF000000"/>
      </right>
    </border>
    <border>
      <right style="thin">
        <color rgb="FF000000"/>
      </right>
    </border>
    <border>
      <left style="hair">
        <color rgb="FF000000"/>
      </left>
      <right style="hair">
        <color rgb="FF000000"/>
      </right>
      <top style="thin">
        <color rgb="FF000000"/>
      </top>
    </border>
    <border>
      <left style="hair">
        <color rgb="FF000000"/>
      </left>
      <right style="thin">
        <color rgb="FF000000"/>
      </right>
      <top style="thin">
        <color rgb="FF000000"/>
      </top>
    </border>
    <border>
      <left style="thin">
        <color rgb="FF000000"/>
      </left>
      <right style="thin">
        <color rgb="FF000000"/>
      </right>
      <top style="thin">
        <color rgb="FF000000"/>
      </top>
    </border>
    <border>
      <left style="hair">
        <color rgb="FF000000"/>
      </left>
      <right style="thin">
        <color rgb="FF000000"/>
      </right>
    </border>
    <border>
      <left style="thin">
        <color rgb="FF000000"/>
      </left>
      <right style="thin">
        <color rgb="FF000000"/>
      </right>
      <top style="hair">
        <color rgb="FF000000"/>
      </top>
    </border>
    <border>
      <left style="thin">
        <color rgb="FF000000"/>
      </left>
      <right style="hair">
        <color rgb="FF000000"/>
      </right>
      <top style="hair">
        <color rgb="FF000000"/>
      </top>
    </border>
    <border>
      <left style="hair">
        <color rgb="FF000000"/>
      </left>
      <right style="hair">
        <color rgb="FF000000"/>
      </right>
      <top style="hair">
        <color rgb="FF000000"/>
      </top>
    </border>
    <border>
      <right style="thin">
        <color rgb="FF000000"/>
      </right>
      <top style="hair">
        <color rgb="FF000000"/>
      </top>
    </border>
    <border>
      <left style="hair">
        <color rgb="FF000000"/>
      </left>
      <right style="thin">
        <color rgb="FF000000"/>
      </right>
      <top style="hair">
        <color rgb="FF000000"/>
      </top>
    </border>
    <border>
      <left style="thin">
        <color rgb="FF000000"/>
      </left>
      <right style="thin">
        <color rgb="FF000000"/>
      </right>
      <bottom style="thin">
        <color rgb="FF000000"/>
      </bottom>
    </border>
    <border>
      <left style="thin">
        <color rgb="FF000000"/>
      </left>
      <right style="hair">
        <color rgb="FF000000"/>
      </right>
      <bottom style="thin">
        <color rgb="FF000000"/>
      </bottom>
    </border>
    <border>
      <left style="hair">
        <color rgb="FF000000"/>
      </left>
      <right style="hair">
        <color rgb="FF000000"/>
      </right>
      <bottom style="thin">
        <color rgb="FF000000"/>
      </bottom>
    </border>
    <border>
      <right style="thin">
        <color rgb="FF000000"/>
      </right>
      <bottom style="thin">
        <color rgb="FF000000"/>
      </bottom>
    </border>
    <border>
      <left style="hair">
        <color rgb="FF000000"/>
      </left>
      <right style="thin">
        <color rgb="FF000000"/>
      </right>
      <bottom style="thin">
        <color rgb="FF000000"/>
      </bottom>
    </border>
    <border>
      <left style="thin">
        <color rgb="FF000000"/>
      </left>
      <right style="thin">
        <color rgb="FF000000"/>
      </right>
      <top style="thin">
        <color rgb="FF000000"/>
      </top>
      <bottom/>
    </border>
    <border>
      <right style="thin">
        <color rgb="FF000000"/>
      </right>
      <top style="thin">
        <color rgb="FF000000"/>
      </top>
    </border>
    <border>
      <left style="medium">
        <color rgb="FF000000"/>
      </left>
      <top style="medium">
        <color rgb="FF000000"/>
      </top>
    </border>
    <border>
      <top style="medium">
        <color rgb="FF000000"/>
      </top>
    </border>
    <border>
      <right style="medium">
        <color rgb="FF000000"/>
      </right>
      <top style="medium">
        <color rgb="FF000000"/>
      </top>
    </border>
    <border>
      <top style="thin">
        <color rgb="FF000000"/>
      </top>
    </border>
    <border>
      <left style="thick">
        <color rgb="FF000000"/>
      </left>
      <bottom style="thin">
        <color rgb="FF000000"/>
      </bottom>
    </border>
    <border>
      <right style="medium">
        <color rgb="FF000000"/>
      </right>
      <bottom style="thin">
        <color rgb="FF000000"/>
      </bottom>
    </border>
    <border>
      <left style="thin">
        <color rgb="FF000000"/>
      </left>
      <right/>
      <top style="thin">
        <color rgb="FF000000"/>
      </top>
      <bottom style="thick">
        <color rgb="FF000000"/>
      </bottom>
    </border>
    <border>
      <left style="thick">
        <color rgb="FF000000"/>
      </left>
      <top style="thin">
        <color rgb="FF000000"/>
      </top>
      <bottom style="thick">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n">
        <color rgb="FF000000"/>
      </top>
    </border>
    <border>
      <left style="thick">
        <color rgb="FF000000"/>
      </left>
      <right style="thick">
        <color rgb="FF000000"/>
      </right>
    </border>
    <border>
      <left style="thick">
        <color rgb="FF000000"/>
      </left>
      <right style="thick">
        <color rgb="FF000000"/>
      </right>
      <bottom style="thin">
        <color rgb="FF000000"/>
      </bottom>
    </border>
    <border>
      <left style="thick">
        <color rgb="FF000000"/>
      </left>
      <top style="thick">
        <color rgb="FF000000"/>
      </top>
      <bottom style="medium">
        <color rgb="FF000000"/>
      </bottom>
    </border>
    <border>
      <top style="thick">
        <color rgb="FF000000"/>
      </top>
      <bottom style="medium">
        <color rgb="FF000000"/>
      </bottom>
    </border>
    <border>
      <right style="thin">
        <color rgb="FF000000"/>
      </right>
      <top style="thick">
        <color rgb="FF000000"/>
      </top>
      <bottom style="medium">
        <color rgb="FF000000"/>
      </bottom>
    </border>
    <border>
      <left style="thin">
        <color rgb="FF000000"/>
      </left>
      <top style="thick">
        <color rgb="FF000000"/>
      </top>
      <bottom style="medium">
        <color rgb="FF000000"/>
      </bottom>
    </border>
    <border>
      <right style="thick">
        <color rgb="FF000000"/>
      </right>
      <top style="thick">
        <color rgb="FF000000"/>
      </top>
      <bottom style="medium">
        <color rgb="FF000000"/>
      </bottom>
    </border>
    <border>
      <left style="thin">
        <color rgb="FF000000"/>
      </left>
      <bottom style="thin">
        <color rgb="FF000000"/>
      </bottom>
    </border>
    <border>
      <left style="medium">
        <color rgb="FF000000"/>
      </left>
      <bottom style="thin">
        <color rgb="FF000000"/>
      </bottom>
    </border>
    <border>
      <left style="thin">
        <color rgb="FF000000"/>
      </left>
      <right/>
      <top/>
      <bottom style="thin">
        <color rgb="FF000000"/>
      </bottom>
    </border>
    <border>
      <left/>
      <right style="thin">
        <color rgb="FF000000"/>
      </right>
      <top/>
      <bottom style="thin">
        <color rgb="FF000000"/>
      </bottom>
    </border>
    <border>
      <left style="medium">
        <color rgb="FF000000"/>
      </left>
      <right/>
      <top/>
      <bottom style="thin">
        <color rgb="FF000000"/>
      </bottom>
    </border>
    <border>
      <left style="thin">
        <color rgb="FF000000"/>
      </left>
    </border>
    <border>
      <left style="medium">
        <color rgb="FF000000"/>
      </left>
      <right/>
      <top style="thin">
        <color rgb="FF000000"/>
      </top>
      <bottom style="thin">
        <color rgb="FF000000"/>
      </bottom>
    </border>
    <border>
      <left style="thin">
        <color rgb="FF000000"/>
      </left>
      <top style="thin">
        <color rgb="FF000000"/>
      </top>
    </border>
    <border>
      <left style="medium">
        <color rgb="FF000000"/>
      </left>
      <top style="thin">
        <color rgb="FF000000"/>
      </top>
    </border>
    <border>
      <right style="thick">
        <color rgb="FF000000"/>
      </right>
      <top style="thin">
        <color rgb="FF000000"/>
      </top>
      <bottom style="thin">
        <color rgb="FF000000"/>
      </bottom>
    </border>
    <border>
      <left/>
      <right style="thin">
        <color rgb="FF000000"/>
      </right>
      <top style="thin">
        <color rgb="FF000000"/>
      </top>
      <bottom/>
    </border>
    <border>
      <left style="thin">
        <color rgb="FF000000"/>
      </left>
      <right/>
      <top style="thin">
        <color rgb="FF000000"/>
      </top>
      <bottom/>
    </border>
    <border>
      <left style="medium">
        <color rgb="FF000000"/>
      </left>
      <right/>
      <top style="thin">
        <color rgb="FF000000"/>
      </top>
      <bottom/>
    </border>
    <border>
      <right style="thick">
        <color rgb="FF000000"/>
      </right>
      <top style="thin">
        <color rgb="FF000000"/>
      </top>
      <bottom style="thick">
        <color rgb="FF000000"/>
      </bottom>
    </border>
    <border>
      <left/>
      <right style="thin">
        <color rgb="FF000000"/>
      </right>
      <top style="thick">
        <color rgb="FF000000"/>
      </top>
      <bottom style="thick">
        <color rgb="FF000000"/>
      </bottom>
    </border>
    <border>
      <left style="thin">
        <color rgb="FF000000"/>
      </left>
      <right/>
      <top style="thick">
        <color rgb="FF000000"/>
      </top>
      <bottom style="thick">
        <color rgb="FF000000"/>
      </bottom>
    </border>
    <border>
      <left style="thin">
        <color rgb="FF000000"/>
      </left>
      <right style="thin">
        <color rgb="FF000000"/>
      </right>
      <top style="thick">
        <color rgb="FF000000"/>
      </top>
      <bottom style="thick">
        <color rgb="FF000000"/>
      </bottom>
    </border>
    <border>
      <left style="medium">
        <color rgb="FF000000"/>
      </left>
      <right/>
      <top style="thick">
        <color rgb="FF000000"/>
      </top>
      <bottom style="thick">
        <color rgb="FF000000"/>
      </bottom>
    </border>
    <border>
      <left style="medium">
        <color rgb="FF000000"/>
      </left>
      <right/>
      <top style="thick">
        <color rgb="FF000000"/>
      </top>
      <bottom style="medium">
        <color rgb="FF000000"/>
      </bottom>
    </border>
    <border>
      <left/>
      <right/>
      <top style="thick">
        <color rgb="FF000000"/>
      </top>
      <bottom style="medium">
        <color rgb="FF000000"/>
      </bottom>
    </border>
    <border>
      <left/>
      <right style="thick">
        <color rgb="FF000000"/>
      </right>
      <top style="thick">
        <color rgb="FF000000"/>
      </top>
      <bottom style="medium">
        <color rgb="FF000000"/>
      </bottom>
    </border>
    <border>
      <left style="thin">
        <color rgb="FF000000"/>
      </left>
      <top style="thick">
        <color rgb="FF000000"/>
      </top>
    </border>
    <border>
      <left style="thin">
        <color rgb="FFDDDDDD"/>
      </left>
      <right/>
      <top/>
      <bottom/>
    </border>
    <border>
      <top style="medium">
        <color rgb="FF000000"/>
      </top>
      <bottom style="medium">
        <color rgb="FF000000"/>
      </bottom>
    </border>
    <border>
      <left style="dotted">
        <color rgb="FF000000"/>
      </left>
      <right style="medium">
        <color rgb="FF000000"/>
      </right>
      <top style="medium">
        <color rgb="FF000000"/>
      </top>
      <bottom/>
    </border>
    <border>
      <left style="dotted">
        <color rgb="FF000000"/>
      </left>
      <right style="medium">
        <color rgb="FF000000"/>
      </right>
      <top/>
      <bottom/>
    </border>
    <border>
      <left style="dotted">
        <color rgb="FF000000"/>
      </left>
      <right style="medium">
        <color rgb="FF000000"/>
      </right>
      <top/>
      <bottom style="medium">
        <color rgb="FF000000"/>
      </bottom>
    </border>
    <border>
      <left style="medium">
        <color rgb="FF000000"/>
      </left>
      <top style="double">
        <color rgb="FF000000"/>
      </top>
      <bottom style="thin">
        <color rgb="FF000000"/>
      </bottom>
    </border>
    <border>
      <left style="medium">
        <color rgb="FF000000"/>
      </left>
      <right style="medium">
        <color rgb="FF000000"/>
      </right>
      <top style="double">
        <color rgb="FF000000"/>
      </top>
      <bottom style="thin">
        <color rgb="FF000000"/>
      </bottom>
    </border>
    <border>
      <top style="double">
        <color rgb="FF000000"/>
      </top>
      <bottom style="thin">
        <color rgb="FF000000"/>
      </bottom>
    </border>
    <border>
      <left style="dotted">
        <color rgb="FF000000"/>
      </left>
      <right style="medium">
        <color rgb="FF000000"/>
      </right>
      <top style="double">
        <color rgb="FF000000"/>
      </top>
      <bottom style="thin">
        <color rgb="FF000000"/>
      </bottom>
    </border>
    <border>
      <left style="medium">
        <color rgb="FF000000"/>
      </left>
      <top style="double">
        <color rgb="FF000000"/>
      </top>
      <bottom style="medium">
        <color rgb="FF000000"/>
      </bottom>
    </border>
    <border>
      <left style="medium">
        <color rgb="FF000000"/>
      </left>
      <right style="medium">
        <color rgb="FF000000"/>
      </right>
      <top style="double">
        <color rgb="FF000000"/>
      </top>
      <bottom style="medium">
        <color rgb="FF000000"/>
      </bottom>
    </border>
    <border>
      <top style="double">
        <color rgb="FF000000"/>
      </top>
      <bottom style="medium">
        <color rgb="FF000000"/>
      </bottom>
    </border>
    <border>
      <left style="dotted">
        <color rgb="FF000000"/>
      </left>
      <right style="medium">
        <color rgb="FF000000"/>
      </right>
      <top style="double">
        <color rgb="FF000000"/>
      </top>
      <bottom style="medium">
        <color rgb="FF000000"/>
      </bottom>
    </border>
    <border>
      <left style="dotted">
        <color rgb="FF000000"/>
      </left>
      <right style="medium">
        <color rgb="FF000000"/>
      </right>
      <top style="medium">
        <color rgb="FF000000"/>
      </top>
      <bottom style="dotted">
        <color rgb="FF000000"/>
      </bottom>
    </border>
    <border>
      <left/>
      <right style="thin">
        <color rgb="FF000000"/>
      </right>
      <top/>
      <bottom/>
    </border>
  </borders>
  <cellStyleXfs count="1">
    <xf borderId="0" fillId="0" fontId="0" numFmtId="0" applyAlignment="1" applyFont="1"/>
  </cellStyleXfs>
  <cellXfs count="920">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center"/>
    </xf>
    <xf borderId="0" fillId="0" fontId="2" numFmtId="0" xfId="0" applyFont="1"/>
    <xf borderId="0" fillId="0" fontId="3" numFmtId="0" xfId="0" applyAlignment="1" applyFont="1">
      <alignment horizontal="center"/>
    </xf>
    <xf borderId="0" fillId="0" fontId="3" numFmtId="0" xfId="0" applyFont="1"/>
    <xf borderId="0" fillId="0" fontId="1" numFmtId="0" xfId="0" applyAlignment="1" applyFont="1">
      <alignment horizontal="center"/>
    </xf>
    <xf borderId="0" fillId="0" fontId="2" numFmtId="164" xfId="0" applyAlignment="1" applyFont="1" applyNumberFormat="1">
      <alignment horizontal="center"/>
    </xf>
    <xf borderId="0" fillId="0" fontId="4" numFmtId="0" xfId="0" applyAlignment="1" applyFont="1">
      <alignment horizontal="left"/>
    </xf>
    <xf borderId="0" fillId="0" fontId="5" numFmtId="0" xfId="0" applyAlignment="1" applyFont="1">
      <alignment horizontal="center"/>
    </xf>
    <xf borderId="0" fillId="0" fontId="5" numFmtId="0" xfId="0" applyAlignment="1" applyFont="1">
      <alignment horizontal="right"/>
    </xf>
    <xf borderId="0" fillId="0" fontId="4" numFmtId="0" xfId="0" applyFont="1"/>
    <xf borderId="2" fillId="0" fontId="2" numFmtId="0" xfId="0" applyBorder="1" applyFont="1"/>
    <xf borderId="3" fillId="0" fontId="6" numFmtId="0" xfId="0" applyBorder="1" applyFont="1"/>
    <xf borderId="4" fillId="0" fontId="6" numFmtId="165" xfId="0" applyBorder="1" applyFont="1" applyNumberFormat="1"/>
    <xf borderId="0" fillId="0" fontId="6" numFmtId="166" xfId="0" applyFont="1" applyNumberFormat="1"/>
    <xf borderId="5" fillId="0" fontId="6" numFmtId="166" xfId="0" applyBorder="1" applyFont="1" applyNumberFormat="1"/>
    <xf borderId="6" fillId="0" fontId="7" numFmtId="0" xfId="0" applyBorder="1" applyFont="1"/>
    <xf borderId="7" fillId="0" fontId="7" numFmtId="165" xfId="0" applyBorder="1" applyFont="1" applyNumberFormat="1"/>
    <xf borderId="0" fillId="0" fontId="7" numFmtId="166" xfId="0" applyFont="1" applyNumberFormat="1"/>
    <xf borderId="8" fillId="0" fontId="6" numFmtId="0" xfId="0" applyBorder="1" applyFont="1"/>
    <xf borderId="9" fillId="0" fontId="6" numFmtId="165" xfId="0" applyBorder="1" applyFont="1" applyNumberFormat="1"/>
    <xf borderId="8" fillId="0" fontId="7" numFmtId="0" xfId="0" applyBorder="1" applyFont="1"/>
    <xf borderId="10" fillId="3" fontId="7" numFmtId="0" xfId="0" applyBorder="1" applyFill="1" applyFont="1"/>
    <xf borderId="11" fillId="3" fontId="7" numFmtId="165" xfId="0" applyBorder="1" applyFill="1" applyFont="1" applyNumberFormat="1"/>
    <xf borderId="12" fillId="3" fontId="7" numFmtId="0" xfId="0" applyBorder="1" applyFill="1" applyFont="1"/>
    <xf borderId="13" fillId="3" fontId="7" numFmtId="165" xfId="0" applyBorder="1" applyFill="1" applyFont="1" applyNumberFormat="1"/>
    <xf borderId="0" fillId="0" fontId="7" numFmtId="0" xfId="0" applyFont="1"/>
    <xf borderId="7" fillId="0" fontId="6" numFmtId="165" xfId="0" applyBorder="1" applyFont="1" applyNumberFormat="1"/>
    <xf borderId="0" fillId="0" fontId="2" numFmtId="166" xfId="0" applyFont="1" applyNumberFormat="1"/>
    <xf borderId="8" fillId="0" fontId="2" numFmtId="0" xfId="0" applyBorder="1" applyFont="1"/>
    <xf borderId="9" fillId="0" fontId="2" numFmtId="165" xfId="0" applyBorder="1" applyFont="1" applyNumberFormat="1"/>
    <xf borderId="0" fillId="0" fontId="2" numFmtId="167" xfId="0" applyFont="1" applyNumberFormat="1"/>
    <xf borderId="0" fillId="0" fontId="2" numFmtId="0" xfId="0" applyAlignment="1" applyFont="1">
      <alignment horizontal="center"/>
    </xf>
    <xf borderId="14" fillId="0" fontId="5" numFmtId="0" xfId="0" applyAlignment="1" applyBorder="1" applyFont="1">
      <alignment horizontal="center"/>
    </xf>
    <xf borderId="14" fillId="0" fontId="3" numFmtId="0" xfId="0" applyBorder="1" applyFont="1"/>
    <xf borderId="0" fillId="0" fontId="8" numFmtId="0" xfId="0" applyAlignment="1" applyFont="1">
      <alignment horizontal="center"/>
    </xf>
    <xf borderId="15" fillId="4" fontId="5" numFmtId="0" xfId="0" applyAlignment="1" applyBorder="1" applyFill="1" applyFont="1">
      <alignment horizontal="center"/>
    </xf>
    <xf borderId="0" fillId="0" fontId="5" numFmtId="0" xfId="0" applyFont="1"/>
    <xf borderId="0" fillId="0" fontId="9" numFmtId="168" xfId="0" applyAlignment="1" applyFont="1" applyNumberFormat="1">
      <alignment horizontal="left"/>
    </xf>
    <xf borderId="0" fillId="0" fontId="9" numFmtId="0" xfId="0" applyFont="1"/>
    <xf borderId="0" fillId="0" fontId="10" numFmtId="0" xfId="0" applyAlignment="1" applyFont="1">
      <alignment horizontal="center"/>
    </xf>
    <xf borderId="16" fillId="5" fontId="4" numFmtId="0" xfId="0" applyAlignment="1" applyBorder="1" applyFill="1" applyFont="1">
      <alignment horizontal="center"/>
    </xf>
    <xf borderId="3" fillId="5" fontId="4" numFmtId="0" xfId="0" applyAlignment="1" applyBorder="1" applyFill="1" applyFont="1">
      <alignment horizontal="center"/>
    </xf>
    <xf borderId="17" fillId="0" fontId="11" numFmtId="0" xfId="0" applyBorder="1" applyFont="1"/>
    <xf borderId="4" fillId="0" fontId="11" numFmtId="0" xfId="0" applyBorder="1" applyFont="1"/>
    <xf borderId="18" fillId="5" fontId="4" numFmtId="0" xfId="0" applyAlignment="1" applyBorder="1" applyFill="1" applyFont="1">
      <alignment horizontal="center"/>
    </xf>
    <xf borderId="19" fillId="5" fontId="4" numFmtId="0" xfId="0" applyAlignment="1" applyBorder="1" applyFill="1" applyFont="1">
      <alignment horizontal="center"/>
    </xf>
    <xf borderId="0" fillId="0" fontId="10" numFmtId="0" xfId="0" applyFont="1"/>
    <xf borderId="20" fillId="5" fontId="10" numFmtId="0" xfId="0" applyBorder="1" applyFill="1" applyFont="1"/>
    <xf borderId="21" fillId="5" fontId="10" numFmtId="3" xfId="0" applyAlignment="1" applyBorder="1" applyFill="1" applyFont="1" applyNumberFormat="1">
      <alignment horizontal="center"/>
    </xf>
    <xf borderId="1" fillId="5" fontId="10" numFmtId="3" xfId="0" applyAlignment="1" applyBorder="1" applyFill="1" applyFont="1" applyNumberFormat="1">
      <alignment horizontal="center"/>
    </xf>
    <xf borderId="22" fillId="5" fontId="10" numFmtId="3" xfId="0" applyAlignment="1" applyBorder="1" applyFill="1" applyFont="1" applyNumberFormat="1">
      <alignment horizontal="center"/>
    </xf>
    <xf borderId="23" fillId="5" fontId="10" numFmtId="0" xfId="0" applyBorder="1" applyFill="1" applyFont="1"/>
    <xf borderId="23" fillId="5" fontId="10" numFmtId="3" xfId="0" applyAlignment="1" applyBorder="1" applyFill="1" applyFont="1" applyNumberFormat="1">
      <alignment horizontal="center"/>
    </xf>
    <xf borderId="24" fillId="5" fontId="10" numFmtId="3" xfId="0" applyAlignment="1" applyBorder="1" applyFill="1" applyFont="1" applyNumberFormat="1">
      <alignment horizontal="center"/>
    </xf>
    <xf borderId="25" fillId="5" fontId="10" numFmtId="3" xfId="0" applyAlignment="1" applyBorder="1" applyFill="1" applyFont="1" applyNumberFormat="1">
      <alignment horizontal="right"/>
    </xf>
    <xf borderId="21" fillId="5" fontId="10" numFmtId="0" xfId="0" applyBorder="1" applyFill="1" applyFont="1"/>
    <xf borderId="21" fillId="5" fontId="10" numFmtId="3" xfId="0" applyBorder="1" applyFill="1" applyFont="1" applyNumberFormat="1"/>
    <xf borderId="1" fillId="5" fontId="10" numFmtId="3" xfId="0" applyBorder="1" applyFill="1" applyFont="1" applyNumberFormat="1"/>
    <xf borderId="22" fillId="5" fontId="10" numFmtId="3" xfId="0" applyBorder="1" applyFill="1" applyFont="1" applyNumberFormat="1"/>
    <xf borderId="20" fillId="5" fontId="4" numFmtId="0" xfId="0" applyBorder="1" applyFill="1" applyFont="1"/>
    <xf borderId="20" fillId="5" fontId="4" numFmtId="3" xfId="0" applyBorder="1" applyFill="1" applyFont="1" applyNumberFormat="1"/>
    <xf borderId="15" fillId="5" fontId="4" numFmtId="3" xfId="0" applyBorder="1" applyFill="1" applyFont="1" applyNumberFormat="1"/>
    <xf borderId="26" fillId="5" fontId="4" numFmtId="3" xfId="0" applyBorder="1" applyFill="1" applyFont="1" applyNumberFormat="1"/>
    <xf borderId="22" fillId="5" fontId="10" numFmtId="0" xfId="0" applyBorder="1" applyFill="1" applyFont="1"/>
    <xf borderId="23" fillId="5" fontId="4" numFmtId="0" xfId="0" applyBorder="1" applyFill="1" applyFont="1"/>
    <xf borderId="23" fillId="5" fontId="10" numFmtId="3" xfId="0" applyBorder="1" applyFill="1" applyFont="1" applyNumberFormat="1"/>
    <xf borderId="24" fillId="5" fontId="10" numFmtId="3" xfId="0" applyBorder="1" applyFill="1" applyFont="1" applyNumberFormat="1"/>
    <xf borderId="25" fillId="5" fontId="10" numFmtId="3" xfId="0" applyBorder="1" applyFill="1" applyFont="1" applyNumberFormat="1"/>
    <xf borderId="21" fillId="5" fontId="4" numFmtId="0" xfId="0" applyBorder="1" applyFill="1" applyFont="1"/>
    <xf borderId="20" fillId="5" fontId="10" numFmtId="3" xfId="0" applyBorder="1" applyFill="1" applyFont="1" applyNumberFormat="1"/>
    <xf borderId="15" fillId="5" fontId="10" numFmtId="3" xfId="0" applyBorder="1" applyFill="1" applyFont="1" applyNumberFormat="1"/>
    <xf borderId="26" fillId="5" fontId="10" numFmtId="3" xfId="0" applyBorder="1" applyFill="1" applyFont="1" applyNumberFormat="1"/>
    <xf borderId="1" fillId="5" fontId="10" numFmtId="0" xfId="0" applyBorder="1" applyFill="1" applyFont="1"/>
    <xf borderId="22" fillId="5" fontId="10" numFmtId="37" xfId="0" applyBorder="1" applyFill="1" applyFont="1" applyNumberFormat="1"/>
    <xf borderId="10" fillId="5" fontId="4" numFmtId="0" xfId="0" applyBorder="1" applyFill="1" applyFont="1"/>
    <xf borderId="10" fillId="5" fontId="4" numFmtId="37" xfId="0" applyBorder="1" applyFill="1" applyFont="1" applyNumberFormat="1"/>
    <xf borderId="27" fillId="5" fontId="4" numFmtId="169" xfId="0" applyBorder="1" applyFill="1" applyFont="1" applyNumberFormat="1"/>
    <xf borderId="11" fillId="5" fontId="4" numFmtId="37" xfId="0" applyBorder="1" applyFill="1" applyFont="1" applyNumberFormat="1"/>
    <xf borderId="12" fillId="5" fontId="4" numFmtId="0" xfId="0" applyBorder="1" applyFill="1" applyFont="1"/>
    <xf borderId="28" fillId="5" fontId="4" numFmtId="0" xfId="0" applyBorder="1" applyFill="1" applyFont="1"/>
    <xf borderId="13" fillId="5" fontId="4" numFmtId="0" xfId="0" applyBorder="1" applyFill="1" applyFont="1"/>
    <xf borderId="1" fillId="5" fontId="4" numFmtId="0" xfId="0" applyBorder="1" applyFill="1" applyFont="1"/>
    <xf borderId="22" fillId="5" fontId="4" numFmtId="0" xfId="0" applyBorder="1" applyFill="1" applyFont="1"/>
    <xf borderId="21" fillId="5" fontId="4" numFmtId="0" xfId="0" applyAlignment="1" applyBorder="1" applyFill="1" applyFont="1">
      <alignment horizontal="left"/>
    </xf>
    <xf borderId="1" fillId="5" fontId="10" numFmtId="0" xfId="0" applyAlignment="1" applyBorder="1" applyFill="1" applyFont="1">
      <alignment horizontal="center"/>
    </xf>
    <xf borderId="21" fillId="5" fontId="10" numFmtId="9" xfId="0" applyBorder="1" applyFill="1" applyFont="1" applyNumberFormat="1"/>
    <xf borderId="1" fillId="5" fontId="10" numFmtId="37" xfId="0" applyBorder="1" applyFill="1" applyFont="1" applyNumberFormat="1"/>
    <xf borderId="23" fillId="5" fontId="10" numFmtId="9" xfId="0" applyBorder="1" applyFill="1" applyFont="1" applyNumberFormat="1"/>
    <xf borderId="24" fillId="5" fontId="10" numFmtId="37" xfId="0" applyBorder="1" applyFill="1" applyFont="1" applyNumberFormat="1"/>
    <xf borderId="25" fillId="5" fontId="10" numFmtId="37" xfId="0" applyBorder="1" applyFill="1" applyFont="1" applyNumberFormat="1"/>
    <xf borderId="29" fillId="5" fontId="4" numFmtId="0" xfId="0" applyBorder="1" applyFill="1" applyFont="1"/>
    <xf borderId="29" fillId="5" fontId="4" numFmtId="0" xfId="0" applyAlignment="1" applyBorder="1" applyFill="1" applyFont="1">
      <alignment horizontal="center"/>
    </xf>
    <xf borderId="30" fillId="5" fontId="4" numFmtId="170" xfId="0" applyBorder="1" applyFill="1" applyFont="1" applyNumberFormat="1"/>
    <xf borderId="31" fillId="5" fontId="4" numFmtId="37" xfId="0" applyBorder="1" applyFill="1" applyFont="1" applyNumberFormat="1"/>
    <xf borderId="21" fillId="5" fontId="12" numFmtId="0" xfId="0" applyBorder="1" applyFill="1" applyFont="1"/>
    <xf borderId="23" fillId="5" fontId="12" numFmtId="0" xfId="0" applyBorder="1" applyFill="1" applyFont="1"/>
    <xf borderId="15" fillId="5" fontId="10" numFmtId="0" xfId="0" applyBorder="1" applyFill="1" applyFont="1"/>
    <xf borderId="26" fillId="5" fontId="10" numFmtId="37" xfId="0" applyBorder="1" applyFill="1" applyFont="1" applyNumberFormat="1"/>
    <xf borderId="24" fillId="5" fontId="10" numFmtId="0" xfId="0" applyBorder="1" applyFill="1" applyFont="1"/>
    <xf borderId="32" fillId="5" fontId="4" numFmtId="0" xfId="0" applyBorder="1" applyFill="1" applyFont="1"/>
    <xf borderId="22" fillId="5" fontId="4" numFmtId="37" xfId="0" applyBorder="1" applyFill="1" applyFont="1" applyNumberFormat="1"/>
    <xf borderId="33" fillId="5" fontId="4" numFmtId="0" xfId="0" applyBorder="1" applyFill="1" applyFont="1"/>
    <xf borderId="33" fillId="5" fontId="10" numFmtId="0" xfId="0" applyBorder="1" applyFill="1" applyFont="1"/>
    <xf borderId="34" fillId="5" fontId="10" numFmtId="10" xfId="0" applyBorder="1" applyFill="1" applyFont="1" applyNumberFormat="1"/>
    <xf borderId="35" fillId="5" fontId="4" numFmtId="37" xfId="0" applyBorder="1" applyFill="1" applyFont="1" applyNumberFormat="1"/>
    <xf borderId="34" fillId="5" fontId="10" numFmtId="0" xfId="0" applyBorder="1" applyFill="1" applyFont="1"/>
    <xf borderId="1" fillId="5" fontId="13" numFmtId="0" xfId="0" applyBorder="1" applyFill="1" applyFont="1"/>
    <xf borderId="1" fillId="5" fontId="13" numFmtId="37" xfId="0" applyBorder="1" applyFill="1" applyFont="1" applyNumberFormat="1"/>
    <xf borderId="0" fillId="0" fontId="13" numFmtId="0" xfId="0" applyFont="1"/>
    <xf borderId="1" fillId="5" fontId="9" numFmtId="0" xfId="0" applyBorder="1" applyFill="1" applyFont="1"/>
    <xf borderId="1" fillId="5" fontId="5" numFmtId="0" xfId="0" applyBorder="1" applyFill="1" applyFont="1"/>
    <xf borderId="1" fillId="5" fontId="9" numFmtId="168" xfId="0" applyAlignment="1" applyBorder="1" applyFill="1" applyFont="1" applyNumberFormat="1">
      <alignment horizontal="left"/>
    </xf>
    <xf borderId="16" fillId="5" fontId="4" numFmtId="0" xfId="0" applyBorder="1" applyFill="1" applyFont="1"/>
    <xf borderId="18" fillId="5" fontId="4" numFmtId="0" xfId="0" applyBorder="1" applyFill="1" applyFont="1"/>
    <xf borderId="19" fillId="5" fontId="4" numFmtId="0" xfId="0" applyBorder="1" applyFill="1" applyFont="1"/>
    <xf borderId="21" fillId="5" fontId="10" numFmtId="0" xfId="0" applyAlignment="1" applyBorder="1" applyFill="1" applyFont="1">
      <alignment horizontal="center"/>
    </xf>
    <xf borderId="22" fillId="5" fontId="10" numFmtId="0" xfId="0" applyAlignment="1" applyBorder="1" applyFill="1" applyFont="1">
      <alignment horizontal="center"/>
    </xf>
    <xf borderId="25" fillId="5" fontId="10" numFmtId="3" xfId="0" applyAlignment="1" applyBorder="1" applyFill="1" applyFont="1" applyNumberFormat="1">
      <alignment horizontal="center"/>
    </xf>
    <xf borderId="21" fillId="5" fontId="10" numFmtId="170" xfId="0" applyBorder="1" applyFill="1" applyFont="1" applyNumberFormat="1"/>
    <xf borderId="21" fillId="5" fontId="10" numFmtId="0" xfId="0" applyAlignment="1" applyBorder="1" applyFill="1" applyFont="1">
      <alignment horizontal="right"/>
    </xf>
    <xf borderId="1" fillId="5" fontId="10" numFmtId="170" xfId="0" applyBorder="1" applyFill="1" applyFont="1" applyNumberFormat="1"/>
    <xf borderId="34" fillId="5" fontId="4" numFmtId="10" xfId="0" applyBorder="1" applyFill="1" applyFont="1" applyNumberFormat="1"/>
    <xf borderId="34" fillId="5" fontId="4" numFmtId="0" xfId="0" applyBorder="1" applyFill="1" applyFont="1"/>
    <xf borderId="1" fillId="5" fontId="9" numFmtId="37" xfId="0" applyBorder="1" applyFill="1" applyFont="1" applyNumberFormat="1"/>
    <xf borderId="21" fillId="5" fontId="10" numFmtId="37" xfId="0" applyBorder="1" applyFill="1" applyFont="1" applyNumberFormat="1"/>
    <xf borderId="22" fillId="5" fontId="10" numFmtId="170" xfId="0" applyBorder="1" applyFill="1" applyFont="1" applyNumberFormat="1"/>
    <xf borderId="23" fillId="5" fontId="10" numFmtId="37" xfId="0" applyBorder="1" applyFill="1" applyFont="1" applyNumberFormat="1"/>
    <xf borderId="24" fillId="5" fontId="10" numFmtId="2" xfId="0" applyBorder="1" applyFill="1" applyFont="1" applyNumberFormat="1"/>
    <xf borderId="25" fillId="5" fontId="10" numFmtId="170" xfId="0" applyBorder="1" applyFill="1" applyFont="1" applyNumberFormat="1"/>
    <xf borderId="20" fillId="5" fontId="10" numFmtId="37" xfId="0" applyBorder="1" applyFill="1" applyFont="1" applyNumberFormat="1"/>
    <xf borderId="15" fillId="5" fontId="10" numFmtId="37" xfId="0" applyBorder="1" applyFill="1" applyFont="1" applyNumberFormat="1"/>
    <xf borderId="1" fillId="5" fontId="10" numFmtId="169" xfId="0" applyBorder="1" applyFill="1" applyFont="1" applyNumberFormat="1"/>
    <xf borderId="1" fillId="5" fontId="10" numFmtId="171" xfId="0" applyBorder="1" applyFill="1" applyFont="1" applyNumberFormat="1"/>
    <xf borderId="21" fillId="5" fontId="4" numFmtId="37" xfId="0" applyBorder="1" applyFill="1" applyFont="1" applyNumberFormat="1"/>
    <xf borderId="1" fillId="5" fontId="4" numFmtId="169" xfId="0" applyBorder="1" applyFill="1" applyFont="1" applyNumberFormat="1"/>
    <xf borderId="23" fillId="5" fontId="4" numFmtId="37" xfId="0" applyBorder="1" applyFill="1" applyFont="1" applyNumberFormat="1"/>
    <xf borderId="24" fillId="5" fontId="10" numFmtId="171" xfId="0" applyBorder="1" applyFill="1" applyFont="1" applyNumberFormat="1"/>
    <xf borderId="27" fillId="5" fontId="4" numFmtId="37" xfId="0" applyBorder="1" applyFill="1" applyFont="1" applyNumberFormat="1"/>
    <xf borderId="24" fillId="5" fontId="4" numFmtId="39" xfId="0" applyBorder="1" applyFill="1" applyFont="1" applyNumberFormat="1"/>
    <xf borderId="22" fillId="5" fontId="4" numFmtId="170" xfId="0" applyBorder="1" applyFill="1" applyFont="1" applyNumberFormat="1"/>
    <xf borderId="1" fillId="5" fontId="10" numFmtId="167" xfId="0" applyBorder="1" applyFill="1" applyFont="1" applyNumberFormat="1"/>
    <xf borderId="15" fillId="5" fontId="10" numFmtId="167" xfId="0" applyBorder="1" applyFill="1" applyFont="1" applyNumberFormat="1"/>
    <xf borderId="24" fillId="5" fontId="10" numFmtId="169" xfId="0" applyBorder="1" applyFill="1" applyFont="1" applyNumberFormat="1"/>
    <xf borderId="20" fillId="5" fontId="4" numFmtId="37" xfId="0" applyBorder="1" applyFill="1" applyFont="1" applyNumberFormat="1"/>
    <xf borderId="15" fillId="5" fontId="4" numFmtId="169" xfId="0" applyBorder="1" applyFill="1" applyFont="1" applyNumberFormat="1"/>
    <xf borderId="26" fillId="5" fontId="4" numFmtId="37" xfId="0" applyBorder="1" applyFill="1" applyFont="1" applyNumberFormat="1"/>
    <xf borderId="13" fillId="5" fontId="4" numFmtId="170" xfId="0" applyBorder="1" applyFill="1" applyFont="1" applyNumberFormat="1"/>
    <xf borderId="34" fillId="5" fontId="4" numFmtId="170" xfId="0" applyBorder="1" applyFill="1" applyFont="1" applyNumberFormat="1"/>
    <xf borderId="20" fillId="5" fontId="12" numFmtId="0" xfId="0" applyBorder="1" applyFill="1" applyFont="1"/>
    <xf borderId="36" fillId="5" fontId="4" numFmtId="0" xfId="0" applyBorder="1" applyFill="1" applyFont="1"/>
    <xf borderId="15" fillId="5" fontId="4" numFmtId="170" xfId="0" applyBorder="1" applyFill="1" applyFont="1" applyNumberFormat="1"/>
    <xf borderId="25" fillId="5" fontId="10" numFmtId="0" xfId="0" applyBorder="1" applyFill="1" applyFont="1"/>
    <xf borderId="24" fillId="5" fontId="10" numFmtId="170" xfId="0" applyBorder="1" applyFill="1" applyFont="1" applyNumberFormat="1"/>
    <xf borderId="27" fillId="5" fontId="4" numFmtId="170" xfId="0" applyBorder="1" applyFill="1" applyFont="1" applyNumberFormat="1"/>
    <xf borderId="37" fillId="5" fontId="4" numFmtId="0" xfId="0" applyBorder="1" applyFill="1" applyFont="1"/>
    <xf borderId="37" fillId="5" fontId="4" numFmtId="37" xfId="0" applyBorder="1" applyFill="1" applyFont="1" applyNumberFormat="1"/>
    <xf borderId="38" fillId="5" fontId="4" numFmtId="169" xfId="0" applyBorder="1" applyFill="1" applyFont="1" applyNumberFormat="1"/>
    <xf borderId="39" fillId="5" fontId="4" numFmtId="37" xfId="0" applyBorder="1" applyFill="1" applyFont="1" applyNumberFormat="1"/>
    <xf borderId="34" fillId="5" fontId="4" numFmtId="172" xfId="0" applyBorder="1" applyFill="1" applyFont="1" applyNumberFormat="1"/>
    <xf borderId="1" fillId="5" fontId="4" numFmtId="37" xfId="0" applyBorder="1" applyFill="1" applyFont="1" applyNumberFormat="1"/>
    <xf borderId="40" fillId="5" fontId="4" numFmtId="0" xfId="0" applyBorder="1" applyFill="1" applyFont="1"/>
    <xf borderId="40" fillId="5" fontId="10" numFmtId="0" xfId="0" applyBorder="1" applyFill="1" applyFont="1"/>
    <xf borderId="41" fillId="5" fontId="10" numFmtId="0" xfId="0" applyBorder="1" applyFill="1" applyFont="1"/>
    <xf borderId="42" fillId="5" fontId="4" numFmtId="37" xfId="0" applyBorder="1" applyFill="1" applyFont="1" applyNumberFormat="1"/>
    <xf borderId="1" fillId="5" fontId="14" numFmtId="0" xfId="0" applyAlignment="1" applyBorder="1" applyFill="1" applyFont="1">
      <alignment horizontal="center" vertical="center"/>
    </xf>
    <xf borderId="1" fillId="5" fontId="9" numFmtId="0" xfId="0" applyAlignment="1" applyBorder="1" applyFill="1" applyFont="1">
      <alignment horizontal="center"/>
    </xf>
    <xf borderId="28" fillId="5" fontId="9" numFmtId="0" xfId="0" applyAlignment="1" applyBorder="1" applyFill="1" applyFont="1">
      <alignment horizontal="center"/>
    </xf>
    <xf borderId="23" fillId="5" fontId="10" numFmtId="0" xfId="0" applyAlignment="1" applyBorder="1" applyFill="1" applyFont="1">
      <alignment horizontal="center"/>
    </xf>
    <xf borderId="24" fillId="5" fontId="10" numFmtId="0" xfId="0" applyAlignment="1" applyBorder="1" applyFill="1" applyFont="1">
      <alignment horizontal="center"/>
    </xf>
    <xf borderId="25" fillId="5" fontId="10" numFmtId="0" xfId="0" applyAlignment="1" applyBorder="1" applyFill="1" applyFont="1">
      <alignment horizontal="center"/>
    </xf>
    <xf borderId="23" fillId="5" fontId="12" numFmtId="37" xfId="0" applyBorder="1" applyFill="1" applyFont="1" applyNumberFormat="1"/>
    <xf borderId="24" fillId="5" fontId="12" numFmtId="37" xfId="0" applyBorder="1" applyFill="1" applyFont="1" applyNumberFormat="1"/>
    <xf borderId="25" fillId="5" fontId="12" numFmtId="37" xfId="0" applyBorder="1" applyFill="1" applyFont="1" applyNumberFormat="1"/>
    <xf borderId="23" fillId="5" fontId="14" numFmtId="0" xfId="0" applyBorder="1" applyFill="1" applyFont="1"/>
    <xf borderId="23" fillId="5" fontId="14" numFmtId="37" xfId="0" applyBorder="1" applyFill="1" applyFont="1" applyNumberFormat="1"/>
    <xf borderId="24" fillId="5" fontId="14" numFmtId="37" xfId="0" applyBorder="1" applyFill="1" applyFont="1" applyNumberFormat="1"/>
    <xf borderId="25" fillId="5" fontId="14" numFmtId="37" xfId="0" applyBorder="1" applyFill="1" applyFont="1" applyNumberFormat="1"/>
    <xf borderId="21" fillId="5" fontId="14" numFmtId="0" xfId="0" applyBorder="1" applyFill="1" applyFont="1"/>
    <xf borderId="21" fillId="5" fontId="12" numFmtId="37" xfId="0" applyBorder="1" applyFill="1" applyFont="1" applyNumberFormat="1"/>
    <xf borderId="1" fillId="5" fontId="12" numFmtId="0" xfId="0" applyBorder="1" applyFill="1" applyFont="1"/>
    <xf borderId="22" fillId="5" fontId="12" numFmtId="37" xfId="0" applyBorder="1" applyFill="1" applyFont="1" applyNumberFormat="1"/>
    <xf borderId="21" fillId="5" fontId="12" numFmtId="170" xfId="0" applyBorder="1" applyFill="1" applyFont="1" applyNumberFormat="1"/>
    <xf borderId="1" fillId="5" fontId="12" numFmtId="169" xfId="0" applyBorder="1" applyFill="1" applyFont="1" applyNumberFormat="1"/>
    <xf borderId="23" fillId="5" fontId="12" numFmtId="170" xfId="0" applyBorder="1" applyFill="1" applyFont="1" applyNumberFormat="1"/>
    <xf borderId="24" fillId="5" fontId="12" numFmtId="169" xfId="0" applyBorder="1" applyFill="1" applyFont="1" applyNumberFormat="1"/>
    <xf borderId="29" fillId="5" fontId="14" numFmtId="0" xfId="0" applyBorder="1" applyFill="1" applyFont="1"/>
    <xf borderId="29" fillId="5" fontId="14" numFmtId="170" xfId="0" applyBorder="1" applyFill="1" applyFont="1" applyNumberFormat="1"/>
    <xf borderId="30" fillId="5" fontId="14" numFmtId="167" xfId="0" applyBorder="1" applyFill="1" applyFont="1" applyNumberFormat="1"/>
    <xf borderId="31" fillId="5" fontId="14" numFmtId="37" xfId="0" applyBorder="1" applyFill="1" applyFont="1" applyNumberFormat="1"/>
    <xf borderId="30" fillId="5" fontId="14" numFmtId="0" xfId="0" applyBorder="1" applyFill="1" applyFont="1"/>
    <xf borderId="24" fillId="5" fontId="12" numFmtId="170" xfId="0" applyBorder="1" applyFill="1" applyFont="1" applyNumberFormat="1"/>
    <xf borderId="1" fillId="5" fontId="12" numFmtId="170" xfId="0" applyBorder="1" applyFill="1" applyFont="1" applyNumberFormat="1"/>
    <xf borderId="30" fillId="5" fontId="14" numFmtId="169" xfId="0" applyBorder="1" applyFill="1" applyFont="1" applyNumberFormat="1"/>
    <xf borderId="15" fillId="5" fontId="12" numFmtId="169" xfId="0" applyBorder="1" applyFill="1" applyFont="1" applyNumberFormat="1"/>
    <xf borderId="26" fillId="5" fontId="12" numFmtId="37" xfId="0" applyBorder="1" applyFill="1" applyFont="1" applyNumberFormat="1"/>
    <xf borderId="22" fillId="5" fontId="12" numFmtId="0" xfId="0" applyBorder="1" applyFill="1" applyFont="1"/>
    <xf borderId="20" fillId="5" fontId="14" numFmtId="170" xfId="0" applyBorder="1" applyFill="1" applyFont="1" applyNumberFormat="1"/>
    <xf borderId="15" fillId="5" fontId="14" numFmtId="0" xfId="0" applyBorder="1" applyFill="1" applyFont="1"/>
    <xf borderId="21" fillId="5" fontId="14" numFmtId="170" xfId="0" applyBorder="1" applyFill="1" applyFont="1" applyNumberFormat="1"/>
    <xf borderId="1" fillId="5" fontId="14" numFmtId="0" xfId="0" applyBorder="1" applyFill="1" applyFont="1"/>
    <xf borderId="23" fillId="5" fontId="14" numFmtId="170" xfId="0" applyBorder="1" applyFill="1" applyFont="1" applyNumberFormat="1"/>
    <xf borderId="30" fillId="5" fontId="12" numFmtId="0" xfId="0" applyBorder="1" applyFill="1" applyFont="1"/>
    <xf borderId="20" fillId="5" fontId="14" numFmtId="0" xfId="0" applyBorder="1" applyFill="1" applyFont="1"/>
    <xf borderId="15" fillId="5" fontId="12" numFmtId="0" xfId="0" applyBorder="1" applyFill="1" applyFont="1"/>
    <xf borderId="40" fillId="5" fontId="14" numFmtId="0" xfId="0" applyBorder="1" applyFill="1" applyFont="1"/>
    <xf borderId="40" fillId="5" fontId="14" numFmtId="0" xfId="0" applyAlignment="1" applyBorder="1" applyFill="1" applyFont="1">
      <alignment horizontal="center"/>
    </xf>
    <xf borderId="41" fillId="5" fontId="14" numFmtId="170" xfId="0" applyBorder="1" applyFill="1" applyFont="1" applyNumberFormat="1"/>
    <xf borderId="42" fillId="5" fontId="14" numFmtId="37" xfId="0" applyBorder="1" applyFill="1" applyFont="1" applyNumberFormat="1"/>
    <xf borderId="1" fillId="5" fontId="12" numFmtId="39" xfId="0" applyBorder="1" applyFill="1" applyFont="1" applyNumberFormat="1"/>
    <xf borderId="43" fillId="5" fontId="14" numFmtId="0" xfId="0" applyBorder="1" applyFill="1" applyFont="1"/>
    <xf borderId="18" fillId="5" fontId="14" numFmtId="0" xfId="0" applyAlignment="1" applyBorder="1" applyFill="1" applyFont="1">
      <alignment horizontal="center"/>
    </xf>
    <xf borderId="18" fillId="5" fontId="14" numFmtId="170" xfId="0" applyBorder="1" applyFill="1" applyFont="1" applyNumberFormat="1"/>
    <xf borderId="18" fillId="5" fontId="14" numFmtId="37" xfId="0" applyBorder="1" applyFill="1" applyFont="1" applyNumberFormat="1"/>
    <xf borderId="16" fillId="5" fontId="14" numFmtId="0" xfId="0" applyAlignment="1" applyBorder="1" applyFill="1" applyFont="1">
      <alignment horizontal="center"/>
    </xf>
    <xf borderId="19" fillId="5" fontId="14" numFmtId="37" xfId="0" applyBorder="1" applyFill="1" applyFont="1" applyNumberFormat="1"/>
    <xf borderId="44" fillId="5" fontId="9" numFmtId="0" xfId="0" applyBorder="1" applyFill="1" applyFont="1"/>
    <xf borderId="21" fillId="5" fontId="9" numFmtId="0" xfId="0" applyBorder="1" applyFill="1" applyFont="1"/>
    <xf borderId="22" fillId="5" fontId="9" numFmtId="0" xfId="0" applyBorder="1" applyFill="1" applyFont="1"/>
    <xf borderId="44" fillId="5" fontId="12" numFmtId="0" xfId="0" applyBorder="1" applyFill="1" applyFont="1"/>
    <xf borderId="1" fillId="5" fontId="12" numFmtId="37" xfId="0" applyBorder="1" applyFill="1" applyFont="1" applyNumberFormat="1"/>
    <xf borderId="44" fillId="5" fontId="10" numFmtId="0" xfId="0" applyBorder="1" applyFill="1" applyFont="1"/>
    <xf borderId="45" fillId="5" fontId="10" numFmtId="0" xfId="0" applyBorder="1" applyFill="1" applyFont="1"/>
    <xf borderId="46" fillId="5" fontId="14" numFmtId="0" xfId="0" applyBorder="1" applyFill="1" applyFont="1"/>
    <xf borderId="41" fillId="5" fontId="14" numFmtId="0" xfId="0" applyAlignment="1" applyBorder="1" applyFill="1" applyFont="1">
      <alignment horizontal="center"/>
    </xf>
    <xf borderId="41" fillId="5" fontId="14" numFmtId="37" xfId="0" applyBorder="1" applyFill="1" applyFont="1" applyNumberFormat="1"/>
    <xf borderId="1" fillId="6" fontId="15" numFmtId="0" xfId="0" applyBorder="1" applyFill="1" applyFont="1"/>
    <xf borderId="1" fillId="6" fontId="9" numFmtId="0" xfId="0" applyBorder="1" applyFill="1" applyFont="1"/>
    <xf borderId="1" fillId="6" fontId="16" numFmtId="0" xfId="0" applyBorder="1" applyFill="1" applyFont="1"/>
    <xf borderId="1" fillId="6" fontId="17" numFmtId="0" xfId="0" applyAlignment="1" applyBorder="1" applyFill="1" applyFont="1">
      <alignment horizontal="center" vertical="center"/>
    </xf>
    <xf borderId="1" fillId="6" fontId="9" numFmtId="0" xfId="0" applyAlignment="1" applyBorder="1" applyFill="1" applyFont="1">
      <alignment horizontal="center" vertical="center"/>
    </xf>
    <xf borderId="1" fillId="6" fontId="15" numFmtId="0" xfId="0" applyAlignment="1" applyBorder="1" applyFill="1" applyFont="1">
      <alignment horizontal="center"/>
    </xf>
    <xf borderId="1" fillId="6" fontId="9" numFmtId="0" xfId="0" applyAlignment="1" applyBorder="1" applyFill="1" applyFont="1">
      <alignment horizontal="center"/>
    </xf>
    <xf borderId="1" fillId="6" fontId="18" numFmtId="0" xfId="0" applyAlignment="1" applyBorder="1" applyFill="1" applyFont="1">
      <alignment horizontal="center"/>
    </xf>
    <xf borderId="1" fillId="6" fontId="9" numFmtId="170" xfId="0" applyBorder="1" applyFill="1" applyFont="1" applyNumberFormat="1"/>
    <xf borderId="1" fillId="6" fontId="9" numFmtId="37" xfId="0" applyBorder="1" applyFill="1" applyFont="1" applyNumberFormat="1"/>
    <xf borderId="1" fillId="6" fontId="15" numFmtId="170" xfId="0" applyBorder="1" applyFill="1" applyFont="1" applyNumberFormat="1"/>
    <xf borderId="1" fillId="6" fontId="15" numFmtId="37" xfId="0" applyBorder="1" applyFill="1" applyFont="1" applyNumberFormat="1"/>
    <xf borderId="1" fillId="6" fontId="19" numFmtId="0" xfId="0" applyBorder="1" applyFill="1" applyFont="1"/>
    <xf borderId="1" fillId="6" fontId="18" numFmtId="0" xfId="0" applyAlignment="1" applyBorder="1" applyFill="1" applyFont="1">
      <alignment horizontal="left"/>
    </xf>
    <xf borderId="1" fillId="6" fontId="20" numFmtId="0" xfId="0" applyBorder="1" applyFill="1" applyFont="1"/>
    <xf borderId="22" fillId="7" fontId="10" numFmtId="37" xfId="0" applyBorder="1" applyFill="1" applyFont="1" applyNumberFormat="1"/>
    <xf borderId="25" fillId="7" fontId="10" numFmtId="37" xfId="0" applyBorder="1" applyFill="1" applyFont="1" applyNumberFormat="1"/>
    <xf borderId="26" fillId="7" fontId="10" numFmtId="37" xfId="0" applyBorder="1" applyFill="1" applyFont="1" applyNumberFormat="1"/>
    <xf borderId="21" fillId="5" fontId="4" numFmtId="3" xfId="0" applyBorder="1" applyFill="1" applyFont="1" applyNumberFormat="1"/>
    <xf borderId="1" fillId="5" fontId="4" numFmtId="3" xfId="0" applyBorder="1" applyFill="1" applyFont="1" applyNumberFormat="1"/>
    <xf borderId="22" fillId="5" fontId="4" numFmtId="3" xfId="0" applyBorder="1" applyFill="1" applyFont="1" applyNumberFormat="1"/>
    <xf borderId="29" fillId="5" fontId="10" numFmtId="0" xfId="0" applyAlignment="1" applyBorder="1" applyFill="1" applyFont="1">
      <alignment horizontal="right"/>
    </xf>
    <xf borderId="1" fillId="4" fontId="10" numFmtId="37" xfId="0" applyBorder="1" applyFill="1" applyFont="1" applyNumberFormat="1"/>
    <xf borderId="22" fillId="4" fontId="10" numFmtId="37" xfId="0" applyBorder="1" applyFill="1" applyFont="1" applyNumberFormat="1"/>
    <xf borderId="15" fillId="5" fontId="10" numFmtId="169" xfId="0" applyBorder="1" applyFill="1" applyFont="1" applyNumberFormat="1"/>
    <xf borderId="6" fillId="0" fontId="10" numFmtId="37" xfId="0" applyBorder="1" applyFont="1" applyNumberFormat="1"/>
    <xf borderId="26" fillId="4" fontId="10" numFmtId="37" xfId="0" applyBorder="1" applyFill="1" applyFont="1" applyNumberFormat="1"/>
    <xf borderId="28" fillId="5" fontId="9" numFmtId="37" xfId="0" applyAlignment="1" applyBorder="1" applyFill="1" applyFont="1" applyNumberFormat="1">
      <alignment horizontal="center"/>
    </xf>
    <xf borderId="22" fillId="7" fontId="12" numFmtId="37" xfId="0" applyBorder="1" applyFill="1" applyFont="1" applyNumberFormat="1"/>
    <xf borderId="22" fillId="4" fontId="12" numFmtId="37" xfId="0" applyBorder="1" applyFill="1" applyFont="1" applyNumberFormat="1"/>
    <xf borderId="25" fillId="4" fontId="12" numFmtId="37" xfId="0" applyBorder="1" applyFill="1" applyFont="1" applyNumberFormat="1"/>
    <xf borderId="21" fillId="5" fontId="21" numFmtId="0" xfId="0" applyBorder="1" applyFill="1" applyFont="1"/>
    <xf borderId="1" fillId="5" fontId="21" numFmtId="0" xfId="0" applyBorder="1" applyFill="1" applyFont="1"/>
    <xf borderId="22" fillId="5" fontId="21" numFmtId="37" xfId="0" applyBorder="1" applyFill="1" applyFont="1" applyNumberFormat="1"/>
    <xf borderId="26" fillId="4" fontId="12" numFmtId="37" xfId="0" applyBorder="1" applyFill="1" applyFont="1" applyNumberFormat="1"/>
    <xf borderId="20" fillId="5" fontId="22" numFmtId="0" xfId="0" applyBorder="1" applyFill="1" applyFont="1"/>
    <xf borderId="15" fillId="5" fontId="21" numFmtId="0" xfId="0" applyBorder="1" applyFill="1" applyFont="1"/>
    <xf borderId="26" fillId="5" fontId="21" numFmtId="37" xfId="0" applyBorder="1" applyFill="1" applyFont="1" applyNumberFormat="1"/>
    <xf borderId="0" fillId="0" fontId="23" numFmtId="0" xfId="0" applyFont="1"/>
    <xf borderId="0" fillId="0" fontId="24" numFmtId="0" xfId="0" applyFont="1"/>
    <xf borderId="0" fillId="0" fontId="25" numFmtId="0" xfId="0" applyAlignment="1" applyFont="1">
      <alignment horizontal="center"/>
    </xf>
    <xf borderId="1" fillId="8" fontId="1" numFmtId="0" xfId="0" applyAlignment="1" applyBorder="1" applyFill="1" applyFont="1">
      <alignment horizontal="center"/>
    </xf>
    <xf borderId="47" fillId="9" fontId="1" numFmtId="0" xfId="0" applyAlignment="1" applyBorder="1" applyFill="1" applyFont="1">
      <alignment horizontal="center" shrinkToFit="0" vertical="center" wrapText="1"/>
    </xf>
    <xf borderId="48" fillId="9" fontId="1" numFmtId="0" xfId="0" applyAlignment="1" applyBorder="1" applyFill="1" applyFont="1">
      <alignment horizontal="center" shrinkToFit="0" vertical="center" wrapText="1"/>
    </xf>
    <xf borderId="49" fillId="9" fontId="1" numFmtId="0" xfId="0" applyAlignment="1" applyBorder="1" applyFill="1" applyFont="1">
      <alignment horizontal="center" shrinkToFit="0" vertical="center" wrapText="1"/>
    </xf>
    <xf borderId="50" fillId="9" fontId="1" numFmtId="0" xfId="0" applyAlignment="1" applyBorder="1" applyFill="1" applyFont="1">
      <alignment horizontal="center" shrinkToFit="0" vertical="center" wrapText="1"/>
    </xf>
    <xf borderId="51" fillId="9" fontId="1" numFmtId="0" xfId="0" applyAlignment="1" applyBorder="1" applyFill="1" applyFont="1">
      <alignment horizontal="center" shrinkToFit="0" vertical="center" wrapText="1"/>
    </xf>
    <xf borderId="52" fillId="0" fontId="11" numFmtId="0" xfId="0" applyBorder="1" applyFont="1"/>
    <xf borderId="53" fillId="10" fontId="26" numFmtId="0" xfId="0" applyAlignment="1" applyBorder="1" applyFill="1" applyFont="1">
      <alignment horizontal="center" shrinkToFit="0" vertical="center" wrapText="1"/>
    </xf>
    <xf borderId="54" fillId="0" fontId="11" numFmtId="0" xfId="0" applyBorder="1" applyFont="1"/>
    <xf borderId="55" fillId="10" fontId="26" numFmtId="164" xfId="0" applyAlignment="1" applyBorder="1" applyFill="1" applyFont="1" applyNumberFormat="1">
      <alignment horizontal="center" vertical="center"/>
    </xf>
    <xf borderId="56" fillId="10" fontId="26" numFmtId="164" xfId="0" applyAlignment="1" applyBorder="1" applyFill="1" applyFont="1" applyNumberFormat="1">
      <alignment horizontal="center" vertical="center"/>
    </xf>
    <xf borderId="55" fillId="10" fontId="1" numFmtId="3" xfId="0" applyAlignment="1" applyBorder="1" applyFill="1" applyFont="1" applyNumberFormat="1">
      <alignment horizontal="center" vertical="center"/>
    </xf>
    <xf borderId="56" fillId="10" fontId="1" numFmtId="3" xfId="0" applyAlignment="1" applyBorder="1" applyFill="1" applyFont="1" applyNumberFormat="1">
      <alignment horizontal="center" vertical="center"/>
    </xf>
    <xf borderId="57" fillId="10" fontId="2" numFmtId="0" xfId="0" applyAlignment="1" applyBorder="1" applyFill="1" applyFont="1">
      <alignment shrinkToFit="0" wrapText="1"/>
    </xf>
    <xf borderId="47" fillId="0" fontId="2" numFmtId="0" xfId="0" applyAlignment="1" applyBorder="1" applyFont="1">
      <alignment horizontal="center" shrinkToFit="0" vertical="center" wrapText="1"/>
    </xf>
    <xf borderId="47" fillId="0" fontId="2" numFmtId="0" xfId="0" applyAlignment="1" applyBorder="1" applyFont="1">
      <alignment horizontal="center" vertical="center"/>
    </xf>
    <xf borderId="0" fillId="0" fontId="27" numFmtId="0" xfId="0" applyFont="1"/>
    <xf borderId="58" fillId="0" fontId="2" numFmtId="0" xfId="0" applyAlignment="1" applyBorder="1" applyFont="1">
      <alignment horizontal="left" shrinkToFit="0" vertical="center" wrapText="1"/>
    </xf>
    <xf borderId="0" fillId="0" fontId="2" numFmtId="37" xfId="0" applyAlignment="1" applyFont="1" applyNumberFormat="1">
      <alignment horizontal="center" vertical="center"/>
    </xf>
    <xf borderId="59" fillId="0" fontId="2" numFmtId="37" xfId="0" applyAlignment="1" applyBorder="1" applyFont="1" applyNumberFormat="1">
      <alignment horizontal="center" vertical="center"/>
    </xf>
    <xf borderId="60" fillId="0" fontId="2" numFmtId="0" xfId="0" applyAlignment="1" applyBorder="1" applyFont="1">
      <alignment horizontal="center" shrinkToFit="0" vertical="center" wrapText="1"/>
    </xf>
    <xf borderId="60" fillId="0" fontId="2" numFmtId="0" xfId="0" applyAlignment="1" applyBorder="1" applyFont="1">
      <alignment horizontal="center" vertical="center"/>
    </xf>
    <xf borderId="59" fillId="0" fontId="2" numFmtId="0" xfId="0" applyAlignment="1" applyBorder="1" applyFont="1">
      <alignment horizontal="left" shrinkToFit="0" vertical="center" wrapText="1"/>
    </xf>
    <xf borderId="58" fillId="0" fontId="2" numFmtId="0" xfId="0" applyAlignment="1" applyBorder="1" applyFont="1">
      <alignment horizontal="center" shrinkToFit="0" vertical="center" wrapText="1"/>
    </xf>
    <xf borderId="59" fillId="0" fontId="2" numFmtId="0" xfId="0" applyAlignment="1" applyBorder="1" applyFont="1">
      <alignment horizontal="center" shrinkToFit="0" vertical="center" wrapText="1"/>
    </xf>
    <xf borderId="52" fillId="0" fontId="2" numFmtId="0" xfId="0" applyAlignment="1" applyBorder="1" applyFont="1">
      <alignment horizontal="center" shrinkToFit="0" vertical="center" wrapText="1"/>
    </xf>
    <xf borderId="52" fillId="0" fontId="2" numFmtId="0" xfId="0" applyAlignment="1" applyBorder="1" applyFont="1">
      <alignment horizontal="center" vertical="center"/>
    </xf>
    <xf borderId="61" fillId="0" fontId="2" numFmtId="0" xfId="0" applyAlignment="1" applyBorder="1" applyFont="1">
      <alignment horizontal="center" shrinkToFit="0" vertical="center" wrapText="1"/>
    </xf>
    <xf borderId="62" fillId="0" fontId="2" numFmtId="0" xfId="0" applyAlignment="1" applyBorder="1" applyFont="1">
      <alignment horizontal="center" shrinkToFit="0" vertical="center" wrapText="1"/>
    </xf>
    <xf borderId="61" fillId="0" fontId="2" numFmtId="37" xfId="0" applyAlignment="1" applyBorder="1" applyFont="1" applyNumberFormat="1">
      <alignment horizontal="center" vertical="center"/>
    </xf>
    <xf borderId="63" fillId="0" fontId="2" numFmtId="37" xfId="0" applyAlignment="1" applyBorder="1" applyFont="1" applyNumberFormat="1">
      <alignment horizontal="center" vertical="center"/>
    </xf>
    <xf borderId="0" fillId="0" fontId="2"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horizontal="right"/>
    </xf>
    <xf borderId="0" fillId="0" fontId="2" numFmtId="172" xfId="0" applyAlignment="1" applyFont="1" applyNumberFormat="1">
      <alignment horizontal="center"/>
    </xf>
    <xf borderId="64" fillId="0" fontId="2" numFmtId="0" xfId="0" applyAlignment="1" applyBorder="1" applyFont="1">
      <alignment horizontal="right" vertical="center"/>
    </xf>
    <xf borderId="64" fillId="0" fontId="2" numFmtId="0" xfId="0" applyAlignment="1" applyBorder="1" applyFont="1">
      <alignment vertical="center"/>
    </xf>
    <xf borderId="64" fillId="8" fontId="2" numFmtId="0" xfId="0" applyAlignment="1" applyBorder="1" applyFill="1" applyFont="1">
      <alignment horizontal="right" shrinkToFit="0" vertical="center" wrapText="1"/>
    </xf>
    <xf borderId="64" fillId="0" fontId="2" numFmtId="0" xfId="0" applyAlignment="1" applyBorder="1" applyFont="1">
      <alignment horizontal="center" vertical="center"/>
    </xf>
    <xf borderId="64" fillId="0" fontId="2" numFmtId="0" xfId="0" applyAlignment="1" applyBorder="1" applyFont="1">
      <alignment horizontal="center" shrinkToFit="0" vertical="center" wrapText="1"/>
    </xf>
    <xf borderId="0" fillId="0" fontId="2" numFmtId="0" xfId="0" applyAlignment="1" applyFont="1">
      <alignment horizontal="left"/>
    </xf>
    <xf borderId="0" fillId="0" fontId="2" numFmtId="172" xfId="0" applyFont="1" applyNumberFormat="1"/>
    <xf borderId="65" fillId="0" fontId="2" numFmtId="172" xfId="0" applyBorder="1" applyFont="1" applyNumberFormat="1"/>
    <xf borderId="66" fillId="0" fontId="2" numFmtId="172" xfId="0" applyBorder="1" applyFont="1" applyNumberFormat="1"/>
    <xf borderId="67" fillId="0" fontId="2" numFmtId="173" xfId="0" applyBorder="1" applyFont="1" applyNumberFormat="1"/>
    <xf borderId="0" fillId="0" fontId="28" numFmtId="49" xfId="0" applyAlignment="1" applyFont="1" applyNumberFormat="1">
      <alignment horizontal="left" vertical="center"/>
    </xf>
    <xf borderId="0" fillId="0" fontId="29" numFmtId="49" xfId="0" applyAlignment="1" applyFont="1" applyNumberFormat="1">
      <alignment horizontal="center" vertical="center"/>
    </xf>
    <xf borderId="0" fillId="0" fontId="30" numFmtId="174" xfId="0" applyAlignment="1" applyFont="1" applyNumberFormat="1">
      <alignment horizontal="right" vertical="center"/>
    </xf>
    <xf borderId="0" fillId="0" fontId="31" numFmtId="175" xfId="0" applyAlignment="1" applyFont="1" applyNumberFormat="1">
      <alignment horizontal="right" vertical="center"/>
    </xf>
    <xf borderId="0" fillId="0" fontId="3" numFmtId="176" xfId="0" applyAlignment="1" applyFont="1" applyNumberFormat="1">
      <alignment horizontal="left"/>
    </xf>
    <xf borderId="0" fillId="0" fontId="32" numFmtId="0" xfId="0" applyAlignment="1" applyFont="1">
      <alignment horizontal="center"/>
    </xf>
    <xf borderId="0" fillId="0" fontId="3" numFmtId="49" xfId="0" applyAlignment="1" applyFont="1" applyNumberFormat="1">
      <alignment horizontal="left" vertical="center"/>
    </xf>
    <xf borderId="0" fillId="0" fontId="3" numFmtId="174" xfId="0" applyAlignment="1" applyFont="1" applyNumberFormat="1">
      <alignment horizontal="right" vertical="center"/>
    </xf>
    <xf borderId="1" fillId="11" fontId="3" numFmtId="175" xfId="0" applyAlignment="1" applyBorder="1" applyFill="1" applyFont="1" applyNumberFormat="1">
      <alignment horizontal="right" vertical="center"/>
    </xf>
    <xf borderId="0" fillId="0" fontId="3" numFmtId="172" xfId="0" applyAlignment="1" applyFont="1" applyNumberFormat="1">
      <alignment horizontal="left" vertical="center"/>
    </xf>
    <xf borderId="1" fillId="12" fontId="3" numFmtId="167" xfId="0" applyAlignment="1" applyBorder="1" applyFill="1" applyFont="1" applyNumberFormat="1">
      <alignment horizontal="center" vertical="center"/>
    </xf>
    <xf borderId="1" fillId="12" fontId="3" numFmtId="167" xfId="0" applyAlignment="1" applyBorder="1" applyFill="1" applyFont="1" applyNumberFormat="1">
      <alignment horizontal="center"/>
    </xf>
    <xf borderId="0" fillId="0" fontId="3" numFmtId="177" xfId="0" applyFont="1" applyNumberFormat="1"/>
    <xf borderId="0" fillId="0" fontId="3" numFmtId="170" xfId="0" applyAlignment="1" applyFont="1" applyNumberFormat="1">
      <alignment horizontal="center"/>
    </xf>
    <xf borderId="0" fillId="0" fontId="3" numFmtId="178" xfId="0" applyFont="1" applyNumberFormat="1"/>
    <xf borderId="1" fillId="11" fontId="3" numFmtId="0" xfId="0" applyAlignment="1" applyBorder="1" applyFill="1" applyFont="1">
      <alignment horizontal="right"/>
    </xf>
    <xf borderId="1" fillId="11" fontId="3" numFmtId="172" xfId="0" applyBorder="1" applyFill="1" applyFont="1" applyNumberFormat="1"/>
    <xf borderId="1" fillId="11" fontId="3" numFmtId="0" xfId="0" applyAlignment="1" applyBorder="1" applyFill="1" applyFont="1">
      <alignment horizontal="center"/>
    </xf>
    <xf borderId="0" fillId="0" fontId="3" numFmtId="175" xfId="0" applyAlignment="1" applyFont="1" applyNumberFormat="1">
      <alignment horizontal="right" vertical="center"/>
    </xf>
    <xf borderId="0" fillId="0" fontId="3" numFmtId="173" xfId="0" applyFont="1" applyNumberFormat="1"/>
    <xf borderId="0" fillId="0" fontId="3" numFmtId="172" xfId="0" applyAlignment="1" applyFont="1" applyNumberFormat="1">
      <alignment horizontal="center"/>
    </xf>
    <xf borderId="1" fillId="12" fontId="3" numFmtId="49" xfId="0" applyAlignment="1" applyBorder="1" applyFill="1" applyFont="1" applyNumberFormat="1">
      <alignment horizontal="left" vertical="center"/>
    </xf>
    <xf borderId="1" fillId="12" fontId="3" numFmtId="174" xfId="0" applyAlignment="1" applyBorder="1" applyFill="1" applyFont="1" applyNumberFormat="1">
      <alignment horizontal="right" vertical="center"/>
    </xf>
    <xf borderId="1" fillId="12" fontId="3" numFmtId="0" xfId="0" applyBorder="1" applyFill="1" applyFont="1"/>
    <xf borderId="1" fillId="12" fontId="3" numFmtId="175" xfId="0" applyAlignment="1" applyBorder="1" applyFill="1" applyFont="1" applyNumberFormat="1">
      <alignment horizontal="right" vertical="center"/>
    </xf>
    <xf borderId="1" fillId="12" fontId="3" numFmtId="179" xfId="0" applyAlignment="1" applyBorder="1" applyFill="1" applyFont="1" applyNumberFormat="1">
      <alignment horizontal="center" vertical="center"/>
    </xf>
    <xf borderId="1" fillId="12" fontId="3" numFmtId="179" xfId="0" applyAlignment="1" applyBorder="1" applyFill="1" applyFont="1" applyNumberFormat="1">
      <alignment horizontal="center"/>
    </xf>
    <xf borderId="0" fillId="0" fontId="3" numFmtId="180" xfId="0" applyAlignment="1" applyFont="1" applyNumberFormat="1">
      <alignment horizontal="left"/>
    </xf>
    <xf borderId="0" fillId="0" fontId="3" numFmtId="179" xfId="0" applyFont="1" applyNumberFormat="1"/>
    <xf borderId="0" fillId="0" fontId="3" numFmtId="167" xfId="0" applyFont="1" applyNumberFormat="1"/>
    <xf borderId="1" fillId="13" fontId="3" numFmtId="0" xfId="0" applyAlignment="1" applyBorder="1" applyFill="1" applyFont="1">
      <alignment horizontal="center"/>
    </xf>
    <xf borderId="0" fillId="0" fontId="3" numFmtId="49" xfId="0" applyAlignment="1" applyFont="1" applyNumberFormat="1">
      <alignment horizontal="center" vertical="center"/>
    </xf>
    <xf borderId="14" fillId="0" fontId="26" numFmtId="0" xfId="0" applyAlignment="1" applyBorder="1" applyFont="1">
      <alignment horizontal="center"/>
    </xf>
    <xf borderId="14" fillId="0" fontId="11" numFmtId="0" xfId="0" applyBorder="1" applyFont="1"/>
    <xf borderId="64" fillId="14" fontId="1" numFmtId="0" xfId="0" applyAlignment="1" applyBorder="1" applyFill="1" applyFont="1">
      <alignment horizontal="center"/>
    </xf>
    <xf borderId="68" fillId="14" fontId="1" numFmtId="0" xfId="0" applyAlignment="1" applyBorder="1" applyFill="1" applyFont="1">
      <alignment horizontal="center"/>
    </xf>
    <xf borderId="69" fillId="14" fontId="1" numFmtId="0" xfId="0" applyAlignment="1" applyBorder="1" applyFill="1" applyFont="1">
      <alignment horizontal="center"/>
    </xf>
    <xf borderId="70" fillId="14" fontId="1" numFmtId="0" xfId="0" applyAlignment="1" applyBorder="1" applyFill="1" applyFont="1">
      <alignment horizontal="center"/>
    </xf>
    <xf borderId="71" fillId="14" fontId="1" numFmtId="0" xfId="0" applyAlignment="1" applyBorder="1" applyFill="1" applyFont="1">
      <alignment horizontal="center"/>
    </xf>
    <xf borderId="72" fillId="0" fontId="1" numFmtId="0" xfId="0" applyBorder="1" applyFont="1"/>
    <xf borderId="73" fillId="0" fontId="1" numFmtId="37" xfId="0" applyAlignment="1" applyBorder="1" applyFont="1" applyNumberFormat="1">
      <alignment horizontal="center"/>
    </xf>
    <xf borderId="74" fillId="0" fontId="1" numFmtId="1" xfId="0" applyAlignment="1" applyBorder="1" applyFont="1" applyNumberFormat="1">
      <alignment horizontal="center"/>
    </xf>
    <xf borderId="75" fillId="0" fontId="1" numFmtId="1" xfId="0" applyAlignment="1" applyBorder="1" applyFont="1" applyNumberFormat="1">
      <alignment horizontal="center"/>
    </xf>
    <xf borderId="76" fillId="0" fontId="1" numFmtId="9" xfId="0" applyAlignment="1" applyBorder="1" applyFont="1" applyNumberFormat="1">
      <alignment horizontal="center"/>
    </xf>
    <xf borderId="77" fillId="0" fontId="1" numFmtId="9" xfId="0" applyAlignment="1" applyBorder="1" applyFont="1" applyNumberFormat="1">
      <alignment horizontal="center"/>
    </xf>
    <xf borderId="78" fillId="15" fontId="3" numFmtId="0" xfId="0" applyAlignment="1" applyBorder="1" applyFill="1" applyFont="1">
      <alignment horizontal="left" shrinkToFit="0" vertical="top" wrapText="1"/>
    </xf>
    <xf borderId="72" fillId="0" fontId="2" numFmtId="0" xfId="0" applyBorder="1" applyFont="1"/>
    <xf borderId="73" fillId="0" fontId="2" numFmtId="164" xfId="0" applyAlignment="1" applyBorder="1" applyFont="1" applyNumberFormat="1">
      <alignment horizontal="center"/>
    </xf>
    <xf borderId="74" fillId="0" fontId="2" numFmtId="164" xfId="0" applyAlignment="1" applyBorder="1" applyFont="1" applyNumberFormat="1">
      <alignment horizontal="center"/>
    </xf>
    <xf borderId="75" fillId="0" fontId="2" numFmtId="164" xfId="0" applyAlignment="1" applyBorder="1" applyFont="1" applyNumberFormat="1">
      <alignment horizontal="center"/>
    </xf>
    <xf borderId="74" fillId="0" fontId="2" numFmtId="9" xfId="0" applyAlignment="1" applyBorder="1" applyFont="1" applyNumberFormat="1">
      <alignment horizontal="center"/>
    </xf>
    <xf borderId="79" fillId="0" fontId="2" numFmtId="9" xfId="0" applyAlignment="1" applyBorder="1" applyFont="1" applyNumberFormat="1">
      <alignment horizontal="center"/>
    </xf>
    <xf borderId="72" fillId="0" fontId="11" numFmtId="0" xfId="0" applyBorder="1" applyFont="1"/>
    <xf borderId="73" fillId="0" fontId="2" numFmtId="9" xfId="0" applyAlignment="1" applyBorder="1" applyFont="1" applyNumberFormat="1">
      <alignment horizontal="center"/>
    </xf>
    <xf borderId="74" fillId="0" fontId="2" numFmtId="2" xfId="0" applyAlignment="1" applyBorder="1" applyFont="1" applyNumberFormat="1">
      <alignment horizontal="center"/>
    </xf>
    <xf borderId="75" fillId="0" fontId="2" numFmtId="2" xfId="0" applyAlignment="1" applyBorder="1" applyFont="1" applyNumberFormat="1">
      <alignment horizontal="center"/>
    </xf>
    <xf borderId="75" fillId="0" fontId="2" numFmtId="9" xfId="0" applyAlignment="1" applyBorder="1" applyFont="1" applyNumberFormat="1">
      <alignment horizontal="center"/>
    </xf>
    <xf borderId="80" fillId="0" fontId="1" numFmtId="0" xfId="0" applyBorder="1" applyFont="1"/>
    <xf borderId="81" fillId="0" fontId="2" numFmtId="0" xfId="0" applyBorder="1" applyFont="1"/>
    <xf borderId="82" fillId="0" fontId="2" numFmtId="164" xfId="0" applyAlignment="1" applyBorder="1" applyFont="1" applyNumberFormat="1">
      <alignment horizontal="center"/>
    </xf>
    <xf borderId="83" fillId="0" fontId="2" numFmtId="164" xfId="0" applyAlignment="1" applyBorder="1" applyFont="1" applyNumberFormat="1">
      <alignment horizontal="center"/>
    </xf>
    <xf borderId="82" fillId="0" fontId="2" numFmtId="9" xfId="0" applyAlignment="1" applyBorder="1" applyFont="1" applyNumberFormat="1">
      <alignment horizontal="center"/>
    </xf>
    <xf borderId="84" fillId="0" fontId="2" numFmtId="9" xfId="0" applyAlignment="1" applyBorder="1" applyFont="1" applyNumberFormat="1">
      <alignment horizontal="center"/>
    </xf>
    <xf borderId="72" fillId="0" fontId="2" numFmtId="0" xfId="0" applyAlignment="1" applyBorder="1" applyFont="1">
      <alignment horizontal="left"/>
    </xf>
    <xf borderId="73" fillId="0" fontId="2" numFmtId="0" xfId="0" applyAlignment="1" applyBorder="1" applyFont="1">
      <alignment horizontal="center"/>
    </xf>
    <xf borderId="85" fillId="0" fontId="2" numFmtId="0" xfId="0" applyAlignment="1" applyBorder="1" applyFont="1">
      <alignment horizontal="left"/>
    </xf>
    <xf borderId="86" fillId="0" fontId="2" numFmtId="164" xfId="0" applyAlignment="1" applyBorder="1" applyFont="1" applyNumberFormat="1">
      <alignment horizontal="center"/>
    </xf>
    <xf borderId="87" fillId="0" fontId="2" numFmtId="164" xfId="0" applyAlignment="1" applyBorder="1" applyFont="1" applyNumberFormat="1">
      <alignment horizontal="center"/>
    </xf>
    <xf borderId="88" fillId="0" fontId="2" numFmtId="164" xfId="0" applyAlignment="1" applyBorder="1" applyFont="1" applyNumberFormat="1">
      <alignment horizontal="center"/>
    </xf>
    <xf borderId="87" fillId="0" fontId="2" numFmtId="9" xfId="0" applyAlignment="1" applyBorder="1" applyFont="1" applyNumberFormat="1">
      <alignment horizontal="center"/>
    </xf>
    <xf borderId="89" fillId="0" fontId="2" numFmtId="9" xfId="0" applyAlignment="1" applyBorder="1" applyFont="1" applyNumberFormat="1">
      <alignment horizontal="center"/>
    </xf>
    <xf borderId="85" fillId="0" fontId="11" numFmtId="0" xfId="0" applyBorder="1" applyFont="1"/>
    <xf borderId="0" fillId="0" fontId="2" numFmtId="164" xfId="0" applyFont="1" applyNumberFormat="1"/>
    <xf borderId="64" fillId="16" fontId="1" numFmtId="0" xfId="0" applyAlignment="1" applyBorder="1" applyFill="1" applyFont="1">
      <alignment horizontal="center"/>
    </xf>
    <xf borderId="68" fillId="16" fontId="1" numFmtId="0" xfId="0" applyAlignment="1" applyBorder="1" applyFill="1" applyFont="1">
      <alignment horizontal="center"/>
    </xf>
    <xf borderId="69" fillId="16" fontId="1" numFmtId="0" xfId="0" applyAlignment="1" applyBorder="1" applyFill="1" applyFont="1">
      <alignment horizontal="center"/>
    </xf>
    <xf borderId="71" fillId="16" fontId="1" numFmtId="0" xfId="0" applyAlignment="1" applyBorder="1" applyFill="1" applyFont="1">
      <alignment horizontal="center"/>
    </xf>
    <xf borderId="64" fillId="17" fontId="1" numFmtId="0" xfId="0" applyAlignment="1" applyBorder="1" applyFill="1" applyFont="1">
      <alignment horizontal="center"/>
    </xf>
    <xf borderId="73" fillId="0" fontId="2" numFmtId="177" xfId="0" applyAlignment="1" applyBorder="1" applyFont="1" applyNumberFormat="1">
      <alignment horizontal="center"/>
    </xf>
    <xf borderId="64" fillId="10" fontId="1" numFmtId="0" xfId="0" applyAlignment="1" applyBorder="1" applyFill="1" applyFont="1">
      <alignment horizontal="center"/>
    </xf>
    <xf borderId="68" fillId="10" fontId="1" numFmtId="0" xfId="0" applyAlignment="1" applyBorder="1" applyFill="1" applyFont="1">
      <alignment horizontal="center"/>
    </xf>
    <xf borderId="69" fillId="10" fontId="1" numFmtId="0" xfId="0" applyAlignment="1" applyBorder="1" applyFill="1" applyFont="1">
      <alignment horizontal="center"/>
    </xf>
    <xf borderId="71" fillId="10" fontId="1" numFmtId="0" xfId="0" applyAlignment="1" applyBorder="1" applyFill="1" applyFont="1">
      <alignment horizontal="center"/>
    </xf>
    <xf borderId="73" fillId="0" fontId="1" numFmtId="164" xfId="0" applyAlignment="1" applyBorder="1" applyFont="1" applyNumberFormat="1">
      <alignment horizontal="center"/>
    </xf>
    <xf borderId="74" fillId="0" fontId="1" numFmtId="164" xfId="0" applyAlignment="1" applyBorder="1" applyFont="1" applyNumberFormat="1">
      <alignment horizontal="center"/>
    </xf>
    <xf borderId="75" fillId="0" fontId="1" numFmtId="164" xfId="0" applyAlignment="1" applyBorder="1" applyFont="1" applyNumberFormat="1">
      <alignment horizontal="center"/>
    </xf>
    <xf borderId="74" fillId="0" fontId="1" numFmtId="9" xfId="0" applyAlignment="1" applyBorder="1" applyFont="1" applyNumberFormat="1">
      <alignment horizontal="center"/>
    </xf>
    <xf borderId="79" fillId="0" fontId="1" numFmtId="9" xfId="0" applyAlignment="1" applyBorder="1" applyFont="1" applyNumberFormat="1">
      <alignment horizontal="center"/>
    </xf>
    <xf borderId="85" fillId="0" fontId="2" numFmtId="0" xfId="0" applyBorder="1" applyFont="1"/>
    <xf borderId="64" fillId="9" fontId="1" numFmtId="0" xfId="0" applyAlignment="1" applyBorder="1" applyFill="1" applyFont="1">
      <alignment horizontal="center"/>
    </xf>
    <xf borderId="68" fillId="9" fontId="1" numFmtId="0" xfId="0" applyAlignment="1" applyBorder="1" applyFill="1" applyFont="1">
      <alignment horizontal="center"/>
    </xf>
    <xf borderId="69" fillId="9" fontId="1" numFmtId="0" xfId="0" applyAlignment="1" applyBorder="1" applyFill="1" applyFont="1">
      <alignment horizontal="center"/>
    </xf>
    <xf borderId="71" fillId="9" fontId="1" numFmtId="0" xfId="0" applyAlignment="1" applyBorder="1" applyFill="1" applyFont="1">
      <alignment horizontal="center"/>
    </xf>
    <xf borderId="64" fillId="18" fontId="1" numFmtId="0" xfId="0" applyAlignment="1" applyBorder="1" applyFill="1" applyFont="1">
      <alignment horizontal="center"/>
    </xf>
    <xf borderId="72" fillId="0" fontId="1" numFmtId="0" xfId="0" applyAlignment="1" applyBorder="1" applyFont="1">
      <alignment horizontal="left"/>
    </xf>
    <xf borderId="64" fillId="13" fontId="1" numFmtId="0" xfId="0" applyAlignment="1" applyBorder="1" applyFill="1" applyFont="1">
      <alignment horizontal="center"/>
    </xf>
    <xf borderId="68" fillId="13" fontId="1" numFmtId="0" xfId="0" applyAlignment="1" applyBorder="1" applyFill="1" applyFont="1">
      <alignment horizontal="center"/>
    </xf>
    <xf borderId="69" fillId="13" fontId="1" numFmtId="0" xfId="0" applyAlignment="1" applyBorder="1" applyFill="1" applyFont="1">
      <alignment horizontal="center"/>
    </xf>
    <xf borderId="71" fillId="13" fontId="1" numFmtId="0" xfId="0" applyAlignment="1" applyBorder="1" applyFill="1" applyFont="1">
      <alignment horizontal="center"/>
    </xf>
    <xf borderId="90" fillId="19" fontId="1" numFmtId="0" xfId="0" applyAlignment="1" applyBorder="1" applyFill="1" applyFont="1">
      <alignment horizontal="center"/>
    </xf>
    <xf borderId="73" fillId="0" fontId="2" numFmtId="1" xfId="0" applyAlignment="1" applyBorder="1" applyFont="1" applyNumberFormat="1">
      <alignment horizontal="center"/>
    </xf>
    <xf borderId="74" fillId="0" fontId="2" numFmtId="1" xfId="0" applyAlignment="1" applyBorder="1" applyFont="1" applyNumberFormat="1">
      <alignment horizontal="center"/>
    </xf>
    <xf borderId="75" fillId="0" fontId="2" numFmtId="1" xfId="0" applyAlignment="1" applyBorder="1" applyFont="1" applyNumberFormat="1">
      <alignment horizontal="center"/>
    </xf>
    <xf borderId="64" fillId="20" fontId="1" numFmtId="0" xfId="0" applyAlignment="1" applyBorder="1" applyFill="1" applyFont="1">
      <alignment horizontal="center"/>
    </xf>
    <xf borderId="68" fillId="20" fontId="1" numFmtId="0" xfId="0" applyAlignment="1" applyBorder="1" applyFill="1" applyFont="1">
      <alignment horizontal="center"/>
    </xf>
    <xf borderId="69" fillId="20" fontId="1" numFmtId="0" xfId="0" applyAlignment="1" applyBorder="1" applyFill="1" applyFont="1">
      <alignment horizontal="center"/>
    </xf>
    <xf borderId="71" fillId="20" fontId="1" numFmtId="0" xfId="0" applyAlignment="1" applyBorder="1" applyFill="1" applyFont="1">
      <alignment horizontal="center"/>
    </xf>
    <xf borderId="64" fillId="21" fontId="1" numFmtId="0" xfId="0" applyAlignment="1" applyBorder="1" applyFill="1" applyFont="1">
      <alignment horizontal="center"/>
    </xf>
    <xf borderId="76" fillId="0" fontId="2" numFmtId="164" xfId="0" applyAlignment="1" applyBorder="1" applyFont="1" applyNumberFormat="1">
      <alignment horizontal="center"/>
    </xf>
    <xf borderId="91" fillId="0" fontId="2" numFmtId="164" xfId="0" applyAlignment="1" applyBorder="1" applyFont="1" applyNumberFormat="1">
      <alignment horizontal="center"/>
    </xf>
    <xf borderId="73" fillId="0" fontId="2" numFmtId="170" xfId="0" applyAlignment="1" applyBorder="1" applyFont="1" applyNumberFormat="1">
      <alignment horizontal="center"/>
    </xf>
    <xf borderId="86" fillId="0" fontId="2" numFmtId="170" xfId="0" applyAlignment="1" applyBorder="1" applyFont="1" applyNumberFormat="1">
      <alignment horizontal="center"/>
    </xf>
    <xf borderId="87" fillId="0" fontId="2" numFmtId="2" xfId="0" applyAlignment="1" applyBorder="1" applyFont="1" applyNumberFormat="1">
      <alignment horizontal="center"/>
    </xf>
    <xf borderId="88" fillId="0" fontId="2" numFmtId="2" xfId="0" applyAlignment="1" applyBorder="1" applyFont="1" applyNumberFormat="1">
      <alignment horizontal="center"/>
    </xf>
    <xf borderId="92" fillId="0" fontId="2" numFmtId="0" xfId="0" applyBorder="1" applyFont="1"/>
    <xf borderId="93" fillId="0" fontId="33" numFmtId="0" xfId="0" applyBorder="1" applyFont="1"/>
    <xf borderId="94" fillId="0" fontId="2" numFmtId="0" xfId="0" applyBorder="1" applyFont="1"/>
    <xf borderId="59" fillId="0" fontId="1" numFmtId="0" xfId="0" applyAlignment="1" applyBorder="1" applyFont="1">
      <alignment horizontal="left"/>
    </xf>
    <xf borderId="0" fillId="0" fontId="1" numFmtId="164" xfId="0" applyAlignment="1" applyFont="1" applyNumberFormat="1">
      <alignment horizontal="center"/>
    </xf>
    <xf borderId="58" fillId="0" fontId="2" numFmtId="10" xfId="0" applyAlignment="1" applyBorder="1" applyFont="1" applyNumberFormat="1">
      <alignment horizontal="center"/>
    </xf>
    <xf borderId="0" fillId="0" fontId="2" numFmtId="164" xfId="0" applyAlignment="1" applyFont="1" applyNumberFormat="1">
      <alignment horizontal="right"/>
    </xf>
    <xf borderId="58" fillId="0" fontId="2" numFmtId="0" xfId="0" applyBorder="1" applyFont="1"/>
    <xf borderId="59" fillId="0" fontId="2" numFmtId="0" xfId="0" applyBorder="1" applyFont="1"/>
    <xf borderId="61" fillId="0" fontId="1" numFmtId="0" xfId="0" applyAlignment="1" applyBorder="1" applyFont="1">
      <alignment horizontal="left"/>
    </xf>
    <xf borderId="63" fillId="0" fontId="2" numFmtId="164" xfId="0" applyAlignment="1" applyBorder="1" applyFont="1" applyNumberFormat="1">
      <alignment horizontal="right"/>
    </xf>
    <xf borderId="62" fillId="0" fontId="2" numFmtId="10" xfId="0" applyAlignment="1" applyBorder="1" applyFont="1" applyNumberFormat="1">
      <alignment horizontal="center"/>
    </xf>
    <xf borderId="92" fillId="0" fontId="1" numFmtId="0" xfId="0" applyAlignment="1" applyBorder="1" applyFont="1">
      <alignment horizontal="center" vertical="center"/>
    </xf>
    <xf borderId="93" fillId="0" fontId="34" numFmtId="0" xfId="0" applyAlignment="1" applyBorder="1" applyFont="1">
      <alignment horizontal="center" vertical="center"/>
    </xf>
    <xf borderId="94" fillId="0" fontId="35" numFmtId="0" xfId="0" applyAlignment="1" applyBorder="1" applyFont="1">
      <alignment horizontal="center" vertical="center"/>
    </xf>
    <xf borderId="59" fillId="0" fontId="2" numFmtId="0" xfId="0" applyAlignment="1" applyBorder="1" applyFont="1">
      <alignment horizontal="center" vertical="center"/>
    </xf>
    <xf borderId="0" fillId="0" fontId="1" numFmtId="164" xfId="0" applyAlignment="1" applyFont="1" applyNumberFormat="1">
      <alignment horizontal="center" vertical="center"/>
    </xf>
    <xf borderId="58" fillId="0" fontId="1" numFmtId="164" xfId="0" applyAlignment="1" applyBorder="1" applyFont="1" applyNumberFormat="1">
      <alignment horizontal="center" vertical="center"/>
    </xf>
    <xf borderId="0" fillId="0" fontId="2" numFmtId="164" xfId="0" applyAlignment="1" applyFont="1" applyNumberFormat="1">
      <alignment horizontal="center" vertical="center"/>
    </xf>
    <xf borderId="58" fillId="0" fontId="2" numFmtId="164" xfId="0" applyAlignment="1" applyBorder="1" applyFont="1" applyNumberFormat="1">
      <alignment horizontal="center" vertical="center"/>
    </xf>
    <xf borderId="61" fillId="0" fontId="2" numFmtId="0" xfId="0" applyAlignment="1" applyBorder="1" applyFont="1">
      <alignment horizontal="center" vertical="center"/>
    </xf>
    <xf borderId="63" fillId="0" fontId="2" numFmtId="164" xfId="0" applyAlignment="1" applyBorder="1" applyFont="1" applyNumberFormat="1">
      <alignment horizontal="center" vertical="center"/>
    </xf>
    <xf borderId="62" fillId="0" fontId="2" numFmtId="164" xfId="0" applyAlignment="1" applyBorder="1" applyFont="1" applyNumberFormat="1">
      <alignment horizontal="center" vertical="center"/>
    </xf>
    <xf borderId="1" fillId="22" fontId="36" numFmtId="0" xfId="0" applyBorder="1" applyFill="1" applyFont="1"/>
    <xf borderId="1" fillId="22" fontId="36" numFmtId="0" xfId="0" applyAlignment="1" applyBorder="1" applyFill="1" applyFont="1">
      <alignment horizontal="center" vertical="center"/>
    </xf>
    <xf borderId="1" fillId="22" fontId="37" numFmtId="0" xfId="0" applyAlignment="1" applyBorder="1" applyFill="1" applyFont="1">
      <alignment horizontal="left" vertical="center"/>
    </xf>
    <xf borderId="1" fillId="22" fontId="36" numFmtId="0" xfId="0" applyAlignment="1" applyBorder="1" applyFill="1" applyFont="1">
      <alignment horizontal="center"/>
    </xf>
    <xf borderId="1" fillId="22" fontId="36" numFmtId="3" xfId="0" applyBorder="1" applyFill="1" applyFont="1" applyNumberFormat="1"/>
    <xf borderId="1" fillId="22" fontId="36" numFmtId="0" xfId="0" applyAlignment="1" applyBorder="1" applyFill="1" applyFont="1">
      <alignment horizontal="right"/>
    </xf>
    <xf borderId="0" fillId="0" fontId="15" numFmtId="0" xfId="0" applyAlignment="1" applyFont="1">
      <alignment horizontal="center" vertical="center"/>
    </xf>
    <xf borderId="0" fillId="0" fontId="15" numFmtId="0" xfId="0" applyFont="1"/>
    <xf borderId="0" fillId="0" fontId="9" numFmtId="0" xfId="0" applyAlignment="1" applyFont="1">
      <alignment horizontal="center"/>
    </xf>
    <xf borderId="10" fillId="23" fontId="38" numFmtId="0" xfId="0" applyBorder="1" applyFill="1" applyFont="1"/>
    <xf borderId="11" fillId="23" fontId="39" numFmtId="0" xfId="0" applyBorder="1" applyFill="1" applyFont="1"/>
    <xf borderId="3" fillId="0" fontId="10" numFmtId="0" xfId="0" applyBorder="1" applyFont="1"/>
    <xf borderId="17" fillId="0" fontId="4" numFmtId="0" xfId="0" applyAlignment="1" applyBorder="1" applyFont="1">
      <alignment horizontal="center"/>
    </xf>
    <xf borderId="3" fillId="0" fontId="4" numFmtId="0" xfId="0" applyAlignment="1" applyBorder="1" applyFont="1">
      <alignment horizontal="center"/>
    </xf>
    <xf borderId="21" fillId="23" fontId="40" numFmtId="0" xfId="0" applyBorder="1" applyFill="1" applyFont="1"/>
    <xf borderId="22" fillId="23" fontId="40" numFmtId="10" xfId="0" applyBorder="1" applyFill="1" applyFont="1" applyNumberFormat="1"/>
    <xf borderId="6" fillId="0" fontId="10" numFmtId="0" xfId="0" applyBorder="1" applyFont="1"/>
    <xf borderId="95" fillId="0" fontId="10" numFmtId="3" xfId="0" applyAlignment="1" applyBorder="1" applyFont="1" applyNumberFormat="1">
      <alignment horizontal="center"/>
    </xf>
    <xf borderId="0" fillId="0" fontId="10" numFmtId="3" xfId="0" applyAlignment="1" applyFont="1" applyNumberFormat="1">
      <alignment horizontal="center"/>
    </xf>
    <xf borderId="9" fillId="0" fontId="10" numFmtId="3" xfId="0" applyAlignment="1" applyBorder="1" applyFont="1" applyNumberFormat="1">
      <alignment horizontal="center"/>
    </xf>
    <xf borderId="8" fillId="0" fontId="10" numFmtId="3" xfId="0" applyAlignment="1" applyBorder="1" applyFont="1" applyNumberFormat="1">
      <alignment horizontal="center"/>
    </xf>
    <xf borderId="96" fillId="0" fontId="10" numFmtId="0" xfId="0" applyBorder="1" applyFont="1"/>
    <xf borderId="14" fillId="0" fontId="10" numFmtId="3" xfId="0" applyAlignment="1" applyBorder="1" applyFont="1" applyNumberFormat="1">
      <alignment horizontal="center"/>
    </xf>
    <xf borderId="5" fillId="0" fontId="10" numFmtId="3" xfId="0" applyBorder="1" applyFont="1" applyNumberFormat="1"/>
    <xf borderId="14" fillId="0" fontId="10" numFmtId="3" xfId="0" applyAlignment="1" applyBorder="1" applyFont="1" applyNumberFormat="1">
      <alignment horizontal="right"/>
    </xf>
    <xf borderId="14" fillId="0" fontId="10" numFmtId="3" xfId="0" applyBorder="1" applyFont="1" applyNumberFormat="1"/>
    <xf borderId="5" fillId="0" fontId="10" numFmtId="37" xfId="0" applyBorder="1" applyFont="1" applyNumberFormat="1"/>
    <xf borderId="96" fillId="0" fontId="10" numFmtId="3" xfId="0" applyAlignment="1" applyBorder="1" applyFont="1" applyNumberFormat="1">
      <alignment horizontal="center"/>
    </xf>
    <xf borderId="5" fillId="0" fontId="10" numFmtId="3" xfId="0" applyAlignment="1" applyBorder="1" applyFont="1" applyNumberFormat="1">
      <alignment horizontal="center"/>
    </xf>
    <xf borderId="5" fillId="0" fontId="10" numFmtId="37" xfId="0" applyAlignment="1" applyBorder="1" applyFont="1" applyNumberFormat="1">
      <alignment horizontal="center"/>
    </xf>
    <xf borderId="8" fillId="0" fontId="10" numFmtId="0" xfId="0" applyBorder="1" applyFont="1"/>
    <xf borderId="0" fillId="0" fontId="10" numFmtId="3" xfId="0" applyFont="1" applyNumberFormat="1"/>
    <xf borderId="8" fillId="0" fontId="10" numFmtId="3" xfId="0" applyBorder="1" applyFont="1" applyNumberFormat="1"/>
    <xf borderId="0" fillId="0" fontId="10" numFmtId="37" xfId="0" applyFont="1" applyNumberFormat="1"/>
    <xf borderId="9" fillId="0" fontId="10" numFmtId="37" xfId="0" applyBorder="1" applyFont="1" applyNumberFormat="1"/>
    <xf borderId="9" fillId="0" fontId="10" numFmtId="3" xfId="0" applyBorder="1" applyFont="1" applyNumberFormat="1"/>
    <xf borderId="8" fillId="0" fontId="10" numFmtId="37" xfId="0" applyBorder="1" applyFont="1" applyNumberFormat="1"/>
    <xf borderId="12" fillId="23" fontId="39" numFmtId="0" xfId="0" applyBorder="1" applyFill="1" applyFont="1"/>
    <xf borderId="13" fillId="23" fontId="40" numFmtId="10" xfId="0" applyBorder="1" applyFill="1" applyFont="1" applyNumberFormat="1"/>
    <xf borderId="6" fillId="0" fontId="4" numFmtId="37" xfId="0" applyBorder="1" applyFont="1" applyNumberFormat="1"/>
    <xf borderId="6" fillId="0" fontId="4" numFmtId="0" xfId="0" applyBorder="1" applyFont="1"/>
    <xf borderId="95" fillId="0" fontId="4" numFmtId="3" xfId="0" applyBorder="1" applyFont="1" applyNumberFormat="1"/>
    <xf borderId="7" fillId="0" fontId="4" numFmtId="3" xfId="0" applyBorder="1" applyFont="1" applyNumberFormat="1"/>
    <xf borderId="6" fillId="0" fontId="4" numFmtId="3" xfId="0" applyBorder="1" applyFont="1" applyNumberFormat="1"/>
    <xf borderId="20" fillId="24" fontId="4" numFmtId="3" xfId="0" applyBorder="1" applyFill="1" applyFont="1" applyNumberFormat="1"/>
    <xf borderId="95" fillId="0" fontId="4" numFmtId="37" xfId="0" applyBorder="1" applyFont="1" applyNumberFormat="1"/>
    <xf borderId="26" fillId="4" fontId="4" numFmtId="37" xfId="0" applyBorder="1" applyFill="1" applyFont="1" applyNumberFormat="1"/>
    <xf borderId="7" fillId="0" fontId="4" numFmtId="37" xfId="0" applyBorder="1" applyFont="1" applyNumberFormat="1"/>
    <xf borderId="0" fillId="0" fontId="9" numFmtId="1" xfId="0" applyAlignment="1" applyFont="1" applyNumberFormat="1">
      <alignment horizontal="right"/>
    </xf>
    <xf borderId="0" fillId="0" fontId="9" numFmtId="1" xfId="0" applyAlignment="1" applyFont="1" applyNumberFormat="1">
      <alignment horizontal="left"/>
    </xf>
    <xf borderId="8" fillId="0" fontId="4" numFmtId="0" xfId="0" applyBorder="1" applyFont="1"/>
    <xf borderId="0" fillId="0" fontId="4" numFmtId="3" xfId="0" applyFont="1" applyNumberFormat="1"/>
    <xf borderId="9" fillId="0" fontId="4" numFmtId="0" xfId="0" applyBorder="1" applyFont="1"/>
    <xf borderId="0" fillId="0" fontId="4" numFmtId="37" xfId="0" applyFont="1" applyNumberFormat="1"/>
    <xf borderId="9" fillId="0" fontId="4" numFmtId="37" xfId="0" applyBorder="1" applyFont="1" applyNumberFormat="1"/>
    <xf borderId="8" fillId="0" fontId="14" numFmtId="170" xfId="0" applyAlignment="1" applyBorder="1" applyFont="1" applyNumberFormat="1">
      <alignment vertical="center"/>
    </xf>
    <xf borderId="9" fillId="0" fontId="14" numFmtId="170" xfId="0" applyAlignment="1" applyBorder="1" applyFont="1" applyNumberFormat="1">
      <alignment vertical="center"/>
    </xf>
    <xf borderId="9" fillId="0" fontId="4" numFmtId="170" xfId="0" applyBorder="1" applyFont="1" applyNumberFormat="1"/>
    <xf borderId="96" fillId="0" fontId="4" numFmtId="0" xfId="0" applyBorder="1" applyFont="1"/>
    <xf borderId="14" fillId="0" fontId="4" numFmtId="3" xfId="0" applyBorder="1" applyFont="1" applyNumberFormat="1"/>
    <xf borderId="5" fillId="0" fontId="4" numFmtId="3" xfId="0" applyBorder="1" applyFont="1" applyNumberFormat="1"/>
    <xf borderId="96" fillId="0" fontId="4" numFmtId="3" xfId="0" applyBorder="1" applyFont="1" applyNumberFormat="1"/>
    <xf borderId="96" fillId="0" fontId="10" numFmtId="3" xfId="0" applyBorder="1" applyFont="1" applyNumberFormat="1"/>
    <xf borderId="14" fillId="0" fontId="10" numFmtId="37" xfId="0" applyBorder="1" applyFont="1" applyNumberFormat="1"/>
    <xf borderId="9" fillId="0" fontId="10" numFmtId="0" xfId="0" applyBorder="1" applyFont="1"/>
    <xf borderId="8" fillId="0" fontId="10" numFmtId="170" xfId="0" applyBorder="1" applyFont="1" applyNumberFormat="1"/>
    <xf borderId="9" fillId="0" fontId="10" numFmtId="170" xfId="0" applyBorder="1" applyFont="1" applyNumberFormat="1"/>
    <xf borderId="8" fillId="0" fontId="4" numFmtId="3" xfId="0" applyBorder="1" applyFont="1" applyNumberFormat="1"/>
    <xf borderId="23" fillId="24" fontId="10" numFmtId="3" xfId="0" applyBorder="1" applyFill="1" applyFont="1" applyNumberFormat="1"/>
    <xf borderId="95" fillId="0" fontId="10" numFmtId="3" xfId="0" applyBorder="1" applyFont="1" applyNumberFormat="1"/>
    <xf borderId="7" fillId="0" fontId="10" numFmtId="3" xfId="0" applyBorder="1" applyFont="1" applyNumberFormat="1"/>
    <xf borderId="6" fillId="0" fontId="10" numFmtId="3" xfId="0" applyBorder="1" applyFont="1" applyNumberFormat="1"/>
    <xf borderId="95" fillId="0" fontId="10" numFmtId="37" xfId="0" applyBorder="1" applyFont="1" applyNumberFormat="1"/>
    <xf borderId="7" fillId="0" fontId="10" numFmtId="37" xfId="0" applyBorder="1" applyFont="1" applyNumberFormat="1"/>
    <xf borderId="0" fillId="0" fontId="10" numFmtId="172" xfId="0" applyFont="1" applyNumberFormat="1"/>
    <xf borderId="8" fillId="0" fontId="4" numFmtId="170" xfId="0" applyBorder="1" applyFont="1" applyNumberFormat="1"/>
    <xf borderId="10" fillId="3" fontId="4" numFmtId="0" xfId="0" applyBorder="1" applyFill="1" applyFont="1"/>
    <xf borderId="27" fillId="3" fontId="4" numFmtId="37" xfId="0" applyBorder="1" applyFill="1" applyFont="1" applyNumberFormat="1"/>
    <xf borderId="27" fillId="3" fontId="4" numFmtId="3" xfId="0" applyBorder="1" applyFill="1" applyFont="1" applyNumberFormat="1"/>
    <xf borderId="11" fillId="3" fontId="4" numFmtId="37" xfId="0" applyBorder="1" applyFill="1" applyFont="1" applyNumberFormat="1"/>
    <xf borderId="10" fillId="3" fontId="4" numFmtId="37" xfId="0" applyBorder="1" applyFill="1" applyFont="1" applyNumberFormat="1"/>
    <xf borderId="12" fillId="3" fontId="4" numFmtId="0" xfId="0" applyBorder="1" applyFill="1" applyFont="1"/>
    <xf borderId="28" fillId="3" fontId="4" numFmtId="0" xfId="0" applyBorder="1" applyFill="1" applyFont="1"/>
    <xf borderId="13" fillId="3" fontId="4" numFmtId="0" xfId="0" applyBorder="1" applyFill="1" applyFont="1"/>
    <xf borderId="28" fillId="3" fontId="4" numFmtId="37" xfId="0" applyBorder="1" applyFill="1" applyFont="1" applyNumberFormat="1"/>
    <xf borderId="13" fillId="3" fontId="4" numFmtId="37" xfId="0" applyBorder="1" applyFill="1" applyFont="1" applyNumberFormat="1"/>
    <xf borderId="12" fillId="3" fontId="4" numFmtId="170" xfId="0" applyBorder="1" applyFill="1" applyFont="1" applyNumberFormat="1"/>
    <xf borderId="13" fillId="3" fontId="4" numFmtId="170" xfId="0" applyBorder="1" applyFill="1" applyFont="1" applyNumberFormat="1"/>
    <xf borderId="13" fillId="10" fontId="4" numFmtId="170" xfId="0" applyBorder="1" applyFill="1" applyFont="1" applyNumberFormat="1"/>
    <xf borderId="0" fillId="0" fontId="10" numFmtId="0" xfId="0" applyAlignment="1" applyFont="1">
      <alignment horizontal="left"/>
    </xf>
    <xf borderId="0" fillId="0" fontId="9" numFmtId="37" xfId="0" applyFont="1" applyNumberFormat="1"/>
    <xf borderId="8" fillId="0" fontId="4" numFmtId="0" xfId="0" applyAlignment="1" applyBorder="1" applyFont="1">
      <alignment horizontal="left"/>
    </xf>
    <xf borderId="0" fillId="0" fontId="10" numFmtId="37" xfId="0" applyAlignment="1" applyFont="1" applyNumberFormat="1">
      <alignment horizontal="center"/>
    </xf>
    <xf borderId="0" fillId="0" fontId="10" numFmtId="170" xfId="0" applyAlignment="1" applyFont="1" applyNumberFormat="1">
      <alignment horizontal="right"/>
    </xf>
    <xf borderId="14" fillId="0" fontId="10" numFmtId="170" xfId="0" applyAlignment="1" applyBorder="1" applyFont="1" applyNumberFormat="1">
      <alignment horizontal="right"/>
    </xf>
    <xf borderId="96" fillId="0" fontId="10" numFmtId="170" xfId="0" applyBorder="1" applyFont="1" applyNumberFormat="1"/>
    <xf borderId="0" fillId="0" fontId="10" numFmtId="0" xfId="0" applyAlignment="1" applyFont="1">
      <alignment horizontal="right"/>
    </xf>
    <xf borderId="8" fillId="0" fontId="10" numFmtId="0" xfId="0" applyAlignment="1" applyBorder="1" applyFont="1">
      <alignment horizontal="right"/>
    </xf>
    <xf borderId="0" fillId="0" fontId="9" numFmtId="3" xfId="0" applyFont="1" applyNumberFormat="1"/>
    <xf borderId="14" fillId="0" fontId="10" numFmtId="0" xfId="0" applyAlignment="1" applyBorder="1" applyFont="1">
      <alignment horizontal="right"/>
    </xf>
    <xf borderId="96" fillId="0" fontId="10" numFmtId="0" xfId="0" applyAlignment="1" applyBorder="1" applyFont="1">
      <alignment horizontal="right"/>
    </xf>
    <xf borderId="97" fillId="0" fontId="10" numFmtId="37" xfId="0" applyBorder="1" applyFont="1" applyNumberFormat="1"/>
    <xf borderId="29" fillId="3" fontId="4" numFmtId="0" xfId="0" applyBorder="1" applyFill="1" applyFont="1"/>
    <xf borderId="30" fillId="3" fontId="4" numFmtId="0" xfId="0" applyAlignment="1" applyBorder="1" applyFill="1" applyFont="1">
      <alignment horizontal="center"/>
    </xf>
    <xf borderId="30" fillId="3" fontId="4" numFmtId="170" xfId="0" applyBorder="1" applyFill="1" applyFont="1" applyNumberFormat="1"/>
    <xf borderId="31" fillId="3" fontId="4" numFmtId="37" xfId="0" applyBorder="1" applyFill="1" applyFont="1" applyNumberFormat="1"/>
    <xf borderId="29" fillId="3" fontId="4" numFmtId="0" xfId="0" applyAlignment="1" applyBorder="1" applyFill="1" applyFont="1">
      <alignment horizontal="center"/>
    </xf>
    <xf borderId="32" fillId="3" fontId="10" numFmtId="0" xfId="0" applyBorder="1" applyFill="1" applyFont="1"/>
    <xf borderId="29" fillId="3" fontId="10" numFmtId="0" xfId="0" applyBorder="1" applyFill="1" applyFont="1"/>
    <xf borderId="8" fillId="0" fontId="12" numFmtId="0" xfId="0" applyBorder="1" applyFont="1"/>
    <xf borderId="96" fillId="0" fontId="12" numFmtId="0" xfId="0" applyBorder="1" applyFont="1"/>
    <xf borderId="95" fillId="0" fontId="10" numFmtId="0" xfId="0" applyAlignment="1" applyBorder="1" applyFont="1">
      <alignment horizontal="right"/>
    </xf>
    <xf borderId="95" fillId="0" fontId="10" numFmtId="0" xfId="0" applyBorder="1" applyFont="1"/>
    <xf borderId="6" fillId="0" fontId="10" numFmtId="0" xfId="0" applyAlignment="1" applyBorder="1" applyFont="1">
      <alignment horizontal="right"/>
    </xf>
    <xf borderId="14" fillId="0" fontId="10" numFmtId="0" xfId="0" applyBorder="1" applyFont="1"/>
    <xf borderId="0" fillId="0" fontId="15" numFmtId="37" xfId="0" applyFont="1" applyNumberFormat="1"/>
    <xf borderId="21" fillId="4" fontId="10" numFmtId="0" xfId="0" applyBorder="1" applyFill="1" applyFont="1"/>
    <xf borderId="0" fillId="0" fontId="10" numFmtId="167" xfId="0" applyFont="1" applyNumberFormat="1"/>
    <xf borderId="8" fillId="0" fontId="10" numFmtId="181" xfId="0" applyBorder="1" applyFont="1" applyNumberFormat="1"/>
    <xf borderId="0" fillId="0" fontId="10" numFmtId="9" xfId="0" applyAlignment="1" applyFont="1" applyNumberFormat="1">
      <alignment horizontal="right"/>
    </xf>
    <xf borderId="8" fillId="0" fontId="10" numFmtId="9" xfId="0" applyBorder="1" applyFont="1" applyNumberFormat="1"/>
    <xf borderId="21" fillId="6" fontId="4" numFmtId="0" xfId="0" applyBorder="1" applyFill="1" applyFont="1"/>
    <xf borderId="1" fillId="6" fontId="10" numFmtId="0" xfId="0" applyBorder="1" applyFill="1" applyFont="1"/>
    <xf borderId="1" fillId="6" fontId="4" numFmtId="0" xfId="0" applyBorder="1" applyFill="1" applyFont="1"/>
    <xf borderId="22" fillId="6" fontId="4" numFmtId="37" xfId="0" applyBorder="1" applyFill="1" applyFont="1" applyNumberFormat="1"/>
    <xf borderId="21" fillId="6" fontId="10" numFmtId="0" xfId="0" applyBorder="1" applyFill="1" applyFont="1"/>
    <xf borderId="23" fillId="6" fontId="10" numFmtId="0" xfId="0" applyBorder="1" applyFill="1" applyFont="1"/>
    <xf borderId="24" fillId="6" fontId="10" numFmtId="0" xfId="0" applyBorder="1" applyFill="1" applyFont="1"/>
    <xf borderId="25" fillId="6" fontId="4" numFmtId="37" xfId="0" applyBorder="1" applyFill="1" applyFont="1" applyNumberFormat="1"/>
    <xf borderId="37" fillId="3" fontId="4" numFmtId="0" xfId="0" applyBorder="1" applyFill="1" applyFont="1"/>
    <xf borderId="38" fillId="3" fontId="4" numFmtId="0" xfId="0" applyAlignment="1" applyBorder="1" applyFill="1" applyFont="1">
      <alignment horizontal="center"/>
    </xf>
    <xf borderId="38" fillId="3" fontId="4" numFmtId="170" xfId="0" applyBorder="1" applyFill="1" applyFont="1" applyNumberFormat="1"/>
    <xf borderId="39" fillId="3" fontId="4" numFmtId="37" xfId="0" applyBorder="1" applyFill="1" applyFont="1" applyNumberFormat="1"/>
    <xf borderId="37" fillId="3" fontId="4" numFmtId="0" xfId="0" applyAlignment="1" applyBorder="1" applyFill="1" applyFont="1">
      <alignment horizontal="center"/>
    </xf>
    <xf borderId="98" fillId="3" fontId="10" numFmtId="0" xfId="0" applyBorder="1" applyFill="1" applyFont="1"/>
    <xf borderId="37" fillId="3" fontId="10" numFmtId="0" xfId="0" applyBorder="1" applyFill="1" applyFont="1"/>
    <xf borderId="0" fillId="0" fontId="13" numFmtId="1" xfId="0" applyFont="1" applyNumberFormat="1"/>
    <xf borderId="0" fillId="0" fontId="13" numFmtId="9" xfId="0" applyFont="1" applyNumberFormat="1"/>
    <xf borderId="0" fillId="0" fontId="13" numFmtId="37" xfId="0" applyFont="1" applyNumberFormat="1"/>
    <xf borderId="96" fillId="0" fontId="10" numFmtId="0" xfId="0" applyAlignment="1" applyBorder="1" applyFont="1">
      <alignment horizontal="center"/>
    </xf>
    <xf borderId="5" fillId="0" fontId="10" numFmtId="0" xfId="0" applyAlignment="1" applyBorder="1" applyFont="1">
      <alignment horizontal="center"/>
    </xf>
    <xf borderId="96" fillId="0" fontId="10" numFmtId="37" xfId="0" applyAlignment="1" applyBorder="1" applyFont="1" applyNumberFormat="1">
      <alignment horizontal="center"/>
    </xf>
    <xf borderId="26" fillId="24" fontId="4" numFmtId="37" xfId="0" applyBorder="1" applyFill="1" applyFont="1" applyNumberFormat="1"/>
    <xf borderId="8" fillId="0" fontId="14" numFmtId="170" xfId="0" applyBorder="1" applyFont="1" applyNumberFormat="1"/>
    <xf borderId="9" fillId="0" fontId="14" numFmtId="170" xfId="0" applyBorder="1" applyFont="1" applyNumberFormat="1"/>
    <xf borderId="21" fillId="24" fontId="10" numFmtId="3" xfId="0" applyBorder="1" applyFill="1" applyFont="1" applyNumberFormat="1"/>
    <xf borderId="22" fillId="24" fontId="10" numFmtId="37" xfId="0" applyBorder="1" applyFill="1" applyFont="1" applyNumberFormat="1"/>
    <xf borderId="0" fillId="0" fontId="10" numFmtId="39" xfId="0" applyFont="1" applyNumberFormat="1"/>
    <xf borderId="5" fillId="0" fontId="4" numFmtId="37" xfId="0" applyBorder="1" applyFont="1" applyNumberFormat="1"/>
    <xf borderId="0" fillId="0" fontId="4" numFmtId="169" xfId="0" applyFont="1" applyNumberFormat="1"/>
    <xf borderId="8" fillId="0" fontId="4" numFmtId="37" xfId="0" applyBorder="1" applyFont="1" applyNumberFormat="1"/>
    <xf borderId="0" fillId="0" fontId="10" numFmtId="169" xfId="0" applyFont="1" applyNumberFormat="1"/>
    <xf borderId="0" fillId="0" fontId="10" numFmtId="170" xfId="0" applyFont="1" applyNumberFormat="1"/>
    <xf borderId="14" fillId="0" fontId="10" numFmtId="9" xfId="0" applyAlignment="1" applyBorder="1" applyFont="1" applyNumberFormat="1">
      <alignment horizontal="right"/>
    </xf>
    <xf borderId="0" fillId="0" fontId="9" numFmtId="170" xfId="0" applyFont="1" applyNumberFormat="1"/>
    <xf borderId="0" fillId="0" fontId="4" numFmtId="0" xfId="0" applyAlignment="1" applyFont="1">
      <alignment horizontal="center"/>
    </xf>
    <xf borderId="0" fillId="0" fontId="4" numFmtId="170" xfId="0" applyFont="1" applyNumberFormat="1"/>
    <xf borderId="8" fillId="0" fontId="4" numFmtId="0" xfId="0" applyAlignment="1" applyBorder="1" applyFont="1">
      <alignment horizontal="center"/>
    </xf>
    <xf borderId="0" fillId="0" fontId="10" numFmtId="9" xfId="0" applyFont="1" applyNumberFormat="1"/>
    <xf borderId="0" fillId="0" fontId="15" numFmtId="170" xfId="0" applyFont="1" applyNumberFormat="1"/>
    <xf borderId="8" fillId="0" fontId="10" numFmtId="0" xfId="0" applyAlignment="1" applyBorder="1" applyFont="1">
      <alignment horizontal="center"/>
    </xf>
    <xf borderId="9" fillId="0" fontId="10" numFmtId="0" xfId="0" applyAlignment="1" applyBorder="1" applyFont="1">
      <alignment horizontal="center"/>
    </xf>
    <xf borderId="9" fillId="0" fontId="10" numFmtId="37" xfId="0" applyAlignment="1" applyBorder="1" applyFont="1" applyNumberFormat="1">
      <alignment horizontal="center"/>
    </xf>
    <xf borderId="96" fillId="0" fontId="12" numFmtId="170" xfId="0" applyAlignment="1" applyBorder="1" applyFont="1" applyNumberFormat="1">
      <alignment vertical="center"/>
    </xf>
    <xf borderId="5" fillId="0" fontId="10" numFmtId="170" xfId="0" applyBorder="1" applyFont="1" applyNumberFormat="1"/>
    <xf borderId="0" fillId="0" fontId="41" numFmtId="0" xfId="0" applyFont="1"/>
    <xf borderId="8" fillId="0" fontId="12" numFmtId="170" xfId="0" applyAlignment="1" applyBorder="1" applyFont="1" applyNumberFormat="1">
      <alignment vertical="center"/>
    </xf>
    <xf borderId="0" fillId="0" fontId="15" numFmtId="0" xfId="0" applyAlignment="1" applyFont="1">
      <alignment horizontal="center"/>
    </xf>
    <xf borderId="8" fillId="0" fontId="42" numFmtId="3" xfId="0" applyBorder="1" applyFont="1" applyNumberFormat="1"/>
    <xf borderId="0" fillId="0" fontId="42" numFmtId="37" xfId="0" applyFont="1" applyNumberFormat="1"/>
    <xf borderId="9" fillId="0" fontId="42" numFmtId="37" xfId="0" applyBorder="1" applyFont="1" applyNumberFormat="1"/>
    <xf borderId="14" fillId="0" fontId="10" numFmtId="39" xfId="0" applyAlignment="1" applyBorder="1" applyFont="1" applyNumberFormat="1">
      <alignment horizontal="center"/>
    </xf>
    <xf borderId="96" fillId="0" fontId="10" numFmtId="37" xfId="0" applyBorder="1" applyFont="1" applyNumberFormat="1"/>
    <xf borderId="0" fillId="0" fontId="10" numFmtId="10" xfId="0" applyFont="1" applyNumberFormat="1"/>
    <xf borderId="6" fillId="0" fontId="10" numFmtId="170" xfId="0" applyBorder="1" applyFont="1" applyNumberFormat="1"/>
    <xf borderId="14" fillId="0" fontId="10" numFmtId="169" xfId="0" applyBorder="1" applyFont="1" applyNumberFormat="1"/>
    <xf borderId="99" fillId="0" fontId="10" numFmtId="37" xfId="0" applyBorder="1" applyFont="1" applyNumberFormat="1"/>
    <xf borderId="10" fillId="6" fontId="4" numFmtId="0" xfId="0" applyBorder="1" applyFill="1" applyFont="1"/>
    <xf borderId="27" fillId="6" fontId="4" numFmtId="37" xfId="0" applyBorder="1" applyFill="1" applyFont="1" applyNumberFormat="1"/>
    <xf borderId="11" fillId="6" fontId="4" numFmtId="37" xfId="0" applyBorder="1" applyFill="1" applyFont="1" applyNumberFormat="1"/>
    <xf borderId="10" fillId="6" fontId="4" numFmtId="37" xfId="0" applyBorder="1" applyFill="1" applyFont="1" applyNumberFormat="1"/>
    <xf borderId="100" fillId="0" fontId="4" numFmtId="37" xfId="0" applyBorder="1" applyFont="1" applyNumberFormat="1"/>
    <xf borderId="101" fillId="0" fontId="4" numFmtId="37" xfId="0" applyBorder="1" applyFont="1" applyNumberFormat="1"/>
    <xf borderId="102" fillId="0" fontId="4" numFmtId="37" xfId="0" applyBorder="1" applyFont="1" applyNumberFormat="1"/>
    <xf borderId="100" fillId="0" fontId="4" numFmtId="170" xfId="0" applyBorder="1" applyFont="1" applyNumberFormat="1"/>
    <xf borderId="23" fillId="6" fontId="4" numFmtId="0" xfId="0" applyBorder="1" applyFill="1" applyFont="1"/>
    <xf borderId="24" fillId="6" fontId="4" numFmtId="37" xfId="0" applyBorder="1" applyFill="1" applyFont="1" applyNumberFormat="1"/>
    <xf borderId="24" fillId="6" fontId="4" numFmtId="39" xfId="0" applyAlignment="1" applyBorder="1" applyFill="1" applyFont="1" applyNumberFormat="1">
      <alignment horizontal="center"/>
    </xf>
    <xf borderId="25" fillId="6" fontId="4" numFmtId="170" xfId="0" applyBorder="1" applyFill="1" applyFont="1" applyNumberFormat="1"/>
    <xf borderId="23" fillId="6" fontId="4" numFmtId="37" xfId="0" applyBorder="1" applyFill="1" applyFont="1" applyNumberFormat="1"/>
    <xf borderId="96" fillId="0" fontId="4" numFmtId="37" xfId="0" applyBorder="1" applyFont="1" applyNumberFormat="1"/>
    <xf borderId="14" fillId="0" fontId="4" numFmtId="39" xfId="0" applyAlignment="1" applyBorder="1" applyFont="1" applyNumberFormat="1">
      <alignment horizontal="center"/>
    </xf>
    <xf borderId="5" fillId="0" fontId="4" numFmtId="170" xfId="0" applyBorder="1" applyFont="1" applyNumberFormat="1"/>
    <xf borderId="95" fillId="0" fontId="10" numFmtId="169" xfId="0" applyBorder="1" applyFont="1" applyNumberFormat="1"/>
    <xf borderId="20" fillId="6" fontId="4" numFmtId="0" xfId="0" applyBorder="1" applyFill="1" applyFont="1"/>
    <xf borderId="15" fillId="6" fontId="4" numFmtId="37" xfId="0" applyBorder="1" applyFill="1" applyFont="1" applyNumberFormat="1"/>
    <xf borderId="15" fillId="6" fontId="4" numFmtId="169" xfId="0" applyBorder="1" applyFill="1" applyFont="1" applyNumberFormat="1"/>
    <xf borderId="26" fillId="6" fontId="4" numFmtId="37" xfId="0" applyBorder="1" applyFill="1" applyFont="1" applyNumberFormat="1"/>
    <xf borderId="20" fillId="6" fontId="4" numFmtId="37" xfId="0" applyBorder="1" applyFill="1" applyFont="1" applyNumberFormat="1"/>
    <xf borderId="8" fillId="0" fontId="10" numFmtId="1" xfId="0" applyBorder="1" applyFont="1" applyNumberFormat="1"/>
    <xf borderId="14" fillId="0" fontId="10" numFmtId="0" xfId="0" applyAlignment="1" applyBorder="1" applyFont="1">
      <alignment horizontal="center"/>
    </xf>
    <xf borderId="6" fillId="0" fontId="10" numFmtId="1" xfId="0" applyBorder="1" applyFont="1" applyNumberFormat="1"/>
    <xf borderId="14" fillId="0" fontId="10" numFmtId="2" xfId="0" applyBorder="1" applyFont="1" applyNumberFormat="1"/>
    <xf borderId="96" fillId="0" fontId="4" numFmtId="170" xfId="0" applyBorder="1" applyFont="1" applyNumberFormat="1"/>
    <xf borderId="6" fillId="0" fontId="12" numFmtId="0" xfId="0" applyBorder="1" applyFont="1"/>
    <xf borderId="103" fillId="0" fontId="10" numFmtId="0" xfId="0" applyBorder="1" applyFont="1"/>
    <xf borderId="104" fillId="0" fontId="10" numFmtId="0" xfId="0" applyBorder="1" applyFont="1"/>
    <xf borderId="105" fillId="0" fontId="10" numFmtId="0" xfId="0" applyBorder="1" applyFont="1"/>
    <xf borderId="104" fillId="0" fontId="4" numFmtId="0" xfId="0" applyBorder="1" applyFont="1"/>
    <xf borderId="95" fillId="0" fontId="4" numFmtId="170" xfId="0" applyBorder="1" applyFont="1" applyNumberFormat="1"/>
    <xf borderId="6" fillId="0" fontId="4" numFmtId="170" xfId="0" applyBorder="1" applyFont="1" applyNumberFormat="1"/>
    <xf borderId="5" fillId="0" fontId="10" numFmtId="0" xfId="0" applyBorder="1" applyFont="1"/>
    <xf borderId="14" fillId="0" fontId="10" numFmtId="170" xfId="0" applyBorder="1" applyFont="1" applyNumberFormat="1"/>
    <xf borderId="27" fillId="3" fontId="4" numFmtId="170" xfId="0" applyBorder="1" applyFill="1" applyFont="1" applyNumberFormat="1"/>
    <xf borderId="10" fillId="3" fontId="4" numFmtId="170" xfId="0" applyBorder="1" applyFill="1" applyFont="1" applyNumberFormat="1"/>
    <xf borderId="0" fillId="0" fontId="9" numFmtId="182" xfId="0" applyFont="1" applyNumberFormat="1"/>
    <xf borderId="0" fillId="0" fontId="10" numFmtId="182" xfId="0" applyFont="1" applyNumberFormat="1"/>
    <xf borderId="0" fillId="0" fontId="10" numFmtId="39" xfId="0" applyAlignment="1" applyFont="1" applyNumberFormat="1">
      <alignment horizontal="center"/>
    </xf>
    <xf borderId="1" fillId="25" fontId="43" numFmtId="0" xfId="0" applyBorder="1" applyFill="1" applyFont="1"/>
    <xf borderId="0" fillId="0" fontId="3" numFmtId="37" xfId="0" applyFont="1" applyNumberFormat="1"/>
    <xf borderId="1" fillId="22" fontId="36" numFmtId="0" xfId="0" applyAlignment="1" applyBorder="1" applyFill="1" applyFont="1">
      <alignment vertical="center"/>
    </xf>
    <xf borderId="1" fillId="22" fontId="44" numFmtId="0" xfId="0" applyAlignment="1" applyBorder="1" applyFill="1" applyFont="1">
      <alignment horizontal="center" vertical="center"/>
    </xf>
    <xf borderId="1" fillId="22" fontId="36" numFmtId="0" xfId="0" applyAlignment="1" applyBorder="1" applyFill="1" applyFont="1">
      <alignment horizontal="right" vertical="center"/>
    </xf>
    <xf borderId="0" fillId="0" fontId="14" numFmtId="0" xfId="0" applyAlignment="1" applyFont="1">
      <alignment horizontal="center" vertical="center"/>
    </xf>
    <xf borderId="106" fillId="0" fontId="10" numFmtId="0" xfId="0" applyAlignment="1" applyBorder="1" applyFont="1">
      <alignment horizontal="left"/>
    </xf>
    <xf borderId="107" fillId="0" fontId="4" numFmtId="0" xfId="0" applyAlignment="1" applyBorder="1" applyFont="1">
      <alignment horizontal="center" vertical="center"/>
    </xf>
    <xf borderId="107" fillId="0" fontId="11" numFmtId="0" xfId="0" applyBorder="1" applyFont="1"/>
    <xf borderId="108" fillId="0" fontId="11" numFmtId="0" xfId="0" applyBorder="1" applyFont="1"/>
    <xf borderId="109" fillId="0" fontId="4" numFmtId="0" xfId="0" applyAlignment="1" applyBorder="1" applyFont="1">
      <alignment horizontal="center" vertical="center"/>
    </xf>
    <xf borderId="110" fillId="0" fontId="11" numFmtId="0" xfId="0" applyBorder="1" applyFont="1"/>
    <xf borderId="88" fillId="0" fontId="10" numFmtId="0" xfId="0" applyAlignment="1" applyBorder="1" applyFont="1">
      <alignment horizontal="center"/>
    </xf>
    <xf borderId="111" fillId="0" fontId="10" numFmtId="0" xfId="0" applyAlignment="1" applyBorder="1" applyFont="1">
      <alignment horizontal="center"/>
    </xf>
    <xf borderId="112" fillId="0" fontId="10" numFmtId="0" xfId="0" applyAlignment="1" applyBorder="1" applyFont="1">
      <alignment horizontal="center"/>
    </xf>
    <xf borderId="14" fillId="0" fontId="12" numFmtId="0" xfId="0" applyBorder="1" applyFont="1"/>
    <xf borderId="88" fillId="0" fontId="12" numFmtId="37" xfId="0" applyBorder="1" applyFont="1" applyNumberFormat="1"/>
    <xf borderId="111" fillId="0" fontId="12" numFmtId="37" xfId="0" applyBorder="1" applyFont="1" applyNumberFormat="1"/>
    <xf borderId="14" fillId="0" fontId="12" numFmtId="37" xfId="0" applyBorder="1" applyFont="1" applyNumberFormat="1"/>
    <xf borderId="14" fillId="0" fontId="12" numFmtId="170" xfId="0" applyBorder="1" applyFont="1" applyNumberFormat="1"/>
    <xf borderId="112" fillId="0" fontId="12" numFmtId="37" xfId="0" applyBorder="1" applyFont="1" applyNumberFormat="1"/>
    <xf borderId="5" fillId="0" fontId="12" numFmtId="170" xfId="0" applyBorder="1" applyFont="1" applyNumberFormat="1"/>
    <xf borderId="23" fillId="3" fontId="14" numFmtId="0" xfId="0" applyBorder="1" applyFill="1" applyFont="1"/>
    <xf borderId="24" fillId="3" fontId="14" numFmtId="0" xfId="0" applyBorder="1" applyFill="1" applyFont="1"/>
    <xf borderId="113" fillId="3" fontId="14" numFmtId="9" xfId="0" applyBorder="1" applyFill="1" applyFont="1" applyNumberFormat="1"/>
    <xf borderId="114" fillId="3" fontId="14" numFmtId="37" xfId="0" applyBorder="1" applyFill="1" applyFont="1" applyNumberFormat="1"/>
    <xf borderId="24" fillId="3" fontId="14" numFmtId="37" xfId="0" applyBorder="1" applyFill="1" applyFont="1" applyNumberFormat="1"/>
    <xf borderId="113" fillId="3" fontId="14" numFmtId="37" xfId="0" applyBorder="1" applyFill="1" applyFont="1" applyNumberFormat="1"/>
    <xf borderId="24" fillId="3" fontId="14" numFmtId="170" xfId="0" applyBorder="1" applyFill="1" applyFont="1" applyNumberFormat="1"/>
    <xf borderId="115" fillId="3" fontId="14" numFmtId="37" xfId="0" applyBorder="1" applyFill="1" applyFont="1" applyNumberFormat="1"/>
    <xf borderId="25" fillId="3" fontId="14" numFmtId="170" xfId="0" applyBorder="1" applyFill="1" applyFont="1" applyNumberFormat="1"/>
    <xf borderId="8" fillId="0" fontId="14" numFmtId="0" xfId="0" applyBorder="1" applyFont="1"/>
    <xf borderId="0" fillId="0" fontId="12" numFmtId="0" xfId="0" applyFont="1"/>
    <xf borderId="75" fillId="0" fontId="12" numFmtId="37" xfId="0" applyBorder="1" applyFont="1" applyNumberFormat="1"/>
    <xf borderId="116" fillId="0" fontId="12" numFmtId="37" xfId="0" applyBorder="1" applyFont="1" applyNumberFormat="1"/>
    <xf borderId="0" fillId="0" fontId="12" numFmtId="37" xfId="0" applyFont="1" applyNumberFormat="1"/>
    <xf borderId="0" fillId="0" fontId="12" numFmtId="170" xfId="0" applyFont="1" applyNumberFormat="1"/>
    <xf borderId="59" fillId="0" fontId="12" numFmtId="37" xfId="0" applyBorder="1" applyFont="1" applyNumberFormat="1"/>
    <xf borderId="7" fillId="0" fontId="12" numFmtId="170" xfId="0" applyBorder="1" applyFont="1" applyNumberFormat="1"/>
    <xf borderId="0" fillId="0" fontId="12" numFmtId="0" xfId="0" applyAlignment="1" applyFont="1">
      <alignment horizontal="right"/>
    </xf>
    <xf borderId="0" fillId="0" fontId="12" numFmtId="169" xfId="0" applyFont="1" applyNumberFormat="1"/>
    <xf borderId="116" fillId="0" fontId="12" numFmtId="0" xfId="0" applyBorder="1" applyFont="1"/>
    <xf borderId="9" fillId="0" fontId="12" numFmtId="170" xfId="0" applyBorder="1" applyFont="1" applyNumberFormat="1"/>
    <xf borderId="14" fillId="0" fontId="12" numFmtId="0" xfId="0" applyAlignment="1" applyBorder="1" applyFont="1">
      <alignment horizontal="right"/>
    </xf>
    <xf borderId="14" fillId="0" fontId="12" numFmtId="169" xfId="0" applyBorder="1" applyFont="1" applyNumberFormat="1"/>
    <xf borderId="111" fillId="0" fontId="12" numFmtId="0" xfId="0" applyBorder="1" applyFont="1"/>
    <xf borderId="88" fillId="0" fontId="12" numFmtId="170" xfId="0" applyBorder="1" applyFont="1" applyNumberFormat="1"/>
    <xf borderId="29" fillId="3" fontId="14" numFmtId="0" xfId="0" applyBorder="1" applyFill="1" applyFont="1"/>
    <xf borderId="30" fillId="3" fontId="14" numFmtId="0" xfId="0" applyBorder="1" applyFill="1" applyFont="1"/>
    <xf borderId="30" fillId="3" fontId="14" numFmtId="170" xfId="0" applyBorder="1" applyFill="1" applyFont="1" applyNumberFormat="1"/>
    <xf borderId="71" fillId="3" fontId="14" numFmtId="37" xfId="0" applyBorder="1" applyFill="1" applyFont="1" applyNumberFormat="1"/>
    <xf borderId="32" fillId="3" fontId="14" numFmtId="170" xfId="0" applyBorder="1" applyFill="1" applyFont="1" applyNumberFormat="1"/>
    <xf borderId="30" fillId="3" fontId="14" numFmtId="37" xfId="0" applyBorder="1" applyFill="1" applyFont="1" applyNumberFormat="1"/>
    <xf borderId="32" fillId="3" fontId="14" numFmtId="0" xfId="0" applyBorder="1" applyFill="1" applyFont="1"/>
    <xf borderId="117" fillId="3" fontId="14" numFmtId="37" xfId="0" applyBorder="1" applyFill="1" applyFont="1" applyNumberFormat="1"/>
    <xf borderId="75" fillId="0" fontId="12" numFmtId="170" xfId="0" applyBorder="1" applyFont="1" applyNumberFormat="1"/>
    <xf borderId="30" fillId="3" fontId="14" numFmtId="169" xfId="0" applyBorder="1" applyFill="1" applyFont="1" applyNumberFormat="1"/>
    <xf borderId="95" fillId="0" fontId="12" numFmtId="0" xfId="0" applyAlignment="1" applyBorder="1" applyFont="1">
      <alignment horizontal="right"/>
    </xf>
    <xf borderId="95" fillId="0" fontId="12" numFmtId="0" xfId="0" applyBorder="1" applyFont="1"/>
    <xf borderId="91" fillId="0" fontId="12" numFmtId="37" xfId="0" applyBorder="1" applyFont="1" applyNumberFormat="1"/>
    <xf borderId="118" fillId="0" fontId="12" numFmtId="0" xfId="0" applyBorder="1" applyFont="1"/>
    <xf borderId="95" fillId="0" fontId="12" numFmtId="169" xfId="0" applyBorder="1" applyFont="1" applyNumberFormat="1"/>
    <xf borderId="95" fillId="0" fontId="12" numFmtId="37" xfId="0" applyBorder="1" applyFont="1" applyNumberFormat="1"/>
    <xf borderId="95" fillId="0" fontId="12" numFmtId="170" xfId="0" applyBorder="1" applyFont="1" applyNumberFormat="1"/>
    <xf borderId="119" fillId="0" fontId="12" numFmtId="37" xfId="0" applyBorder="1" applyFont="1" applyNumberFormat="1"/>
    <xf borderId="0" fillId="0" fontId="9" numFmtId="9" xfId="0" applyFont="1" applyNumberFormat="1"/>
    <xf borderId="118" fillId="0" fontId="12" numFmtId="37" xfId="0" applyBorder="1" applyFont="1" applyNumberFormat="1"/>
    <xf borderId="30" fillId="3" fontId="12" numFmtId="0" xfId="0" applyBorder="1" applyFill="1" applyFont="1"/>
    <xf borderId="32" fillId="3" fontId="14" numFmtId="37" xfId="0" applyBorder="1" applyFill="1" applyFont="1" applyNumberFormat="1"/>
    <xf borderId="30" fillId="3" fontId="14" numFmtId="3" xfId="0" applyAlignment="1" applyBorder="1" applyFill="1" applyFont="1" applyNumberFormat="1">
      <alignment horizontal="center"/>
    </xf>
    <xf borderId="31" fillId="3" fontId="14" numFmtId="170" xfId="0" applyBorder="1" applyFill="1" applyFont="1" applyNumberFormat="1"/>
    <xf borderId="1" fillId="26" fontId="9" numFmtId="0" xfId="0" applyBorder="1" applyFill="1" applyFont="1"/>
    <xf borderId="0" fillId="0" fontId="14" numFmtId="170" xfId="0" applyFont="1" applyNumberFormat="1"/>
    <xf borderId="0" fillId="0" fontId="14" numFmtId="0" xfId="0" applyFont="1"/>
    <xf borderId="91" fillId="0" fontId="12" numFmtId="170" xfId="0" applyBorder="1" applyFont="1" applyNumberFormat="1"/>
    <xf borderId="75" fillId="0" fontId="12" numFmtId="0" xfId="0" applyBorder="1" applyFont="1"/>
    <xf borderId="59" fillId="0" fontId="12" numFmtId="0" xfId="0" applyBorder="1" applyFont="1"/>
    <xf borderId="120" fillId="0" fontId="12" numFmtId="170" xfId="0" applyBorder="1" applyFont="1" applyNumberFormat="1"/>
    <xf borderId="95" fillId="0" fontId="14" numFmtId="170" xfId="0" applyBorder="1" applyFont="1" applyNumberFormat="1"/>
    <xf borderId="95" fillId="0" fontId="14" numFmtId="0" xfId="0" applyBorder="1" applyFont="1"/>
    <xf borderId="118" fillId="0" fontId="14" numFmtId="170" xfId="0" applyBorder="1" applyFont="1" applyNumberFormat="1"/>
    <xf borderId="118" fillId="0" fontId="14" numFmtId="37" xfId="0" applyBorder="1" applyFont="1" applyNumberFormat="1"/>
    <xf borderId="95" fillId="0" fontId="14" numFmtId="37" xfId="0" applyBorder="1" applyFont="1" applyNumberFormat="1"/>
    <xf borderId="0" fillId="0" fontId="14" numFmtId="37" xfId="0" applyFont="1" applyNumberFormat="1"/>
    <xf borderId="0" fillId="0" fontId="14" numFmtId="1" xfId="0" applyFont="1" applyNumberFormat="1"/>
    <xf borderId="116" fillId="0" fontId="14" numFmtId="37" xfId="0" applyBorder="1" applyFont="1" applyNumberFormat="1"/>
    <xf borderId="116" fillId="0" fontId="14" numFmtId="170" xfId="0" applyBorder="1" applyFont="1" applyNumberFormat="1"/>
    <xf borderId="116" fillId="0" fontId="14" numFmtId="172" xfId="0" applyBorder="1" applyFont="1" applyNumberFormat="1"/>
    <xf borderId="117" fillId="3" fontId="12" numFmtId="37" xfId="0" applyBorder="1" applyFill="1" applyFont="1" applyNumberFormat="1"/>
    <xf borderId="20" fillId="6" fontId="14" numFmtId="0" xfId="0" applyBorder="1" applyFill="1" applyFont="1"/>
    <xf borderId="15" fillId="6" fontId="14" numFmtId="0" xfId="0" applyBorder="1" applyFill="1" applyFont="1"/>
    <xf borderId="15" fillId="6" fontId="14" numFmtId="37" xfId="0" applyBorder="1" applyFill="1" applyFont="1" applyNumberFormat="1"/>
    <xf borderId="121" fillId="6" fontId="12" numFmtId="37" xfId="0" applyBorder="1" applyFill="1" applyFont="1" applyNumberFormat="1"/>
    <xf borderId="15" fillId="6" fontId="12" numFmtId="0" xfId="0" applyBorder="1" applyFill="1" applyFont="1"/>
    <xf borderId="122" fillId="6" fontId="12" numFmtId="37" xfId="0" applyBorder="1" applyFill="1" applyFont="1" applyNumberFormat="1"/>
    <xf borderId="1" fillId="6" fontId="12" numFmtId="37" xfId="0" applyBorder="1" applyFill="1" applyFont="1" applyNumberFormat="1"/>
    <xf borderId="1" fillId="6" fontId="12" numFmtId="170" xfId="0" applyBorder="1" applyFill="1" applyFont="1" applyNumberFormat="1"/>
    <xf borderId="123" fillId="6" fontId="12" numFmtId="37" xfId="0" applyBorder="1" applyFill="1" applyFont="1" applyNumberFormat="1"/>
    <xf borderId="124" fillId="0" fontId="12" numFmtId="170" xfId="0" applyBorder="1" applyFont="1" applyNumberFormat="1"/>
    <xf borderId="40" fillId="3" fontId="14" numFmtId="0" xfId="0" applyBorder="1" applyFill="1" applyFont="1"/>
    <xf borderId="41" fillId="3" fontId="14" numFmtId="0" xfId="0" applyBorder="1" applyFill="1" applyFont="1"/>
    <xf borderId="41" fillId="3" fontId="14" numFmtId="0" xfId="0" applyAlignment="1" applyBorder="1" applyFill="1" applyFont="1">
      <alignment horizontal="center"/>
    </xf>
    <xf borderId="41" fillId="3" fontId="14" numFmtId="170" xfId="0" applyBorder="1" applyFill="1" applyFont="1" applyNumberFormat="1"/>
    <xf borderId="125" fillId="3" fontId="14" numFmtId="37" xfId="0" applyBorder="1" applyFill="1" applyFont="1" applyNumberFormat="1"/>
    <xf borderId="126" fillId="3" fontId="14" numFmtId="37" xfId="0" applyBorder="1" applyFill="1" applyFont="1" applyNumberFormat="1"/>
    <xf borderId="127" fillId="3" fontId="14" numFmtId="170" xfId="0" applyBorder="1" applyFill="1" applyFont="1" applyNumberFormat="1"/>
    <xf borderId="128" fillId="3" fontId="14" numFmtId="37" xfId="0" applyBorder="1" applyFill="1" applyFont="1" applyNumberFormat="1"/>
    <xf borderId="41" fillId="3" fontId="14" numFmtId="37" xfId="0" applyBorder="1" applyFill="1" applyFont="1" applyNumberFormat="1"/>
    <xf borderId="13" fillId="3" fontId="14" numFmtId="170" xfId="0" applyBorder="1" applyFill="1" applyFont="1" applyNumberFormat="1"/>
    <xf borderId="0" fillId="0" fontId="45" numFmtId="0" xfId="0" applyFont="1"/>
    <xf borderId="0" fillId="0" fontId="45" numFmtId="0" xfId="0" applyAlignment="1" applyFont="1">
      <alignment horizontal="center"/>
    </xf>
    <xf borderId="0" fillId="0" fontId="45" numFmtId="0" xfId="0" applyAlignment="1" applyFont="1">
      <alignment horizontal="right"/>
    </xf>
    <xf borderId="42" fillId="3" fontId="14" numFmtId="170" xfId="0" applyBorder="1" applyFill="1" applyFont="1" applyNumberFormat="1"/>
    <xf borderId="129" fillId="3" fontId="14" numFmtId="37" xfId="0" applyBorder="1" applyFill="1" applyFont="1" applyNumberFormat="1"/>
    <xf borderId="130" fillId="3" fontId="14" numFmtId="37" xfId="0" applyBorder="1" applyFill="1" applyFont="1" applyNumberFormat="1"/>
    <xf borderId="131" fillId="3" fontId="14" numFmtId="170" xfId="0" applyBorder="1" applyFill="1" applyFont="1" applyNumberFormat="1"/>
    <xf borderId="8" fillId="0" fontId="9" numFmtId="0" xfId="0" applyBorder="1" applyFont="1"/>
    <xf borderId="75" fillId="0" fontId="9" numFmtId="37" xfId="0" applyBorder="1" applyFont="1" applyNumberFormat="1"/>
    <xf borderId="132" fillId="0" fontId="9" numFmtId="0" xfId="0" applyBorder="1" applyFont="1"/>
    <xf borderId="75" fillId="0" fontId="9" numFmtId="0" xfId="0" applyBorder="1" applyFont="1"/>
    <xf borderId="59" fillId="0" fontId="9" numFmtId="0" xfId="0" applyBorder="1" applyFont="1"/>
    <xf borderId="9" fillId="0" fontId="9" numFmtId="0" xfId="0" applyBorder="1" applyFont="1"/>
    <xf borderId="116" fillId="0" fontId="9" numFmtId="0" xfId="0" applyBorder="1" applyFont="1"/>
    <xf borderId="0" fillId="0" fontId="9" numFmtId="172" xfId="0" applyFont="1" applyNumberFormat="1"/>
    <xf borderId="0" fillId="0" fontId="9" numFmtId="180" xfId="0" applyAlignment="1" applyFont="1" applyNumberFormat="1">
      <alignment horizontal="right"/>
    </xf>
    <xf borderId="0" fillId="0" fontId="3" numFmtId="10" xfId="0" applyFont="1" applyNumberFormat="1"/>
    <xf borderId="0" fillId="0" fontId="3" numFmtId="172" xfId="0" applyFont="1" applyNumberFormat="1"/>
    <xf borderId="0" fillId="0" fontId="9" numFmtId="181" xfId="0" applyFont="1" applyNumberFormat="1"/>
    <xf borderId="0" fillId="0" fontId="5" numFmtId="0" xfId="0" applyAlignment="1" applyFont="1">
      <alignment horizontal="center" vertical="center"/>
    </xf>
    <xf borderId="0" fillId="0" fontId="3" numFmtId="3" xfId="0" applyFont="1" applyNumberFormat="1"/>
    <xf borderId="0" fillId="0" fontId="46" numFmtId="0" xfId="0" applyFont="1"/>
    <xf borderId="0" fillId="0" fontId="3" numFmtId="9" xfId="0" applyFont="1" applyNumberFormat="1"/>
    <xf borderId="0" fillId="0" fontId="9" numFmtId="17" xfId="0" applyAlignment="1" applyFont="1" applyNumberFormat="1">
      <alignment horizontal="right"/>
    </xf>
    <xf borderId="0" fillId="0" fontId="38" numFmtId="0" xfId="0" applyFont="1"/>
    <xf borderId="0" fillId="0" fontId="40" numFmtId="0" xfId="0" applyFont="1"/>
    <xf borderId="0" fillId="0" fontId="39" numFmtId="0" xfId="0" applyFont="1"/>
    <xf borderId="0" fillId="0" fontId="12" numFmtId="168" xfId="0" applyAlignment="1" applyFont="1" applyNumberFormat="1">
      <alignment horizontal="left"/>
    </xf>
    <xf borderId="3" fillId="0" fontId="12" numFmtId="0" xfId="0" applyBorder="1" applyFont="1"/>
    <xf borderId="17" fillId="0" fontId="14" numFmtId="0" xfId="0" applyAlignment="1" applyBorder="1" applyFont="1">
      <alignment horizontal="center"/>
    </xf>
    <xf borderId="3" fillId="0" fontId="14" numFmtId="0" xfId="0" applyAlignment="1" applyBorder="1" applyFont="1">
      <alignment horizontal="center"/>
    </xf>
    <xf borderId="0" fillId="0" fontId="14" numFmtId="0" xfId="0" applyAlignment="1" applyFont="1">
      <alignment horizontal="center"/>
    </xf>
    <xf borderId="0" fillId="0" fontId="12" numFmtId="0" xfId="0" applyAlignment="1" applyFont="1">
      <alignment horizontal="center"/>
    </xf>
    <xf borderId="9" fillId="0" fontId="12" numFmtId="0" xfId="0" applyAlignment="1" applyBorder="1" applyFont="1">
      <alignment horizontal="center"/>
    </xf>
    <xf borderId="8" fillId="0" fontId="12" numFmtId="0" xfId="0" applyAlignment="1" applyBorder="1" applyFont="1">
      <alignment horizontal="center"/>
    </xf>
    <xf borderId="0" fillId="0" fontId="12" numFmtId="10" xfId="0" applyAlignment="1" applyFont="1" applyNumberFormat="1">
      <alignment horizontal="center"/>
    </xf>
    <xf borderId="0" fillId="0" fontId="12" numFmtId="3" xfId="0" applyFont="1" applyNumberFormat="1"/>
    <xf borderId="9" fillId="0" fontId="12" numFmtId="37" xfId="0" applyBorder="1" applyFont="1" applyNumberFormat="1"/>
    <xf borderId="0" fillId="0" fontId="12" numFmtId="37" xfId="0" applyAlignment="1" applyFont="1" applyNumberFormat="1">
      <alignment horizontal="center"/>
    </xf>
    <xf borderId="9" fillId="0" fontId="12" numFmtId="37" xfId="0" applyAlignment="1" applyBorder="1" applyFont="1" applyNumberFormat="1">
      <alignment horizontal="center"/>
    </xf>
    <xf borderId="8" fillId="0" fontId="12" numFmtId="170" xfId="0" applyBorder="1" applyFont="1" applyNumberFormat="1"/>
    <xf borderId="14" fillId="0" fontId="12" numFmtId="0" xfId="0" applyAlignment="1" applyBorder="1" applyFont="1">
      <alignment horizontal="center"/>
    </xf>
    <xf borderId="14" fillId="0" fontId="12" numFmtId="10" xfId="0" applyAlignment="1" applyBorder="1" applyFont="1" applyNumberFormat="1">
      <alignment horizontal="center"/>
    </xf>
    <xf borderId="96" fillId="0" fontId="12" numFmtId="0" xfId="0" applyAlignment="1" applyBorder="1" applyFont="1">
      <alignment horizontal="center"/>
    </xf>
    <xf borderId="96" fillId="0" fontId="12" numFmtId="170" xfId="0" applyBorder="1" applyFont="1" applyNumberFormat="1"/>
    <xf borderId="5" fillId="0" fontId="12" numFmtId="37" xfId="0" applyBorder="1" applyFont="1" applyNumberFormat="1"/>
    <xf borderId="14" fillId="0" fontId="12" numFmtId="37" xfId="0" applyAlignment="1" applyBorder="1" applyFont="1" applyNumberFormat="1">
      <alignment horizontal="center"/>
    </xf>
    <xf borderId="5" fillId="0" fontId="12" numFmtId="37" xfId="0" applyAlignment="1" applyBorder="1" applyFont="1" applyNumberFormat="1">
      <alignment horizontal="center"/>
    </xf>
    <xf borderId="29" fillId="10" fontId="14" numFmtId="0" xfId="0" applyBorder="1" applyFill="1" applyFont="1"/>
    <xf borderId="30" fillId="10" fontId="14" numFmtId="37" xfId="0" applyAlignment="1" applyBorder="1" applyFill="1" applyFont="1" applyNumberFormat="1">
      <alignment horizontal="center"/>
    </xf>
    <xf borderId="30" fillId="10" fontId="14" numFmtId="37" xfId="0" applyBorder="1" applyFill="1" applyFont="1" applyNumberFormat="1"/>
    <xf borderId="30" fillId="10" fontId="14" numFmtId="10" xfId="0" applyBorder="1" applyFill="1" applyFont="1" applyNumberFormat="1"/>
    <xf borderId="29" fillId="10" fontId="14" numFmtId="1" xfId="0" applyBorder="1" applyFill="1" applyFont="1" applyNumberFormat="1"/>
    <xf borderId="29" fillId="10" fontId="14" numFmtId="37" xfId="0" applyBorder="1" applyFill="1" applyFont="1" applyNumberFormat="1"/>
    <xf borderId="29" fillId="10" fontId="14" numFmtId="170" xfId="0" applyBorder="1" applyFill="1" applyFont="1" applyNumberFormat="1"/>
    <xf borderId="31" fillId="10" fontId="14" numFmtId="37" xfId="0" applyBorder="1" applyFill="1" applyFont="1" applyNumberFormat="1"/>
    <xf borderId="0" fillId="0" fontId="12" numFmtId="10" xfId="0" applyFont="1" applyNumberFormat="1"/>
    <xf borderId="8" fillId="0" fontId="12" numFmtId="37" xfId="0" applyBorder="1" applyFont="1" applyNumberFormat="1"/>
    <xf borderId="9" fillId="0" fontId="14" numFmtId="37" xfId="0" applyBorder="1" applyFont="1" applyNumberFormat="1"/>
    <xf borderId="10" fillId="3" fontId="14" numFmtId="0" xfId="0" applyBorder="1" applyFill="1" applyFont="1"/>
    <xf borderId="27" fillId="3" fontId="14" numFmtId="37" xfId="0" applyBorder="1" applyFill="1" applyFont="1" applyNumberFormat="1"/>
    <xf borderId="27" fillId="3" fontId="14" numFmtId="10" xfId="0" applyBorder="1" applyFill="1" applyFont="1" applyNumberFormat="1"/>
    <xf borderId="11" fillId="3" fontId="14" numFmtId="37" xfId="0" applyBorder="1" applyFill="1" applyFont="1" applyNumberFormat="1"/>
    <xf borderId="10" fillId="3" fontId="14" numFmtId="37" xfId="0" applyBorder="1" applyFill="1" applyFont="1" applyNumberFormat="1"/>
    <xf borderId="10" fillId="3" fontId="14" numFmtId="170" xfId="0" applyBorder="1" applyFill="1" applyFont="1" applyNumberFormat="1"/>
    <xf borderId="10" fillId="3" fontId="14" numFmtId="10" xfId="0" applyBorder="1" applyFill="1" applyFont="1" applyNumberFormat="1"/>
    <xf borderId="12" fillId="3" fontId="14" numFmtId="0" xfId="0" applyBorder="1" applyFill="1" applyFont="1"/>
    <xf borderId="28" fillId="3" fontId="14" numFmtId="0" xfId="0" applyBorder="1" applyFill="1" applyFont="1"/>
    <xf borderId="28" fillId="3" fontId="14" numFmtId="10" xfId="0" applyBorder="1" applyFill="1" applyFont="1" applyNumberFormat="1"/>
    <xf borderId="28" fillId="3" fontId="14" numFmtId="37" xfId="0" applyBorder="1" applyFill="1" applyFont="1" applyNumberFormat="1"/>
    <xf borderId="12" fillId="3" fontId="14" numFmtId="170" xfId="0" applyBorder="1" applyFill="1" applyFont="1" applyNumberFormat="1"/>
    <xf borderId="0" fillId="0" fontId="12" numFmtId="172" xfId="0" applyFont="1" applyNumberFormat="1"/>
    <xf borderId="1" fillId="4" fontId="3" numFmtId="0" xfId="0" applyBorder="1" applyFill="1" applyFont="1"/>
    <xf borderId="0" fillId="0" fontId="47" numFmtId="0" xfId="0" applyAlignment="1" applyFont="1">
      <alignment horizontal="center" vertical="top"/>
    </xf>
    <xf borderId="0" fillId="0" fontId="48" numFmtId="172" xfId="0" applyAlignment="1" applyFont="1" applyNumberFormat="1">
      <alignment horizontal="center" vertical="top"/>
    </xf>
    <xf borderId="133" fillId="27" fontId="49" numFmtId="0" xfId="0" applyAlignment="1" applyBorder="1" applyFill="1" applyFont="1">
      <alignment horizontal="center" shrinkToFit="0" vertical="center" wrapText="1"/>
    </xf>
    <xf borderId="1" fillId="9" fontId="2" numFmtId="0" xfId="0" applyAlignment="1" applyBorder="1" applyFill="1" applyFont="1">
      <alignment horizontal="center"/>
    </xf>
    <xf borderId="0" fillId="0" fontId="3" numFmtId="183" xfId="0" applyAlignment="1" applyFont="1" applyNumberFormat="1">
      <alignment horizontal="center"/>
    </xf>
    <xf borderId="1" fillId="24" fontId="3" numFmtId="172" xfId="0" applyBorder="1" applyFill="1" applyFont="1" applyNumberFormat="1"/>
    <xf borderId="1" fillId="28" fontId="49" numFmtId="0" xfId="0" applyAlignment="1" applyBorder="1" applyFill="1" applyFont="1">
      <alignment horizontal="left" vertical="top"/>
    </xf>
    <xf borderId="1" fillId="8" fontId="1" numFmtId="0" xfId="0" applyBorder="1" applyFill="1" applyFont="1"/>
    <xf borderId="1" fillId="25" fontId="50" numFmtId="0" xfId="0" applyAlignment="1" applyBorder="1" applyFill="1" applyFont="1">
      <alignment horizontal="left" vertical="top"/>
    </xf>
    <xf borderId="1" fillId="8" fontId="2" numFmtId="0" xfId="0" applyBorder="1" applyFill="1" applyFont="1"/>
    <xf borderId="0" fillId="0" fontId="51" numFmtId="0" xfId="0" applyFont="1"/>
    <xf borderId="1" fillId="29" fontId="3" numFmtId="0" xfId="0" applyBorder="1" applyFill="1" applyFont="1"/>
    <xf borderId="1" fillId="29" fontId="50" numFmtId="0" xfId="0" applyAlignment="1" applyBorder="1" applyFill="1" applyFont="1">
      <alignment horizontal="left" vertical="top"/>
    </xf>
    <xf borderId="1" fillId="25" fontId="50" numFmtId="0" xfId="0" applyAlignment="1" applyBorder="1" applyFill="1" applyFont="1">
      <alignment horizontal="center" vertical="top"/>
    </xf>
    <xf borderId="1" fillId="29" fontId="50" numFmtId="0" xfId="0" applyAlignment="1" applyBorder="1" applyFill="1" applyFont="1">
      <alignment horizontal="center" vertical="top"/>
    </xf>
    <xf borderId="1" fillId="30" fontId="3" numFmtId="0" xfId="0" applyBorder="1" applyFill="1" applyFont="1"/>
    <xf borderId="1" fillId="30" fontId="50" numFmtId="0" xfId="0" applyAlignment="1" applyBorder="1" applyFill="1" applyFont="1">
      <alignment horizontal="left" vertical="top"/>
    </xf>
    <xf borderId="1" fillId="31" fontId="3" numFmtId="0" xfId="0" applyBorder="1" applyFill="1" applyFont="1"/>
    <xf quotePrefix="1" borderId="53" fillId="25" fontId="4" numFmtId="17" xfId="0" applyAlignment="1" applyBorder="1" applyFill="1" applyFont="1" applyNumberFormat="1">
      <alignment horizontal="center"/>
    </xf>
    <xf borderId="134" fillId="0" fontId="11" numFmtId="0" xfId="0" applyBorder="1" applyFont="1"/>
    <xf borderId="0" fillId="0" fontId="3" numFmtId="0" xfId="0" applyAlignment="1" applyFont="1">
      <alignment shrinkToFit="0" vertical="center" wrapText="1"/>
    </xf>
    <xf borderId="47" fillId="0" fontId="51" numFmtId="0" xfId="0" applyAlignment="1" applyBorder="1" applyFont="1">
      <alignment horizontal="center" shrinkToFit="0" vertical="center" wrapText="1"/>
    </xf>
    <xf borderId="93" fillId="0" fontId="51" numFmtId="0" xfId="0" applyAlignment="1" applyBorder="1" applyFont="1">
      <alignment horizontal="center" shrinkToFit="0" vertical="center" wrapText="1"/>
    </xf>
    <xf borderId="135" fillId="2" fontId="51" numFmtId="0" xfId="0" applyAlignment="1" applyBorder="1" applyFill="1" applyFont="1">
      <alignment horizontal="center" shrinkToFit="0" vertical="center" wrapText="1"/>
    </xf>
    <xf borderId="92" fillId="0" fontId="3" numFmtId="0" xfId="0" applyAlignment="1" applyBorder="1" applyFont="1">
      <alignment shrinkToFit="0" vertical="center" wrapText="1"/>
    </xf>
    <xf borderId="47" fillId="0" fontId="3" numFmtId="37" xfId="0" applyAlignment="1" applyBorder="1" applyFont="1" applyNumberFormat="1">
      <alignment horizontal="center" shrinkToFit="0" vertical="center" wrapText="1"/>
    </xf>
    <xf borderId="92" fillId="0" fontId="3" numFmtId="37" xfId="0" applyAlignment="1" applyBorder="1" applyFont="1" applyNumberFormat="1">
      <alignment horizontal="center" shrinkToFit="0" vertical="center" wrapText="1"/>
    </xf>
    <xf borderId="135" fillId="2" fontId="3" numFmtId="37" xfId="0" applyAlignment="1" applyBorder="1" applyFill="1" applyFont="1" applyNumberFormat="1">
      <alignment horizontal="center" shrinkToFit="0" vertical="center" wrapText="1"/>
    </xf>
    <xf borderId="93" fillId="0" fontId="3" numFmtId="37" xfId="0" applyAlignment="1" applyBorder="1" applyFont="1" applyNumberFormat="1">
      <alignment horizontal="center" shrinkToFit="0" vertical="center" wrapText="1"/>
    </xf>
    <xf borderId="59" fillId="0" fontId="3" numFmtId="0" xfId="0" applyAlignment="1" applyBorder="1" applyFont="1">
      <alignment shrinkToFit="0" vertical="center" wrapText="1"/>
    </xf>
    <xf borderId="60" fillId="0" fontId="3" numFmtId="37" xfId="0" applyAlignment="1" applyBorder="1" applyFont="1" applyNumberFormat="1">
      <alignment horizontal="center" shrinkToFit="0" vertical="center" wrapText="1"/>
    </xf>
    <xf borderId="59" fillId="0" fontId="3" numFmtId="37" xfId="0" applyAlignment="1" applyBorder="1" applyFont="1" applyNumberFormat="1">
      <alignment horizontal="center" shrinkToFit="0" vertical="center" wrapText="1"/>
    </xf>
    <xf borderId="0" fillId="0" fontId="3" numFmtId="37" xfId="0" applyAlignment="1" applyFont="1" applyNumberFormat="1">
      <alignment horizontal="center" shrinkToFit="0" vertical="center" wrapText="1"/>
    </xf>
    <xf borderId="136" fillId="2" fontId="3" numFmtId="37" xfId="0" applyAlignment="1" applyBorder="1" applyFill="1" applyFont="1" applyNumberFormat="1">
      <alignment horizontal="center" shrinkToFit="0" vertical="center" wrapText="1"/>
    </xf>
    <xf borderId="61" fillId="0" fontId="3" numFmtId="0" xfId="0" applyAlignment="1" applyBorder="1" applyFont="1">
      <alignment shrinkToFit="0" vertical="center" wrapText="1"/>
    </xf>
    <xf borderId="52" fillId="0" fontId="3" numFmtId="3" xfId="0" applyAlignment="1" applyBorder="1" applyFont="1" applyNumberFormat="1">
      <alignment horizontal="center" shrinkToFit="0" vertical="center" wrapText="1"/>
    </xf>
    <xf borderId="61" fillId="0" fontId="3" numFmtId="3" xfId="0" applyAlignment="1" applyBorder="1" applyFont="1" applyNumberFormat="1">
      <alignment horizontal="center" shrinkToFit="0" vertical="center" wrapText="1"/>
    </xf>
    <xf borderId="137" fillId="2" fontId="3" numFmtId="37" xfId="0" applyAlignment="1" applyBorder="1" applyFill="1" applyFont="1" applyNumberFormat="1">
      <alignment horizontal="center" shrinkToFit="0" vertical="center" wrapText="1"/>
    </xf>
    <xf borderId="63" fillId="0" fontId="3" numFmtId="3" xfId="0" applyAlignment="1" applyBorder="1" applyFont="1" applyNumberFormat="1">
      <alignment horizontal="center" shrinkToFit="0" vertical="center" wrapText="1"/>
    </xf>
    <xf borderId="59" fillId="0" fontId="3" numFmtId="0" xfId="0" applyBorder="1" applyFont="1"/>
    <xf borderId="60" fillId="0" fontId="3" numFmtId="179" xfId="0" applyAlignment="1" applyBorder="1" applyFont="1" applyNumberFormat="1">
      <alignment horizontal="right"/>
    </xf>
    <xf borderId="0" fillId="0" fontId="3" numFmtId="179" xfId="0" applyAlignment="1" applyFont="1" applyNumberFormat="1">
      <alignment horizontal="right"/>
    </xf>
    <xf borderId="136" fillId="2" fontId="3" numFmtId="179" xfId="0" applyAlignment="1" applyBorder="1" applyFill="1" applyFont="1" applyNumberFormat="1">
      <alignment horizontal="right"/>
    </xf>
    <xf borderId="138" fillId="0" fontId="3" numFmtId="0" xfId="0" applyBorder="1" applyFont="1"/>
    <xf borderId="139" fillId="0" fontId="3" numFmtId="179" xfId="0" applyAlignment="1" applyBorder="1" applyFont="1" applyNumberFormat="1">
      <alignment horizontal="right"/>
    </xf>
    <xf borderId="140" fillId="0" fontId="3" numFmtId="179" xfId="0" applyAlignment="1" applyBorder="1" applyFont="1" applyNumberFormat="1">
      <alignment horizontal="right"/>
    </xf>
    <xf borderId="141" fillId="2" fontId="3" numFmtId="179" xfId="0" applyAlignment="1" applyBorder="1" applyFill="1" applyFont="1" applyNumberFormat="1">
      <alignment horizontal="right"/>
    </xf>
    <xf borderId="142" fillId="0" fontId="51" numFmtId="0" xfId="0" applyBorder="1" applyFont="1"/>
    <xf borderId="143" fillId="0" fontId="51" numFmtId="179" xfId="0" applyAlignment="1" applyBorder="1" applyFont="1" applyNumberFormat="1">
      <alignment horizontal="right"/>
    </xf>
    <xf borderId="144" fillId="0" fontId="51" numFmtId="179" xfId="0" applyAlignment="1" applyBorder="1" applyFont="1" applyNumberFormat="1">
      <alignment horizontal="right"/>
    </xf>
    <xf borderId="145" fillId="2" fontId="51" numFmtId="179" xfId="0" applyAlignment="1" applyBorder="1" applyFill="1" applyFont="1" applyNumberFormat="1">
      <alignment horizontal="right"/>
    </xf>
    <xf borderId="92" fillId="0" fontId="51" numFmtId="0" xfId="0" applyAlignment="1" applyBorder="1" applyFont="1">
      <alignment horizontal="center" shrinkToFit="0" vertical="center" wrapText="1"/>
    </xf>
    <xf borderId="92" fillId="0" fontId="3" numFmtId="0" xfId="0" applyBorder="1" applyFont="1"/>
    <xf borderId="92" fillId="0" fontId="3" numFmtId="179" xfId="0" applyAlignment="1" applyBorder="1" applyFont="1" applyNumberFormat="1">
      <alignment horizontal="right"/>
    </xf>
    <xf borderId="135" fillId="2" fontId="3" numFmtId="179" xfId="0" applyAlignment="1" applyBorder="1" applyFill="1" applyFont="1" applyNumberFormat="1">
      <alignment horizontal="right"/>
    </xf>
    <xf borderId="93" fillId="0" fontId="3" numFmtId="179" xfId="0" applyAlignment="1" applyBorder="1" applyFont="1" applyNumberFormat="1">
      <alignment horizontal="right"/>
    </xf>
    <xf borderId="59" fillId="0" fontId="3" numFmtId="179" xfId="0" applyAlignment="1" applyBorder="1" applyFont="1" applyNumberFormat="1">
      <alignment horizontal="right"/>
    </xf>
    <xf borderId="138" fillId="0" fontId="3" numFmtId="179" xfId="0" applyAlignment="1" applyBorder="1" applyFont="1" applyNumberFormat="1">
      <alignment horizontal="right"/>
    </xf>
    <xf borderId="142" fillId="0" fontId="51" numFmtId="179" xfId="0" applyAlignment="1" applyBorder="1" applyFont="1" applyNumberFormat="1">
      <alignment horizontal="right"/>
    </xf>
    <xf borderId="146" fillId="2" fontId="3" numFmtId="37" xfId="0" applyAlignment="1" applyBorder="1" applyFill="1" applyFont="1" applyNumberFormat="1">
      <alignment horizontal="center" shrinkToFit="0" vertical="center" wrapText="1"/>
    </xf>
    <xf borderId="3" fillId="0" fontId="4" numFmtId="0" xfId="0" applyBorder="1" applyFont="1"/>
    <xf borderId="17" fillId="0" fontId="3" numFmtId="0" xfId="0" applyBorder="1" applyFont="1"/>
    <xf borderId="4" fillId="0" fontId="3" numFmtId="0" xfId="0" applyBorder="1" applyFont="1"/>
    <xf borderId="17" fillId="0" fontId="4" numFmtId="0" xfId="0" applyBorder="1" applyFont="1"/>
    <xf borderId="4" fillId="0" fontId="4" numFmtId="0" xfId="0" applyBorder="1" applyFont="1"/>
    <xf borderId="109" fillId="0" fontId="4" numFmtId="0" xfId="0" applyAlignment="1" applyBorder="1" applyFont="1">
      <alignment vertical="center"/>
    </xf>
    <xf borderId="107" fillId="0" fontId="3" numFmtId="0" xfId="0" applyBorder="1" applyFont="1"/>
    <xf borderId="108" fillId="0" fontId="3" numFmtId="0" xfId="0" applyBorder="1" applyFont="1"/>
    <xf borderId="147" fillId="4" fontId="12" numFmtId="37" xfId="0" applyBorder="1" applyFill="1" applyFont="1" applyNumberFormat="1"/>
    <xf borderId="114" fillId="4" fontId="12" numFmtId="37" xfId="0" applyBorder="1" applyFill="1" applyFont="1" applyNumberFormat="1"/>
  </cellXfs>
  <cellStyles count="1">
    <cellStyle xfId="0" name="Normal" builtinId="0"/>
  </cellStyles>
  <dxfs count="2">
    <dxf>
      <font/>
      <fill>
        <patternFill patternType="none"/>
      </fill>
      <border/>
    </dxf>
    <dxf>
      <font>
        <color rgb="FF9C0006"/>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customschemas.google.com/relationships/workbookmetadata" Target="metadata"/><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9.xml"/><Relationship Id="rId3"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4.xml"/><Relationship Id="rId3"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6.xml"/><Relationship Id="rId3" Type="http://schemas.openxmlformats.org/officeDocument/2006/relationships/vmlDrawing" Target="../drawings/vmlDrawing4.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0"/>
    <col customWidth="1" min="2" max="2" width="23.75"/>
    <col customWidth="1" min="3" max="9" width="9.38"/>
  </cols>
  <sheetData>
    <row r="1">
      <c r="A1" s="1" t="s">
        <v>0</v>
      </c>
      <c r="B1" s="2" t="s">
        <v>1</v>
      </c>
    </row>
    <row r="2">
      <c r="A2" s="1"/>
      <c r="G2" s="3"/>
      <c r="M2" s="4" t="s">
        <v>2</v>
      </c>
      <c r="N2" s="4" t="s">
        <v>3</v>
      </c>
    </row>
    <row r="3">
      <c r="A3" s="1" t="s">
        <v>4</v>
      </c>
      <c r="B3" s="2" t="s">
        <v>5</v>
      </c>
      <c r="C3" s="4">
        <f>+VLOOKUP(B3,$K$3:$L$14,2,0)</f>
        <v>9</v>
      </c>
      <c r="G3" s="3"/>
      <c r="K3" s="5" t="s">
        <v>6</v>
      </c>
      <c r="L3" s="4">
        <v>1.0</v>
      </c>
      <c r="M3" s="4" t="str">
        <f t="shared" ref="M3:M14" si="1">+IF($K3=$B$3,"X","")</f>
        <v/>
      </c>
      <c r="N3" s="4" t="str">
        <f t="shared" ref="N3:N14" si="2">+IF(K3=B3,"X",IF(L3&lt;=$C$3,"X",""))</f>
        <v>X</v>
      </c>
    </row>
    <row r="4">
      <c r="A4" s="1" t="s">
        <v>7</v>
      </c>
      <c r="B4" s="2">
        <v>2026.0</v>
      </c>
      <c r="K4" s="5" t="s">
        <v>8</v>
      </c>
      <c r="L4" s="4">
        <v>2.0</v>
      </c>
      <c r="M4" s="4" t="str">
        <f t="shared" si="1"/>
        <v/>
      </c>
      <c r="N4" s="4" t="str">
        <f t="shared" si="2"/>
        <v>X</v>
      </c>
    </row>
    <row r="5" ht="15.0" customHeight="1">
      <c r="K5" s="5" t="s">
        <v>9</v>
      </c>
      <c r="L5" s="4">
        <v>3.0</v>
      </c>
      <c r="M5" s="4" t="str">
        <f t="shared" si="1"/>
        <v/>
      </c>
      <c r="N5" s="4" t="str">
        <f t="shared" si="2"/>
        <v>X</v>
      </c>
    </row>
    <row r="6">
      <c r="A6" s="1"/>
      <c r="B6" s="6"/>
      <c r="K6" s="5" t="s">
        <v>10</v>
      </c>
      <c r="L6" s="4">
        <v>4.0</v>
      </c>
      <c r="M6" s="4" t="str">
        <f t="shared" si="1"/>
        <v/>
      </c>
      <c r="N6" s="4" t="str">
        <f t="shared" si="2"/>
        <v>X</v>
      </c>
    </row>
    <row r="7">
      <c r="A7" s="3"/>
      <c r="B7" s="7"/>
      <c r="K7" s="5" t="s">
        <v>11</v>
      </c>
      <c r="L7" s="4">
        <v>5.0</v>
      </c>
      <c r="M7" s="4" t="str">
        <f t="shared" si="1"/>
        <v/>
      </c>
      <c r="N7" s="4" t="str">
        <f t="shared" si="2"/>
        <v>X</v>
      </c>
    </row>
    <row r="8">
      <c r="A8" s="3"/>
      <c r="B8" s="7"/>
      <c r="K8" s="5" t="s">
        <v>12</v>
      </c>
      <c r="L8" s="4">
        <v>6.0</v>
      </c>
      <c r="M8" s="4" t="str">
        <f t="shared" si="1"/>
        <v/>
      </c>
      <c r="N8" s="4" t="str">
        <f t="shared" si="2"/>
        <v>X</v>
      </c>
    </row>
    <row r="9" ht="15.0" customHeight="1">
      <c r="A9" s="5" t="s">
        <v>13</v>
      </c>
      <c r="K9" s="5" t="s">
        <v>14</v>
      </c>
      <c r="L9" s="4">
        <v>7.0</v>
      </c>
      <c r="M9" s="4" t="str">
        <f t="shared" si="1"/>
        <v/>
      </c>
      <c r="N9" s="4" t="str">
        <f t="shared" si="2"/>
        <v>X</v>
      </c>
    </row>
    <row r="10">
      <c r="A10" s="3" t="s">
        <v>15</v>
      </c>
      <c r="I10" s="3"/>
      <c r="K10" s="5" t="s">
        <v>16</v>
      </c>
      <c r="L10" s="4">
        <v>8.0</v>
      </c>
      <c r="M10" s="4" t="str">
        <f t="shared" si="1"/>
        <v/>
      </c>
      <c r="N10" s="4" t="str">
        <f t="shared" si="2"/>
        <v>X</v>
      </c>
    </row>
    <row r="11">
      <c r="A11" s="3" t="s">
        <v>17</v>
      </c>
      <c r="I11" s="3"/>
      <c r="K11" s="5" t="s">
        <v>5</v>
      </c>
      <c r="L11" s="4">
        <v>9.0</v>
      </c>
      <c r="M11" s="4" t="str">
        <f t="shared" si="1"/>
        <v>X</v>
      </c>
      <c r="N11" s="4" t="str">
        <f t="shared" si="2"/>
        <v>X</v>
      </c>
    </row>
    <row r="12">
      <c r="A12" s="3"/>
      <c r="I12" s="3"/>
      <c r="K12" s="5" t="s">
        <v>18</v>
      </c>
      <c r="L12" s="4">
        <v>10.0</v>
      </c>
      <c r="M12" s="4" t="str">
        <f t="shared" si="1"/>
        <v/>
      </c>
      <c r="N12" s="4" t="str">
        <f t="shared" si="2"/>
        <v/>
      </c>
    </row>
    <row r="13">
      <c r="A13" s="3"/>
      <c r="I13" s="3"/>
      <c r="K13" s="5" t="s">
        <v>19</v>
      </c>
      <c r="L13" s="4">
        <v>11.0</v>
      </c>
      <c r="M13" s="4" t="str">
        <f t="shared" si="1"/>
        <v/>
      </c>
      <c r="N13" s="4" t="str">
        <f t="shared" si="2"/>
        <v/>
      </c>
    </row>
    <row r="14">
      <c r="A14" s="3"/>
      <c r="I14" s="3"/>
      <c r="K14" s="5" t="s">
        <v>20</v>
      </c>
      <c r="L14" s="4">
        <v>12.0</v>
      </c>
      <c r="M14" s="4" t="str">
        <f t="shared" si="1"/>
        <v/>
      </c>
      <c r="N14" s="4" t="str">
        <f t="shared" si="2"/>
        <v/>
      </c>
    </row>
    <row r="15">
      <c r="A15" s="3"/>
      <c r="I15" s="3"/>
    </row>
    <row r="16">
      <c r="I16" s="3"/>
    </row>
    <row r="17">
      <c r="I17" s="3"/>
    </row>
    <row r="18">
      <c r="I18" s="3"/>
    </row>
    <row r="19">
      <c r="I19" s="3"/>
    </row>
    <row r="20">
      <c r="I20" s="3"/>
    </row>
    <row r="21" ht="15.75" customHeight="1">
      <c r="I21" s="3"/>
    </row>
    <row r="22" ht="15.75" customHeight="1"/>
    <row r="23" ht="15.75" customHeight="1"/>
    <row r="24" ht="15.75" customHeight="1"/>
    <row r="25" ht="15.75" customHeight="1"/>
    <row r="26" ht="15.75" customHeight="1"/>
    <row r="27" ht="15.75" customHeight="1"/>
    <row r="28" ht="15.75" customHeight="1">
      <c r="A28" s="3"/>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B3 K3:K14">
      <formula1>$K$3:$K$14</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9.63"/>
    <col customWidth="1" min="2" max="3" width="14.75"/>
    <col customWidth="1" min="4" max="4" width="67.0"/>
    <col customWidth="1" min="5" max="5" width="14.88"/>
    <col customWidth="1" min="6" max="6" width="10.0"/>
    <col customWidth="1" min="7" max="7" width="39.13"/>
    <col customWidth="1" min="8" max="25" width="10.0"/>
  </cols>
  <sheetData>
    <row r="1">
      <c r="A1" s="8" t="s">
        <v>21</v>
      </c>
      <c r="B1" s="3"/>
      <c r="C1" s="3"/>
      <c r="D1" s="3"/>
      <c r="E1" s="3"/>
      <c r="F1" s="3"/>
      <c r="G1" s="3"/>
      <c r="H1" s="3"/>
      <c r="I1" s="3"/>
      <c r="J1" s="3"/>
      <c r="K1" s="3"/>
      <c r="L1" s="3"/>
      <c r="M1" s="3"/>
      <c r="N1" s="3"/>
      <c r="O1" s="3"/>
      <c r="P1" s="3"/>
      <c r="Q1" s="3"/>
      <c r="R1" s="3"/>
      <c r="S1" s="3"/>
      <c r="T1" s="3"/>
      <c r="U1" s="3"/>
      <c r="V1" s="3"/>
      <c r="W1" s="3"/>
      <c r="X1" s="3"/>
      <c r="Y1" s="3"/>
    </row>
    <row r="2">
      <c r="A2" s="8" t="str">
        <f>+Parametres!B1</f>
        <v>Ste-Marie Auto</v>
      </c>
      <c r="B2" s="3"/>
      <c r="C2" s="3"/>
      <c r="D2" s="9"/>
      <c r="E2" s="3"/>
      <c r="F2" s="3"/>
      <c r="G2" s="3"/>
      <c r="H2" s="3"/>
      <c r="I2" s="3"/>
      <c r="J2" s="10"/>
      <c r="K2" s="3"/>
      <c r="L2" s="3"/>
      <c r="M2" s="3"/>
      <c r="N2" s="3"/>
      <c r="O2" s="3"/>
      <c r="P2" s="3"/>
      <c r="Q2" s="3"/>
      <c r="R2" s="3"/>
      <c r="S2" s="3"/>
      <c r="T2" s="3"/>
      <c r="U2" s="3"/>
      <c r="V2" s="3"/>
      <c r="W2" s="3"/>
      <c r="X2" s="3"/>
      <c r="Y2" s="3"/>
    </row>
    <row r="3">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c r="A4" s="3"/>
      <c r="B4" s="3"/>
      <c r="C4" s="3"/>
      <c r="D4" s="3"/>
      <c r="E4" s="12"/>
      <c r="F4" s="3"/>
      <c r="G4" s="3"/>
      <c r="H4" s="3"/>
      <c r="I4" s="3"/>
      <c r="J4" s="3"/>
      <c r="K4" s="3"/>
      <c r="L4" s="3"/>
      <c r="M4" s="3"/>
      <c r="N4" s="3"/>
      <c r="O4" s="3"/>
      <c r="P4" s="3"/>
      <c r="Q4" s="3"/>
      <c r="R4" s="3"/>
      <c r="S4" s="3"/>
      <c r="T4" s="3"/>
      <c r="U4" s="3"/>
      <c r="V4" s="3"/>
      <c r="W4" s="3"/>
      <c r="X4" s="3"/>
      <c r="Y4" s="3"/>
    </row>
    <row r="5">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c r="A6" s="17" t="s">
        <v>24</v>
      </c>
      <c r="B6" s="18">
        <f>SUM(B5)</f>
        <v>2510880.88</v>
      </c>
      <c r="C6" s="19"/>
      <c r="D6" s="20"/>
      <c r="E6" s="21"/>
      <c r="F6" s="3"/>
      <c r="G6" s="3"/>
      <c r="H6" s="3"/>
      <c r="I6" s="3"/>
      <c r="J6" s="3"/>
      <c r="K6" s="3"/>
      <c r="L6" s="3"/>
      <c r="M6" s="3"/>
      <c r="N6" s="3"/>
      <c r="O6" s="3"/>
      <c r="P6" s="3"/>
      <c r="Q6" s="3"/>
      <c r="R6" s="3"/>
      <c r="S6" s="3"/>
      <c r="T6" s="3"/>
      <c r="U6" s="3"/>
      <c r="V6" s="3"/>
      <c r="W6" s="3"/>
      <c r="X6" s="3"/>
      <c r="Y6" s="3"/>
    </row>
    <row r="7">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c r="A9" s="20" t="s">
        <v>27</v>
      </c>
      <c r="B9" s="21">
        <f>SUMIFS(BV_Data_An_Cour!$AN:$AN,BV_Data_An_Cour!$AP:$AP,$A$1,BV_Data_An_Cour!$AQ:$AQ,$A9)</f>
        <v>1717045.16</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c r="A10" s="20" t="s">
        <v>29</v>
      </c>
      <c r="B10" s="21">
        <f>SUMIFS(BV_Data_An_Cour!$AN:$AN,BV_Data_An_Cour!$AP:$AP,$A$1,BV_Data_An_Cour!$AQ:$AQ,$A10)</f>
        <v>212266.05</v>
      </c>
      <c r="C10" s="15"/>
      <c r="D10" s="20" t="s">
        <v>30</v>
      </c>
      <c r="E10" s="21">
        <f>-SUMIFS(BV_Data_An_Cour!$AN:$AN,BV_Data_An_Cour!$AP:$AP,$A$1,BV_Data_An_Cour!$AQ:$AQ,$D10)</f>
        <v>1377375.88</v>
      </c>
      <c r="F10" s="3"/>
      <c r="G10" s="3"/>
      <c r="H10" s="3"/>
      <c r="I10" s="3"/>
      <c r="J10" s="3"/>
      <c r="K10" s="3"/>
      <c r="L10" s="3"/>
      <c r="M10" s="3"/>
      <c r="N10" s="3"/>
      <c r="O10" s="3"/>
      <c r="P10" s="3"/>
      <c r="Q10" s="3"/>
      <c r="R10" s="3"/>
      <c r="S10" s="3"/>
      <c r="T10" s="3"/>
      <c r="U10" s="3"/>
      <c r="V10" s="3"/>
      <c r="W10" s="3"/>
      <c r="X10" s="3"/>
      <c r="Y10" s="3"/>
    </row>
    <row r="11">
      <c r="A11" s="20" t="s">
        <v>31</v>
      </c>
      <c r="B11" s="21">
        <f>SUMIFS(BV_Data_An_Cour!$AN:$AN,BV_Data_An_Cour!$AP:$AP,$A$1,BV_Data_An_Cour!$AQ:$AQ,$A11)</f>
        <v>577421.14</v>
      </c>
      <c r="C11" s="15"/>
      <c r="D11" s="20" t="s">
        <v>32</v>
      </c>
      <c r="E11" s="21">
        <f>-SUMIFS(BV_Data_An_Cour!$AN:$AN,BV_Data_An_Cour!$AP:$AP,$A$1,BV_Data_An_Cour!$AQ:$AQ,$D11)</f>
        <v>99533.93</v>
      </c>
      <c r="F11" s="3"/>
      <c r="G11" s="3"/>
      <c r="H11" s="3"/>
      <c r="I11" s="3"/>
      <c r="J11" s="3"/>
      <c r="K11" s="3"/>
      <c r="L11" s="3"/>
      <c r="M11" s="3"/>
      <c r="N11" s="3"/>
      <c r="O11" s="3"/>
      <c r="P11" s="3"/>
      <c r="Q11" s="3"/>
      <c r="R11" s="3"/>
      <c r="S11" s="3"/>
      <c r="T11" s="3"/>
      <c r="U11" s="3"/>
      <c r="V11" s="3"/>
      <c r="W11" s="3"/>
      <c r="X11" s="3"/>
      <c r="Y11" s="3"/>
    </row>
    <row r="12">
      <c r="A12" s="20" t="s">
        <v>33</v>
      </c>
      <c r="B12" s="21">
        <f>SUMIFS(BV_Data_An_Cour!$AN:$AN,BV_Data_An_Cour!$AP:$AP,$A$1,BV_Data_An_Cour!$AQ:$AQ,$A12)</f>
        <v>522.34</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c r="A15" s="20" t="s">
        <v>39</v>
      </c>
      <c r="B15" s="21">
        <f>SUMIFS(BV_Data_An_Cour!$AN:$AN,BV_Data_An_Cour!$AP:$AP,$A$1,BV_Data_An_Cour!$AQ:$AQ,$A15)</f>
        <v>1164723.15</v>
      </c>
      <c r="C15" s="15"/>
      <c r="D15" s="20" t="s">
        <v>40</v>
      </c>
      <c r="E15" s="21">
        <f>-SUMIFS(BV_Data_An_Cour!$AN:$AN,BV_Data_An_Cour!$AP:$AP,$A$1,BV_Data_An_Cour!$AQ:$AQ,$D15)</f>
        <v>-53858.3</v>
      </c>
      <c r="F15" s="3"/>
      <c r="G15" s="3"/>
      <c r="H15" s="3"/>
      <c r="I15" s="3"/>
      <c r="J15" s="3"/>
      <c r="K15" s="3"/>
      <c r="L15" s="3"/>
      <c r="M15" s="3"/>
      <c r="N15" s="3"/>
      <c r="O15" s="3"/>
      <c r="P15" s="3"/>
      <c r="Q15" s="3"/>
      <c r="R15" s="3"/>
      <c r="S15" s="3"/>
      <c r="T15" s="3"/>
      <c r="U15" s="3"/>
      <c r="V15" s="3"/>
      <c r="W15" s="3"/>
      <c r="X15" s="3"/>
      <c r="Y15" s="3"/>
    </row>
    <row r="16">
      <c r="A16" s="17" t="s">
        <v>41</v>
      </c>
      <c r="B16" s="18">
        <f>+SUM(B8:B15)</f>
        <v>15831044.11</v>
      </c>
      <c r="C16" s="19"/>
      <c r="D16" s="17" t="s">
        <v>42</v>
      </c>
      <c r="E16" s="18">
        <f>+SUM(E10:E15)</f>
        <v>7948395.72</v>
      </c>
      <c r="F16" s="3"/>
      <c r="G16" s="3"/>
      <c r="H16" s="3"/>
      <c r="I16" s="3"/>
      <c r="J16" s="3"/>
      <c r="K16" s="3"/>
      <c r="L16" s="3"/>
      <c r="M16" s="3"/>
      <c r="N16" s="3"/>
      <c r="O16" s="3"/>
      <c r="P16" s="3"/>
      <c r="Q16" s="3"/>
      <c r="R16" s="3"/>
      <c r="S16" s="3"/>
      <c r="T16" s="3"/>
      <c r="U16" s="3"/>
      <c r="V16" s="3"/>
      <c r="W16" s="3"/>
      <c r="X16" s="3"/>
      <c r="Y16" s="3"/>
    </row>
    <row r="17">
      <c r="A17" s="20"/>
      <c r="B17" s="21"/>
      <c r="C17" s="15"/>
      <c r="D17" s="22"/>
      <c r="E17" s="21"/>
      <c r="F17" s="3"/>
      <c r="G17" s="3"/>
      <c r="H17" s="3"/>
      <c r="I17" s="3"/>
      <c r="J17" s="3"/>
      <c r="K17" s="3"/>
      <c r="L17" s="3"/>
      <c r="M17" s="3"/>
      <c r="N17" s="3"/>
      <c r="O17" s="3"/>
      <c r="P17" s="3"/>
      <c r="Q17" s="3"/>
      <c r="R17" s="3"/>
      <c r="S17" s="3"/>
      <c r="T17" s="3"/>
      <c r="U17" s="3"/>
      <c r="V17" s="3"/>
      <c r="W17" s="3"/>
      <c r="X17" s="3"/>
      <c r="Y17" s="3"/>
    </row>
    <row r="18">
      <c r="A18" s="20" t="s">
        <v>43</v>
      </c>
      <c r="B18" s="21">
        <f>SUMIFS(BV_Data_An_Cour!$AN:$AN,BV_Data_An_Cour!$AP:$AP,$A$1,BV_Data_An_Cour!$AQ:$AQ,$A18)</f>
        <v>15695861.11</v>
      </c>
      <c r="C18" s="15"/>
      <c r="D18" s="20" t="s">
        <v>44</v>
      </c>
      <c r="E18" s="21">
        <f>-SUMIFS(BV_Data_An_Cour!$AN:$AN,BV_Data_An_Cour!$AP:$AP,$A$1,BV_Data_An_Cour!$AQ:$AQ,$D18)</f>
        <v>18209568.1</v>
      </c>
      <c r="F18" s="3"/>
      <c r="G18" s="3"/>
      <c r="H18" s="3"/>
      <c r="I18" s="3"/>
      <c r="J18" s="3"/>
      <c r="K18" s="3"/>
      <c r="L18" s="3"/>
      <c r="M18" s="3"/>
      <c r="N18" s="3"/>
      <c r="O18" s="3"/>
      <c r="P18" s="3"/>
      <c r="Q18" s="3"/>
      <c r="R18" s="3"/>
      <c r="S18" s="3"/>
      <c r="T18" s="3"/>
      <c r="U18" s="3"/>
      <c r="V18" s="3"/>
      <c r="W18" s="3"/>
      <c r="X18" s="3"/>
      <c r="Y18" s="3"/>
    </row>
    <row r="19">
      <c r="A19" s="20" t="s">
        <v>45</v>
      </c>
      <c r="B19" s="21">
        <f>SUMIFS(BV_Data_An_Cour!$AN:$AN,BV_Data_An_Cour!$AP:$AP,$A$1,BV_Data_An_Cour!$AQ:$AQ,$A19)</f>
        <v>6242136.88</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c r="A20" s="20" t="s">
        <v>47</v>
      </c>
      <c r="B20" s="21">
        <f>SUMIFS(BV_Data_An_Cour!$AN:$AN,BV_Data_An_Cour!$AP:$AP,$A$1,BV_Data_An_Cour!$AQ:$AQ,$A20)</f>
        <v>629664.79</v>
      </c>
      <c r="C20" s="15"/>
      <c r="D20" s="17" t="s">
        <v>48</v>
      </c>
      <c r="E20" s="18">
        <f>+SUM(E18:E19)</f>
        <v>21802082.02</v>
      </c>
      <c r="F20" s="3"/>
      <c r="G20" s="3"/>
      <c r="H20" s="3"/>
      <c r="I20" s="3"/>
      <c r="J20" s="3"/>
      <c r="K20" s="3"/>
      <c r="L20" s="3"/>
      <c r="M20" s="3"/>
      <c r="N20" s="3"/>
      <c r="O20" s="3"/>
      <c r="P20" s="3"/>
      <c r="Q20" s="3"/>
      <c r="R20" s="3"/>
      <c r="S20" s="3"/>
      <c r="T20" s="3"/>
      <c r="U20" s="3"/>
      <c r="V20" s="3"/>
      <c r="W20" s="3"/>
      <c r="X20" s="3"/>
      <c r="Y20" s="3"/>
    </row>
    <row r="21" ht="15.75" customHeight="1">
      <c r="A21" s="17" t="s">
        <v>49</v>
      </c>
      <c r="B21" s="18">
        <f>SUM(B18:B20)</f>
        <v>22567662.78</v>
      </c>
      <c r="C21" s="19"/>
      <c r="D21" s="20"/>
      <c r="E21" s="21"/>
      <c r="F21" s="3"/>
      <c r="G21" s="3"/>
      <c r="H21" s="3"/>
      <c r="I21" s="3"/>
      <c r="J21" s="3"/>
      <c r="K21" s="3"/>
      <c r="L21" s="3"/>
      <c r="M21" s="3"/>
      <c r="N21" s="3"/>
      <c r="O21" s="3"/>
      <c r="P21" s="3"/>
      <c r="Q21" s="3"/>
      <c r="R21" s="3"/>
      <c r="S21" s="3"/>
      <c r="T21" s="3"/>
      <c r="U21" s="3"/>
      <c r="V21" s="3"/>
      <c r="W21" s="3"/>
      <c r="X21" s="3"/>
      <c r="Y21" s="3"/>
    </row>
    <row r="22" ht="15.75" customHeight="1">
      <c r="A22" s="22"/>
      <c r="B22" s="21"/>
      <c r="C22" s="15"/>
      <c r="D22" s="20" t="s">
        <v>50</v>
      </c>
      <c r="E22" s="21">
        <f>-SUMIFS(BV_Data_An_Cour!$AN:$AN,BV_Data_An_Cour!$AP:$AP,$A$1,BV_Data_An_Cour!$AQ:$AQ,$D22)</f>
        <v>-3621373.31</v>
      </c>
      <c r="F22" s="3"/>
      <c r="G22" s="3"/>
      <c r="H22" s="3"/>
      <c r="I22" s="3"/>
      <c r="J22" s="3"/>
      <c r="K22" s="3"/>
      <c r="L22" s="3"/>
      <c r="M22" s="3"/>
      <c r="N22" s="3"/>
      <c r="O22" s="3"/>
      <c r="P22" s="3"/>
      <c r="Q22" s="3"/>
      <c r="R22" s="3"/>
      <c r="S22" s="3"/>
      <c r="T22" s="3"/>
      <c r="U22" s="3"/>
      <c r="V22" s="3"/>
      <c r="W22" s="3"/>
      <c r="X22" s="3"/>
      <c r="Y22" s="3"/>
    </row>
    <row r="23" ht="15.75" customHeight="1">
      <c r="A23" s="20" t="s">
        <v>51</v>
      </c>
      <c r="B23" s="21">
        <f>SUMIFS(BV_Data_An_Cour!$AN:$AN,BV_Data_An_Cour!$AP:$AP,$A$1,BV_Data_An_Cour!$AQ:$AQ,$A23)</f>
        <v>0</v>
      </c>
      <c r="C23" s="15"/>
      <c r="D23" s="20" t="s">
        <v>52</v>
      </c>
      <c r="E23" s="21">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ht="15.75" customHeight="1">
      <c r="A24" s="20" t="s">
        <v>53</v>
      </c>
      <c r="B24" s="21">
        <f>SUMIFS(BV_Data_An_Cour!$AN:$AN,BV_Data_An_Cour!$AP:$AP,$A$1,BV_Data_An_Cour!$AQ:$AQ,$A24)</f>
        <v>33439.5</v>
      </c>
      <c r="C24" s="15"/>
      <c r="D24" s="20" t="s">
        <v>54</v>
      </c>
      <c r="E24" s="21">
        <f>-SUMIFS(BV_Data_An_Cour!$AN:$AN,BV_Data_An_Cour!$AP:$AP,$A$1,BV_Data_An_Cour!$AQ:$AQ,$D24)</f>
        <v>794747.82</v>
      </c>
      <c r="F24" s="3"/>
      <c r="G24" s="3"/>
      <c r="H24" s="3"/>
      <c r="I24" s="3"/>
      <c r="J24" s="3"/>
      <c r="K24" s="3"/>
      <c r="L24" s="3"/>
      <c r="M24" s="3"/>
      <c r="N24" s="3"/>
      <c r="O24" s="3"/>
      <c r="P24" s="3"/>
      <c r="Q24" s="3"/>
      <c r="R24" s="3"/>
      <c r="S24" s="3"/>
      <c r="T24" s="3"/>
      <c r="U24" s="3"/>
      <c r="V24" s="3"/>
      <c r="W24" s="3"/>
      <c r="X24" s="3"/>
      <c r="Y24" s="3"/>
    </row>
    <row r="25" ht="15.75" customHeight="1">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ht="15.75" customHeight="1">
      <c r="A26" s="20" t="s">
        <v>57</v>
      </c>
      <c r="B26" s="21">
        <f>SUMIFS(BV_Data_An_Cour!$AN:$AN,BV_Data_An_Cour!$AP:$AP,$A$1,BV_Data_An_Cour!$AQ:$AQ,$A26)</f>
        <v>749279.05</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ht="15.75" customHeight="1">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ht="15.75" customHeight="1">
      <c r="A28" s="20" t="s">
        <v>56</v>
      </c>
      <c r="B28" s="21">
        <f>SUMIFS(BV_Data_An_Cour!$AN:$AN,BV_Data_An_Cour!$AP:$AP,$A$1,BV_Data_An_Cour!$AQ:$AQ,$A28)</f>
        <v>0</v>
      </c>
      <c r="C28" s="15"/>
      <c r="D28" s="17" t="s">
        <v>58</v>
      </c>
      <c r="E28" s="18">
        <f>SUM(E22:E24)</f>
        <v>-2866385.92</v>
      </c>
      <c r="F28" s="3"/>
      <c r="G28" s="3"/>
      <c r="H28" s="3"/>
      <c r="I28" s="3"/>
      <c r="J28" s="3"/>
      <c r="K28" s="3"/>
      <c r="L28" s="3"/>
      <c r="M28" s="3"/>
      <c r="N28" s="3"/>
      <c r="O28" s="3"/>
      <c r="P28" s="3"/>
      <c r="Q28" s="3"/>
      <c r="R28" s="3"/>
      <c r="S28" s="3"/>
      <c r="T28" s="3"/>
      <c r="U28" s="3"/>
      <c r="V28" s="3"/>
      <c r="W28" s="3"/>
      <c r="X28" s="3"/>
      <c r="Y28" s="3"/>
    </row>
    <row r="29" ht="15.75" customHeight="1">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ht="15.75" customHeight="1">
      <c r="A30" s="17" t="s">
        <v>59</v>
      </c>
      <c r="B30" s="18">
        <f>SUM(B23:B29)</f>
        <v>814455.49</v>
      </c>
      <c r="C30" s="19"/>
      <c r="D30" s="23" t="s">
        <v>60</v>
      </c>
      <c r="E30" s="24">
        <f>+E5+E7+E16+E20+E28</f>
        <v>26884091.82</v>
      </c>
      <c r="F30" s="3"/>
      <c r="G30" s="3"/>
      <c r="H30" s="3"/>
      <c r="I30" s="3"/>
      <c r="J30" s="3"/>
      <c r="K30" s="3"/>
      <c r="L30" s="3"/>
      <c r="M30" s="3"/>
      <c r="N30" s="3"/>
      <c r="O30" s="3"/>
      <c r="P30" s="3"/>
      <c r="Q30" s="3"/>
      <c r="R30" s="3"/>
      <c r="S30" s="3"/>
      <c r="T30" s="3"/>
      <c r="U30" s="3"/>
      <c r="V30" s="3"/>
      <c r="W30" s="3"/>
      <c r="X30" s="3"/>
      <c r="Y30" s="3"/>
    </row>
    <row r="31" ht="15.75" customHeight="1">
      <c r="A31" s="20"/>
      <c r="B31" s="21"/>
      <c r="C31" s="15"/>
      <c r="D31" s="25"/>
      <c r="E31" s="26"/>
      <c r="F31" s="3"/>
      <c r="G31" s="3"/>
      <c r="H31" s="3"/>
      <c r="I31" s="3"/>
      <c r="J31" s="3"/>
      <c r="K31" s="3"/>
      <c r="L31" s="3"/>
      <c r="M31" s="3"/>
      <c r="N31" s="3"/>
      <c r="O31" s="3"/>
      <c r="P31" s="3"/>
      <c r="Q31" s="3"/>
      <c r="R31" s="3"/>
      <c r="S31" s="3"/>
      <c r="T31" s="3"/>
      <c r="U31" s="3"/>
      <c r="V31" s="3"/>
      <c r="W31" s="3"/>
      <c r="X31" s="3"/>
      <c r="Y31" s="3"/>
    </row>
    <row r="32" ht="15.75" customHeight="1">
      <c r="A32" s="23" t="s">
        <v>61</v>
      </c>
      <c r="B32" s="24">
        <f>+B6+B16+B21+B30</f>
        <v>41724043.26</v>
      </c>
      <c r="C32" s="19"/>
      <c r="D32" s="20"/>
      <c r="E32" s="21"/>
      <c r="F32" s="3"/>
      <c r="G32" s="3"/>
      <c r="H32" s="3"/>
      <c r="I32" s="3"/>
      <c r="J32" s="3"/>
      <c r="K32" s="3"/>
      <c r="L32" s="3"/>
      <c r="M32" s="3"/>
      <c r="N32" s="3"/>
      <c r="O32" s="3"/>
      <c r="P32" s="3"/>
      <c r="Q32" s="3"/>
      <c r="R32" s="3"/>
      <c r="S32" s="3"/>
      <c r="T32" s="3"/>
      <c r="U32" s="3"/>
      <c r="V32" s="3"/>
      <c r="W32" s="3"/>
      <c r="X32" s="3"/>
      <c r="Y32" s="3"/>
    </row>
    <row r="33" ht="15.75" customHeight="1">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ht="15.75" customHeight="1">
      <c r="A34" s="20"/>
      <c r="B34" s="21"/>
      <c r="C34" s="15"/>
      <c r="D34" s="20"/>
      <c r="E34" s="21"/>
      <c r="F34" s="3"/>
      <c r="G34" s="3"/>
      <c r="H34" s="3"/>
      <c r="I34" s="3"/>
      <c r="J34" s="3"/>
      <c r="K34" s="3"/>
      <c r="L34" s="3"/>
      <c r="M34" s="3"/>
      <c r="N34" s="3"/>
      <c r="O34" s="3"/>
      <c r="P34" s="3"/>
      <c r="Q34" s="3"/>
      <c r="R34" s="3"/>
      <c r="S34" s="3"/>
      <c r="T34" s="3"/>
      <c r="U34" s="3"/>
      <c r="V34" s="3"/>
      <c r="W34" s="3"/>
      <c r="X34" s="3"/>
      <c r="Y34" s="3"/>
    </row>
    <row r="35" ht="15.75" customHeight="1">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ht="15.75" customHeight="1">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ht="15.75" customHeight="1">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ht="15.75" customHeight="1">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ht="15.75" customHeight="1">
      <c r="A39" s="20" t="s">
        <v>71</v>
      </c>
      <c r="B39" s="21">
        <f>SUMIFS(BV_Data_An_Cour!$AN:$AN,BV_Data_An_Cour!$AP:$AP,$A$1,BV_Data_An_Cour!$AQ:$AQ,$A39)</f>
        <v>335876.43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ht="15.75" customHeight="1">
      <c r="A40" s="20" t="s">
        <v>72</v>
      </c>
      <c r="B40" s="21">
        <f>SUMIFS(BV_Data_An_Cour!$AN:$AN,BV_Data_An_Cour!$AP:$AP,$A$1,BV_Data_An_Cour!$AQ:$AQ,$A40)</f>
        <v>55710.35</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ht="15.75" customHeight="1">
      <c r="A41" s="20" t="s">
        <v>73</v>
      </c>
      <c r="B41" s="21">
        <f>SUMIFS(BV_Data_An_Cour!$AN:$AN,BV_Data_An_Cour!$AP:$AP,$A$1,BV_Data_An_Cour!$AQ:$AQ,$A41)</f>
        <v>66539.01</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ht="15.75" customHeight="1">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ht="15.75" customHeight="1">
      <c r="A43" s="20" t="s">
        <v>76</v>
      </c>
      <c r="B43" s="21">
        <f>SUMIFS(BV_Data_An_Cour!$AN:$AN,BV_Data_An_Cour!$AP:$AP,$A$1,BV_Data_An_Cour!$AQ:$AQ,$A43)</f>
        <v>5447.1</v>
      </c>
      <c r="C43" s="15"/>
      <c r="D43" s="25"/>
      <c r="E43" s="26"/>
      <c r="F43" s="3"/>
      <c r="G43" s="3"/>
      <c r="H43" s="3"/>
      <c r="I43" s="3"/>
      <c r="J43" s="3"/>
      <c r="K43" s="3"/>
      <c r="L43" s="3"/>
      <c r="M43" s="3"/>
      <c r="N43" s="3"/>
      <c r="O43" s="3"/>
      <c r="P43" s="3"/>
      <c r="Q43" s="3"/>
      <c r="R43" s="3"/>
      <c r="S43" s="3"/>
      <c r="T43" s="3"/>
      <c r="U43" s="3"/>
      <c r="V43" s="3"/>
      <c r="W43" s="3"/>
      <c r="X43" s="3"/>
      <c r="Y43" s="3"/>
    </row>
    <row r="44" ht="15.75" customHeight="1">
      <c r="A44" s="17" t="s">
        <v>77</v>
      </c>
      <c r="B44" s="18">
        <f>SUM(B35:B43)</f>
        <v>620900.54</v>
      </c>
      <c r="C44" s="19"/>
      <c r="D44" s="20"/>
      <c r="E44" s="21"/>
      <c r="F44" s="3"/>
      <c r="G44" s="3"/>
      <c r="H44" s="3"/>
      <c r="I44" s="3"/>
      <c r="J44" s="3"/>
      <c r="K44" s="3"/>
      <c r="L44" s="3"/>
      <c r="M44" s="3"/>
      <c r="N44" s="3"/>
      <c r="O44" s="3"/>
      <c r="P44" s="3"/>
      <c r="Q44" s="3"/>
      <c r="R44" s="3"/>
      <c r="S44" s="3"/>
      <c r="T44" s="3"/>
      <c r="U44" s="3"/>
      <c r="V44" s="3"/>
      <c r="W44" s="3"/>
      <c r="X44" s="3"/>
      <c r="Y44" s="3"/>
    </row>
    <row r="45" ht="15.75" customHeight="1">
      <c r="A45" s="22"/>
      <c r="B45" s="21"/>
      <c r="C45" s="15"/>
      <c r="D45" s="23" t="s">
        <v>78</v>
      </c>
      <c r="E45" s="24">
        <f>+E42+E30</f>
        <v>31713509.82</v>
      </c>
      <c r="F45" s="3"/>
      <c r="G45" s="3"/>
      <c r="H45" s="3"/>
      <c r="I45" s="3"/>
      <c r="J45" s="3"/>
      <c r="K45" s="3"/>
      <c r="L45" s="3"/>
      <c r="M45" s="3"/>
      <c r="N45" s="3"/>
      <c r="O45" s="3"/>
      <c r="P45" s="3"/>
      <c r="Q45" s="3"/>
      <c r="R45" s="3"/>
      <c r="S45" s="3"/>
      <c r="T45" s="3"/>
      <c r="U45" s="3"/>
      <c r="V45" s="3"/>
      <c r="W45" s="3"/>
      <c r="X45" s="3"/>
      <c r="Y45" s="3"/>
    </row>
    <row r="46" ht="15.75" customHeight="1">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ht="15.75" customHeight="1">
      <c r="A47" s="20"/>
      <c r="B47" s="21"/>
      <c r="C47" s="15"/>
      <c r="D47" s="20"/>
      <c r="E47" s="21"/>
      <c r="F47" s="3"/>
      <c r="G47" s="3"/>
      <c r="H47" s="3"/>
      <c r="I47" s="3"/>
      <c r="J47" s="3"/>
      <c r="K47" s="3"/>
      <c r="L47" s="3"/>
      <c r="M47" s="3"/>
      <c r="N47" s="3"/>
      <c r="O47" s="3"/>
      <c r="P47" s="3"/>
      <c r="Q47" s="3"/>
      <c r="R47" s="3"/>
      <c r="S47" s="3"/>
      <c r="T47" s="3"/>
      <c r="U47" s="3"/>
      <c r="V47" s="3"/>
      <c r="W47" s="3"/>
      <c r="X47" s="3"/>
      <c r="Y47" s="3"/>
    </row>
    <row r="48" ht="15.75" customHeight="1">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ht="15.75" customHeight="1">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ht="15.75" customHeight="1">
      <c r="A50" s="20" t="s">
        <v>56</v>
      </c>
      <c r="B50" s="21">
        <f>SUMIFS(BV_Data_An_Cour!$AN:$AN,BV_Data_An_Cour!$AP:$AP,$A$1,BV_Data_An_Cour!$AQ:$AQ,$A50)</f>
        <v>0</v>
      </c>
      <c r="C50" s="15"/>
      <c r="D50" s="20" t="s">
        <v>83</v>
      </c>
      <c r="E50" s="21">
        <f>-SUMIFS(BV_Data_An_Cour!$AN:$AN,BV_Data_An_Cour!$AP:$AP,$A$1,BV_Data_An_Cour!$AQ:$AQ,$D50)+Print_AAD!AF585</f>
        <v>10646171.99</v>
      </c>
      <c r="F50" s="3"/>
      <c r="G50" s="3"/>
      <c r="H50" s="3"/>
      <c r="I50" s="3"/>
      <c r="J50" s="3"/>
      <c r="K50" s="3"/>
      <c r="L50" s="3"/>
      <c r="M50" s="3"/>
      <c r="N50" s="3"/>
      <c r="O50" s="3"/>
      <c r="P50" s="3"/>
      <c r="Q50" s="3"/>
      <c r="R50" s="3"/>
      <c r="S50" s="3"/>
      <c r="T50" s="3"/>
      <c r="U50" s="3"/>
      <c r="V50" s="3"/>
      <c r="W50" s="3"/>
      <c r="X50" s="3"/>
      <c r="Y50" s="3"/>
    </row>
    <row r="51" ht="15.75" customHeight="1">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ht="15.75" customHeight="1">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ht="15.75" customHeight="1">
      <c r="A53" s="23" t="s">
        <v>85</v>
      </c>
      <c r="B53" s="24">
        <f>+B44+B48+B46</f>
        <v>635874.54</v>
      </c>
      <c r="C53" s="19"/>
      <c r="D53" s="23" t="s">
        <v>86</v>
      </c>
      <c r="E53" s="24">
        <f>SUM(E48:E51)</f>
        <v>10646407.99</v>
      </c>
      <c r="F53" s="3"/>
      <c r="G53" s="3"/>
      <c r="H53" s="3"/>
      <c r="I53" s="3"/>
      <c r="J53" s="3"/>
      <c r="K53" s="3"/>
      <c r="L53" s="3"/>
      <c r="M53" s="3"/>
      <c r="N53" s="3"/>
      <c r="O53" s="3"/>
      <c r="P53" s="3"/>
      <c r="Q53" s="3"/>
      <c r="R53" s="3"/>
      <c r="S53" s="3"/>
      <c r="T53" s="3"/>
      <c r="U53" s="3"/>
      <c r="V53" s="3"/>
      <c r="W53" s="3"/>
      <c r="X53" s="3"/>
      <c r="Y53" s="3"/>
    </row>
    <row r="54" ht="15.75" customHeight="1">
      <c r="A54" s="25"/>
      <c r="B54" s="26"/>
      <c r="C54" s="27"/>
      <c r="D54" s="25"/>
      <c r="E54" s="26"/>
      <c r="F54" s="3"/>
      <c r="G54" s="3"/>
      <c r="H54" s="3"/>
      <c r="I54" s="3"/>
      <c r="J54" s="3"/>
      <c r="K54" s="3"/>
      <c r="L54" s="3"/>
      <c r="M54" s="3"/>
      <c r="N54" s="3"/>
      <c r="O54" s="3"/>
      <c r="P54" s="3"/>
      <c r="Q54" s="3"/>
      <c r="R54" s="3"/>
      <c r="S54" s="3"/>
      <c r="T54" s="3"/>
      <c r="U54" s="3"/>
      <c r="V54" s="3"/>
      <c r="W54" s="3"/>
      <c r="X54" s="3"/>
      <c r="Y54" s="3"/>
    </row>
    <row r="55" ht="15.75" customHeight="1">
      <c r="A55" s="20"/>
      <c r="B55" s="21"/>
      <c r="C55" s="15"/>
      <c r="D55" s="20"/>
      <c r="E55" s="21"/>
      <c r="F55" s="3"/>
      <c r="G55" s="3"/>
      <c r="H55" s="3"/>
      <c r="I55" s="3"/>
      <c r="J55" s="3"/>
      <c r="K55" s="3"/>
      <c r="L55" s="3"/>
      <c r="M55" s="3"/>
      <c r="N55" s="3"/>
      <c r="O55" s="3"/>
      <c r="P55" s="3"/>
      <c r="Q55" s="3"/>
      <c r="R55" s="3"/>
      <c r="S55" s="3"/>
      <c r="T55" s="3"/>
      <c r="U55" s="3"/>
      <c r="V55" s="3"/>
      <c r="W55" s="3"/>
      <c r="X55" s="3"/>
      <c r="Y55" s="3"/>
    </row>
    <row r="56" ht="15.75" customHeight="1">
      <c r="A56" s="23" t="s">
        <v>87</v>
      </c>
      <c r="B56" s="24">
        <f>+B32+B53</f>
        <v>42359917.8</v>
      </c>
      <c r="C56" s="19"/>
      <c r="D56" s="23" t="s">
        <v>88</v>
      </c>
      <c r="E56" s="24">
        <f>+E53+E45</f>
        <v>42359917.81</v>
      </c>
      <c r="F56" s="3"/>
      <c r="G56" s="3"/>
      <c r="H56" s="3"/>
      <c r="I56" s="3"/>
      <c r="J56" s="3"/>
      <c r="K56" s="3"/>
      <c r="L56" s="3"/>
      <c r="M56" s="3"/>
      <c r="N56" s="3"/>
      <c r="O56" s="3"/>
      <c r="P56" s="3"/>
      <c r="Q56" s="3"/>
      <c r="R56" s="3"/>
      <c r="S56" s="3"/>
      <c r="T56" s="3"/>
      <c r="U56" s="3"/>
      <c r="V56" s="3"/>
      <c r="W56" s="3"/>
      <c r="X56" s="3"/>
      <c r="Y56" s="3"/>
    </row>
    <row r="57" ht="15.75" customHeight="1">
      <c r="A57" s="25"/>
      <c r="B57" s="26"/>
      <c r="C57" s="27"/>
      <c r="D57" s="25"/>
      <c r="E57" s="26"/>
      <c r="F57" s="3"/>
      <c r="G57" s="3"/>
      <c r="H57" s="3"/>
      <c r="I57" s="3"/>
      <c r="J57" s="3"/>
      <c r="K57" s="3"/>
      <c r="L57" s="3"/>
      <c r="M57" s="3"/>
      <c r="N57" s="3"/>
      <c r="O57" s="3"/>
      <c r="P57" s="3"/>
      <c r="Q57" s="3"/>
      <c r="R57" s="3"/>
      <c r="S57" s="3"/>
      <c r="T57" s="3"/>
      <c r="U57" s="3"/>
      <c r="V57" s="3"/>
      <c r="W57" s="3"/>
      <c r="X57" s="3"/>
      <c r="Y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ht="15.75" customHeight="1">
      <c r="A64" s="3"/>
      <c r="B64" s="32"/>
      <c r="C64" s="32"/>
      <c r="D64" s="3"/>
      <c r="E64" s="32"/>
      <c r="F64" s="3"/>
      <c r="G64" s="3"/>
      <c r="H64" s="3"/>
      <c r="I64" s="3"/>
      <c r="J64" s="3"/>
      <c r="K64" s="3"/>
      <c r="L64" s="3"/>
      <c r="M64" s="3"/>
      <c r="N64" s="3"/>
      <c r="O64" s="3"/>
      <c r="P64" s="3"/>
      <c r="Q64" s="3"/>
      <c r="R64" s="3"/>
      <c r="S64" s="3"/>
      <c r="T64" s="3"/>
      <c r="U64" s="3"/>
      <c r="V64" s="3"/>
      <c r="W64" s="3"/>
      <c r="X64" s="3"/>
      <c r="Y64" s="3"/>
    </row>
    <row r="65" ht="15.75" customHeight="1">
      <c r="A65" s="3"/>
      <c r="B65" s="32"/>
      <c r="C65" s="32"/>
      <c r="D65" s="3"/>
      <c r="E65" s="32">
        <f>+B56-E56</f>
        <v>-0.01000000536</v>
      </c>
      <c r="F65" s="3"/>
      <c r="G65" s="3"/>
      <c r="H65" s="3"/>
      <c r="I65" s="3"/>
      <c r="J65" s="3"/>
      <c r="K65" s="3"/>
      <c r="L65" s="3"/>
      <c r="M65" s="3"/>
      <c r="N65" s="3"/>
      <c r="O65" s="3"/>
      <c r="P65" s="3"/>
      <c r="Q65" s="3"/>
      <c r="R65" s="3"/>
      <c r="S65" s="3"/>
      <c r="T65" s="3"/>
      <c r="U65" s="3"/>
      <c r="V65" s="3"/>
      <c r="W65" s="3"/>
      <c r="X65" s="3"/>
      <c r="Y65" s="3"/>
    </row>
    <row r="66" ht="15.75" customHeight="1">
      <c r="A66" s="3"/>
      <c r="B66" s="3"/>
      <c r="C66" s="3"/>
      <c r="D66" s="3"/>
      <c r="E66" s="32"/>
      <c r="F66" s="3"/>
      <c r="G66" s="3"/>
      <c r="H66" s="3"/>
      <c r="I66" s="3"/>
      <c r="J66" s="3"/>
      <c r="K66" s="3"/>
      <c r="L66" s="3"/>
      <c r="M66" s="3"/>
      <c r="N66" s="3"/>
      <c r="O66" s="3"/>
      <c r="P66" s="3"/>
      <c r="Q66" s="3"/>
      <c r="R66" s="3"/>
      <c r="S66" s="3"/>
      <c r="T66" s="3"/>
      <c r="U66" s="3"/>
      <c r="V66" s="3"/>
      <c r="W66" s="3"/>
      <c r="X66" s="3"/>
      <c r="Y66" s="3"/>
    </row>
    <row r="67" ht="15.75" customHeight="1">
      <c r="A67" s="3"/>
      <c r="B67" s="3"/>
      <c r="C67" s="3"/>
      <c r="D67" s="3"/>
      <c r="E67" s="32"/>
      <c r="F67" s="3"/>
      <c r="G67" s="3"/>
      <c r="H67" s="3"/>
      <c r="I67" s="3"/>
      <c r="J67" s="3"/>
      <c r="K67" s="3"/>
      <c r="L67" s="3"/>
      <c r="M67" s="3"/>
      <c r="N67" s="3"/>
      <c r="O67" s="3"/>
      <c r="P67" s="3"/>
      <c r="Q67" s="3"/>
      <c r="R67" s="3"/>
      <c r="S67" s="3"/>
      <c r="T67" s="3"/>
      <c r="U67" s="3"/>
      <c r="V67" s="3"/>
      <c r="W67" s="3"/>
      <c r="X67" s="3"/>
      <c r="Y67" s="3"/>
    </row>
    <row r="68" ht="15.75" customHeight="1">
      <c r="A68" s="3"/>
      <c r="B68" s="3"/>
      <c r="C68" s="3"/>
      <c r="D68" s="3"/>
      <c r="E68" s="32"/>
      <c r="F68" s="3"/>
      <c r="G68" s="3"/>
      <c r="H68" s="3"/>
      <c r="I68" s="3"/>
      <c r="J68" s="3"/>
      <c r="K68" s="3"/>
      <c r="L68" s="3"/>
      <c r="M68" s="3"/>
      <c r="N68" s="3"/>
      <c r="O68" s="3"/>
      <c r="P68" s="3"/>
      <c r="Q68" s="3"/>
      <c r="R68" s="3"/>
      <c r="S68" s="3"/>
      <c r="T68" s="3"/>
      <c r="U68" s="3"/>
      <c r="V68" s="3"/>
      <c r="W68" s="3"/>
      <c r="X68" s="3"/>
      <c r="Y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25"/>
    <col customWidth="1" min="2" max="2" width="34.63"/>
    <col customWidth="1" min="3" max="3" width="16.75"/>
    <col customWidth="1" min="4" max="4" width="14.5"/>
    <col customWidth="1" min="5" max="5" width="17.38"/>
    <col customWidth="1" min="6" max="6" width="16.75"/>
    <col customWidth="1" min="7" max="7" width="14.5"/>
    <col customWidth="1" min="8" max="8" width="15.88"/>
    <col customWidth="1" min="9" max="9" width="16.75"/>
    <col customWidth="1" min="10" max="10" width="14.5"/>
    <col customWidth="1" min="11" max="11" width="15.88"/>
    <col customWidth="1" min="12" max="12" width="16.75"/>
    <col customWidth="1" min="13" max="13" width="14.5"/>
    <col customWidth="1" min="14" max="14" width="15.88"/>
    <col customWidth="1" min="15" max="15" width="16.75"/>
    <col customWidth="1" min="16" max="16" width="14.5"/>
    <col customWidth="1" min="17" max="17" width="15.88"/>
    <col customWidth="1" min="18" max="18" width="16.75"/>
    <col customWidth="1" min="19" max="19" width="14.5"/>
    <col customWidth="1" min="20" max="20" width="15.88"/>
    <col customWidth="1" min="21" max="21" width="16.75"/>
    <col customWidth="1" min="22" max="22" width="14.5"/>
    <col customWidth="1" min="23" max="23" width="15.88"/>
    <col customWidth="1" min="24" max="24" width="16.75"/>
    <col customWidth="1" min="25" max="25" width="14.5"/>
    <col customWidth="1" min="26" max="26" width="15.88"/>
    <col customWidth="1" min="27" max="27" width="16.75"/>
    <col customWidth="1" min="28" max="28" width="14.5"/>
    <col customWidth="1" min="29" max="29" width="15.88"/>
    <col customWidth="1" min="30" max="30" width="16.75"/>
    <col customWidth="1" min="31" max="31" width="14.5"/>
    <col customWidth="1" min="32" max="32" width="15.88"/>
    <col customWidth="1" min="33" max="33" width="16.75"/>
    <col customWidth="1" min="34" max="34" width="14.5"/>
    <col customWidth="1" min="35" max="35" width="15.88"/>
    <col customWidth="1" min="36" max="36" width="16.75"/>
    <col customWidth="1" min="37" max="37" width="14.5"/>
    <col customWidth="1" min="38" max="38" width="15.88"/>
    <col customWidth="1" min="39" max="39" width="16.75"/>
    <col customWidth="1" min="40" max="40" width="14.5"/>
    <col customWidth="1" min="41" max="41" width="15.88"/>
    <col customWidth="1" min="42" max="61" width="11.0"/>
  </cols>
  <sheetData>
    <row r="1" ht="41.25" customHeight="1">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ht="41.25" customHeight="1">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ht="45.0" customHeight="1">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str">
        <f>+IF(VLOOKUP(AA$6,Parametres!$K$3:$N$14,4,0)="X","X","")</f>
        <v>#N/A</v>
      </c>
      <c r="AB3" s="9" t="str">
        <f>+IF(VLOOKUP(AA$6,Parametres!$K$3:$N$14,4,0)="X","O","")</f>
        <v>#N/A</v>
      </c>
      <c r="AC3" s="9" t="str">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c r="A4" s="9"/>
      <c r="B4" s="9" t="s">
        <v>89</v>
      </c>
      <c r="C4" s="9" t="s">
        <v>90</v>
      </c>
      <c r="AP4" s="38"/>
      <c r="AQ4" s="38"/>
      <c r="AR4" s="38"/>
      <c r="AS4" s="38"/>
      <c r="AT4" s="38"/>
      <c r="AU4" s="38"/>
      <c r="AV4" s="38"/>
      <c r="AW4" s="38"/>
      <c r="AX4" s="38"/>
      <c r="AY4" s="38"/>
      <c r="AZ4" s="38"/>
      <c r="BA4" s="38"/>
      <c r="BB4" s="38"/>
      <c r="BC4" s="38"/>
      <c r="BD4" s="38"/>
      <c r="BE4" s="38"/>
      <c r="BF4" s="38"/>
      <c r="BG4" s="38"/>
      <c r="BH4" s="38"/>
      <c r="BI4" s="38"/>
    </row>
    <row r="5" ht="15.0" customHeight="1">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c r="A6" s="41"/>
      <c r="B6" s="42" t="s">
        <v>2</v>
      </c>
      <c r="C6" s="43" t="s">
        <v>91</v>
      </c>
      <c r="D6" s="44"/>
      <c r="E6" s="45"/>
      <c r="F6" s="42" t="s">
        <v>6</v>
      </c>
      <c r="G6" s="46"/>
      <c r="H6" s="47"/>
      <c r="I6" s="42" t="s">
        <v>8</v>
      </c>
      <c r="J6" s="46"/>
      <c r="K6" s="47"/>
      <c r="L6" s="42" t="s">
        <v>9</v>
      </c>
      <c r="M6" s="46"/>
      <c r="N6" s="47"/>
      <c r="O6" s="42" t="s">
        <v>10</v>
      </c>
      <c r="P6" s="46"/>
      <c r="Q6" s="47"/>
      <c r="R6" s="42" t="s">
        <v>11</v>
      </c>
      <c r="S6" s="46"/>
      <c r="T6" s="47"/>
      <c r="U6" s="42" t="s">
        <v>12</v>
      </c>
      <c r="V6" s="46"/>
      <c r="W6" s="47"/>
      <c r="X6" s="42" t="s">
        <v>14</v>
      </c>
      <c r="Y6" s="46"/>
      <c r="Z6" s="47"/>
      <c r="AA6" s="42" t="s">
        <v>92</v>
      </c>
      <c r="AB6" s="46"/>
      <c r="AC6" s="47"/>
      <c r="AD6" s="42" t="s">
        <v>5</v>
      </c>
      <c r="AE6" s="46"/>
      <c r="AF6" s="47"/>
      <c r="AG6" s="42" t="s">
        <v>18</v>
      </c>
      <c r="AH6" s="46"/>
      <c r="AI6" s="47"/>
      <c r="AJ6" s="42" t="s">
        <v>19</v>
      </c>
      <c r="AK6" s="46"/>
      <c r="AL6" s="47"/>
      <c r="AM6" s="42" t="s">
        <v>20</v>
      </c>
      <c r="AN6" s="46"/>
      <c r="AO6" s="47"/>
      <c r="AP6" s="48"/>
      <c r="AQ6" s="48"/>
      <c r="AR6" s="48"/>
      <c r="AS6" s="48"/>
      <c r="AT6" s="48"/>
      <c r="AU6" s="48"/>
      <c r="AV6" s="48"/>
      <c r="AW6" s="48"/>
      <c r="AX6" s="48"/>
      <c r="AY6" s="48"/>
      <c r="AZ6" s="48"/>
      <c r="BA6" s="48"/>
      <c r="BB6" s="48"/>
      <c r="BC6" s="48"/>
      <c r="BD6" s="48"/>
      <c r="BE6" s="48"/>
      <c r="BF6" s="48"/>
      <c r="BG6" s="48"/>
      <c r="BH6" s="48"/>
      <c r="BI6" s="48"/>
    </row>
    <row r="7">
      <c r="A7" s="41"/>
      <c r="B7" s="49"/>
      <c r="C7" s="50" t="s">
        <v>93</v>
      </c>
      <c r="D7" s="51" t="s">
        <v>94</v>
      </c>
      <c r="E7" s="52" t="s">
        <v>95</v>
      </c>
      <c r="F7" s="50" t="s">
        <v>93</v>
      </c>
      <c r="G7" s="51" t="s">
        <v>94</v>
      </c>
      <c r="H7" s="52" t="s">
        <v>95</v>
      </c>
      <c r="I7" s="50" t="s">
        <v>93</v>
      </c>
      <c r="J7" s="51" t="s">
        <v>94</v>
      </c>
      <c r="K7" s="52" t="s">
        <v>95</v>
      </c>
      <c r="L7" s="50" t="s">
        <v>93</v>
      </c>
      <c r="M7" s="51" t="s">
        <v>94</v>
      </c>
      <c r="N7" s="52" t="s">
        <v>95</v>
      </c>
      <c r="O7" s="50" t="s">
        <v>93</v>
      </c>
      <c r="P7" s="51" t="s">
        <v>94</v>
      </c>
      <c r="Q7" s="52" t="s">
        <v>95</v>
      </c>
      <c r="R7" s="50" t="s">
        <v>93</v>
      </c>
      <c r="S7" s="51" t="s">
        <v>94</v>
      </c>
      <c r="T7" s="52" t="s">
        <v>95</v>
      </c>
      <c r="U7" s="50" t="s">
        <v>93</v>
      </c>
      <c r="V7" s="51" t="s">
        <v>94</v>
      </c>
      <c r="W7" s="52" t="s">
        <v>95</v>
      </c>
      <c r="X7" s="50" t="s">
        <v>93</v>
      </c>
      <c r="Y7" s="51" t="s">
        <v>94</v>
      </c>
      <c r="Z7" s="52" t="s">
        <v>95</v>
      </c>
      <c r="AA7" s="50" t="s">
        <v>93</v>
      </c>
      <c r="AB7" s="51" t="s">
        <v>94</v>
      </c>
      <c r="AC7" s="52" t="s">
        <v>95</v>
      </c>
      <c r="AD7" s="50" t="s">
        <v>93</v>
      </c>
      <c r="AE7" s="51" t="s">
        <v>94</v>
      </c>
      <c r="AF7" s="52" t="s">
        <v>95</v>
      </c>
      <c r="AG7" s="50" t="s">
        <v>93</v>
      </c>
      <c r="AH7" s="51" t="s">
        <v>94</v>
      </c>
      <c r="AI7" s="52" t="s">
        <v>95</v>
      </c>
      <c r="AJ7" s="50" t="s">
        <v>93</v>
      </c>
      <c r="AK7" s="51" t="s">
        <v>94</v>
      </c>
      <c r="AL7" s="52" t="s">
        <v>95</v>
      </c>
      <c r="AM7" s="50" t="s">
        <v>93</v>
      </c>
      <c r="AN7" s="51" t="s">
        <v>94</v>
      </c>
      <c r="AO7" s="52" t="s">
        <v>95</v>
      </c>
      <c r="AP7" s="48"/>
      <c r="AQ7" s="48"/>
      <c r="AR7" s="48"/>
      <c r="AS7" s="48"/>
      <c r="AT7" s="48"/>
      <c r="AU7" s="48"/>
      <c r="AV7" s="48"/>
      <c r="AW7" s="48"/>
      <c r="AX7" s="48"/>
      <c r="AY7" s="48"/>
      <c r="AZ7" s="48"/>
      <c r="BA7" s="48"/>
      <c r="BB7" s="48"/>
      <c r="BC7" s="48"/>
      <c r="BD7" s="48"/>
      <c r="BE7" s="48"/>
      <c r="BF7" s="48"/>
      <c r="BG7" s="48"/>
      <c r="BH7" s="48"/>
      <c r="BI7" s="48"/>
    </row>
    <row r="8">
      <c r="A8" s="41" t="str">
        <f t="shared" ref="A8:A88" si="1">+$C$4&amp;B8</f>
        <v>Véhicules neufsVentes nettes</v>
      </c>
      <c r="B8" s="53" t="s">
        <v>96</v>
      </c>
      <c r="C8" s="54"/>
      <c r="D8" s="55"/>
      <c r="E8" s="56"/>
      <c r="F8" s="54"/>
      <c r="G8" s="55"/>
      <c r="H8" s="56"/>
      <c r="I8" s="54"/>
      <c r="J8" s="55"/>
      <c r="K8" s="56"/>
      <c r="L8" s="54"/>
      <c r="M8" s="55"/>
      <c r="N8" s="56"/>
      <c r="O8" s="54"/>
      <c r="P8" s="55"/>
      <c r="Q8" s="56"/>
      <c r="R8" s="54"/>
      <c r="S8" s="55"/>
      <c r="T8" s="56"/>
      <c r="U8" s="54"/>
      <c r="V8" s="55"/>
      <c r="W8" s="56"/>
      <c r="X8" s="54"/>
      <c r="Y8" s="55"/>
      <c r="Z8" s="56"/>
      <c r="AA8" s="54"/>
      <c r="AB8" s="55"/>
      <c r="AC8" s="56"/>
      <c r="AD8" s="54"/>
      <c r="AE8" s="55"/>
      <c r="AF8" s="56"/>
      <c r="AG8" s="54"/>
      <c r="AH8" s="55"/>
      <c r="AI8" s="56"/>
      <c r="AJ8" s="54"/>
      <c r="AK8" s="55"/>
      <c r="AL8" s="56"/>
      <c r="AM8" s="54"/>
      <c r="AN8" s="55"/>
      <c r="AO8" s="56"/>
      <c r="AP8" s="48"/>
      <c r="AQ8" s="48"/>
      <c r="AR8" s="48"/>
      <c r="AS8" s="48"/>
      <c r="AT8" s="48"/>
      <c r="AU8" s="48"/>
      <c r="AV8" s="48"/>
      <c r="AW8" s="48"/>
      <c r="AX8" s="48"/>
      <c r="AY8" s="48"/>
      <c r="AZ8" s="48"/>
      <c r="BA8" s="48"/>
      <c r="BB8" s="48"/>
      <c r="BC8" s="48"/>
      <c r="BD8" s="48"/>
      <c r="BE8" s="48"/>
      <c r="BF8" s="48"/>
      <c r="BG8" s="48"/>
      <c r="BH8" s="48"/>
      <c r="BI8" s="48"/>
    </row>
    <row r="9">
      <c r="A9" s="41" t="str">
        <f t="shared" si="1"/>
        <v>Véhicules neufsAutos détail</v>
      </c>
      <c r="B9" s="57" t="s">
        <v>97</v>
      </c>
      <c r="C9" s="58"/>
      <c r="D9" s="59"/>
      <c r="E9" s="60"/>
      <c r="F9" s="58"/>
      <c r="G9" s="59"/>
      <c r="H9" s="60"/>
      <c r="I9" s="58"/>
      <c r="J9" s="59"/>
      <c r="K9" s="60"/>
      <c r="L9" s="58"/>
      <c r="M9" s="59"/>
      <c r="N9" s="60"/>
      <c r="O9" s="58"/>
      <c r="P9" s="59"/>
      <c r="Q9" s="60"/>
      <c r="R9" s="58"/>
      <c r="S9" s="59"/>
      <c r="T9" s="60"/>
      <c r="U9" s="58"/>
      <c r="V9" s="59"/>
      <c r="W9" s="60"/>
      <c r="X9" s="58"/>
      <c r="Y9" s="59"/>
      <c r="Z9" s="60"/>
      <c r="AA9" s="58"/>
      <c r="AB9" s="59"/>
      <c r="AC9" s="60"/>
      <c r="AD9" s="58"/>
      <c r="AE9" s="59"/>
      <c r="AF9" s="60"/>
      <c r="AG9" s="58"/>
      <c r="AH9" s="59"/>
      <c r="AI9" s="60"/>
      <c r="AJ9" s="58"/>
      <c r="AK9" s="59"/>
      <c r="AL9" s="60"/>
      <c r="AM9" s="58"/>
      <c r="AN9" s="59"/>
      <c r="AO9" s="60"/>
      <c r="AP9" s="48"/>
      <c r="AQ9" s="48"/>
      <c r="AR9" s="48"/>
      <c r="AS9" s="48"/>
      <c r="AT9" s="48"/>
      <c r="AU9" s="48"/>
      <c r="AV9" s="48"/>
      <c r="AW9" s="48"/>
      <c r="AX9" s="48"/>
      <c r="AY9" s="48"/>
      <c r="AZ9" s="48"/>
      <c r="BA9" s="48"/>
      <c r="BB9" s="48"/>
      <c r="BC9" s="48"/>
      <c r="BD9" s="48"/>
      <c r="BE9" s="48"/>
      <c r="BF9" s="48"/>
      <c r="BG9" s="48"/>
      <c r="BH9" s="48"/>
      <c r="BI9" s="48"/>
    </row>
    <row r="10">
      <c r="A10" s="41" t="str">
        <f t="shared" si="1"/>
        <v>Véhicules neufsCamions détail</v>
      </c>
      <c r="B10" s="57" t="s">
        <v>98</v>
      </c>
      <c r="C10" s="58"/>
      <c r="D10" s="59"/>
      <c r="E10" s="60"/>
      <c r="F10" s="58"/>
      <c r="G10" s="59"/>
      <c r="H10" s="60"/>
      <c r="I10" s="58"/>
      <c r="J10" s="59"/>
      <c r="K10" s="60"/>
      <c r="L10" s="58"/>
      <c r="M10" s="59"/>
      <c r="N10" s="60"/>
      <c r="O10" s="58"/>
      <c r="P10" s="59"/>
      <c r="Q10" s="60"/>
      <c r="R10" s="58"/>
      <c r="S10" s="59"/>
      <c r="T10" s="60"/>
      <c r="U10" s="58"/>
      <c r="V10" s="59"/>
      <c r="W10" s="60"/>
      <c r="X10" s="58"/>
      <c r="Y10" s="59"/>
      <c r="Z10" s="60"/>
      <c r="AA10" s="58"/>
      <c r="AB10" s="59"/>
      <c r="AC10" s="60"/>
      <c r="AD10" s="58"/>
      <c r="AE10" s="59"/>
      <c r="AF10" s="60"/>
      <c r="AG10" s="58"/>
      <c r="AH10" s="59"/>
      <c r="AI10" s="60"/>
      <c r="AJ10" s="58"/>
      <c r="AK10" s="59"/>
      <c r="AL10" s="60"/>
      <c r="AM10" s="58"/>
      <c r="AN10" s="59"/>
      <c r="AO10" s="60"/>
      <c r="AP10" s="48"/>
      <c r="AQ10" s="48"/>
      <c r="AR10" s="48"/>
      <c r="AS10" s="48"/>
      <c r="AT10" s="48"/>
      <c r="AU10" s="48"/>
      <c r="AV10" s="48"/>
      <c r="AW10" s="48"/>
      <c r="AX10" s="48"/>
      <c r="AY10" s="48"/>
      <c r="AZ10" s="48"/>
      <c r="BA10" s="48"/>
      <c r="BB10" s="48"/>
      <c r="BC10" s="48"/>
      <c r="BD10" s="48"/>
      <c r="BE10" s="48"/>
      <c r="BF10" s="48"/>
      <c r="BG10" s="48"/>
      <c r="BH10" s="48"/>
      <c r="BI10" s="48"/>
    </row>
    <row r="11">
      <c r="A11" s="41" t="str">
        <f t="shared" si="1"/>
        <v>Véhicules neufsSprinter</v>
      </c>
      <c r="B11" s="57" t="s">
        <v>99</v>
      </c>
      <c r="C11" s="58"/>
      <c r="D11" s="59"/>
      <c r="E11" s="60"/>
      <c r="F11" s="58"/>
      <c r="G11" s="59"/>
      <c r="H11" s="60"/>
      <c r="I11" s="58"/>
      <c r="J11" s="59"/>
      <c r="K11" s="60"/>
      <c r="L11" s="58"/>
      <c r="M11" s="59"/>
      <c r="N11" s="60"/>
      <c r="O11" s="58"/>
      <c r="P11" s="59"/>
      <c r="Q11" s="60"/>
      <c r="R11" s="58"/>
      <c r="S11" s="59"/>
      <c r="T11" s="60"/>
      <c r="U11" s="58"/>
      <c r="V11" s="59"/>
      <c r="W11" s="60"/>
      <c r="X11" s="58"/>
      <c r="Y11" s="59"/>
      <c r="Z11" s="60"/>
      <c r="AA11" s="58"/>
      <c r="AB11" s="59"/>
      <c r="AC11" s="60"/>
      <c r="AD11" s="58"/>
      <c r="AE11" s="59"/>
      <c r="AF11" s="60"/>
      <c r="AG11" s="58"/>
      <c r="AH11" s="59"/>
      <c r="AI11" s="60"/>
      <c r="AJ11" s="58"/>
      <c r="AK11" s="59"/>
      <c r="AL11" s="60"/>
      <c r="AM11" s="58"/>
      <c r="AN11" s="59"/>
      <c r="AO11" s="60"/>
      <c r="AP11" s="48"/>
      <c r="AQ11" s="48"/>
      <c r="AR11" s="48"/>
      <c r="AS11" s="48"/>
      <c r="AT11" s="48"/>
      <c r="AU11" s="48"/>
      <c r="AV11" s="48"/>
      <c r="AW11" s="48"/>
      <c r="AX11" s="48"/>
      <c r="AY11" s="48"/>
      <c r="AZ11" s="48"/>
      <c r="BA11" s="48"/>
      <c r="BB11" s="48"/>
      <c r="BC11" s="48"/>
      <c r="BD11" s="48"/>
      <c r="BE11" s="48"/>
      <c r="BF11" s="48"/>
      <c r="BG11" s="48"/>
      <c r="BH11" s="48"/>
      <c r="BI11" s="48"/>
    </row>
    <row r="12">
      <c r="A12" s="41" t="str">
        <f t="shared" si="1"/>
        <v>Véhicules neufsMoto détail</v>
      </c>
      <c r="B12" s="57" t="s">
        <v>100</v>
      </c>
      <c r="C12" s="58"/>
      <c r="D12" s="59"/>
      <c r="E12" s="60"/>
      <c r="F12" s="58"/>
      <c r="G12" s="59"/>
      <c r="H12" s="60"/>
      <c r="I12" s="58"/>
      <c r="J12" s="59"/>
      <c r="K12" s="60"/>
      <c r="L12" s="58"/>
      <c r="M12" s="59"/>
      <c r="N12" s="60"/>
      <c r="O12" s="58"/>
      <c r="P12" s="59"/>
      <c r="Q12" s="60"/>
      <c r="R12" s="58"/>
      <c r="S12" s="59"/>
      <c r="T12" s="60"/>
      <c r="U12" s="58"/>
      <c r="V12" s="59"/>
      <c r="W12" s="60"/>
      <c r="X12" s="58"/>
      <c r="Y12" s="59"/>
      <c r="Z12" s="60"/>
      <c r="AA12" s="58"/>
      <c r="AB12" s="59"/>
      <c r="AC12" s="60"/>
      <c r="AD12" s="58"/>
      <c r="AE12" s="59"/>
      <c r="AF12" s="60"/>
      <c r="AG12" s="58"/>
      <c r="AH12" s="59"/>
      <c r="AI12" s="60"/>
      <c r="AJ12" s="58"/>
      <c r="AK12" s="59"/>
      <c r="AL12" s="60"/>
      <c r="AM12" s="58"/>
      <c r="AN12" s="59"/>
      <c r="AO12" s="60"/>
      <c r="AP12" s="48"/>
      <c r="AQ12" s="48"/>
      <c r="AR12" s="48"/>
      <c r="AS12" s="48"/>
      <c r="AT12" s="48"/>
      <c r="AU12" s="48"/>
      <c r="AV12" s="48"/>
      <c r="AW12" s="48"/>
      <c r="AX12" s="48"/>
      <c r="AY12" s="48"/>
      <c r="AZ12" s="48"/>
      <c r="BA12" s="48"/>
      <c r="BB12" s="48"/>
      <c r="BC12" s="48"/>
      <c r="BD12" s="48"/>
      <c r="BE12" s="48"/>
      <c r="BF12" s="48"/>
      <c r="BG12" s="48"/>
      <c r="BH12" s="48"/>
      <c r="BI12" s="48"/>
    </row>
    <row r="13">
      <c r="A13" s="41" t="str">
        <f t="shared" si="1"/>
        <v>Véhicules neufs[...]</v>
      </c>
      <c r="B13" s="57" t="s">
        <v>56</v>
      </c>
      <c r="C13" s="58"/>
      <c r="D13" s="59"/>
      <c r="E13" s="60"/>
      <c r="F13" s="58"/>
      <c r="G13" s="59"/>
      <c r="H13" s="60"/>
      <c r="I13" s="58"/>
      <c r="J13" s="59"/>
      <c r="K13" s="60"/>
      <c r="L13" s="58"/>
      <c r="M13" s="59"/>
      <c r="N13" s="60"/>
      <c r="O13" s="58"/>
      <c r="P13" s="59"/>
      <c r="Q13" s="60"/>
      <c r="R13" s="58"/>
      <c r="S13" s="59"/>
      <c r="T13" s="60"/>
      <c r="U13" s="58"/>
      <c r="V13" s="59"/>
      <c r="W13" s="60"/>
      <c r="X13" s="58"/>
      <c r="Y13" s="59"/>
      <c r="Z13" s="60"/>
      <c r="AA13" s="58"/>
      <c r="AB13" s="59"/>
      <c r="AC13" s="60"/>
      <c r="AD13" s="58"/>
      <c r="AE13" s="59"/>
      <c r="AF13" s="60"/>
      <c r="AG13" s="58"/>
      <c r="AH13" s="59"/>
      <c r="AI13" s="60"/>
      <c r="AJ13" s="58"/>
      <c r="AK13" s="59"/>
      <c r="AL13" s="60"/>
      <c r="AM13" s="58"/>
      <c r="AN13" s="59"/>
      <c r="AO13" s="60"/>
      <c r="AP13" s="48"/>
      <c r="AQ13" s="48"/>
      <c r="AR13" s="48"/>
      <c r="AS13" s="48"/>
      <c r="AT13" s="48"/>
      <c r="AU13" s="48"/>
      <c r="AV13" s="48"/>
      <c r="AW13" s="48"/>
      <c r="AX13" s="48"/>
      <c r="AY13" s="48"/>
      <c r="AZ13" s="48"/>
      <c r="BA13" s="48"/>
      <c r="BB13" s="48"/>
      <c r="BC13" s="48"/>
      <c r="BD13" s="48"/>
      <c r="BE13" s="48"/>
      <c r="BF13" s="48"/>
      <c r="BG13" s="48"/>
      <c r="BH13" s="48"/>
      <c r="BI13" s="48"/>
    </row>
    <row r="14">
      <c r="A14" s="41" t="str">
        <f t="shared" si="1"/>
        <v>Véhicules neufs[...]</v>
      </c>
      <c r="B14" s="57" t="s">
        <v>56</v>
      </c>
      <c r="C14" s="58"/>
      <c r="D14" s="59"/>
      <c r="E14" s="60"/>
      <c r="F14" s="58"/>
      <c r="G14" s="59"/>
      <c r="H14" s="60"/>
      <c r="I14" s="58"/>
      <c r="J14" s="59"/>
      <c r="K14" s="60"/>
      <c r="L14" s="58"/>
      <c r="M14" s="59"/>
      <c r="N14" s="60"/>
      <c r="O14" s="58"/>
      <c r="P14" s="59"/>
      <c r="Q14" s="60"/>
      <c r="R14" s="58"/>
      <c r="S14" s="59"/>
      <c r="T14" s="60"/>
      <c r="U14" s="58"/>
      <c r="V14" s="59"/>
      <c r="W14" s="60"/>
      <c r="X14" s="58"/>
      <c r="Y14" s="59"/>
      <c r="Z14" s="60"/>
      <c r="AA14" s="58"/>
      <c r="AB14" s="59"/>
      <c r="AC14" s="60"/>
      <c r="AD14" s="58"/>
      <c r="AE14" s="59"/>
      <c r="AF14" s="60"/>
      <c r="AG14" s="58"/>
      <c r="AH14" s="59"/>
      <c r="AI14" s="60"/>
      <c r="AJ14" s="58"/>
      <c r="AK14" s="59"/>
      <c r="AL14" s="60"/>
      <c r="AM14" s="58"/>
      <c r="AN14" s="59"/>
      <c r="AO14" s="60"/>
      <c r="AP14" s="48"/>
      <c r="AQ14" s="48"/>
      <c r="AR14" s="48"/>
      <c r="AS14" s="48"/>
      <c r="AT14" s="48"/>
      <c r="AU14" s="48"/>
      <c r="AV14" s="48"/>
      <c r="AW14" s="48"/>
      <c r="AX14" s="48"/>
      <c r="AY14" s="48"/>
      <c r="AZ14" s="48"/>
      <c r="BA14" s="48"/>
      <c r="BB14" s="48"/>
      <c r="BC14" s="48"/>
      <c r="BD14" s="48"/>
      <c r="BE14" s="48"/>
      <c r="BF14" s="48"/>
      <c r="BG14" s="48"/>
      <c r="BH14" s="48"/>
      <c r="BI14" s="48"/>
    </row>
    <row r="15">
      <c r="A15" s="41" t="str">
        <f t="shared" si="1"/>
        <v>Véhicules neufs[...]</v>
      </c>
      <c r="B15" s="57" t="s">
        <v>56</v>
      </c>
      <c r="C15" s="58"/>
      <c r="D15" s="59"/>
      <c r="E15" s="60"/>
      <c r="F15" s="58"/>
      <c r="G15" s="59"/>
      <c r="H15" s="60"/>
      <c r="I15" s="58"/>
      <c r="J15" s="59"/>
      <c r="K15" s="60"/>
      <c r="L15" s="58"/>
      <c r="M15" s="59"/>
      <c r="N15" s="60"/>
      <c r="O15" s="58"/>
      <c r="P15" s="59"/>
      <c r="Q15" s="60"/>
      <c r="R15" s="58"/>
      <c r="S15" s="59"/>
      <c r="T15" s="60"/>
      <c r="U15" s="58"/>
      <c r="V15" s="59"/>
      <c r="W15" s="60"/>
      <c r="X15" s="58"/>
      <c r="Y15" s="59"/>
      <c r="Z15" s="60"/>
      <c r="AA15" s="58"/>
      <c r="AB15" s="59"/>
      <c r="AC15" s="60"/>
      <c r="AD15" s="58"/>
      <c r="AE15" s="59"/>
      <c r="AF15" s="60"/>
      <c r="AG15" s="58"/>
      <c r="AH15" s="59"/>
      <c r="AI15" s="60"/>
      <c r="AJ15" s="58"/>
      <c r="AK15" s="59"/>
      <c r="AL15" s="60"/>
      <c r="AM15" s="58"/>
      <c r="AN15" s="59"/>
      <c r="AO15" s="60"/>
      <c r="AP15" s="48"/>
      <c r="AQ15" s="48"/>
      <c r="AR15" s="48"/>
      <c r="AS15" s="48"/>
      <c r="AT15" s="48"/>
      <c r="AU15" s="48"/>
      <c r="AV15" s="48"/>
      <c r="AW15" s="48"/>
      <c r="AX15" s="48"/>
      <c r="AY15" s="48"/>
      <c r="AZ15" s="48"/>
      <c r="BA15" s="48"/>
      <c r="BB15" s="48"/>
      <c r="BC15" s="48"/>
      <c r="BD15" s="48"/>
      <c r="BE15" s="48"/>
      <c r="BF15" s="48"/>
      <c r="BG15" s="48"/>
      <c r="BH15" s="48"/>
      <c r="BI15" s="48"/>
    </row>
    <row r="16">
      <c r="A16" s="41" t="str">
        <f t="shared" si="1"/>
        <v>Véhicules neufsTotal Neufs</v>
      </c>
      <c r="B16" s="61" t="s">
        <v>101</v>
      </c>
      <c r="C16" s="62"/>
      <c r="D16" s="63"/>
      <c r="E16" s="64"/>
      <c r="F16" s="62"/>
      <c r="G16" s="63"/>
      <c r="H16" s="64"/>
      <c r="I16" s="62"/>
      <c r="J16" s="63"/>
      <c r="K16" s="64"/>
      <c r="L16" s="62"/>
      <c r="M16" s="63"/>
      <c r="N16" s="64"/>
      <c r="O16" s="62"/>
      <c r="P16" s="63"/>
      <c r="Q16" s="64"/>
      <c r="R16" s="62"/>
      <c r="S16" s="63"/>
      <c r="T16" s="64"/>
      <c r="U16" s="62"/>
      <c r="V16" s="63"/>
      <c r="W16" s="64"/>
      <c r="X16" s="62"/>
      <c r="Y16" s="63"/>
      <c r="Z16" s="64"/>
      <c r="AA16" s="62"/>
      <c r="AB16" s="63"/>
      <c r="AC16" s="64"/>
      <c r="AD16" s="62"/>
      <c r="AE16" s="63"/>
      <c r="AF16" s="64"/>
      <c r="AG16" s="62"/>
      <c r="AH16" s="63"/>
      <c r="AI16" s="64"/>
      <c r="AJ16" s="62"/>
      <c r="AK16" s="63"/>
      <c r="AL16" s="64"/>
      <c r="AM16" s="62"/>
      <c r="AN16" s="63"/>
      <c r="AO16" s="64"/>
      <c r="AP16" s="48"/>
      <c r="AQ16" s="48"/>
      <c r="AR16" s="48"/>
      <c r="AS16" s="48"/>
      <c r="AT16" s="48"/>
      <c r="AU16" s="48"/>
      <c r="AV16" s="48"/>
      <c r="AW16" s="48"/>
      <c r="AX16" s="48"/>
      <c r="AY16" s="48"/>
      <c r="AZ16" s="48"/>
      <c r="BA16" s="48"/>
      <c r="BB16" s="48"/>
      <c r="BC16" s="48"/>
      <c r="BD16" s="48"/>
      <c r="BE16" s="48"/>
      <c r="BF16" s="48"/>
      <c r="BG16" s="48"/>
      <c r="BH16" s="48"/>
      <c r="BI16" s="48"/>
    </row>
    <row r="17">
      <c r="A17" s="41" t="str">
        <f t="shared" si="1"/>
        <v>Véhicules neufs</v>
      </c>
      <c r="B17" s="57"/>
      <c r="C17" s="57"/>
      <c r="D17" s="59"/>
      <c r="E17" s="65"/>
      <c r="F17" s="57"/>
      <c r="G17" s="59"/>
      <c r="H17" s="65"/>
      <c r="I17" s="57"/>
      <c r="J17" s="59"/>
      <c r="K17" s="65"/>
      <c r="L17" s="57"/>
      <c r="M17" s="59"/>
      <c r="N17" s="65"/>
      <c r="O17" s="57"/>
      <c r="P17" s="59"/>
      <c r="Q17" s="65"/>
      <c r="R17" s="57"/>
      <c r="S17" s="59"/>
      <c r="T17" s="65"/>
      <c r="U17" s="57"/>
      <c r="V17" s="59"/>
      <c r="W17" s="65"/>
      <c r="X17" s="57"/>
      <c r="Y17" s="59"/>
      <c r="Z17" s="65"/>
      <c r="AA17" s="57"/>
      <c r="AB17" s="59"/>
      <c r="AC17" s="65"/>
      <c r="AD17" s="57"/>
      <c r="AE17" s="59"/>
      <c r="AF17" s="65"/>
      <c r="AG17" s="57"/>
      <c r="AH17" s="59"/>
      <c r="AI17" s="65"/>
      <c r="AJ17" s="57"/>
      <c r="AK17" s="59"/>
      <c r="AL17" s="65"/>
      <c r="AM17" s="57"/>
      <c r="AN17" s="59"/>
      <c r="AO17" s="65"/>
      <c r="AP17" s="48"/>
      <c r="AQ17" s="48"/>
      <c r="AR17" s="48"/>
      <c r="AS17" s="48"/>
      <c r="AT17" s="48"/>
      <c r="AU17" s="48"/>
      <c r="AV17" s="48"/>
      <c r="AW17" s="48"/>
      <c r="AX17" s="48"/>
      <c r="AY17" s="48"/>
      <c r="AZ17" s="48"/>
      <c r="BA17" s="48"/>
      <c r="BB17" s="48"/>
      <c r="BC17" s="48"/>
      <c r="BD17" s="48"/>
      <c r="BE17" s="48"/>
      <c r="BF17" s="48"/>
      <c r="BG17" s="48"/>
      <c r="BH17" s="48"/>
      <c r="BI17" s="48"/>
    </row>
    <row r="18">
      <c r="A18" s="41" t="str">
        <f t="shared" si="1"/>
        <v>Véhicules neufsEx-Démos et courtoisies</v>
      </c>
      <c r="B18" s="66" t="s">
        <v>102</v>
      </c>
      <c r="C18" s="67"/>
      <c r="D18" s="68"/>
      <c r="E18" s="69"/>
      <c r="F18" s="67"/>
      <c r="G18" s="68"/>
      <c r="H18" s="69"/>
      <c r="I18" s="67"/>
      <c r="J18" s="68"/>
      <c r="K18" s="69"/>
      <c r="L18" s="67"/>
      <c r="M18" s="68"/>
      <c r="N18" s="69"/>
      <c r="O18" s="67"/>
      <c r="P18" s="68"/>
      <c r="Q18" s="69"/>
      <c r="R18" s="67"/>
      <c r="S18" s="68"/>
      <c r="T18" s="69"/>
      <c r="U18" s="67"/>
      <c r="V18" s="68"/>
      <c r="W18" s="69"/>
      <c r="X18" s="67"/>
      <c r="Y18" s="68"/>
      <c r="Z18" s="69"/>
      <c r="AA18" s="67"/>
      <c r="AB18" s="68"/>
      <c r="AC18" s="69"/>
      <c r="AD18" s="67"/>
      <c r="AE18" s="68"/>
      <c r="AF18" s="69"/>
      <c r="AG18" s="67"/>
      <c r="AH18" s="68"/>
      <c r="AI18" s="69"/>
      <c r="AJ18" s="67"/>
      <c r="AK18" s="68"/>
      <c r="AL18" s="69"/>
      <c r="AM18" s="67"/>
      <c r="AN18" s="68"/>
      <c r="AO18" s="69"/>
      <c r="AP18" s="48"/>
      <c r="AQ18" s="48"/>
      <c r="AR18" s="48"/>
      <c r="AS18" s="48"/>
      <c r="AT18" s="48"/>
      <c r="AU18" s="48"/>
      <c r="AV18" s="48"/>
      <c r="AW18" s="48"/>
      <c r="AX18" s="48"/>
      <c r="AY18" s="48"/>
      <c r="AZ18" s="48"/>
      <c r="BA18" s="48"/>
      <c r="BB18" s="48"/>
      <c r="BC18" s="48"/>
      <c r="BD18" s="48"/>
      <c r="BE18" s="48"/>
      <c r="BF18" s="48"/>
      <c r="BG18" s="48"/>
      <c r="BH18" s="48"/>
      <c r="BI18" s="48"/>
    </row>
    <row r="19">
      <c r="A19" s="41" t="str">
        <f t="shared" si="1"/>
        <v>Véhicules neufs</v>
      </c>
      <c r="B19" s="57"/>
      <c r="C19" s="57"/>
      <c r="D19" s="59"/>
      <c r="E19" s="65"/>
      <c r="F19" s="57"/>
      <c r="G19" s="59"/>
      <c r="H19" s="65"/>
      <c r="I19" s="57"/>
      <c r="J19" s="59"/>
      <c r="K19" s="65"/>
      <c r="L19" s="57"/>
      <c r="M19" s="59"/>
      <c r="N19" s="65"/>
      <c r="O19" s="57"/>
      <c r="P19" s="59"/>
      <c r="Q19" s="65"/>
      <c r="R19" s="57"/>
      <c r="S19" s="59"/>
      <c r="T19" s="65"/>
      <c r="U19" s="57"/>
      <c r="V19" s="59"/>
      <c r="W19" s="65"/>
      <c r="X19" s="57"/>
      <c r="Y19" s="59"/>
      <c r="Z19" s="65"/>
      <c r="AA19" s="57"/>
      <c r="AB19" s="59"/>
      <c r="AC19" s="65"/>
      <c r="AD19" s="57"/>
      <c r="AE19" s="59"/>
      <c r="AF19" s="65"/>
      <c r="AG19" s="57"/>
      <c r="AH19" s="59"/>
      <c r="AI19" s="65"/>
      <c r="AJ19" s="57"/>
      <c r="AK19" s="59"/>
      <c r="AL19" s="65"/>
      <c r="AM19" s="57"/>
      <c r="AN19" s="59"/>
      <c r="AO19" s="65"/>
      <c r="AP19" s="48"/>
      <c r="AQ19" s="48"/>
      <c r="AR19" s="48"/>
      <c r="AS19" s="48"/>
      <c r="AT19" s="48"/>
      <c r="AU19" s="48"/>
      <c r="AV19" s="48"/>
      <c r="AW19" s="48"/>
      <c r="AX19" s="48"/>
      <c r="AY19" s="48"/>
      <c r="AZ19" s="48"/>
      <c r="BA19" s="48"/>
      <c r="BB19" s="48"/>
      <c r="BC19" s="48"/>
      <c r="BD19" s="48"/>
      <c r="BE19" s="48"/>
      <c r="BF19" s="48"/>
      <c r="BG19" s="48"/>
      <c r="BH19" s="48"/>
      <c r="BI19" s="48"/>
    </row>
    <row r="20">
      <c r="A20" s="41" t="str">
        <f t="shared" si="1"/>
        <v>Véhicules neufsFlottes</v>
      </c>
      <c r="B20" s="70" t="s">
        <v>103</v>
      </c>
      <c r="C20" s="58"/>
      <c r="D20" s="59"/>
      <c r="E20" s="60"/>
      <c r="F20" s="58"/>
      <c r="G20" s="59"/>
      <c r="H20" s="60"/>
      <c r="I20" s="58"/>
      <c r="J20" s="59"/>
      <c r="K20" s="60"/>
      <c r="L20" s="58"/>
      <c r="M20" s="59"/>
      <c r="N20" s="60"/>
      <c r="O20" s="58"/>
      <c r="P20" s="59"/>
      <c r="Q20" s="60"/>
      <c r="R20" s="58"/>
      <c r="S20" s="59"/>
      <c r="T20" s="60"/>
      <c r="U20" s="58"/>
      <c r="V20" s="59"/>
      <c r="W20" s="60"/>
      <c r="X20" s="58"/>
      <c r="Y20" s="59"/>
      <c r="Z20" s="60"/>
      <c r="AA20" s="58"/>
      <c r="AB20" s="59"/>
      <c r="AC20" s="60"/>
      <c r="AD20" s="58"/>
      <c r="AE20" s="59"/>
      <c r="AF20" s="60"/>
      <c r="AG20" s="58"/>
      <c r="AH20" s="59"/>
      <c r="AI20" s="60"/>
      <c r="AJ20" s="58"/>
      <c r="AK20" s="59"/>
      <c r="AL20" s="60"/>
      <c r="AM20" s="58"/>
      <c r="AN20" s="59"/>
      <c r="AO20" s="60"/>
      <c r="AP20" s="48"/>
      <c r="AQ20" s="48"/>
      <c r="AR20" s="48"/>
      <c r="AS20" s="48"/>
      <c r="AT20" s="48"/>
      <c r="AU20" s="48"/>
      <c r="AV20" s="48"/>
      <c r="AW20" s="48"/>
      <c r="AX20" s="48"/>
      <c r="AY20" s="48"/>
      <c r="AZ20" s="48"/>
      <c r="BA20" s="48"/>
      <c r="BB20" s="48"/>
      <c r="BC20" s="48"/>
      <c r="BD20" s="48"/>
      <c r="BE20" s="48"/>
      <c r="BF20" s="48"/>
      <c r="BG20" s="48"/>
      <c r="BH20" s="48"/>
      <c r="BI20" s="48"/>
    </row>
    <row r="21" ht="15.75" customHeight="1">
      <c r="A21" s="41" t="str">
        <f t="shared" si="1"/>
        <v>Véhicules neufs</v>
      </c>
      <c r="B21" s="61"/>
      <c r="C21" s="71"/>
      <c r="D21" s="72"/>
      <c r="E21" s="73"/>
      <c r="F21" s="71"/>
      <c r="G21" s="72"/>
      <c r="H21" s="73"/>
      <c r="I21" s="71"/>
      <c r="J21" s="72"/>
      <c r="K21" s="73"/>
      <c r="L21" s="71"/>
      <c r="M21" s="72"/>
      <c r="N21" s="73"/>
      <c r="O21" s="71"/>
      <c r="P21" s="72"/>
      <c r="Q21" s="73"/>
      <c r="R21" s="71"/>
      <c r="S21" s="72"/>
      <c r="T21" s="73"/>
      <c r="U21" s="71"/>
      <c r="V21" s="72"/>
      <c r="W21" s="73"/>
      <c r="X21" s="71"/>
      <c r="Y21" s="72"/>
      <c r="Z21" s="73"/>
      <c r="AA21" s="71"/>
      <c r="AB21" s="72"/>
      <c r="AC21" s="73"/>
      <c r="AD21" s="71"/>
      <c r="AE21" s="72"/>
      <c r="AF21" s="73"/>
      <c r="AG21" s="71"/>
      <c r="AH21" s="72"/>
      <c r="AI21" s="73"/>
      <c r="AJ21" s="71"/>
      <c r="AK21" s="72"/>
      <c r="AL21" s="73"/>
      <c r="AM21" s="71"/>
      <c r="AN21" s="72"/>
      <c r="AO21" s="73"/>
      <c r="AP21" s="48"/>
      <c r="AQ21" s="48"/>
      <c r="AR21" s="48"/>
      <c r="AS21" s="48"/>
      <c r="AT21" s="48"/>
      <c r="AU21" s="48"/>
      <c r="AV21" s="48"/>
      <c r="AW21" s="48"/>
      <c r="AX21" s="48"/>
      <c r="AY21" s="48"/>
      <c r="AZ21" s="48"/>
      <c r="BA21" s="48"/>
      <c r="BB21" s="48"/>
      <c r="BC21" s="48"/>
      <c r="BD21" s="48"/>
      <c r="BE21" s="48"/>
      <c r="BF21" s="48"/>
      <c r="BG21" s="48"/>
      <c r="BH21" s="48"/>
      <c r="BI21" s="48"/>
    </row>
    <row r="22" ht="15.75" customHeight="1">
      <c r="A22" s="41" t="str">
        <f t="shared" si="1"/>
        <v>Véhicules neufsRachat bail</v>
      </c>
      <c r="B22" s="66" t="s">
        <v>104</v>
      </c>
      <c r="C22" s="58"/>
      <c r="D22" s="59"/>
      <c r="E22" s="60"/>
      <c r="F22" s="58"/>
      <c r="G22" s="59"/>
      <c r="H22" s="60"/>
      <c r="I22" s="58"/>
      <c r="J22" s="59"/>
      <c r="K22" s="60"/>
      <c r="L22" s="58"/>
      <c r="M22" s="59"/>
      <c r="N22" s="60"/>
      <c r="O22" s="58"/>
      <c r="P22" s="59"/>
      <c r="Q22" s="60"/>
      <c r="R22" s="58"/>
      <c r="S22" s="59"/>
      <c r="T22" s="60"/>
      <c r="U22" s="58"/>
      <c r="V22" s="59"/>
      <c r="W22" s="60"/>
      <c r="X22" s="58"/>
      <c r="Y22" s="59"/>
      <c r="Z22" s="60"/>
      <c r="AA22" s="58"/>
      <c r="AB22" s="59"/>
      <c r="AC22" s="60"/>
      <c r="AD22" s="58"/>
      <c r="AE22" s="59"/>
      <c r="AF22" s="60"/>
      <c r="AG22" s="58"/>
      <c r="AH22" s="59"/>
      <c r="AI22" s="60"/>
      <c r="AJ22" s="58"/>
      <c r="AK22" s="59"/>
      <c r="AL22" s="60"/>
      <c r="AM22" s="58"/>
      <c r="AN22" s="59"/>
      <c r="AO22" s="60"/>
      <c r="AP22" s="48"/>
      <c r="AQ22" s="48"/>
      <c r="AR22" s="48"/>
      <c r="AS22" s="48"/>
      <c r="AT22" s="48"/>
      <c r="AU22" s="48"/>
      <c r="AV22" s="48"/>
      <c r="AW22" s="48"/>
      <c r="AX22" s="48"/>
      <c r="AY22" s="48"/>
      <c r="AZ22" s="48"/>
      <c r="BA22" s="48"/>
      <c r="BB22" s="48"/>
      <c r="BC22" s="48"/>
      <c r="BD22" s="48"/>
      <c r="BE22" s="48"/>
      <c r="BF22" s="48"/>
      <c r="BG22" s="48"/>
      <c r="BH22" s="48"/>
      <c r="BI22" s="48"/>
    </row>
    <row r="23" ht="15.75" customHeight="1">
      <c r="A23" s="41" t="str">
        <f t="shared" si="1"/>
        <v>Véhicules neufs</v>
      </c>
      <c r="B23" s="61"/>
      <c r="C23" s="71"/>
      <c r="D23" s="72"/>
      <c r="E23" s="73"/>
      <c r="F23" s="71"/>
      <c r="G23" s="72"/>
      <c r="H23" s="73"/>
      <c r="I23" s="71"/>
      <c r="J23" s="72"/>
      <c r="K23" s="73"/>
      <c r="L23" s="71"/>
      <c r="M23" s="72"/>
      <c r="N23" s="73"/>
      <c r="O23" s="71"/>
      <c r="P23" s="72"/>
      <c r="Q23" s="73"/>
      <c r="R23" s="71"/>
      <c r="S23" s="72"/>
      <c r="T23" s="73"/>
      <c r="U23" s="71"/>
      <c r="V23" s="72"/>
      <c r="W23" s="73"/>
      <c r="X23" s="71"/>
      <c r="Y23" s="72"/>
      <c r="Z23" s="73"/>
      <c r="AA23" s="71"/>
      <c r="AB23" s="72"/>
      <c r="AC23" s="73"/>
      <c r="AD23" s="71"/>
      <c r="AE23" s="72"/>
      <c r="AF23" s="73"/>
      <c r="AG23" s="71"/>
      <c r="AH23" s="72"/>
      <c r="AI23" s="73"/>
      <c r="AJ23" s="71"/>
      <c r="AK23" s="72"/>
      <c r="AL23" s="73"/>
      <c r="AM23" s="71"/>
      <c r="AN23" s="72"/>
      <c r="AO23" s="73"/>
      <c r="AP23" s="48"/>
      <c r="AQ23" s="48"/>
      <c r="AR23" s="48"/>
      <c r="AS23" s="48"/>
      <c r="AT23" s="48"/>
      <c r="AU23" s="48"/>
      <c r="AV23" s="48"/>
      <c r="AW23" s="48"/>
      <c r="AX23" s="48"/>
      <c r="AY23" s="48"/>
      <c r="AZ23" s="48"/>
      <c r="BA23" s="48"/>
      <c r="BB23" s="48"/>
      <c r="BC23" s="48"/>
      <c r="BD23" s="48"/>
      <c r="BE23" s="48"/>
      <c r="BF23" s="48"/>
      <c r="BG23" s="48"/>
      <c r="BH23" s="48"/>
      <c r="BI23" s="48"/>
    </row>
    <row r="24" ht="15.75" customHeight="1">
      <c r="A24" s="41" t="str">
        <f t="shared" si="1"/>
        <v>Véhicules neufsRev. Finances</v>
      </c>
      <c r="B24" s="57" t="s">
        <v>105</v>
      </c>
      <c r="C24" s="58"/>
      <c r="D24" s="59"/>
      <c r="E24" s="60"/>
      <c r="F24" s="58"/>
      <c r="G24" s="59"/>
      <c r="H24" s="60"/>
      <c r="I24" s="58"/>
      <c r="J24" s="59"/>
      <c r="K24" s="60"/>
      <c r="L24" s="58"/>
      <c r="M24" s="59"/>
      <c r="N24" s="60"/>
      <c r="O24" s="58"/>
      <c r="P24" s="59"/>
      <c r="Q24" s="60"/>
      <c r="R24" s="58"/>
      <c r="S24" s="59"/>
      <c r="T24" s="60"/>
      <c r="U24" s="58"/>
      <c r="V24" s="59"/>
      <c r="W24" s="60"/>
      <c r="X24" s="58"/>
      <c r="Y24" s="59"/>
      <c r="Z24" s="60"/>
      <c r="AA24" s="58"/>
      <c r="AB24" s="59"/>
      <c r="AC24" s="60"/>
      <c r="AD24" s="58"/>
      <c r="AE24" s="59"/>
      <c r="AF24" s="60"/>
      <c r="AG24" s="58"/>
      <c r="AH24" s="59"/>
      <c r="AI24" s="60"/>
      <c r="AJ24" s="58"/>
      <c r="AK24" s="59"/>
      <c r="AL24" s="60"/>
      <c r="AM24" s="58"/>
      <c r="AN24" s="59"/>
      <c r="AO24" s="60"/>
      <c r="AP24" s="48"/>
      <c r="AQ24" s="48"/>
      <c r="AR24" s="48"/>
      <c r="AS24" s="48"/>
      <c r="AT24" s="48"/>
      <c r="AU24" s="48"/>
      <c r="AV24" s="48"/>
      <c r="AW24" s="48"/>
      <c r="AX24" s="48"/>
      <c r="AY24" s="48"/>
      <c r="AZ24" s="48"/>
      <c r="BA24" s="48"/>
      <c r="BB24" s="48"/>
      <c r="BC24" s="48"/>
      <c r="BD24" s="48"/>
      <c r="BE24" s="48"/>
      <c r="BF24" s="48"/>
      <c r="BG24" s="48"/>
      <c r="BH24" s="48"/>
      <c r="BI24" s="48"/>
    </row>
    <row r="25" ht="15.75" customHeight="1">
      <c r="A25" s="41" t="str">
        <f t="shared" si="1"/>
        <v>Véhicules neufsRev. Protections</v>
      </c>
      <c r="B25" s="57" t="s">
        <v>106</v>
      </c>
      <c r="C25" s="58"/>
      <c r="D25" s="59"/>
      <c r="E25" s="60"/>
      <c r="F25" s="58"/>
      <c r="G25" s="59"/>
      <c r="H25" s="60"/>
      <c r="I25" s="58"/>
      <c r="J25" s="59"/>
      <c r="K25" s="60"/>
      <c r="L25" s="58"/>
      <c r="M25" s="59"/>
      <c r="N25" s="60"/>
      <c r="O25" s="58"/>
      <c r="P25" s="59"/>
      <c r="Q25" s="60"/>
      <c r="R25" s="58"/>
      <c r="S25" s="59"/>
      <c r="T25" s="60"/>
      <c r="U25" s="58"/>
      <c r="V25" s="59"/>
      <c r="W25" s="60"/>
      <c r="X25" s="58"/>
      <c r="Y25" s="59"/>
      <c r="Z25" s="60"/>
      <c r="AA25" s="58"/>
      <c r="AB25" s="59"/>
      <c r="AC25" s="60"/>
      <c r="AD25" s="58"/>
      <c r="AE25" s="59"/>
      <c r="AF25" s="60"/>
      <c r="AG25" s="58"/>
      <c r="AH25" s="59"/>
      <c r="AI25" s="60"/>
      <c r="AJ25" s="58"/>
      <c r="AK25" s="59"/>
      <c r="AL25" s="60"/>
      <c r="AM25" s="58"/>
      <c r="AN25" s="59"/>
      <c r="AO25" s="60"/>
      <c r="AP25" s="48"/>
      <c r="AQ25" s="48"/>
      <c r="AR25" s="48"/>
      <c r="AS25" s="48"/>
      <c r="AT25" s="48"/>
      <c r="AU25" s="48"/>
      <c r="AV25" s="48"/>
      <c r="AW25" s="48"/>
      <c r="AX25" s="48"/>
      <c r="AY25" s="48"/>
      <c r="AZ25" s="48"/>
      <c r="BA25" s="48"/>
      <c r="BB25" s="48"/>
      <c r="BC25" s="48"/>
      <c r="BD25" s="48"/>
      <c r="BE25" s="48"/>
      <c r="BF25" s="48"/>
      <c r="BG25" s="48"/>
      <c r="BH25" s="48"/>
      <c r="BI25" s="48"/>
    </row>
    <row r="26" ht="15.75" customHeight="1">
      <c r="A26" s="41" t="str">
        <f t="shared" si="1"/>
        <v>Véhicules neufsRev. Autres</v>
      </c>
      <c r="B26" s="57" t="s">
        <v>107</v>
      </c>
      <c r="C26" s="58"/>
      <c r="D26" s="59"/>
      <c r="E26" s="60"/>
      <c r="F26" s="58"/>
      <c r="G26" s="59"/>
      <c r="H26" s="60"/>
      <c r="I26" s="58"/>
      <c r="J26" s="59"/>
      <c r="K26" s="60"/>
      <c r="L26" s="58"/>
      <c r="M26" s="59"/>
      <c r="N26" s="60"/>
      <c r="O26" s="58"/>
      <c r="P26" s="59"/>
      <c r="Q26" s="60"/>
      <c r="R26" s="58"/>
      <c r="S26" s="59"/>
      <c r="T26" s="60"/>
      <c r="U26" s="58"/>
      <c r="V26" s="59"/>
      <c r="W26" s="60"/>
      <c r="X26" s="58"/>
      <c r="Y26" s="59"/>
      <c r="Z26" s="60"/>
      <c r="AA26" s="58"/>
      <c r="AB26" s="59"/>
      <c r="AC26" s="60"/>
      <c r="AD26" s="58"/>
      <c r="AE26" s="59"/>
      <c r="AF26" s="60"/>
      <c r="AG26" s="58"/>
      <c r="AH26" s="59"/>
      <c r="AI26" s="60"/>
      <c r="AJ26" s="58"/>
      <c r="AK26" s="59"/>
      <c r="AL26" s="60"/>
      <c r="AM26" s="58"/>
      <c r="AN26" s="59"/>
      <c r="AO26" s="60"/>
      <c r="AP26" s="48"/>
      <c r="AQ26" s="48"/>
      <c r="AR26" s="48"/>
      <c r="AS26" s="48"/>
      <c r="AT26" s="48"/>
      <c r="AU26" s="48"/>
      <c r="AV26" s="48"/>
      <c r="AW26" s="48"/>
      <c r="AX26" s="48"/>
      <c r="AY26" s="48"/>
      <c r="AZ26" s="48"/>
      <c r="BA26" s="48"/>
      <c r="BB26" s="48"/>
      <c r="BC26" s="48"/>
      <c r="BD26" s="48"/>
      <c r="BE26" s="48"/>
      <c r="BF26" s="48"/>
      <c r="BG26" s="48"/>
      <c r="BH26" s="48"/>
      <c r="BI26" s="48"/>
    </row>
    <row r="27" ht="15.75" customHeight="1">
      <c r="A27" s="41" t="str">
        <f t="shared" si="1"/>
        <v>Véhicules neufsTotal F&amp;I</v>
      </c>
      <c r="B27" s="61" t="s">
        <v>108</v>
      </c>
      <c r="C27" s="62"/>
      <c r="D27" s="63"/>
      <c r="E27" s="64"/>
      <c r="F27" s="62"/>
      <c r="G27" s="63"/>
      <c r="H27" s="64"/>
      <c r="I27" s="62"/>
      <c r="J27" s="63"/>
      <c r="K27" s="64"/>
      <c r="L27" s="62"/>
      <c r="M27" s="63"/>
      <c r="N27" s="64"/>
      <c r="O27" s="62"/>
      <c r="P27" s="63"/>
      <c r="Q27" s="64"/>
      <c r="R27" s="62"/>
      <c r="S27" s="63"/>
      <c r="T27" s="64"/>
      <c r="U27" s="62"/>
      <c r="V27" s="63"/>
      <c r="W27" s="64"/>
      <c r="X27" s="62"/>
      <c r="Y27" s="63"/>
      <c r="Z27" s="64"/>
      <c r="AA27" s="62"/>
      <c r="AB27" s="63"/>
      <c r="AC27" s="64"/>
      <c r="AD27" s="62"/>
      <c r="AE27" s="63"/>
      <c r="AF27" s="64"/>
      <c r="AG27" s="62"/>
      <c r="AH27" s="63"/>
      <c r="AI27" s="64"/>
      <c r="AJ27" s="62"/>
      <c r="AK27" s="63"/>
      <c r="AL27" s="64"/>
      <c r="AM27" s="62"/>
      <c r="AN27" s="63"/>
      <c r="AO27" s="64"/>
      <c r="AP27" s="48"/>
      <c r="AQ27" s="48"/>
      <c r="AR27" s="48"/>
      <c r="AS27" s="48"/>
      <c r="AT27" s="48"/>
      <c r="AU27" s="48"/>
      <c r="AV27" s="48"/>
      <c r="AW27" s="48"/>
      <c r="AX27" s="48"/>
      <c r="AY27" s="48"/>
      <c r="AZ27" s="48"/>
      <c r="BA27" s="48"/>
      <c r="BB27" s="48"/>
      <c r="BC27" s="48"/>
      <c r="BD27" s="48"/>
      <c r="BE27" s="48"/>
      <c r="BF27" s="48"/>
      <c r="BG27" s="48"/>
      <c r="BH27" s="48"/>
      <c r="BI27" s="48"/>
    </row>
    <row r="28" ht="15.75" customHeight="1">
      <c r="A28" s="41" t="str">
        <f t="shared" si="1"/>
        <v>Véhicules neufs</v>
      </c>
      <c r="B28" s="57"/>
      <c r="C28" s="57"/>
      <c r="D28" s="74"/>
      <c r="E28" s="75"/>
      <c r="F28" s="57"/>
      <c r="G28" s="74"/>
      <c r="H28" s="75"/>
      <c r="I28" s="57"/>
      <c r="J28" s="74"/>
      <c r="K28" s="75"/>
      <c r="L28" s="57"/>
      <c r="M28" s="74"/>
      <c r="N28" s="75"/>
      <c r="O28" s="57"/>
      <c r="P28" s="74"/>
      <c r="Q28" s="75"/>
      <c r="R28" s="57"/>
      <c r="S28" s="74"/>
      <c r="T28" s="75"/>
      <c r="U28" s="57"/>
      <c r="V28" s="74"/>
      <c r="W28" s="75"/>
      <c r="X28" s="57"/>
      <c r="Y28" s="74"/>
      <c r="Z28" s="75"/>
      <c r="AA28" s="57"/>
      <c r="AB28" s="74"/>
      <c r="AC28" s="75"/>
      <c r="AD28" s="57"/>
      <c r="AE28" s="74"/>
      <c r="AF28" s="75"/>
      <c r="AG28" s="57"/>
      <c r="AH28" s="74"/>
      <c r="AI28" s="75"/>
      <c r="AJ28" s="57"/>
      <c r="AK28" s="74"/>
      <c r="AL28" s="75"/>
      <c r="AM28" s="57"/>
      <c r="AN28" s="74"/>
      <c r="AO28" s="75"/>
      <c r="AP28" s="48"/>
      <c r="AQ28" s="48"/>
      <c r="AR28" s="48"/>
      <c r="AS28" s="48"/>
      <c r="AT28" s="48"/>
      <c r="AU28" s="48"/>
      <c r="AV28" s="48"/>
      <c r="AW28" s="48"/>
      <c r="AX28" s="48"/>
      <c r="AY28" s="48"/>
      <c r="AZ28" s="48"/>
      <c r="BA28" s="48"/>
      <c r="BB28" s="48"/>
      <c r="BC28" s="48"/>
      <c r="BD28" s="48"/>
      <c r="BE28" s="48"/>
      <c r="BF28" s="48"/>
      <c r="BG28" s="48"/>
      <c r="BH28" s="48"/>
      <c r="BI28" s="48"/>
    </row>
    <row r="29" ht="15.75" customHeight="1">
      <c r="A29" s="41" t="str">
        <f t="shared" si="1"/>
        <v>Véhicules neufs</v>
      </c>
      <c r="B29" s="57"/>
      <c r="C29" s="57"/>
      <c r="D29" s="74"/>
      <c r="E29" s="65"/>
      <c r="F29" s="57"/>
      <c r="G29" s="74"/>
      <c r="H29" s="65"/>
      <c r="I29" s="57"/>
      <c r="J29" s="74"/>
      <c r="K29" s="65"/>
      <c r="L29" s="57"/>
      <c r="M29" s="74"/>
      <c r="N29" s="65"/>
      <c r="O29" s="57"/>
      <c r="P29" s="74"/>
      <c r="Q29" s="65"/>
      <c r="R29" s="57"/>
      <c r="S29" s="74"/>
      <c r="T29" s="65"/>
      <c r="U29" s="57"/>
      <c r="V29" s="74"/>
      <c r="W29" s="65"/>
      <c r="X29" s="57"/>
      <c r="Y29" s="74"/>
      <c r="Z29" s="65"/>
      <c r="AA29" s="57"/>
      <c r="AB29" s="74"/>
      <c r="AC29" s="65"/>
      <c r="AD29" s="57"/>
      <c r="AE29" s="74"/>
      <c r="AF29" s="65"/>
      <c r="AG29" s="57"/>
      <c r="AH29" s="74"/>
      <c r="AI29" s="65"/>
      <c r="AJ29" s="57"/>
      <c r="AK29" s="74"/>
      <c r="AL29" s="65"/>
      <c r="AM29" s="57"/>
      <c r="AN29" s="74"/>
      <c r="AO29" s="65"/>
      <c r="AP29" s="48"/>
      <c r="AQ29" s="48"/>
      <c r="AR29" s="48"/>
      <c r="AS29" s="48"/>
      <c r="AT29" s="48"/>
      <c r="AU29" s="48"/>
      <c r="AV29" s="48"/>
      <c r="AW29" s="48"/>
      <c r="AX29" s="48"/>
      <c r="AY29" s="48"/>
      <c r="AZ29" s="48"/>
      <c r="BA29" s="48"/>
      <c r="BB29" s="48"/>
      <c r="BC29" s="48"/>
      <c r="BD29" s="48"/>
      <c r="BE29" s="48"/>
      <c r="BF29" s="48"/>
      <c r="BG29" s="48"/>
      <c r="BH29" s="48"/>
      <c r="BI29" s="48"/>
    </row>
    <row r="30" ht="15.75" customHeight="1">
      <c r="A30" s="41" t="str">
        <f t="shared" si="1"/>
        <v>Véhicules neufsTotal Dépt. Neufs</v>
      </c>
      <c r="B30" s="76" t="s">
        <v>109</v>
      </c>
      <c r="C30" s="77"/>
      <c r="D30" s="78"/>
      <c r="E30" s="79"/>
      <c r="F30" s="77"/>
      <c r="G30" s="78"/>
      <c r="H30" s="79"/>
      <c r="I30" s="77"/>
      <c r="J30" s="78"/>
      <c r="K30" s="79"/>
      <c r="L30" s="77"/>
      <c r="M30" s="78"/>
      <c r="N30" s="79"/>
      <c r="O30" s="77"/>
      <c r="P30" s="78"/>
      <c r="Q30" s="79"/>
      <c r="R30" s="77"/>
      <c r="S30" s="78"/>
      <c r="T30" s="79"/>
      <c r="U30" s="77"/>
      <c r="V30" s="78"/>
      <c r="W30" s="79"/>
      <c r="X30" s="77"/>
      <c r="Y30" s="78"/>
      <c r="Z30" s="79"/>
      <c r="AA30" s="77"/>
      <c r="AB30" s="78"/>
      <c r="AC30" s="79"/>
      <c r="AD30" s="77"/>
      <c r="AE30" s="78"/>
      <c r="AF30" s="79"/>
      <c r="AG30" s="77"/>
      <c r="AH30" s="78"/>
      <c r="AI30" s="79"/>
      <c r="AJ30" s="77"/>
      <c r="AK30" s="78"/>
      <c r="AL30" s="79"/>
      <c r="AM30" s="77"/>
      <c r="AN30" s="78"/>
      <c r="AO30" s="79"/>
      <c r="AP30" s="48"/>
      <c r="AQ30" s="48"/>
      <c r="AR30" s="48"/>
      <c r="AS30" s="48"/>
      <c r="AT30" s="48"/>
      <c r="AU30" s="48"/>
      <c r="AV30" s="48"/>
      <c r="AW30" s="48"/>
      <c r="AX30" s="48"/>
      <c r="AY30" s="48"/>
      <c r="AZ30" s="48"/>
      <c r="BA30" s="48"/>
      <c r="BB30" s="48"/>
      <c r="BC30" s="48"/>
      <c r="BD30" s="48"/>
      <c r="BE30" s="48"/>
      <c r="BF30" s="48"/>
      <c r="BG30" s="48"/>
      <c r="BH30" s="48"/>
      <c r="BI30" s="48"/>
    </row>
    <row r="31" ht="15.75" customHeight="1">
      <c r="A31" s="41" t="str">
        <f t="shared" si="1"/>
        <v>Véhicules neufs</v>
      </c>
      <c r="B31" s="80"/>
      <c r="C31" s="80"/>
      <c r="D31" s="81"/>
      <c r="E31" s="82"/>
      <c r="F31" s="80"/>
      <c r="G31" s="81"/>
      <c r="H31" s="82"/>
      <c r="I31" s="80"/>
      <c r="J31" s="81"/>
      <c r="K31" s="82"/>
      <c r="L31" s="80"/>
      <c r="M31" s="81"/>
      <c r="N31" s="82"/>
      <c r="O31" s="80"/>
      <c r="P31" s="81"/>
      <c r="Q31" s="82"/>
      <c r="R31" s="80"/>
      <c r="S31" s="81"/>
      <c r="T31" s="82"/>
      <c r="U31" s="80"/>
      <c r="V31" s="81"/>
      <c r="W31" s="82"/>
      <c r="X31" s="80"/>
      <c r="Y31" s="81"/>
      <c r="Z31" s="82"/>
      <c r="AA31" s="80"/>
      <c r="AB31" s="81"/>
      <c r="AC31" s="82"/>
      <c r="AD31" s="80"/>
      <c r="AE31" s="81"/>
      <c r="AF31" s="82"/>
      <c r="AG31" s="80"/>
      <c r="AH31" s="81"/>
      <c r="AI31" s="82"/>
      <c r="AJ31" s="80"/>
      <c r="AK31" s="81"/>
      <c r="AL31" s="82"/>
      <c r="AM31" s="80"/>
      <c r="AN31" s="81"/>
      <c r="AO31" s="82"/>
      <c r="AP31" s="48"/>
      <c r="AQ31" s="48"/>
      <c r="AR31" s="48"/>
      <c r="AS31" s="48"/>
      <c r="AT31" s="48"/>
      <c r="AU31" s="48"/>
      <c r="AV31" s="48"/>
      <c r="AW31" s="48"/>
      <c r="AX31" s="48"/>
      <c r="AY31" s="48"/>
      <c r="AZ31" s="48"/>
      <c r="BA31" s="48"/>
      <c r="BB31" s="48"/>
      <c r="BC31" s="48"/>
      <c r="BD31" s="48"/>
      <c r="BE31" s="48"/>
      <c r="BF31" s="48"/>
      <c r="BG31" s="48"/>
      <c r="BH31" s="48"/>
      <c r="BI31" s="48"/>
    </row>
    <row r="32" ht="15.75" customHeight="1">
      <c r="A32" s="41" t="str">
        <f t="shared" si="1"/>
        <v>Véhicules neufs</v>
      </c>
      <c r="B32" s="70"/>
      <c r="C32" s="70"/>
      <c r="D32" s="83"/>
      <c r="E32" s="84"/>
      <c r="F32" s="70"/>
      <c r="G32" s="83"/>
      <c r="H32" s="84"/>
      <c r="I32" s="70"/>
      <c r="J32" s="83"/>
      <c r="K32" s="84"/>
      <c r="L32" s="70"/>
      <c r="M32" s="83"/>
      <c r="N32" s="84"/>
      <c r="O32" s="70"/>
      <c r="P32" s="83"/>
      <c r="Q32" s="84"/>
      <c r="R32" s="70"/>
      <c r="S32" s="83"/>
      <c r="T32" s="84"/>
      <c r="U32" s="70"/>
      <c r="V32" s="83"/>
      <c r="W32" s="84"/>
      <c r="X32" s="70"/>
      <c r="Y32" s="83"/>
      <c r="Z32" s="84"/>
      <c r="AA32" s="70"/>
      <c r="AB32" s="83"/>
      <c r="AC32" s="84"/>
      <c r="AD32" s="70"/>
      <c r="AE32" s="83"/>
      <c r="AF32" s="84"/>
      <c r="AG32" s="70"/>
      <c r="AH32" s="83"/>
      <c r="AI32" s="84"/>
      <c r="AJ32" s="70"/>
      <c r="AK32" s="83"/>
      <c r="AL32" s="84"/>
      <c r="AM32" s="70"/>
      <c r="AN32" s="83"/>
      <c r="AO32" s="84"/>
      <c r="AP32" s="48"/>
      <c r="AQ32" s="48"/>
      <c r="AR32" s="48"/>
      <c r="AS32" s="48"/>
      <c r="AT32" s="48"/>
      <c r="AU32" s="48"/>
      <c r="AV32" s="48"/>
      <c r="AW32" s="48"/>
      <c r="AX32" s="48"/>
      <c r="AY32" s="48"/>
      <c r="AZ32" s="48"/>
      <c r="BA32" s="48"/>
      <c r="BB32" s="48"/>
      <c r="BC32" s="48"/>
      <c r="BD32" s="48"/>
      <c r="BE32" s="48"/>
      <c r="BF32" s="48"/>
      <c r="BG32" s="48"/>
      <c r="BH32" s="48"/>
      <c r="BI32" s="48"/>
    </row>
    <row r="33" ht="15.75" customHeight="1">
      <c r="A33" s="41" t="str">
        <f t="shared" si="1"/>
        <v>Véhicules neufsDEPENSES</v>
      </c>
      <c r="B33" s="85" t="s">
        <v>110</v>
      </c>
      <c r="C33" s="57"/>
      <c r="D33" s="86"/>
      <c r="E33" s="65"/>
      <c r="F33" s="57"/>
      <c r="G33" s="86"/>
      <c r="H33" s="65"/>
      <c r="I33" s="57"/>
      <c r="J33" s="86"/>
      <c r="K33" s="65"/>
      <c r="L33" s="57"/>
      <c r="M33" s="86"/>
      <c r="N33" s="65"/>
      <c r="O33" s="57"/>
      <c r="P33" s="86"/>
      <c r="Q33" s="65"/>
      <c r="R33" s="57"/>
      <c r="S33" s="86"/>
      <c r="T33" s="65"/>
      <c r="U33" s="57"/>
      <c r="V33" s="86"/>
      <c r="W33" s="65"/>
      <c r="X33" s="57"/>
      <c r="Y33" s="86"/>
      <c r="Z33" s="65"/>
      <c r="AA33" s="57"/>
      <c r="AB33" s="86"/>
      <c r="AC33" s="65"/>
      <c r="AD33" s="57"/>
      <c r="AE33" s="86"/>
      <c r="AF33" s="65"/>
      <c r="AG33" s="57"/>
      <c r="AH33" s="86"/>
      <c r="AI33" s="65"/>
      <c r="AJ33" s="57"/>
      <c r="AK33" s="86"/>
      <c r="AL33" s="65"/>
      <c r="AM33" s="57"/>
      <c r="AN33" s="86"/>
      <c r="AO33" s="65"/>
      <c r="AP33" s="48"/>
      <c r="AQ33" s="48"/>
      <c r="AR33" s="48"/>
      <c r="AS33" s="48"/>
      <c r="AT33" s="48"/>
      <c r="AU33" s="48"/>
      <c r="AV33" s="48"/>
      <c r="AW33" s="48"/>
      <c r="AX33" s="48"/>
      <c r="AY33" s="48"/>
      <c r="AZ33" s="48"/>
      <c r="BA33" s="48"/>
      <c r="BB33" s="48"/>
      <c r="BC33" s="48"/>
      <c r="BD33" s="48"/>
      <c r="BE33" s="48"/>
      <c r="BF33" s="48"/>
      <c r="BG33" s="48"/>
      <c r="BH33" s="48"/>
      <c r="BI33" s="48"/>
    </row>
    <row r="34" ht="15.75" customHeight="1">
      <c r="A34" s="41" t="str">
        <f t="shared" si="1"/>
        <v>Véhicules neufsComm. vendeurs</v>
      </c>
      <c r="B34" s="57" t="s">
        <v>111</v>
      </c>
      <c r="C34" s="87"/>
      <c r="D34" s="88"/>
      <c r="E34" s="75"/>
      <c r="F34" s="87"/>
      <c r="G34" s="88"/>
      <c r="H34" s="75"/>
      <c r="I34" s="87"/>
      <c r="J34" s="88"/>
      <c r="K34" s="75"/>
      <c r="L34" s="87"/>
      <c r="M34" s="88"/>
      <c r="N34" s="75"/>
      <c r="O34" s="87"/>
      <c r="P34" s="88"/>
      <c r="Q34" s="75"/>
      <c r="R34" s="87"/>
      <c r="S34" s="88"/>
      <c r="T34" s="75"/>
      <c r="U34" s="87"/>
      <c r="V34" s="88"/>
      <c r="W34" s="75"/>
      <c r="X34" s="87"/>
      <c r="Y34" s="88"/>
      <c r="Z34" s="75"/>
      <c r="AA34" s="87"/>
      <c r="AB34" s="88"/>
      <c r="AC34" s="75"/>
      <c r="AD34" s="87"/>
      <c r="AE34" s="88"/>
      <c r="AF34" s="75"/>
      <c r="AG34" s="87"/>
      <c r="AH34" s="88"/>
      <c r="AI34" s="75"/>
      <c r="AJ34" s="87"/>
      <c r="AK34" s="88"/>
      <c r="AL34" s="75"/>
      <c r="AM34" s="87"/>
      <c r="AN34" s="88"/>
      <c r="AO34" s="75"/>
      <c r="AP34" s="48"/>
      <c r="AQ34" s="48"/>
      <c r="AR34" s="48"/>
      <c r="AS34" s="48"/>
      <c r="AT34" s="48"/>
      <c r="AU34" s="48"/>
      <c r="AV34" s="48"/>
      <c r="AW34" s="48"/>
      <c r="AX34" s="48"/>
      <c r="AY34" s="48"/>
      <c r="AZ34" s="48"/>
      <c r="BA34" s="48"/>
      <c r="BB34" s="48"/>
      <c r="BC34" s="48"/>
      <c r="BD34" s="48"/>
      <c r="BE34" s="48"/>
      <c r="BF34" s="48"/>
      <c r="BG34" s="48"/>
      <c r="BH34" s="48"/>
      <c r="BI34" s="48"/>
    </row>
    <row r="35" ht="15.75" customHeight="1">
      <c r="A35" s="41" t="str">
        <f t="shared" si="1"/>
        <v>Véhicules neufsComm. F&amp;I</v>
      </c>
      <c r="B35" s="53" t="s">
        <v>112</v>
      </c>
      <c r="C35" s="89"/>
      <c r="D35" s="90"/>
      <c r="E35" s="91"/>
      <c r="F35" s="89"/>
      <c r="G35" s="90"/>
      <c r="H35" s="91"/>
      <c r="I35" s="89"/>
      <c r="J35" s="90"/>
      <c r="K35" s="91"/>
      <c r="L35" s="89"/>
      <c r="M35" s="90"/>
      <c r="N35" s="91"/>
      <c r="O35" s="89"/>
      <c r="P35" s="90"/>
      <c r="Q35" s="91"/>
      <c r="R35" s="89"/>
      <c r="S35" s="90"/>
      <c r="T35" s="91"/>
      <c r="U35" s="89"/>
      <c r="V35" s="90"/>
      <c r="W35" s="91"/>
      <c r="X35" s="89"/>
      <c r="Y35" s="90"/>
      <c r="Z35" s="91"/>
      <c r="AA35" s="89"/>
      <c r="AB35" s="90"/>
      <c r="AC35" s="91"/>
      <c r="AD35" s="89"/>
      <c r="AE35" s="90"/>
      <c r="AF35" s="91"/>
      <c r="AG35" s="89"/>
      <c r="AH35" s="90"/>
      <c r="AI35" s="91"/>
      <c r="AJ35" s="89"/>
      <c r="AK35" s="90"/>
      <c r="AL35" s="91"/>
      <c r="AM35" s="89"/>
      <c r="AN35" s="90"/>
      <c r="AO35" s="91"/>
      <c r="AP35" s="48"/>
      <c r="AQ35" s="48"/>
      <c r="AR35" s="48"/>
      <c r="AS35" s="48"/>
      <c r="AT35" s="48"/>
      <c r="AU35" s="48"/>
      <c r="AV35" s="48"/>
      <c r="AW35" s="48"/>
      <c r="AX35" s="48"/>
      <c r="AY35" s="48"/>
      <c r="AZ35" s="48"/>
      <c r="BA35" s="48"/>
      <c r="BB35" s="48"/>
      <c r="BC35" s="48"/>
      <c r="BD35" s="48"/>
      <c r="BE35" s="48"/>
      <c r="BF35" s="48"/>
      <c r="BG35" s="48"/>
      <c r="BH35" s="48"/>
      <c r="BI35" s="48"/>
    </row>
    <row r="36" ht="15.75" customHeight="1">
      <c r="A36" s="41" t="str">
        <f t="shared" si="1"/>
        <v>Véhicules neufsFrais de livraison</v>
      </c>
      <c r="B36" s="57" t="s">
        <v>113</v>
      </c>
      <c r="C36" s="57"/>
      <c r="D36" s="88"/>
      <c r="E36" s="75"/>
      <c r="F36" s="57"/>
      <c r="G36" s="88"/>
      <c r="H36" s="75"/>
      <c r="I36" s="57"/>
      <c r="J36" s="88"/>
      <c r="K36" s="75"/>
      <c r="L36" s="57"/>
      <c r="M36" s="88"/>
      <c r="N36" s="75"/>
      <c r="O36" s="57"/>
      <c r="P36" s="88"/>
      <c r="Q36" s="75"/>
      <c r="R36" s="57"/>
      <c r="S36" s="88"/>
      <c r="T36" s="75"/>
      <c r="U36" s="57"/>
      <c r="V36" s="88"/>
      <c r="W36" s="75"/>
      <c r="X36" s="57"/>
      <c r="Y36" s="88"/>
      <c r="Z36" s="75"/>
      <c r="AA36" s="57"/>
      <c r="AB36" s="88"/>
      <c r="AC36" s="75"/>
      <c r="AD36" s="57"/>
      <c r="AE36" s="88"/>
      <c r="AF36" s="75"/>
      <c r="AG36" s="57"/>
      <c r="AH36" s="88"/>
      <c r="AI36" s="75"/>
      <c r="AJ36" s="57"/>
      <c r="AK36" s="88"/>
      <c r="AL36" s="75"/>
      <c r="AM36" s="57"/>
      <c r="AN36" s="88"/>
      <c r="AO36" s="75"/>
      <c r="AP36" s="48"/>
      <c r="AQ36" s="48"/>
      <c r="AR36" s="48"/>
      <c r="AS36" s="48"/>
      <c r="AT36" s="48"/>
      <c r="AU36" s="48"/>
      <c r="AV36" s="48"/>
      <c r="AW36" s="48"/>
      <c r="AX36" s="48"/>
      <c r="AY36" s="48"/>
      <c r="AZ36" s="48"/>
      <c r="BA36" s="48"/>
      <c r="BB36" s="48"/>
      <c r="BC36" s="48"/>
      <c r="BD36" s="48"/>
      <c r="BE36" s="48"/>
      <c r="BF36" s="48"/>
      <c r="BG36" s="48"/>
      <c r="BH36" s="48"/>
      <c r="BI36" s="48"/>
    </row>
    <row r="37" ht="15.75" customHeight="1">
      <c r="A37" s="41" t="str">
        <f t="shared" si="1"/>
        <v>Véhicules neufsService gratuit 1</v>
      </c>
      <c r="B37" s="57" t="s">
        <v>114</v>
      </c>
      <c r="C37" s="57"/>
      <c r="D37" s="88"/>
      <c r="E37" s="75"/>
      <c r="F37" s="57"/>
      <c r="G37" s="88"/>
      <c r="H37" s="75"/>
      <c r="I37" s="57"/>
      <c r="J37" s="88"/>
      <c r="K37" s="75"/>
      <c r="L37" s="57"/>
      <c r="M37" s="88"/>
      <c r="N37" s="75"/>
      <c r="O37" s="57"/>
      <c r="P37" s="88"/>
      <c r="Q37" s="75"/>
      <c r="R37" s="57"/>
      <c r="S37" s="88"/>
      <c r="T37" s="75"/>
      <c r="U37" s="57"/>
      <c r="V37" s="88"/>
      <c r="W37" s="75"/>
      <c r="X37" s="57"/>
      <c r="Y37" s="88"/>
      <c r="Z37" s="75"/>
      <c r="AA37" s="57"/>
      <c r="AB37" s="88"/>
      <c r="AC37" s="75"/>
      <c r="AD37" s="57"/>
      <c r="AE37" s="88"/>
      <c r="AF37" s="75"/>
      <c r="AG37" s="57"/>
      <c r="AH37" s="88"/>
      <c r="AI37" s="75"/>
      <c r="AJ37" s="57"/>
      <c r="AK37" s="88"/>
      <c r="AL37" s="75"/>
      <c r="AM37" s="57"/>
      <c r="AN37" s="88"/>
      <c r="AO37" s="75"/>
      <c r="AP37" s="48"/>
      <c r="AQ37" s="48"/>
      <c r="AR37" s="48"/>
      <c r="AS37" s="48"/>
      <c r="AT37" s="48"/>
      <c r="AU37" s="48"/>
      <c r="AV37" s="48"/>
      <c r="AW37" s="48"/>
      <c r="AX37" s="48"/>
      <c r="AY37" s="48"/>
      <c r="AZ37" s="48"/>
      <c r="BA37" s="48"/>
      <c r="BB37" s="48"/>
      <c r="BC37" s="48"/>
      <c r="BD37" s="48"/>
      <c r="BE37" s="48"/>
      <c r="BF37" s="48"/>
      <c r="BG37" s="48"/>
      <c r="BH37" s="48"/>
      <c r="BI37" s="48"/>
    </row>
    <row r="38" ht="15.75" customHeight="1">
      <c r="A38" s="41" t="str">
        <f t="shared" si="1"/>
        <v>Véhicules neufsEntretien stock</v>
      </c>
      <c r="B38" s="53" t="s">
        <v>115</v>
      </c>
      <c r="C38" s="53"/>
      <c r="D38" s="90"/>
      <c r="E38" s="91"/>
      <c r="F38" s="53"/>
      <c r="G38" s="90"/>
      <c r="H38" s="91"/>
      <c r="I38" s="53"/>
      <c r="J38" s="90"/>
      <c r="K38" s="91"/>
      <c r="L38" s="53"/>
      <c r="M38" s="90"/>
      <c r="N38" s="91"/>
      <c r="O38" s="53"/>
      <c r="P38" s="90"/>
      <c r="Q38" s="91"/>
      <c r="R38" s="53"/>
      <c r="S38" s="90"/>
      <c r="T38" s="91"/>
      <c r="U38" s="53"/>
      <c r="V38" s="90"/>
      <c r="W38" s="91"/>
      <c r="X38" s="53"/>
      <c r="Y38" s="90"/>
      <c r="Z38" s="91"/>
      <c r="AA38" s="53"/>
      <c r="AB38" s="90"/>
      <c r="AC38" s="91"/>
      <c r="AD38" s="53"/>
      <c r="AE38" s="90"/>
      <c r="AF38" s="91"/>
      <c r="AG38" s="53"/>
      <c r="AH38" s="90"/>
      <c r="AI38" s="91"/>
      <c r="AJ38" s="53"/>
      <c r="AK38" s="90"/>
      <c r="AL38" s="91"/>
      <c r="AM38" s="53"/>
      <c r="AN38" s="90"/>
      <c r="AO38" s="91"/>
      <c r="AP38" s="48"/>
      <c r="AQ38" s="48"/>
      <c r="AR38" s="48"/>
      <c r="AS38" s="48"/>
      <c r="AT38" s="48"/>
      <c r="AU38" s="48"/>
      <c r="AV38" s="48"/>
      <c r="AW38" s="48"/>
      <c r="AX38" s="48"/>
      <c r="AY38" s="48"/>
      <c r="AZ38" s="48"/>
      <c r="BA38" s="48"/>
      <c r="BB38" s="48"/>
      <c r="BC38" s="48"/>
      <c r="BD38" s="48"/>
      <c r="BE38" s="48"/>
      <c r="BF38" s="48"/>
      <c r="BG38" s="48"/>
      <c r="BH38" s="48"/>
      <c r="BI38" s="48"/>
    </row>
    <row r="39" ht="15.75" customHeight="1">
      <c r="A39" s="41" t="str">
        <f t="shared" si="1"/>
        <v>Véhicules neufsPublicité 1</v>
      </c>
      <c r="B39" s="57" t="s">
        <v>116</v>
      </c>
      <c r="C39" s="57"/>
      <c r="D39" s="88"/>
      <c r="E39" s="75"/>
      <c r="F39" s="57"/>
      <c r="G39" s="88"/>
      <c r="H39" s="75"/>
      <c r="I39" s="57"/>
      <c r="J39" s="88"/>
      <c r="K39" s="75"/>
      <c r="L39" s="57"/>
      <c r="M39" s="88"/>
      <c r="N39" s="75"/>
      <c r="O39" s="57"/>
      <c r="P39" s="88"/>
      <c r="Q39" s="75"/>
      <c r="R39" s="57"/>
      <c r="S39" s="88"/>
      <c r="T39" s="75"/>
      <c r="U39" s="57"/>
      <c r="V39" s="88"/>
      <c r="W39" s="75"/>
      <c r="X39" s="57"/>
      <c r="Y39" s="88"/>
      <c r="Z39" s="75"/>
      <c r="AA39" s="57"/>
      <c r="AB39" s="88"/>
      <c r="AC39" s="75"/>
      <c r="AD39" s="57"/>
      <c r="AE39" s="88"/>
      <c r="AF39" s="75"/>
      <c r="AG39" s="57"/>
      <c r="AH39" s="88"/>
      <c r="AI39" s="75"/>
      <c r="AJ39" s="57"/>
      <c r="AK39" s="88"/>
      <c r="AL39" s="75"/>
      <c r="AM39" s="57"/>
      <c r="AN39" s="88"/>
      <c r="AO39" s="75"/>
      <c r="AP39" s="48"/>
      <c r="AQ39" s="48"/>
      <c r="AR39" s="48"/>
      <c r="AS39" s="48"/>
      <c r="AT39" s="48"/>
      <c r="AU39" s="48"/>
      <c r="AV39" s="48"/>
      <c r="AW39" s="48"/>
      <c r="AX39" s="48"/>
      <c r="AY39" s="48"/>
      <c r="AZ39" s="48"/>
      <c r="BA39" s="48"/>
      <c r="BB39" s="48"/>
      <c r="BC39" s="48"/>
      <c r="BD39" s="48"/>
      <c r="BE39" s="48"/>
      <c r="BF39" s="48"/>
      <c r="BG39" s="48"/>
      <c r="BH39" s="48"/>
      <c r="BI39" s="48"/>
    </row>
    <row r="40" ht="15.75" customHeight="1">
      <c r="A40" s="41" t="str">
        <f t="shared" si="1"/>
        <v>Véhicules neufsIntérêt de gros</v>
      </c>
      <c r="B40" s="57" t="s">
        <v>117</v>
      </c>
      <c r="C40" s="57"/>
      <c r="D40" s="88"/>
      <c r="E40" s="75"/>
      <c r="F40" s="57"/>
      <c r="G40" s="88"/>
      <c r="H40" s="75"/>
      <c r="I40" s="57"/>
      <c r="J40" s="88"/>
      <c r="K40" s="75"/>
      <c r="L40" s="57"/>
      <c r="M40" s="88"/>
      <c r="N40" s="75"/>
      <c r="O40" s="57"/>
      <c r="P40" s="88"/>
      <c r="Q40" s="75"/>
      <c r="R40" s="57"/>
      <c r="S40" s="88"/>
      <c r="T40" s="75"/>
      <c r="U40" s="57"/>
      <c r="V40" s="88"/>
      <c r="W40" s="75"/>
      <c r="X40" s="57"/>
      <c r="Y40" s="88"/>
      <c r="Z40" s="75"/>
      <c r="AA40" s="57"/>
      <c r="AB40" s="88"/>
      <c r="AC40" s="75"/>
      <c r="AD40" s="57"/>
      <c r="AE40" s="88"/>
      <c r="AF40" s="75"/>
      <c r="AG40" s="57"/>
      <c r="AH40" s="88"/>
      <c r="AI40" s="75"/>
      <c r="AJ40" s="57"/>
      <c r="AK40" s="88"/>
      <c r="AL40" s="75"/>
      <c r="AM40" s="57"/>
      <c r="AN40" s="88"/>
      <c r="AO40" s="75"/>
      <c r="AP40" s="48"/>
      <c r="AQ40" s="48"/>
      <c r="AR40" s="48"/>
      <c r="AS40" s="48"/>
      <c r="AT40" s="48"/>
      <c r="AU40" s="48"/>
      <c r="AV40" s="48"/>
      <c r="AW40" s="48"/>
      <c r="AX40" s="48"/>
      <c r="AY40" s="48"/>
      <c r="AZ40" s="48"/>
      <c r="BA40" s="48"/>
      <c r="BB40" s="48"/>
      <c r="BC40" s="48"/>
      <c r="BD40" s="48"/>
      <c r="BE40" s="48"/>
      <c r="BF40" s="48"/>
      <c r="BG40" s="48"/>
      <c r="BH40" s="48"/>
      <c r="BI40" s="48"/>
    </row>
    <row r="41" ht="15.75" customHeight="1">
      <c r="A41" s="41" t="str">
        <f t="shared" si="1"/>
        <v>Véhicules neufs[...]</v>
      </c>
      <c r="B41" s="57" t="s">
        <v>56</v>
      </c>
      <c r="C41" s="57"/>
      <c r="D41" s="88"/>
      <c r="E41" s="75"/>
      <c r="F41" s="57"/>
      <c r="G41" s="88"/>
      <c r="H41" s="75"/>
      <c r="I41" s="57"/>
      <c r="J41" s="88"/>
      <c r="K41" s="75"/>
      <c r="L41" s="57"/>
      <c r="M41" s="88"/>
      <c r="N41" s="75"/>
      <c r="O41" s="57"/>
      <c r="P41" s="88"/>
      <c r="Q41" s="75"/>
      <c r="R41" s="57"/>
      <c r="S41" s="88"/>
      <c r="T41" s="75"/>
      <c r="U41" s="57"/>
      <c r="V41" s="88"/>
      <c r="W41" s="75"/>
      <c r="X41" s="57"/>
      <c r="Y41" s="88"/>
      <c r="Z41" s="75"/>
      <c r="AA41" s="57"/>
      <c r="AB41" s="88"/>
      <c r="AC41" s="75"/>
      <c r="AD41" s="57"/>
      <c r="AE41" s="88"/>
      <c r="AF41" s="75"/>
      <c r="AG41" s="57"/>
      <c r="AH41" s="88"/>
      <c r="AI41" s="75"/>
      <c r="AJ41" s="57"/>
      <c r="AK41" s="88"/>
      <c r="AL41" s="75"/>
      <c r="AM41" s="57"/>
      <c r="AN41" s="88"/>
      <c r="AO41" s="75"/>
      <c r="AP41" s="48"/>
      <c r="AQ41" s="48"/>
      <c r="AR41" s="48"/>
      <c r="AS41" s="48"/>
      <c r="AT41" s="48"/>
      <c r="AU41" s="48"/>
      <c r="AV41" s="48"/>
      <c r="AW41" s="48"/>
      <c r="AX41" s="48"/>
      <c r="AY41" s="48"/>
      <c r="AZ41" s="48"/>
      <c r="BA41" s="48"/>
      <c r="BB41" s="48"/>
      <c r="BC41" s="48"/>
      <c r="BD41" s="48"/>
      <c r="BE41" s="48"/>
      <c r="BF41" s="48"/>
      <c r="BG41" s="48"/>
      <c r="BH41" s="48"/>
      <c r="BI41" s="48"/>
    </row>
    <row r="42" ht="15.75" customHeight="1">
      <c r="A42" s="41" t="str">
        <f t="shared" si="1"/>
        <v>Véhicules neufs[...]</v>
      </c>
      <c r="B42" s="57" t="s">
        <v>56</v>
      </c>
      <c r="C42" s="57"/>
      <c r="D42" s="88"/>
      <c r="E42" s="75"/>
      <c r="F42" s="57"/>
      <c r="G42" s="88"/>
      <c r="H42" s="75"/>
      <c r="I42" s="57"/>
      <c r="J42" s="88"/>
      <c r="K42" s="75"/>
      <c r="L42" s="57"/>
      <c r="M42" s="88"/>
      <c r="N42" s="75"/>
      <c r="O42" s="57"/>
      <c r="P42" s="88"/>
      <c r="Q42" s="75"/>
      <c r="R42" s="57"/>
      <c r="S42" s="88"/>
      <c r="T42" s="75"/>
      <c r="U42" s="57"/>
      <c r="V42" s="88"/>
      <c r="W42" s="75"/>
      <c r="X42" s="57"/>
      <c r="Y42" s="88"/>
      <c r="Z42" s="75"/>
      <c r="AA42" s="57"/>
      <c r="AB42" s="88"/>
      <c r="AC42" s="75"/>
      <c r="AD42" s="57"/>
      <c r="AE42" s="88"/>
      <c r="AF42" s="75"/>
      <c r="AG42" s="57"/>
      <c r="AH42" s="88"/>
      <c r="AI42" s="75"/>
      <c r="AJ42" s="57"/>
      <c r="AK42" s="88"/>
      <c r="AL42" s="75"/>
      <c r="AM42" s="57"/>
      <c r="AN42" s="88"/>
      <c r="AO42" s="75"/>
      <c r="AP42" s="48"/>
      <c r="AQ42" s="48"/>
      <c r="AR42" s="48"/>
      <c r="AS42" s="48"/>
      <c r="AT42" s="48"/>
      <c r="AU42" s="48"/>
      <c r="AV42" s="48"/>
      <c r="AW42" s="48"/>
      <c r="AX42" s="48"/>
      <c r="AY42" s="48"/>
      <c r="AZ42" s="48"/>
      <c r="BA42" s="48"/>
      <c r="BB42" s="48"/>
      <c r="BC42" s="48"/>
      <c r="BD42" s="48"/>
      <c r="BE42" s="48"/>
      <c r="BF42" s="48"/>
      <c r="BG42" s="48"/>
      <c r="BH42" s="48"/>
      <c r="BI42" s="48"/>
    </row>
    <row r="43" ht="15.75" customHeight="1">
      <c r="A43" s="41" t="str">
        <f t="shared" si="1"/>
        <v>Véhicules neufs[...]</v>
      </c>
      <c r="B43" s="57" t="s">
        <v>56</v>
      </c>
      <c r="C43" s="53"/>
      <c r="D43" s="88"/>
      <c r="E43" s="75"/>
      <c r="F43" s="53"/>
      <c r="G43" s="88"/>
      <c r="H43" s="75"/>
      <c r="I43" s="53"/>
      <c r="J43" s="88"/>
      <c r="K43" s="75"/>
      <c r="L43" s="53"/>
      <c r="M43" s="88"/>
      <c r="N43" s="75"/>
      <c r="O43" s="53"/>
      <c r="P43" s="88"/>
      <c r="Q43" s="75"/>
      <c r="R43" s="53"/>
      <c r="S43" s="88"/>
      <c r="T43" s="75"/>
      <c r="U43" s="53"/>
      <c r="V43" s="88"/>
      <c r="W43" s="75"/>
      <c r="X43" s="53"/>
      <c r="Y43" s="88"/>
      <c r="Z43" s="75"/>
      <c r="AA43" s="53"/>
      <c r="AB43" s="88"/>
      <c r="AC43" s="75"/>
      <c r="AD43" s="53"/>
      <c r="AE43" s="88"/>
      <c r="AF43" s="75"/>
      <c r="AG43" s="53"/>
      <c r="AH43" s="88"/>
      <c r="AI43" s="75"/>
      <c r="AJ43" s="53"/>
      <c r="AK43" s="88"/>
      <c r="AL43" s="75"/>
      <c r="AM43" s="53"/>
      <c r="AN43" s="88"/>
      <c r="AO43" s="75"/>
      <c r="AP43" s="48"/>
      <c r="AQ43" s="48"/>
      <c r="AR43" s="48"/>
      <c r="AS43" s="48"/>
      <c r="AT43" s="48"/>
      <c r="AU43" s="48"/>
      <c r="AV43" s="48"/>
      <c r="AW43" s="48"/>
      <c r="AX43" s="48"/>
      <c r="AY43" s="48"/>
      <c r="AZ43" s="48"/>
      <c r="BA43" s="48"/>
      <c r="BB43" s="48"/>
      <c r="BC43" s="48"/>
      <c r="BD43" s="48"/>
      <c r="BE43" s="48"/>
      <c r="BF43" s="48"/>
      <c r="BG43" s="48"/>
      <c r="BH43" s="48"/>
      <c r="BI43" s="48"/>
    </row>
    <row r="44" ht="15.75" customHeight="1">
      <c r="A44" s="41" t="str">
        <f t="shared" si="1"/>
        <v>Véhicules neufsTOTAL VARIABLES</v>
      </c>
      <c r="B44" s="92" t="s">
        <v>118</v>
      </c>
      <c r="C44" s="93"/>
      <c r="D44" s="94"/>
      <c r="E44" s="95"/>
      <c r="F44" s="93"/>
      <c r="G44" s="94"/>
      <c r="H44" s="95"/>
      <c r="I44" s="93"/>
      <c r="J44" s="94"/>
      <c r="K44" s="95"/>
      <c r="L44" s="93"/>
      <c r="M44" s="94"/>
      <c r="N44" s="95"/>
      <c r="O44" s="93"/>
      <c r="P44" s="94"/>
      <c r="Q44" s="95"/>
      <c r="R44" s="93"/>
      <c r="S44" s="94"/>
      <c r="T44" s="95"/>
      <c r="U44" s="93"/>
      <c r="V44" s="94"/>
      <c r="W44" s="95"/>
      <c r="X44" s="93"/>
      <c r="Y44" s="94"/>
      <c r="Z44" s="95"/>
      <c r="AA44" s="93"/>
      <c r="AB44" s="94"/>
      <c r="AC44" s="95"/>
      <c r="AD44" s="93"/>
      <c r="AE44" s="94"/>
      <c r="AF44" s="95"/>
      <c r="AG44" s="93"/>
      <c r="AH44" s="94"/>
      <c r="AI44" s="95"/>
      <c r="AJ44" s="93"/>
      <c r="AK44" s="94"/>
      <c r="AL44" s="95"/>
      <c r="AM44" s="93"/>
      <c r="AN44" s="94"/>
      <c r="AO44" s="95"/>
      <c r="AP44" s="48"/>
      <c r="AQ44" s="48"/>
      <c r="AR44" s="48"/>
      <c r="AS44" s="48"/>
      <c r="AT44" s="48"/>
      <c r="AU44" s="48"/>
      <c r="AV44" s="48"/>
      <c r="AW44" s="48"/>
      <c r="AX44" s="48"/>
      <c r="AY44" s="48"/>
      <c r="AZ44" s="48"/>
      <c r="BA44" s="48"/>
      <c r="BB44" s="48"/>
      <c r="BC44" s="48"/>
      <c r="BD44" s="48"/>
      <c r="BE44" s="48"/>
      <c r="BF44" s="48"/>
      <c r="BG44" s="48"/>
      <c r="BH44" s="48"/>
      <c r="BI44" s="48"/>
    </row>
    <row r="45" ht="15.75" customHeight="1">
      <c r="A45" s="41" t="str">
        <f t="shared" si="1"/>
        <v>Véhicules neufsSalaires cadres</v>
      </c>
      <c r="B45" s="96" t="s">
        <v>119</v>
      </c>
      <c r="C45" s="57"/>
      <c r="D45" s="74"/>
      <c r="E45" s="75"/>
      <c r="F45" s="57"/>
      <c r="G45" s="74"/>
      <c r="H45" s="75"/>
      <c r="I45" s="57"/>
      <c r="J45" s="74"/>
      <c r="K45" s="75"/>
      <c r="L45" s="57"/>
      <c r="M45" s="74"/>
      <c r="N45" s="75"/>
      <c r="O45" s="57"/>
      <c r="P45" s="74"/>
      <c r="Q45" s="75"/>
      <c r="R45" s="57"/>
      <c r="S45" s="74"/>
      <c r="T45" s="75"/>
      <c r="U45" s="57"/>
      <c r="V45" s="74"/>
      <c r="W45" s="75"/>
      <c r="X45" s="57"/>
      <c r="Y45" s="74"/>
      <c r="Z45" s="75"/>
      <c r="AA45" s="57"/>
      <c r="AB45" s="74"/>
      <c r="AC45" s="75"/>
      <c r="AD45" s="57"/>
      <c r="AE45" s="74"/>
      <c r="AF45" s="75"/>
      <c r="AG45" s="57"/>
      <c r="AH45" s="74"/>
      <c r="AI45" s="75"/>
      <c r="AJ45" s="57"/>
      <c r="AK45" s="74"/>
      <c r="AL45" s="75"/>
      <c r="AM45" s="57"/>
      <c r="AN45" s="74"/>
      <c r="AO45" s="75"/>
      <c r="AP45" s="48"/>
      <c r="AQ45" s="48"/>
      <c r="AR45" s="48"/>
      <c r="AS45" s="48"/>
      <c r="AT45" s="48"/>
      <c r="AU45" s="48"/>
      <c r="AV45" s="48"/>
      <c r="AW45" s="48"/>
      <c r="AX45" s="48"/>
      <c r="AY45" s="48"/>
      <c r="AZ45" s="48"/>
      <c r="BA45" s="48"/>
      <c r="BB45" s="48"/>
      <c r="BC45" s="48"/>
      <c r="BD45" s="48"/>
      <c r="BE45" s="48"/>
      <c r="BF45" s="48"/>
      <c r="BG45" s="48"/>
      <c r="BH45" s="48"/>
      <c r="BI45" s="48"/>
    </row>
    <row r="46" ht="15.75" customHeight="1">
      <c r="A46" s="41" t="str">
        <f t="shared" si="1"/>
        <v>Véhicules neufsSalaires commis</v>
      </c>
      <c r="B46" s="97" t="s">
        <v>120</v>
      </c>
      <c r="C46" s="57"/>
      <c r="D46" s="74"/>
      <c r="E46" s="75"/>
      <c r="F46" s="57"/>
      <c r="G46" s="74"/>
      <c r="H46" s="75"/>
      <c r="I46" s="57"/>
      <c r="J46" s="74"/>
      <c r="K46" s="75"/>
      <c r="L46" s="57"/>
      <c r="M46" s="74"/>
      <c r="N46" s="75"/>
      <c r="O46" s="57"/>
      <c r="P46" s="74"/>
      <c r="Q46" s="75"/>
      <c r="R46" s="57"/>
      <c r="S46" s="74"/>
      <c r="T46" s="75"/>
      <c r="U46" s="57"/>
      <c r="V46" s="74"/>
      <c r="W46" s="75"/>
      <c r="X46" s="57"/>
      <c r="Y46" s="74"/>
      <c r="Z46" s="75"/>
      <c r="AA46" s="57"/>
      <c r="AB46" s="74"/>
      <c r="AC46" s="75"/>
      <c r="AD46" s="57"/>
      <c r="AE46" s="74"/>
      <c r="AF46" s="75"/>
      <c r="AG46" s="57"/>
      <c r="AH46" s="74"/>
      <c r="AI46" s="75"/>
      <c r="AJ46" s="57"/>
      <c r="AK46" s="74"/>
      <c r="AL46" s="75"/>
      <c r="AM46" s="57"/>
      <c r="AN46" s="74"/>
      <c r="AO46" s="75"/>
      <c r="AP46" s="48"/>
      <c r="AQ46" s="48"/>
      <c r="AR46" s="48"/>
      <c r="AS46" s="48"/>
      <c r="AT46" s="48"/>
      <c r="AU46" s="48"/>
      <c r="AV46" s="48"/>
      <c r="AW46" s="48"/>
      <c r="AX46" s="48"/>
      <c r="AY46" s="48"/>
      <c r="AZ46" s="48"/>
      <c r="BA46" s="48"/>
      <c r="BB46" s="48"/>
      <c r="BC46" s="48"/>
      <c r="BD46" s="48"/>
      <c r="BE46" s="48"/>
      <c r="BF46" s="48"/>
      <c r="BG46" s="48"/>
      <c r="BH46" s="48"/>
      <c r="BI46" s="48"/>
    </row>
    <row r="47" ht="15.75" customHeight="1">
      <c r="A47" s="41" t="str">
        <f t="shared" si="1"/>
        <v>Véhicules neufsSalaires autres</v>
      </c>
      <c r="B47" s="96" t="s">
        <v>121</v>
      </c>
      <c r="C47" s="49"/>
      <c r="D47" s="98"/>
      <c r="E47" s="99"/>
      <c r="F47" s="49"/>
      <c r="G47" s="98"/>
      <c r="H47" s="99"/>
      <c r="I47" s="49"/>
      <c r="J47" s="98"/>
      <c r="K47" s="99"/>
      <c r="L47" s="49"/>
      <c r="M47" s="98"/>
      <c r="N47" s="99"/>
      <c r="O47" s="49"/>
      <c r="P47" s="98"/>
      <c r="Q47" s="99"/>
      <c r="R47" s="49"/>
      <c r="S47" s="98"/>
      <c r="T47" s="99"/>
      <c r="U47" s="49"/>
      <c r="V47" s="98"/>
      <c r="W47" s="99"/>
      <c r="X47" s="49"/>
      <c r="Y47" s="98"/>
      <c r="Z47" s="99"/>
      <c r="AA47" s="49"/>
      <c r="AB47" s="98"/>
      <c r="AC47" s="99"/>
      <c r="AD47" s="49"/>
      <c r="AE47" s="98"/>
      <c r="AF47" s="99"/>
      <c r="AG47" s="49"/>
      <c r="AH47" s="98"/>
      <c r="AI47" s="99"/>
      <c r="AJ47" s="49"/>
      <c r="AK47" s="98"/>
      <c r="AL47" s="99"/>
      <c r="AM47" s="49"/>
      <c r="AN47" s="98"/>
      <c r="AO47" s="99"/>
      <c r="AP47" s="48"/>
      <c r="AQ47" s="48"/>
      <c r="AR47" s="48"/>
      <c r="AS47" s="48"/>
      <c r="AT47" s="48"/>
      <c r="AU47" s="48"/>
      <c r="AV47" s="48"/>
      <c r="AW47" s="48"/>
      <c r="AX47" s="48"/>
      <c r="AY47" s="48"/>
      <c r="AZ47" s="48"/>
      <c r="BA47" s="48"/>
      <c r="BB47" s="48"/>
      <c r="BC47" s="48"/>
      <c r="BD47" s="48"/>
      <c r="BE47" s="48"/>
      <c r="BF47" s="48"/>
      <c r="BG47" s="48"/>
      <c r="BH47" s="48"/>
      <c r="BI47" s="48"/>
    </row>
    <row r="48" ht="15.75" customHeight="1">
      <c r="A48" s="41" t="str">
        <f t="shared" si="1"/>
        <v>Véhicules neufsSalaires spécialistes</v>
      </c>
      <c r="B48" s="96" t="s">
        <v>122</v>
      </c>
      <c r="C48" s="57"/>
      <c r="D48" s="74"/>
      <c r="E48" s="75"/>
      <c r="F48" s="57"/>
      <c r="G48" s="74"/>
      <c r="H48" s="75"/>
      <c r="I48" s="57"/>
      <c r="J48" s="74"/>
      <c r="K48" s="75"/>
      <c r="L48" s="57"/>
      <c r="M48" s="74"/>
      <c r="N48" s="75"/>
      <c r="O48" s="57"/>
      <c r="P48" s="74"/>
      <c r="Q48" s="75"/>
      <c r="R48" s="57"/>
      <c r="S48" s="74"/>
      <c r="T48" s="75"/>
      <c r="U48" s="57"/>
      <c r="V48" s="74"/>
      <c r="W48" s="75"/>
      <c r="X48" s="57"/>
      <c r="Y48" s="74"/>
      <c r="Z48" s="75"/>
      <c r="AA48" s="57"/>
      <c r="AB48" s="74"/>
      <c r="AC48" s="75"/>
      <c r="AD48" s="57"/>
      <c r="AE48" s="74"/>
      <c r="AF48" s="75"/>
      <c r="AG48" s="57"/>
      <c r="AH48" s="74"/>
      <c r="AI48" s="75"/>
      <c r="AJ48" s="57"/>
      <c r="AK48" s="74"/>
      <c r="AL48" s="75"/>
      <c r="AM48" s="57"/>
      <c r="AN48" s="74"/>
      <c r="AO48" s="75"/>
      <c r="AP48" s="48"/>
      <c r="AQ48" s="48"/>
      <c r="AR48" s="48"/>
      <c r="AS48" s="48"/>
      <c r="AT48" s="48"/>
      <c r="AU48" s="48"/>
      <c r="AV48" s="48"/>
      <c r="AW48" s="48"/>
      <c r="AX48" s="48"/>
      <c r="AY48" s="48"/>
      <c r="AZ48" s="48"/>
      <c r="BA48" s="48"/>
      <c r="BB48" s="48"/>
      <c r="BC48" s="48"/>
      <c r="BD48" s="48"/>
      <c r="BE48" s="48"/>
      <c r="BF48" s="48"/>
      <c r="BG48" s="48"/>
      <c r="BH48" s="48"/>
      <c r="BI48" s="48"/>
    </row>
    <row r="49" ht="15.75" customHeight="1">
      <c r="A49" s="41" t="str">
        <f t="shared" si="1"/>
        <v>Véhicules neufs[...]</v>
      </c>
      <c r="B49" s="57" t="s">
        <v>56</v>
      </c>
      <c r="C49" s="57"/>
      <c r="D49" s="74"/>
      <c r="E49" s="75"/>
      <c r="F49" s="57"/>
      <c r="G49" s="74"/>
      <c r="H49" s="75"/>
      <c r="I49" s="57"/>
      <c r="J49" s="74"/>
      <c r="K49" s="75"/>
      <c r="L49" s="57"/>
      <c r="M49" s="74"/>
      <c r="N49" s="75"/>
      <c r="O49" s="57"/>
      <c r="P49" s="74"/>
      <c r="Q49" s="75"/>
      <c r="R49" s="57"/>
      <c r="S49" s="74"/>
      <c r="T49" s="75"/>
      <c r="U49" s="57"/>
      <c r="V49" s="74"/>
      <c r="W49" s="75"/>
      <c r="X49" s="57"/>
      <c r="Y49" s="74"/>
      <c r="Z49" s="75"/>
      <c r="AA49" s="57"/>
      <c r="AB49" s="74"/>
      <c r="AC49" s="75"/>
      <c r="AD49" s="57"/>
      <c r="AE49" s="74"/>
      <c r="AF49" s="75"/>
      <c r="AG49" s="57"/>
      <c r="AH49" s="74"/>
      <c r="AI49" s="75"/>
      <c r="AJ49" s="57"/>
      <c r="AK49" s="74"/>
      <c r="AL49" s="75"/>
      <c r="AM49" s="57"/>
      <c r="AN49" s="74"/>
      <c r="AO49" s="75"/>
      <c r="AP49" s="48"/>
      <c r="AQ49" s="48"/>
      <c r="AR49" s="48"/>
      <c r="AS49" s="48"/>
      <c r="AT49" s="48"/>
      <c r="AU49" s="48"/>
      <c r="AV49" s="48"/>
      <c r="AW49" s="48"/>
      <c r="AX49" s="48"/>
      <c r="AY49" s="48"/>
      <c r="AZ49" s="48"/>
      <c r="BA49" s="48"/>
      <c r="BB49" s="48"/>
      <c r="BC49" s="48"/>
      <c r="BD49" s="48"/>
      <c r="BE49" s="48"/>
      <c r="BF49" s="48"/>
      <c r="BG49" s="48"/>
      <c r="BH49" s="48"/>
      <c r="BI49" s="48"/>
    </row>
    <row r="50" ht="15.75" customHeight="1">
      <c r="A50" s="41" t="str">
        <f t="shared" si="1"/>
        <v>Véhicules neufs[...]</v>
      </c>
      <c r="B50" s="57" t="s">
        <v>56</v>
      </c>
      <c r="C50" s="57"/>
      <c r="D50" s="74"/>
      <c r="E50" s="75"/>
      <c r="F50" s="57"/>
      <c r="G50" s="74"/>
      <c r="H50" s="75"/>
      <c r="I50" s="57"/>
      <c r="J50" s="74"/>
      <c r="K50" s="75"/>
      <c r="L50" s="57"/>
      <c r="M50" s="74"/>
      <c r="N50" s="75"/>
      <c r="O50" s="57"/>
      <c r="P50" s="74"/>
      <c r="Q50" s="75"/>
      <c r="R50" s="57"/>
      <c r="S50" s="74"/>
      <c r="T50" s="75"/>
      <c r="U50" s="57"/>
      <c r="V50" s="74"/>
      <c r="W50" s="75"/>
      <c r="X50" s="57"/>
      <c r="Y50" s="74"/>
      <c r="Z50" s="75"/>
      <c r="AA50" s="57"/>
      <c r="AB50" s="74"/>
      <c r="AC50" s="75"/>
      <c r="AD50" s="57"/>
      <c r="AE50" s="74"/>
      <c r="AF50" s="75"/>
      <c r="AG50" s="57"/>
      <c r="AH50" s="74"/>
      <c r="AI50" s="75"/>
      <c r="AJ50" s="57"/>
      <c r="AK50" s="74"/>
      <c r="AL50" s="75"/>
      <c r="AM50" s="57"/>
      <c r="AN50" s="74"/>
      <c r="AO50" s="75"/>
      <c r="AP50" s="48"/>
      <c r="AQ50" s="48"/>
      <c r="AR50" s="48"/>
      <c r="AS50" s="48"/>
      <c r="AT50" s="48"/>
      <c r="AU50" s="48"/>
      <c r="AV50" s="48"/>
      <c r="AW50" s="48"/>
      <c r="AX50" s="48"/>
      <c r="AY50" s="48"/>
      <c r="AZ50" s="48"/>
      <c r="BA50" s="48"/>
      <c r="BB50" s="48"/>
      <c r="BC50" s="48"/>
      <c r="BD50" s="48"/>
      <c r="BE50" s="48"/>
      <c r="BF50" s="48"/>
      <c r="BG50" s="48"/>
      <c r="BH50" s="48"/>
      <c r="BI50" s="48"/>
    </row>
    <row r="51" ht="15.75" customHeight="1">
      <c r="A51" s="41" t="str">
        <f t="shared" si="1"/>
        <v>Véhicules neufs[...]</v>
      </c>
      <c r="B51" s="57" t="s">
        <v>56</v>
      </c>
      <c r="C51" s="57"/>
      <c r="D51" s="74"/>
      <c r="E51" s="75"/>
      <c r="F51" s="57"/>
      <c r="G51" s="74"/>
      <c r="H51" s="75"/>
      <c r="I51" s="57"/>
      <c r="J51" s="74"/>
      <c r="K51" s="75"/>
      <c r="L51" s="57"/>
      <c r="M51" s="74"/>
      <c r="N51" s="75"/>
      <c r="O51" s="57"/>
      <c r="P51" s="74"/>
      <c r="Q51" s="75"/>
      <c r="R51" s="57"/>
      <c r="S51" s="74"/>
      <c r="T51" s="75"/>
      <c r="U51" s="57"/>
      <c r="V51" s="74"/>
      <c r="W51" s="75"/>
      <c r="X51" s="57"/>
      <c r="Y51" s="74"/>
      <c r="Z51" s="75"/>
      <c r="AA51" s="57"/>
      <c r="AB51" s="74"/>
      <c r="AC51" s="75"/>
      <c r="AD51" s="57"/>
      <c r="AE51" s="74"/>
      <c r="AF51" s="75"/>
      <c r="AG51" s="57"/>
      <c r="AH51" s="74"/>
      <c r="AI51" s="75"/>
      <c r="AJ51" s="57"/>
      <c r="AK51" s="74"/>
      <c r="AL51" s="75"/>
      <c r="AM51" s="57"/>
      <c r="AN51" s="74"/>
      <c r="AO51" s="75"/>
      <c r="AP51" s="48"/>
      <c r="AQ51" s="48"/>
      <c r="AR51" s="48"/>
      <c r="AS51" s="48"/>
      <c r="AT51" s="48"/>
      <c r="AU51" s="48"/>
      <c r="AV51" s="48"/>
      <c r="AW51" s="48"/>
      <c r="AX51" s="48"/>
      <c r="AY51" s="48"/>
      <c r="AZ51" s="48"/>
      <c r="BA51" s="48"/>
      <c r="BB51" s="48"/>
      <c r="BC51" s="48"/>
      <c r="BD51" s="48"/>
      <c r="BE51" s="48"/>
      <c r="BF51" s="48"/>
      <c r="BG51" s="48"/>
      <c r="BH51" s="48"/>
      <c r="BI51" s="48"/>
    </row>
    <row r="52" ht="15.75" customHeight="1">
      <c r="A52" s="41" t="str">
        <f t="shared" si="1"/>
        <v>Véhicules neufsSalaires en absences</v>
      </c>
      <c r="B52" s="97" t="s">
        <v>123</v>
      </c>
      <c r="C52" s="57"/>
      <c r="D52" s="74"/>
      <c r="E52" s="75"/>
      <c r="F52" s="57"/>
      <c r="G52" s="74"/>
      <c r="H52" s="75"/>
      <c r="I52" s="57"/>
      <c r="J52" s="74"/>
      <c r="K52" s="75"/>
      <c r="L52" s="57"/>
      <c r="M52" s="74"/>
      <c r="N52" s="75"/>
      <c r="O52" s="57"/>
      <c r="P52" s="74"/>
      <c r="Q52" s="75"/>
      <c r="R52" s="57"/>
      <c r="S52" s="74"/>
      <c r="T52" s="75"/>
      <c r="U52" s="57"/>
      <c r="V52" s="74"/>
      <c r="W52" s="75"/>
      <c r="X52" s="57"/>
      <c r="Y52" s="74"/>
      <c r="Z52" s="75"/>
      <c r="AA52" s="57"/>
      <c r="AB52" s="74"/>
      <c r="AC52" s="75"/>
      <c r="AD52" s="57"/>
      <c r="AE52" s="74"/>
      <c r="AF52" s="75"/>
      <c r="AG52" s="57"/>
      <c r="AH52" s="74"/>
      <c r="AI52" s="75"/>
      <c r="AJ52" s="57"/>
      <c r="AK52" s="74"/>
      <c r="AL52" s="75"/>
      <c r="AM52" s="57"/>
      <c r="AN52" s="74"/>
      <c r="AO52" s="75"/>
      <c r="AP52" s="48"/>
      <c r="AQ52" s="48"/>
      <c r="AR52" s="48"/>
      <c r="AS52" s="48"/>
      <c r="AT52" s="48"/>
      <c r="AU52" s="48"/>
      <c r="AV52" s="48"/>
      <c r="AW52" s="48"/>
      <c r="AX52" s="48"/>
      <c r="AY52" s="48"/>
      <c r="AZ52" s="48"/>
      <c r="BA52" s="48"/>
      <c r="BB52" s="48"/>
      <c r="BC52" s="48"/>
      <c r="BD52" s="48"/>
      <c r="BE52" s="48"/>
      <c r="BF52" s="48"/>
      <c r="BG52" s="48"/>
      <c r="BH52" s="48"/>
      <c r="BI52" s="48"/>
    </row>
    <row r="53" ht="15.75" customHeight="1">
      <c r="A53" s="41" t="str">
        <f t="shared" si="1"/>
        <v>Véhicules neufsDéduction à la source</v>
      </c>
      <c r="B53" s="96" t="s">
        <v>124</v>
      </c>
      <c r="C53" s="49"/>
      <c r="D53" s="98"/>
      <c r="E53" s="99"/>
      <c r="F53" s="49"/>
      <c r="G53" s="98"/>
      <c r="H53" s="99"/>
      <c r="I53" s="49"/>
      <c r="J53" s="98"/>
      <c r="K53" s="99"/>
      <c r="L53" s="49"/>
      <c r="M53" s="98"/>
      <c r="N53" s="99"/>
      <c r="O53" s="49"/>
      <c r="P53" s="98"/>
      <c r="Q53" s="99"/>
      <c r="R53" s="49"/>
      <c r="S53" s="98"/>
      <c r="T53" s="99"/>
      <c r="U53" s="49"/>
      <c r="V53" s="98"/>
      <c r="W53" s="99"/>
      <c r="X53" s="49"/>
      <c r="Y53" s="98"/>
      <c r="Z53" s="99"/>
      <c r="AA53" s="49"/>
      <c r="AB53" s="98"/>
      <c r="AC53" s="99"/>
      <c r="AD53" s="49"/>
      <c r="AE53" s="98"/>
      <c r="AF53" s="99"/>
      <c r="AG53" s="49"/>
      <c r="AH53" s="98"/>
      <c r="AI53" s="99"/>
      <c r="AJ53" s="49"/>
      <c r="AK53" s="98"/>
      <c r="AL53" s="99"/>
      <c r="AM53" s="49"/>
      <c r="AN53" s="98"/>
      <c r="AO53" s="99"/>
      <c r="AP53" s="48"/>
      <c r="AQ53" s="48"/>
      <c r="AR53" s="48"/>
      <c r="AS53" s="48"/>
      <c r="AT53" s="48"/>
      <c r="AU53" s="48"/>
      <c r="AV53" s="48"/>
      <c r="AW53" s="48"/>
      <c r="AX53" s="48"/>
      <c r="AY53" s="48"/>
      <c r="AZ53" s="48"/>
      <c r="BA53" s="48"/>
      <c r="BB53" s="48"/>
      <c r="BC53" s="48"/>
      <c r="BD53" s="48"/>
      <c r="BE53" s="48"/>
      <c r="BF53" s="48"/>
      <c r="BG53" s="48"/>
      <c r="BH53" s="48"/>
      <c r="BI53" s="48"/>
    </row>
    <row r="54" ht="15.75" customHeight="1">
      <c r="A54" s="41" t="str">
        <f t="shared" si="1"/>
        <v>Véhicules neufsBénéfices marginaux</v>
      </c>
      <c r="B54" s="96" t="s">
        <v>125</v>
      </c>
      <c r="C54" s="57"/>
      <c r="D54" s="74"/>
      <c r="E54" s="75"/>
      <c r="F54" s="57"/>
      <c r="G54" s="74"/>
      <c r="H54" s="75"/>
      <c r="I54" s="57"/>
      <c r="J54" s="74"/>
      <c r="K54" s="75"/>
      <c r="L54" s="57"/>
      <c r="M54" s="74"/>
      <c r="N54" s="75"/>
      <c r="O54" s="57"/>
      <c r="P54" s="74"/>
      <c r="Q54" s="75"/>
      <c r="R54" s="57"/>
      <c r="S54" s="74"/>
      <c r="T54" s="75"/>
      <c r="U54" s="57"/>
      <c r="V54" s="74"/>
      <c r="W54" s="75"/>
      <c r="X54" s="57"/>
      <c r="Y54" s="74"/>
      <c r="Z54" s="75"/>
      <c r="AA54" s="57"/>
      <c r="AB54" s="74"/>
      <c r="AC54" s="75"/>
      <c r="AD54" s="57"/>
      <c r="AE54" s="74"/>
      <c r="AF54" s="75"/>
      <c r="AG54" s="57"/>
      <c r="AH54" s="74"/>
      <c r="AI54" s="75"/>
      <c r="AJ54" s="57"/>
      <c r="AK54" s="74"/>
      <c r="AL54" s="75"/>
      <c r="AM54" s="57"/>
      <c r="AN54" s="74"/>
      <c r="AO54" s="75"/>
      <c r="AP54" s="48"/>
      <c r="AQ54" s="48"/>
      <c r="AR54" s="48"/>
      <c r="AS54" s="48"/>
      <c r="AT54" s="48"/>
      <c r="AU54" s="48"/>
      <c r="AV54" s="48"/>
      <c r="AW54" s="48"/>
      <c r="AX54" s="48"/>
      <c r="AY54" s="48"/>
      <c r="AZ54" s="48"/>
      <c r="BA54" s="48"/>
      <c r="BB54" s="48"/>
      <c r="BC54" s="48"/>
      <c r="BD54" s="48"/>
      <c r="BE54" s="48"/>
      <c r="BF54" s="48"/>
      <c r="BG54" s="48"/>
      <c r="BH54" s="48"/>
      <c r="BI54" s="48"/>
    </row>
    <row r="55" ht="15.75" customHeight="1">
      <c r="A55" s="41" t="str">
        <f t="shared" si="1"/>
        <v>Véhicules neufsCsst</v>
      </c>
      <c r="B55" s="96" t="s">
        <v>126</v>
      </c>
      <c r="C55" s="57"/>
      <c r="D55" s="74"/>
      <c r="E55" s="75"/>
      <c r="F55" s="57"/>
      <c r="G55" s="74"/>
      <c r="H55" s="75"/>
      <c r="I55" s="57"/>
      <c r="J55" s="74"/>
      <c r="K55" s="75"/>
      <c r="L55" s="57"/>
      <c r="M55" s="74"/>
      <c r="N55" s="75"/>
      <c r="O55" s="57"/>
      <c r="P55" s="74"/>
      <c r="Q55" s="75"/>
      <c r="R55" s="57"/>
      <c r="S55" s="74"/>
      <c r="T55" s="75"/>
      <c r="U55" s="57"/>
      <c r="V55" s="74"/>
      <c r="W55" s="75"/>
      <c r="X55" s="57"/>
      <c r="Y55" s="74"/>
      <c r="Z55" s="75"/>
      <c r="AA55" s="57"/>
      <c r="AB55" s="74"/>
      <c r="AC55" s="75"/>
      <c r="AD55" s="57"/>
      <c r="AE55" s="74"/>
      <c r="AF55" s="75"/>
      <c r="AG55" s="57"/>
      <c r="AH55" s="74"/>
      <c r="AI55" s="75"/>
      <c r="AJ55" s="57"/>
      <c r="AK55" s="74"/>
      <c r="AL55" s="75"/>
      <c r="AM55" s="57"/>
      <c r="AN55" s="74"/>
      <c r="AO55" s="75"/>
      <c r="AP55" s="48"/>
      <c r="AQ55" s="48"/>
      <c r="AR55" s="48"/>
      <c r="AS55" s="48"/>
      <c r="AT55" s="48"/>
      <c r="AU55" s="48"/>
      <c r="AV55" s="48"/>
      <c r="AW55" s="48"/>
      <c r="AX55" s="48"/>
      <c r="AY55" s="48"/>
      <c r="AZ55" s="48"/>
      <c r="BA55" s="48"/>
      <c r="BB55" s="48"/>
      <c r="BC55" s="48"/>
      <c r="BD55" s="48"/>
      <c r="BE55" s="48"/>
      <c r="BF55" s="48"/>
      <c r="BG55" s="48"/>
      <c r="BH55" s="48"/>
      <c r="BI55" s="48"/>
    </row>
    <row r="56" ht="15.75" customHeight="1">
      <c r="A56" s="41" t="str">
        <f t="shared" si="1"/>
        <v>Véhicules neufs[...]</v>
      </c>
      <c r="B56" s="57" t="s">
        <v>56</v>
      </c>
      <c r="C56" s="53"/>
      <c r="D56" s="100"/>
      <c r="E56" s="91"/>
      <c r="F56" s="53"/>
      <c r="G56" s="100"/>
      <c r="H56" s="91"/>
      <c r="I56" s="53"/>
      <c r="J56" s="100"/>
      <c r="K56" s="91"/>
      <c r="L56" s="53"/>
      <c r="M56" s="100"/>
      <c r="N56" s="91"/>
      <c r="O56" s="53"/>
      <c r="P56" s="100"/>
      <c r="Q56" s="91"/>
      <c r="R56" s="53"/>
      <c r="S56" s="100"/>
      <c r="T56" s="91"/>
      <c r="U56" s="53"/>
      <c r="V56" s="100"/>
      <c r="W56" s="91"/>
      <c r="X56" s="53"/>
      <c r="Y56" s="100"/>
      <c r="Z56" s="91"/>
      <c r="AA56" s="53"/>
      <c r="AB56" s="100"/>
      <c r="AC56" s="91"/>
      <c r="AD56" s="53"/>
      <c r="AE56" s="100"/>
      <c r="AF56" s="91"/>
      <c r="AG56" s="53"/>
      <c r="AH56" s="100"/>
      <c r="AI56" s="91"/>
      <c r="AJ56" s="53"/>
      <c r="AK56" s="100"/>
      <c r="AL56" s="91"/>
      <c r="AM56" s="53"/>
      <c r="AN56" s="100"/>
      <c r="AO56" s="91"/>
      <c r="AP56" s="48"/>
      <c r="AQ56" s="48"/>
      <c r="AR56" s="48"/>
      <c r="AS56" s="48"/>
      <c r="AT56" s="48"/>
      <c r="AU56" s="48"/>
      <c r="AV56" s="48"/>
      <c r="AW56" s="48"/>
      <c r="AX56" s="48"/>
      <c r="AY56" s="48"/>
      <c r="AZ56" s="48"/>
      <c r="BA56" s="48"/>
      <c r="BB56" s="48"/>
      <c r="BC56" s="48"/>
      <c r="BD56" s="48"/>
      <c r="BE56" s="48"/>
      <c r="BF56" s="48"/>
      <c r="BG56" s="48"/>
      <c r="BH56" s="48"/>
      <c r="BI56" s="48"/>
    </row>
    <row r="57" ht="15.75" customHeight="1">
      <c r="A57" s="41" t="str">
        <f t="shared" si="1"/>
        <v>Véhicules neufsTOTAL PERSONNEL</v>
      </c>
      <c r="B57" s="92" t="s">
        <v>127</v>
      </c>
      <c r="C57" s="93"/>
      <c r="D57" s="94"/>
      <c r="E57" s="95"/>
      <c r="F57" s="93"/>
      <c r="G57" s="94"/>
      <c r="H57" s="95"/>
      <c r="I57" s="93"/>
      <c r="J57" s="94"/>
      <c r="K57" s="95"/>
      <c r="L57" s="93"/>
      <c r="M57" s="94"/>
      <c r="N57" s="95"/>
      <c r="O57" s="93"/>
      <c r="P57" s="94"/>
      <c r="Q57" s="95"/>
      <c r="R57" s="93"/>
      <c r="S57" s="94"/>
      <c r="T57" s="95"/>
      <c r="U57" s="93"/>
      <c r="V57" s="94"/>
      <c r="W57" s="95"/>
      <c r="X57" s="93"/>
      <c r="Y57" s="94"/>
      <c r="Z57" s="95"/>
      <c r="AA57" s="93"/>
      <c r="AB57" s="94"/>
      <c r="AC57" s="95"/>
      <c r="AD57" s="93"/>
      <c r="AE57" s="94"/>
      <c r="AF57" s="95"/>
      <c r="AG57" s="93"/>
      <c r="AH57" s="94"/>
      <c r="AI57" s="95"/>
      <c r="AJ57" s="93"/>
      <c r="AK57" s="94"/>
      <c r="AL57" s="95"/>
      <c r="AM57" s="93"/>
      <c r="AN57" s="94"/>
      <c r="AO57" s="95"/>
      <c r="AP57" s="48"/>
      <c r="AQ57" s="48"/>
      <c r="AR57" s="48"/>
      <c r="AS57" s="48"/>
      <c r="AT57" s="48"/>
      <c r="AU57" s="48"/>
      <c r="AV57" s="48"/>
      <c r="AW57" s="48"/>
      <c r="AX57" s="48"/>
      <c r="AY57" s="48"/>
      <c r="AZ57" s="48"/>
      <c r="BA57" s="48"/>
      <c r="BB57" s="48"/>
      <c r="BC57" s="48"/>
      <c r="BD57" s="48"/>
      <c r="BE57" s="48"/>
      <c r="BF57" s="48"/>
      <c r="BG57" s="48"/>
      <c r="BH57" s="48"/>
      <c r="BI57" s="48"/>
    </row>
    <row r="58" ht="15.75" customHeight="1">
      <c r="A58" s="41" t="str">
        <f t="shared" si="1"/>
        <v>Véhicules neufsPublicité 2</v>
      </c>
      <c r="B58" s="57" t="s">
        <v>128</v>
      </c>
      <c r="C58" s="57"/>
      <c r="D58" s="74"/>
      <c r="E58" s="75"/>
      <c r="F58" s="57"/>
      <c r="G58" s="74"/>
      <c r="H58" s="75"/>
      <c r="I58" s="57"/>
      <c r="J58" s="74"/>
      <c r="K58" s="75"/>
      <c r="L58" s="57"/>
      <c r="M58" s="74"/>
      <c r="N58" s="75"/>
      <c r="O58" s="57"/>
      <c r="P58" s="74"/>
      <c r="Q58" s="75"/>
      <c r="R58" s="57"/>
      <c r="S58" s="74"/>
      <c r="T58" s="75"/>
      <c r="U58" s="57"/>
      <c r="V58" s="74"/>
      <c r="W58" s="75"/>
      <c r="X58" s="57"/>
      <c r="Y58" s="74"/>
      <c r="Z58" s="75"/>
      <c r="AA58" s="57"/>
      <c r="AB58" s="74"/>
      <c r="AC58" s="75"/>
      <c r="AD58" s="57"/>
      <c r="AE58" s="74"/>
      <c r="AF58" s="75"/>
      <c r="AG58" s="57"/>
      <c r="AH58" s="74"/>
      <c r="AI58" s="75"/>
      <c r="AJ58" s="57"/>
      <c r="AK58" s="74"/>
      <c r="AL58" s="75"/>
      <c r="AM58" s="57"/>
      <c r="AN58" s="74"/>
      <c r="AO58" s="75"/>
      <c r="AP58" s="48"/>
      <c r="AQ58" s="48"/>
      <c r="AR58" s="48"/>
      <c r="AS58" s="48"/>
      <c r="AT58" s="48"/>
      <c r="AU58" s="48"/>
      <c r="AV58" s="48"/>
      <c r="AW58" s="48"/>
      <c r="AX58" s="48"/>
      <c r="AY58" s="48"/>
      <c r="AZ58" s="48"/>
      <c r="BA58" s="48"/>
      <c r="BB58" s="48"/>
      <c r="BC58" s="48"/>
      <c r="BD58" s="48"/>
      <c r="BE58" s="48"/>
      <c r="BF58" s="48"/>
      <c r="BG58" s="48"/>
      <c r="BH58" s="48"/>
      <c r="BI58" s="48"/>
    </row>
    <row r="59" ht="15.75" customHeight="1">
      <c r="A59" s="41" t="str">
        <f t="shared" si="1"/>
        <v>Véhicules neufsService gratuit 2</v>
      </c>
      <c r="B59" s="57" t="s">
        <v>129</v>
      </c>
      <c r="C59" s="57"/>
      <c r="D59" s="74"/>
      <c r="E59" s="75"/>
      <c r="F59" s="57"/>
      <c r="G59" s="74"/>
      <c r="H59" s="75"/>
      <c r="I59" s="57"/>
      <c r="J59" s="74"/>
      <c r="K59" s="75"/>
      <c r="L59" s="57"/>
      <c r="M59" s="74"/>
      <c r="N59" s="75"/>
      <c r="O59" s="57"/>
      <c r="P59" s="74"/>
      <c r="Q59" s="75"/>
      <c r="R59" s="57"/>
      <c r="S59" s="74"/>
      <c r="T59" s="75"/>
      <c r="U59" s="57"/>
      <c r="V59" s="74"/>
      <c r="W59" s="75"/>
      <c r="X59" s="57"/>
      <c r="Y59" s="74"/>
      <c r="Z59" s="75"/>
      <c r="AA59" s="57"/>
      <c r="AB59" s="74"/>
      <c r="AC59" s="75"/>
      <c r="AD59" s="57"/>
      <c r="AE59" s="74"/>
      <c r="AF59" s="75"/>
      <c r="AG59" s="57"/>
      <c r="AH59" s="74"/>
      <c r="AI59" s="75"/>
      <c r="AJ59" s="57"/>
      <c r="AK59" s="74"/>
      <c r="AL59" s="75"/>
      <c r="AM59" s="57"/>
      <c r="AN59" s="74"/>
      <c r="AO59" s="75"/>
      <c r="AP59" s="48"/>
      <c r="AQ59" s="48"/>
      <c r="AR59" s="48"/>
      <c r="AS59" s="48"/>
      <c r="AT59" s="48"/>
      <c r="AU59" s="48"/>
      <c r="AV59" s="48"/>
      <c r="AW59" s="48"/>
      <c r="AX59" s="48"/>
      <c r="AY59" s="48"/>
      <c r="AZ59" s="48"/>
      <c r="BA59" s="48"/>
      <c r="BB59" s="48"/>
      <c r="BC59" s="48"/>
      <c r="BD59" s="48"/>
      <c r="BE59" s="48"/>
      <c r="BF59" s="48"/>
      <c r="BG59" s="48"/>
      <c r="BH59" s="48"/>
      <c r="BI59" s="48"/>
    </row>
    <row r="60" ht="15.75" customHeight="1">
      <c r="A60" s="41" t="str">
        <f t="shared" si="1"/>
        <v>Véhicules neufsFrais véhicules de cie</v>
      </c>
      <c r="B60" s="53" t="s">
        <v>130</v>
      </c>
      <c r="C60" s="53"/>
      <c r="D60" s="100"/>
      <c r="E60" s="91"/>
      <c r="F60" s="53"/>
      <c r="G60" s="100"/>
      <c r="H60" s="91"/>
      <c r="I60" s="53"/>
      <c r="J60" s="100"/>
      <c r="K60" s="91"/>
      <c r="L60" s="53"/>
      <c r="M60" s="100"/>
      <c r="N60" s="91"/>
      <c r="O60" s="53"/>
      <c r="P60" s="100"/>
      <c r="Q60" s="91"/>
      <c r="R60" s="53"/>
      <c r="S60" s="100"/>
      <c r="T60" s="91"/>
      <c r="U60" s="53"/>
      <c r="V60" s="100"/>
      <c r="W60" s="91"/>
      <c r="X60" s="53"/>
      <c r="Y60" s="100"/>
      <c r="Z60" s="91"/>
      <c r="AA60" s="53"/>
      <c r="AB60" s="100"/>
      <c r="AC60" s="91"/>
      <c r="AD60" s="53"/>
      <c r="AE60" s="100"/>
      <c r="AF60" s="91"/>
      <c r="AG60" s="53"/>
      <c r="AH60" s="100"/>
      <c r="AI60" s="91"/>
      <c r="AJ60" s="53"/>
      <c r="AK60" s="100"/>
      <c r="AL60" s="91"/>
      <c r="AM60" s="53"/>
      <c r="AN60" s="100"/>
      <c r="AO60" s="91"/>
      <c r="AP60" s="48"/>
      <c r="AQ60" s="48"/>
      <c r="AR60" s="48"/>
      <c r="AS60" s="48"/>
      <c r="AT60" s="48"/>
      <c r="AU60" s="48"/>
      <c r="AV60" s="48"/>
      <c r="AW60" s="48"/>
      <c r="AX60" s="48"/>
      <c r="AY60" s="48"/>
      <c r="AZ60" s="48"/>
      <c r="BA60" s="48"/>
      <c r="BB60" s="48"/>
      <c r="BC60" s="48"/>
      <c r="BD60" s="48"/>
      <c r="BE60" s="48"/>
      <c r="BF60" s="48"/>
      <c r="BG60" s="48"/>
      <c r="BH60" s="48"/>
      <c r="BI60" s="48"/>
    </row>
    <row r="61" ht="15.75" customHeight="1">
      <c r="A61" s="41" t="str">
        <f t="shared" si="1"/>
        <v>Véhicules neufsInformatique</v>
      </c>
      <c r="B61" s="57" t="s">
        <v>131</v>
      </c>
      <c r="C61" s="57"/>
      <c r="D61" s="74"/>
      <c r="E61" s="75"/>
      <c r="F61" s="57"/>
      <c r="G61" s="74"/>
      <c r="H61" s="75"/>
      <c r="I61" s="57"/>
      <c r="J61" s="74"/>
      <c r="K61" s="75"/>
      <c r="L61" s="57"/>
      <c r="M61" s="74"/>
      <c r="N61" s="75"/>
      <c r="O61" s="57"/>
      <c r="P61" s="74"/>
      <c r="Q61" s="75"/>
      <c r="R61" s="57"/>
      <c r="S61" s="74"/>
      <c r="T61" s="75"/>
      <c r="U61" s="57"/>
      <c r="V61" s="74"/>
      <c r="W61" s="75"/>
      <c r="X61" s="57"/>
      <c r="Y61" s="74"/>
      <c r="Z61" s="75"/>
      <c r="AA61" s="57"/>
      <c r="AB61" s="74"/>
      <c r="AC61" s="75"/>
      <c r="AD61" s="57"/>
      <c r="AE61" s="74"/>
      <c r="AF61" s="75"/>
      <c r="AG61" s="57"/>
      <c r="AH61" s="74"/>
      <c r="AI61" s="75"/>
      <c r="AJ61" s="57"/>
      <c r="AK61" s="74"/>
      <c r="AL61" s="75"/>
      <c r="AM61" s="57"/>
      <c r="AN61" s="74"/>
      <c r="AO61" s="75"/>
      <c r="AP61" s="48"/>
      <c r="AQ61" s="48"/>
      <c r="AR61" s="48"/>
      <c r="AS61" s="48"/>
      <c r="AT61" s="48"/>
      <c r="AU61" s="48"/>
      <c r="AV61" s="48"/>
      <c r="AW61" s="48"/>
      <c r="AX61" s="48"/>
      <c r="AY61" s="48"/>
      <c r="AZ61" s="48"/>
      <c r="BA61" s="48"/>
      <c r="BB61" s="48"/>
      <c r="BC61" s="48"/>
      <c r="BD61" s="48"/>
      <c r="BE61" s="48"/>
      <c r="BF61" s="48"/>
      <c r="BG61" s="48"/>
      <c r="BH61" s="48"/>
      <c r="BI61" s="48"/>
    </row>
    <row r="62" ht="15.75" customHeight="1">
      <c r="A62" s="41" t="str">
        <f t="shared" si="1"/>
        <v>Véhicules neufsFrais de déplacement</v>
      </c>
      <c r="B62" s="57" t="s">
        <v>132</v>
      </c>
      <c r="C62" s="57"/>
      <c r="D62" s="74"/>
      <c r="E62" s="75"/>
      <c r="F62" s="57"/>
      <c r="G62" s="74"/>
      <c r="H62" s="75"/>
      <c r="I62" s="57"/>
      <c r="J62" s="74"/>
      <c r="K62" s="75"/>
      <c r="L62" s="57"/>
      <c r="M62" s="74"/>
      <c r="N62" s="75"/>
      <c r="O62" s="57"/>
      <c r="P62" s="74"/>
      <c r="Q62" s="75"/>
      <c r="R62" s="57"/>
      <c r="S62" s="74"/>
      <c r="T62" s="75"/>
      <c r="U62" s="57"/>
      <c r="V62" s="74"/>
      <c r="W62" s="75"/>
      <c r="X62" s="57"/>
      <c r="Y62" s="74"/>
      <c r="Z62" s="75"/>
      <c r="AA62" s="57"/>
      <c r="AB62" s="74"/>
      <c r="AC62" s="75"/>
      <c r="AD62" s="57"/>
      <c r="AE62" s="74"/>
      <c r="AF62" s="75"/>
      <c r="AG62" s="57"/>
      <c r="AH62" s="74"/>
      <c r="AI62" s="75"/>
      <c r="AJ62" s="57"/>
      <c r="AK62" s="74"/>
      <c r="AL62" s="75"/>
      <c r="AM62" s="57"/>
      <c r="AN62" s="74"/>
      <c r="AO62" s="75"/>
      <c r="AP62" s="48"/>
      <c r="AQ62" s="48"/>
      <c r="AR62" s="48"/>
      <c r="AS62" s="48"/>
      <c r="AT62" s="48"/>
      <c r="AU62" s="48"/>
      <c r="AV62" s="48"/>
      <c r="AW62" s="48"/>
      <c r="AX62" s="48"/>
      <c r="AY62" s="48"/>
      <c r="AZ62" s="48"/>
      <c r="BA62" s="48"/>
      <c r="BB62" s="48"/>
      <c r="BC62" s="48"/>
      <c r="BD62" s="48"/>
      <c r="BE62" s="48"/>
      <c r="BF62" s="48"/>
      <c r="BG62" s="48"/>
      <c r="BH62" s="48"/>
      <c r="BI62" s="48"/>
    </row>
    <row r="63" ht="15.75" customHeight="1">
      <c r="A63" s="41" t="str">
        <f t="shared" si="1"/>
        <v>Véhicules neufsServices extérieurs</v>
      </c>
      <c r="B63" s="53" t="s">
        <v>133</v>
      </c>
      <c r="C63" s="53"/>
      <c r="D63" s="100"/>
      <c r="E63" s="91"/>
      <c r="F63" s="53"/>
      <c r="G63" s="100"/>
      <c r="H63" s="91"/>
      <c r="I63" s="53"/>
      <c r="J63" s="100"/>
      <c r="K63" s="91"/>
      <c r="L63" s="53"/>
      <c r="M63" s="100"/>
      <c r="N63" s="91"/>
      <c r="O63" s="53"/>
      <c r="P63" s="100"/>
      <c r="Q63" s="91"/>
      <c r="R63" s="53"/>
      <c r="S63" s="100"/>
      <c r="T63" s="91"/>
      <c r="U63" s="53"/>
      <c r="V63" s="100"/>
      <c r="W63" s="91"/>
      <c r="X63" s="53"/>
      <c r="Y63" s="100"/>
      <c r="Z63" s="91"/>
      <c r="AA63" s="53"/>
      <c r="AB63" s="100"/>
      <c r="AC63" s="91"/>
      <c r="AD63" s="53"/>
      <c r="AE63" s="100"/>
      <c r="AF63" s="91"/>
      <c r="AG63" s="53"/>
      <c r="AH63" s="100"/>
      <c r="AI63" s="91"/>
      <c r="AJ63" s="53"/>
      <c r="AK63" s="100"/>
      <c r="AL63" s="91"/>
      <c r="AM63" s="53"/>
      <c r="AN63" s="100"/>
      <c r="AO63" s="91"/>
      <c r="AP63" s="48"/>
      <c r="AQ63" s="48"/>
      <c r="AR63" s="48"/>
      <c r="AS63" s="48"/>
      <c r="AT63" s="48"/>
      <c r="AU63" s="48"/>
      <c r="AV63" s="48"/>
      <c r="AW63" s="48"/>
      <c r="AX63" s="48"/>
      <c r="AY63" s="48"/>
      <c r="AZ63" s="48"/>
      <c r="BA63" s="48"/>
      <c r="BB63" s="48"/>
      <c r="BC63" s="48"/>
      <c r="BD63" s="48"/>
      <c r="BE63" s="48"/>
      <c r="BF63" s="48"/>
      <c r="BG63" s="48"/>
      <c r="BH63" s="48"/>
      <c r="BI63" s="48"/>
    </row>
    <row r="64" ht="15.75" customHeight="1">
      <c r="A64" s="41" t="str">
        <f t="shared" si="1"/>
        <v>Véhicules neufsFournitures autres</v>
      </c>
      <c r="B64" s="57" t="s">
        <v>134</v>
      </c>
      <c r="C64" s="57"/>
      <c r="D64" s="74"/>
      <c r="E64" s="75"/>
      <c r="F64" s="57"/>
      <c r="G64" s="74"/>
      <c r="H64" s="75"/>
      <c r="I64" s="57"/>
      <c r="J64" s="74"/>
      <c r="K64" s="75"/>
      <c r="L64" s="57"/>
      <c r="M64" s="74"/>
      <c r="N64" s="75"/>
      <c r="O64" s="57"/>
      <c r="P64" s="74"/>
      <c r="Q64" s="75"/>
      <c r="R64" s="57"/>
      <c r="S64" s="74"/>
      <c r="T64" s="75"/>
      <c r="U64" s="57"/>
      <c r="V64" s="74"/>
      <c r="W64" s="75"/>
      <c r="X64" s="57"/>
      <c r="Y64" s="74"/>
      <c r="Z64" s="75"/>
      <c r="AA64" s="57"/>
      <c r="AB64" s="74"/>
      <c r="AC64" s="75"/>
      <c r="AD64" s="57"/>
      <c r="AE64" s="74"/>
      <c r="AF64" s="75"/>
      <c r="AG64" s="57"/>
      <c r="AH64" s="74"/>
      <c r="AI64" s="75"/>
      <c r="AJ64" s="57"/>
      <c r="AK64" s="74"/>
      <c r="AL64" s="75"/>
      <c r="AM64" s="57"/>
      <c r="AN64" s="74"/>
      <c r="AO64" s="75"/>
      <c r="AP64" s="48"/>
      <c r="AQ64" s="48"/>
      <c r="AR64" s="48"/>
      <c r="AS64" s="48"/>
      <c r="AT64" s="48"/>
      <c r="AU64" s="48"/>
      <c r="AV64" s="48"/>
      <c r="AW64" s="48"/>
      <c r="AX64" s="48"/>
      <c r="AY64" s="48"/>
      <c r="AZ64" s="48"/>
      <c r="BA64" s="48"/>
      <c r="BB64" s="48"/>
      <c r="BC64" s="48"/>
      <c r="BD64" s="48"/>
      <c r="BE64" s="48"/>
      <c r="BF64" s="48"/>
      <c r="BG64" s="48"/>
      <c r="BH64" s="48"/>
      <c r="BI64" s="48"/>
    </row>
    <row r="65" ht="15.75" customHeight="1">
      <c r="A65" s="41" t="str">
        <f t="shared" si="1"/>
        <v>Véhicules neufsUniformes</v>
      </c>
      <c r="B65" s="57" t="s">
        <v>135</v>
      </c>
      <c r="C65" s="57"/>
      <c r="D65" s="74"/>
      <c r="E65" s="75"/>
      <c r="F65" s="57"/>
      <c r="G65" s="74"/>
      <c r="H65" s="75"/>
      <c r="I65" s="57"/>
      <c r="J65" s="74"/>
      <c r="K65" s="75"/>
      <c r="L65" s="57"/>
      <c r="M65" s="74"/>
      <c r="N65" s="75"/>
      <c r="O65" s="57"/>
      <c r="P65" s="74"/>
      <c r="Q65" s="75"/>
      <c r="R65" s="57"/>
      <c r="S65" s="74"/>
      <c r="T65" s="75"/>
      <c r="U65" s="57"/>
      <c r="V65" s="74"/>
      <c r="W65" s="75"/>
      <c r="X65" s="57"/>
      <c r="Y65" s="74"/>
      <c r="Z65" s="75"/>
      <c r="AA65" s="57"/>
      <c r="AB65" s="74"/>
      <c r="AC65" s="75"/>
      <c r="AD65" s="57"/>
      <c r="AE65" s="74"/>
      <c r="AF65" s="75"/>
      <c r="AG65" s="57"/>
      <c r="AH65" s="74"/>
      <c r="AI65" s="75"/>
      <c r="AJ65" s="57"/>
      <c r="AK65" s="74"/>
      <c r="AL65" s="75"/>
      <c r="AM65" s="57"/>
      <c r="AN65" s="74"/>
      <c r="AO65" s="75"/>
      <c r="AP65" s="48"/>
      <c r="AQ65" s="48"/>
      <c r="AR65" s="48"/>
      <c r="AS65" s="48"/>
      <c r="AT65" s="48"/>
      <c r="AU65" s="48"/>
      <c r="AV65" s="48"/>
      <c r="AW65" s="48"/>
      <c r="AX65" s="48"/>
      <c r="AY65" s="48"/>
      <c r="AZ65" s="48"/>
      <c r="BA65" s="48"/>
      <c r="BB65" s="48"/>
      <c r="BC65" s="48"/>
      <c r="BD65" s="48"/>
      <c r="BE65" s="48"/>
      <c r="BF65" s="48"/>
      <c r="BG65" s="48"/>
      <c r="BH65" s="48"/>
      <c r="BI65" s="48"/>
    </row>
    <row r="66" ht="15.75" customHeight="1">
      <c r="A66" s="41" t="str">
        <f t="shared" si="1"/>
        <v>Véhicules neufsPapeterie</v>
      </c>
      <c r="B66" s="57" t="s">
        <v>136</v>
      </c>
      <c r="C66" s="57"/>
      <c r="D66" s="74"/>
      <c r="E66" s="75"/>
      <c r="F66" s="57"/>
      <c r="G66" s="74"/>
      <c r="H66" s="75"/>
      <c r="I66" s="57"/>
      <c r="J66" s="74"/>
      <c r="K66" s="75"/>
      <c r="L66" s="57"/>
      <c r="M66" s="74"/>
      <c r="N66" s="75"/>
      <c r="O66" s="57"/>
      <c r="P66" s="74"/>
      <c r="Q66" s="75"/>
      <c r="R66" s="57"/>
      <c r="S66" s="74"/>
      <c r="T66" s="75"/>
      <c r="U66" s="57"/>
      <c r="V66" s="74"/>
      <c r="W66" s="75"/>
      <c r="X66" s="57"/>
      <c r="Y66" s="74"/>
      <c r="Z66" s="75"/>
      <c r="AA66" s="57"/>
      <c r="AB66" s="74"/>
      <c r="AC66" s="75"/>
      <c r="AD66" s="57"/>
      <c r="AE66" s="74"/>
      <c r="AF66" s="75"/>
      <c r="AG66" s="57"/>
      <c r="AH66" s="74"/>
      <c r="AI66" s="75"/>
      <c r="AJ66" s="57"/>
      <c r="AK66" s="74"/>
      <c r="AL66" s="75"/>
      <c r="AM66" s="57"/>
      <c r="AN66" s="74"/>
      <c r="AO66" s="75"/>
      <c r="AP66" s="48"/>
      <c r="AQ66" s="48"/>
      <c r="AR66" s="48"/>
      <c r="AS66" s="48"/>
      <c r="AT66" s="48"/>
      <c r="AU66" s="48"/>
      <c r="AV66" s="48"/>
      <c r="AW66" s="48"/>
      <c r="AX66" s="48"/>
      <c r="AY66" s="48"/>
      <c r="AZ66" s="48"/>
      <c r="BA66" s="48"/>
      <c r="BB66" s="48"/>
      <c r="BC66" s="48"/>
      <c r="BD66" s="48"/>
      <c r="BE66" s="48"/>
      <c r="BF66" s="48"/>
      <c r="BG66" s="48"/>
      <c r="BH66" s="48"/>
      <c r="BI66" s="48"/>
    </row>
    <row r="67" ht="15.75" customHeight="1">
      <c r="A67" s="41" t="str">
        <f t="shared" si="1"/>
        <v>Véhicules neufsTéléphone</v>
      </c>
      <c r="B67" s="57" t="s">
        <v>137</v>
      </c>
      <c r="C67" s="57"/>
      <c r="D67" s="74"/>
      <c r="E67" s="75"/>
      <c r="F67" s="57"/>
      <c r="G67" s="74"/>
      <c r="H67" s="75"/>
      <c r="I67" s="57"/>
      <c r="J67" s="74"/>
      <c r="K67" s="75"/>
      <c r="L67" s="57"/>
      <c r="M67" s="74"/>
      <c r="N67" s="75"/>
      <c r="O67" s="57"/>
      <c r="P67" s="74"/>
      <c r="Q67" s="75"/>
      <c r="R67" s="57"/>
      <c r="S67" s="74"/>
      <c r="T67" s="75"/>
      <c r="U67" s="57"/>
      <c r="V67" s="74"/>
      <c r="W67" s="75"/>
      <c r="X67" s="57"/>
      <c r="Y67" s="74"/>
      <c r="Z67" s="75"/>
      <c r="AA67" s="57"/>
      <c r="AB67" s="74"/>
      <c r="AC67" s="75"/>
      <c r="AD67" s="57"/>
      <c r="AE67" s="74"/>
      <c r="AF67" s="75"/>
      <c r="AG67" s="57"/>
      <c r="AH67" s="74"/>
      <c r="AI67" s="75"/>
      <c r="AJ67" s="57"/>
      <c r="AK67" s="74"/>
      <c r="AL67" s="75"/>
      <c r="AM67" s="57"/>
      <c r="AN67" s="74"/>
      <c r="AO67" s="75"/>
      <c r="AP67" s="48"/>
      <c r="AQ67" s="48"/>
      <c r="AR67" s="48"/>
      <c r="AS67" s="48"/>
      <c r="AT67" s="48"/>
      <c r="AU67" s="48"/>
      <c r="AV67" s="48"/>
      <c r="AW67" s="48"/>
      <c r="AX67" s="48"/>
      <c r="AY67" s="48"/>
      <c r="AZ67" s="48"/>
      <c r="BA67" s="48"/>
      <c r="BB67" s="48"/>
      <c r="BC67" s="48"/>
      <c r="BD67" s="48"/>
      <c r="BE67" s="48"/>
      <c r="BF67" s="48"/>
      <c r="BG67" s="48"/>
      <c r="BH67" s="48"/>
      <c r="BI67" s="48"/>
    </row>
    <row r="68" ht="15.75" customHeight="1">
      <c r="A68" s="41" t="str">
        <f t="shared" si="1"/>
        <v>Véhicules neufsFrais postaux</v>
      </c>
      <c r="B68" s="57" t="s">
        <v>138</v>
      </c>
      <c r="C68" s="57"/>
      <c r="D68" s="74"/>
      <c r="E68" s="75"/>
      <c r="F68" s="57"/>
      <c r="G68" s="74"/>
      <c r="H68" s="75"/>
      <c r="I68" s="57"/>
      <c r="J68" s="74"/>
      <c r="K68" s="75"/>
      <c r="L68" s="57"/>
      <c r="M68" s="74"/>
      <c r="N68" s="75"/>
      <c r="O68" s="57"/>
      <c r="P68" s="74"/>
      <c r="Q68" s="75"/>
      <c r="R68" s="57"/>
      <c r="S68" s="74"/>
      <c r="T68" s="75"/>
      <c r="U68" s="57"/>
      <c r="V68" s="74"/>
      <c r="W68" s="75"/>
      <c r="X68" s="57"/>
      <c r="Y68" s="74"/>
      <c r="Z68" s="75"/>
      <c r="AA68" s="57"/>
      <c r="AB68" s="74"/>
      <c r="AC68" s="75"/>
      <c r="AD68" s="57"/>
      <c r="AE68" s="74"/>
      <c r="AF68" s="75"/>
      <c r="AG68" s="57"/>
      <c r="AH68" s="74"/>
      <c r="AI68" s="75"/>
      <c r="AJ68" s="57"/>
      <c r="AK68" s="74"/>
      <c r="AL68" s="75"/>
      <c r="AM68" s="57"/>
      <c r="AN68" s="74"/>
      <c r="AO68" s="75"/>
      <c r="AP68" s="48"/>
      <c r="AQ68" s="48"/>
      <c r="AR68" s="48"/>
      <c r="AS68" s="48"/>
      <c r="AT68" s="48"/>
      <c r="AU68" s="48"/>
      <c r="AV68" s="48"/>
      <c r="AW68" s="48"/>
      <c r="AX68" s="48"/>
      <c r="AY68" s="48"/>
      <c r="AZ68" s="48"/>
      <c r="BA68" s="48"/>
      <c r="BB68" s="48"/>
      <c r="BC68" s="48"/>
      <c r="BD68" s="48"/>
      <c r="BE68" s="48"/>
      <c r="BF68" s="48"/>
      <c r="BG68" s="48"/>
      <c r="BH68" s="48"/>
      <c r="BI68" s="48"/>
    </row>
    <row r="69" ht="15.75" customHeight="1">
      <c r="A69" s="41" t="str">
        <f t="shared" si="1"/>
        <v>Véhicules neufsDivers</v>
      </c>
      <c r="B69" s="57" t="s">
        <v>139</v>
      </c>
      <c r="C69" s="57"/>
      <c r="D69" s="74"/>
      <c r="E69" s="75"/>
      <c r="F69" s="57"/>
      <c r="G69" s="74"/>
      <c r="H69" s="75"/>
      <c r="I69" s="57"/>
      <c r="J69" s="74"/>
      <c r="K69" s="75"/>
      <c r="L69" s="57"/>
      <c r="M69" s="74"/>
      <c r="N69" s="75"/>
      <c r="O69" s="57"/>
      <c r="P69" s="74"/>
      <c r="Q69" s="75"/>
      <c r="R69" s="57"/>
      <c r="S69" s="74"/>
      <c r="T69" s="75"/>
      <c r="U69" s="57"/>
      <c r="V69" s="74"/>
      <c r="W69" s="75"/>
      <c r="X69" s="57"/>
      <c r="Y69" s="74"/>
      <c r="Z69" s="75"/>
      <c r="AA69" s="57"/>
      <c r="AB69" s="74"/>
      <c r="AC69" s="75"/>
      <c r="AD69" s="57"/>
      <c r="AE69" s="74"/>
      <c r="AF69" s="75"/>
      <c r="AG69" s="57"/>
      <c r="AH69" s="74"/>
      <c r="AI69" s="75"/>
      <c r="AJ69" s="57"/>
      <c r="AK69" s="74"/>
      <c r="AL69" s="75"/>
      <c r="AM69" s="57"/>
      <c r="AN69" s="74"/>
      <c r="AO69" s="75"/>
      <c r="AP69" s="48"/>
      <c r="AQ69" s="48"/>
      <c r="AR69" s="48"/>
      <c r="AS69" s="48"/>
      <c r="AT69" s="48"/>
      <c r="AU69" s="48"/>
      <c r="AV69" s="48"/>
      <c r="AW69" s="48"/>
      <c r="AX69" s="48"/>
      <c r="AY69" s="48"/>
      <c r="AZ69" s="48"/>
      <c r="BA69" s="48"/>
      <c r="BB69" s="48"/>
      <c r="BC69" s="48"/>
      <c r="BD69" s="48"/>
      <c r="BE69" s="48"/>
      <c r="BF69" s="48"/>
      <c r="BG69" s="48"/>
      <c r="BH69" s="48"/>
      <c r="BI69" s="48"/>
    </row>
    <row r="70" ht="15.75" customHeight="1">
      <c r="A70" s="41" t="str">
        <f t="shared" si="1"/>
        <v>Véhicules neufsFormation</v>
      </c>
      <c r="B70" s="57" t="s">
        <v>140</v>
      </c>
      <c r="C70" s="57"/>
      <c r="D70" s="74"/>
      <c r="E70" s="75"/>
      <c r="F70" s="57"/>
      <c r="G70" s="74"/>
      <c r="H70" s="75"/>
      <c r="I70" s="57"/>
      <c r="J70" s="74"/>
      <c r="K70" s="75"/>
      <c r="L70" s="57"/>
      <c r="M70" s="74"/>
      <c r="N70" s="75"/>
      <c r="O70" s="57"/>
      <c r="P70" s="74"/>
      <c r="Q70" s="75"/>
      <c r="R70" s="57"/>
      <c r="S70" s="74"/>
      <c r="T70" s="75"/>
      <c r="U70" s="57"/>
      <c r="V70" s="74"/>
      <c r="W70" s="75"/>
      <c r="X70" s="57"/>
      <c r="Y70" s="74"/>
      <c r="Z70" s="75"/>
      <c r="AA70" s="57"/>
      <c r="AB70" s="74"/>
      <c r="AC70" s="75"/>
      <c r="AD70" s="57"/>
      <c r="AE70" s="74"/>
      <c r="AF70" s="75"/>
      <c r="AG70" s="57"/>
      <c r="AH70" s="74"/>
      <c r="AI70" s="75"/>
      <c r="AJ70" s="57"/>
      <c r="AK70" s="74"/>
      <c r="AL70" s="75"/>
      <c r="AM70" s="57"/>
      <c r="AN70" s="74"/>
      <c r="AO70" s="75"/>
      <c r="AP70" s="48"/>
      <c r="AQ70" s="48"/>
      <c r="AR70" s="48"/>
      <c r="AS70" s="48"/>
      <c r="AT70" s="48"/>
      <c r="AU70" s="48"/>
      <c r="AV70" s="48"/>
      <c r="AW70" s="48"/>
      <c r="AX70" s="48"/>
      <c r="AY70" s="48"/>
      <c r="AZ70" s="48"/>
      <c r="BA70" s="48"/>
      <c r="BB70" s="48"/>
      <c r="BC70" s="48"/>
      <c r="BD70" s="48"/>
      <c r="BE70" s="48"/>
      <c r="BF70" s="48"/>
      <c r="BG70" s="48"/>
      <c r="BH70" s="48"/>
      <c r="BI70" s="48"/>
    </row>
    <row r="71" ht="15.75" customHeight="1">
      <c r="A71" s="41" t="str">
        <f t="shared" si="1"/>
        <v>Véhicules neufsFrais bancaires</v>
      </c>
      <c r="B71" s="57" t="s">
        <v>141</v>
      </c>
      <c r="C71" s="57"/>
      <c r="D71" s="74"/>
      <c r="E71" s="75"/>
      <c r="F71" s="57"/>
      <c r="G71" s="74"/>
      <c r="H71" s="75"/>
      <c r="I71" s="57"/>
      <c r="J71" s="74"/>
      <c r="K71" s="75"/>
      <c r="L71" s="57"/>
      <c r="M71" s="74"/>
      <c r="N71" s="75"/>
      <c r="O71" s="57"/>
      <c r="P71" s="74"/>
      <c r="Q71" s="75"/>
      <c r="R71" s="57"/>
      <c r="S71" s="74"/>
      <c r="T71" s="75"/>
      <c r="U71" s="57"/>
      <c r="V71" s="74"/>
      <c r="W71" s="75"/>
      <c r="X71" s="57"/>
      <c r="Y71" s="74"/>
      <c r="Z71" s="75"/>
      <c r="AA71" s="57"/>
      <c r="AB71" s="74"/>
      <c r="AC71" s="75"/>
      <c r="AD71" s="57"/>
      <c r="AE71" s="74"/>
      <c r="AF71" s="75"/>
      <c r="AG71" s="57"/>
      <c r="AH71" s="74"/>
      <c r="AI71" s="75"/>
      <c r="AJ71" s="57"/>
      <c r="AK71" s="74"/>
      <c r="AL71" s="75"/>
      <c r="AM71" s="57"/>
      <c r="AN71" s="74"/>
      <c r="AO71" s="75"/>
      <c r="AP71" s="48"/>
      <c r="AQ71" s="48"/>
      <c r="AR71" s="48"/>
      <c r="AS71" s="48"/>
      <c r="AT71" s="48"/>
      <c r="AU71" s="48"/>
      <c r="AV71" s="48"/>
      <c r="AW71" s="48"/>
      <c r="AX71" s="48"/>
      <c r="AY71" s="48"/>
      <c r="AZ71" s="48"/>
      <c r="BA71" s="48"/>
      <c r="BB71" s="48"/>
      <c r="BC71" s="48"/>
      <c r="BD71" s="48"/>
      <c r="BE71" s="48"/>
      <c r="BF71" s="48"/>
      <c r="BG71" s="48"/>
      <c r="BH71" s="48"/>
      <c r="BI71" s="48"/>
    </row>
    <row r="72" ht="15.75" customHeight="1">
      <c r="A72" s="41" t="str">
        <f t="shared" si="1"/>
        <v>Véhicules neufs[...]</v>
      </c>
      <c r="B72" s="57" t="s">
        <v>56</v>
      </c>
      <c r="C72" s="57"/>
      <c r="D72" s="74"/>
      <c r="E72" s="75"/>
      <c r="F72" s="57"/>
      <c r="G72" s="74"/>
      <c r="H72" s="75"/>
      <c r="I72" s="57"/>
      <c r="J72" s="74"/>
      <c r="K72" s="75"/>
      <c r="L72" s="57"/>
      <c r="M72" s="74"/>
      <c r="N72" s="75"/>
      <c r="O72" s="57"/>
      <c r="P72" s="74"/>
      <c r="Q72" s="75"/>
      <c r="R72" s="57"/>
      <c r="S72" s="74"/>
      <c r="T72" s="75"/>
      <c r="U72" s="57"/>
      <c r="V72" s="74"/>
      <c r="W72" s="75"/>
      <c r="X72" s="57"/>
      <c r="Y72" s="74"/>
      <c r="Z72" s="75"/>
      <c r="AA72" s="57"/>
      <c r="AB72" s="74"/>
      <c r="AC72" s="75"/>
      <c r="AD72" s="57"/>
      <c r="AE72" s="74"/>
      <c r="AF72" s="75"/>
      <c r="AG72" s="57"/>
      <c r="AH72" s="74"/>
      <c r="AI72" s="75"/>
      <c r="AJ72" s="57"/>
      <c r="AK72" s="74"/>
      <c r="AL72" s="75"/>
      <c r="AM72" s="57"/>
      <c r="AN72" s="74"/>
      <c r="AO72" s="75"/>
      <c r="AP72" s="48"/>
      <c r="AQ72" s="48"/>
      <c r="AR72" s="48"/>
      <c r="AS72" s="48"/>
      <c r="AT72" s="48"/>
      <c r="AU72" s="48"/>
      <c r="AV72" s="48"/>
      <c r="AW72" s="48"/>
      <c r="AX72" s="48"/>
      <c r="AY72" s="48"/>
      <c r="AZ72" s="48"/>
      <c r="BA72" s="48"/>
      <c r="BB72" s="48"/>
      <c r="BC72" s="48"/>
      <c r="BD72" s="48"/>
      <c r="BE72" s="48"/>
      <c r="BF72" s="48"/>
      <c r="BG72" s="48"/>
      <c r="BH72" s="48"/>
      <c r="BI72" s="48"/>
    </row>
    <row r="73" ht="15.75" customHeight="1">
      <c r="A73" s="41" t="str">
        <f t="shared" si="1"/>
        <v>Véhicules neufs[...]</v>
      </c>
      <c r="B73" s="57" t="s">
        <v>56</v>
      </c>
      <c r="C73" s="57"/>
      <c r="D73" s="74"/>
      <c r="E73" s="75"/>
      <c r="F73" s="57"/>
      <c r="G73" s="74"/>
      <c r="H73" s="75"/>
      <c r="I73" s="57"/>
      <c r="J73" s="74"/>
      <c r="K73" s="75"/>
      <c r="L73" s="57"/>
      <c r="M73" s="74"/>
      <c r="N73" s="75"/>
      <c r="O73" s="57"/>
      <c r="P73" s="74"/>
      <c r="Q73" s="75"/>
      <c r="R73" s="57"/>
      <c r="S73" s="74"/>
      <c r="T73" s="75"/>
      <c r="U73" s="57"/>
      <c r="V73" s="74"/>
      <c r="W73" s="75"/>
      <c r="X73" s="57"/>
      <c r="Y73" s="74"/>
      <c r="Z73" s="75"/>
      <c r="AA73" s="57"/>
      <c r="AB73" s="74"/>
      <c r="AC73" s="75"/>
      <c r="AD73" s="57"/>
      <c r="AE73" s="74"/>
      <c r="AF73" s="75"/>
      <c r="AG73" s="57"/>
      <c r="AH73" s="74"/>
      <c r="AI73" s="75"/>
      <c r="AJ73" s="57"/>
      <c r="AK73" s="74"/>
      <c r="AL73" s="75"/>
      <c r="AM73" s="57"/>
      <c r="AN73" s="74"/>
      <c r="AO73" s="75"/>
      <c r="AP73" s="48"/>
      <c r="AQ73" s="48"/>
      <c r="AR73" s="48"/>
      <c r="AS73" s="48"/>
      <c r="AT73" s="48"/>
      <c r="AU73" s="48"/>
      <c r="AV73" s="48"/>
      <c r="AW73" s="48"/>
      <c r="AX73" s="48"/>
      <c r="AY73" s="48"/>
      <c r="AZ73" s="48"/>
      <c r="BA73" s="48"/>
      <c r="BB73" s="48"/>
      <c r="BC73" s="48"/>
      <c r="BD73" s="48"/>
      <c r="BE73" s="48"/>
      <c r="BF73" s="48"/>
      <c r="BG73" s="48"/>
      <c r="BH73" s="48"/>
      <c r="BI73" s="48"/>
    </row>
    <row r="74" ht="15.75" customHeight="1">
      <c r="A74" s="41" t="str">
        <f t="shared" si="1"/>
        <v>Véhicules neufs[...]</v>
      </c>
      <c r="B74" s="57" t="s">
        <v>56</v>
      </c>
      <c r="C74" s="53"/>
      <c r="D74" s="100"/>
      <c r="E74" s="75"/>
      <c r="F74" s="53"/>
      <c r="G74" s="100"/>
      <c r="H74" s="75"/>
      <c r="I74" s="53"/>
      <c r="J74" s="100"/>
      <c r="K74" s="75"/>
      <c r="L74" s="53"/>
      <c r="M74" s="100"/>
      <c r="N74" s="75"/>
      <c r="O74" s="53"/>
      <c r="P74" s="100"/>
      <c r="Q74" s="75"/>
      <c r="R74" s="53"/>
      <c r="S74" s="100"/>
      <c r="T74" s="75"/>
      <c r="U74" s="53"/>
      <c r="V74" s="100"/>
      <c r="W74" s="75"/>
      <c r="X74" s="53"/>
      <c r="Y74" s="100"/>
      <c r="Z74" s="75"/>
      <c r="AA74" s="53"/>
      <c r="AB74" s="100"/>
      <c r="AC74" s="75"/>
      <c r="AD74" s="53"/>
      <c r="AE74" s="100"/>
      <c r="AF74" s="75"/>
      <c r="AG74" s="53"/>
      <c r="AH74" s="100"/>
      <c r="AI74" s="75"/>
      <c r="AJ74" s="53"/>
      <c r="AK74" s="100"/>
      <c r="AL74" s="75"/>
      <c r="AM74" s="53"/>
      <c r="AN74" s="100"/>
      <c r="AO74" s="75"/>
      <c r="AP74" s="48"/>
      <c r="AQ74" s="48"/>
      <c r="AR74" s="48"/>
      <c r="AS74" s="48"/>
      <c r="AT74" s="48"/>
      <c r="AU74" s="48"/>
      <c r="AV74" s="48"/>
      <c r="AW74" s="48"/>
      <c r="AX74" s="48"/>
      <c r="AY74" s="48"/>
      <c r="AZ74" s="48"/>
      <c r="BA74" s="48"/>
      <c r="BB74" s="48"/>
      <c r="BC74" s="48"/>
      <c r="BD74" s="48"/>
      <c r="BE74" s="48"/>
      <c r="BF74" s="48"/>
      <c r="BG74" s="48"/>
      <c r="BH74" s="48"/>
      <c r="BI74" s="48"/>
    </row>
    <row r="75" ht="15.75" customHeight="1">
      <c r="A75" s="41" t="str">
        <f t="shared" si="1"/>
        <v>Véhicules neufsTOTAL SEMI-FIXES</v>
      </c>
      <c r="B75" s="92" t="s">
        <v>142</v>
      </c>
      <c r="C75" s="93"/>
      <c r="D75" s="94"/>
      <c r="E75" s="95"/>
      <c r="F75" s="93"/>
      <c r="G75" s="94"/>
      <c r="H75" s="95"/>
      <c r="I75" s="93"/>
      <c r="J75" s="94"/>
      <c r="K75" s="95"/>
      <c r="L75" s="93"/>
      <c r="M75" s="94"/>
      <c r="N75" s="95"/>
      <c r="O75" s="93"/>
      <c r="P75" s="94"/>
      <c r="Q75" s="95"/>
      <c r="R75" s="93"/>
      <c r="S75" s="94"/>
      <c r="T75" s="95"/>
      <c r="U75" s="93"/>
      <c r="V75" s="94"/>
      <c r="W75" s="95"/>
      <c r="X75" s="93"/>
      <c r="Y75" s="94"/>
      <c r="Z75" s="95"/>
      <c r="AA75" s="93"/>
      <c r="AB75" s="94"/>
      <c r="AC75" s="95"/>
      <c r="AD75" s="93"/>
      <c r="AE75" s="94"/>
      <c r="AF75" s="95"/>
      <c r="AG75" s="93"/>
      <c r="AH75" s="94"/>
      <c r="AI75" s="95"/>
      <c r="AJ75" s="93"/>
      <c r="AK75" s="94"/>
      <c r="AL75" s="95"/>
      <c r="AM75" s="93"/>
      <c r="AN75" s="94"/>
      <c r="AO75" s="95"/>
      <c r="AP75" s="48"/>
      <c r="AQ75" s="48"/>
      <c r="AR75" s="48"/>
      <c r="AS75" s="48"/>
      <c r="AT75" s="48"/>
      <c r="AU75" s="48"/>
      <c r="AV75" s="48"/>
      <c r="AW75" s="48"/>
      <c r="AX75" s="48"/>
      <c r="AY75" s="48"/>
      <c r="AZ75" s="48"/>
      <c r="BA75" s="48"/>
      <c r="BB75" s="48"/>
      <c r="BC75" s="48"/>
      <c r="BD75" s="48"/>
      <c r="BE75" s="48"/>
      <c r="BF75" s="48"/>
      <c r="BG75" s="48"/>
      <c r="BH75" s="48"/>
      <c r="BI75" s="48"/>
    </row>
    <row r="76" ht="15.75" customHeight="1">
      <c r="A76" s="41" t="str">
        <f t="shared" si="1"/>
        <v>Véhicules neufs</v>
      </c>
      <c r="B76" s="53"/>
      <c r="C76" s="53"/>
      <c r="D76" s="100"/>
      <c r="E76" s="91"/>
      <c r="F76" s="53"/>
      <c r="G76" s="100"/>
      <c r="H76" s="91"/>
      <c r="I76" s="53"/>
      <c r="J76" s="100"/>
      <c r="K76" s="91"/>
      <c r="L76" s="53"/>
      <c r="M76" s="100"/>
      <c r="N76" s="91"/>
      <c r="O76" s="53"/>
      <c r="P76" s="100"/>
      <c r="Q76" s="91"/>
      <c r="R76" s="53"/>
      <c r="S76" s="100"/>
      <c r="T76" s="91"/>
      <c r="U76" s="53"/>
      <c r="V76" s="100"/>
      <c r="W76" s="91"/>
      <c r="X76" s="53"/>
      <c r="Y76" s="100"/>
      <c r="Z76" s="91"/>
      <c r="AA76" s="53"/>
      <c r="AB76" s="100"/>
      <c r="AC76" s="91"/>
      <c r="AD76" s="53"/>
      <c r="AE76" s="100"/>
      <c r="AF76" s="91"/>
      <c r="AG76" s="53"/>
      <c r="AH76" s="100"/>
      <c r="AI76" s="91"/>
      <c r="AJ76" s="53"/>
      <c r="AK76" s="100"/>
      <c r="AL76" s="91"/>
      <c r="AM76" s="53"/>
      <c r="AN76" s="100"/>
      <c r="AO76" s="91"/>
      <c r="AP76" s="48"/>
      <c r="AQ76" s="48"/>
      <c r="AR76" s="48"/>
      <c r="AS76" s="48"/>
      <c r="AT76" s="48"/>
      <c r="AU76" s="48"/>
      <c r="AV76" s="48"/>
      <c r="AW76" s="48"/>
      <c r="AX76" s="48"/>
      <c r="AY76" s="48"/>
      <c r="AZ76" s="48"/>
      <c r="BA76" s="48"/>
      <c r="BB76" s="48"/>
      <c r="BC76" s="48"/>
      <c r="BD76" s="48"/>
      <c r="BE76" s="48"/>
      <c r="BF76" s="48"/>
      <c r="BG76" s="48"/>
      <c r="BH76" s="48"/>
      <c r="BI76" s="48"/>
    </row>
    <row r="77" ht="15.75" customHeight="1">
      <c r="A77" s="41" t="str">
        <f t="shared" si="1"/>
        <v>Véhicules neufsTOTAL DES DÉPENSES</v>
      </c>
      <c r="B77" s="92" t="s">
        <v>143</v>
      </c>
      <c r="C77" s="93"/>
      <c r="D77" s="94"/>
      <c r="E77" s="95"/>
      <c r="F77" s="93"/>
      <c r="G77" s="94"/>
      <c r="H77" s="95"/>
      <c r="I77" s="93"/>
      <c r="J77" s="94"/>
      <c r="K77" s="95"/>
      <c r="L77" s="93"/>
      <c r="M77" s="94"/>
      <c r="N77" s="95"/>
      <c r="O77" s="93"/>
      <c r="P77" s="94"/>
      <c r="Q77" s="95"/>
      <c r="R77" s="93"/>
      <c r="S77" s="94"/>
      <c r="T77" s="95"/>
      <c r="U77" s="93"/>
      <c r="V77" s="94"/>
      <c r="W77" s="95"/>
      <c r="X77" s="93"/>
      <c r="Y77" s="94"/>
      <c r="Z77" s="95"/>
      <c r="AA77" s="93"/>
      <c r="AB77" s="94"/>
      <c r="AC77" s="95"/>
      <c r="AD77" s="93"/>
      <c r="AE77" s="94"/>
      <c r="AF77" s="95"/>
      <c r="AG77" s="93"/>
      <c r="AH77" s="94"/>
      <c r="AI77" s="95"/>
      <c r="AJ77" s="93"/>
      <c r="AK77" s="94"/>
      <c r="AL77" s="95"/>
      <c r="AM77" s="93"/>
      <c r="AN77" s="94"/>
      <c r="AO77" s="95"/>
      <c r="AP77" s="48"/>
      <c r="AQ77" s="48"/>
      <c r="AR77" s="48"/>
      <c r="AS77" s="48"/>
      <c r="AT77" s="48"/>
      <c r="AU77" s="48"/>
      <c r="AV77" s="48"/>
      <c r="AW77" s="48"/>
      <c r="AX77" s="48"/>
      <c r="AY77" s="48"/>
      <c r="AZ77" s="48"/>
      <c r="BA77" s="48"/>
      <c r="BB77" s="48"/>
      <c r="BC77" s="48"/>
      <c r="BD77" s="48"/>
      <c r="BE77" s="48"/>
      <c r="BF77" s="48"/>
      <c r="BG77" s="48"/>
      <c r="BH77" s="48"/>
      <c r="BI77" s="48"/>
    </row>
    <row r="78" ht="15.75" customHeight="1">
      <c r="A78" s="41" t="str">
        <f t="shared" si="1"/>
        <v>Véhicules neufsProgramme neuf 1</v>
      </c>
      <c r="B78" s="57" t="s">
        <v>144</v>
      </c>
      <c r="C78" s="57"/>
      <c r="D78" s="74"/>
      <c r="E78" s="75"/>
      <c r="F78" s="57"/>
      <c r="G78" s="74"/>
      <c r="H78" s="75"/>
      <c r="I78" s="57"/>
      <c r="J78" s="74"/>
      <c r="K78" s="75"/>
      <c r="L78" s="57"/>
      <c r="M78" s="74"/>
      <c r="N78" s="75"/>
      <c r="O78" s="57"/>
      <c r="P78" s="74"/>
      <c r="Q78" s="75"/>
      <c r="R78" s="57"/>
      <c r="S78" s="74"/>
      <c r="T78" s="75"/>
      <c r="U78" s="57"/>
      <c r="V78" s="74"/>
      <c r="W78" s="75"/>
      <c r="X78" s="57"/>
      <c r="Y78" s="74"/>
      <c r="Z78" s="75"/>
      <c r="AA78" s="57"/>
      <c r="AB78" s="74"/>
      <c r="AC78" s="75"/>
      <c r="AD78" s="57"/>
      <c r="AE78" s="74"/>
      <c r="AF78" s="75"/>
      <c r="AG78" s="57"/>
      <c r="AH78" s="74"/>
      <c r="AI78" s="75"/>
      <c r="AJ78" s="57"/>
      <c r="AK78" s="74"/>
      <c r="AL78" s="75"/>
      <c r="AM78" s="57"/>
      <c r="AN78" s="74"/>
      <c r="AO78" s="75"/>
      <c r="AP78" s="48"/>
      <c r="AQ78" s="48"/>
      <c r="AR78" s="48"/>
      <c r="AS78" s="48"/>
      <c r="AT78" s="48"/>
      <c r="AU78" s="48"/>
      <c r="AV78" s="48"/>
      <c r="AW78" s="48"/>
      <c r="AX78" s="48"/>
      <c r="AY78" s="48"/>
      <c r="AZ78" s="48"/>
      <c r="BA78" s="48"/>
      <c r="BB78" s="48"/>
      <c r="BC78" s="48"/>
      <c r="BD78" s="48"/>
      <c r="BE78" s="48"/>
      <c r="BF78" s="48"/>
      <c r="BG78" s="48"/>
      <c r="BH78" s="48"/>
      <c r="BI78" s="48"/>
    </row>
    <row r="79" ht="15.75" customHeight="1">
      <c r="A79" s="41" t="str">
        <f t="shared" si="1"/>
        <v>Véhicules neufsProgramme neuf 2</v>
      </c>
      <c r="B79" s="57" t="s">
        <v>145</v>
      </c>
      <c r="C79" s="57"/>
      <c r="D79" s="74"/>
      <c r="E79" s="75"/>
      <c r="F79" s="57"/>
      <c r="G79" s="74"/>
      <c r="H79" s="75"/>
      <c r="I79" s="57"/>
      <c r="J79" s="74"/>
      <c r="K79" s="75"/>
      <c r="L79" s="57"/>
      <c r="M79" s="74"/>
      <c r="N79" s="75"/>
      <c r="O79" s="57"/>
      <c r="P79" s="74"/>
      <c r="Q79" s="75"/>
      <c r="R79" s="57"/>
      <c r="S79" s="74"/>
      <c r="T79" s="75"/>
      <c r="U79" s="57"/>
      <c r="V79" s="74"/>
      <c r="W79" s="75"/>
      <c r="X79" s="57"/>
      <c r="Y79" s="74"/>
      <c r="Z79" s="75"/>
      <c r="AA79" s="57"/>
      <c r="AB79" s="74"/>
      <c r="AC79" s="75"/>
      <c r="AD79" s="57"/>
      <c r="AE79" s="74"/>
      <c r="AF79" s="75"/>
      <c r="AG79" s="57"/>
      <c r="AH79" s="74"/>
      <c r="AI79" s="75"/>
      <c r="AJ79" s="57"/>
      <c r="AK79" s="74"/>
      <c r="AL79" s="75"/>
      <c r="AM79" s="57"/>
      <c r="AN79" s="74"/>
      <c r="AO79" s="75"/>
      <c r="AP79" s="48"/>
      <c r="AQ79" s="48"/>
      <c r="AR79" s="48"/>
      <c r="AS79" s="48"/>
      <c r="AT79" s="48"/>
      <c r="AU79" s="48"/>
      <c r="AV79" s="48"/>
      <c r="AW79" s="48"/>
      <c r="AX79" s="48"/>
      <c r="AY79" s="48"/>
      <c r="AZ79" s="48"/>
      <c r="BA79" s="48"/>
      <c r="BB79" s="48"/>
      <c r="BC79" s="48"/>
      <c r="BD79" s="48"/>
      <c r="BE79" s="48"/>
      <c r="BF79" s="48"/>
      <c r="BG79" s="48"/>
      <c r="BH79" s="48"/>
      <c r="BI79" s="48"/>
    </row>
    <row r="80" ht="15.75" customHeight="1">
      <c r="A80" s="41" t="str">
        <f t="shared" si="1"/>
        <v>Véhicules neufsProgramme neuf 3</v>
      </c>
      <c r="B80" s="57" t="s">
        <v>146</v>
      </c>
      <c r="C80" s="57"/>
      <c r="D80" s="74"/>
      <c r="E80" s="75"/>
      <c r="F80" s="57"/>
      <c r="G80" s="74"/>
      <c r="H80" s="75"/>
      <c r="I80" s="57"/>
      <c r="J80" s="74"/>
      <c r="K80" s="75"/>
      <c r="L80" s="57"/>
      <c r="M80" s="74"/>
      <c r="N80" s="75"/>
      <c r="O80" s="57"/>
      <c r="P80" s="74"/>
      <c r="Q80" s="75"/>
      <c r="R80" s="57"/>
      <c r="S80" s="74"/>
      <c r="T80" s="75"/>
      <c r="U80" s="57"/>
      <c r="V80" s="74"/>
      <c r="W80" s="75"/>
      <c r="X80" s="57"/>
      <c r="Y80" s="74"/>
      <c r="Z80" s="75"/>
      <c r="AA80" s="57"/>
      <c r="AB80" s="74"/>
      <c r="AC80" s="75"/>
      <c r="AD80" s="57"/>
      <c r="AE80" s="74"/>
      <c r="AF80" s="75"/>
      <c r="AG80" s="57"/>
      <c r="AH80" s="74"/>
      <c r="AI80" s="75"/>
      <c r="AJ80" s="57"/>
      <c r="AK80" s="74"/>
      <c r="AL80" s="75"/>
      <c r="AM80" s="57"/>
      <c r="AN80" s="74"/>
      <c r="AO80" s="75"/>
      <c r="AP80" s="48"/>
      <c r="AQ80" s="48"/>
      <c r="AR80" s="48"/>
      <c r="AS80" s="48"/>
      <c r="AT80" s="48"/>
      <c r="AU80" s="48"/>
      <c r="AV80" s="48"/>
      <c r="AW80" s="48"/>
      <c r="AX80" s="48"/>
      <c r="AY80" s="48"/>
      <c r="AZ80" s="48"/>
      <c r="BA80" s="48"/>
      <c r="BB80" s="48"/>
      <c r="BC80" s="48"/>
      <c r="BD80" s="48"/>
      <c r="BE80" s="48"/>
      <c r="BF80" s="48"/>
      <c r="BG80" s="48"/>
      <c r="BH80" s="48"/>
      <c r="BI80" s="48"/>
    </row>
    <row r="81" ht="15.75" customHeight="1">
      <c r="A81" s="41" t="str">
        <f t="shared" si="1"/>
        <v>Véhicules neufsHoldbacks</v>
      </c>
      <c r="B81" s="57" t="s">
        <v>147</v>
      </c>
      <c r="C81" s="57"/>
      <c r="D81" s="74"/>
      <c r="E81" s="75"/>
      <c r="F81" s="57"/>
      <c r="G81" s="74"/>
      <c r="H81" s="75"/>
      <c r="I81" s="57"/>
      <c r="J81" s="74"/>
      <c r="K81" s="75"/>
      <c r="L81" s="57"/>
      <c r="M81" s="74"/>
      <c r="N81" s="75"/>
      <c r="O81" s="57"/>
      <c r="P81" s="74"/>
      <c r="Q81" s="75"/>
      <c r="R81" s="57"/>
      <c r="S81" s="74"/>
      <c r="T81" s="75"/>
      <c r="U81" s="57"/>
      <c r="V81" s="74"/>
      <c r="W81" s="75"/>
      <c r="X81" s="57"/>
      <c r="Y81" s="74"/>
      <c r="Z81" s="75"/>
      <c r="AA81" s="57"/>
      <c r="AB81" s="74"/>
      <c r="AC81" s="75"/>
      <c r="AD81" s="57"/>
      <c r="AE81" s="74"/>
      <c r="AF81" s="75"/>
      <c r="AG81" s="57"/>
      <c r="AH81" s="74"/>
      <c r="AI81" s="75"/>
      <c r="AJ81" s="57"/>
      <c r="AK81" s="74"/>
      <c r="AL81" s="75"/>
      <c r="AM81" s="57"/>
      <c r="AN81" s="74"/>
      <c r="AO81" s="75"/>
      <c r="AP81" s="48"/>
      <c r="AQ81" s="48"/>
      <c r="AR81" s="48"/>
      <c r="AS81" s="48"/>
      <c r="AT81" s="48"/>
      <c r="AU81" s="48"/>
      <c r="AV81" s="48"/>
      <c r="AW81" s="48"/>
      <c r="AX81" s="48"/>
      <c r="AY81" s="48"/>
      <c r="AZ81" s="48"/>
      <c r="BA81" s="48"/>
      <c r="BB81" s="48"/>
      <c r="BC81" s="48"/>
      <c r="BD81" s="48"/>
      <c r="BE81" s="48"/>
      <c r="BF81" s="48"/>
      <c r="BG81" s="48"/>
      <c r="BH81" s="48"/>
      <c r="BI81" s="48"/>
    </row>
    <row r="82" ht="15.75" customHeight="1">
      <c r="A82" s="41" t="str">
        <f t="shared" si="1"/>
        <v>Véhicules neufs[...]</v>
      </c>
      <c r="B82" s="57" t="s">
        <v>56</v>
      </c>
      <c r="C82" s="57"/>
      <c r="D82" s="74"/>
      <c r="E82" s="75"/>
      <c r="F82" s="57"/>
      <c r="G82" s="74"/>
      <c r="H82" s="75"/>
      <c r="I82" s="57"/>
      <c r="J82" s="74"/>
      <c r="K82" s="75"/>
      <c r="L82" s="57"/>
      <c r="M82" s="74"/>
      <c r="N82" s="75"/>
      <c r="O82" s="57"/>
      <c r="P82" s="74"/>
      <c r="Q82" s="75"/>
      <c r="R82" s="57"/>
      <c r="S82" s="74"/>
      <c r="T82" s="75"/>
      <c r="U82" s="57"/>
      <c r="V82" s="74"/>
      <c r="W82" s="75"/>
      <c r="X82" s="57"/>
      <c r="Y82" s="74"/>
      <c r="Z82" s="75"/>
      <c r="AA82" s="57"/>
      <c r="AB82" s="74"/>
      <c r="AC82" s="75"/>
      <c r="AD82" s="57"/>
      <c r="AE82" s="74"/>
      <c r="AF82" s="75"/>
      <c r="AG82" s="57"/>
      <c r="AH82" s="74"/>
      <c r="AI82" s="75"/>
      <c r="AJ82" s="57"/>
      <c r="AK82" s="74"/>
      <c r="AL82" s="75"/>
      <c r="AM82" s="57"/>
      <c r="AN82" s="74"/>
      <c r="AO82" s="75"/>
      <c r="AP82" s="48"/>
      <c r="AQ82" s="48"/>
      <c r="AR82" s="48"/>
      <c r="AS82" s="48"/>
      <c r="AT82" s="48"/>
      <c r="AU82" s="48"/>
      <c r="AV82" s="48"/>
      <c r="AW82" s="48"/>
      <c r="AX82" s="48"/>
      <c r="AY82" s="48"/>
      <c r="AZ82" s="48"/>
      <c r="BA82" s="48"/>
      <c r="BB82" s="48"/>
      <c r="BC82" s="48"/>
      <c r="BD82" s="48"/>
      <c r="BE82" s="48"/>
      <c r="BF82" s="48"/>
      <c r="BG82" s="48"/>
      <c r="BH82" s="48"/>
      <c r="BI82" s="48"/>
    </row>
    <row r="83" ht="15.75" customHeight="1">
      <c r="A83" s="41" t="str">
        <f t="shared" si="1"/>
        <v>Véhicules neufs[...]</v>
      </c>
      <c r="B83" s="57" t="s">
        <v>56</v>
      </c>
      <c r="C83" s="57"/>
      <c r="D83" s="74"/>
      <c r="E83" s="75"/>
      <c r="F83" s="57"/>
      <c r="G83" s="74"/>
      <c r="H83" s="75"/>
      <c r="I83" s="57"/>
      <c r="J83" s="74"/>
      <c r="K83" s="75"/>
      <c r="L83" s="57"/>
      <c r="M83" s="74"/>
      <c r="N83" s="75"/>
      <c r="O83" s="57"/>
      <c r="P83" s="74"/>
      <c r="Q83" s="75"/>
      <c r="R83" s="57"/>
      <c r="S83" s="74"/>
      <c r="T83" s="75"/>
      <c r="U83" s="57"/>
      <c r="V83" s="74"/>
      <c r="W83" s="75"/>
      <c r="X83" s="57"/>
      <c r="Y83" s="74"/>
      <c r="Z83" s="75"/>
      <c r="AA83" s="57"/>
      <c r="AB83" s="74"/>
      <c r="AC83" s="75"/>
      <c r="AD83" s="57"/>
      <c r="AE83" s="74"/>
      <c r="AF83" s="75"/>
      <c r="AG83" s="57"/>
      <c r="AH83" s="74"/>
      <c r="AI83" s="75"/>
      <c r="AJ83" s="57"/>
      <c r="AK83" s="74"/>
      <c r="AL83" s="75"/>
      <c r="AM83" s="57"/>
      <c r="AN83" s="74"/>
      <c r="AO83" s="75"/>
      <c r="AP83" s="48"/>
      <c r="AQ83" s="48"/>
      <c r="AR83" s="48"/>
      <c r="AS83" s="48"/>
      <c r="AT83" s="48"/>
      <c r="AU83" s="48"/>
      <c r="AV83" s="48"/>
      <c r="AW83" s="48"/>
      <c r="AX83" s="48"/>
      <c r="AY83" s="48"/>
      <c r="AZ83" s="48"/>
      <c r="BA83" s="48"/>
      <c r="BB83" s="48"/>
      <c r="BC83" s="48"/>
      <c r="BD83" s="48"/>
      <c r="BE83" s="48"/>
      <c r="BF83" s="48"/>
      <c r="BG83" s="48"/>
      <c r="BH83" s="48"/>
      <c r="BI83" s="48"/>
    </row>
    <row r="84" ht="15.75" customHeight="1">
      <c r="A84" s="41" t="str">
        <f t="shared" si="1"/>
        <v>Véhicules neufs[...]</v>
      </c>
      <c r="B84" s="57" t="s">
        <v>56</v>
      </c>
      <c r="C84" s="57"/>
      <c r="D84" s="74"/>
      <c r="E84" s="75"/>
      <c r="F84" s="57"/>
      <c r="G84" s="74"/>
      <c r="H84" s="75"/>
      <c r="I84" s="57"/>
      <c r="J84" s="74"/>
      <c r="K84" s="75"/>
      <c r="L84" s="57"/>
      <c r="M84" s="74"/>
      <c r="N84" s="75"/>
      <c r="O84" s="57"/>
      <c r="P84" s="74"/>
      <c r="Q84" s="75"/>
      <c r="R84" s="57"/>
      <c r="S84" s="74"/>
      <c r="T84" s="75"/>
      <c r="U84" s="57"/>
      <c r="V84" s="74"/>
      <c r="W84" s="75"/>
      <c r="X84" s="57"/>
      <c r="Y84" s="74"/>
      <c r="Z84" s="75"/>
      <c r="AA84" s="57"/>
      <c r="AB84" s="74"/>
      <c r="AC84" s="75"/>
      <c r="AD84" s="57"/>
      <c r="AE84" s="74"/>
      <c r="AF84" s="75"/>
      <c r="AG84" s="57"/>
      <c r="AH84" s="74"/>
      <c r="AI84" s="75"/>
      <c r="AJ84" s="57"/>
      <c r="AK84" s="74"/>
      <c r="AL84" s="75"/>
      <c r="AM84" s="57"/>
      <c r="AN84" s="74"/>
      <c r="AO84" s="75"/>
      <c r="AP84" s="48"/>
      <c r="AQ84" s="48"/>
      <c r="AR84" s="48"/>
      <c r="AS84" s="48"/>
      <c r="AT84" s="48"/>
      <c r="AU84" s="48"/>
      <c r="AV84" s="48"/>
      <c r="AW84" s="48"/>
      <c r="AX84" s="48"/>
      <c r="AY84" s="48"/>
      <c r="AZ84" s="48"/>
      <c r="BA84" s="48"/>
      <c r="BB84" s="48"/>
      <c r="BC84" s="48"/>
      <c r="BD84" s="48"/>
      <c r="BE84" s="48"/>
      <c r="BF84" s="48"/>
      <c r="BG84" s="48"/>
      <c r="BH84" s="48"/>
      <c r="BI84" s="48"/>
    </row>
    <row r="85" ht="15.75" customHeight="1">
      <c r="A85" s="41" t="str">
        <f t="shared" si="1"/>
        <v>Véhicules neufsFrais administration</v>
      </c>
      <c r="B85" s="57" t="s">
        <v>148</v>
      </c>
      <c r="C85" s="57"/>
      <c r="D85" s="74"/>
      <c r="E85" s="75"/>
      <c r="F85" s="57"/>
      <c r="G85" s="74"/>
      <c r="H85" s="75"/>
      <c r="I85" s="57"/>
      <c r="J85" s="74"/>
      <c r="K85" s="75"/>
      <c r="L85" s="57"/>
      <c r="M85" s="74"/>
      <c r="N85" s="75"/>
      <c r="O85" s="57"/>
      <c r="P85" s="74"/>
      <c r="Q85" s="75"/>
      <c r="R85" s="57"/>
      <c r="S85" s="74"/>
      <c r="T85" s="75"/>
      <c r="U85" s="57"/>
      <c r="V85" s="74"/>
      <c r="W85" s="75"/>
      <c r="X85" s="57"/>
      <c r="Y85" s="74"/>
      <c r="Z85" s="75"/>
      <c r="AA85" s="57"/>
      <c r="AB85" s="74"/>
      <c r="AC85" s="75"/>
      <c r="AD85" s="57"/>
      <c r="AE85" s="74"/>
      <c r="AF85" s="75"/>
      <c r="AG85" s="57"/>
      <c r="AH85" s="74"/>
      <c r="AI85" s="75"/>
      <c r="AJ85" s="57"/>
      <c r="AK85" s="74"/>
      <c r="AL85" s="75"/>
      <c r="AM85" s="57"/>
      <c r="AN85" s="74"/>
      <c r="AO85" s="75"/>
      <c r="AP85" s="48"/>
      <c r="AQ85" s="48"/>
      <c r="AR85" s="48"/>
      <c r="AS85" s="48"/>
      <c r="AT85" s="48"/>
      <c r="AU85" s="48"/>
      <c r="AV85" s="48"/>
      <c r="AW85" s="48"/>
      <c r="AX85" s="48"/>
      <c r="AY85" s="48"/>
      <c r="AZ85" s="48"/>
      <c r="BA85" s="48"/>
      <c r="BB85" s="48"/>
      <c r="BC85" s="48"/>
      <c r="BD85" s="48"/>
      <c r="BE85" s="48"/>
      <c r="BF85" s="48"/>
      <c r="BG85" s="48"/>
      <c r="BH85" s="48"/>
      <c r="BI85" s="48"/>
    </row>
    <row r="86" ht="15.75" customHeight="1">
      <c r="A86" s="41" t="str">
        <f t="shared" si="1"/>
        <v>Véhicules neufsAUTRES REVENUS</v>
      </c>
      <c r="B86" s="101" t="s">
        <v>149</v>
      </c>
      <c r="C86" s="93"/>
      <c r="D86" s="94"/>
      <c r="E86" s="95"/>
      <c r="F86" s="93"/>
      <c r="G86" s="94"/>
      <c r="H86" s="95"/>
      <c r="I86" s="93"/>
      <c r="J86" s="94"/>
      <c r="K86" s="95"/>
      <c r="L86" s="93"/>
      <c r="M86" s="94"/>
      <c r="N86" s="95"/>
      <c r="O86" s="93"/>
      <c r="P86" s="94"/>
      <c r="Q86" s="95"/>
      <c r="R86" s="93"/>
      <c r="S86" s="94"/>
      <c r="T86" s="95"/>
      <c r="U86" s="93"/>
      <c r="V86" s="94"/>
      <c r="W86" s="95"/>
      <c r="X86" s="93"/>
      <c r="Y86" s="94"/>
      <c r="Z86" s="95"/>
      <c r="AA86" s="93"/>
      <c r="AB86" s="94"/>
      <c r="AC86" s="95"/>
      <c r="AD86" s="93"/>
      <c r="AE86" s="94"/>
      <c r="AF86" s="95"/>
      <c r="AG86" s="93"/>
      <c r="AH86" s="94"/>
      <c r="AI86" s="95"/>
      <c r="AJ86" s="93"/>
      <c r="AK86" s="94"/>
      <c r="AL86" s="95"/>
      <c r="AM86" s="93"/>
      <c r="AN86" s="94"/>
      <c r="AO86" s="95"/>
      <c r="AP86" s="48"/>
      <c r="AQ86" s="48"/>
      <c r="AR86" s="48"/>
      <c r="AS86" s="48"/>
      <c r="AT86" s="48"/>
      <c r="AU86" s="48"/>
      <c r="AV86" s="48"/>
      <c r="AW86" s="48"/>
      <c r="AX86" s="48"/>
      <c r="AY86" s="48"/>
      <c r="AZ86" s="48"/>
      <c r="BA86" s="48"/>
      <c r="BB86" s="48"/>
      <c r="BC86" s="48"/>
      <c r="BD86" s="48"/>
      <c r="BE86" s="48"/>
      <c r="BF86" s="48"/>
      <c r="BG86" s="48"/>
      <c r="BH86" s="48"/>
      <c r="BI86" s="48"/>
    </row>
    <row r="87" ht="15.75" customHeight="1">
      <c r="A87" s="41" t="str">
        <f t="shared" si="1"/>
        <v>Véhicules neufs</v>
      </c>
      <c r="B87" s="70"/>
      <c r="C87" s="53"/>
      <c r="D87" s="100"/>
      <c r="E87" s="102"/>
      <c r="F87" s="53"/>
      <c r="G87" s="100"/>
      <c r="H87" s="102"/>
      <c r="I87" s="53"/>
      <c r="J87" s="100"/>
      <c r="K87" s="102"/>
      <c r="L87" s="53"/>
      <c r="M87" s="100"/>
      <c r="N87" s="102"/>
      <c r="O87" s="53"/>
      <c r="P87" s="100"/>
      <c r="Q87" s="102"/>
      <c r="R87" s="53"/>
      <c r="S87" s="100"/>
      <c r="T87" s="102"/>
      <c r="U87" s="53"/>
      <c r="V87" s="100"/>
      <c r="W87" s="102"/>
      <c r="X87" s="53"/>
      <c r="Y87" s="100"/>
      <c r="Z87" s="102"/>
      <c r="AA87" s="53"/>
      <c r="AB87" s="100"/>
      <c r="AC87" s="102"/>
      <c r="AD87" s="53"/>
      <c r="AE87" s="100"/>
      <c r="AF87" s="102"/>
      <c r="AG87" s="53"/>
      <c r="AH87" s="100"/>
      <c r="AI87" s="102"/>
      <c r="AJ87" s="53"/>
      <c r="AK87" s="100"/>
      <c r="AL87" s="102"/>
      <c r="AM87" s="53"/>
      <c r="AN87" s="100"/>
      <c r="AO87" s="102"/>
      <c r="AP87" s="48"/>
      <c r="AQ87" s="48"/>
      <c r="AR87" s="48"/>
      <c r="AS87" s="48"/>
      <c r="AT87" s="48"/>
      <c r="AU87" s="48"/>
      <c r="AV87" s="48"/>
      <c r="AW87" s="48"/>
      <c r="AX87" s="48"/>
      <c r="AY87" s="48"/>
      <c r="AZ87" s="48"/>
      <c r="BA87" s="48"/>
      <c r="BB87" s="48"/>
      <c r="BC87" s="48"/>
      <c r="BD87" s="48"/>
      <c r="BE87" s="48"/>
      <c r="BF87" s="48"/>
      <c r="BG87" s="48"/>
      <c r="BH87" s="48"/>
      <c r="BI87" s="48"/>
    </row>
    <row r="88" ht="15.75" customHeight="1">
      <c r="A88" s="41" t="str">
        <f t="shared" si="1"/>
        <v>Véhicules neufsPROFIT DÉPARTEMENTAL</v>
      </c>
      <c r="B88" s="103" t="s">
        <v>150</v>
      </c>
      <c r="C88" s="104"/>
      <c r="D88" s="105"/>
      <c r="E88" s="106"/>
      <c r="F88" s="104"/>
      <c r="G88" s="107"/>
      <c r="H88" s="106"/>
      <c r="I88" s="104"/>
      <c r="J88" s="107"/>
      <c r="K88" s="106"/>
      <c r="L88" s="104"/>
      <c r="M88" s="107"/>
      <c r="N88" s="106"/>
      <c r="O88" s="104"/>
      <c r="P88" s="107"/>
      <c r="Q88" s="106"/>
      <c r="R88" s="104"/>
      <c r="S88" s="107"/>
      <c r="T88" s="106"/>
      <c r="U88" s="104"/>
      <c r="V88" s="107"/>
      <c r="W88" s="106"/>
      <c r="X88" s="104"/>
      <c r="Y88" s="107"/>
      <c r="Z88" s="106"/>
      <c r="AA88" s="104"/>
      <c r="AB88" s="107"/>
      <c r="AC88" s="106"/>
      <c r="AD88" s="104"/>
      <c r="AE88" s="107"/>
      <c r="AF88" s="106"/>
      <c r="AG88" s="104"/>
      <c r="AH88" s="107"/>
      <c r="AI88" s="106"/>
      <c r="AJ88" s="104"/>
      <c r="AK88" s="107"/>
      <c r="AL88" s="106"/>
      <c r="AM88" s="104"/>
      <c r="AN88" s="107"/>
      <c r="AO88" s="106"/>
      <c r="AP88" s="48"/>
      <c r="AQ88" s="48"/>
      <c r="AR88" s="48"/>
      <c r="AS88" s="48"/>
      <c r="AT88" s="48"/>
      <c r="AU88" s="48"/>
      <c r="AV88" s="48"/>
      <c r="AW88" s="48"/>
      <c r="AX88" s="48"/>
      <c r="AY88" s="48"/>
      <c r="AZ88" s="48"/>
      <c r="BA88" s="48"/>
      <c r="BB88" s="48"/>
      <c r="BC88" s="48"/>
      <c r="BD88" s="48"/>
      <c r="BE88" s="48"/>
      <c r="BF88" s="48"/>
      <c r="BG88" s="48"/>
      <c r="BH88" s="48"/>
      <c r="BI88" s="48"/>
    </row>
    <row r="89" ht="15.75" customHeight="1">
      <c r="A89" s="41"/>
      <c r="B89" s="108"/>
      <c r="C89" s="108"/>
      <c r="D89" s="108"/>
      <c r="E89" s="109"/>
      <c r="F89" s="108"/>
      <c r="G89" s="108"/>
      <c r="H89" s="109"/>
      <c r="I89" s="108"/>
      <c r="J89" s="108"/>
      <c r="K89" s="109"/>
      <c r="L89" s="108"/>
      <c r="M89" s="108"/>
      <c r="N89" s="109"/>
      <c r="O89" s="108"/>
      <c r="P89" s="108"/>
      <c r="Q89" s="109"/>
      <c r="R89" s="108"/>
      <c r="S89" s="108"/>
      <c r="T89" s="109"/>
      <c r="U89" s="108"/>
      <c r="V89" s="108"/>
      <c r="W89" s="109"/>
      <c r="X89" s="108"/>
      <c r="Y89" s="108"/>
      <c r="Z89" s="109"/>
      <c r="AA89" s="108"/>
      <c r="AB89" s="108"/>
      <c r="AC89" s="109"/>
      <c r="AD89" s="108"/>
      <c r="AE89" s="108"/>
      <c r="AF89" s="109"/>
      <c r="AG89" s="108"/>
      <c r="AH89" s="108"/>
      <c r="AI89" s="109"/>
      <c r="AJ89" s="108"/>
      <c r="AK89" s="108"/>
      <c r="AL89" s="109"/>
      <c r="AM89" s="108"/>
      <c r="AN89" s="108"/>
      <c r="AO89" s="109"/>
      <c r="AP89" s="110"/>
      <c r="AQ89" s="110"/>
      <c r="AR89" s="110"/>
      <c r="AS89" s="110"/>
      <c r="AT89" s="110"/>
      <c r="AU89" s="110"/>
      <c r="AV89" s="110"/>
      <c r="AW89" s="110"/>
      <c r="AX89" s="110"/>
      <c r="AY89" s="110"/>
      <c r="AZ89" s="110"/>
      <c r="BA89" s="110"/>
      <c r="BB89" s="110"/>
      <c r="BC89" s="110"/>
      <c r="BD89" s="110"/>
      <c r="BE89" s="110"/>
      <c r="BF89" s="110"/>
      <c r="BG89" s="110"/>
      <c r="BH89" s="110"/>
      <c r="BI89" s="110"/>
    </row>
    <row r="90" ht="15.75" customHeight="1">
      <c r="A90" s="41"/>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10"/>
      <c r="AQ90" s="110"/>
      <c r="AR90" s="110"/>
      <c r="AS90" s="110"/>
      <c r="AT90" s="110"/>
      <c r="AU90" s="110"/>
      <c r="AV90" s="110"/>
      <c r="AW90" s="110"/>
      <c r="AX90" s="110"/>
      <c r="AY90" s="110"/>
      <c r="AZ90" s="110"/>
      <c r="BA90" s="110"/>
      <c r="BB90" s="110"/>
      <c r="BC90" s="110"/>
      <c r="BD90" s="110"/>
      <c r="BE90" s="110"/>
      <c r="BF90" s="110"/>
      <c r="BG90" s="110"/>
      <c r="BH90" s="110"/>
      <c r="BI90" s="110"/>
    </row>
    <row r="91" ht="15.75" customHeight="1">
      <c r="A91" s="41"/>
      <c r="B91" s="111"/>
      <c r="C91" s="111"/>
      <c r="D91" s="111"/>
      <c r="E91" s="111"/>
      <c r="F91" s="111"/>
      <c r="G91" s="111"/>
      <c r="H91" s="111"/>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40"/>
      <c r="AQ91" s="40"/>
      <c r="AR91" s="40"/>
      <c r="AS91" s="40"/>
      <c r="AT91" s="40"/>
      <c r="AU91" s="40"/>
      <c r="AV91" s="40"/>
      <c r="AW91" s="40"/>
      <c r="AX91" s="40"/>
      <c r="AY91" s="40"/>
      <c r="AZ91" s="40"/>
      <c r="BA91" s="40"/>
      <c r="BB91" s="40"/>
      <c r="BC91" s="40"/>
      <c r="BD91" s="40"/>
      <c r="BE91" s="40"/>
      <c r="BF91" s="40"/>
      <c r="BG91" s="40"/>
      <c r="BH91" s="40"/>
      <c r="BI91" s="40"/>
    </row>
    <row r="92" ht="15.75" customHeight="1">
      <c r="A92" s="41"/>
      <c r="B92" s="112" t="str">
        <f>B4</f>
        <v>Budget 2025</v>
      </c>
      <c r="C92" s="112" t="s">
        <v>151</v>
      </c>
      <c r="D92" s="112"/>
      <c r="E92" s="112"/>
      <c r="F92" s="112"/>
      <c r="G92" s="112"/>
      <c r="H92" s="112"/>
      <c r="I92" s="112"/>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38"/>
      <c r="AQ92" s="38"/>
      <c r="AR92" s="38"/>
      <c r="AS92" s="38"/>
      <c r="AT92" s="38"/>
      <c r="AU92" s="38"/>
      <c r="AV92" s="38"/>
      <c r="AW92" s="38"/>
      <c r="AX92" s="38"/>
      <c r="AY92" s="38"/>
      <c r="AZ92" s="38"/>
      <c r="BA92" s="38"/>
      <c r="BB92" s="38"/>
      <c r="BC92" s="38"/>
      <c r="BD92" s="38"/>
      <c r="BE92" s="38"/>
      <c r="BF92" s="38"/>
      <c r="BG92" s="38"/>
      <c r="BH92" s="38"/>
      <c r="BI92" s="38"/>
    </row>
    <row r="93" ht="15.75" customHeight="1">
      <c r="A93" s="41"/>
      <c r="B93" s="113"/>
      <c r="C93" s="111"/>
      <c r="D93" s="111"/>
      <c r="E93" s="111"/>
      <c r="F93" s="111"/>
      <c r="G93" s="111"/>
      <c r="H93" s="111"/>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40"/>
      <c r="AQ93" s="40"/>
      <c r="AR93" s="40"/>
      <c r="AS93" s="40"/>
      <c r="AT93" s="40"/>
      <c r="AU93" s="40"/>
      <c r="AV93" s="40"/>
      <c r="AW93" s="40"/>
      <c r="AX93" s="40"/>
      <c r="AY93" s="40"/>
      <c r="AZ93" s="40"/>
      <c r="BA93" s="40"/>
      <c r="BB93" s="40"/>
      <c r="BC93" s="40"/>
      <c r="BD93" s="40"/>
      <c r="BE93" s="40"/>
      <c r="BF93" s="40"/>
      <c r="BG93" s="40"/>
      <c r="BH93" s="40"/>
      <c r="BI93" s="40"/>
    </row>
    <row r="94" ht="15.75" customHeight="1">
      <c r="A94" s="41"/>
      <c r="B94" s="42" t="s">
        <v>2</v>
      </c>
      <c r="C94" s="43">
        <v>2021.0</v>
      </c>
      <c r="D94" s="44"/>
      <c r="E94" s="45"/>
      <c r="F94" s="114" t="s">
        <v>6</v>
      </c>
      <c r="G94" s="115"/>
      <c r="H94" s="116"/>
      <c r="I94" s="114" t="s">
        <v>8</v>
      </c>
      <c r="J94" s="115"/>
      <c r="K94" s="116"/>
      <c r="L94" s="114" t="s">
        <v>9</v>
      </c>
      <c r="M94" s="115"/>
      <c r="N94" s="116"/>
      <c r="O94" s="114" t="s">
        <v>10</v>
      </c>
      <c r="P94" s="115"/>
      <c r="Q94" s="116"/>
      <c r="R94" s="114" t="s">
        <v>11</v>
      </c>
      <c r="S94" s="115"/>
      <c r="T94" s="116"/>
      <c r="U94" s="114" t="s">
        <v>12</v>
      </c>
      <c r="V94" s="115"/>
      <c r="W94" s="116"/>
      <c r="X94" s="114" t="s">
        <v>14</v>
      </c>
      <c r="Y94" s="115"/>
      <c r="Z94" s="116"/>
      <c r="AA94" s="114" t="s">
        <v>92</v>
      </c>
      <c r="AB94" s="115"/>
      <c r="AC94" s="116"/>
      <c r="AD94" s="114" t="s">
        <v>5</v>
      </c>
      <c r="AE94" s="115"/>
      <c r="AF94" s="116"/>
      <c r="AG94" s="114" t="s">
        <v>18</v>
      </c>
      <c r="AH94" s="115"/>
      <c r="AI94" s="116"/>
      <c r="AJ94" s="114" t="s">
        <v>19</v>
      </c>
      <c r="AK94" s="115"/>
      <c r="AL94" s="116"/>
      <c r="AM94" s="114" t="s">
        <v>20</v>
      </c>
      <c r="AN94" s="115"/>
      <c r="AO94" s="116"/>
      <c r="AP94" s="48"/>
      <c r="AQ94" s="48"/>
      <c r="AR94" s="48"/>
      <c r="AS94" s="48"/>
      <c r="AT94" s="48"/>
      <c r="AU94" s="48"/>
      <c r="AV94" s="48"/>
      <c r="AW94" s="48"/>
      <c r="AX94" s="48"/>
      <c r="AY94" s="48"/>
      <c r="AZ94" s="48"/>
      <c r="BA94" s="48"/>
      <c r="BB94" s="48"/>
      <c r="BC94" s="48"/>
      <c r="BD94" s="48"/>
      <c r="BE94" s="48"/>
      <c r="BF94" s="48"/>
      <c r="BG94" s="48"/>
      <c r="BH94" s="48"/>
      <c r="BI94" s="48"/>
    </row>
    <row r="95" ht="15.75" customHeight="1">
      <c r="A95" s="41"/>
      <c r="B95" s="57"/>
      <c r="C95" s="117" t="s">
        <v>93</v>
      </c>
      <c r="D95" s="86" t="s">
        <v>94</v>
      </c>
      <c r="E95" s="118" t="s">
        <v>95</v>
      </c>
      <c r="F95" s="117" t="s">
        <v>93</v>
      </c>
      <c r="G95" s="86" t="s">
        <v>94</v>
      </c>
      <c r="H95" s="118" t="s">
        <v>95</v>
      </c>
      <c r="I95" s="117" t="s">
        <v>93</v>
      </c>
      <c r="J95" s="86" t="s">
        <v>94</v>
      </c>
      <c r="K95" s="118" t="s">
        <v>95</v>
      </c>
      <c r="L95" s="117" t="s">
        <v>93</v>
      </c>
      <c r="M95" s="86" t="s">
        <v>94</v>
      </c>
      <c r="N95" s="118" t="s">
        <v>95</v>
      </c>
      <c r="O95" s="117" t="s">
        <v>93</v>
      </c>
      <c r="P95" s="86" t="s">
        <v>94</v>
      </c>
      <c r="Q95" s="118" t="s">
        <v>95</v>
      </c>
      <c r="R95" s="117" t="s">
        <v>93</v>
      </c>
      <c r="S95" s="86" t="s">
        <v>94</v>
      </c>
      <c r="T95" s="118" t="s">
        <v>95</v>
      </c>
      <c r="U95" s="117" t="s">
        <v>93</v>
      </c>
      <c r="V95" s="86" t="s">
        <v>94</v>
      </c>
      <c r="W95" s="118" t="s">
        <v>95</v>
      </c>
      <c r="X95" s="117" t="s">
        <v>93</v>
      </c>
      <c r="Y95" s="86" t="s">
        <v>94</v>
      </c>
      <c r="Z95" s="118" t="s">
        <v>95</v>
      </c>
      <c r="AA95" s="117" t="s">
        <v>93</v>
      </c>
      <c r="AB95" s="86" t="s">
        <v>94</v>
      </c>
      <c r="AC95" s="118" t="s">
        <v>95</v>
      </c>
      <c r="AD95" s="117" t="s">
        <v>93</v>
      </c>
      <c r="AE95" s="86" t="s">
        <v>94</v>
      </c>
      <c r="AF95" s="118" t="s">
        <v>95</v>
      </c>
      <c r="AG95" s="117" t="s">
        <v>93</v>
      </c>
      <c r="AH95" s="86" t="s">
        <v>94</v>
      </c>
      <c r="AI95" s="118" t="s">
        <v>95</v>
      </c>
      <c r="AJ95" s="117" t="s">
        <v>93</v>
      </c>
      <c r="AK95" s="86" t="s">
        <v>94</v>
      </c>
      <c r="AL95" s="118" t="s">
        <v>95</v>
      </c>
      <c r="AM95" s="117" t="s">
        <v>93</v>
      </c>
      <c r="AN95" s="86" t="s">
        <v>94</v>
      </c>
      <c r="AO95" s="118" t="s">
        <v>95</v>
      </c>
      <c r="AP95" s="48"/>
      <c r="AQ95" s="48"/>
      <c r="AR95" s="48"/>
      <c r="AS95" s="48"/>
      <c r="AT95" s="48"/>
      <c r="AU95" s="48"/>
      <c r="AV95" s="48"/>
      <c r="AW95" s="48"/>
      <c r="AX95" s="48"/>
      <c r="AY95" s="48"/>
      <c r="AZ95" s="48"/>
      <c r="BA95" s="48"/>
      <c r="BB95" s="48"/>
      <c r="BC95" s="48"/>
      <c r="BD95" s="48"/>
      <c r="BE95" s="48"/>
      <c r="BF95" s="48"/>
      <c r="BG95" s="48"/>
      <c r="BH95" s="48"/>
      <c r="BI95" s="48"/>
    </row>
    <row r="96" ht="15.75" customHeight="1">
      <c r="A96" s="41" t="str">
        <f t="shared" ref="A96:A168" si="2">+$C$92&amp;B96</f>
        <v>Véhicules usagésVentes nettes</v>
      </c>
      <c r="B96" s="53" t="s">
        <v>96</v>
      </c>
      <c r="C96" s="54"/>
      <c r="D96" s="55"/>
      <c r="E96" s="56"/>
      <c r="F96" s="54"/>
      <c r="G96" s="55"/>
      <c r="H96" s="119"/>
      <c r="I96" s="54"/>
      <c r="J96" s="55"/>
      <c r="K96" s="119"/>
      <c r="L96" s="54"/>
      <c r="M96" s="55"/>
      <c r="N96" s="119"/>
      <c r="O96" s="54"/>
      <c r="P96" s="55"/>
      <c r="Q96" s="119"/>
      <c r="R96" s="54"/>
      <c r="S96" s="55"/>
      <c r="T96" s="119"/>
      <c r="U96" s="54"/>
      <c r="V96" s="55"/>
      <c r="W96" s="119"/>
      <c r="X96" s="54"/>
      <c r="Y96" s="55"/>
      <c r="Z96" s="119"/>
      <c r="AA96" s="54"/>
      <c r="AB96" s="55"/>
      <c r="AC96" s="119"/>
      <c r="AD96" s="54"/>
      <c r="AE96" s="55"/>
      <c r="AF96" s="119"/>
      <c r="AG96" s="54"/>
      <c r="AH96" s="55"/>
      <c r="AI96" s="119"/>
      <c r="AJ96" s="54"/>
      <c r="AK96" s="55"/>
      <c r="AL96" s="119"/>
      <c r="AM96" s="54"/>
      <c r="AN96" s="55"/>
      <c r="AO96" s="119"/>
      <c r="AP96" s="48"/>
      <c r="AQ96" s="48"/>
      <c r="AR96" s="48"/>
      <c r="AS96" s="48"/>
      <c r="AT96" s="48"/>
      <c r="AU96" s="48"/>
      <c r="AV96" s="48"/>
      <c r="AW96" s="48"/>
      <c r="AX96" s="48"/>
      <c r="AY96" s="48"/>
      <c r="AZ96" s="48"/>
      <c r="BA96" s="48"/>
      <c r="BB96" s="48"/>
      <c r="BC96" s="48"/>
      <c r="BD96" s="48"/>
      <c r="BE96" s="48"/>
      <c r="BF96" s="48"/>
      <c r="BG96" s="48"/>
      <c r="BH96" s="48"/>
      <c r="BI96" s="48"/>
    </row>
    <row r="97" ht="15.75" customHeight="1">
      <c r="A97" s="41" t="str">
        <f t="shared" si="2"/>
        <v>Véhicules usagésCertifié</v>
      </c>
      <c r="B97" s="57" t="s">
        <v>152</v>
      </c>
      <c r="C97" s="58"/>
      <c r="D97" s="59"/>
      <c r="E97" s="60"/>
      <c r="F97" s="58"/>
      <c r="G97" s="59"/>
      <c r="H97" s="60"/>
      <c r="I97" s="58"/>
      <c r="J97" s="59"/>
      <c r="K97" s="60"/>
      <c r="L97" s="58"/>
      <c r="M97" s="59"/>
      <c r="N97" s="60"/>
      <c r="O97" s="58"/>
      <c r="P97" s="59"/>
      <c r="Q97" s="60"/>
      <c r="R97" s="58"/>
      <c r="S97" s="59"/>
      <c r="T97" s="60"/>
      <c r="U97" s="58"/>
      <c r="V97" s="59"/>
      <c r="W97" s="60"/>
      <c r="X97" s="58"/>
      <c r="Y97" s="59"/>
      <c r="Z97" s="60"/>
      <c r="AA97" s="58"/>
      <c r="AB97" s="59"/>
      <c r="AC97" s="60"/>
      <c r="AD97" s="58"/>
      <c r="AE97" s="59"/>
      <c r="AF97" s="60"/>
      <c r="AG97" s="58"/>
      <c r="AH97" s="59"/>
      <c r="AI97" s="60"/>
      <c r="AJ97" s="58"/>
      <c r="AK97" s="59"/>
      <c r="AL97" s="60"/>
      <c r="AM97" s="58"/>
      <c r="AN97" s="59"/>
      <c r="AO97" s="60"/>
      <c r="AP97" s="48"/>
      <c r="AQ97" s="48"/>
      <c r="AR97" s="48"/>
      <c r="AS97" s="48"/>
      <c r="AT97" s="48"/>
      <c r="AU97" s="48"/>
      <c r="AV97" s="48"/>
      <c r="AW97" s="48"/>
      <c r="AX97" s="48"/>
      <c r="AY97" s="48"/>
      <c r="AZ97" s="48"/>
      <c r="BA97" s="48"/>
      <c r="BB97" s="48"/>
      <c r="BC97" s="48"/>
      <c r="BD97" s="48"/>
      <c r="BE97" s="48"/>
      <c r="BF97" s="48"/>
      <c r="BG97" s="48"/>
      <c r="BH97" s="48"/>
      <c r="BI97" s="48"/>
    </row>
    <row r="98" ht="15.75" customHeight="1">
      <c r="A98" s="41" t="str">
        <f t="shared" si="2"/>
        <v>Véhicules usagésNon Certifié</v>
      </c>
      <c r="B98" s="57" t="s">
        <v>153</v>
      </c>
      <c r="C98" s="58"/>
      <c r="D98" s="59"/>
      <c r="E98" s="60"/>
      <c r="F98" s="58"/>
      <c r="G98" s="59"/>
      <c r="H98" s="60"/>
      <c r="I98" s="58"/>
      <c r="J98" s="59"/>
      <c r="K98" s="60"/>
      <c r="L98" s="58"/>
      <c r="M98" s="59"/>
      <c r="N98" s="60"/>
      <c r="O98" s="58"/>
      <c r="P98" s="59"/>
      <c r="Q98" s="60"/>
      <c r="R98" s="58"/>
      <c r="S98" s="59"/>
      <c r="T98" s="60"/>
      <c r="U98" s="58"/>
      <c r="V98" s="59"/>
      <c r="W98" s="60"/>
      <c r="X98" s="58"/>
      <c r="Y98" s="59"/>
      <c r="Z98" s="60"/>
      <c r="AA98" s="58"/>
      <c r="AB98" s="59"/>
      <c r="AC98" s="60"/>
      <c r="AD98" s="58"/>
      <c r="AE98" s="59"/>
      <c r="AF98" s="60"/>
      <c r="AG98" s="58"/>
      <c r="AH98" s="59"/>
      <c r="AI98" s="60"/>
      <c r="AJ98" s="58"/>
      <c r="AK98" s="59"/>
      <c r="AL98" s="60"/>
      <c r="AM98" s="58"/>
      <c r="AN98" s="59"/>
      <c r="AO98" s="60"/>
      <c r="AP98" s="48"/>
      <c r="AQ98" s="48"/>
      <c r="AR98" s="48"/>
      <c r="AS98" s="48"/>
      <c r="AT98" s="48"/>
      <c r="AU98" s="48"/>
      <c r="AV98" s="48"/>
      <c r="AW98" s="48"/>
      <c r="AX98" s="48"/>
      <c r="AY98" s="48"/>
      <c r="AZ98" s="48"/>
      <c r="BA98" s="48"/>
      <c r="BB98" s="48"/>
      <c r="BC98" s="48"/>
      <c r="BD98" s="48"/>
      <c r="BE98" s="48"/>
      <c r="BF98" s="48"/>
      <c r="BG98" s="48"/>
      <c r="BH98" s="48"/>
      <c r="BI98" s="48"/>
    </row>
    <row r="99" ht="15.75" customHeight="1">
      <c r="A99" s="41" t="str">
        <f t="shared" si="2"/>
        <v>Véhicules usagésAutres Marques</v>
      </c>
      <c r="B99" s="57" t="s">
        <v>154</v>
      </c>
      <c r="C99" s="58"/>
      <c r="D99" s="59"/>
      <c r="E99" s="60"/>
      <c r="F99" s="58"/>
      <c r="G99" s="59"/>
      <c r="H99" s="60"/>
      <c r="I99" s="58"/>
      <c r="J99" s="59"/>
      <c r="K99" s="60"/>
      <c r="L99" s="58"/>
      <c r="M99" s="59"/>
      <c r="N99" s="60"/>
      <c r="O99" s="58"/>
      <c r="P99" s="59"/>
      <c r="Q99" s="60"/>
      <c r="R99" s="58"/>
      <c r="S99" s="59"/>
      <c r="T99" s="60"/>
      <c r="U99" s="58"/>
      <c r="V99" s="59"/>
      <c r="W99" s="60"/>
      <c r="X99" s="58"/>
      <c r="Y99" s="59"/>
      <c r="Z99" s="60"/>
      <c r="AA99" s="58"/>
      <c r="AB99" s="59"/>
      <c r="AC99" s="60"/>
      <c r="AD99" s="58"/>
      <c r="AE99" s="59"/>
      <c r="AF99" s="60"/>
      <c r="AG99" s="58"/>
      <c r="AH99" s="59"/>
      <c r="AI99" s="60"/>
      <c r="AJ99" s="58"/>
      <c r="AK99" s="59"/>
      <c r="AL99" s="60"/>
      <c r="AM99" s="58"/>
      <c r="AN99" s="59"/>
      <c r="AO99" s="60"/>
      <c r="AP99" s="48"/>
      <c r="AQ99" s="48"/>
      <c r="AR99" s="48"/>
      <c r="AS99" s="48"/>
      <c r="AT99" s="48"/>
      <c r="AU99" s="48"/>
      <c r="AV99" s="48"/>
      <c r="AW99" s="48"/>
      <c r="AX99" s="48"/>
      <c r="AY99" s="48"/>
      <c r="AZ99" s="48"/>
      <c r="BA99" s="48"/>
      <c r="BB99" s="48"/>
      <c r="BC99" s="48"/>
      <c r="BD99" s="48"/>
      <c r="BE99" s="48"/>
      <c r="BF99" s="48"/>
      <c r="BG99" s="48"/>
      <c r="BH99" s="48"/>
      <c r="BI99" s="48"/>
    </row>
    <row r="100" ht="15.75" customHeight="1">
      <c r="A100" s="41" t="str">
        <f t="shared" si="2"/>
        <v>Véhicules usagésTotal Usagés</v>
      </c>
      <c r="B100" s="61" t="s">
        <v>155</v>
      </c>
      <c r="C100" s="62"/>
      <c r="D100" s="63"/>
      <c r="E100" s="64"/>
      <c r="F100" s="62"/>
      <c r="G100" s="63"/>
      <c r="H100" s="64"/>
      <c r="I100" s="62"/>
      <c r="J100" s="63"/>
      <c r="K100" s="64"/>
      <c r="L100" s="62"/>
      <c r="M100" s="63"/>
      <c r="N100" s="64"/>
      <c r="O100" s="62"/>
      <c r="P100" s="63"/>
      <c r="Q100" s="64"/>
      <c r="R100" s="62"/>
      <c r="S100" s="63"/>
      <c r="T100" s="64"/>
      <c r="U100" s="62"/>
      <c r="V100" s="63"/>
      <c r="W100" s="64"/>
      <c r="X100" s="62"/>
      <c r="Y100" s="63"/>
      <c r="Z100" s="64"/>
      <c r="AA100" s="62"/>
      <c r="AB100" s="63"/>
      <c r="AC100" s="64"/>
      <c r="AD100" s="62"/>
      <c r="AE100" s="63"/>
      <c r="AF100" s="64"/>
      <c r="AG100" s="62"/>
      <c r="AH100" s="63"/>
      <c r="AI100" s="64"/>
      <c r="AJ100" s="62"/>
      <c r="AK100" s="63"/>
      <c r="AL100" s="64"/>
      <c r="AM100" s="62"/>
      <c r="AN100" s="63"/>
      <c r="AO100" s="64"/>
      <c r="AP100" s="48"/>
      <c r="AQ100" s="48"/>
      <c r="AR100" s="48"/>
      <c r="AS100" s="48"/>
      <c r="AT100" s="48"/>
      <c r="AU100" s="48"/>
      <c r="AV100" s="48"/>
      <c r="AW100" s="48"/>
      <c r="AX100" s="48"/>
      <c r="AY100" s="48"/>
      <c r="AZ100" s="48"/>
      <c r="BA100" s="48"/>
      <c r="BB100" s="48"/>
      <c r="BC100" s="48"/>
      <c r="BD100" s="48"/>
      <c r="BE100" s="48"/>
      <c r="BF100" s="48"/>
      <c r="BG100" s="48"/>
      <c r="BH100" s="48"/>
      <c r="BI100" s="48"/>
    </row>
    <row r="101" ht="15.75" customHeight="1">
      <c r="A101" s="41" t="str">
        <f t="shared" si="2"/>
        <v>Véhicules usagés</v>
      </c>
      <c r="B101" s="57"/>
      <c r="C101" s="57"/>
      <c r="D101" s="74"/>
      <c r="E101" s="65"/>
      <c r="F101" s="57"/>
      <c r="G101" s="74"/>
      <c r="H101" s="65"/>
      <c r="I101" s="57"/>
      <c r="J101" s="74"/>
      <c r="K101" s="65"/>
      <c r="L101" s="57"/>
      <c r="M101" s="74"/>
      <c r="N101" s="65"/>
      <c r="O101" s="57"/>
      <c r="P101" s="74"/>
      <c r="Q101" s="65"/>
      <c r="R101" s="57"/>
      <c r="S101" s="74"/>
      <c r="T101" s="65"/>
      <c r="U101" s="57"/>
      <c r="V101" s="74"/>
      <c r="W101" s="65"/>
      <c r="X101" s="57"/>
      <c r="Y101" s="74"/>
      <c r="Z101" s="65"/>
      <c r="AA101" s="57"/>
      <c r="AB101" s="74"/>
      <c r="AC101" s="65"/>
      <c r="AD101" s="57"/>
      <c r="AE101" s="74"/>
      <c r="AF101" s="65"/>
      <c r="AG101" s="57"/>
      <c r="AH101" s="74"/>
      <c r="AI101" s="65"/>
      <c r="AJ101" s="57"/>
      <c r="AK101" s="74"/>
      <c r="AL101" s="65"/>
      <c r="AM101" s="57"/>
      <c r="AN101" s="74"/>
      <c r="AO101" s="65"/>
      <c r="AP101" s="48"/>
      <c r="AQ101" s="48"/>
      <c r="AR101" s="48"/>
      <c r="AS101" s="48"/>
      <c r="AT101" s="48"/>
      <c r="AU101" s="48"/>
      <c r="AV101" s="48"/>
      <c r="AW101" s="48"/>
      <c r="AX101" s="48"/>
      <c r="AY101" s="48"/>
      <c r="AZ101" s="48"/>
      <c r="BA101" s="48"/>
      <c r="BB101" s="48"/>
      <c r="BC101" s="48"/>
      <c r="BD101" s="48"/>
      <c r="BE101" s="48"/>
      <c r="BF101" s="48"/>
      <c r="BG101" s="48"/>
      <c r="BH101" s="48"/>
      <c r="BI101" s="48"/>
    </row>
    <row r="102" ht="15.75" customHeight="1">
      <c r="A102" s="41" t="str">
        <f t="shared" si="2"/>
        <v>Véhicules usagés</v>
      </c>
      <c r="B102" s="57"/>
      <c r="C102" s="57"/>
      <c r="D102" s="74"/>
      <c r="E102" s="65"/>
      <c r="F102" s="57"/>
      <c r="G102" s="74"/>
      <c r="H102" s="65"/>
      <c r="I102" s="57"/>
      <c r="J102" s="74"/>
      <c r="K102" s="65"/>
      <c r="L102" s="57"/>
      <c r="M102" s="74"/>
      <c r="N102" s="65"/>
      <c r="O102" s="57"/>
      <c r="P102" s="74"/>
      <c r="Q102" s="65"/>
      <c r="R102" s="57"/>
      <c r="S102" s="74"/>
      <c r="T102" s="65"/>
      <c r="U102" s="57"/>
      <c r="V102" s="74"/>
      <c r="W102" s="65"/>
      <c r="X102" s="57"/>
      <c r="Y102" s="74"/>
      <c r="Z102" s="65"/>
      <c r="AA102" s="57"/>
      <c r="AB102" s="74"/>
      <c r="AC102" s="65"/>
      <c r="AD102" s="57"/>
      <c r="AE102" s="74"/>
      <c r="AF102" s="65"/>
      <c r="AG102" s="57"/>
      <c r="AH102" s="74"/>
      <c r="AI102" s="65"/>
      <c r="AJ102" s="57"/>
      <c r="AK102" s="74"/>
      <c r="AL102" s="65"/>
      <c r="AM102" s="57"/>
      <c r="AN102" s="74"/>
      <c r="AO102" s="65"/>
      <c r="AP102" s="48"/>
      <c r="AQ102" s="48"/>
      <c r="AR102" s="48"/>
      <c r="AS102" s="48"/>
      <c r="AT102" s="48"/>
      <c r="AU102" s="48"/>
      <c r="AV102" s="48"/>
      <c r="AW102" s="48"/>
      <c r="AX102" s="48"/>
      <c r="AY102" s="48"/>
      <c r="AZ102" s="48"/>
      <c r="BA102" s="48"/>
      <c r="BB102" s="48"/>
      <c r="BC102" s="48"/>
      <c r="BD102" s="48"/>
      <c r="BE102" s="48"/>
      <c r="BF102" s="48"/>
      <c r="BG102" s="48"/>
      <c r="BH102" s="48"/>
      <c r="BI102" s="48"/>
    </row>
    <row r="103" ht="15.75" customHeight="1">
      <c r="A103" s="41" t="str">
        <f t="shared" si="2"/>
        <v>Véhicules usagésVentes au Gros</v>
      </c>
      <c r="B103" s="57" t="s">
        <v>156</v>
      </c>
      <c r="C103" s="58"/>
      <c r="D103" s="59"/>
      <c r="E103" s="60"/>
      <c r="F103" s="58"/>
      <c r="G103" s="59"/>
      <c r="H103" s="60"/>
      <c r="I103" s="58"/>
      <c r="J103" s="59"/>
      <c r="K103" s="60"/>
      <c r="L103" s="58"/>
      <c r="M103" s="59"/>
      <c r="N103" s="60"/>
      <c r="O103" s="58"/>
      <c r="P103" s="59"/>
      <c r="Q103" s="60"/>
      <c r="R103" s="58"/>
      <c r="S103" s="59"/>
      <c r="T103" s="60"/>
      <c r="U103" s="58"/>
      <c r="V103" s="59"/>
      <c r="W103" s="60"/>
      <c r="X103" s="58"/>
      <c r="Y103" s="59"/>
      <c r="Z103" s="60"/>
      <c r="AA103" s="58"/>
      <c r="AB103" s="59"/>
      <c r="AC103" s="60"/>
      <c r="AD103" s="58"/>
      <c r="AE103" s="59"/>
      <c r="AF103" s="60"/>
      <c r="AG103" s="58"/>
      <c r="AH103" s="59"/>
      <c r="AI103" s="60"/>
      <c r="AJ103" s="58"/>
      <c r="AK103" s="59"/>
      <c r="AL103" s="60"/>
      <c r="AM103" s="58"/>
      <c r="AN103" s="59"/>
      <c r="AO103" s="60"/>
      <c r="AP103" s="48"/>
      <c r="AQ103" s="48"/>
      <c r="AR103" s="48"/>
      <c r="AS103" s="48"/>
      <c r="AT103" s="48"/>
      <c r="AU103" s="48"/>
      <c r="AV103" s="48"/>
      <c r="AW103" s="48"/>
      <c r="AX103" s="48"/>
      <c r="AY103" s="48"/>
      <c r="AZ103" s="48"/>
      <c r="BA103" s="48"/>
      <c r="BB103" s="48"/>
      <c r="BC103" s="48"/>
      <c r="BD103" s="48"/>
      <c r="BE103" s="48"/>
      <c r="BF103" s="48"/>
      <c r="BG103" s="48"/>
      <c r="BH103" s="48"/>
      <c r="BI103" s="48"/>
    </row>
    <row r="104" ht="15.75" customHeight="1">
      <c r="A104" s="41" t="str">
        <f t="shared" si="2"/>
        <v>Véhicules usagés</v>
      </c>
      <c r="B104" s="53"/>
      <c r="C104" s="67"/>
      <c r="D104" s="68"/>
      <c r="E104" s="69"/>
      <c r="F104" s="67"/>
      <c r="G104" s="68"/>
      <c r="H104" s="69"/>
      <c r="I104" s="67"/>
      <c r="J104" s="68"/>
      <c r="K104" s="69"/>
      <c r="L104" s="67"/>
      <c r="M104" s="68"/>
      <c r="N104" s="69"/>
      <c r="O104" s="67"/>
      <c r="P104" s="68"/>
      <c r="Q104" s="69"/>
      <c r="R104" s="67"/>
      <c r="S104" s="68"/>
      <c r="T104" s="69"/>
      <c r="U104" s="67"/>
      <c r="V104" s="68"/>
      <c r="W104" s="69"/>
      <c r="X104" s="67"/>
      <c r="Y104" s="68"/>
      <c r="Z104" s="69"/>
      <c r="AA104" s="67"/>
      <c r="AB104" s="68"/>
      <c r="AC104" s="69"/>
      <c r="AD104" s="67"/>
      <c r="AE104" s="68"/>
      <c r="AF104" s="69"/>
      <c r="AG104" s="67"/>
      <c r="AH104" s="68"/>
      <c r="AI104" s="69"/>
      <c r="AJ104" s="67"/>
      <c r="AK104" s="68"/>
      <c r="AL104" s="69"/>
      <c r="AM104" s="67"/>
      <c r="AN104" s="68"/>
      <c r="AO104" s="69"/>
      <c r="AP104" s="48"/>
      <c r="AQ104" s="48"/>
      <c r="AR104" s="48"/>
      <c r="AS104" s="48"/>
      <c r="AT104" s="48"/>
      <c r="AU104" s="48"/>
      <c r="AV104" s="48"/>
      <c r="AW104" s="48"/>
      <c r="AX104" s="48"/>
      <c r="AY104" s="48"/>
      <c r="AZ104" s="48"/>
      <c r="BA104" s="48"/>
      <c r="BB104" s="48"/>
      <c r="BC104" s="48"/>
      <c r="BD104" s="48"/>
      <c r="BE104" s="48"/>
      <c r="BF104" s="48"/>
      <c r="BG104" s="48"/>
      <c r="BH104" s="48"/>
      <c r="BI104" s="48"/>
    </row>
    <row r="105" ht="15.75" customHeight="1">
      <c r="A105" s="41" t="str">
        <f t="shared" si="2"/>
        <v>Véhicules usagésRev. Finances</v>
      </c>
      <c r="B105" s="57" t="s">
        <v>105</v>
      </c>
      <c r="C105" s="58"/>
      <c r="D105" s="59"/>
      <c r="E105" s="60"/>
      <c r="F105" s="58"/>
      <c r="G105" s="59"/>
      <c r="H105" s="60"/>
      <c r="I105" s="58"/>
      <c r="J105" s="59"/>
      <c r="K105" s="60"/>
      <c r="L105" s="58"/>
      <c r="M105" s="59"/>
      <c r="N105" s="60"/>
      <c r="O105" s="58"/>
      <c r="P105" s="59"/>
      <c r="Q105" s="60"/>
      <c r="R105" s="58"/>
      <c r="S105" s="59"/>
      <c r="T105" s="60"/>
      <c r="U105" s="58"/>
      <c r="V105" s="59"/>
      <c r="W105" s="60"/>
      <c r="X105" s="58"/>
      <c r="Y105" s="59"/>
      <c r="Z105" s="60"/>
      <c r="AA105" s="58"/>
      <c r="AB105" s="59"/>
      <c r="AC105" s="60"/>
      <c r="AD105" s="58"/>
      <c r="AE105" s="59"/>
      <c r="AF105" s="60"/>
      <c r="AG105" s="58"/>
      <c r="AH105" s="59"/>
      <c r="AI105" s="60"/>
      <c r="AJ105" s="58"/>
      <c r="AK105" s="59"/>
      <c r="AL105" s="60"/>
      <c r="AM105" s="58"/>
      <c r="AN105" s="59"/>
      <c r="AO105" s="60"/>
      <c r="AP105" s="48"/>
      <c r="AQ105" s="48"/>
      <c r="AR105" s="48"/>
      <c r="AS105" s="48"/>
      <c r="AT105" s="48"/>
      <c r="AU105" s="48"/>
      <c r="AV105" s="48"/>
      <c r="AW105" s="48"/>
      <c r="AX105" s="48"/>
      <c r="AY105" s="48"/>
      <c r="AZ105" s="48"/>
      <c r="BA105" s="48"/>
      <c r="BB105" s="48"/>
      <c r="BC105" s="48"/>
      <c r="BD105" s="48"/>
      <c r="BE105" s="48"/>
      <c r="BF105" s="48"/>
      <c r="BG105" s="48"/>
      <c r="BH105" s="48"/>
      <c r="BI105" s="48"/>
    </row>
    <row r="106" ht="15.75" customHeight="1">
      <c r="A106" s="41" t="str">
        <f t="shared" si="2"/>
        <v>Véhicules usagésRev. Protections</v>
      </c>
      <c r="B106" s="57" t="s">
        <v>106</v>
      </c>
      <c r="C106" s="58"/>
      <c r="D106" s="59"/>
      <c r="E106" s="60"/>
      <c r="F106" s="58"/>
      <c r="G106" s="59"/>
      <c r="H106" s="60"/>
      <c r="I106" s="58"/>
      <c r="J106" s="59"/>
      <c r="K106" s="60"/>
      <c r="L106" s="58"/>
      <c r="M106" s="59"/>
      <c r="N106" s="60"/>
      <c r="O106" s="58"/>
      <c r="P106" s="59"/>
      <c r="Q106" s="60"/>
      <c r="R106" s="58"/>
      <c r="S106" s="59"/>
      <c r="T106" s="60"/>
      <c r="U106" s="58"/>
      <c r="V106" s="59"/>
      <c r="W106" s="60"/>
      <c r="X106" s="58"/>
      <c r="Y106" s="59"/>
      <c r="Z106" s="60"/>
      <c r="AA106" s="58"/>
      <c r="AB106" s="59"/>
      <c r="AC106" s="60"/>
      <c r="AD106" s="58"/>
      <c r="AE106" s="59"/>
      <c r="AF106" s="60"/>
      <c r="AG106" s="58"/>
      <c r="AH106" s="59"/>
      <c r="AI106" s="60"/>
      <c r="AJ106" s="58"/>
      <c r="AK106" s="59"/>
      <c r="AL106" s="60"/>
      <c r="AM106" s="58"/>
      <c r="AN106" s="59"/>
      <c r="AO106" s="60"/>
      <c r="AP106" s="48"/>
      <c r="AQ106" s="48"/>
      <c r="AR106" s="48"/>
      <c r="AS106" s="48"/>
      <c r="AT106" s="48"/>
      <c r="AU106" s="48"/>
      <c r="AV106" s="48"/>
      <c r="AW106" s="48"/>
      <c r="AX106" s="48"/>
      <c r="AY106" s="48"/>
      <c r="AZ106" s="48"/>
      <c r="BA106" s="48"/>
      <c r="BB106" s="48"/>
      <c r="BC106" s="48"/>
      <c r="BD106" s="48"/>
      <c r="BE106" s="48"/>
      <c r="BF106" s="48"/>
      <c r="BG106" s="48"/>
      <c r="BH106" s="48"/>
      <c r="BI106" s="48"/>
    </row>
    <row r="107" ht="15.75" customHeight="1">
      <c r="A107" s="41" t="str">
        <f t="shared" si="2"/>
        <v>Véhicules usagésRev. Autres</v>
      </c>
      <c r="B107" s="57" t="s">
        <v>107</v>
      </c>
      <c r="C107" s="58"/>
      <c r="D107" s="68"/>
      <c r="E107" s="60"/>
      <c r="F107" s="58"/>
      <c r="G107" s="68"/>
      <c r="H107" s="60"/>
      <c r="I107" s="58"/>
      <c r="J107" s="68"/>
      <c r="K107" s="60"/>
      <c r="L107" s="58"/>
      <c r="M107" s="68"/>
      <c r="N107" s="60"/>
      <c r="O107" s="58"/>
      <c r="P107" s="68"/>
      <c r="Q107" s="60"/>
      <c r="R107" s="58"/>
      <c r="S107" s="68"/>
      <c r="T107" s="60"/>
      <c r="U107" s="58"/>
      <c r="V107" s="68"/>
      <c r="W107" s="60"/>
      <c r="X107" s="58"/>
      <c r="Y107" s="68"/>
      <c r="Z107" s="60"/>
      <c r="AA107" s="58"/>
      <c r="AB107" s="68"/>
      <c r="AC107" s="60"/>
      <c r="AD107" s="58"/>
      <c r="AE107" s="68"/>
      <c r="AF107" s="60"/>
      <c r="AG107" s="58"/>
      <c r="AH107" s="68"/>
      <c r="AI107" s="60"/>
      <c r="AJ107" s="58"/>
      <c r="AK107" s="68"/>
      <c r="AL107" s="60"/>
      <c r="AM107" s="58"/>
      <c r="AN107" s="68"/>
      <c r="AO107" s="60"/>
      <c r="AP107" s="48"/>
      <c r="AQ107" s="48"/>
      <c r="AR107" s="48"/>
      <c r="AS107" s="48"/>
      <c r="AT107" s="48"/>
      <c r="AU107" s="48"/>
      <c r="AV107" s="48"/>
      <c r="AW107" s="48"/>
      <c r="AX107" s="48"/>
      <c r="AY107" s="48"/>
      <c r="AZ107" s="48"/>
      <c r="BA107" s="48"/>
      <c r="BB107" s="48"/>
      <c r="BC107" s="48"/>
      <c r="BD107" s="48"/>
      <c r="BE107" s="48"/>
      <c r="BF107" s="48"/>
      <c r="BG107" s="48"/>
      <c r="BH107" s="48"/>
      <c r="BI107" s="48"/>
    </row>
    <row r="108" ht="15.75" customHeight="1">
      <c r="A108" s="41" t="str">
        <f t="shared" si="2"/>
        <v>Véhicules usagésTotal F&amp;I</v>
      </c>
      <c r="B108" s="61" t="s">
        <v>108</v>
      </c>
      <c r="C108" s="62"/>
      <c r="D108" s="63"/>
      <c r="E108" s="64"/>
      <c r="F108" s="62"/>
      <c r="G108" s="63"/>
      <c r="H108" s="64"/>
      <c r="I108" s="62"/>
      <c r="J108" s="63"/>
      <c r="K108" s="64"/>
      <c r="L108" s="62"/>
      <c r="M108" s="63"/>
      <c r="N108" s="64"/>
      <c r="O108" s="62"/>
      <c r="P108" s="63"/>
      <c r="Q108" s="64"/>
      <c r="R108" s="62"/>
      <c r="S108" s="63"/>
      <c r="T108" s="64"/>
      <c r="U108" s="62"/>
      <c r="V108" s="63"/>
      <c r="W108" s="64"/>
      <c r="X108" s="62"/>
      <c r="Y108" s="63"/>
      <c r="Z108" s="64"/>
      <c r="AA108" s="62"/>
      <c r="AB108" s="63"/>
      <c r="AC108" s="64"/>
      <c r="AD108" s="62"/>
      <c r="AE108" s="63"/>
      <c r="AF108" s="64"/>
      <c r="AG108" s="62"/>
      <c r="AH108" s="63"/>
      <c r="AI108" s="64"/>
      <c r="AJ108" s="62"/>
      <c r="AK108" s="63"/>
      <c r="AL108" s="64"/>
      <c r="AM108" s="62"/>
      <c r="AN108" s="63"/>
      <c r="AO108" s="64"/>
      <c r="AP108" s="48"/>
      <c r="AQ108" s="48"/>
      <c r="AR108" s="48"/>
      <c r="AS108" s="48"/>
      <c r="AT108" s="48"/>
      <c r="AU108" s="48"/>
      <c r="AV108" s="48"/>
      <c r="AW108" s="48"/>
      <c r="AX108" s="48"/>
      <c r="AY108" s="48"/>
      <c r="AZ108" s="48"/>
      <c r="BA108" s="48"/>
      <c r="BB108" s="48"/>
      <c r="BC108" s="48"/>
      <c r="BD108" s="48"/>
      <c r="BE108" s="48"/>
      <c r="BF108" s="48"/>
      <c r="BG108" s="48"/>
      <c r="BH108" s="48"/>
      <c r="BI108" s="48"/>
    </row>
    <row r="109" ht="15.75" customHeight="1">
      <c r="A109" s="41" t="str">
        <f t="shared" si="2"/>
        <v>Véhicules usagés</v>
      </c>
      <c r="B109" s="57"/>
      <c r="C109" s="57"/>
      <c r="D109" s="74"/>
      <c r="E109" s="75"/>
      <c r="F109" s="57"/>
      <c r="G109" s="74"/>
      <c r="H109" s="75"/>
      <c r="I109" s="57"/>
      <c r="J109" s="74"/>
      <c r="K109" s="75"/>
      <c r="L109" s="57"/>
      <c r="M109" s="74"/>
      <c r="N109" s="75"/>
      <c r="O109" s="57"/>
      <c r="P109" s="74"/>
      <c r="Q109" s="75"/>
      <c r="R109" s="57"/>
      <c r="S109" s="74"/>
      <c r="T109" s="75"/>
      <c r="U109" s="57"/>
      <c r="V109" s="74"/>
      <c r="W109" s="75"/>
      <c r="X109" s="57"/>
      <c r="Y109" s="74"/>
      <c r="Z109" s="75"/>
      <c r="AA109" s="57"/>
      <c r="AB109" s="74"/>
      <c r="AC109" s="75"/>
      <c r="AD109" s="57"/>
      <c r="AE109" s="74"/>
      <c r="AF109" s="75"/>
      <c r="AG109" s="57"/>
      <c r="AH109" s="74"/>
      <c r="AI109" s="75"/>
      <c r="AJ109" s="57"/>
      <c r="AK109" s="74"/>
      <c r="AL109" s="75"/>
      <c r="AM109" s="57"/>
      <c r="AN109" s="74"/>
      <c r="AO109" s="75"/>
      <c r="AP109" s="48"/>
      <c r="AQ109" s="48"/>
      <c r="AR109" s="48"/>
      <c r="AS109" s="48"/>
      <c r="AT109" s="48"/>
      <c r="AU109" s="48"/>
      <c r="AV109" s="48"/>
      <c r="AW109" s="48"/>
      <c r="AX109" s="48"/>
      <c r="AY109" s="48"/>
      <c r="AZ109" s="48"/>
      <c r="BA109" s="48"/>
      <c r="BB109" s="48"/>
      <c r="BC109" s="48"/>
      <c r="BD109" s="48"/>
      <c r="BE109" s="48"/>
      <c r="BF109" s="48"/>
      <c r="BG109" s="48"/>
      <c r="BH109" s="48"/>
      <c r="BI109" s="48"/>
    </row>
    <row r="110" ht="15.75" customHeight="1">
      <c r="A110" s="41" t="str">
        <f t="shared" si="2"/>
        <v>Véhicules usagés</v>
      </c>
      <c r="B110" s="57"/>
      <c r="C110" s="57"/>
      <c r="D110" s="74"/>
      <c r="E110" s="75"/>
      <c r="F110" s="57"/>
      <c r="G110" s="74"/>
      <c r="H110" s="75"/>
      <c r="I110" s="57"/>
      <c r="J110" s="74"/>
      <c r="K110" s="75"/>
      <c r="L110" s="57"/>
      <c r="M110" s="74"/>
      <c r="N110" s="75"/>
      <c r="O110" s="57"/>
      <c r="P110" s="74"/>
      <c r="Q110" s="75"/>
      <c r="R110" s="57"/>
      <c r="S110" s="74"/>
      <c r="T110" s="75"/>
      <c r="U110" s="57"/>
      <c r="V110" s="74"/>
      <c r="W110" s="75"/>
      <c r="X110" s="57"/>
      <c r="Y110" s="74"/>
      <c r="Z110" s="75"/>
      <c r="AA110" s="57"/>
      <c r="AB110" s="74"/>
      <c r="AC110" s="75"/>
      <c r="AD110" s="57"/>
      <c r="AE110" s="74"/>
      <c r="AF110" s="75"/>
      <c r="AG110" s="57"/>
      <c r="AH110" s="74"/>
      <c r="AI110" s="75"/>
      <c r="AJ110" s="57"/>
      <c r="AK110" s="74"/>
      <c r="AL110" s="75"/>
      <c r="AM110" s="57"/>
      <c r="AN110" s="74"/>
      <c r="AO110" s="75"/>
      <c r="AP110" s="48"/>
      <c r="AQ110" s="48"/>
      <c r="AR110" s="48"/>
      <c r="AS110" s="48"/>
      <c r="AT110" s="48"/>
      <c r="AU110" s="48"/>
      <c r="AV110" s="48"/>
      <c r="AW110" s="48"/>
      <c r="AX110" s="48"/>
      <c r="AY110" s="48"/>
      <c r="AZ110" s="48"/>
      <c r="BA110" s="48"/>
      <c r="BB110" s="48"/>
      <c r="BC110" s="48"/>
      <c r="BD110" s="48"/>
      <c r="BE110" s="48"/>
      <c r="BF110" s="48"/>
      <c r="BG110" s="48"/>
      <c r="BH110" s="48"/>
      <c r="BI110" s="48"/>
    </row>
    <row r="111" ht="15.75" customHeight="1">
      <c r="A111" s="41" t="str">
        <f t="shared" si="2"/>
        <v>Véhicules usagésTotal Dépt. Usagés</v>
      </c>
      <c r="B111" s="76" t="s">
        <v>157</v>
      </c>
      <c r="C111" s="77"/>
      <c r="D111" s="78"/>
      <c r="E111" s="79"/>
      <c r="F111" s="77"/>
      <c r="G111" s="78"/>
      <c r="H111" s="79"/>
      <c r="I111" s="77"/>
      <c r="J111" s="78"/>
      <c r="K111" s="79"/>
      <c r="L111" s="77"/>
      <c r="M111" s="78"/>
      <c r="N111" s="79"/>
      <c r="O111" s="77"/>
      <c r="P111" s="78"/>
      <c r="Q111" s="79"/>
      <c r="R111" s="77"/>
      <c r="S111" s="78"/>
      <c r="T111" s="79"/>
      <c r="U111" s="77"/>
      <c r="V111" s="78"/>
      <c r="W111" s="79"/>
      <c r="X111" s="77"/>
      <c r="Y111" s="78"/>
      <c r="Z111" s="79"/>
      <c r="AA111" s="77"/>
      <c r="AB111" s="78"/>
      <c r="AC111" s="79"/>
      <c r="AD111" s="77"/>
      <c r="AE111" s="78"/>
      <c r="AF111" s="79"/>
      <c r="AG111" s="77"/>
      <c r="AH111" s="78"/>
      <c r="AI111" s="79"/>
      <c r="AJ111" s="77"/>
      <c r="AK111" s="78"/>
      <c r="AL111" s="79"/>
      <c r="AM111" s="77"/>
      <c r="AN111" s="78"/>
      <c r="AO111" s="79"/>
      <c r="AP111" s="48"/>
      <c r="AQ111" s="48"/>
      <c r="AR111" s="48"/>
      <c r="AS111" s="48"/>
      <c r="AT111" s="48"/>
      <c r="AU111" s="48"/>
      <c r="AV111" s="48"/>
      <c r="AW111" s="48"/>
      <c r="AX111" s="48"/>
      <c r="AY111" s="48"/>
      <c r="AZ111" s="48"/>
      <c r="BA111" s="48"/>
      <c r="BB111" s="48"/>
      <c r="BC111" s="48"/>
      <c r="BD111" s="48"/>
      <c r="BE111" s="48"/>
      <c r="BF111" s="48"/>
      <c r="BG111" s="48"/>
      <c r="BH111" s="48"/>
      <c r="BI111" s="48"/>
    </row>
    <row r="112" ht="15.75" customHeight="1">
      <c r="A112" s="41" t="str">
        <f t="shared" si="2"/>
        <v>Véhicules usagés</v>
      </c>
      <c r="B112" s="80"/>
      <c r="C112" s="80"/>
      <c r="D112" s="81"/>
      <c r="E112" s="82"/>
      <c r="F112" s="80"/>
      <c r="G112" s="81"/>
      <c r="H112" s="82"/>
      <c r="I112" s="80"/>
      <c r="J112" s="81"/>
      <c r="K112" s="82"/>
      <c r="L112" s="80"/>
      <c r="M112" s="81"/>
      <c r="N112" s="82"/>
      <c r="O112" s="80"/>
      <c r="P112" s="81"/>
      <c r="Q112" s="82"/>
      <c r="R112" s="80"/>
      <c r="S112" s="81"/>
      <c r="T112" s="82"/>
      <c r="U112" s="80"/>
      <c r="V112" s="81"/>
      <c r="W112" s="82"/>
      <c r="X112" s="80"/>
      <c r="Y112" s="81"/>
      <c r="Z112" s="82"/>
      <c r="AA112" s="80"/>
      <c r="AB112" s="81"/>
      <c r="AC112" s="82"/>
      <c r="AD112" s="80"/>
      <c r="AE112" s="81"/>
      <c r="AF112" s="82"/>
      <c r="AG112" s="80"/>
      <c r="AH112" s="81"/>
      <c r="AI112" s="82"/>
      <c r="AJ112" s="80"/>
      <c r="AK112" s="81"/>
      <c r="AL112" s="82"/>
      <c r="AM112" s="80"/>
      <c r="AN112" s="81"/>
      <c r="AO112" s="82"/>
      <c r="AP112" s="48"/>
      <c r="AQ112" s="48"/>
      <c r="AR112" s="48"/>
      <c r="AS112" s="48"/>
      <c r="AT112" s="48"/>
      <c r="AU112" s="48"/>
      <c r="AV112" s="48"/>
      <c r="AW112" s="48"/>
      <c r="AX112" s="48"/>
      <c r="AY112" s="48"/>
      <c r="AZ112" s="48"/>
      <c r="BA112" s="48"/>
      <c r="BB112" s="48"/>
      <c r="BC112" s="48"/>
      <c r="BD112" s="48"/>
      <c r="BE112" s="48"/>
      <c r="BF112" s="48"/>
      <c r="BG112" s="48"/>
      <c r="BH112" s="48"/>
      <c r="BI112" s="48"/>
    </row>
    <row r="113" ht="15.75" customHeight="1">
      <c r="A113" s="41" t="str">
        <f t="shared" si="2"/>
        <v>Véhicules usagés</v>
      </c>
      <c r="B113" s="70"/>
      <c r="C113" s="70"/>
      <c r="D113" s="83"/>
      <c r="E113" s="84"/>
      <c r="F113" s="70"/>
      <c r="G113" s="83"/>
      <c r="H113" s="84"/>
      <c r="I113" s="70"/>
      <c r="J113" s="83"/>
      <c r="K113" s="84"/>
      <c r="L113" s="70"/>
      <c r="M113" s="83"/>
      <c r="N113" s="84"/>
      <c r="O113" s="70"/>
      <c r="P113" s="83"/>
      <c r="Q113" s="84"/>
      <c r="R113" s="70"/>
      <c r="S113" s="83"/>
      <c r="T113" s="84"/>
      <c r="U113" s="70"/>
      <c r="V113" s="83"/>
      <c r="W113" s="84"/>
      <c r="X113" s="70"/>
      <c r="Y113" s="83"/>
      <c r="Z113" s="84"/>
      <c r="AA113" s="70"/>
      <c r="AB113" s="83"/>
      <c r="AC113" s="84"/>
      <c r="AD113" s="70"/>
      <c r="AE113" s="83"/>
      <c r="AF113" s="84"/>
      <c r="AG113" s="70"/>
      <c r="AH113" s="83"/>
      <c r="AI113" s="84"/>
      <c r="AJ113" s="70"/>
      <c r="AK113" s="83"/>
      <c r="AL113" s="84"/>
      <c r="AM113" s="70"/>
      <c r="AN113" s="83"/>
      <c r="AO113" s="84"/>
      <c r="AP113" s="48"/>
      <c r="AQ113" s="48"/>
      <c r="AR113" s="48"/>
      <c r="AS113" s="48"/>
      <c r="AT113" s="48"/>
      <c r="AU113" s="48"/>
      <c r="AV113" s="48"/>
      <c r="AW113" s="48"/>
      <c r="AX113" s="48"/>
      <c r="AY113" s="48"/>
      <c r="AZ113" s="48"/>
      <c r="BA113" s="48"/>
      <c r="BB113" s="48"/>
      <c r="BC113" s="48"/>
      <c r="BD113" s="48"/>
      <c r="BE113" s="48"/>
      <c r="BF113" s="48"/>
      <c r="BG113" s="48"/>
      <c r="BH113" s="48"/>
      <c r="BI113" s="48"/>
    </row>
    <row r="114" ht="15.75" customHeight="1">
      <c r="A114" s="41" t="str">
        <f t="shared" si="2"/>
        <v>Véhicules usagésDEPENSES</v>
      </c>
      <c r="B114" s="85" t="s">
        <v>110</v>
      </c>
      <c r="C114" s="57"/>
      <c r="D114" s="86"/>
      <c r="E114" s="65"/>
      <c r="F114" s="57"/>
      <c r="G114" s="86"/>
      <c r="H114" s="65"/>
      <c r="I114" s="57"/>
      <c r="J114" s="86"/>
      <c r="K114" s="65"/>
      <c r="L114" s="57"/>
      <c r="M114" s="86"/>
      <c r="N114" s="65"/>
      <c r="O114" s="57"/>
      <c r="P114" s="86"/>
      <c r="Q114" s="65"/>
      <c r="R114" s="57"/>
      <c r="S114" s="86"/>
      <c r="T114" s="65"/>
      <c r="U114" s="57"/>
      <c r="V114" s="86"/>
      <c r="W114" s="65"/>
      <c r="X114" s="57"/>
      <c r="Y114" s="86"/>
      <c r="Z114" s="65"/>
      <c r="AA114" s="57"/>
      <c r="AB114" s="86"/>
      <c r="AC114" s="65"/>
      <c r="AD114" s="57"/>
      <c r="AE114" s="86"/>
      <c r="AF114" s="65"/>
      <c r="AG114" s="57"/>
      <c r="AH114" s="86"/>
      <c r="AI114" s="65"/>
      <c r="AJ114" s="57"/>
      <c r="AK114" s="86"/>
      <c r="AL114" s="65"/>
      <c r="AM114" s="57"/>
      <c r="AN114" s="86"/>
      <c r="AO114" s="65"/>
      <c r="AP114" s="48"/>
      <c r="AQ114" s="48"/>
      <c r="AR114" s="48"/>
      <c r="AS114" s="48"/>
      <c r="AT114" s="48"/>
      <c r="AU114" s="48"/>
      <c r="AV114" s="48"/>
      <c r="AW114" s="48"/>
      <c r="AX114" s="48"/>
      <c r="AY114" s="48"/>
      <c r="AZ114" s="48"/>
      <c r="BA114" s="48"/>
      <c r="BB114" s="48"/>
      <c r="BC114" s="48"/>
      <c r="BD114" s="48"/>
      <c r="BE114" s="48"/>
      <c r="BF114" s="48"/>
      <c r="BG114" s="48"/>
      <c r="BH114" s="48"/>
      <c r="BI114" s="48"/>
    </row>
    <row r="115" ht="15.75" customHeight="1">
      <c r="A115" s="41" t="str">
        <f t="shared" si="2"/>
        <v>Véhicules usagésComm. vendeurs</v>
      </c>
      <c r="B115" s="57" t="s">
        <v>111</v>
      </c>
      <c r="C115" s="120"/>
      <c r="D115" s="88"/>
      <c r="E115" s="75"/>
      <c r="F115" s="120"/>
      <c r="G115" s="88"/>
      <c r="H115" s="75"/>
      <c r="I115" s="120"/>
      <c r="J115" s="88"/>
      <c r="K115" s="75"/>
      <c r="L115" s="120"/>
      <c r="M115" s="88"/>
      <c r="N115" s="75"/>
      <c r="O115" s="120"/>
      <c r="P115" s="88"/>
      <c r="Q115" s="75"/>
      <c r="R115" s="120"/>
      <c r="S115" s="88"/>
      <c r="T115" s="75"/>
      <c r="U115" s="120"/>
      <c r="V115" s="88"/>
      <c r="W115" s="75"/>
      <c r="X115" s="120"/>
      <c r="Y115" s="88"/>
      <c r="Z115" s="75"/>
      <c r="AA115" s="120"/>
      <c r="AB115" s="88"/>
      <c r="AC115" s="75"/>
      <c r="AD115" s="120"/>
      <c r="AE115" s="88"/>
      <c r="AF115" s="75"/>
      <c r="AG115" s="120"/>
      <c r="AH115" s="88"/>
      <c r="AI115" s="75"/>
      <c r="AJ115" s="120"/>
      <c r="AK115" s="88"/>
      <c r="AL115" s="75"/>
      <c r="AM115" s="120"/>
      <c r="AN115" s="88"/>
      <c r="AO115" s="75"/>
      <c r="AP115" s="48"/>
      <c r="AQ115" s="48"/>
      <c r="AR115" s="48"/>
      <c r="AS115" s="48"/>
      <c r="AT115" s="48"/>
      <c r="AU115" s="48"/>
      <c r="AV115" s="48"/>
      <c r="AW115" s="48"/>
      <c r="AX115" s="48"/>
      <c r="AY115" s="48"/>
      <c r="AZ115" s="48"/>
      <c r="BA115" s="48"/>
      <c r="BB115" s="48"/>
      <c r="BC115" s="48"/>
      <c r="BD115" s="48"/>
      <c r="BE115" s="48"/>
      <c r="BF115" s="48"/>
      <c r="BG115" s="48"/>
      <c r="BH115" s="48"/>
      <c r="BI115" s="48"/>
    </row>
    <row r="116" ht="15.75" customHeight="1">
      <c r="A116" s="41" t="str">
        <f t="shared" si="2"/>
        <v>Véhicules usagésComm. F&amp;I</v>
      </c>
      <c r="B116" s="53" t="s">
        <v>112</v>
      </c>
      <c r="C116" s="89"/>
      <c r="D116" s="90"/>
      <c r="E116" s="91"/>
      <c r="F116" s="89"/>
      <c r="G116" s="90"/>
      <c r="H116" s="91"/>
      <c r="I116" s="89"/>
      <c r="J116" s="90"/>
      <c r="K116" s="91"/>
      <c r="L116" s="89"/>
      <c r="M116" s="90"/>
      <c r="N116" s="91"/>
      <c r="O116" s="89"/>
      <c r="P116" s="90"/>
      <c r="Q116" s="91"/>
      <c r="R116" s="89"/>
      <c r="S116" s="90"/>
      <c r="T116" s="91"/>
      <c r="U116" s="89"/>
      <c r="V116" s="90"/>
      <c r="W116" s="91"/>
      <c r="X116" s="89"/>
      <c r="Y116" s="90"/>
      <c r="Z116" s="91"/>
      <c r="AA116" s="89"/>
      <c r="AB116" s="90"/>
      <c r="AC116" s="91"/>
      <c r="AD116" s="89"/>
      <c r="AE116" s="90"/>
      <c r="AF116" s="91"/>
      <c r="AG116" s="89"/>
      <c r="AH116" s="90"/>
      <c r="AI116" s="91"/>
      <c r="AJ116" s="89"/>
      <c r="AK116" s="90"/>
      <c r="AL116" s="91"/>
      <c r="AM116" s="89"/>
      <c r="AN116" s="90"/>
      <c r="AO116" s="91"/>
      <c r="AP116" s="48"/>
      <c r="AQ116" s="48"/>
      <c r="AR116" s="48"/>
      <c r="AS116" s="48"/>
      <c r="AT116" s="48"/>
      <c r="AU116" s="48"/>
      <c r="AV116" s="48"/>
      <c r="AW116" s="48"/>
      <c r="AX116" s="48"/>
      <c r="AY116" s="48"/>
      <c r="AZ116" s="48"/>
      <c r="BA116" s="48"/>
      <c r="BB116" s="48"/>
      <c r="BC116" s="48"/>
      <c r="BD116" s="48"/>
      <c r="BE116" s="48"/>
      <c r="BF116" s="48"/>
      <c r="BG116" s="48"/>
      <c r="BH116" s="48"/>
      <c r="BI116" s="48"/>
    </row>
    <row r="117" ht="15.75" customHeight="1">
      <c r="A117" s="41" t="str">
        <f t="shared" si="2"/>
        <v>Véhicules usagésFrais de livraison</v>
      </c>
      <c r="B117" s="57" t="s">
        <v>113</v>
      </c>
      <c r="C117" s="57"/>
      <c r="D117" s="88"/>
      <c r="E117" s="75"/>
      <c r="F117" s="57"/>
      <c r="G117" s="88"/>
      <c r="H117" s="75"/>
      <c r="I117" s="57"/>
      <c r="J117" s="88"/>
      <c r="K117" s="75"/>
      <c r="L117" s="57"/>
      <c r="M117" s="88"/>
      <c r="N117" s="75"/>
      <c r="O117" s="57"/>
      <c r="P117" s="88"/>
      <c r="Q117" s="75"/>
      <c r="R117" s="57"/>
      <c r="S117" s="88"/>
      <c r="T117" s="75"/>
      <c r="U117" s="57"/>
      <c r="V117" s="88"/>
      <c r="W117" s="75"/>
      <c r="X117" s="57"/>
      <c r="Y117" s="88"/>
      <c r="Z117" s="75"/>
      <c r="AA117" s="57"/>
      <c r="AB117" s="88"/>
      <c r="AC117" s="75"/>
      <c r="AD117" s="57"/>
      <c r="AE117" s="88"/>
      <c r="AF117" s="75"/>
      <c r="AG117" s="57"/>
      <c r="AH117" s="88"/>
      <c r="AI117" s="75"/>
      <c r="AJ117" s="57"/>
      <c r="AK117" s="88"/>
      <c r="AL117" s="75"/>
      <c r="AM117" s="57"/>
      <c r="AN117" s="88"/>
      <c r="AO117" s="75"/>
      <c r="AP117" s="48"/>
      <c r="AQ117" s="48"/>
      <c r="AR117" s="48"/>
      <c r="AS117" s="48"/>
      <c r="AT117" s="48"/>
      <c r="AU117" s="48"/>
      <c r="AV117" s="48"/>
      <c r="AW117" s="48"/>
      <c r="AX117" s="48"/>
      <c r="AY117" s="48"/>
      <c r="AZ117" s="48"/>
      <c r="BA117" s="48"/>
      <c r="BB117" s="48"/>
      <c r="BC117" s="48"/>
      <c r="BD117" s="48"/>
      <c r="BE117" s="48"/>
      <c r="BF117" s="48"/>
      <c r="BG117" s="48"/>
      <c r="BH117" s="48"/>
      <c r="BI117" s="48"/>
    </row>
    <row r="118" ht="15.75" customHeight="1">
      <c r="A118" s="41" t="str">
        <f t="shared" si="2"/>
        <v>Véhicules usagésService gratuit 1</v>
      </c>
      <c r="B118" s="57" t="s">
        <v>114</v>
      </c>
      <c r="C118" s="57"/>
      <c r="D118" s="88"/>
      <c r="E118" s="75"/>
      <c r="F118" s="57"/>
      <c r="G118" s="88"/>
      <c r="H118" s="75"/>
      <c r="I118" s="57"/>
      <c r="J118" s="88"/>
      <c r="K118" s="75"/>
      <c r="L118" s="57"/>
      <c r="M118" s="88"/>
      <c r="N118" s="75"/>
      <c r="O118" s="57"/>
      <c r="P118" s="88"/>
      <c r="Q118" s="75"/>
      <c r="R118" s="57"/>
      <c r="S118" s="88"/>
      <c r="T118" s="75"/>
      <c r="U118" s="57"/>
      <c r="V118" s="88"/>
      <c r="W118" s="75"/>
      <c r="X118" s="57"/>
      <c r="Y118" s="88"/>
      <c r="Z118" s="75"/>
      <c r="AA118" s="57"/>
      <c r="AB118" s="88"/>
      <c r="AC118" s="75"/>
      <c r="AD118" s="57"/>
      <c r="AE118" s="88"/>
      <c r="AF118" s="75"/>
      <c r="AG118" s="57"/>
      <c r="AH118" s="88"/>
      <c r="AI118" s="75"/>
      <c r="AJ118" s="57"/>
      <c r="AK118" s="88"/>
      <c r="AL118" s="75"/>
      <c r="AM118" s="57"/>
      <c r="AN118" s="88"/>
      <c r="AO118" s="75"/>
      <c r="AP118" s="48"/>
      <c r="AQ118" s="48"/>
      <c r="AR118" s="48"/>
      <c r="AS118" s="48"/>
      <c r="AT118" s="48"/>
      <c r="AU118" s="48"/>
      <c r="AV118" s="48"/>
      <c r="AW118" s="48"/>
      <c r="AX118" s="48"/>
      <c r="AY118" s="48"/>
      <c r="AZ118" s="48"/>
      <c r="BA118" s="48"/>
      <c r="BB118" s="48"/>
      <c r="BC118" s="48"/>
      <c r="BD118" s="48"/>
      <c r="BE118" s="48"/>
      <c r="BF118" s="48"/>
      <c r="BG118" s="48"/>
      <c r="BH118" s="48"/>
      <c r="BI118" s="48"/>
    </row>
    <row r="119" ht="15.75" customHeight="1">
      <c r="A119" s="41" t="str">
        <f t="shared" si="2"/>
        <v>Véhicules usagésEntretien stock</v>
      </c>
      <c r="B119" s="53" t="s">
        <v>115</v>
      </c>
      <c r="C119" s="53"/>
      <c r="D119" s="90"/>
      <c r="E119" s="91"/>
      <c r="F119" s="53"/>
      <c r="G119" s="90"/>
      <c r="H119" s="91"/>
      <c r="I119" s="53"/>
      <c r="J119" s="90"/>
      <c r="K119" s="91"/>
      <c r="L119" s="53"/>
      <c r="M119" s="90"/>
      <c r="N119" s="91"/>
      <c r="O119" s="53"/>
      <c r="P119" s="90"/>
      <c r="Q119" s="91"/>
      <c r="R119" s="53"/>
      <c r="S119" s="90"/>
      <c r="T119" s="91"/>
      <c r="U119" s="53"/>
      <c r="V119" s="90"/>
      <c r="W119" s="91"/>
      <c r="X119" s="53"/>
      <c r="Y119" s="90"/>
      <c r="Z119" s="91"/>
      <c r="AA119" s="53"/>
      <c r="AB119" s="90"/>
      <c r="AC119" s="91"/>
      <c r="AD119" s="53"/>
      <c r="AE119" s="90"/>
      <c r="AF119" s="91"/>
      <c r="AG119" s="53"/>
      <c r="AH119" s="90"/>
      <c r="AI119" s="91"/>
      <c r="AJ119" s="53"/>
      <c r="AK119" s="90"/>
      <c r="AL119" s="91"/>
      <c r="AM119" s="53"/>
      <c r="AN119" s="90"/>
      <c r="AO119" s="91"/>
      <c r="AP119" s="48"/>
      <c r="AQ119" s="48"/>
      <c r="AR119" s="48"/>
      <c r="AS119" s="48"/>
      <c r="AT119" s="48"/>
      <c r="AU119" s="48"/>
      <c r="AV119" s="48"/>
      <c r="AW119" s="48"/>
      <c r="AX119" s="48"/>
      <c r="AY119" s="48"/>
      <c r="AZ119" s="48"/>
      <c r="BA119" s="48"/>
      <c r="BB119" s="48"/>
      <c r="BC119" s="48"/>
      <c r="BD119" s="48"/>
      <c r="BE119" s="48"/>
      <c r="BF119" s="48"/>
      <c r="BG119" s="48"/>
      <c r="BH119" s="48"/>
      <c r="BI119" s="48"/>
    </row>
    <row r="120" ht="15.75" customHeight="1">
      <c r="A120" s="41" t="str">
        <f t="shared" si="2"/>
        <v>Véhicules usagésPublicité 1</v>
      </c>
      <c r="B120" s="57" t="s">
        <v>116</v>
      </c>
      <c r="C120" s="57"/>
      <c r="D120" s="88"/>
      <c r="E120" s="75"/>
      <c r="F120" s="57"/>
      <c r="G120" s="88"/>
      <c r="H120" s="75"/>
      <c r="I120" s="57"/>
      <c r="J120" s="88"/>
      <c r="K120" s="75"/>
      <c r="L120" s="57"/>
      <c r="M120" s="88"/>
      <c r="N120" s="75"/>
      <c r="O120" s="57"/>
      <c r="P120" s="88"/>
      <c r="Q120" s="75"/>
      <c r="R120" s="57"/>
      <c r="S120" s="88"/>
      <c r="T120" s="75"/>
      <c r="U120" s="57"/>
      <c r="V120" s="88"/>
      <c r="W120" s="75"/>
      <c r="X120" s="57"/>
      <c r="Y120" s="88"/>
      <c r="Z120" s="75"/>
      <c r="AA120" s="57"/>
      <c r="AB120" s="88"/>
      <c r="AC120" s="75"/>
      <c r="AD120" s="57"/>
      <c r="AE120" s="88"/>
      <c r="AF120" s="75"/>
      <c r="AG120" s="57"/>
      <c r="AH120" s="88"/>
      <c r="AI120" s="75"/>
      <c r="AJ120" s="57"/>
      <c r="AK120" s="88"/>
      <c r="AL120" s="75"/>
      <c r="AM120" s="57"/>
      <c r="AN120" s="88"/>
      <c r="AO120" s="75"/>
      <c r="AP120" s="48"/>
      <c r="AQ120" s="48"/>
      <c r="AR120" s="48"/>
      <c r="AS120" s="48"/>
      <c r="AT120" s="48"/>
      <c r="AU120" s="48"/>
      <c r="AV120" s="48"/>
      <c r="AW120" s="48"/>
      <c r="AX120" s="48"/>
      <c r="AY120" s="48"/>
      <c r="AZ120" s="48"/>
      <c r="BA120" s="48"/>
      <c r="BB120" s="48"/>
      <c r="BC120" s="48"/>
      <c r="BD120" s="48"/>
      <c r="BE120" s="48"/>
      <c r="BF120" s="48"/>
      <c r="BG120" s="48"/>
      <c r="BH120" s="48"/>
      <c r="BI120" s="48"/>
    </row>
    <row r="121" ht="15.75" customHeight="1">
      <c r="A121" s="41" t="str">
        <f t="shared" si="2"/>
        <v>Véhicules usagésIntérêt de gros</v>
      </c>
      <c r="B121" s="57" t="s">
        <v>117</v>
      </c>
      <c r="C121" s="57"/>
      <c r="D121" s="88"/>
      <c r="E121" s="75"/>
      <c r="F121" s="57"/>
      <c r="G121" s="88"/>
      <c r="H121" s="75"/>
      <c r="I121" s="57"/>
      <c r="J121" s="88"/>
      <c r="K121" s="75"/>
      <c r="L121" s="57"/>
      <c r="M121" s="88"/>
      <c r="N121" s="75"/>
      <c r="O121" s="57"/>
      <c r="P121" s="88"/>
      <c r="Q121" s="75"/>
      <c r="R121" s="57"/>
      <c r="S121" s="88"/>
      <c r="T121" s="75"/>
      <c r="U121" s="57"/>
      <c r="V121" s="88"/>
      <c r="W121" s="75"/>
      <c r="X121" s="57"/>
      <c r="Y121" s="88"/>
      <c r="Z121" s="75"/>
      <c r="AA121" s="57"/>
      <c r="AB121" s="88"/>
      <c r="AC121" s="75"/>
      <c r="AD121" s="57"/>
      <c r="AE121" s="88"/>
      <c r="AF121" s="75"/>
      <c r="AG121" s="57"/>
      <c r="AH121" s="88"/>
      <c r="AI121" s="75"/>
      <c r="AJ121" s="57"/>
      <c r="AK121" s="88"/>
      <c r="AL121" s="75"/>
      <c r="AM121" s="57"/>
      <c r="AN121" s="88"/>
      <c r="AO121" s="75"/>
      <c r="AP121" s="48"/>
      <c r="AQ121" s="48"/>
      <c r="AR121" s="48"/>
      <c r="AS121" s="48"/>
      <c r="AT121" s="48"/>
      <c r="AU121" s="48"/>
      <c r="AV121" s="48"/>
      <c r="AW121" s="48"/>
      <c r="AX121" s="48"/>
      <c r="AY121" s="48"/>
      <c r="AZ121" s="48"/>
      <c r="BA121" s="48"/>
      <c r="BB121" s="48"/>
      <c r="BC121" s="48"/>
      <c r="BD121" s="48"/>
      <c r="BE121" s="48"/>
      <c r="BF121" s="48"/>
      <c r="BG121" s="48"/>
      <c r="BH121" s="48"/>
      <c r="BI121" s="48"/>
    </row>
    <row r="122" ht="15.75" customHeight="1">
      <c r="A122" s="41" t="str">
        <f t="shared" si="2"/>
        <v>Véhicules usagés[...]</v>
      </c>
      <c r="B122" s="57" t="s">
        <v>56</v>
      </c>
      <c r="C122" s="121"/>
      <c r="D122" s="88"/>
      <c r="E122" s="75"/>
      <c r="F122" s="121"/>
      <c r="G122" s="88"/>
      <c r="H122" s="75"/>
      <c r="I122" s="121"/>
      <c r="J122" s="88"/>
      <c r="K122" s="75"/>
      <c r="L122" s="121"/>
      <c r="M122" s="88"/>
      <c r="N122" s="75"/>
      <c r="O122" s="121"/>
      <c r="P122" s="88"/>
      <c r="Q122" s="75"/>
      <c r="R122" s="121"/>
      <c r="S122" s="88"/>
      <c r="T122" s="75"/>
      <c r="U122" s="121"/>
      <c r="V122" s="88"/>
      <c r="W122" s="75"/>
      <c r="X122" s="121"/>
      <c r="Y122" s="88"/>
      <c r="Z122" s="75"/>
      <c r="AA122" s="121"/>
      <c r="AB122" s="88"/>
      <c r="AC122" s="75"/>
      <c r="AD122" s="121"/>
      <c r="AE122" s="88"/>
      <c r="AF122" s="75"/>
      <c r="AG122" s="121"/>
      <c r="AH122" s="88"/>
      <c r="AI122" s="75"/>
      <c r="AJ122" s="121"/>
      <c r="AK122" s="88"/>
      <c r="AL122" s="75"/>
      <c r="AM122" s="121"/>
      <c r="AN122" s="88"/>
      <c r="AO122" s="75"/>
      <c r="AP122" s="48"/>
      <c r="AQ122" s="48"/>
      <c r="AR122" s="48"/>
      <c r="AS122" s="48"/>
      <c r="AT122" s="48"/>
      <c r="AU122" s="48"/>
      <c r="AV122" s="48"/>
      <c r="AW122" s="48"/>
      <c r="AX122" s="48"/>
      <c r="AY122" s="48"/>
      <c r="AZ122" s="48"/>
      <c r="BA122" s="48"/>
      <c r="BB122" s="48"/>
      <c r="BC122" s="48"/>
      <c r="BD122" s="48"/>
      <c r="BE122" s="48"/>
      <c r="BF122" s="48"/>
      <c r="BG122" s="48"/>
      <c r="BH122" s="48"/>
      <c r="BI122" s="48"/>
    </row>
    <row r="123" ht="15.75" customHeight="1">
      <c r="A123" s="41" t="str">
        <f t="shared" si="2"/>
        <v>Véhicules usagés[...]</v>
      </c>
      <c r="B123" s="57" t="s">
        <v>56</v>
      </c>
      <c r="C123" s="121"/>
      <c r="D123" s="88"/>
      <c r="E123" s="75"/>
      <c r="F123" s="121"/>
      <c r="G123" s="88"/>
      <c r="H123" s="75"/>
      <c r="I123" s="121"/>
      <c r="J123" s="88"/>
      <c r="K123" s="75"/>
      <c r="L123" s="121"/>
      <c r="M123" s="88"/>
      <c r="N123" s="75"/>
      <c r="O123" s="121"/>
      <c r="P123" s="88"/>
      <c r="Q123" s="75"/>
      <c r="R123" s="121"/>
      <c r="S123" s="88"/>
      <c r="T123" s="75"/>
      <c r="U123" s="121"/>
      <c r="V123" s="88"/>
      <c r="W123" s="75"/>
      <c r="X123" s="121"/>
      <c r="Y123" s="88"/>
      <c r="Z123" s="75"/>
      <c r="AA123" s="121"/>
      <c r="AB123" s="88"/>
      <c r="AC123" s="75"/>
      <c r="AD123" s="121"/>
      <c r="AE123" s="88"/>
      <c r="AF123" s="75"/>
      <c r="AG123" s="121"/>
      <c r="AH123" s="88"/>
      <c r="AI123" s="75"/>
      <c r="AJ123" s="121"/>
      <c r="AK123" s="88"/>
      <c r="AL123" s="75"/>
      <c r="AM123" s="121"/>
      <c r="AN123" s="88"/>
      <c r="AO123" s="75"/>
      <c r="AP123" s="48"/>
      <c r="AQ123" s="48"/>
      <c r="AR123" s="48"/>
      <c r="AS123" s="48"/>
      <c r="AT123" s="48"/>
      <c r="AU123" s="48"/>
      <c r="AV123" s="48"/>
      <c r="AW123" s="48"/>
      <c r="AX123" s="48"/>
      <c r="AY123" s="48"/>
      <c r="AZ123" s="48"/>
      <c r="BA123" s="48"/>
      <c r="BB123" s="48"/>
      <c r="BC123" s="48"/>
      <c r="BD123" s="48"/>
      <c r="BE123" s="48"/>
      <c r="BF123" s="48"/>
      <c r="BG123" s="48"/>
      <c r="BH123" s="48"/>
      <c r="BI123" s="48"/>
    </row>
    <row r="124" ht="15.75" customHeight="1">
      <c r="A124" s="41" t="str">
        <f t="shared" si="2"/>
        <v>Véhicules usagés[...]</v>
      </c>
      <c r="B124" s="57" t="s">
        <v>56</v>
      </c>
      <c r="C124" s="121"/>
      <c r="D124" s="88"/>
      <c r="E124" s="75"/>
      <c r="F124" s="121"/>
      <c r="G124" s="88"/>
      <c r="H124" s="75"/>
      <c r="I124" s="121"/>
      <c r="J124" s="88"/>
      <c r="K124" s="75"/>
      <c r="L124" s="121"/>
      <c r="M124" s="88"/>
      <c r="N124" s="75"/>
      <c r="O124" s="121"/>
      <c r="P124" s="88"/>
      <c r="Q124" s="75"/>
      <c r="R124" s="121"/>
      <c r="S124" s="88"/>
      <c r="T124" s="75"/>
      <c r="U124" s="121"/>
      <c r="V124" s="88"/>
      <c r="W124" s="75"/>
      <c r="X124" s="121"/>
      <c r="Y124" s="88"/>
      <c r="Z124" s="75"/>
      <c r="AA124" s="121"/>
      <c r="AB124" s="88"/>
      <c r="AC124" s="75"/>
      <c r="AD124" s="121"/>
      <c r="AE124" s="88"/>
      <c r="AF124" s="75"/>
      <c r="AG124" s="121"/>
      <c r="AH124" s="88"/>
      <c r="AI124" s="75"/>
      <c r="AJ124" s="121"/>
      <c r="AK124" s="88"/>
      <c r="AL124" s="75"/>
      <c r="AM124" s="121"/>
      <c r="AN124" s="88"/>
      <c r="AO124" s="75"/>
      <c r="AP124" s="48"/>
      <c r="AQ124" s="48"/>
      <c r="AR124" s="48"/>
      <c r="AS124" s="48"/>
      <c r="AT124" s="48"/>
      <c r="AU124" s="48"/>
      <c r="AV124" s="48"/>
      <c r="AW124" s="48"/>
      <c r="AX124" s="48"/>
      <c r="AY124" s="48"/>
      <c r="AZ124" s="48"/>
      <c r="BA124" s="48"/>
      <c r="BB124" s="48"/>
      <c r="BC124" s="48"/>
      <c r="BD124" s="48"/>
      <c r="BE124" s="48"/>
      <c r="BF124" s="48"/>
      <c r="BG124" s="48"/>
      <c r="BH124" s="48"/>
      <c r="BI124" s="48"/>
    </row>
    <row r="125" ht="15.75" customHeight="1">
      <c r="A125" s="41" t="str">
        <f t="shared" si="2"/>
        <v>Véhicules usagésTOTAL VARIABLES</v>
      </c>
      <c r="B125" s="92" t="s">
        <v>118</v>
      </c>
      <c r="C125" s="93"/>
      <c r="D125" s="94"/>
      <c r="E125" s="95"/>
      <c r="F125" s="93"/>
      <c r="G125" s="94"/>
      <c r="H125" s="95"/>
      <c r="I125" s="93"/>
      <c r="J125" s="94"/>
      <c r="K125" s="95"/>
      <c r="L125" s="93"/>
      <c r="M125" s="94"/>
      <c r="N125" s="95"/>
      <c r="O125" s="93"/>
      <c r="P125" s="94"/>
      <c r="Q125" s="95"/>
      <c r="R125" s="93"/>
      <c r="S125" s="94"/>
      <c r="T125" s="95"/>
      <c r="U125" s="93"/>
      <c r="V125" s="94"/>
      <c r="W125" s="95"/>
      <c r="X125" s="93"/>
      <c r="Y125" s="94"/>
      <c r="Z125" s="95"/>
      <c r="AA125" s="93"/>
      <c r="AB125" s="94"/>
      <c r="AC125" s="95"/>
      <c r="AD125" s="93"/>
      <c r="AE125" s="94"/>
      <c r="AF125" s="95"/>
      <c r="AG125" s="93"/>
      <c r="AH125" s="94"/>
      <c r="AI125" s="95"/>
      <c r="AJ125" s="93"/>
      <c r="AK125" s="94"/>
      <c r="AL125" s="95"/>
      <c r="AM125" s="93"/>
      <c r="AN125" s="94"/>
      <c r="AO125" s="95"/>
      <c r="AP125" s="48"/>
      <c r="AQ125" s="48"/>
      <c r="AR125" s="48"/>
      <c r="AS125" s="48"/>
      <c r="AT125" s="48"/>
      <c r="AU125" s="48"/>
      <c r="AV125" s="48"/>
      <c r="AW125" s="48"/>
      <c r="AX125" s="48"/>
      <c r="AY125" s="48"/>
      <c r="AZ125" s="48"/>
      <c r="BA125" s="48"/>
      <c r="BB125" s="48"/>
      <c r="BC125" s="48"/>
      <c r="BD125" s="48"/>
      <c r="BE125" s="48"/>
      <c r="BF125" s="48"/>
      <c r="BG125" s="48"/>
      <c r="BH125" s="48"/>
      <c r="BI125" s="48"/>
    </row>
    <row r="126" ht="15.75" customHeight="1">
      <c r="A126" s="41" t="str">
        <f t="shared" si="2"/>
        <v>Véhicules usagésSalaires cadres</v>
      </c>
      <c r="B126" s="96" t="s">
        <v>119</v>
      </c>
      <c r="C126" s="57"/>
      <c r="D126" s="74"/>
      <c r="E126" s="75"/>
      <c r="F126" s="57"/>
      <c r="G126" s="74"/>
      <c r="H126" s="75"/>
      <c r="I126" s="57"/>
      <c r="J126" s="74"/>
      <c r="K126" s="75"/>
      <c r="L126" s="57"/>
      <c r="M126" s="74"/>
      <c r="N126" s="75"/>
      <c r="O126" s="57"/>
      <c r="P126" s="74"/>
      <c r="Q126" s="75"/>
      <c r="R126" s="57"/>
      <c r="S126" s="74"/>
      <c r="T126" s="75"/>
      <c r="U126" s="57"/>
      <c r="V126" s="74"/>
      <c r="W126" s="75"/>
      <c r="X126" s="57"/>
      <c r="Y126" s="74"/>
      <c r="Z126" s="75"/>
      <c r="AA126" s="57"/>
      <c r="AB126" s="74"/>
      <c r="AC126" s="75"/>
      <c r="AD126" s="57"/>
      <c r="AE126" s="74"/>
      <c r="AF126" s="75"/>
      <c r="AG126" s="57"/>
      <c r="AH126" s="74"/>
      <c r="AI126" s="75"/>
      <c r="AJ126" s="57"/>
      <c r="AK126" s="74"/>
      <c r="AL126" s="75"/>
      <c r="AM126" s="57"/>
      <c r="AN126" s="74"/>
      <c r="AO126" s="75"/>
      <c r="AP126" s="48"/>
      <c r="AQ126" s="48"/>
      <c r="AR126" s="48"/>
      <c r="AS126" s="48"/>
      <c r="AT126" s="48"/>
      <c r="AU126" s="48"/>
      <c r="AV126" s="48"/>
      <c r="AW126" s="48"/>
      <c r="AX126" s="48"/>
      <c r="AY126" s="48"/>
      <c r="AZ126" s="48"/>
      <c r="BA126" s="48"/>
      <c r="BB126" s="48"/>
      <c r="BC126" s="48"/>
      <c r="BD126" s="48"/>
      <c r="BE126" s="48"/>
      <c r="BF126" s="48"/>
      <c r="BG126" s="48"/>
      <c r="BH126" s="48"/>
      <c r="BI126" s="48"/>
    </row>
    <row r="127" ht="15.75" customHeight="1">
      <c r="A127" s="41" t="str">
        <f t="shared" si="2"/>
        <v>Véhicules usagésSalaires commis</v>
      </c>
      <c r="B127" s="97" t="s">
        <v>120</v>
      </c>
      <c r="C127" s="57"/>
      <c r="D127" s="74"/>
      <c r="E127" s="75"/>
      <c r="F127" s="57"/>
      <c r="G127" s="74"/>
      <c r="H127" s="75"/>
      <c r="I127" s="57"/>
      <c r="J127" s="74"/>
      <c r="K127" s="75"/>
      <c r="L127" s="57"/>
      <c r="M127" s="74"/>
      <c r="N127" s="75"/>
      <c r="O127" s="57"/>
      <c r="P127" s="74"/>
      <c r="Q127" s="75"/>
      <c r="R127" s="57"/>
      <c r="S127" s="74"/>
      <c r="T127" s="75"/>
      <c r="U127" s="57"/>
      <c r="V127" s="74"/>
      <c r="W127" s="75"/>
      <c r="X127" s="57"/>
      <c r="Y127" s="74"/>
      <c r="Z127" s="75"/>
      <c r="AA127" s="57"/>
      <c r="AB127" s="74"/>
      <c r="AC127" s="75"/>
      <c r="AD127" s="57"/>
      <c r="AE127" s="74"/>
      <c r="AF127" s="75"/>
      <c r="AG127" s="57"/>
      <c r="AH127" s="74"/>
      <c r="AI127" s="75"/>
      <c r="AJ127" s="57"/>
      <c r="AK127" s="74"/>
      <c r="AL127" s="75"/>
      <c r="AM127" s="57"/>
      <c r="AN127" s="74"/>
      <c r="AO127" s="75"/>
      <c r="AP127" s="48"/>
      <c r="AQ127" s="48"/>
      <c r="AR127" s="48"/>
      <c r="AS127" s="48"/>
      <c r="AT127" s="48"/>
      <c r="AU127" s="48"/>
      <c r="AV127" s="48"/>
      <c r="AW127" s="48"/>
      <c r="AX127" s="48"/>
      <c r="AY127" s="48"/>
      <c r="AZ127" s="48"/>
      <c r="BA127" s="48"/>
      <c r="BB127" s="48"/>
      <c r="BC127" s="48"/>
      <c r="BD127" s="48"/>
      <c r="BE127" s="48"/>
      <c r="BF127" s="48"/>
      <c r="BG127" s="48"/>
      <c r="BH127" s="48"/>
      <c r="BI127" s="48"/>
    </row>
    <row r="128" ht="15.75" customHeight="1">
      <c r="A128" s="41" t="str">
        <f t="shared" si="2"/>
        <v>Véhicules usagésSalaires autres</v>
      </c>
      <c r="B128" s="96" t="s">
        <v>121</v>
      </c>
      <c r="C128" s="49"/>
      <c r="D128" s="98"/>
      <c r="E128" s="99"/>
      <c r="F128" s="49"/>
      <c r="G128" s="98"/>
      <c r="H128" s="99"/>
      <c r="I128" s="49"/>
      <c r="J128" s="98"/>
      <c r="K128" s="99"/>
      <c r="L128" s="49"/>
      <c r="M128" s="98"/>
      <c r="N128" s="99"/>
      <c r="O128" s="49"/>
      <c r="P128" s="98"/>
      <c r="Q128" s="99"/>
      <c r="R128" s="49"/>
      <c r="S128" s="98"/>
      <c r="T128" s="99"/>
      <c r="U128" s="49"/>
      <c r="V128" s="98"/>
      <c r="W128" s="99"/>
      <c r="X128" s="49"/>
      <c r="Y128" s="98"/>
      <c r="Z128" s="99"/>
      <c r="AA128" s="49"/>
      <c r="AB128" s="98"/>
      <c r="AC128" s="99"/>
      <c r="AD128" s="49"/>
      <c r="AE128" s="98"/>
      <c r="AF128" s="99"/>
      <c r="AG128" s="49"/>
      <c r="AH128" s="98"/>
      <c r="AI128" s="99"/>
      <c r="AJ128" s="49"/>
      <c r="AK128" s="98"/>
      <c r="AL128" s="99"/>
      <c r="AM128" s="49"/>
      <c r="AN128" s="98"/>
      <c r="AO128" s="99"/>
      <c r="AP128" s="48"/>
      <c r="AQ128" s="48"/>
      <c r="AR128" s="48"/>
      <c r="AS128" s="48"/>
      <c r="AT128" s="48"/>
      <c r="AU128" s="48"/>
      <c r="AV128" s="48"/>
      <c r="AW128" s="48"/>
      <c r="AX128" s="48"/>
      <c r="AY128" s="48"/>
      <c r="AZ128" s="48"/>
      <c r="BA128" s="48"/>
      <c r="BB128" s="48"/>
      <c r="BC128" s="48"/>
      <c r="BD128" s="48"/>
      <c r="BE128" s="48"/>
      <c r="BF128" s="48"/>
      <c r="BG128" s="48"/>
      <c r="BH128" s="48"/>
      <c r="BI128" s="48"/>
    </row>
    <row r="129" ht="15.75" customHeight="1">
      <c r="A129" s="41" t="str">
        <f t="shared" si="2"/>
        <v>Véhicules usagésSalaires spécialistes</v>
      </c>
      <c r="B129" s="96" t="s">
        <v>122</v>
      </c>
      <c r="C129" s="57"/>
      <c r="D129" s="74"/>
      <c r="E129" s="75"/>
      <c r="F129" s="57"/>
      <c r="G129" s="74"/>
      <c r="H129" s="75"/>
      <c r="I129" s="57"/>
      <c r="J129" s="74"/>
      <c r="K129" s="75"/>
      <c r="L129" s="57"/>
      <c r="M129" s="74"/>
      <c r="N129" s="75"/>
      <c r="O129" s="57"/>
      <c r="P129" s="74"/>
      <c r="Q129" s="75"/>
      <c r="R129" s="57"/>
      <c r="S129" s="74"/>
      <c r="T129" s="75"/>
      <c r="U129" s="57"/>
      <c r="V129" s="74"/>
      <c r="W129" s="75"/>
      <c r="X129" s="57"/>
      <c r="Y129" s="74"/>
      <c r="Z129" s="75"/>
      <c r="AA129" s="57"/>
      <c r="AB129" s="74"/>
      <c r="AC129" s="75"/>
      <c r="AD129" s="57"/>
      <c r="AE129" s="74"/>
      <c r="AF129" s="75"/>
      <c r="AG129" s="57"/>
      <c r="AH129" s="74"/>
      <c r="AI129" s="75"/>
      <c r="AJ129" s="57"/>
      <c r="AK129" s="74"/>
      <c r="AL129" s="75"/>
      <c r="AM129" s="57"/>
      <c r="AN129" s="74"/>
      <c r="AO129" s="75"/>
      <c r="AP129" s="48"/>
      <c r="AQ129" s="48"/>
      <c r="AR129" s="48"/>
      <c r="AS129" s="48"/>
      <c r="AT129" s="48"/>
      <c r="AU129" s="48"/>
      <c r="AV129" s="48"/>
      <c r="AW129" s="48"/>
      <c r="AX129" s="48"/>
      <c r="AY129" s="48"/>
      <c r="AZ129" s="48"/>
      <c r="BA129" s="48"/>
      <c r="BB129" s="48"/>
      <c r="BC129" s="48"/>
      <c r="BD129" s="48"/>
      <c r="BE129" s="48"/>
      <c r="BF129" s="48"/>
      <c r="BG129" s="48"/>
      <c r="BH129" s="48"/>
      <c r="BI129" s="48"/>
    </row>
    <row r="130" ht="15.75" customHeight="1">
      <c r="A130" s="41" t="str">
        <f t="shared" si="2"/>
        <v>Véhicules usagés[...]</v>
      </c>
      <c r="B130" s="57" t="s">
        <v>56</v>
      </c>
      <c r="C130" s="57"/>
      <c r="D130" s="74"/>
      <c r="E130" s="75"/>
      <c r="F130" s="57"/>
      <c r="G130" s="74"/>
      <c r="H130" s="75"/>
      <c r="I130" s="57"/>
      <c r="J130" s="74"/>
      <c r="K130" s="75"/>
      <c r="L130" s="57"/>
      <c r="M130" s="74"/>
      <c r="N130" s="75"/>
      <c r="O130" s="57"/>
      <c r="P130" s="74"/>
      <c r="Q130" s="75"/>
      <c r="R130" s="57"/>
      <c r="S130" s="74"/>
      <c r="T130" s="75"/>
      <c r="U130" s="57"/>
      <c r="V130" s="74"/>
      <c r="W130" s="75"/>
      <c r="X130" s="57"/>
      <c r="Y130" s="74"/>
      <c r="Z130" s="75"/>
      <c r="AA130" s="57"/>
      <c r="AB130" s="74"/>
      <c r="AC130" s="75"/>
      <c r="AD130" s="57"/>
      <c r="AE130" s="74"/>
      <c r="AF130" s="75"/>
      <c r="AG130" s="57"/>
      <c r="AH130" s="74"/>
      <c r="AI130" s="75"/>
      <c r="AJ130" s="57"/>
      <c r="AK130" s="74"/>
      <c r="AL130" s="75"/>
      <c r="AM130" s="57"/>
      <c r="AN130" s="74"/>
      <c r="AO130" s="75"/>
      <c r="AP130" s="48"/>
      <c r="AQ130" s="48"/>
      <c r="AR130" s="48"/>
      <c r="AS130" s="48"/>
      <c r="AT130" s="48"/>
      <c r="AU130" s="48"/>
      <c r="AV130" s="48"/>
      <c r="AW130" s="48"/>
      <c r="AX130" s="48"/>
      <c r="AY130" s="48"/>
      <c r="AZ130" s="48"/>
      <c r="BA130" s="48"/>
      <c r="BB130" s="48"/>
      <c r="BC130" s="48"/>
      <c r="BD130" s="48"/>
      <c r="BE130" s="48"/>
      <c r="BF130" s="48"/>
      <c r="BG130" s="48"/>
      <c r="BH130" s="48"/>
      <c r="BI130" s="48"/>
    </row>
    <row r="131" ht="15.75" customHeight="1">
      <c r="A131" s="41" t="str">
        <f t="shared" si="2"/>
        <v>Véhicules usagés[...]</v>
      </c>
      <c r="B131" s="57" t="s">
        <v>56</v>
      </c>
      <c r="C131" s="57"/>
      <c r="D131" s="74"/>
      <c r="E131" s="75"/>
      <c r="F131" s="57"/>
      <c r="G131" s="74"/>
      <c r="H131" s="75"/>
      <c r="I131" s="57"/>
      <c r="J131" s="74"/>
      <c r="K131" s="75"/>
      <c r="L131" s="57"/>
      <c r="M131" s="74"/>
      <c r="N131" s="75"/>
      <c r="O131" s="57"/>
      <c r="P131" s="74"/>
      <c r="Q131" s="75"/>
      <c r="R131" s="57"/>
      <c r="S131" s="74"/>
      <c r="T131" s="75"/>
      <c r="U131" s="57"/>
      <c r="V131" s="74"/>
      <c r="W131" s="75"/>
      <c r="X131" s="57"/>
      <c r="Y131" s="74"/>
      <c r="Z131" s="75"/>
      <c r="AA131" s="57"/>
      <c r="AB131" s="74"/>
      <c r="AC131" s="75"/>
      <c r="AD131" s="57"/>
      <c r="AE131" s="74"/>
      <c r="AF131" s="75"/>
      <c r="AG131" s="57"/>
      <c r="AH131" s="74"/>
      <c r="AI131" s="75"/>
      <c r="AJ131" s="57"/>
      <c r="AK131" s="74"/>
      <c r="AL131" s="75"/>
      <c r="AM131" s="57"/>
      <c r="AN131" s="74"/>
      <c r="AO131" s="75"/>
      <c r="AP131" s="48"/>
      <c r="AQ131" s="48"/>
      <c r="AR131" s="48"/>
      <c r="AS131" s="48"/>
      <c r="AT131" s="48"/>
      <c r="AU131" s="48"/>
      <c r="AV131" s="48"/>
      <c r="AW131" s="48"/>
      <c r="AX131" s="48"/>
      <c r="AY131" s="48"/>
      <c r="AZ131" s="48"/>
      <c r="BA131" s="48"/>
      <c r="BB131" s="48"/>
      <c r="BC131" s="48"/>
      <c r="BD131" s="48"/>
      <c r="BE131" s="48"/>
      <c r="BF131" s="48"/>
      <c r="BG131" s="48"/>
      <c r="BH131" s="48"/>
      <c r="BI131" s="48"/>
    </row>
    <row r="132" ht="15.75" customHeight="1">
      <c r="A132" s="41" t="str">
        <f t="shared" si="2"/>
        <v>Véhicules usagés[...]</v>
      </c>
      <c r="B132" s="57" t="s">
        <v>56</v>
      </c>
      <c r="C132" s="57"/>
      <c r="D132" s="74"/>
      <c r="E132" s="75"/>
      <c r="F132" s="57"/>
      <c r="G132" s="74"/>
      <c r="H132" s="75"/>
      <c r="I132" s="57"/>
      <c r="J132" s="74"/>
      <c r="K132" s="75"/>
      <c r="L132" s="57"/>
      <c r="M132" s="74"/>
      <c r="N132" s="75"/>
      <c r="O132" s="57"/>
      <c r="P132" s="74"/>
      <c r="Q132" s="75"/>
      <c r="R132" s="57"/>
      <c r="S132" s="74"/>
      <c r="T132" s="75"/>
      <c r="U132" s="57"/>
      <c r="V132" s="74"/>
      <c r="W132" s="75"/>
      <c r="X132" s="57"/>
      <c r="Y132" s="74"/>
      <c r="Z132" s="75"/>
      <c r="AA132" s="57"/>
      <c r="AB132" s="74"/>
      <c r="AC132" s="75"/>
      <c r="AD132" s="57"/>
      <c r="AE132" s="74"/>
      <c r="AF132" s="75"/>
      <c r="AG132" s="57"/>
      <c r="AH132" s="74"/>
      <c r="AI132" s="75"/>
      <c r="AJ132" s="57"/>
      <c r="AK132" s="74"/>
      <c r="AL132" s="75"/>
      <c r="AM132" s="57"/>
      <c r="AN132" s="74"/>
      <c r="AO132" s="75"/>
      <c r="AP132" s="48"/>
      <c r="AQ132" s="48"/>
      <c r="AR132" s="48"/>
      <c r="AS132" s="48"/>
      <c r="AT132" s="48"/>
      <c r="AU132" s="48"/>
      <c r="AV132" s="48"/>
      <c r="AW132" s="48"/>
      <c r="AX132" s="48"/>
      <c r="AY132" s="48"/>
      <c r="AZ132" s="48"/>
      <c r="BA132" s="48"/>
      <c r="BB132" s="48"/>
      <c r="BC132" s="48"/>
      <c r="BD132" s="48"/>
      <c r="BE132" s="48"/>
      <c r="BF132" s="48"/>
      <c r="BG132" s="48"/>
      <c r="BH132" s="48"/>
      <c r="BI132" s="48"/>
    </row>
    <row r="133" ht="15.75" customHeight="1">
      <c r="A133" s="41" t="str">
        <f t="shared" si="2"/>
        <v>Véhicules usagésSalaires en absences</v>
      </c>
      <c r="B133" s="97" t="s">
        <v>123</v>
      </c>
      <c r="C133" s="57"/>
      <c r="D133" s="74"/>
      <c r="E133" s="75"/>
      <c r="F133" s="57"/>
      <c r="G133" s="74"/>
      <c r="H133" s="75"/>
      <c r="I133" s="57"/>
      <c r="J133" s="74"/>
      <c r="K133" s="75"/>
      <c r="L133" s="57"/>
      <c r="M133" s="74"/>
      <c r="N133" s="75"/>
      <c r="O133" s="57"/>
      <c r="P133" s="74"/>
      <c r="Q133" s="75"/>
      <c r="R133" s="57"/>
      <c r="S133" s="74"/>
      <c r="T133" s="75"/>
      <c r="U133" s="57"/>
      <c r="V133" s="74"/>
      <c r="W133" s="75"/>
      <c r="X133" s="57"/>
      <c r="Y133" s="74"/>
      <c r="Z133" s="75"/>
      <c r="AA133" s="57"/>
      <c r="AB133" s="74"/>
      <c r="AC133" s="75"/>
      <c r="AD133" s="57"/>
      <c r="AE133" s="74"/>
      <c r="AF133" s="75"/>
      <c r="AG133" s="57"/>
      <c r="AH133" s="74"/>
      <c r="AI133" s="75"/>
      <c r="AJ133" s="57"/>
      <c r="AK133" s="74"/>
      <c r="AL133" s="75"/>
      <c r="AM133" s="57"/>
      <c r="AN133" s="74"/>
      <c r="AO133" s="75"/>
      <c r="AP133" s="48"/>
      <c r="AQ133" s="48"/>
      <c r="AR133" s="48"/>
      <c r="AS133" s="48"/>
      <c r="AT133" s="48"/>
      <c r="AU133" s="48"/>
      <c r="AV133" s="48"/>
      <c r="AW133" s="48"/>
      <c r="AX133" s="48"/>
      <c r="AY133" s="48"/>
      <c r="AZ133" s="48"/>
      <c r="BA133" s="48"/>
      <c r="BB133" s="48"/>
      <c r="BC133" s="48"/>
      <c r="BD133" s="48"/>
      <c r="BE133" s="48"/>
      <c r="BF133" s="48"/>
      <c r="BG133" s="48"/>
      <c r="BH133" s="48"/>
      <c r="BI133" s="48"/>
    </row>
    <row r="134" ht="15.75" customHeight="1">
      <c r="A134" s="41" t="str">
        <f t="shared" si="2"/>
        <v>Véhicules usagésDéduction à la source</v>
      </c>
      <c r="B134" s="96" t="s">
        <v>124</v>
      </c>
      <c r="C134" s="49"/>
      <c r="D134" s="98"/>
      <c r="E134" s="99"/>
      <c r="F134" s="49"/>
      <c r="G134" s="98"/>
      <c r="H134" s="99"/>
      <c r="I134" s="49"/>
      <c r="J134" s="98"/>
      <c r="K134" s="99"/>
      <c r="L134" s="49"/>
      <c r="M134" s="98"/>
      <c r="N134" s="99"/>
      <c r="O134" s="49"/>
      <c r="P134" s="98"/>
      <c r="Q134" s="99"/>
      <c r="R134" s="49"/>
      <c r="S134" s="98"/>
      <c r="T134" s="99"/>
      <c r="U134" s="49"/>
      <c r="V134" s="98"/>
      <c r="W134" s="99"/>
      <c r="X134" s="49"/>
      <c r="Y134" s="98"/>
      <c r="Z134" s="99"/>
      <c r="AA134" s="49"/>
      <c r="AB134" s="98"/>
      <c r="AC134" s="99"/>
      <c r="AD134" s="49"/>
      <c r="AE134" s="98"/>
      <c r="AF134" s="99"/>
      <c r="AG134" s="49"/>
      <c r="AH134" s="98"/>
      <c r="AI134" s="99"/>
      <c r="AJ134" s="49"/>
      <c r="AK134" s="98"/>
      <c r="AL134" s="99"/>
      <c r="AM134" s="49"/>
      <c r="AN134" s="98"/>
      <c r="AO134" s="99"/>
      <c r="AP134" s="48"/>
      <c r="AQ134" s="48"/>
      <c r="AR134" s="48"/>
      <c r="AS134" s="48"/>
      <c r="AT134" s="48"/>
      <c r="AU134" s="48"/>
      <c r="AV134" s="48"/>
      <c r="AW134" s="48"/>
      <c r="AX134" s="48"/>
      <c r="AY134" s="48"/>
      <c r="AZ134" s="48"/>
      <c r="BA134" s="48"/>
      <c r="BB134" s="48"/>
      <c r="BC134" s="48"/>
      <c r="BD134" s="48"/>
      <c r="BE134" s="48"/>
      <c r="BF134" s="48"/>
      <c r="BG134" s="48"/>
      <c r="BH134" s="48"/>
      <c r="BI134" s="48"/>
    </row>
    <row r="135" ht="15.75" customHeight="1">
      <c r="A135" s="41" t="str">
        <f t="shared" si="2"/>
        <v>Véhicules usagésBénéfices marginaux</v>
      </c>
      <c r="B135" s="96" t="s">
        <v>125</v>
      </c>
      <c r="C135" s="57"/>
      <c r="D135" s="74"/>
      <c r="E135" s="75"/>
      <c r="F135" s="57"/>
      <c r="G135" s="74"/>
      <c r="H135" s="75"/>
      <c r="I135" s="57"/>
      <c r="J135" s="74"/>
      <c r="K135" s="75"/>
      <c r="L135" s="57"/>
      <c r="M135" s="74"/>
      <c r="N135" s="75"/>
      <c r="O135" s="57"/>
      <c r="P135" s="74"/>
      <c r="Q135" s="75"/>
      <c r="R135" s="57"/>
      <c r="S135" s="74"/>
      <c r="T135" s="75"/>
      <c r="U135" s="57"/>
      <c r="V135" s="74"/>
      <c r="W135" s="75"/>
      <c r="X135" s="57"/>
      <c r="Y135" s="74"/>
      <c r="Z135" s="75"/>
      <c r="AA135" s="57"/>
      <c r="AB135" s="74"/>
      <c r="AC135" s="75"/>
      <c r="AD135" s="57"/>
      <c r="AE135" s="74"/>
      <c r="AF135" s="75"/>
      <c r="AG135" s="57"/>
      <c r="AH135" s="74"/>
      <c r="AI135" s="75"/>
      <c r="AJ135" s="57"/>
      <c r="AK135" s="74"/>
      <c r="AL135" s="75"/>
      <c r="AM135" s="57"/>
      <c r="AN135" s="74"/>
      <c r="AO135" s="75"/>
      <c r="AP135" s="48"/>
      <c r="AQ135" s="48"/>
      <c r="AR135" s="48"/>
      <c r="AS135" s="48"/>
      <c r="AT135" s="48"/>
      <c r="AU135" s="48"/>
      <c r="AV135" s="48"/>
      <c r="AW135" s="48"/>
      <c r="AX135" s="48"/>
      <c r="AY135" s="48"/>
      <c r="AZ135" s="48"/>
      <c r="BA135" s="48"/>
      <c r="BB135" s="48"/>
      <c r="BC135" s="48"/>
      <c r="BD135" s="48"/>
      <c r="BE135" s="48"/>
      <c r="BF135" s="48"/>
      <c r="BG135" s="48"/>
      <c r="BH135" s="48"/>
      <c r="BI135" s="48"/>
    </row>
    <row r="136" ht="15.75" customHeight="1">
      <c r="A136" s="41" t="str">
        <f t="shared" si="2"/>
        <v>Véhicules usagésCsst</v>
      </c>
      <c r="B136" s="96" t="s">
        <v>126</v>
      </c>
      <c r="C136" s="57"/>
      <c r="D136" s="74"/>
      <c r="E136" s="75"/>
      <c r="F136" s="57"/>
      <c r="G136" s="74"/>
      <c r="H136" s="75"/>
      <c r="I136" s="57"/>
      <c r="J136" s="74"/>
      <c r="K136" s="75"/>
      <c r="L136" s="57"/>
      <c r="M136" s="74"/>
      <c r="N136" s="75"/>
      <c r="O136" s="57"/>
      <c r="P136" s="74"/>
      <c r="Q136" s="75"/>
      <c r="R136" s="57"/>
      <c r="S136" s="74"/>
      <c r="T136" s="75"/>
      <c r="U136" s="57"/>
      <c r="V136" s="74"/>
      <c r="W136" s="75"/>
      <c r="X136" s="57"/>
      <c r="Y136" s="74"/>
      <c r="Z136" s="75"/>
      <c r="AA136" s="57"/>
      <c r="AB136" s="74"/>
      <c r="AC136" s="75"/>
      <c r="AD136" s="57"/>
      <c r="AE136" s="74"/>
      <c r="AF136" s="75"/>
      <c r="AG136" s="57"/>
      <c r="AH136" s="74"/>
      <c r="AI136" s="75"/>
      <c r="AJ136" s="57"/>
      <c r="AK136" s="74"/>
      <c r="AL136" s="75"/>
      <c r="AM136" s="57"/>
      <c r="AN136" s="74"/>
      <c r="AO136" s="75"/>
      <c r="AP136" s="48"/>
      <c r="AQ136" s="48"/>
      <c r="AR136" s="48"/>
      <c r="AS136" s="48"/>
      <c r="AT136" s="48"/>
      <c r="AU136" s="48"/>
      <c r="AV136" s="48"/>
      <c r="AW136" s="48"/>
      <c r="AX136" s="48"/>
      <c r="AY136" s="48"/>
      <c r="AZ136" s="48"/>
      <c r="BA136" s="48"/>
      <c r="BB136" s="48"/>
      <c r="BC136" s="48"/>
      <c r="BD136" s="48"/>
      <c r="BE136" s="48"/>
      <c r="BF136" s="48"/>
      <c r="BG136" s="48"/>
      <c r="BH136" s="48"/>
      <c r="BI136" s="48"/>
    </row>
    <row r="137" ht="15.75" customHeight="1">
      <c r="A137" s="41" t="str">
        <f t="shared" si="2"/>
        <v>Véhicules usagés[...]</v>
      </c>
      <c r="B137" s="57" t="s">
        <v>56</v>
      </c>
      <c r="C137" s="53"/>
      <c r="D137" s="100"/>
      <c r="E137" s="91"/>
      <c r="F137" s="53"/>
      <c r="G137" s="100"/>
      <c r="H137" s="91"/>
      <c r="I137" s="53"/>
      <c r="J137" s="100"/>
      <c r="K137" s="91"/>
      <c r="L137" s="53"/>
      <c r="M137" s="100"/>
      <c r="N137" s="91"/>
      <c r="O137" s="53"/>
      <c r="P137" s="100"/>
      <c r="Q137" s="91"/>
      <c r="R137" s="53"/>
      <c r="S137" s="100"/>
      <c r="T137" s="91"/>
      <c r="U137" s="53"/>
      <c r="V137" s="100"/>
      <c r="W137" s="91"/>
      <c r="X137" s="53"/>
      <c r="Y137" s="100"/>
      <c r="Z137" s="91"/>
      <c r="AA137" s="53"/>
      <c r="AB137" s="100"/>
      <c r="AC137" s="91"/>
      <c r="AD137" s="53"/>
      <c r="AE137" s="100"/>
      <c r="AF137" s="91"/>
      <c r="AG137" s="53"/>
      <c r="AH137" s="100"/>
      <c r="AI137" s="91"/>
      <c r="AJ137" s="53"/>
      <c r="AK137" s="100"/>
      <c r="AL137" s="91"/>
      <c r="AM137" s="53"/>
      <c r="AN137" s="100"/>
      <c r="AO137" s="91"/>
      <c r="AP137" s="48"/>
      <c r="AQ137" s="48"/>
      <c r="AR137" s="48"/>
      <c r="AS137" s="48"/>
      <c r="AT137" s="48"/>
      <c r="AU137" s="48"/>
      <c r="AV137" s="48"/>
      <c r="AW137" s="48"/>
      <c r="AX137" s="48"/>
      <c r="AY137" s="48"/>
      <c r="AZ137" s="48"/>
      <c r="BA137" s="48"/>
      <c r="BB137" s="48"/>
      <c r="BC137" s="48"/>
      <c r="BD137" s="48"/>
      <c r="BE137" s="48"/>
      <c r="BF137" s="48"/>
      <c r="BG137" s="48"/>
      <c r="BH137" s="48"/>
      <c r="BI137" s="48"/>
    </row>
    <row r="138" ht="15.75" customHeight="1">
      <c r="A138" s="41" t="str">
        <f t="shared" si="2"/>
        <v>Véhicules usagésTOTAL PERSONNEL</v>
      </c>
      <c r="B138" s="92" t="s">
        <v>127</v>
      </c>
      <c r="C138" s="93"/>
      <c r="D138" s="94"/>
      <c r="E138" s="95"/>
      <c r="F138" s="93"/>
      <c r="G138" s="94"/>
      <c r="H138" s="95"/>
      <c r="I138" s="93"/>
      <c r="J138" s="94"/>
      <c r="K138" s="95"/>
      <c r="L138" s="93"/>
      <c r="M138" s="94"/>
      <c r="N138" s="95"/>
      <c r="O138" s="93"/>
      <c r="P138" s="94"/>
      <c r="Q138" s="95"/>
      <c r="R138" s="93"/>
      <c r="S138" s="94"/>
      <c r="T138" s="95"/>
      <c r="U138" s="93"/>
      <c r="V138" s="94"/>
      <c r="W138" s="95"/>
      <c r="X138" s="93"/>
      <c r="Y138" s="94"/>
      <c r="Z138" s="95"/>
      <c r="AA138" s="93"/>
      <c r="AB138" s="94"/>
      <c r="AC138" s="95"/>
      <c r="AD138" s="93"/>
      <c r="AE138" s="94"/>
      <c r="AF138" s="95"/>
      <c r="AG138" s="93"/>
      <c r="AH138" s="94"/>
      <c r="AI138" s="95"/>
      <c r="AJ138" s="93"/>
      <c r="AK138" s="94"/>
      <c r="AL138" s="95"/>
      <c r="AM138" s="93"/>
      <c r="AN138" s="94"/>
      <c r="AO138" s="95"/>
      <c r="AP138" s="48"/>
      <c r="AQ138" s="48"/>
      <c r="AR138" s="48"/>
      <c r="AS138" s="48"/>
      <c r="AT138" s="48"/>
      <c r="AU138" s="48"/>
      <c r="AV138" s="48"/>
      <c r="AW138" s="48"/>
      <c r="AX138" s="48"/>
      <c r="AY138" s="48"/>
      <c r="AZ138" s="48"/>
      <c r="BA138" s="48"/>
      <c r="BB138" s="48"/>
      <c r="BC138" s="48"/>
      <c r="BD138" s="48"/>
      <c r="BE138" s="48"/>
      <c r="BF138" s="48"/>
      <c r="BG138" s="48"/>
      <c r="BH138" s="48"/>
      <c r="BI138" s="48"/>
    </row>
    <row r="139" ht="15.75" customHeight="1">
      <c r="A139" s="41" t="str">
        <f t="shared" si="2"/>
        <v>Véhicules usagésPublicité 2</v>
      </c>
      <c r="B139" s="57" t="s">
        <v>128</v>
      </c>
      <c r="C139" s="57"/>
      <c r="D139" s="74"/>
      <c r="E139" s="75"/>
      <c r="F139" s="57"/>
      <c r="G139" s="74"/>
      <c r="H139" s="75"/>
      <c r="I139" s="57"/>
      <c r="J139" s="74"/>
      <c r="K139" s="75"/>
      <c r="L139" s="57"/>
      <c r="M139" s="74"/>
      <c r="N139" s="75"/>
      <c r="O139" s="57"/>
      <c r="P139" s="74"/>
      <c r="Q139" s="75"/>
      <c r="R139" s="57"/>
      <c r="S139" s="74"/>
      <c r="T139" s="75"/>
      <c r="U139" s="57"/>
      <c r="V139" s="74"/>
      <c r="W139" s="75"/>
      <c r="X139" s="57"/>
      <c r="Y139" s="74"/>
      <c r="Z139" s="75"/>
      <c r="AA139" s="57"/>
      <c r="AB139" s="74"/>
      <c r="AC139" s="75"/>
      <c r="AD139" s="57"/>
      <c r="AE139" s="74"/>
      <c r="AF139" s="75"/>
      <c r="AG139" s="57"/>
      <c r="AH139" s="74"/>
      <c r="AI139" s="75"/>
      <c r="AJ139" s="57"/>
      <c r="AK139" s="74"/>
      <c r="AL139" s="75"/>
      <c r="AM139" s="57"/>
      <c r="AN139" s="74"/>
      <c r="AO139" s="75"/>
      <c r="AP139" s="48"/>
      <c r="AQ139" s="48"/>
      <c r="AR139" s="48"/>
      <c r="AS139" s="48"/>
      <c r="AT139" s="48"/>
      <c r="AU139" s="48"/>
      <c r="AV139" s="48"/>
      <c r="AW139" s="48"/>
      <c r="AX139" s="48"/>
      <c r="AY139" s="48"/>
      <c r="AZ139" s="48"/>
      <c r="BA139" s="48"/>
      <c r="BB139" s="48"/>
      <c r="BC139" s="48"/>
      <c r="BD139" s="48"/>
      <c r="BE139" s="48"/>
      <c r="BF139" s="48"/>
      <c r="BG139" s="48"/>
      <c r="BH139" s="48"/>
      <c r="BI139" s="48"/>
    </row>
    <row r="140" ht="15.75" customHeight="1">
      <c r="A140" s="41" t="str">
        <f t="shared" si="2"/>
        <v>Véhicules usagésService gratuit 2</v>
      </c>
      <c r="B140" s="57" t="s">
        <v>129</v>
      </c>
      <c r="C140" s="57"/>
      <c r="D140" s="74"/>
      <c r="E140" s="75"/>
      <c r="F140" s="57"/>
      <c r="G140" s="74"/>
      <c r="H140" s="75"/>
      <c r="I140" s="57"/>
      <c r="J140" s="74"/>
      <c r="K140" s="75"/>
      <c r="L140" s="57"/>
      <c r="M140" s="74"/>
      <c r="N140" s="75"/>
      <c r="O140" s="57"/>
      <c r="P140" s="74"/>
      <c r="Q140" s="75"/>
      <c r="R140" s="57"/>
      <c r="S140" s="74"/>
      <c r="T140" s="75"/>
      <c r="U140" s="57"/>
      <c r="V140" s="74"/>
      <c r="W140" s="75"/>
      <c r="X140" s="57"/>
      <c r="Y140" s="74"/>
      <c r="Z140" s="75"/>
      <c r="AA140" s="57"/>
      <c r="AB140" s="74"/>
      <c r="AC140" s="75"/>
      <c r="AD140" s="57"/>
      <c r="AE140" s="74"/>
      <c r="AF140" s="75"/>
      <c r="AG140" s="57"/>
      <c r="AH140" s="74"/>
      <c r="AI140" s="75"/>
      <c r="AJ140" s="57"/>
      <c r="AK140" s="74"/>
      <c r="AL140" s="75"/>
      <c r="AM140" s="57"/>
      <c r="AN140" s="74"/>
      <c r="AO140" s="75"/>
      <c r="AP140" s="48"/>
      <c r="AQ140" s="48"/>
      <c r="AR140" s="48"/>
      <c r="AS140" s="48"/>
      <c r="AT140" s="48"/>
      <c r="AU140" s="48"/>
      <c r="AV140" s="48"/>
      <c r="AW140" s="48"/>
      <c r="AX140" s="48"/>
      <c r="AY140" s="48"/>
      <c r="AZ140" s="48"/>
      <c r="BA140" s="48"/>
      <c r="BB140" s="48"/>
      <c r="BC140" s="48"/>
      <c r="BD140" s="48"/>
      <c r="BE140" s="48"/>
      <c r="BF140" s="48"/>
      <c r="BG140" s="48"/>
      <c r="BH140" s="48"/>
      <c r="BI140" s="48"/>
    </row>
    <row r="141" ht="15.75" customHeight="1">
      <c r="A141" s="41" t="str">
        <f t="shared" si="2"/>
        <v>Véhicules usagésFrais véhicules de cie</v>
      </c>
      <c r="B141" s="53" t="s">
        <v>130</v>
      </c>
      <c r="C141" s="53"/>
      <c r="D141" s="100"/>
      <c r="E141" s="91"/>
      <c r="F141" s="53"/>
      <c r="G141" s="100"/>
      <c r="H141" s="91"/>
      <c r="I141" s="53"/>
      <c r="J141" s="100"/>
      <c r="K141" s="91"/>
      <c r="L141" s="53"/>
      <c r="M141" s="100"/>
      <c r="N141" s="91"/>
      <c r="O141" s="53"/>
      <c r="P141" s="100"/>
      <c r="Q141" s="91"/>
      <c r="R141" s="53"/>
      <c r="S141" s="100"/>
      <c r="T141" s="91"/>
      <c r="U141" s="53"/>
      <c r="V141" s="100"/>
      <c r="W141" s="91"/>
      <c r="X141" s="53"/>
      <c r="Y141" s="100"/>
      <c r="Z141" s="91"/>
      <c r="AA141" s="53"/>
      <c r="AB141" s="100"/>
      <c r="AC141" s="91"/>
      <c r="AD141" s="53"/>
      <c r="AE141" s="100"/>
      <c r="AF141" s="91"/>
      <c r="AG141" s="53"/>
      <c r="AH141" s="100"/>
      <c r="AI141" s="91"/>
      <c r="AJ141" s="53"/>
      <c r="AK141" s="100"/>
      <c r="AL141" s="91"/>
      <c r="AM141" s="53"/>
      <c r="AN141" s="100"/>
      <c r="AO141" s="91"/>
      <c r="AP141" s="48"/>
      <c r="AQ141" s="48"/>
      <c r="AR141" s="48"/>
      <c r="AS141" s="48"/>
      <c r="AT141" s="48"/>
      <c r="AU141" s="48"/>
      <c r="AV141" s="48"/>
      <c r="AW141" s="48"/>
      <c r="AX141" s="48"/>
      <c r="AY141" s="48"/>
      <c r="AZ141" s="48"/>
      <c r="BA141" s="48"/>
      <c r="BB141" s="48"/>
      <c r="BC141" s="48"/>
      <c r="BD141" s="48"/>
      <c r="BE141" s="48"/>
      <c r="BF141" s="48"/>
      <c r="BG141" s="48"/>
      <c r="BH141" s="48"/>
      <c r="BI141" s="48"/>
    </row>
    <row r="142" ht="15.75" customHeight="1">
      <c r="A142" s="41" t="str">
        <f t="shared" si="2"/>
        <v>Véhicules usagésInformatique</v>
      </c>
      <c r="B142" s="57" t="s">
        <v>131</v>
      </c>
      <c r="C142" s="57"/>
      <c r="D142" s="74"/>
      <c r="E142" s="75"/>
      <c r="F142" s="57"/>
      <c r="G142" s="74"/>
      <c r="H142" s="75"/>
      <c r="I142" s="57"/>
      <c r="J142" s="74"/>
      <c r="K142" s="75"/>
      <c r="L142" s="57"/>
      <c r="M142" s="74"/>
      <c r="N142" s="75"/>
      <c r="O142" s="57"/>
      <c r="P142" s="74"/>
      <c r="Q142" s="75"/>
      <c r="R142" s="57"/>
      <c r="S142" s="74"/>
      <c r="T142" s="75"/>
      <c r="U142" s="57"/>
      <c r="V142" s="74"/>
      <c r="W142" s="75"/>
      <c r="X142" s="57"/>
      <c r="Y142" s="74"/>
      <c r="Z142" s="75"/>
      <c r="AA142" s="57"/>
      <c r="AB142" s="74"/>
      <c r="AC142" s="75"/>
      <c r="AD142" s="57"/>
      <c r="AE142" s="74"/>
      <c r="AF142" s="75"/>
      <c r="AG142" s="57"/>
      <c r="AH142" s="74"/>
      <c r="AI142" s="75"/>
      <c r="AJ142" s="57"/>
      <c r="AK142" s="74"/>
      <c r="AL142" s="75"/>
      <c r="AM142" s="57"/>
      <c r="AN142" s="74"/>
      <c r="AO142" s="75"/>
      <c r="AP142" s="48"/>
      <c r="AQ142" s="48"/>
      <c r="AR142" s="48"/>
      <c r="AS142" s="48"/>
      <c r="AT142" s="48"/>
      <c r="AU142" s="48"/>
      <c r="AV142" s="48"/>
      <c r="AW142" s="48"/>
      <c r="AX142" s="48"/>
      <c r="AY142" s="48"/>
      <c r="AZ142" s="48"/>
      <c r="BA142" s="48"/>
      <c r="BB142" s="48"/>
      <c r="BC142" s="48"/>
      <c r="BD142" s="48"/>
      <c r="BE142" s="48"/>
      <c r="BF142" s="48"/>
      <c r="BG142" s="48"/>
      <c r="BH142" s="48"/>
      <c r="BI142" s="48"/>
    </row>
    <row r="143" ht="15.75" customHeight="1">
      <c r="A143" s="41" t="str">
        <f t="shared" si="2"/>
        <v>Véhicules usagésFrais de déplacement</v>
      </c>
      <c r="B143" s="57" t="s">
        <v>132</v>
      </c>
      <c r="C143" s="57"/>
      <c r="D143" s="74"/>
      <c r="E143" s="75"/>
      <c r="F143" s="57"/>
      <c r="G143" s="74"/>
      <c r="H143" s="75"/>
      <c r="I143" s="57"/>
      <c r="J143" s="74"/>
      <c r="K143" s="75"/>
      <c r="L143" s="57"/>
      <c r="M143" s="74"/>
      <c r="N143" s="75"/>
      <c r="O143" s="57"/>
      <c r="P143" s="74"/>
      <c r="Q143" s="75"/>
      <c r="R143" s="57"/>
      <c r="S143" s="74"/>
      <c r="T143" s="75"/>
      <c r="U143" s="57"/>
      <c r="V143" s="74"/>
      <c r="W143" s="75"/>
      <c r="X143" s="57"/>
      <c r="Y143" s="74"/>
      <c r="Z143" s="75"/>
      <c r="AA143" s="57"/>
      <c r="AB143" s="74"/>
      <c r="AC143" s="75"/>
      <c r="AD143" s="57"/>
      <c r="AE143" s="74"/>
      <c r="AF143" s="75"/>
      <c r="AG143" s="57"/>
      <c r="AH143" s="74"/>
      <c r="AI143" s="75"/>
      <c r="AJ143" s="57"/>
      <c r="AK143" s="74"/>
      <c r="AL143" s="75"/>
      <c r="AM143" s="57"/>
      <c r="AN143" s="74"/>
      <c r="AO143" s="75"/>
      <c r="AP143" s="48"/>
      <c r="AQ143" s="48"/>
      <c r="AR143" s="48"/>
      <c r="AS143" s="48"/>
      <c r="AT143" s="48"/>
      <c r="AU143" s="48"/>
      <c r="AV143" s="48"/>
      <c r="AW143" s="48"/>
      <c r="AX143" s="48"/>
      <c r="AY143" s="48"/>
      <c r="AZ143" s="48"/>
      <c r="BA143" s="48"/>
      <c r="BB143" s="48"/>
      <c r="BC143" s="48"/>
      <c r="BD143" s="48"/>
      <c r="BE143" s="48"/>
      <c r="BF143" s="48"/>
      <c r="BG143" s="48"/>
      <c r="BH143" s="48"/>
      <c r="BI143" s="48"/>
    </row>
    <row r="144" ht="15.75" customHeight="1">
      <c r="A144" s="41" t="str">
        <f t="shared" si="2"/>
        <v>Véhicules usagésServices extérieurs</v>
      </c>
      <c r="B144" s="53" t="s">
        <v>133</v>
      </c>
      <c r="C144" s="53"/>
      <c r="D144" s="100"/>
      <c r="E144" s="91"/>
      <c r="F144" s="53"/>
      <c r="G144" s="100"/>
      <c r="H144" s="91"/>
      <c r="I144" s="53"/>
      <c r="J144" s="100"/>
      <c r="K144" s="91"/>
      <c r="L144" s="53"/>
      <c r="M144" s="100"/>
      <c r="N144" s="91"/>
      <c r="O144" s="53"/>
      <c r="P144" s="100"/>
      <c r="Q144" s="91"/>
      <c r="R144" s="53"/>
      <c r="S144" s="100"/>
      <c r="T144" s="91"/>
      <c r="U144" s="53"/>
      <c r="V144" s="100"/>
      <c r="W144" s="91"/>
      <c r="X144" s="53"/>
      <c r="Y144" s="100"/>
      <c r="Z144" s="91"/>
      <c r="AA144" s="53"/>
      <c r="AB144" s="100"/>
      <c r="AC144" s="91"/>
      <c r="AD144" s="53"/>
      <c r="AE144" s="100"/>
      <c r="AF144" s="91"/>
      <c r="AG144" s="53"/>
      <c r="AH144" s="100"/>
      <c r="AI144" s="91"/>
      <c r="AJ144" s="53"/>
      <c r="AK144" s="100"/>
      <c r="AL144" s="91"/>
      <c r="AM144" s="53"/>
      <c r="AN144" s="100"/>
      <c r="AO144" s="91"/>
      <c r="AP144" s="48"/>
      <c r="AQ144" s="48"/>
      <c r="AR144" s="48"/>
      <c r="AS144" s="48"/>
      <c r="AT144" s="48"/>
      <c r="AU144" s="48"/>
      <c r="AV144" s="48"/>
      <c r="AW144" s="48"/>
      <c r="AX144" s="48"/>
      <c r="AY144" s="48"/>
      <c r="AZ144" s="48"/>
      <c r="BA144" s="48"/>
      <c r="BB144" s="48"/>
      <c r="BC144" s="48"/>
      <c r="BD144" s="48"/>
      <c r="BE144" s="48"/>
      <c r="BF144" s="48"/>
      <c r="BG144" s="48"/>
      <c r="BH144" s="48"/>
      <c r="BI144" s="48"/>
    </row>
    <row r="145" ht="15.75" customHeight="1">
      <c r="A145" s="41" t="str">
        <f t="shared" si="2"/>
        <v>Véhicules usagésFournitures autres</v>
      </c>
      <c r="B145" s="57" t="s">
        <v>134</v>
      </c>
      <c r="C145" s="57"/>
      <c r="D145" s="74"/>
      <c r="E145" s="75"/>
      <c r="F145" s="57"/>
      <c r="G145" s="74"/>
      <c r="H145" s="75"/>
      <c r="I145" s="57"/>
      <c r="J145" s="74"/>
      <c r="K145" s="75"/>
      <c r="L145" s="57"/>
      <c r="M145" s="74"/>
      <c r="N145" s="75"/>
      <c r="O145" s="57"/>
      <c r="P145" s="74"/>
      <c r="Q145" s="75"/>
      <c r="R145" s="57"/>
      <c r="S145" s="74"/>
      <c r="T145" s="75"/>
      <c r="U145" s="57"/>
      <c r="V145" s="74"/>
      <c r="W145" s="75"/>
      <c r="X145" s="57"/>
      <c r="Y145" s="74"/>
      <c r="Z145" s="75"/>
      <c r="AA145" s="57"/>
      <c r="AB145" s="74"/>
      <c r="AC145" s="75"/>
      <c r="AD145" s="57"/>
      <c r="AE145" s="74"/>
      <c r="AF145" s="75"/>
      <c r="AG145" s="57"/>
      <c r="AH145" s="74"/>
      <c r="AI145" s="75"/>
      <c r="AJ145" s="57"/>
      <c r="AK145" s="74"/>
      <c r="AL145" s="75"/>
      <c r="AM145" s="57"/>
      <c r="AN145" s="74"/>
      <c r="AO145" s="75"/>
      <c r="AP145" s="48"/>
      <c r="AQ145" s="48"/>
      <c r="AR145" s="48"/>
      <c r="AS145" s="48"/>
      <c r="AT145" s="48"/>
      <c r="AU145" s="48"/>
      <c r="AV145" s="48"/>
      <c r="AW145" s="48"/>
      <c r="AX145" s="48"/>
      <c r="AY145" s="48"/>
      <c r="AZ145" s="48"/>
      <c r="BA145" s="48"/>
      <c r="BB145" s="48"/>
      <c r="BC145" s="48"/>
      <c r="BD145" s="48"/>
      <c r="BE145" s="48"/>
      <c r="BF145" s="48"/>
      <c r="BG145" s="48"/>
      <c r="BH145" s="48"/>
      <c r="BI145" s="48"/>
    </row>
    <row r="146" ht="15.75" customHeight="1">
      <c r="A146" s="41" t="str">
        <f t="shared" si="2"/>
        <v>Véhicules usagésUniformes</v>
      </c>
      <c r="B146" s="57" t="s">
        <v>135</v>
      </c>
      <c r="C146" s="57"/>
      <c r="D146" s="74"/>
      <c r="E146" s="75"/>
      <c r="F146" s="57"/>
      <c r="G146" s="74"/>
      <c r="H146" s="75"/>
      <c r="I146" s="57"/>
      <c r="J146" s="74"/>
      <c r="K146" s="75"/>
      <c r="L146" s="57"/>
      <c r="M146" s="74"/>
      <c r="N146" s="75"/>
      <c r="O146" s="57"/>
      <c r="P146" s="74"/>
      <c r="Q146" s="75"/>
      <c r="R146" s="57"/>
      <c r="S146" s="74"/>
      <c r="T146" s="75"/>
      <c r="U146" s="57"/>
      <c r="V146" s="74"/>
      <c r="W146" s="75"/>
      <c r="X146" s="57"/>
      <c r="Y146" s="74"/>
      <c r="Z146" s="75"/>
      <c r="AA146" s="57"/>
      <c r="AB146" s="74"/>
      <c r="AC146" s="75"/>
      <c r="AD146" s="57"/>
      <c r="AE146" s="74"/>
      <c r="AF146" s="75"/>
      <c r="AG146" s="57"/>
      <c r="AH146" s="74"/>
      <c r="AI146" s="75"/>
      <c r="AJ146" s="57"/>
      <c r="AK146" s="74"/>
      <c r="AL146" s="75"/>
      <c r="AM146" s="57"/>
      <c r="AN146" s="74"/>
      <c r="AO146" s="75"/>
      <c r="AP146" s="48"/>
      <c r="AQ146" s="48"/>
      <c r="AR146" s="48"/>
      <c r="AS146" s="48"/>
      <c r="AT146" s="48"/>
      <c r="AU146" s="48"/>
      <c r="AV146" s="48"/>
      <c r="AW146" s="48"/>
      <c r="AX146" s="48"/>
      <c r="AY146" s="48"/>
      <c r="AZ146" s="48"/>
      <c r="BA146" s="48"/>
      <c r="BB146" s="48"/>
      <c r="BC146" s="48"/>
      <c r="BD146" s="48"/>
      <c r="BE146" s="48"/>
      <c r="BF146" s="48"/>
      <c r="BG146" s="48"/>
      <c r="BH146" s="48"/>
      <c r="BI146" s="48"/>
    </row>
    <row r="147" ht="15.75" customHeight="1">
      <c r="A147" s="41" t="str">
        <f t="shared" si="2"/>
        <v>Véhicules usagésPapeterie</v>
      </c>
      <c r="B147" s="57" t="s">
        <v>136</v>
      </c>
      <c r="C147" s="57"/>
      <c r="D147" s="74"/>
      <c r="E147" s="75"/>
      <c r="F147" s="57"/>
      <c r="G147" s="74"/>
      <c r="H147" s="75"/>
      <c r="I147" s="57"/>
      <c r="J147" s="74"/>
      <c r="K147" s="75"/>
      <c r="L147" s="57"/>
      <c r="M147" s="74"/>
      <c r="N147" s="75"/>
      <c r="O147" s="57"/>
      <c r="P147" s="74"/>
      <c r="Q147" s="75"/>
      <c r="R147" s="57"/>
      <c r="S147" s="74"/>
      <c r="T147" s="75"/>
      <c r="U147" s="57"/>
      <c r="V147" s="74"/>
      <c r="W147" s="75"/>
      <c r="X147" s="57"/>
      <c r="Y147" s="74"/>
      <c r="Z147" s="75"/>
      <c r="AA147" s="57"/>
      <c r="AB147" s="74"/>
      <c r="AC147" s="75"/>
      <c r="AD147" s="57"/>
      <c r="AE147" s="74"/>
      <c r="AF147" s="75"/>
      <c r="AG147" s="57"/>
      <c r="AH147" s="74"/>
      <c r="AI147" s="75"/>
      <c r="AJ147" s="57"/>
      <c r="AK147" s="74"/>
      <c r="AL147" s="75"/>
      <c r="AM147" s="57"/>
      <c r="AN147" s="74"/>
      <c r="AO147" s="75"/>
      <c r="AP147" s="48"/>
      <c r="AQ147" s="48"/>
      <c r="AR147" s="48"/>
      <c r="AS147" s="48"/>
      <c r="AT147" s="48"/>
      <c r="AU147" s="48"/>
      <c r="AV147" s="48"/>
      <c r="AW147" s="48"/>
      <c r="AX147" s="48"/>
      <c r="AY147" s="48"/>
      <c r="AZ147" s="48"/>
      <c r="BA147" s="48"/>
      <c r="BB147" s="48"/>
      <c r="BC147" s="48"/>
      <c r="BD147" s="48"/>
      <c r="BE147" s="48"/>
      <c r="BF147" s="48"/>
      <c r="BG147" s="48"/>
      <c r="BH147" s="48"/>
      <c r="BI147" s="48"/>
    </row>
    <row r="148" ht="15.75" customHeight="1">
      <c r="A148" s="41" t="str">
        <f t="shared" si="2"/>
        <v>Véhicules usagésTéléphone</v>
      </c>
      <c r="B148" s="57" t="s">
        <v>137</v>
      </c>
      <c r="C148" s="57"/>
      <c r="D148" s="74"/>
      <c r="E148" s="75"/>
      <c r="F148" s="57"/>
      <c r="G148" s="74"/>
      <c r="H148" s="75"/>
      <c r="I148" s="57"/>
      <c r="J148" s="74"/>
      <c r="K148" s="75"/>
      <c r="L148" s="57"/>
      <c r="M148" s="74"/>
      <c r="N148" s="75"/>
      <c r="O148" s="57"/>
      <c r="P148" s="74"/>
      <c r="Q148" s="75"/>
      <c r="R148" s="57"/>
      <c r="S148" s="74"/>
      <c r="T148" s="75"/>
      <c r="U148" s="57"/>
      <c r="V148" s="74"/>
      <c r="W148" s="75"/>
      <c r="X148" s="57"/>
      <c r="Y148" s="74"/>
      <c r="Z148" s="75"/>
      <c r="AA148" s="57"/>
      <c r="AB148" s="74"/>
      <c r="AC148" s="75"/>
      <c r="AD148" s="57"/>
      <c r="AE148" s="74"/>
      <c r="AF148" s="75"/>
      <c r="AG148" s="57"/>
      <c r="AH148" s="74"/>
      <c r="AI148" s="75"/>
      <c r="AJ148" s="57"/>
      <c r="AK148" s="74"/>
      <c r="AL148" s="75"/>
      <c r="AM148" s="57"/>
      <c r="AN148" s="74"/>
      <c r="AO148" s="75"/>
      <c r="AP148" s="48"/>
      <c r="AQ148" s="48"/>
      <c r="AR148" s="48"/>
      <c r="AS148" s="48"/>
      <c r="AT148" s="48"/>
      <c r="AU148" s="48"/>
      <c r="AV148" s="48"/>
      <c r="AW148" s="48"/>
      <c r="AX148" s="48"/>
      <c r="AY148" s="48"/>
      <c r="AZ148" s="48"/>
      <c r="BA148" s="48"/>
      <c r="BB148" s="48"/>
      <c r="BC148" s="48"/>
      <c r="BD148" s="48"/>
      <c r="BE148" s="48"/>
      <c r="BF148" s="48"/>
      <c r="BG148" s="48"/>
      <c r="BH148" s="48"/>
      <c r="BI148" s="48"/>
    </row>
    <row r="149" ht="15.75" customHeight="1">
      <c r="A149" s="41" t="str">
        <f t="shared" si="2"/>
        <v>Véhicules usagésFrais postaux</v>
      </c>
      <c r="B149" s="57" t="s">
        <v>138</v>
      </c>
      <c r="C149" s="57"/>
      <c r="D149" s="74"/>
      <c r="E149" s="75"/>
      <c r="F149" s="57"/>
      <c r="G149" s="74"/>
      <c r="H149" s="75"/>
      <c r="I149" s="57"/>
      <c r="J149" s="74"/>
      <c r="K149" s="75"/>
      <c r="L149" s="57"/>
      <c r="M149" s="74"/>
      <c r="N149" s="75"/>
      <c r="O149" s="57"/>
      <c r="P149" s="74"/>
      <c r="Q149" s="75"/>
      <c r="R149" s="57"/>
      <c r="S149" s="74"/>
      <c r="T149" s="75"/>
      <c r="U149" s="57"/>
      <c r="V149" s="74"/>
      <c r="W149" s="75"/>
      <c r="X149" s="57"/>
      <c r="Y149" s="74"/>
      <c r="Z149" s="75"/>
      <c r="AA149" s="57"/>
      <c r="AB149" s="74"/>
      <c r="AC149" s="75"/>
      <c r="AD149" s="57"/>
      <c r="AE149" s="74"/>
      <c r="AF149" s="75"/>
      <c r="AG149" s="57"/>
      <c r="AH149" s="74"/>
      <c r="AI149" s="75"/>
      <c r="AJ149" s="57"/>
      <c r="AK149" s="74"/>
      <c r="AL149" s="75"/>
      <c r="AM149" s="57"/>
      <c r="AN149" s="74"/>
      <c r="AO149" s="75"/>
      <c r="AP149" s="48"/>
      <c r="AQ149" s="48"/>
      <c r="AR149" s="48"/>
      <c r="AS149" s="48"/>
      <c r="AT149" s="48"/>
      <c r="AU149" s="48"/>
      <c r="AV149" s="48"/>
      <c r="AW149" s="48"/>
      <c r="AX149" s="48"/>
      <c r="AY149" s="48"/>
      <c r="AZ149" s="48"/>
      <c r="BA149" s="48"/>
      <c r="BB149" s="48"/>
      <c r="BC149" s="48"/>
      <c r="BD149" s="48"/>
      <c r="BE149" s="48"/>
      <c r="BF149" s="48"/>
      <c r="BG149" s="48"/>
      <c r="BH149" s="48"/>
      <c r="BI149" s="48"/>
    </row>
    <row r="150" ht="15.75" customHeight="1">
      <c r="A150" s="41" t="str">
        <f t="shared" si="2"/>
        <v>Véhicules usagésDivers</v>
      </c>
      <c r="B150" s="57" t="s">
        <v>139</v>
      </c>
      <c r="C150" s="57"/>
      <c r="D150" s="74"/>
      <c r="E150" s="75"/>
      <c r="F150" s="57"/>
      <c r="G150" s="74"/>
      <c r="H150" s="75"/>
      <c r="I150" s="57"/>
      <c r="J150" s="74"/>
      <c r="K150" s="75"/>
      <c r="L150" s="57"/>
      <c r="M150" s="74"/>
      <c r="N150" s="75"/>
      <c r="O150" s="57"/>
      <c r="P150" s="74"/>
      <c r="Q150" s="75"/>
      <c r="R150" s="57"/>
      <c r="S150" s="74"/>
      <c r="T150" s="75"/>
      <c r="U150" s="57"/>
      <c r="V150" s="74"/>
      <c r="W150" s="75"/>
      <c r="X150" s="57"/>
      <c r="Y150" s="74"/>
      <c r="Z150" s="75"/>
      <c r="AA150" s="57"/>
      <c r="AB150" s="74"/>
      <c r="AC150" s="75"/>
      <c r="AD150" s="57"/>
      <c r="AE150" s="74"/>
      <c r="AF150" s="75"/>
      <c r="AG150" s="57"/>
      <c r="AH150" s="74"/>
      <c r="AI150" s="75"/>
      <c r="AJ150" s="57"/>
      <c r="AK150" s="74"/>
      <c r="AL150" s="75"/>
      <c r="AM150" s="57"/>
      <c r="AN150" s="74"/>
      <c r="AO150" s="75"/>
      <c r="AP150" s="48"/>
      <c r="AQ150" s="48"/>
      <c r="AR150" s="48"/>
      <c r="AS150" s="48"/>
      <c r="AT150" s="48"/>
      <c r="AU150" s="48"/>
      <c r="AV150" s="48"/>
      <c r="AW150" s="48"/>
      <c r="AX150" s="48"/>
      <c r="AY150" s="48"/>
      <c r="AZ150" s="48"/>
      <c r="BA150" s="48"/>
      <c r="BB150" s="48"/>
      <c r="BC150" s="48"/>
      <c r="BD150" s="48"/>
      <c r="BE150" s="48"/>
      <c r="BF150" s="48"/>
      <c r="BG150" s="48"/>
      <c r="BH150" s="48"/>
      <c r="BI150" s="48"/>
    </row>
    <row r="151" ht="15.75" customHeight="1">
      <c r="A151" s="41" t="str">
        <f t="shared" si="2"/>
        <v>Véhicules usagésFormation</v>
      </c>
      <c r="B151" s="57" t="s">
        <v>140</v>
      </c>
      <c r="C151" s="57"/>
      <c r="D151" s="74"/>
      <c r="E151" s="75"/>
      <c r="F151" s="57"/>
      <c r="G151" s="74"/>
      <c r="H151" s="75"/>
      <c r="I151" s="57"/>
      <c r="J151" s="74"/>
      <c r="K151" s="75"/>
      <c r="L151" s="57"/>
      <c r="M151" s="74"/>
      <c r="N151" s="75"/>
      <c r="O151" s="57"/>
      <c r="P151" s="74"/>
      <c r="Q151" s="75"/>
      <c r="R151" s="57"/>
      <c r="S151" s="74"/>
      <c r="T151" s="75"/>
      <c r="U151" s="57"/>
      <c r="V151" s="74"/>
      <c r="W151" s="75"/>
      <c r="X151" s="57"/>
      <c r="Y151" s="74"/>
      <c r="Z151" s="75"/>
      <c r="AA151" s="57"/>
      <c r="AB151" s="74"/>
      <c r="AC151" s="75"/>
      <c r="AD151" s="57"/>
      <c r="AE151" s="74"/>
      <c r="AF151" s="75"/>
      <c r="AG151" s="57"/>
      <c r="AH151" s="74"/>
      <c r="AI151" s="75"/>
      <c r="AJ151" s="57"/>
      <c r="AK151" s="74"/>
      <c r="AL151" s="75"/>
      <c r="AM151" s="57"/>
      <c r="AN151" s="74"/>
      <c r="AO151" s="75"/>
      <c r="AP151" s="48"/>
      <c r="AQ151" s="48"/>
      <c r="AR151" s="48"/>
      <c r="AS151" s="48"/>
      <c r="AT151" s="48"/>
      <c r="AU151" s="48"/>
      <c r="AV151" s="48"/>
      <c r="AW151" s="48"/>
      <c r="AX151" s="48"/>
      <c r="AY151" s="48"/>
      <c r="AZ151" s="48"/>
      <c r="BA151" s="48"/>
      <c r="BB151" s="48"/>
      <c r="BC151" s="48"/>
      <c r="BD151" s="48"/>
      <c r="BE151" s="48"/>
      <c r="BF151" s="48"/>
      <c r="BG151" s="48"/>
      <c r="BH151" s="48"/>
      <c r="BI151" s="48"/>
    </row>
    <row r="152" ht="15.75" customHeight="1">
      <c r="A152" s="41" t="str">
        <f t="shared" si="2"/>
        <v>Véhicules usagésFrais bancaires</v>
      </c>
      <c r="B152" s="57" t="s">
        <v>141</v>
      </c>
      <c r="C152" s="57"/>
      <c r="D152" s="74"/>
      <c r="E152" s="75"/>
      <c r="F152" s="57"/>
      <c r="G152" s="74"/>
      <c r="H152" s="75"/>
      <c r="I152" s="57"/>
      <c r="J152" s="74"/>
      <c r="K152" s="75"/>
      <c r="L152" s="57"/>
      <c r="M152" s="74"/>
      <c r="N152" s="75"/>
      <c r="O152" s="57"/>
      <c r="P152" s="74"/>
      <c r="Q152" s="75"/>
      <c r="R152" s="57"/>
      <c r="S152" s="74"/>
      <c r="T152" s="75"/>
      <c r="U152" s="57"/>
      <c r="V152" s="74"/>
      <c r="W152" s="75"/>
      <c r="X152" s="57"/>
      <c r="Y152" s="74"/>
      <c r="Z152" s="75"/>
      <c r="AA152" s="57"/>
      <c r="AB152" s="74"/>
      <c r="AC152" s="75"/>
      <c r="AD152" s="57"/>
      <c r="AE152" s="74"/>
      <c r="AF152" s="75"/>
      <c r="AG152" s="57"/>
      <c r="AH152" s="74"/>
      <c r="AI152" s="75"/>
      <c r="AJ152" s="57"/>
      <c r="AK152" s="74"/>
      <c r="AL152" s="75"/>
      <c r="AM152" s="57"/>
      <c r="AN152" s="74"/>
      <c r="AO152" s="75"/>
      <c r="AP152" s="48"/>
      <c r="AQ152" s="48"/>
      <c r="AR152" s="48"/>
      <c r="AS152" s="48"/>
      <c r="AT152" s="48"/>
      <c r="AU152" s="48"/>
      <c r="AV152" s="48"/>
      <c r="AW152" s="48"/>
      <c r="AX152" s="48"/>
      <c r="AY152" s="48"/>
      <c r="AZ152" s="48"/>
      <c r="BA152" s="48"/>
      <c r="BB152" s="48"/>
      <c r="BC152" s="48"/>
      <c r="BD152" s="48"/>
      <c r="BE152" s="48"/>
      <c r="BF152" s="48"/>
      <c r="BG152" s="48"/>
      <c r="BH152" s="48"/>
      <c r="BI152" s="48"/>
    </row>
    <row r="153" ht="15.75" customHeight="1">
      <c r="A153" s="41" t="str">
        <f t="shared" si="2"/>
        <v>Véhicules usagés[...]</v>
      </c>
      <c r="B153" s="57" t="s">
        <v>56</v>
      </c>
      <c r="C153" s="57"/>
      <c r="D153" s="74"/>
      <c r="E153" s="75"/>
      <c r="F153" s="57"/>
      <c r="G153" s="74"/>
      <c r="H153" s="75"/>
      <c r="I153" s="57"/>
      <c r="J153" s="74"/>
      <c r="K153" s="75"/>
      <c r="L153" s="57"/>
      <c r="M153" s="74"/>
      <c r="N153" s="75"/>
      <c r="O153" s="57"/>
      <c r="P153" s="74"/>
      <c r="Q153" s="75"/>
      <c r="R153" s="57"/>
      <c r="S153" s="74"/>
      <c r="T153" s="75"/>
      <c r="U153" s="57"/>
      <c r="V153" s="74"/>
      <c r="W153" s="75"/>
      <c r="X153" s="57"/>
      <c r="Y153" s="74"/>
      <c r="Z153" s="75"/>
      <c r="AA153" s="57"/>
      <c r="AB153" s="74"/>
      <c r="AC153" s="75"/>
      <c r="AD153" s="57"/>
      <c r="AE153" s="74"/>
      <c r="AF153" s="75"/>
      <c r="AG153" s="57"/>
      <c r="AH153" s="74"/>
      <c r="AI153" s="75"/>
      <c r="AJ153" s="57"/>
      <c r="AK153" s="74"/>
      <c r="AL153" s="75"/>
      <c r="AM153" s="57"/>
      <c r="AN153" s="74"/>
      <c r="AO153" s="75"/>
      <c r="AP153" s="48"/>
      <c r="AQ153" s="48"/>
      <c r="AR153" s="48"/>
      <c r="AS153" s="48"/>
      <c r="AT153" s="48"/>
      <c r="AU153" s="48"/>
      <c r="AV153" s="48"/>
      <c r="AW153" s="48"/>
      <c r="AX153" s="48"/>
      <c r="AY153" s="48"/>
      <c r="AZ153" s="48"/>
      <c r="BA153" s="48"/>
      <c r="BB153" s="48"/>
      <c r="BC153" s="48"/>
      <c r="BD153" s="48"/>
      <c r="BE153" s="48"/>
      <c r="BF153" s="48"/>
      <c r="BG153" s="48"/>
      <c r="BH153" s="48"/>
      <c r="BI153" s="48"/>
    </row>
    <row r="154" ht="15.75" customHeight="1">
      <c r="A154" s="41" t="str">
        <f t="shared" si="2"/>
        <v>Véhicules usagés[...]</v>
      </c>
      <c r="B154" s="57" t="s">
        <v>56</v>
      </c>
      <c r="C154" s="57"/>
      <c r="D154" s="74"/>
      <c r="E154" s="75"/>
      <c r="F154" s="57"/>
      <c r="G154" s="74"/>
      <c r="H154" s="75"/>
      <c r="I154" s="57"/>
      <c r="J154" s="74"/>
      <c r="K154" s="75"/>
      <c r="L154" s="57"/>
      <c r="M154" s="74"/>
      <c r="N154" s="75"/>
      <c r="O154" s="57"/>
      <c r="P154" s="74"/>
      <c r="Q154" s="75"/>
      <c r="R154" s="57"/>
      <c r="S154" s="74"/>
      <c r="T154" s="75"/>
      <c r="U154" s="57"/>
      <c r="V154" s="74"/>
      <c r="W154" s="75"/>
      <c r="X154" s="57"/>
      <c r="Y154" s="74"/>
      <c r="Z154" s="75"/>
      <c r="AA154" s="57"/>
      <c r="AB154" s="74"/>
      <c r="AC154" s="75"/>
      <c r="AD154" s="57"/>
      <c r="AE154" s="74"/>
      <c r="AF154" s="75"/>
      <c r="AG154" s="57"/>
      <c r="AH154" s="74"/>
      <c r="AI154" s="75"/>
      <c r="AJ154" s="57"/>
      <c r="AK154" s="74"/>
      <c r="AL154" s="75"/>
      <c r="AM154" s="57"/>
      <c r="AN154" s="74"/>
      <c r="AO154" s="75"/>
      <c r="AP154" s="48"/>
      <c r="AQ154" s="48"/>
      <c r="AR154" s="48"/>
      <c r="AS154" s="48"/>
      <c r="AT154" s="48"/>
      <c r="AU154" s="48"/>
      <c r="AV154" s="48"/>
      <c r="AW154" s="48"/>
      <c r="AX154" s="48"/>
      <c r="AY154" s="48"/>
      <c r="AZ154" s="48"/>
      <c r="BA154" s="48"/>
      <c r="BB154" s="48"/>
      <c r="BC154" s="48"/>
      <c r="BD154" s="48"/>
      <c r="BE154" s="48"/>
      <c r="BF154" s="48"/>
      <c r="BG154" s="48"/>
      <c r="BH154" s="48"/>
      <c r="BI154" s="48"/>
    </row>
    <row r="155" ht="15.75" customHeight="1">
      <c r="A155" s="41" t="str">
        <f t="shared" si="2"/>
        <v>Véhicules usagés[...]</v>
      </c>
      <c r="B155" s="57" t="s">
        <v>56</v>
      </c>
      <c r="C155" s="53"/>
      <c r="D155" s="100"/>
      <c r="E155" s="75"/>
      <c r="F155" s="53"/>
      <c r="G155" s="100"/>
      <c r="H155" s="75"/>
      <c r="I155" s="53"/>
      <c r="J155" s="100"/>
      <c r="K155" s="75"/>
      <c r="L155" s="53"/>
      <c r="M155" s="100"/>
      <c r="N155" s="75"/>
      <c r="O155" s="53"/>
      <c r="P155" s="100"/>
      <c r="Q155" s="75"/>
      <c r="R155" s="53"/>
      <c r="S155" s="100"/>
      <c r="T155" s="75"/>
      <c r="U155" s="53"/>
      <c r="V155" s="100"/>
      <c r="W155" s="75"/>
      <c r="X155" s="53"/>
      <c r="Y155" s="100"/>
      <c r="Z155" s="75"/>
      <c r="AA155" s="53"/>
      <c r="AB155" s="100"/>
      <c r="AC155" s="75"/>
      <c r="AD155" s="53"/>
      <c r="AE155" s="100"/>
      <c r="AF155" s="75"/>
      <c r="AG155" s="53"/>
      <c r="AH155" s="100"/>
      <c r="AI155" s="75"/>
      <c r="AJ155" s="53"/>
      <c r="AK155" s="100"/>
      <c r="AL155" s="75"/>
      <c r="AM155" s="53"/>
      <c r="AN155" s="100"/>
      <c r="AO155" s="75"/>
      <c r="AP155" s="48"/>
      <c r="AQ155" s="48"/>
      <c r="AR155" s="48"/>
      <c r="AS155" s="48"/>
      <c r="AT155" s="48"/>
      <c r="AU155" s="48"/>
      <c r="AV155" s="48"/>
      <c r="AW155" s="48"/>
      <c r="AX155" s="48"/>
      <c r="AY155" s="48"/>
      <c r="AZ155" s="48"/>
      <c r="BA155" s="48"/>
      <c r="BB155" s="48"/>
      <c r="BC155" s="48"/>
      <c r="BD155" s="48"/>
      <c r="BE155" s="48"/>
      <c r="BF155" s="48"/>
      <c r="BG155" s="48"/>
      <c r="BH155" s="48"/>
      <c r="BI155" s="48"/>
    </row>
    <row r="156" ht="15.75" customHeight="1">
      <c r="A156" s="41" t="str">
        <f t="shared" si="2"/>
        <v>Véhicules usagésTOTAL SEMI-FIXES</v>
      </c>
      <c r="B156" s="92" t="s">
        <v>142</v>
      </c>
      <c r="C156" s="93"/>
      <c r="D156" s="94"/>
      <c r="E156" s="95"/>
      <c r="F156" s="93"/>
      <c r="G156" s="94"/>
      <c r="H156" s="95"/>
      <c r="I156" s="93"/>
      <c r="J156" s="94"/>
      <c r="K156" s="95"/>
      <c r="L156" s="93"/>
      <c r="M156" s="94"/>
      <c r="N156" s="95"/>
      <c r="O156" s="93"/>
      <c r="P156" s="94"/>
      <c r="Q156" s="95"/>
      <c r="R156" s="93"/>
      <c r="S156" s="94"/>
      <c r="T156" s="95"/>
      <c r="U156" s="93"/>
      <c r="V156" s="94"/>
      <c r="W156" s="95"/>
      <c r="X156" s="93"/>
      <c r="Y156" s="94"/>
      <c r="Z156" s="95"/>
      <c r="AA156" s="93"/>
      <c r="AB156" s="94"/>
      <c r="AC156" s="95"/>
      <c r="AD156" s="93"/>
      <c r="AE156" s="94"/>
      <c r="AF156" s="95"/>
      <c r="AG156" s="93"/>
      <c r="AH156" s="94"/>
      <c r="AI156" s="95"/>
      <c r="AJ156" s="93"/>
      <c r="AK156" s="94"/>
      <c r="AL156" s="95"/>
      <c r="AM156" s="93"/>
      <c r="AN156" s="94"/>
      <c r="AO156" s="95"/>
      <c r="AP156" s="48"/>
      <c r="AQ156" s="48"/>
      <c r="AR156" s="48"/>
      <c r="AS156" s="48"/>
      <c r="AT156" s="48"/>
      <c r="AU156" s="48"/>
      <c r="AV156" s="48"/>
      <c r="AW156" s="48"/>
      <c r="AX156" s="48"/>
      <c r="AY156" s="48"/>
      <c r="AZ156" s="48"/>
      <c r="BA156" s="48"/>
      <c r="BB156" s="48"/>
      <c r="BC156" s="48"/>
      <c r="BD156" s="48"/>
      <c r="BE156" s="48"/>
      <c r="BF156" s="48"/>
      <c r="BG156" s="48"/>
      <c r="BH156" s="48"/>
      <c r="BI156" s="48"/>
    </row>
    <row r="157" ht="15.75" customHeight="1">
      <c r="A157" s="41" t="str">
        <f t="shared" si="2"/>
        <v>Véhicules usagés</v>
      </c>
      <c r="B157" s="53"/>
      <c r="C157" s="53"/>
      <c r="D157" s="100"/>
      <c r="E157" s="91"/>
      <c r="F157" s="53"/>
      <c r="G157" s="100"/>
      <c r="H157" s="91"/>
      <c r="I157" s="53"/>
      <c r="J157" s="100"/>
      <c r="K157" s="91"/>
      <c r="L157" s="53"/>
      <c r="M157" s="100"/>
      <c r="N157" s="91"/>
      <c r="O157" s="53"/>
      <c r="P157" s="100"/>
      <c r="Q157" s="91"/>
      <c r="R157" s="53"/>
      <c r="S157" s="100"/>
      <c r="T157" s="91"/>
      <c r="U157" s="53"/>
      <c r="V157" s="100"/>
      <c r="W157" s="91"/>
      <c r="X157" s="53"/>
      <c r="Y157" s="100"/>
      <c r="Z157" s="91"/>
      <c r="AA157" s="53"/>
      <c r="AB157" s="100"/>
      <c r="AC157" s="91"/>
      <c r="AD157" s="53"/>
      <c r="AE157" s="100"/>
      <c r="AF157" s="91"/>
      <c r="AG157" s="53"/>
      <c r="AH157" s="100"/>
      <c r="AI157" s="91"/>
      <c r="AJ157" s="53"/>
      <c r="AK157" s="100"/>
      <c r="AL157" s="91"/>
      <c r="AM157" s="53"/>
      <c r="AN157" s="100"/>
      <c r="AO157" s="91"/>
      <c r="AP157" s="48"/>
      <c r="AQ157" s="48"/>
      <c r="AR157" s="48"/>
      <c r="AS157" s="48"/>
      <c r="AT157" s="48"/>
      <c r="AU157" s="48"/>
      <c r="AV157" s="48"/>
      <c r="AW157" s="48"/>
      <c r="AX157" s="48"/>
      <c r="AY157" s="48"/>
      <c r="AZ157" s="48"/>
      <c r="BA157" s="48"/>
      <c r="BB157" s="48"/>
      <c r="BC157" s="48"/>
      <c r="BD157" s="48"/>
      <c r="BE157" s="48"/>
      <c r="BF157" s="48"/>
      <c r="BG157" s="48"/>
      <c r="BH157" s="48"/>
      <c r="BI157" s="48"/>
    </row>
    <row r="158" ht="15.75" customHeight="1">
      <c r="A158" s="41" t="str">
        <f t="shared" si="2"/>
        <v>Véhicules usagésTOTAL DES DÉPENSES</v>
      </c>
      <c r="B158" s="92" t="s">
        <v>143</v>
      </c>
      <c r="C158" s="93"/>
      <c r="D158" s="94"/>
      <c r="E158" s="95"/>
      <c r="F158" s="93"/>
      <c r="G158" s="94"/>
      <c r="H158" s="95"/>
      <c r="I158" s="93"/>
      <c r="J158" s="94"/>
      <c r="K158" s="95"/>
      <c r="L158" s="93"/>
      <c r="M158" s="94"/>
      <c r="N158" s="95"/>
      <c r="O158" s="93"/>
      <c r="P158" s="94"/>
      <c r="Q158" s="95"/>
      <c r="R158" s="93"/>
      <c r="S158" s="94"/>
      <c r="T158" s="95"/>
      <c r="U158" s="93"/>
      <c r="V158" s="94"/>
      <c r="W158" s="95"/>
      <c r="X158" s="93"/>
      <c r="Y158" s="94"/>
      <c r="Z158" s="95"/>
      <c r="AA158" s="93"/>
      <c r="AB158" s="94"/>
      <c r="AC158" s="95"/>
      <c r="AD158" s="93"/>
      <c r="AE158" s="94"/>
      <c r="AF158" s="95"/>
      <c r="AG158" s="93"/>
      <c r="AH158" s="94"/>
      <c r="AI158" s="95"/>
      <c r="AJ158" s="93"/>
      <c r="AK158" s="94"/>
      <c r="AL158" s="95"/>
      <c r="AM158" s="93"/>
      <c r="AN158" s="94"/>
      <c r="AO158" s="95"/>
      <c r="AP158" s="48"/>
      <c r="AQ158" s="48"/>
      <c r="AR158" s="48"/>
      <c r="AS158" s="48"/>
      <c r="AT158" s="48"/>
      <c r="AU158" s="48"/>
      <c r="AV158" s="48"/>
      <c r="AW158" s="48"/>
      <c r="AX158" s="48"/>
      <c r="AY158" s="48"/>
      <c r="AZ158" s="48"/>
      <c r="BA158" s="48"/>
      <c r="BB158" s="48"/>
      <c r="BC158" s="48"/>
      <c r="BD158" s="48"/>
      <c r="BE158" s="48"/>
      <c r="BF158" s="48"/>
      <c r="BG158" s="48"/>
      <c r="BH158" s="48"/>
      <c r="BI158" s="48"/>
    </row>
    <row r="159" ht="15.75" customHeight="1">
      <c r="A159" s="41" t="str">
        <f t="shared" si="2"/>
        <v>Véhicules usagésProgramme used 1</v>
      </c>
      <c r="B159" s="57" t="s">
        <v>158</v>
      </c>
      <c r="C159" s="117"/>
      <c r="D159" s="122"/>
      <c r="E159" s="75"/>
      <c r="F159" s="117"/>
      <c r="G159" s="122"/>
      <c r="H159" s="75"/>
      <c r="I159" s="117"/>
      <c r="J159" s="122"/>
      <c r="K159" s="75"/>
      <c r="L159" s="117"/>
      <c r="M159" s="122"/>
      <c r="N159" s="75"/>
      <c r="O159" s="117"/>
      <c r="P159" s="122"/>
      <c r="Q159" s="75"/>
      <c r="R159" s="117"/>
      <c r="S159" s="122"/>
      <c r="T159" s="75"/>
      <c r="U159" s="117"/>
      <c r="V159" s="122"/>
      <c r="W159" s="75"/>
      <c r="X159" s="117"/>
      <c r="Y159" s="122"/>
      <c r="Z159" s="75"/>
      <c r="AA159" s="117"/>
      <c r="AB159" s="122"/>
      <c r="AC159" s="75"/>
      <c r="AD159" s="117"/>
      <c r="AE159" s="122"/>
      <c r="AF159" s="75"/>
      <c r="AG159" s="117"/>
      <c r="AH159" s="122"/>
      <c r="AI159" s="75"/>
      <c r="AJ159" s="117"/>
      <c r="AK159" s="122"/>
      <c r="AL159" s="75"/>
      <c r="AM159" s="117"/>
      <c r="AN159" s="122"/>
      <c r="AO159" s="75"/>
      <c r="AP159" s="48"/>
      <c r="AQ159" s="48"/>
      <c r="AR159" s="48"/>
      <c r="AS159" s="48"/>
      <c r="AT159" s="48"/>
      <c r="AU159" s="48"/>
      <c r="AV159" s="48"/>
      <c r="AW159" s="48"/>
      <c r="AX159" s="48"/>
      <c r="AY159" s="48"/>
      <c r="AZ159" s="48"/>
      <c r="BA159" s="48"/>
      <c r="BB159" s="48"/>
      <c r="BC159" s="48"/>
      <c r="BD159" s="48"/>
      <c r="BE159" s="48"/>
      <c r="BF159" s="48"/>
      <c r="BG159" s="48"/>
      <c r="BH159" s="48"/>
      <c r="BI159" s="48"/>
    </row>
    <row r="160" ht="15.75" customHeight="1">
      <c r="A160" s="41" t="str">
        <f t="shared" si="2"/>
        <v>Véhicules usagésProgramme used 2</v>
      </c>
      <c r="B160" s="57" t="s">
        <v>159</v>
      </c>
      <c r="C160" s="117"/>
      <c r="D160" s="122"/>
      <c r="E160" s="75"/>
      <c r="F160" s="117"/>
      <c r="G160" s="122"/>
      <c r="H160" s="75"/>
      <c r="I160" s="117"/>
      <c r="J160" s="122"/>
      <c r="K160" s="75"/>
      <c r="L160" s="117"/>
      <c r="M160" s="122"/>
      <c r="N160" s="75"/>
      <c r="O160" s="117"/>
      <c r="P160" s="122"/>
      <c r="Q160" s="75"/>
      <c r="R160" s="117"/>
      <c r="S160" s="122"/>
      <c r="T160" s="75"/>
      <c r="U160" s="117"/>
      <c r="V160" s="122"/>
      <c r="W160" s="75"/>
      <c r="X160" s="117"/>
      <c r="Y160" s="122"/>
      <c r="Z160" s="75"/>
      <c r="AA160" s="117"/>
      <c r="AB160" s="122"/>
      <c r="AC160" s="75"/>
      <c r="AD160" s="117"/>
      <c r="AE160" s="122"/>
      <c r="AF160" s="75"/>
      <c r="AG160" s="117"/>
      <c r="AH160" s="122"/>
      <c r="AI160" s="75"/>
      <c r="AJ160" s="117"/>
      <c r="AK160" s="122"/>
      <c r="AL160" s="75"/>
      <c r="AM160" s="117"/>
      <c r="AN160" s="122"/>
      <c r="AO160" s="75"/>
      <c r="AP160" s="48"/>
      <c r="AQ160" s="48"/>
      <c r="AR160" s="48"/>
      <c r="AS160" s="48"/>
      <c r="AT160" s="48"/>
      <c r="AU160" s="48"/>
      <c r="AV160" s="48"/>
      <c r="AW160" s="48"/>
      <c r="AX160" s="48"/>
      <c r="AY160" s="48"/>
      <c r="AZ160" s="48"/>
      <c r="BA160" s="48"/>
      <c r="BB160" s="48"/>
      <c r="BC160" s="48"/>
      <c r="BD160" s="48"/>
      <c r="BE160" s="48"/>
      <c r="BF160" s="48"/>
      <c r="BG160" s="48"/>
      <c r="BH160" s="48"/>
      <c r="BI160" s="48"/>
    </row>
    <row r="161" ht="15.75" customHeight="1">
      <c r="A161" s="41" t="str">
        <f t="shared" si="2"/>
        <v>Véhicules usagésProgramme used 3</v>
      </c>
      <c r="B161" s="57" t="s">
        <v>160</v>
      </c>
      <c r="C161" s="57"/>
      <c r="D161" s="74"/>
      <c r="E161" s="75"/>
      <c r="F161" s="57"/>
      <c r="G161" s="74"/>
      <c r="H161" s="75"/>
      <c r="I161" s="57"/>
      <c r="J161" s="74"/>
      <c r="K161" s="75"/>
      <c r="L161" s="57"/>
      <c r="M161" s="74"/>
      <c r="N161" s="75"/>
      <c r="O161" s="57"/>
      <c r="P161" s="74"/>
      <c r="Q161" s="75"/>
      <c r="R161" s="57"/>
      <c r="S161" s="74"/>
      <c r="T161" s="75"/>
      <c r="U161" s="57"/>
      <c r="V161" s="74"/>
      <c r="W161" s="75"/>
      <c r="X161" s="57"/>
      <c r="Y161" s="74"/>
      <c r="Z161" s="75"/>
      <c r="AA161" s="57"/>
      <c r="AB161" s="74"/>
      <c r="AC161" s="75"/>
      <c r="AD161" s="57"/>
      <c r="AE161" s="74"/>
      <c r="AF161" s="75"/>
      <c r="AG161" s="57"/>
      <c r="AH161" s="74"/>
      <c r="AI161" s="75"/>
      <c r="AJ161" s="57"/>
      <c r="AK161" s="74"/>
      <c r="AL161" s="75"/>
      <c r="AM161" s="57"/>
      <c r="AN161" s="74"/>
      <c r="AO161" s="75"/>
      <c r="AP161" s="48"/>
      <c r="AQ161" s="48"/>
      <c r="AR161" s="48"/>
      <c r="AS161" s="48"/>
      <c r="AT161" s="48"/>
      <c r="AU161" s="48"/>
      <c r="AV161" s="48"/>
      <c r="AW161" s="48"/>
      <c r="AX161" s="48"/>
      <c r="AY161" s="48"/>
      <c r="AZ161" s="48"/>
      <c r="BA161" s="48"/>
      <c r="BB161" s="48"/>
      <c r="BC161" s="48"/>
      <c r="BD161" s="48"/>
      <c r="BE161" s="48"/>
      <c r="BF161" s="48"/>
      <c r="BG161" s="48"/>
      <c r="BH161" s="48"/>
      <c r="BI161" s="48"/>
    </row>
    <row r="162" ht="15.75" customHeight="1">
      <c r="A162" s="41" t="str">
        <f t="shared" si="2"/>
        <v>Véhicules usagés[...]</v>
      </c>
      <c r="B162" s="57" t="s">
        <v>56</v>
      </c>
      <c r="C162" s="57"/>
      <c r="D162" s="74"/>
      <c r="E162" s="75"/>
      <c r="F162" s="57"/>
      <c r="G162" s="74"/>
      <c r="H162" s="75"/>
      <c r="I162" s="57"/>
      <c r="J162" s="74"/>
      <c r="K162" s="75"/>
      <c r="L162" s="57"/>
      <c r="M162" s="74"/>
      <c r="N162" s="75"/>
      <c r="O162" s="57"/>
      <c r="P162" s="74"/>
      <c r="Q162" s="75"/>
      <c r="R162" s="57"/>
      <c r="S162" s="74"/>
      <c r="T162" s="75"/>
      <c r="U162" s="57"/>
      <c r="V162" s="74"/>
      <c r="W162" s="75"/>
      <c r="X162" s="57"/>
      <c r="Y162" s="74"/>
      <c r="Z162" s="75"/>
      <c r="AA162" s="57"/>
      <c r="AB162" s="74"/>
      <c r="AC162" s="75"/>
      <c r="AD162" s="57"/>
      <c r="AE162" s="74"/>
      <c r="AF162" s="75"/>
      <c r="AG162" s="57"/>
      <c r="AH162" s="74"/>
      <c r="AI162" s="75"/>
      <c r="AJ162" s="57"/>
      <c r="AK162" s="74"/>
      <c r="AL162" s="75"/>
      <c r="AM162" s="57"/>
      <c r="AN162" s="74"/>
      <c r="AO162" s="75"/>
      <c r="AP162" s="48"/>
      <c r="AQ162" s="48"/>
      <c r="AR162" s="48"/>
      <c r="AS162" s="48"/>
      <c r="AT162" s="48"/>
      <c r="AU162" s="48"/>
      <c r="AV162" s="48"/>
      <c r="AW162" s="48"/>
      <c r="AX162" s="48"/>
      <c r="AY162" s="48"/>
      <c r="AZ162" s="48"/>
      <c r="BA162" s="48"/>
      <c r="BB162" s="48"/>
      <c r="BC162" s="48"/>
      <c r="BD162" s="48"/>
      <c r="BE162" s="48"/>
      <c r="BF162" s="48"/>
      <c r="BG162" s="48"/>
      <c r="BH162" s="48"/>
      <c r="BI162" s="48"/>
    </row>
    <row r="163" ht="15.75" customHeight="1">
      <c r="A163" s="41" t="str">
        <f t="shared" si="2"/>
        <v>Véhicules usagés[...]</v>
      </c>
      <c r="B163" s="57" t="s">
        <v>56</v>
      </c>
      <c r="C163" s="57"/>
      <c r="D163" s="74"/>
      <c r="E163" s="75"/>
      <c r="F163" s="57"/>
      <c r="G163" s="74"/>
      <c r="H163" s="75"/>
      <c r="I163" s="57"/>
      <c r="J163" s="74"/>
      <c r="K163" s="75"/>
      <c r="L163" s="57"/>
      <c r="M163" s="74"/>
      <c r="N163" s="75"/>
      <c r="O163" s="57"/>
      <c r="P163" s="74"/>
      <c r="Q163" s="75"/>
      <c r="R163" s="57"/>
      <c r="S163" s="74"/>
      <c r="T163" s="75"/>
      <c r="U163" s="57"/>
      <c r="V163" s="74"/>
      <c r="W163" s="75"/>
      <c r="X163" s="57"/>
      <c r="Y163" s="74"/>
      <c r="Z163" s="75"/>
      <c r="AA163" s="57"/>
      <c r="AB163" s="74"/>
      <c r="AC163" s="75"/>
      <c r="AD163" s="57"/>
      <c r="AE163" s="74"/>
      <c r="AF163" s="75"/>
      <c r="AG163" s="57"/>
      <c r="AH163" s="74"/>
      <c r="AI163" s="75"/>
      <c r="AJ163" s="57"/>
      <c r="AK163" s="74"/>
      <c r="AL163" s="75"/>
      <c r="AM163" s="57"/>
      <c r="AN163" s="74"/>
      <c r="AO163" s="75"/>
      <c r="AP163" s="48"/>
      <c r="AQ163" s="48"/>
      <c r="AR163" s="48"/>
      <c r="AS163" s="48"/>
      <c r="AT163" s="48"/>
      <c r="AU163" s="48"/>
      <c r="AV163" s="48"/>
      <c r="AW163" s="48"/>
      <c r="AX163" s="48"/>
      <c r="AY163" s="48"/>
      <c r="AZ163" s="48"/>
      <c r="BA163" s="48"/>
      <c r="BB163" s="48"/>
      <c r="BC163" s="48"/>
      <c r="BD163" s="48"/>
      <c r="BE163" s="48"/>
      <c r="BF163" s="48"/>
      <c r="BG163" s="48"/>
      <c r="BH163" s="48"/>
      <c r="BI163" s="48"/>
    </row>
    <row r="164" ht="15.75" customHeight="1">
      <c r="A164" s="41" t="str">
        <f t="shared" si="2"/>
        <v>Véhicules usagés[...]</v>
      </c>
      <c r="B164" s="57" t="s">
        <v>56</v>
      </c>
      <c r="C164" s="57"/>
      <c r="D164" s="74"/>
      <c r="E164" s="75"/>
      <c r="F164" s="57"/>
      <c r="G164" s="74"/>
      <c r="H164" s="75"/>
      <c r="I164" s="57"/>
      <c r="J164" s="74"/>
      <c r="K164" s="75"/>
      <c r="L164" s="57"/>
      <c r="M164" s="74"/>
      <c r="N164" s="75"/>
      <c r="O164" s="57"/>
      <c r="P164" s="74"/>
      <c r="Q164" s="75"/>
      <c r="R164" s="57"/>
      <c r="S164" s="74"/>
      <c r="T164" s="75"/>
      <c r="U164" s="57"/>
      <c r="V164" s="74"/>
      <c r="W164" s="75"/>
      <c r="X164" s="57"/>
      <c r="Y164" s="74"/>
      <c r="Z164" s="75"/>
      <c r="AA164" s="57"/>
      <c r="AB164" s="74"/>
      <c r="AC164" s="75"/>
      <c r="AD164" s="57"/>
      <c r="AE164" s="74"/>
      <c r="AF164" s="75"/>
      <c r="AG164" s="57"/>
      <c r="AH164" s="74"/>
      <c r="AI164" s="75"/>
      <c r="AJ164" s="57"/>
      <c r="AK164" s="74"/>
      <c r="AL164" s="75"/>
      <c r="AM164" s="57"/>
      <c r="AN164" s="74"/>
      <c r="AO164" s="75"/>
      <c r="AP164" s="48"/>
      <c r="AQ164" s="48"/>
      <c r="AR164" s="48"/>
      <c r="AS164" s="48"/>
      <c r="AT164" s="48"/>
      <c r="AU164" s="48"/>
      <c r="AV164" s="48"/>
      <c r="AW164" s="48"/>
      <c r="AX164" s="48"/>
      <c r="AY164" s="48"/>
      <c r="AZ164" s="48"/>
      <c r="BA164" s="48"/>
      <c r="BB164" s="48"/>
      <c r="BC164" s="48"/>
      <c r="BD164" s="48"/>
      <c r="BE164" s="48"/>
      <c r="BF164" s="48"/>
      <c r="BG164" s="48"/>
      <c r="BH164" s="48"/>
      <c r="BI164" s="48"/>
    </row>
    <row r="165" ht="15.75" customHeight="1">
      <c r="A165" s="41" t="str">
        <f t="shared" si="2"/>
        <v>Véhicules usagésFrais administration</v>
      </c>
      <c r="B165" s="53" t="s">
        <v>148</v>
      </c>
      <c r="C165" s="53"/>
      <c r="D165" s="100"/>
      <c r="E165" s="91"/>
      <c r="F165" s="53"/>
      <c r="G165" s="100"/>
      <c r="H165" s="91"/>
      <c r="I165" s="53"/>
      <c r="J165" s="100"/>
      <c r="K165" s="91"/>
      <c r="L165" s="53"/>
      <c r="M165" s="100"/>
      <c r="N165" s="91"/>
      <c r="O165" s="53"/>
      <c r="P165" s="100"/>
      <c r="Q165" s="91"/>
      <c r="R165" s="53"/>
      <c r="S165" s="100"/>
      <c r="T165" s="91"/>
      <c r="U165" s="53"/>
      <c r="V165" s="100"/>
      <c r="W165" s="91"/>
      <c r="X165" s="53"/>
      <c r="Y165" s="100"/>
      <c r="Z165" s="91"/>
      <c r="AA165" s="53"/>
      <c r="AB165" s="100"/>
      <c r="AC165" s="91"/>
      <c r="AD165" s="53"/>
      <c r="AE165" s="100"/>
      <c r="AF165" s="91"/>
      <c r="AG165" s="53"/>
      <c r="AH165" s="100"/>
      <c r="AI165" s="91"/>
      <c r="AJ165" s="53"/>
      <c r="AK165" s="100"/>
      <c r="AL165" s="91"/>
      <c r="AM165" s="53"/>
      <c r="AN165" s="100"/>
      <c r="AO165" s="91"/>
      <c r="AP165" s="48"/>
      <c r="AQ165" s="48"/>
      <c r="AR165" s="48"/>
      <c r="AS165" s="48"/>
      <c r="AT165" s="48"/>
      <c r="AU165" s="48"/>
      <c r="AV165" s="48"/>
      <c r="AW165" s="48"/>
      <c r="AX165" s="48"/>
      <c r="AY165" s="48"/>
      <c r="AZ165" s="48"/>
      <c r="BA165" s="48"/>
      <c r="BB165" s="48"/>
      <c r="BC165" s="48"/>
      <c r="BD165" s="48"/>
      <c r="BE165" s="48"/>
      <c r="BF165" s="48"/>
      <c r="BG165" s="48"/>
      <c r="BH165" s="48"/>
      <c r="BI165" s="48"/>
    </row>
    <row r="166" ht="15.75" customHeight="1">
      <c r="A166" s="41" t="str">
        <f t="shared" si="2"/>
        <v>Véhicules usagésAUTRES REVENUS</v>
      </c>
      <c r="B166" s="92" t="s">
        <v>149</v>
      </c>
      <c r="C166" s="93"/>
      <c r="D166" s="94"/>
      <c r="E166" s="95"/>
      <c r="F166" s="93"/>
      <c r="G166" s="94"/>
      <c r="H166" s="95"/>
      <c r="I166" s="93"/>
      <c r="J166" s="94"/>
      <c r="K166" s="95"/>
      <c r="L166" s="93"/>
      <c r="M166" s="94"/>
      <c r="N166" s="95"/>
      <c r="O166" s="93"/>
      <c r="P166" s="94"/>
      <c r="Q166" s="95"/>
      <c r="R166" s="93"/>
      <c r="S166" s="94"/>
      <c r="T166" s="95"/>
      <c r="U166" s="93"/>
      <c r="V166" s="94"/>
      <c r="W166" s="95"/>
      <c r="X166" s="93"/>
      <c r="Y166" s="94"/>
      <c r="Z166" s="95"/>
      <c r="AA166" s="93"/>
      <c r="AB166" s="94"/>
      <c r="AC166" s="95"/>
      <c r="AD166" s="93"/>
      <c r="AE166" s="94"/>
      <c r="AF166" s="95"/>
      <c r="AG166" s="93"/>
      <c r="AH166" s="94"/>
      <c r="AI166" s="95"/>
      <c r="AJ166" s="93"/>
      <c r="AK166" s="94"/>
      <c r="AL166" s="95"/>
      <c r="AM166" s="93"/>
      <c r="AN166" s="94"/>
      <c r="AO166" s="95"/>
      <c r="AP166" s="48"/>
      <c r="AQ166" s="48"/>
      <c r="AR166" s="48"/>
      <c r="AS166" s="48"/>
      <c r="AT166" s="48"/>
      <c r="AU166" s="48"/>
      <c r="AV166" s="48"/>
      <c r="AW166" s="48"/>
      <c r="AX166" s="48"/>
      <c r="AY166" s="48"/>
      <c r="AZ166" s="48"/>
      <c r="BA166" s="48"/>
      <c r="BB166" s="48"/>
      <c r="BC166" s="48"/>
      <c r="BD166" s="48"/>
      <c r="BE166" s="48"/>
      <c r="BF166" s="48"/>
      <c r="BG166" s="48"/>
      <c r="BH166" s="48"/>
      <c r="BI166" s="48"/>
    </row>
    <row r="167" ht="15.75" customHeight="1">
      <c r="A167" s="41" t="str">
        <f t="shared" si="2"/>
        <v>Véhicules usagés</v>
      </c>
      <c r="B167" s="57"/>
      <c r="C167" s="57"/>
      <c r="D167" s="74"/>
      <c r="E167" s="75"/>
      <c r="F167" s="57"/>
      <c r="G167" s="74"/>
      <c r="H167" s="75"/>
      <c r="I167" s="57"/>
      <c r="J167" s="74"/>
      <c r="K167" s="75"/>
      <c r="L167" s="57"/>
      <c r="M167" s="74"/>
      <c r="N167" s="75"/>
      <c r="O167" s="57"/>
      <c r="P167" s="74"/>
      <c r="Q167" s="75"/>
      <c r="R167" s="57"/>
      <c r="S167" s="74"/>
      <c r="T167" s="75"/>
      <c r="U167" s="57"/>
      <c r="V167" s="74"/>
      <c r="W167" s="75"/>
      <c r="X167" s="57"/>
      <c r="Y167" s="74"/>
      <c r="Z167" s="75"/>
      <c r="AA167" s="57"/>
      <c r="AB167" s="74"/>
      <c r="AC167" s="75"/>
      <c r="AD167" s="57"/>
      <c r="AE167" s="74"/>
      <c r="AF167" s="75"/>
      <c r="AG167" s="57"/>
      <c r="AH167" s="74"/>
      <c r="AI167" s="75"/>
      <c r="AJ167" s="57"/>
      <c r="AK167" s="74"/>
      <c r="AL167" s="75"/>
      <c r="AM167" s="57"/>
      <c r="AN167" s="74"/>
      <c r="AO167" s="75"/>
      <c r="AP167" s="48"/>
      <c r="AQ167" s="48"/>
      <c r="AR167" s="48"/>
      <c r="AS167" s="48"/>
      <c r="AT167" s="48"/>
      <c r="AU167" s="48"/>
      <c r="AV167" s="48"/>
      <c r="AW167" s="48"/>
      <c r="AX167" s="48"/>
      <c r="AY167" s="48"/>
      <c r="AZ167" s="48"/>
      <c r="BA167" s="48"/>
      <c r="BB167" s="48"/>
      <c r="BC167" s="48"/>
      <c r="BD167" s="48"/>
      <c r="BE167" s="48"/>
      <c r="BF167" s="48"/>
      <c r="BG167" s="48"/>
      <c r="BH167" s="48"/>
      <c r="BI167" s="48"/>
    </row>
    <row r="168" ht="15.75" customHeight="1">
      <c r="A168" s="41" t="str">
        <f t="shared" si="2"/>
        <v>Véhicules usagésPROFIT DÉPARTEMENTAL</v>
      </c>
      <c r="B168" s="103" t="s">
        <v>150</v>
      </c>
      <c r="C168" s="103"/>
      <c r="D168" s="123"/>
      <c r="E168" s="106"/>
      <c r="F168" s="103"/>
      <c r="G168" s="124"/>
      <c r="H168" s="106"/>
      <c r="I168" s="103"/>
      <c r="J168" s="124"/>
      <c r="K168" s="106"/>
      <c r="L168" s="103"/>
      <c r="M168" s="124"/>
      <c r="N168" s="106"/>
      <c r="O168" s="103"/>
      <c r="P168" s="124"/>
      <c r="Q168" s="106"/>
      <c r="R168" s="103"/>
      <c r="S168" s="124"/>
      <c r="T168" s="106"/>
      <c r="U168" s="103"/>
      <c r="V168" s="124"/>
      <c r="W168" s="106"/>
      <c r="X168" s="103"/>
      <c r="Y168" s="124"/>
      <c r="Z168" s="106"/>
      <c r="AA168" s="103"/>
      <c r="AB168" s="124"/>
      <c r="AC168" s="106"/>
      <c r="AD168" s="103"/>
      <c r="AE168" s="124"/>
      <c r="AF168" s="106"/>
      <c r="AG168" s="103"/>
      <c r="AH168" s="124"/>
      <c r="AI168" s="106"/>
      <c r="AJ168" s="103"/>
      <c r="AK168" s="124"/>
      <c r="AL168" s="106"/>
      <c r="AM168" s="103"/>
      <c r="AN168" s="124"/>
      <c r="AO168" s="106"/>
      <c r="AP168" s="48"/>
      <c r="AQ168" s="48"/>
      <c r="AR168" s="48"/>
      <c r="AS168" s="48"/>
      <c r="AT168" s="48"/>
      <c r="AU168" s="48"/>
      <c r="AV168" s="48"/>
      <c r="AW168" s="48"/>
      <c r="AX168" s="48"/>
      <c r="AY168" s="48"/>
      <c r="AZ168" s="48"/>
      <c r="BA168" s="48"/>
      <c r="BB168" s="48"/>
      <c r="BC168" s="48"/>
      <c r="BD168" s="48"/>
      <c r="BE168" s="48"/>
      <c r="BF168" s="48"/>
      <c r="BG168" s="48"/>
      <c r="BH168" s="48"/>
      <c r="BI168" s="48"/>
    </row>
    <row r="169" ht="15.75" customHeight="1">
      <c r="A169" s="41"/>
      <c r="B169" s="111"/>
      <c r="C169" s="111"/>
      <c r="D169" s="111"/>
      <c r="E169" s="125"/>
      <c r="F169" s="111"/>
      <c r="G169" s="111"/>
      <c r="H169" s="125"/>
      <c r="I169" s="111"/>
      <c r="J169" s="111"/>
      <c r="K169" s="125"/>
      <c r="L169" s="111"/>
      <c r="M169" s="111"/>
      <c r="N169" s="125"/>
      <c r="O169" s="111"/>
      <c r="P169" s="111"/>
      <c r="Q169" s="125"/>
      <c r="R169" s="111"/>
      <c r="S169" s="111"/>
      <c r="T169" s="125"/>
      <c r="U169" s="111"/>
      <c r="V169" s="111"/>
      <c r="W169" s="125"/>
      <c r="X169" s="111"/>
      <c r="Y169" s="111"/>
      <c r="Z169" s="125"/>
      <c r="AA169" s="111"/>
      <c r="AB169" s="111"/>
      <c r="AC169" s="125"/>
      <c r="AD169" s="111"/>
      <c r="AE169" s="111"/>
      <c r="AF169" s="125"/>
      <c r="AG169" s="111"/>
      <c r="AH169" s="111"/>
      <c r="AI169" s="125"/>
      <c r="AJ169" s="111"/>
      <c r="AK169" s="111"/>
      <c r="AL169" s="125"/>
      <c r="AM169" s="111"/>
      <c r="AN169" s="111"/>
      <c r="AO169" s="125"/>
      <c r="AP169" s="40"/>
      <c r="AQ169" s="40"/>
      <c r="AR169" s="40"/>
      <c r="AS169" s="40"/>
      <c r="AT169" s="40"/>
      <c r="AU169" s="40"/>
      <c r="AV169" s="40"/>
      <c r="AW169" s="40"/>
      <c r="AX169" s="40"/>
      <c r="AY169" s="40"/>
      <c r="AZ169" s="40"/>
      <c r="BA169" s="40"/>
      <c r="BB169" s="40"/>
      <c r="BC169" s="40"/>
      <c r="BD169" s="40"/>
      <c r="BE169" s="40"/>
      <c r="BF169" s="40"/>
      <c r="BG169" s="40"/>
      <c r="BH169" s="40"/>
      <c r="BI169" s="40"/>
    </row>
    <row r="170" ht="15.75" customHeight="1">
      <c r="A170" s="41"/>
      <c r="B170" s="111"/>
      <c r="C170" s="111"/>
      <c r="D170" s="111"/>
      <c r="E170" s="111"/>
      <c r="F170" s="111"/>
      <c r="G170" s="111"/>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40"/>
      <c r="AQ170" s="40"/>
      <c r="AR170" s="40"/>
      <c r="AS170" s="40"/>
      <c r="AT170" s="40"/>
      <c r="AU170" s="40"/>
      <c r="AV170" s="40"/>
      <c r="AW170" s="40"/>
      <c r="AX170" s="40"/>
      <c r="AY170" s="40"/>
      <c r="AZ170" s="40"/>
      <c r="BA170" s="40"/>
      <c r="BB170" s="40"/>
      <c r="BC170" s="40"/>
      <c r="BD170" s="40"/>
      <c r="BE170" s="40"/>
      <c r="BF170" s="40"/>
      <c r="BG170" s="40"/>
      <c r="BH170" s="40"/>
      <c r="BI170" s="40"/>
    </row>
    <row r="171" ht="15.75" customHeight="1">
      <c r="A171" s="41"/>
      <c r="B171" s="112" t="str">
        <f>B4</f>
        <v>Budget 2025</v>
      </c>
      <c r="C171" s="112" t="s">
        <v>161</v>
      </c>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38"/>
      <c r="AQ171" s="38"/>
      <c r="AR171" s="38"/>
      <c r="AS171" s="38"/>
      <c r="AT171" s="38"/>
      <c r="AU171" s="38"/>
      <c r="AV171" s="38"/>
      <c r="AW171" s="38"/>
      <c r="AX171" s="38"/>
      <c r="AY171" s="38"/>
      <c r="AZ171" s="38"/>
      <c r="BA171" s="38"/>
      <c r="BB171" s="38"/>
      <c r="BC171" s="38"/>
      <c r="BD171" s="38"/>
      <c r="BE171" s="38"/>
      <c r="BF171" s="38"/>
      <c r="BG171" s="38"/>
      <c r="BH171" s="38"/>
      <c r="BI171" s="38"/>
    </row>
    <row r="172" ht="15.75" customHeight="1">
      <c r="A172" s="41"/>
      <c r="B172" s="113"/>
      <c r="C172" s="111"/>
      <c r="D172" s="111"/>
      <c r="E172" s="111"/>
      <c r="F172" s="111"/>
      <c r="G172" s="111"/>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40"/>
      <c r="AQ172" s="40"/>
      <c r="AR172" s="40"/>
      <c r="AS172" s="40"/>
      <c r="AT172" s="40"/>
      <c r="AU172" s="40"/>
      <c r="AV172" s="40"/>
      <c r="AW172" s="40"/>
      <c r="AX172" s="40"/>
      <c r="AY172" s="40"/>
      <c r="AZ172" s="40"/>
      <c r="BA172" s="40"/>
      <c r="BB172" s="40"/>
      <c r="BC172" s="40"/>
      <c r="BD172" s="40"/>
      <c r="BE172" s="40"/>
      <c r="BF172" s="40"/>
      <c r="BG172" s="40"/>
      <c r="BH172" s="40"/>
      <c r="BI172" s="40"/>
    </row>
    <row r="173" ht="15.75" customHeight="1">
      <c r="A173" s="41"/>
      <c r="B173" s="42" t="s">
        <v>2</v>
      </c>
      <c r="C173" s="43"/>
      <c r="D173" s="44"/>
      <c r="E173" s="45"/>
      <c r="F173" s="114"/>
      <c r="G173" s="115"/>
      <c r="H173" s="116"/>
      <c r="I173" s="114"/>
      <c r="J173" s="115"/>
      <c r="K173" s="116"/>
      <c r="L173" s="114"/>
      <c r="M173" s="115"/>
      <c r="N173" s="116"/>
      <c r="O173" s="114"/>
      <c r="P173" s="115"/>
      <c r="Q173" s="116"/>
      <c r="R173" s="114"/>
      <c r="S173" s="115"/>
      <c r="T173" s="116"/>
      <c r="U173" s="114"/>
      <c r="V173" s="115"/>
      <c r="W173" s="116"/>
      <c r="X173" s="114"/>
      <c r="Y173" s="115"/>
      <c r="Z173" s="116"/>
      <c r="AA173" s="114"/>
      <c r="AB173" s="115"/>
      <c r="AC173" s="116"/>
      <c r="AD173" s="114"/>
      <c r="AE173" s="115"/>
      <c r="AF173" s="116"/>
      <c r="AG173" s="114"/>
      <c r="AH173" s="115"/>
      <c r="AI173" s="116"/>
      <c r="AJ173" s="114"/>
      <c r="AK173" s="115"/>
      <c r="AL173" s="116"/>
      <c r="AM173" s="114"/>
      <c r="AN173" s="115"/>
      <c r="AO173" s="116"/>
      <c r="AP173" s="48"/>
      <c r="AQ173" s="48"/>
      <c r="AR173" s="48"/>
      <c r="AS173" s="48"/>
      <c r="AT173" s="48"/>
      <c r="AU173" s="48"/>
      <c r="AV173" s="48"/>
      <c r="AW173" s="48"/>
      <c r="AX173" s="48"/>
      <c r="AY173" s="48"/>
      <c r="AZ173" s="48"/>
      <c r="BA173" s="48"/>
      <c r="BB173" s="48"/>
      <c r="BC173" s="48"/>
      <c r="BD173" s="48"/>
      <c r="BE173" s="48"/>
      <c r="BF173" s="48"/>
      <c r="BG173" s="48"/>
      <c r="BH173" s="48"/>
      <c r="BI173" s="48"/>
    </row>
    <row r="174" ht="15.75" customHeight="1">
      <c r="A174" s="41" t="str">
        <f t="shared" ref="A174:A236" si="3">+$C$171&amp;B174</f>
        <v>Service</v>
      </c>
      <c r="B174" s="57"/>
      <c r="C174" s="117"/>
      <c r="D174" s="86"/>
      <c r="E174" s="118"/>
      <c r="F174" s="117"/>
      <c r="G174" s="86"/>
      <c r="H174" s="118"/>
      <c r="I174" s="117"/>
      <c r="J174" s="86"/>
      <c r="K174" s="118"/>
      <c r="L174" s="117"/>
      <c r="M174" s="86"/>
      <c r="N174" s="118"/>
      <c r="O174" s="117"/>
      <c r="P174" s="86"/>
      <c r="Q174" s="118"/>
      <c r="R174" s="117"/>
      <c r="S174" s="86"/>
      <c r="T174" s="118"/>
      <c r="U174" s="117"/>
      <c r="V174" s="86"/>
      <c r="W174" s="118"/>
      <c r="X174" s="117"/>
      <c r="Y174" s="86"/>
      <c r="Z174" s="118"/>
      <c r="AA174" s="117"/>
      <c r="AB174" s="86"/>
      <c r="AC174" s="118"/>
      <c r="AD174" s="117"/>
      <c r="AE174" s="86"/>
      <c r="AF174" s="118"/>
      <c r="AG174" s="117"/>
      <c r="AH174" s="86"/>
      <c r="AI174" s="118"/>
      <c r="AJ174" s="117"/>
      <c r="AK174" s="86"/>
      <c r="AL174" s="118"/>
      <c r="AM174" s="117"/>
      <c r="AN174" s="86"/>
      <c r="AO174" s="118"/>
      <c r="AP174" s="48"/>
      <c r="AQ174" s="48"/>
      <c r="AR174" s="48"/>
      <c r="AS174" s="48"/>
      <c r="AT174" s="48"/>
      <c r="AU174" s="48"/>
      <c r="AV174" s="48"/>
      <c r="AW174" s="48"/>
      <c r="AX174" s="48"/>
      <c r="AY174" s="48"/>
      <c r="AZ174" s="48"/>
      <c r="BA174" s="48"/>
      <c r="BB174" s="48"/>
      <c r="BC174" s="48"/>
      <c r="BD174" s="48"/>
      <c r="BE174" s="48"/>
      <c r="BF174" s="48"/>
      <c r="BG174" s="48"/>
      <c r="BH174" s="48"/>
      <c r="BI174" s="48"/>
    </row>
    <row r="175" ht="15.75" customHeight="1">
      <c r="A175" s="41" t="str">
        <f t="shared" si="3"/>
        <v>ServiceM/O Client</v>
      </c>
      <c r="B175" s="57" t="s">
        <v>162</v>
      </c>
      <c r="C175" s="126"/>
      <c r="D175" s="88"/>
      <c r="E175" s="75"/>
      <c r="F175" s="126"/>
      <c r="G175" s="88"/>
      <c r="H175" s="75"/>
      <c r="I175" s="126"/>
      <c r="J175" s="88"/>
      <c r="K175" s="75"/>
      <c r="L175" s="126"/>
      <c r="M175" s="88"/>
      <c r="N175" s="75"/>
      <c r="O175" s="126"/>
      <c r="P175" s="88"/>
      <c r="Q175" s="75"/>
      <c r="R175" s="126"/>
      <c r="S175" s="88"/>
      <c r="T175" s="75"/>
      <c r="U175" s="126"/>
      <c r="V175" s="88"/>
      <c r="W175" s="75"/>
      <c r="X175" s="126"/>
      <c r="Y175" s="88"/>
      <c r="Z175" s="75"/>
      <c r="AA175" s="126"/>
      <c r="AB175" s="88"/>
      <c r="AC175" s="75"/>
      <c r="AD175" s="126"/>
      <c r="AE175" s="88"/>
      <c r="AF175" s="75"/>
      <c r="AG175" s="126"/>
      <c r="AH175" s="88"/>
      <c r="AI175" s="75"/>
      <c r="AJ175" s="126"/>
      <c r="AK175" s="88"/>
      <c r="AL175" s="75"/>
      <c r="AM175" s="126"/>
      <c r="AN175" s="88"/>
      <c r="AO175" s="75"/>
      <c r="AP175" s="48"/>
      <c r="AQ175" s="48"/>
      <c r="AR175" s="48"/>
      <c r="AS175" s="48"/>
      <c r="AT175" s="48"/>
      <c r="AU175" s="48"/>
      <c r="AV175" s="48"/>
      <c r="AW175" s="48"/>
      <c r="AX175" s="48"/>
      <c r="AY175" s="48"/>
      <c r="AZ175" s="48"/>
      <c r="BA175" s="48"/>
      <c r="BB175" s="48"/>
      <c r="BC175" s="48"/>
      <c r="BD175" s="48"/>
      <c r="BE175" s="48"/>
      <c r="BF175" s="48"/>
      <c r="BG175" s="48"/>
      <c r="BH175" s="48"/>
      <c r="BI175" s="48"/>
    </row>
    <row r="176" ht="15.75" customHeight="1">
      <c r="A176" s="41" t="str">
        <f t="shared" si="3"/>
        <v>Service% profit / ventes</v>
      </c>
      <c r="B176" s="57" t="s">
        <v>163</v>
      </c>
      <c r="C176" s="126"/>
      <c r="D176" s="74"/>
      <c r="E176" s="127"/>
      <c r="F176" s="126"/>
      <c r="G176" s="74"/>
      <c r="H176" s="127"/>
      <c r="I176" s="126"/>
      <c r="J176" s="74"/>
      <c r="K176" s="127"/>
      <c r="L176" s="126"/>
      <c r="M176" s="74"/>
      <c r="N176" s="127"/>
      <c r="O176" s="126"/>
      <c r="P176" s="74"/>
      <c r="Q176" s="127"/>
      <c r="R176" s="126"/>
      <c r="S176" s="74"/>
      <c r="T176" s="127"/>
      <c r="U176" s="126"/>
      <c r="V176" s="74"/>
      <c r="W176" s="127"/>
      <c r="X176" s="126"/>
      <c r="Y176" s="74"/>
      <c r="Z176" s="127"/>
      <c r="AA176" s="126"/>
      <c r="AB176" s="74"/>
      <c r="AC176" s="127"/>
      <c r="AD176" s="126"/>
      <c r="AE176" s="74"/>
      <c r="AF176" s="127"/>
      <c r="AG176" s="126"/>
      <c r="AH176" s="74"/>
      <c r="AI176" s="127"/>
      <c r="AJ176" s="126"/>
      <c r="AK176" s="74"/>
      <c r="AL176" s="127"/>
      <c r="AM176" s="126"/>
      <c r="AN176" s="74"/>
      <c r="AO176" s="127"/>
      <c r="AP176" s="48"/>
      <c r="AQ176" s="48"/>
      <c r="AR176" s="48"/>
      <c r="AS176" s="48"/>
      <c r="AT176" s="48"/>
      <c r="AU176" s="48"/>
      <c r="AV176" s="48"/>
      <c r="AW176" s="48"/>
      <c r="AX176" s="48"/>
      <c r="AY176" s="48"/>
      <c r="AZ176" s="48"/>
      <c r="BA176" s="48"/>
      <c r="BB176" s="48"/>
      <c r="BC176" s="48"/>
      <c r="BD176" s="48"/>
      <c r="BE176" s="48"/>
      <c r="BF176" s="48"/>
      <c r="BG176" s="48"/>
      <c r="BH176" s="48"/>
      <c r="BI176" s="48"/>
    </row>
    <row r="177" ht="15.75" customHeight="1">
      <c r="A177" s="41" t="str">
        <f t="shared" si="3"/>
        <v>Service</v>
      </c>
      <c r="B177" s="53"/>
      <c r="C177" s="128"/>
      <c r="D177" s="129"/>
      <c r="E177" s="130"/>
      <c r="F177" s="128"/>
      <c r="G177" s="129"/>
      <c r="H177" s="130"/>
      <c r="I177" s="128"/>
      <c r="J177" s="129"/>
      <c r="K177" s="130"/>
      <c r="L177" s="128"/>
      <c r="M177" s="129"/>
      <c r="N177" s="130"/>
      <c r="O177" s="128"/>
      <c r="P177" s="129"/>
      <c r="Q177" s="130"/>
      <c r="R177" s="128"/>
      <c r="S177" s="129"/>
      <c r="T177" s="130"/>
      <c r="U177" s="128"/>
      <c r="V177" s="129"/>
      <c r="W177" s="130"/>
      <c r="X177" s="128"/>
      <c r="Y177" s="129"/>
      <c r="Z177" s="130"/>
      <c r="AA177" s="128"/>
      <c r="AB177" s="129"/>
      <c r="AC177" s="130"/>
      <c r="AD177" s="128"/>
      <c r="AE177" s="129"/>
      <c r="AF177" s="130"/>
      <c r="AG177" s="128"/>
      <c r="AH177" s="129"/>
      <c r="AI177" s="130"/>
      <c r="AJ177" s="128"/>
      <c r="AK177" s="129"/>
      <c r="AL177" s="130"/>
      <c r="AM177" s="128"/>
      <c r="AN177" s="129"/>
      <c r="AO177" s="130"/>
      <c r="AP177" s="48"/>
      <c r="AQ177" s="48"/>
      <c r="AR177" s="48"/>
      <c r="AS177" s="48"/>
      <c r="AT177" s="48"/>
      <c r="AU177" s="48"/>
      <c r="AV177" s="48"/>
      <c r="AW177" s="48"/>
      <c r="AX177" s="48"/>
      <c r="AY177" s="48"/>
      <c r="AZ177" s="48"/>
      <c r="BA177" s="48"/>
      <c r="BB177" s="48"/>
      <c r="BC177" s="48"/>
      <c r="BD177" s="48"/>
      <c r="BE177" s="48"/>
      <c r="BF177" s="48"/>
      <c r="BG177" s="48"/>
      <c r="BH177" s="48"/>
      <c r="BI177" s="48"/>
    </row>
    <row r="178" ht="15.75" customHeight="1">
      <c r="A178" s="41" t="str">
        <f t="shared" si="3"/>
        <v>ServiceM/O Garantie</v>
      </c>
      <c r="B178" s="49" t="s">
        <v>164</v>
      </c>
      <c r="C178" s="131"/>
      <c r="D178" s="132"/>
      <c r="E178" s="99"/>
      <c r="F178" s="131"/>
      <c r="G178" s="132"/>
      <c r="H178" s="99"/>
      <c r="I178" s="131"/>
      <c r="J178" s="132"/>
      <c r="K178" s="99"/>
      <c r="L178" s="131"/>
      <c r="M178" s="132"/>
      <c r="N178" s="99"/>
      <c r="O178" s="131"/>
      <c r="P178" s="132"/>
      <c r="Q178" s="99"/>
      <c r="R178" s="131"/>
      <c r="S178" s="132"/>
      <c r="T178" s="99"/>
      <c r="U178" s="131"/>
      <c r="V178" s="132"/>
      <c r="W178" s="99"/>
      <c r="X178" s="131"/>
      <c r="Y178" s="132"/>
      <c r="Z178" s="99"/>
      <c r="AA178" s="131"/>
      <c r="AB178" s="132"/>
      <c r="AC178" s="99"/>
      <c r="AD178" s="131"/>
      <c r="AE178" s="132"/>
      <c r="AF178" s="99"/>
      <c r="AG178" s="131"/>
      <c r="AH178" s="132"/>
      <c r="AI178" s="99"/>
      <c r="AJ178" s="131"/>
      <c r="AK178" s="132"/>
      <c r="AL178" s="99"/>
      <c r="AM178" s="131"/>
      <c r="AN178" s="132"/>
      <c r="AO178" s="99"/>
      <c r="AP178" s="48"/>
      <c r="AQ178" s="48"/>
      <c r="AR178" s="48"/>
      <c r="AS178" s="48"/>
      <c r="AT178" s="48"/>
      <c r="AU178" s="48"/>
      <c r="AV178" s="48"/>
      <c r="AW178" s="48"/>
      <c r="AX178" s="48"/>
      <c r="AY178" s="48"/>
      <c r="AZ178" s="48"/>
      <c r="BA178" s="48"/>
      <c r="BB178" s="48"/>
      <c r="BC178" s="48"/>
      <c r="BD178" s="48"/>
      <c r="BE178" s="48"/>
      <c r="BF178" s="48"/>
      <c r="BG178" s="48"/>
      <c r="BH178" s="48"/>
      <c r="BI178" s="48"/>
    </row>
    <row r="179" ht="15.75" customHeight="1">
      <c r="A179" s="41" t="str">
        <f t="shared" si="3"/>
        <v>Service% profit / ventes</v>
      </c>
      <c r="B179" s="57" t="s">
        <v>163</v>
      </c>
      <c r="C179" s="57"/>
      <c r="D179" s="74"/>
      <c r="E179" s="127"/>
      <c r="F179" s="57"/>
      <c r="G179" s="74"/>
      <c r="H179" s="127"/>
      <c r="I179" s="57"/>
      <c r="J179" s="74"/>
      <c r="K179" s="127"/>
      <c r="L179" s="57"/>
      <c r="M179" s="74"/>
      <c r="N179" s="127"/>
      <c r="O179" s="57"/>
      <c r="P179" s="74"/>
      <c r="Q179" s="127"/>
      <c r="R179" s="57"/>
      <c r="S179" s="74"/>
      <c r="T179" s="127"/>
      <c r="U179" s="57"/>
      <c r="V179" s="74"/>
      <c r="W179" s="127"/>
      <c r="X179" s="57"/>
      <c r="Y179" s="74"/>
      <c r="Z179" s="127"/>
      <c r="AA179" s="57"/>
      <c r="AB179" s="74"/>
      <c r="AC179" s="127"/>
      <c r="AD179" s="57"/>
      <c r="AE179" s="74"/>
      <c r="AF179" s="127"/>
      <c r="AG179" s="57"/>
      <c r="AH179" s="74"/>
      <c r="AI179" s="127"/>
      <c r="AJ179" s="57"/>
      <c r="AK179" s="74"/>
      <c r="AL179" s="127"/>
      <c r="AM179" s="57"/>
      <c r="AN179" s="74"/>
      <c r="AO179" s="127"/>
      <c r="AP179" s="48"/>
      <c r="AQ179" s="48"/>
      <c r="AR179" s="48"/>
      <c r="AS179" s="48"/>
      <c r="AT179" s="48"/>
      <c r="AU179" s="48"/>
      <c r="AV179" s="48"/>
      <c r="AW179" s="48"/>
      <c r="AX179" s="48"/>
      <c r="AY179" s="48"/>
      <c r="AZ179" s="48"/>
      <c r="BA179" s="48"/>
      <c r="BB179" s="48"/>
      <c r="BC179" s="48"/>
      <c r="BD179" s="48"/>
      <c r="BE179" s="48"/>
      <c r="BF179" s="48"/>
      <c r="BG179" s="48"/>
      <c r="BH179" s="48"/>
      <c r="BI179" s="48"/>
    </row>
    <row r="180" ht="15.75" customHeight="1">
      <c r="A180" s="41" t="str">
        <f t="shared" si="3"/>
        <v>Service</v>
      </c>
      <c r="B180" s="53"/>
      <c r="C180" s="53"/>
      <c r="D180" s="129"/>
      <c r="E180" s="130"/>
      <c r="F180" s="53"/>
      <c r="G180" s="129"/>
      <c r="H180" s="130"/>
      <c r="I180" s="53"/>
      <c r="J180" s="129"/>
      <c r="K180" s="130"/>
      <c r="L180" s="53"/>
      <c r="M180" s="129"/>
      <c r="N180" s="130"/>
      <c r="O180" s="53"/>
      <c r="P180" s="129"/>
      <c r="Q180" s="130"/>
      <c r="R180" s="53"/>
      <c r="S180" s="129"/>
      <c r="T180" s="130"/>
      <c r="U180" s="53"/>
      <c r="V180" s="129"/>
      <c r="W180" s="130"/>
      <c r="X180" s="53"/>
      <c r="Y180" s="129"/>
      <c r="Z180" s="130"/>
      <c r="AA180" s="53"/>
      <c r="AB180" s="129"/>
      <c r="AC180" s="130"/>
      <c r="AD180" s="53"/>
      <c r="AE180" s="129"/>
      <c r="AF180" s="130"/>
      <c r="AG180" s="53"/>
      <c r="AH180" s="129"/>
      <c r="AI180" s="130"/>
      <c r="AJ180" s="53"/>
      <c r="AK180" s="129"/>
      <c r="AL180" s="130"/>
      <c r="AM180" s="53"/>
      <c r="AN180" s="129"/>
      <c r="AO180" s="130"/>
      <c r="AP180" s="48"/>
      <c r="AQ180" s="48"/>
      <c r="AR180" s="48"/>
      <c r="AS180" s="48"/>
      <c r="AT180" s="48"/>
      <c r="AU180" s="48"/>
      <c r="AV180" s="48"/>
      <c r="AW180" s="48"/>
      <c r="AX180" s="48"/>
      <c r="AY180" s="48"/>
      <c r="AZ180" s="48"/>
      <c r="BA180" s="48"/>
      <c r="BB180" s="48"/>
      <c r="BC180" s="48"/>
      <c r="BD180" s="48"/>
      <c r="BE180" s="48"/>
      <c r="BF180" s="48"/>
      <c r="BG180" s="48"/>
      <c r="BH180" s="48"/>
      <c r="BI180" s="48"/>
    </row>
    <row r="181" ht="15.75" customHeight="1">
      <c r="A181" s="41" t="str">
        <f t="shared" si="3"/>
        <v>ServiceM/O Interne</v>
      </c>
      <c r="B181" s="57" t="s">
        <v>165</v>
      </c>
      <c r="C181" s="126"/>
      <c r="D181" s="88"/>
      <c r="E181" s="75"/>
      <c r="F181" s="126"/>
      <c r="G181" s="88"/>
      <c r="H181" s="75"/>
      <c r="I181" s="126"/>
      <c r="J181" s="88"/>
      <c r="K181" s="75"/>
      <c r="L181" s="126"/>
      <c r="M181" s="88"/>
      <c r="N181" s="75"/>
      <c r="O181" s="126"/>
      <c r="P181" s="88"/>
      <c r="Q181" s="75"/>
      <c r="R181" s="126"/>
      <c r="S181" s="88"/>
      <c r="T181" s="75"/>
      <c r="U181" s="126"/>
      <c r="V181" s="88"/>
      <c r="W181" s="75"/>
      <c r="X181" s="126"/>
      <c r="Y181" s="88"/>
      <c r="Z181" s="75"/>
      <c r="AA181" s="126"/>
      <c r="AB181" s="88"/>
      <c r="AC181" s="75"/>
      <c r="AD181" s="126"/>
      <c r="AE181" s="88"/>
      <c r="AF181" s="75"/>
      <c r="AG181" s="126"/>
      <c r="AH181" s="88"/>
      <c r="AI181" s="75"/>
      <c r="AJ181" s="126"/>
      <c r="AK181" s="88"/>
      <c r="AL181" s="75"/>
      <c r="AM181" s="126"/>
      <c r="AN181" s="88"/>
      <c r="AO181" s="75"/>
      <c r="AP181" s="48"/>
      <c r="AQ181" s="48"/>
      <c r="AR181" s="48"/>
      <c r="AS181" s="48"/>
      <c r="AT181" s="48"/>
      <c r="AU181" s="48"/>
      <c r="AV181" s="48"/>
      <c r="AW181" s="48"/>
      <c r="AX181" s="48"/>
      <c r="AY181" s="48"/>
      <c r="AZ181" s="48"/>
      <c r="BA181" s="48"/>
      <c r="BB181" s="48"/>
      <c r="BC181" s="48"/>
      <c r="BD181" s="48"/>
      <c r="BE181" s="48"/>
      <c r="BF181" s="48"/>
      <c r="BG181" s="48"/>
      <c r="BH181" s="48"/>
      <c r="BI181" s="48"/>
    </row>
    <row r="182" ht="15.75" customHeight="1">
      <c r="A182" s="41" t="str">
        <f t="shared" si="3"/>
        <v>Service% profit / ventes</v>
      </c>
      <c r="B182" s="57" t="s">
        <v>163</v>
      </c>
      <c r="C182" s="126"/>
      <c r="D182" s="133"/>
      <c r="E182" s="127"/>
      <c r="F182" s="126"/>
      <c r="G182" s="133"/>
      <c r="H182" s="127"/>
      <c r="I182" s="126"/>
      <c r="J182" s="133"/>
      <c r="K182" s="127"/>
      <c r="L182" s="126"/>
      <c r="M182" s="133"/>
      <c r="N182" s="127"/>
      <c r="O182" s="126"/>
      <c r="P182" s="133"/>
      <c r="Q182" s="127"/>
      <c r="R182" s="126"/>
      <c r="S182" s="133"/>
      <c r="T182" s="127"/>
      <c r="U182" s="126"/>
      <c r="V182" s="133"/>
      <c r="W182" s="127"/>
      <c r="X182" s="126"/>
      <c r="Y182" s="133"/>
      <c r="Z182" s="127"/>
      <c r="AA182" s="126"/>
      <c r="AB182" s="133"/>
      <c r="AC182" s="127"/>
      <c r="AD182" s="126"/>
      <c r="AE182" s="133"/>
      <c r="AF182" s="127"/>
      <c r="AG182" s="126"/>
      <c r="AH182" s="133"/>
      <c r="AI182" s="127"/>
      <c r="AJ182" s="126"/>
      <c r="AK182" s="133"/>
      <c r="AL182" s="127"/>
      <c r="AM182" s="126"/>
      <c r="AN182" s="133"/>
      <c r="AO182" s="127"/>
      <c r="AP182" s="48"/>
      <c r="AQ182" s="48"/>
      <c r="AR182" s="48"/>
      <c r="AS182" s="48"/>
      <c r="AT182" s="48"/>
      <c r="AU182" s="48"/>
      <c r="AV182" s="48"/>
      <c r="AW182" s="48"/>
      <c r="AX182" s="48"/>
      <c r="AY182" s="48"/>
      <c r="AZ182" s="48"/>
      <c r="BA182" s="48"/>
      <c r="BB182" s="48"/>
      <c r="BC182" s="48"/>
      <c r="BD182" s="48"/>
      <c r="BE182" s="48"/>
      <c r="BF182" s="48"/>
      <c r="BG182" s="48"/>
      <c r="BH182" s="48"/>
      <c r="BI182" s="48"/>
    </row>
    <row r="183" ht="15.75" customHeight="1">
      <c r="A183" s="41" t="str">
        <f t="shared" si="3"/>
        <v>Service</v>
      </c>
      <c r="B183" s="57"/>
      <c r="C183" s="126"/>
      <c r="D183" s="134"/>
      <c r="E183" s="127"/>
      <c r="F183" s="126"/>
      <c r="G183" s="134"/>
      <c r="H183" s="127"/>
      <c r="I183" s="126"/>
      <c r="J183" s="134"/>
      <c r="K183" s="127"/>
      <c r="L183" s="126"/>
      <c r="M183" s="134"/>
      <c r="N183" s="127"/>
      <c r="O183" s="126"/>
      <c r="P183" s="134"/>
      <c r="Q183" s="127"/>
      <c r="R183" s="126"/>
      <c r="S183" s="134"/>
      <c r="T183" s="127"/>
      <c r="U183" s="126"/>
      <c r="V183" s="134"/>
      <c r="W183" s="127"/>
      <c r="X183" s="126"/>
      <c r="Y183" s="134"/>
      <c r="Z183" s="127"/>
      <c r="AA183" s="126"/>
      <c r="AB183" s="134"/>
      <c r="AC183" s="127"/>
      <c r="AD183" s="126"/>
      <c r="AE183" s="134"/>
      <c r="AF183" s="127"/>
      <c r="AG183" s="126"/>
      <c r="AH183" s="134"/>
      <c r="AI183" s="127"/>
      <c r="AJ183" s="126"/>
      <c r="AK183" s="134"/>
      <c r="AL183" s="127"/>
      <c r="AM183" s="126"/>
      <c r="AN183" s="134"/>
      <c r="AO183" s="127"/>
      <c r="AP183" s="48"/>
      <c r="AQ183" s="48"/>
      <c r="AR183" s="48"/>
      <c r="AS183" s="48"/>
      <c r="AT183" s="48"/>
      <c r="AU183" s="48"/>
      <c r="AV183" s="48"/>
      <c r="AW183" s="48"/>
      <c r="AX183" s="48"/>
      <c r="AY183" s="48"/>
      <c r="AZ183" s="48"/>
      <c r="BA183" s="48"/>
      <c r="BB183" s="48"/>
      <c r="BC183" s="48"/>
      <c r="BD183" s="48"/>
      <c r="BE183" s="48"/>
      <c r="BF183" s="48"/>
      <c r="BG183" s="48"/>
      <c r="BH183" s="48"/>
      <c r="BI183" s="48"/>
    </row>
    <row r="184" ht="15.75" customHeight="1">
      <c r="A184" s="41" t="str">
        <f t="shared" si="3"/>
        <v>ServiceM/O Esthétique</v>
      </c>
      <c r="B184" s="49" t="s">
        <v>166</v>
      </c>
      <c r="C184" s="131"/>
      <c r="D184" s="132"/>
      <c r="E184" s="99"/>
      <c r="F184" s="131"/>
      <c r="G184" s="132"/>
      <c r="H184" s="99"/>
      <c r="I184" s="131"/>
      <c r="J184" s="132"/>
      <c r="K184" s="99"/>
      <c r="L184" s="131"/>
      <c r="M184" s="132"/>
      <c r="N184" s="99"/>
      <c r="O184" s="131"/>
      <c r="P184" s="132"/>
      <c r="Q184" s="99"/>
      <c r="R184" s="131"/>
      <c r="S184" s="132"/>
      <c r="T184" s="99"/>
      <c r="U184" s="131"/>
      <c r="V184" s="132"/>
      <c r="W184" s="99"/>
      <c r="X184" s="131"/>
      <c r="Y184" s="132"/>
      <c r="Z184" s="99"/>
      <c r="AA184" s="131"/>
      <c r="AB184" s="132"/>
      <c r="AC184" s="99"/>
      <c r="AD184" s="131"/>
      <c r="AE184" s="132"/>
      <c r="AF184" s="99"/>
      <c r="AG184" s="131"/>
      <c r="AH184" s="132"/>
      <c r="AI184" s="99"/>
      <c r="AJ184" s="131"/>
      <c r="AK184" s="132"/>
      <c r="AL184" s="99"/>
      <c r="AM184" s="131"/>
      <c r="AN184" s="132"/>
      <c r="AO184" s="99"/>
      <c r="AP184" s="48"/>
      <c r="AQ184" s="48"/>
      <c r="AR184" s="48"/>
      <c r="AS184" s="48"/>
      <c r="AT184" s="48"/>
      <c r="AU184" s="48"/>
      <c r="AV184" s="48"/>
      <c r="AW184" s="48"/>
      <c r="AX184" s="48"/>
      <c r="AY184" s="48"/>
      <c r="AZ184" s="48"/>
      <c r="BA184" s="48"/>
      <c r="BB184" s="48"/>
      <c r="BC184" s="48"/>
      <c r="BD184" s="48"/>
      <c r="BE184" s="48"/>
      <c r="BF184" s="48"/>
      <c r="BG184" s="48"/>
      <c r="BH184" s="48"/>
      <c r="BI184" s="48"/>
    </row>
    <row r="185" ht="15.75" customHeight="1">
      <c r="A185" s="41" t="str">
        <f t="shared" si="3"/>
        <v>Service% profit / ventes</v>
      </c>
      <c r="B185" s="57" t="s">
        <v>163</v>
      </c>
      <c r="C185" s="135"/>
      <c r="D185" s="136"/>
      <c r="E185" s="127"/>
      <c r="F185" s="135"/>
      <c r="G185" s="136"/>
      <c r="H185" s="127"/>
      <c r="I185" s="135"/>
      <c r="J185" s="136"/>
      <c r="K185" s="127"/>
      <c r="L185" s="135"/>
      <c r="M185" s="136"/>
      <c r="N185" s="127"/>
      <c r="O185" s="135"/>
      <c r="P185" s="136"/>
      <c r="Q185" s="127"/>
      <c r="R185" s="135"/>
      <c r="S185" s="136"/>
      <c r="T185" s="127"/>
      <c r="U185" s="135"/>
      <c r="V185" s="136"/>
      <c r="W185" s="127"/>
      <c r="X185" s="135"/>
      <c r="Y185" s="136"/>
      <c r="Z185" s="127"/>
      <c r="AA185" s="135"/>
      <c r="AB185" s="136"/>
      <c r="AC185" s="127"/>
      <c r="AD185" s="135"/>
      <c r="AE185" s="136"/>
      <c r="AF185" s="127"/>
      <c r="AG185" s="135"/>
      <c r="AH185" s="136"/>
      <c r="AI185" s="127"/>
      <c r="AJ185" s="135"/>
      <c r="AK185" s="136"/>
      <c r="AL185" s="127"/>
      <c r="AM185" s="135"/>
      <c r="AN185" s="136"/>
      <c r="AO185" s="127"/>
      <c r="AP185" s="48"/>
      <c r="AQ185" s="48"/>
      <c r="AR185" s="48"/>
      <c r="AS185" s="48"/>
      <c r="AT185" s="48"/>
      <c r="AU185" s="48"/>
      <c r="AV185" s="48"/>
      <c r="AW185" s="48"/>
      <c r="AX185" s="48"/>
      <c r="AY185" s="48"/>
      <c r="AZ185" s="48"/>
      <c r="BA185" s="48"/>
      <c r="BB185" s="48"/>
      <c r="BC185" s="48"/>
      <c r="BD185" s="48"/>
      <c r="BE185" s="48"/>
      <c r="BF185" s="48"/>
      <c r="BG185" s="48"/>
      <c r="BH185" s="48"/>
      <c r="BI185" s="48"/>
    </row>
    <row r="186" ht="15.75" customHeight="1">
      <c r="A186" s="41" t="str">
        <f t="shared" si="3"/>
        <v>Service</v>
      </c>
      <c r="B186" s="53"/>
      <c r="C186" s="137"/>
      <c r="D186" s="138"/>
      <c r="E186" s="130"/>
      <c r="F186" s="137"/>
      <c r="G186" s="138"/>
      <c r="H186" s="130"/>
      <c r="I186" s="137"/>
      <c r="J186" s="138"/>
      <c r="K186" s="130"/>
      <c r="L186" s="137"/>
      <c r="M186" s="138"/>
      <c r="N186" s="130"/>
      <c r="O186" s="137"/>
      <c r="P186" s="138"/>
      <c r="Q186" s="130"/>
      <c r="R186" s="137"/>
      <c r="S186" s="138"/>
      <c r="T186" s="130"/>
      <c r="U186" s="137"/>
      <c r="V186" s="138"/>
      <c r="W186" s="130"/>
      <c r="X186" s="137"/>
      <c r="Y186" s="138"/>
      <c r="Z186" s="130"/>
      <c r="AA186" s="137"/>
      <c r="AB186" s="138"/>
      <c r="AC186" s="130"/>
      <c r="AD186" s="137"/>
      <c r="AE186" s="138"/>
      <c r="AF186" s="130"/>
      <c r="AG186" s="137"/>
      <c r="AH186" s="138"/>
      <c r="AI186" s="130"/>
      <c r="AJ186" s="137"/>
      <c r="AK186" s="138"/>
      <c r="AL186" s="130"/>
      <c r="AM186" s="137"/>
      <c r="AN186" s="138"/>
      <c r="AO186" s="130"/>
      <c r="AP186" s="48"/>
      <c r="AQ186" s="48"/>
      <c r="AR186" s="48"/>
      <c r="AS186" s="48"/>
      <c r="AT186" s="48"/>
      <c r="AU186" s="48"/>
      <c r="AV186" s="48"/>
      <c r="AW186" s="48"/>
      <c r="AX186" s="48"/>
      <c r="AY186" s="48"/>
      <c r="AZ186" s="48"/>
      <c r="BA186" s="48"/>
      <c r="BB186" s="48"/>
      <c r="BC186" s="48"/>
      <c r="BD186" s="48"/>
      <c r="BE186" s="48"/>
      <c r="BF186" s="48"/>
      <c r="BG186" s="48"/>
      <c r="BH186" s="48"/>
      <c r="BI186" s="48"/>
    </row>
    <row r="187" ht="15.75" customHeight="1">
      <c r="A187" s="41" t="str">
        <f t="shared" si="3"/>
        <v>ServiceAjustement M/O</v>
      </c>
      <c r="B187" s="57" t="s">
        <v>167</v>
      </c>
      <c r="C187" s="126"/>
      <c r="D187" s="88"/>
      <c r="E187" s="75"/>
      <c r="F187" s="126"/>
      <c r="G187" s="88"/>
      <c r="H187" s="75"/>
      <c r="I187" s="126"/>
      <c r="J187" s="88"/>
      <c r="K187" s="75"/>
      <c r="L187" s="126"/>
      <c r="M187" s="88"/>
      <c r="N187" s="75"/>
      <c r="O187" s="126"/>
      <c r="P187" s="88"/>
      <c r="Q187" s="75"/>
      <c r="R187" s="126"/>
      <c r="S187" s="88"/>
      <c r="T187" s="75"/>
      <c r="U187" s="126"/>
      <c r="V187" s="88"/>
      <c r="W187" s="75"/>
      <c r="X187" s="126"/>
      <c r="Y187" s="88"/>
      <c r="Z187" s="75"/>
      <c r="AA187" s="126"/>
      <c r="AB187" s="88"/>
      <c r="AC187" s="75"/>
      <c r="AD187" s="126"/>
      <c r="AE187" s="88"/>
      <c r="AF187" s="75"/>
      <c r="AG187" s="126"/>
      <c r="AH187" s="88"/>
      <c r="AI187" s="75"/>
      <c r="AJ187" s="126"/>
      <c r="AK187" s="88"/>
      <c r="AL187" s="75"/>
      <c r="AM187" s="126"/>
      <c r="AN187" s="88"/>
      <c r="AO187" s="75"/>
      <c r="AP187" s="48"/>
      <c r="AQ187" s="48"/>
      <c r="AR187" s="48"/>
      <c r="AS187" s="48"/>
      <c r="AT187" s="48"/>
      <c r="AU187" s="48"/>
      <c r="AV187" s="48"/>
      <c r="AW187" s="48"/>
      <c r="AX187" s="48"/>
      <c r="AY187" s="48"/>
      <c r="AZ187" s="48"/>
      <c r="BA187" s="48"/>
      <c r="BB187" s="48"/>
      <c r="BC187" s="48"/>
      <c r="BD187" s="48"/>
      <c r="BE187" s="48"/>
      <c r="BF187" s="48"/>
      <c r="BG187" s="48"/>
      <c r="BH187" s="48"/>
      <c r="BI187" s="48"/>
    </row>
    <row r="188" ht="15.75" customHeight="1">
      <c r="A188" s="41" t="str">
        <f t="shared" si="3"/>
        <v>ServiceSous-total M/O</v>
      </c>
      <c r="B188" s="76" t="s">
        <v>168</v>
      </c>
      <c r="C188" s="77"/>
      <c r="D188" s="139"/>
      <c r="E188" s="79"/>
      <c r="F188" s="77"/>
      <c r="G188" s="139"/>
      <c r="H188" s="79"/>
      <c r="I188" s="77"/>
      <c r="J188" s="139"/>
      <c r="K188" s="79"/>
      <c r="L188" s="77"/>
      <c r="M188" s="139"/>
      <c r="N188" s="79"/>
      <c r="O188" s="77"/>
      <c r="P188" s="139"/>
      <c r="Q188" s="79"/>
      <c r="R188" s="77"/>
      <c r="S188" s="139"/>
      <c r="T188" s="79"/>
      <c r="U188" s="77"/>
      <c r="V188" s="139"/>
      <c r="W188" s="79"/>
      <c r="X188" s="77"/>
      <c r="Y188" s="139"/>
      <c r="Z188" s="79"/>
      <c r="AA188" s="77"/>
      <c r="AB188" s="139"/>
      <c r="AC188" s="79"/>
      <c r="AD188" s="77"/>
      <c r="AE188" s="139"/>
      <c r="AF188" s="79"/>
      <c r="AG188" s="77"/>
      <c r="AH188" s="139"/>
      <c r="AI188" s="79"/>
      <c r="AJ188" s="77"/>
      <c r="AK188" s="139"/>
      <c r="AL188" s="79"/>
      <c r="AM188" s="77"/>
      <c r="AN188" s="139"/>
      <c r="AO188" s="79"/>
      <c r="AP188" s="48"/>
      <c r="AQ188" s="48"/>
      <c r="AR188" s="48"/>
      <c r="AS188" s="48"/>
      <c r="AT188" s="48"/>
      <c r="AU188" s="48"/>
      <c r="AV188" s="48"/>
      <c r="AW188" s="48"/>
      <c r="AX188" s="48"/>
      <c r="AY188" s="48"/>
      <c r="AZ188" s="48"/>
      <c r="BA188" s="48"/>
      <c r="BB188" s="48"/>
      <c r="BC188" s="48"/>
      <c r="BD188" s="48"/>
      <c r="BE188" s="48"/>
      <c r="BF188" s="48"/>
      <c r="BG188" s="48"/>
      <c r="BH188" s="48"/>
      <c r="BI188" s="48"/>
    </row>
    <row r="189" ht="15.75" customHeight="1">
      <c r="A189" s="41" t="str">
        <f t="shared" si="3"/>
        <v>Service% protit / ventes</v>
      </c>
      <c r="B189" s="66" t="s">
        <v>169</v>
      </c>
      <c r="C189" s="137"/>
      <c r="D189" s="140"/>
      <c r="E189" s="141"/>
      <c r="F189" s="137"/>
      <c r="G189" s="140"/>
      <c r="H189" s="141"/>
      <c r="I189" s="137"/>
      <c r="J189" s="140"/>
      <c r="K189" s="141"/>
      <c r="L189" s="137"/>
      <c r="M189" s="140"/>
      <c r="N189" s="141"/>
      <c r="O189" s="137"/>
      <c r="P189" s="140"/>
      <c r="Q189" s="141"/>
      <c r="R189" s="137"/>
      <c r="S189" s="140"/>
      <c r="T189" s="141"/>
      <c r="U189" s="137"/>
      <c r="V189" s="140"/>
      <c r="W189" s="141"/>
      <c r="X189" s="137"/>
      <c r="Y189" s="140"/>
      <c r="Z189" s="141"/>
      <c r="AA189" s="137"/>
      <c r="AB189" s="140"/>
      <c r="AC189" s="141"/>
      <c r="AD189" s="137"/>
      <c r="AE189" s="140"/>
      <c r="AF189" s="141"/>
      <c r="AG189" s="137"/>
      <c r="AH189" s="140"/>
      <c r="AI189" s="141"/>
      <c r="AJ189" s="137"/>
      <c r="AK189" s="140"/>
      <c r="AL189" s="141"/>
      <c r="AM189" s="137"/>
      <c r="AN189" s="140"/>
      <c r="AO189" s="141"/>
      <c r="AP189" s="48"/>
      <c r="AQ189" s="48"/>
      <c r="AR189" s="48"/>
      <c r="AS189" s="48"/>
      <c r="AT189" s="48"/>
      <c r="AU189" s="48"/>
      <c r="AV189" s="48"/>
      <c r="AW189" s="48"/>
      <c r="AX189" s="48"/>
      <c r="AY189" s="48"/>
      <c r="AZ189" s="48"/>
      <c r="BA189" s="48"/>
      <c r="BB189" s="48"/>
      <c r="BC189" s="48"/>
      <c r="BD189" s="48"/>
      <c r="BE189" s="48"/>
      <c r="BF189" s="48"/>
      <c r="BG189" s="48"/>
      <c r="BH189" s="48"/>
      <c r="BI189" s="48"/>
    </row>
    <row r="190" ht="15.75" customHeight="1">
      <c r="A190" s="41" t="str">
        <f t="shared" si="3"/>
        <v>Service</v>
      </c>
      <c r="B190" s="61"/>
      <c r="C190" s="126"/>
      <c r="D190" s="88"/>
      <c r="E190" s="99"/>
      <c r="F190" s="126"/>
      <c r="G190" s="88"/>
      <c r="H190" s="99"/>
      <c r="I190" s="126"/>
      <c r="J190" s="88"/>
      <c r="K190" s="99"/>
      <c r="L190" s="126"/>
      <c r="M190" s="88"/>
      <c r="N190" s="99"/>
      <c r="O190" s="126"/>
      <c r="P190" s="88"/>
      <c r="Q190" s="99"/>
      <c r="R190" s="126"/>
      <c r="S190" s="88"/>
      <c r="T190" s="99"/>
      <c r="U190" s="126"/>
      <c r="V190" s="88"/>
      <c r="W190" s="99"/>
      <c r="X190" s="126"/>
      <c r="Y190" s="88"/>
      <c r="Z190" s="99"/>
      <c r="AA190" s="126"/>
      <c r="AB190" s="88"/>
      <c r="AC190" s="99"/>
      <c r="AD190" s="126"/>
      <c r="AE190" s="88"/>
      <c r="AF190" s="99"/>
      <c r="AG190" s="126"/>
      <c r="AH190" s="88"/>
      <c r="AI190" s="99"/>
      <c r="AJ190" s="126"/>
      <c r="AK190" s="88"/>
      <c r="AL190" s="99"/>
      <c r="AM190" s="126"/>
      <c r="AN190" s="88"/>
      <c r="AO190" s="99"/>
      <c r="AP190" s="48"/>
      <c r="AQ190" s="48"/>
      <c r="AR190" s="48"/>
      <c r="AS190" s="48"/>
      <c r="AT190" s="48"/>
      <c r="AU190" s="48"/>
      <c r="AV190" s="48"/>
      <c r="AW190" s="48"/>
      <c r="AX190" s="48"/>
      <c r="AY190" s="48"/>
      <c r="AZ190" s="48"/>
      <c r="BA190" s="48"/>
      <c r="BB190" s="48"/>
      <c r="BC190" s="48"/>
      <c r="BD190" s="48"/>
      <c r="BE190" s="48"/>
      <c r="BF190" s="48"/>
      <c r="BG190" s="48"/>
      <c r="BH190" s="48"/>
      <c r="BI190" s="48"/>
    </row>
    <row r="191" ht="15.75" customHeight="1">
      <c r="A191" s="41" t="str">
        <f t="shared" si="3"/>
        <v>ServiceSous-traitement</v>
      </c>
      <c r="B191" s="57" t="s">
        <v>170</v>
      </c>
      <c r="C191" s="126"/>
      <c r="D191" s="142"/>
      <c r="E191" s="75"/>
      <c r="F191" s="126"/>
      <c r="G191" s="142"/>
      <c r="H191" s="75"/>
      <c r="I191" s="126"/>
      <c r="J191" s="142"/>
      <c r="K191" s="75"/>
      <c r="L191" s="126"/>
      <c r="M191" s="142"/>
      <c r="N191" s="75"/>
      <c r="O191" s="126"/>
      <c r="P191" s="142"/>
      <c r="Q191" s="75"/>
      <c r="R191" s="126"/>
      <c r="S191" s="142"/>
      <c r="T191" s="75"/>
      <c r="U191" s="126"/>
      <c r="V191" s="142"/>
      <c r="W191" s="75"/>
      <c r="X191" s="126"/>
      <c r="Y191" s="142"/>
      <c r="Z191" s="75"/>
      <c r="AA191" s="126"/>
      <c r="AB191" s="142"/>
      <c r="AC191" s="75"/>
      <c r="AD191" s="126"/>
      <c r="AE191" s="142"/>
      <c r="AF191" s="75"/>
      <c r="AG191" s="126"/>
      <c r="AH191" s="142"/>
      <c r="AI191" s="75"/>
      <c r="AJ191" s="126"/>
      <c r="AK191" s="142"/>
      <c r="AL191" s="75"/>
      <c r="AM191" s="126"/>
      <c r="AN191" s="142"/>
      <c r="AO191" s="75"/>
      <c r="AP191" s="48"/>
      <c r="AQ191" s="48"/>
      <c r="AR191" s="48"/>
      <c r="AS191" s="48"/>
      <c r="AT191" s="48"/>
      <c r="AU191" s="48"/>
      <c r="AV191" s="48"/>
      <c r="AW191" s="48"/>
      <c r="AX191" s="48"/>
      <c r="AY191" s="48"/>
      <c r="AZ191" s="48"/>
      <c r="BA191" s="48"/>
      <c r="BB191" s="48"/>
      <c r="BC191" s="48"/>
      <c r="BD191" s="48"/>
      <c r="BE191" s="48"/>
      <c r="BF191" s="48"/>
      <c r="BG191" s="48"/>
      <c r="BH191" s="48"/>
      <c r="BI191" s="48"/>
    </row>
    <row r="192" ht="15.75" customHeight="1">
      <c r="A192" s="41" t="str">
        <f t="shared" si="3"/>
        <v>Service% profit / ventes</v>
      </c>
      <c r="B192" s="57" t="s">
        <v>163</v>
      </c>
      <c r="C192" s="126"/>
      <c r="D192" s="133"/>
      <c r="E192" s="127"/>
      <c r="F192" s="126"/>
      <c r="G192" s="133"/>
      <c r="H192" s="127"/>
      <c r="I192" s="126"/>
      <c r="J192" s="133"/>
      <c r="K192" s="127"/>
      <c r="L192" s="126"/>
      <c r="M192" s="133"/>
      <c r="N192" s="127"/>
      <c r="O192" s="126"/>
      <c r="P192" s="133"/>
      <c r="Q192" s="127"/>
      <c r="R192" s="126"/>
      <c r="S192" s="133"/>
      <c r="T192" s="127"/>
      <c r="U192" s="126"/>
      <c r="V192" s="133"/>
      <c r="W192" s="127"/>
      <c r="X192" s="126"/>
      <c r="Y192" s="133"/>
      <c r="Z192" s="127"/>
      <c r="AA192" s="126"/>
      <c r="AB192" s="133"/>
      <c r="AC192" s="127"/>
      <c r="AD192" s="126"/>
      <c r="AE192" s="133"/>
      <c r="AF192" s="127"/>
      <c r="AG192" s="126"/>
      <c r="AH192" s="133"/>
      <c r="AI192" s="127"/>
      <c r="AJ192" s="126"/>
      <c r="AK192" s="133"/>
      <c r="AL192" s="127"/>
      <c r="AM192" s="126"/>
      <c r="AN192" s="133"/>
      <c r="AO192" s="127"/>
      <c r="AP192" s="48"/>
      <c r="AQ192" s="48"/>
      <c r="AR192" s="48"/>
      <c r="AS192" s="48"/>
      <c r="AT192" s="48"/>
      <c r="AU192" s="48"/>
      <c r="AV192" s="48"/>
      <c r="AW192" s="48"/>
      <c r="AX192" s="48"/>
      <c r="AY192" s="48"/>
      <c r="AZ192" s="48"/>
      <c r="BA192" s="48"/>
      <c r="BB192" s="48"/>
      <c r="BC192" s="48"/>
      <c r="BD192" s="48"/>
      <c r="BE192" s="48"/>
      <c r="BF192" s="48"/>
      <c r="BG192" s="48"/>
      <c r="BH192" s="48"/>
      <c r="BI192" s="48"/>
    </row>
    <row r="193" ht="15.75" customHeight="1">
      <c r="A193" s="41" t="str">
        <f t="shared" si="3"/>
        <v>Service</v>
      </c>
      <c r="B193" s="57"/>
      <c r="C193" s="126"/>
      <c r="D193" s="133"/>
      <c r="E193" s="127"/>
      <c r="F193" s="126"/>
      <c r="G193" s="133"/>
      <c r="H193" s="127"/>
      <c r="I193" s="126"/>
      <c r="J193" s="133"/>
      <c r="K193" s="127"/>
      <c r="L193" s="126"/>
      <c r="M193" s="133"/>
      <c r="N193" s="127"/>
      <c r="O193" s="126"/>
      <c r="P193" s="133"/>
      <c r="Q193" s="127"/>
      <c r="R193" s="126"/>
      <c r="S193" s="133"/>
      <c r="T193" s="127"/>
      <c r="U193" s="126"/>
      <c r="V193" s="133"/>
      <c r="W193" s="127"/>
      <c r="X193" s="126"/>
      <c r="Y193" s="133"/>
      <c r="Z193" s="127"/>
      <c r="AA193" s="126"/>
      <c r="AB193" s="133"/>
      <c r="AC193" s="127"/>
      <c r="AD193" s="126"/>
      <c r="AE193" s="133"/>
      <c r="AF193" s="127"/>
      <c r="AG193" s="126"/>
      <c r="AH193" s="133"/>
      <c r="AI193" s="127"/>
      <c r="AJ193" s="126"/>
      <c r="AK193" s="133"/>
      <c r="AL193" s="127"/>
      <c r="AM193" s="126"/>
      <c r="AN193" s="133"/>
      <c r="AO193" s="127"/>
      <c r="AP193" s="48"/>
      <c r="AQ193" s="48"/>
      <c r="AR193" s="48"/>
      <c r="AS193" s="48"/>
      <c r="AT193" s="48"/>
      <c r="AU193" s="48"/>
      <c r="AV193" s="48"/>
      <c r="AW193" s="48"/>
      <c r="AX193" s="48"/>
      <c r="AY193" s="48"/>
      <c r="AZ193" s="48"/>
      <c r="BA193" s="48"/>
      <c r="BB193" s="48"/>
      <c r="BC193" s="48"/>
      <c r="BD193" s="48"/>
      <c r="BE193" s="48"/>
      <c r="BF193" s="48"/>
      <c r="BG193" s="48"/>
      <c r="BH193" s="48"/>
      <c r="BI193" s="48"/>
    </row>
    <row r="194" ht="15.75" customHeight="1">
      <c r="A194" s="41" t="str">
        <f t="shared" si="3"/>
        <v>ServiceM.O. Recond. MCPA</v>
      </c>
      <c r="B194" s="49" t="s">
        <v>171</v>
      </c>
      <c r="C194" s="131"/>
      <c r="D194" s="143"/>
      <c r="E194" s="99"/>
      <c r="F194" s="131"/>
      <c r="G194" s="143"/>
      <c r="H194" s="99"/>
      <c r="I194" s="131"/>
      <c r="J194" s="143"/>
      <c r="K194" s="99"/>
      <c r="L194" s="131"/>
      <c r="M194" s="143"/>
      <c r="N194" s="99"/>
      <c r="O194" s="131"/>
      <c r="P194" s="143"/>
      <c r="Q194" s="99"/>
      <c r="R194" s="131"/>
      <c r="S194" s="143"/>
      <c r="T194" s="99"/>
      <c r="U194" s="131"/>
      <c r="V194" s="143"/>
      <c r="W194" s="99"/>
      <c r="X194" s="131"/>
      <c r="Y194" s="143"/>
      <c r="Z194" s="99"/>
      <c r="AA194" s="131"/>
      <c r="AB194" s="143"/>
      <c r="AC194" s="99"/>
      <c r="AD194" s="131"/>
      <c r="AE194" s="143"/>
      <c r="AF194" s="99"/>
      <c r="AG194" s="131"/>
      <c r="AH194" s="143"/>
      <c r="AI194" s="99"/>
      <c r="AJ194" s="131"/>
      <c r="AK194" s="143"/>
      <c r="AL194" s="99"/>
      <c r="AM194" s="131"/>
      <c r="AN194" s="143"/>
      <c r="AO194" s="99"/>
      <c r="AP194" s="48"/>
      <c r="AQ194" s="48"/>
      <c r="AR194" s="48"/>
      <c r="AS194" s="48"/>
      <c r="AT194" s="48"/>
      <c r="AU194" s="48"/>
      <c r="AV194" s="48"/>
      <c r="AW194" s="48"/>
      <c r="AX194" s="48"/>
      <c r="AY194" s="48"/>
      <c r="AZ194" s="48"/>
      <c r="BA194" s="48"/>
      <c r="BB194" s="48"/>
      <c r="BC194" s="48"/>
      <c r="BD194" s="48"/>
      <c r="BE194" s="48"/>
      <c r="BF194" s="48"/>
      <c r="BG194" s="48"/>
      <c r="BH194" s="48"/>
      <c r="BI194" s="48"/>
    </row>
    <row r="195" ht="15.75" customHeight="1">
      <c r="A195" s="41" t="str">
        <f t="shared" si="3"/>
        <v>Service% profit / ventes</v>
      </c>
      <c r="B195" s="53" t="s">
        <v>163</v>
      </c>
      <c r="C195" s="128"/>
      <c r="D195" s="144"/>
      <c r="E195" s="130"/>
      <c r="F195" s="128"/>
      <c r="G195" s="144"/>
      <c r="H195" s="130"/>
      <c r="I195" s="128"/>
      <c r="J195" s="144"/>
      <c r="K195" s="130"/>
      <c r="L195" s="128"/>
      <c r="M195" s="144"/>
      <c r="N195" s="130"/>
      <c r="O195" s="128"/>
      <c r="P195" s="144"/>
      <c r="Q195" s="130"/>
      <c r="R195" s="128"/>
      <c r="S195" s="144"/>
      <c r="T195" s="130"/>
      <c r="U195" s="128"/>
      <c r="V195" s="144"/>
      <c r="W195" s="130"/>
      <c r="X195" s="128"/>
      <c r="Y195" s="144"/>
      <c r="Z195" s="130"/>
      <c r="AA195" s="128"/>
      <c r="AB195" s="144"/>
      <c r="AC195" s="130"/>
      <c r="AD195" s="128"/>
      <c r="AE195" s="144"/>
      <c r="AF195" s="130"/>
      <c r="AG195" s="128"/>
      <c r="AH195" s="144"/>
      <c r="AI195" s="130"/>
      <c r="AJ195" s="128"/>
      <c r="AK195" s="144"/>
      <c r="AL195" s="130"/>
      <c r="AM195" s="128"/>
      <c r="AN195" s="144"/>
      <c r="AO195" s="130"/>
      <c r="AP195" s="48"/>
      <c r="AQ195" s="48"/>
      <c r="AR195" s="48"/>
      <c r="AS195" s="48"/>
      <c r="AT195" s="48"/>
      <c r="AU195" s="48"/>
      <c r="AV195" s="48"/>
      <c r="AW195" s="48"/>
      <c r="AX195" s="48"/>
      <c r="AY195" s="48"/>
      <c r="AZ195" s="48"/>
      <c r="BA195" s="48"/>
      <c r="BB195" s="48"/>
      <c r="BC195" s="48"/>
      <c r="BD195" s="48"/>
      <c r="BE195" s="48"/>
      <c r="BF195" s="48"/>
      <c r="BG195" s="48"/>
      <c r="BH195" s="48"/>
      <c r="BI195" s="48"/>
    </row>
    <row r="196" ht="15.75" customHeight="1">
      <c r="A196" s="41" t="str">
        <f t="shared" si="3"/>
        <v>Service</v>
      </c>
      <c r="B196" s="61"/>
      <c r="C196" s="145"/>
      <c r="D196" s="146"/>
      <c r="E196" s="147"/>
      <c r="F196" s="145"/>
      <c r="G196" s="146"/>
      <c r="H196" s="147"/>
      <c r="I196" s="145"/>
      <c r="J196" s="146"/>
      <c r="K196" s="147"/>
      <c r="L196" s="145"/>
      <c r="M196" s="146"/>
      <c r="N196" s="147"/>
      <c r="O196" s="145"/>
      <c r="P196" s="146"/>
      <c r="Q196" s="147"/>
      <c r="R196" s="145"/>
      <c r="S196" s="146"/>
      <c r="T196" s="147"/>
      <c r="U196" s="145"/>
      <c r="V196" s="146"/>
      <c r="W196" s="147"/>
      <c r="X196" s="145"/>
      <c r="Y196" s="146"/>
      <c r="Z196" s="147"/>
      <c r="AA196" s="145"/>
      <c r="AB196" s="146"/>
      <c r="AC196" s="147"/>
      <c r="AD196" s="145"/>
      <c r="AE196" s="146"/>
      <c r="AF196" s="147"/>
      <c r="AG196" s="145"/>
      <c r="AH196" s="146"/>
      <c r="AI196" s="147"/>
      <c r="AJ196" s="145"/>
      <c r="AK196" s="146"/>
      <c r="AL196" s="147"/>
      <c r="AM196" s="145"/>
      <c r="AN196" s="146"/>
      <c r="AO196" s="147"/>
      <c r="AP196" s="48"/>
      <c r="AQ196" s="48"/>
      <c r="AR196" s="48"/>
      <c r="AS196" s="48"/>
      <c r="AT196" s="48"/>
      <c r="AU196" s="48"/>
      <c r="AV196" s="48"/>
      <c r="AW196" s="48"/>
      <c r="AX196" s="48"/>
      <c r="AY196" s="48"/>
      <c r="AZ196" s="48"/>
      <c r="BA196" s="48"/>
      <c r="BB196" s="48"/>
      <c r="BC196" s="48"/>
      <c r="BD196" s="48"/>
      <c r="BE196" s="48"/>
      <c r="BF196" s="48"/>
      <c r="BG196" s="48"/>
      <c r="BH196" s="48"/>
      <c r="BI196" s="48"/>
    </row>
    <row r="197" ht="15.75" customHeight="1">
      <c r="A197" s="41" t="str">
        <f t="shared" si="3"/>
        <v>ServiceTotal Mécanique</v>
      </c>
      <c r="B197" s="76" t="s">
        <v>172</v>
      </c>
      <c r="C197" s="77"/>
      <c r="D197" s="139"/>
      <c r="E197" s="79"/>
      <c r="F197" s="77"/>
      <c r="G197" s="139"/>
      <c r="H197" s="79"/>
      <c r="I197" s="77"/>
      <c r="J197" s="139"/>
      <c r="K197" s="79"/>
      <c r="L197" s="77"/>
      <c r="M197" s="139"/>
      <c r="N197" s="79"/>
      <c r="O197" s="77"/>
      <c r="P197" s="139"/>
      <c r="Q197" s="79"/>
      <c r="R197" s="77"/>
      <c r="S197" s="139"/>
      <c r="T197" s="79"/>
      <c r="U197" s="77"/>
      <c r="V197" s="139"/>
      <c r="W197" s="79"/>
      <c r="X197" s="77"/>
      <c r="Y197" s="139"/>
      <c r="Z197" s="79"/>
      <c r="AA197" s="77"/>
      <c r="AB197" s="139"/>
      <c r="AC197" s="79"/>
      <c r="AD197" s="77"/>
      <c r="AE197" s="139"/>
      <c r="AF197" s="79"/>
      <c r="AG197" s="77"/>
      <c r="AH197" s="139"/>
      <c r="AI197" s="79"/>
      <c r="AJ197" s="77"/>
      <c r="AK197" s="139"/>
      <c r="AL197" s="79"/>
      <c r="AM197" s="77"/>
      <c r="AN197" s="139"/>
      <c r="AO197" s="79"/>
      <c r="AP197" s="48"/>
      <c r="AQ197" s="48"/>
      <c r="AR197" s="48"/>
      <c r="AS197" s="48"/>
      <c r="AT197" s="48"/>
      <c r="AU197" s="48"/>
      <c r="AV197" s="48"/>
      <c r="AW197" s="48"/>
      <c r="AX197" s="48"/>
      <c r="AY197" s="48"/>
      <c r="AZ197" s="48"/>
      <c r="BA197" s="48"/>
      <c r="BB197" s="48"/>
      <c r="BC197" s="48"/>
      <c r="BD197" s="48"/>
      <c r="BE197" s="48"/>
      <c r="BF197" s="48"/>
      <c r="BG197" s="48"/>
      <c r="BH197" s="48"/>
      <c r="BI197" s="48"/>
    </row>
    <row r="198" ht="15.75" customHeight="1">
      <c r="A198" s="41" t="str">
        <f t="shared" si="3"/>
        <v>Service</v>
      </c>
      <c r="B198" s="80"/>
      <c r="C198" s="80"/>
      <c r="D198" s="81"/>
      <c r="E198" s="148"/>
      <c r="F198" s="80"/>
      <c r="G198" s="81"/>
      <c r="H198" s="148"/>
      <c r="I198" s="80"/>
      <c r="J198" s="81"/>
      <c r="K198" s="148"/>
      <c r="L198" s="80"/>
      <c r="M198" s="81"/>
      <c r="N198" s="148"/>
      <c r="O198" s="80"/>
      <c r="P198" s="81"/>
      <c r="Q198" s="148"/>
      <c r="R198" s="80"/>
      <c r="S198" s="81"/>
      <c r="T198" s="148"/>
      <c r="U198" s="80"/>
      <c r="V198" s="81"/>
      <c r="W198" s="148"/>
      <c r="X198" s="80"/>
      <c r="Y198" s="81"/>
      <c r="Z198" s="148"/>
      <c r="AA198" s="80"/>
      <c r="AB198" s="81"/>
      <c r="AC198" s="148"/>
      <c r="AD198" s="80"/>
      <c r="AE198" s="81"/>
      <c r="AF198" s="148"/>
      <c r="AG198" s="80"/>
      <c r="AH198" s="81"/>
      <c r="AI198" s="148"/>
      <c r="AJ198" s="80"/>
      <c r="AK198" s="81"/>
      <c r="AL198" s="148"/>
      <c r="AM198" s="80"/>
      <c r="AN198" s="81"/>
      <c r="AO198" s="148"/>
      <c r="AP198" s="48"/>
      <c r="AQ198" s="48"/>
      <c r="AR198" s="48"/>
      <c r="AS198" s="48"/>
      <c r="AT198" s="48"/>
      <c r="AU198" s="48"/>
      <c r="AV198" s="48"/>
      <c r="AW198" s="48"/>
      <c r="AX198" s="48"/>
      <c r="AY198" s="48"/>
      <c r="AZ198" s="48"/>
      <c r="BA198" s="48"/>
      <c r="BB198" s="48"/>
      <c r="BC198" s="48"/>
      <c r="BD198" s="48"/>
      <c r="BE198" s="48"/>
      <c r="BF198" s="48"/>
      <c r="BG198" s="48"/>
      <c r="BH198" s="48"/>
      <c r="BI198" s="48"/>
    </row>
    <row r="199" ht="15.75" customHeight="1">
      <c r="A199" s="41" t="str">
        <f t="shared" si="3"/>
        <v>Service</v>
      </c>
      <c r="B199" s="70"/>
      <c r="C199" s="70"/>
      <c r="D199" s="83"/>
      <c r="E199" s="141"/>
      <c r="F199" s="70"/>
      <c r="G199" s="83"/>
      <c r="H199" s="141"/>
      <c r="I199" s="70"/>
      <c r="J199" s="83"/>
      <c r="K199" s="141"/>
      <c r="L199" s="70"/>
      <c r="M199" s="83"/>
      <c r="N199" s="141"/>
      <c r="O199" s="70"/>
      <c r="P199" s="83"/>
      <c r="Q199" s="141"/>
      <c r="R199" s="70"/>
      <c r="S199" s="83"/>
      <c r="T199" s="141"/>
      <c r="U199" s="70"/>
      <c r="V199" s="83"/>
      <c r="W199" s="141"/>
      <c r="X199" s="70"/>
      <c r="Y199" s="83"/>
      <c r="Z199" s="141"/>
      <c r="AA199" s="70"/>
      <c r="AB199" s="83"/>
      <c r="AC199" s="141"/>
      <c r="AD199" s="70"/>
      <c r="AE199" s="83"/>
      <c r="AF199" s="141"/>
      <c r="AG199" s="70"/>
      <c r="AH199" s="83"/>
      <c r="AI199" s="141"/>
      <c r="AJ199" s="70"/>
      <c r="AK199" s="83"/>
      <c r="AL199" s="141"/>
      <c r="AM199" s="70"/>
      <c r="AN199" s="83"/>
      <c r="AO199" s="141"/>
      <c r="AP199" s="48"/>
      <c r="AQ199" s="48"/>
      <c r="AR199" s="48"/>
      <c r="AS199" s="48"/>
      <c r="AT199" s="48"/>
      <c r="AU199" s="48"/>
      <c r="AV199" s="48"/>
      <c r="AW199" s="48"/>
      <c r="AX199" s="48"/>
      <c r="AY199" s="48"/>
      <c r="AZ199" s="48"/>
      <c r="BA199" s="48"/>
      <c r="BB199" s="48"/>
      <c r="BC199" s="48"/>
      <c r="BD199" s="48"/>
      <c r="BE199" s="48"/>
      <c r="BF199" s="48"/>
      <c r="BG199" s="48"/>
      <c r="BH199" s="48"/>
      <c r="BI199" s="48"/>
    </row>
    <row r="200" ht="15.75" customHeight="1">
      <c r="A200" s="41" t="str">
        <f t="shared" si="3"/>
        <v>ServiceDEPENSES</v>
      </c>
      <c r="B200" s="85" t="s">
        <v>110</v>
      </c>
      <c r="C200" s="57"/>
      <c r="D200" s="74"/>
      <c r="E200" s="65"/>
      <c r="F200" s="57"/>
      <c r="G200" s="74"/>
      <c r="H200" s="65"/>
      <c r="I200" s="57"/>
      <c r="J200" s="74"/>
      <c r="K200" s="65"/>
      <c r="L200" s="57"/>
      <c r="M200" s="74"/>
      <c r="N200" s="65"/>
      <c r="O200" s="57"/>
      <c r="P200" s="74"/>
      <c r="Q200" s="65"/>
      <c r="R200" s="57"/>
      <c r="S200" s="74"/>
      <c r="T200" s="65"/>
      <c r="U200" s="57"/>
      <c r="V200" s="74"/>
      <c r="W200" s="65"/>
      <c r="X200" s="57"/>
      <c r="Y200" s="74"/>
      <c r="Z200" s="65"/>
      <c r="AA200" s="57"/>
      <c r="AB200" s="74"/>
      <c r="AC200" s="65"/>
      <c r="AD200" s="57"/>
      <c r="AE200" s="74"/>
      <c r="AF200" s="65"/>
      <c r="AG200" s="57"/>
      <c r="AH200" s="74"/>
      <c r="AI200" s="65"/>
      <c r="AJ200" s="57"/>
      <c r="AK200" s="74"/>
      <c r="AL200" s="65"/>
      <c r="AM200" s="57"/>
      <c r="AN200" s="74"/>
      <c r="AO200" s="65"/>
      <c r="AP200" s="48"/>
      <c r="AQ200" s="48"/>
      <c r="AR200" s="48"/>
      <c r="AS200" s="48"/>
      <c r="AT200" s="48"/>
      <c r="AU200" s="48"/>
      <c r="AV200" s="48"/>
      <c r="AW200" s="48"/>
      <c r="AX200" s="48"/>
      <c r="AY200" s="48"/>
      <c r="AZ200" s="48"/>
      <c r="BA200" s="48"/>
      <c r="BB200" s="48"/>
      <c r="BC200" s="48"/>
      <c r="BD200" s="48"/>
      <c r="BE200" s="48"/>
      <c r="BF200" s="48"/>
      <c r="BG200" s="48"/>
      <c r="BH200" s="48"/>
      <c r="BI200" s="48"/>
    </row>
    <row r="201" ht="15.75" customHeight="1">
      <c r="A201" s="41" t="str">
        <f t="shared" si="3"/>
        <v>ServiceSalaires cadres</v>
      </c>
      <c r="B201" s="96" t="s">
        <v>119</v>
      </c>
      <c r="C201" s="57"/>
      <c r="D201" s="74"/>
      <c r="E201" s="75"/>
      <c r="F201" s="57"/>
      <c r="G201" s="74"/>
      <c r="H201" s="75"/>
      <c r="I201" s="57"/>
      <c r="J201" s="74"/>
      <c r="K201" s="75"/>
      <c r="L201" s="57"/>
      <c r="M201" s="74"/>
      <c r="N201" s="75"/>
      <c r="O201" s="57"/>
      <c r="P201" s="74"/>
      <c r="Q201" s="75"/>
      <c r="R201" s="57"/>
      <c r="S201" s="74"/>
      <c r="T201" s="75"/>
      <c r="U201" s="57"/>
      <c r="V201" s="74"/>
      <c r="W201" s="75"/>
      <c r="X201" s="57"/>
      <c r="Y201" s="74"/>
      <c r="Z201" s="75"/>
      <c r="AA201" s="57"/>
      <c r="AB201" s="74"/>
      <c r="AC201" s="75"/>
      <c r="AD201" s="57"/>
      <c r="AE201" s="74"/>
      <c r="AF201" s="75"/>
      <c r="AG201" s="57"/>
      <c r="AH201" s="74"/>
      <c r="AI201" s="75"/>
      <c r="AJ201" s="57"/>
      <c r="AK201" s="74"/>
      <c r="AL201" s="75"/>
      <c r="AM201" s="57"/>
      <c r="AN201" s="74"/>
      <c r="AO201" s="75"/>
      <c r="AP201" s="48"/>
      <c r="AQ201" s="48"/>
      <c r="AR201" s="48"/>
      <c r="AS201" s="48"/>
      <c r="AT201" s="48"/>
      <c r="AU201" s="48"/>
      <c r="AV201" s="48"/>
      <c r="AW201" s="48"/>
      <c r="AX201" s="48"/>
      <c r="AY201" s="48"/>
      <c r="AZ201" s="48"/>
      <c r="BA201" s="48"/>
      <c r="BB201" s="48"/>
      <c r="BC201" s="48"/>
      <c r="BD201" s="48"/>
      <c r="BE201" s="48"/>
      <c r="BF201" s="48"/>
      <c r="BG201" s="48"/>
      <c r="BH201" s="48"/>
      <c r="BI201" s="48"/>
    </row>
    <row r="202" ht="15.75" customHeight="1">
      <c r="A202" s="41" t="str">
        <f t="shared" si="3"/>
        <v>ServiceSalaires commis</v>
      </c>
      <c r="B202" s="97" t="s">
        <v>120</v>
      </c>
      <c r="C202" s="57"/>
      <c r="D202" s="74"/>
      <c r="E202" s="75"/>
      <c r="F202" s="57"/>
      <c r="G202" s="74"/>
      <c r="H202" s="75"/>
      <c r="I202" s="57"/>
      <c r="J202" s="74"/>
      <c r="K202" s="75"/>
      <c r="L202" s="57"/>
      <c r="M202" s="74"/>
      <c r="N202" s="75"/>
      <c r="O202" s="57"/>
      <c r="P202" s="74"/>
      <c r="Q202" s="75"/>
      <c r="R202" s="57"/>
      <c r="S202" s="74"/>
      <c r="T202" s="75"/>
      <c r="U202" s="57"/>
      <c r="V202" s="74"/>
      <c r="W202" s="75"/>
      <c r="X202" s="57"/>
      <c r="Y202" s="74"/>
      <c r="Z202" s="75"/>
      <c r="AA202" s="57"/>
      <c r="AB202" s="74"/>
      <c r="AC202" s="75"/>
      <c r="AD202" s="57"/>
      <c r="AE202" s="74"/>
      <c r="AF202" s="75"/>
      <c r="AG202" s="57"/>
      <c r="AH202" s="74"/>
      <c r="AI202" s="75"/>
      <c r="AJ202" s="57"/>
      <c r="AK202" s="74"/>
      <c r="AL202" s="75"/>
      <c r="AM202" s="57"/>
      <c r="AN202" s="74"/>
      <c r="AO202" s="75"/>
      <c r="AP202" s="48"/>
      <c r="AQ202" s="48"/>
      <c r="AR202" s="48"/>
      <c r="AS202" s="48"/>
      <c r="AT202" s="48"/>
      <c r="AU202" s="48"/>
      <c r="AV202" s="48"/>
      <c r="AW202" s="48"/>
      <c r="AX202" s="48"/>
      <c r="AY202" s="48"/>
      <c r="AZ202" s="48"/>
      <c r="BA202" s="48"/>
      <c r="BB202" s="48"/>
      <c r="BC202" s="48"/>
      <c r="BD202" s="48"/>
      <c r="BE202" s="48"/>
      <c r="BF202" s="48"/>
      <c r="BG202" s="48"/>
      <c r="BH202" s="48"/>
      <c r="BI202" s="48"/>
    </row>
    <row r="203" ht="15.75" customHeight="1">
      <c r="A203" s="41" t="str">
        <f t="shared" si="3"/>
        <v>ServiceSalaires autres</v>
      </c>
      <c r="B203" s="96" t="s">
        <v>121</v>
      </c>
      <c r="C203" s="49"/>
      <c r="D203" s="98"/>
      <c r="E203" s="99"/>
      <c r="F203" s="49"/>
      <c r="G203" s="98"/>
      <c r="H203" s="99"/>
      <c r="I203" s="49"/>
      <c r="J203" s="98"/>
      <c r="K203" s="99"/>
      <c r="L203" s="49"/>
      <c r="M203" s="98"/>
      <c r="N203" s="99"/>
      <c r="O203" s="49"/>
      <c r="P203" s="98"/>
      <c r="Q203" s="99"/>
      <c r="R203" s="49"/>
      <c r="S203" s="98"/>
      <c r="T203" s="99"/>
      <c r="U203" s="49"/>
      <c r="V203" s="98"/>
      <c r="W203" s="99"/>
      <c r="X203" s="49"/>
      <c r="Y203" s="98"/>
      <c r="Z203" s="99"/>
      <c r="AA203" s="49"/>
      <c r="AB203" s="98"/>
      <c r="AC203" s="99"/>
      <c r="AD203" s="49"/>
      <c r="AE203" s="98"/>
      <c r="AF203" s="99"/>
      <c r="AG203" s="49"/>
      <c r="AH203" s="98"/>
      <c r="AI203" s="99"/>
      <c r="AJ203" s="49"/>
      <c r="AK203" s="98"/>
      <c r="AL203" s="99"/>
      <c r="AM203" s="49"/>
      <c r="AN203" s="98"/>
      <c r="AO203" s="99"/>
      <c r="AP203" s="48"/>
      <c r="AQ203" s="48"/>
      <c r="AR203" s="48"/>
      <c r="AS203" s="48"/>
      <c r="AT203" s="48"/>
      <c r="AU203" s="48"/>
      <c r="AV203" s="48"/>
      <c r="AW203" s="48"/>
      <c r="AX203" s="48"/>
      <c r="AY203" s="48"/>
      <c r="AZ203" s="48"/>
      <c r="BA203" s="48"/>
      <c r="BB203" s="48"/>
      <c r="BC203" s="48"/>
      <c r="BD203" s="48"/>
      <c r="BE203" s="48"/>
      <c r="BF203" s="48"/>
      <c r="BG203" s="48"/>
      <c r="BH203" s="48"/>
      <c r="BI203" s="48"/>
    </row>
    <row r="204" ht="15.75" customHeight="1">
      <c r="A204" s="41" t="str">
        <f t="shared" si="3"/>
        <v>ServiceSalaires spécialistes</v>
      </c>
      <c r="B204" s="96" t="s">
        <v>122</v>
      </c>
      <c r="C204" s="57"/>
      <c r="D204" s="74"/>
      <c r="E204" s="75"/>
      <c r="F204" s="57"/>
      <c r="G204" s="74"/>
      <c r="H204" s="75"/>
      <c r="I204" s="57"/>
      <c r="J204" s="74"/>
      <c r="K204" s="75"/>
      <c r="L204" s="57"/>
      <c r="M204" s="74"/>
      <c r="N204" s="75"/>
      <c r="O204" s="57"/>
      <c r="P204" s="74"/>
      <c r="Q204" s="75"/>
      <c r="R204" s="57"/>
      <c r="S204" s="74"/>
      <c r="T204" s="75"/>
      <c r="U204" s="57"/>
      <c r="V204" s="74"/>
      <c r="W204" s="75"/>
      <c r="X204" s="57"/>
      <c r="Y204" s="74"/>
      <c r="Z204" s="75"/>
      <c r="AA204" s="57"/>
      <c r="AB204" s="74"/>
      <c r="AC204" s="75"/>
      <c r="AD204" s="57"/>
      <c r="AE204" s="74"/>
      <c r="AF204" s="75"/>
      <c r="AG204" s="57"/>
      <c r="AH204" s="74"/>
      <c r="AI204" s="75"/>
      <c r="AJ204" s="57"/>
      <c r="AK204" s="74"/>
      <c r="AL204" s="75"/>
      <c r="AM204" s="57"/>
      <c r="AN204" s="74"/>
      <c r="AO204" s="75"/>
      <c r="AP204" s="48"/>
      <c r="AQ204" s="48"/>
      <c r="AR204" s="48"/>
      <c r="AS204" s="48"/>
      <c r="AT204" s="48"/>
      <c r="AU204" s="48"/>
      <c r="AV204" s="48"/>
      <c r="AW204" s="48"/>
      <c r="AX204" s="48"/>
      <c r="AY204" s="48"/>
      <c r="AZ204" s="48"/>
      <c r="BA204" s="48"/>
      <c r="BB204" s="48"/>
      <c r="BC204" s="48"/>
      <c r="BD204" s="48"/>
      <c r="BE204" s="48"/>
      <c r="BF204" s="48"/>
      <c r="BG204" s="48"/>
      <c r="BH204" s="48"/>
      <c r="BI204" s="48"/>
    </row>
    <row r="205" ht="20.25" customHeight="1">
      <c r="A205" s="41" t="str">
        <f t="shared" si="3"/>
        <v>Service[...]</v>
      </c>
      <c r="B205" s="57" t="s">
        <v>56</v>
      </c>
      <c r="C205" s="57"/>
      <c r="D205" s="74"/>
      <c r="E205" s="75"/>
      <c r="F205" s="57"/>
      <c r="G205" s="74"/>
      <c r="H205" s="75"/>
      <c r="I205" s="57"/>
      <c r="J205" s="74"/>
      <c r="K205" s="75"/>
      <c r="L205" s="57"/>
      <c r="M205" s="74"/>
      <c r="N205" s="75"/>
      <c r="O205" s="57"/>
      <c r="P205" s="74"/>
      <c r="Q205" s="75"/>
      <c r="R205" s="57"/>
      <c r="S205" s="74"/>
      <c r="T205" s="75"/>
      <c r="U205" s="57"/>
      <c r="V205" s="74"/>
      <c r="W205" s="75"/>
      <c r="X205" s="57"/>
      <c r="Y205" s="74"/>
      <c r="Z205" s="75"/>
      <c r="AA205" s="57"/>
      <c r="AB205" s="74"/>
      <c r="AC205" s="75"/>
      <c r="AD205" s="57"/>
      <c r="AE205" s="74"/>
      <c r="AF205" s="75"/>
      <c r="AG205" s="57"/>
      <c r="AH205" s="74"/>
      <c r="AI205" s="75"/>
      <c r="AJ205" s="57"/>
      <c r="AK205" s="74"/>
      <c r="AL205" s="75"/>
      <c r="AM205" s="57"/>
      <c r="AN205" s="74"/>
      <c r="AO205" s="75"/>
      <c r="AP205" s="48"/>
      <c r="AQ205" s="48"/>
      <c r="AR205" s="48"/>
      <c r="AS205" s="48"/>
      <c r="AT205" s="48"/>
      <c r="AU205" s="48"/>
      <c r="AV205" s="48"/>
      <c r="AW205" s="48"/>
      <c r="AX205" s="48"/>
      <c r="AY205" s="48"/>
      <c r="AZ205" s="48"/>
      <c r="BA205" s="48"/>
      <c r="BB205" s="48"/>
      <c r="BC205" s="48"/>
      <c r="BD205" s="48"/>
      <c r="BE205" s="48"/>
      <c r="BF205" s="48"/>
      <c r="BG205" s="48"/>
      <c r="BH205" s="48"/>
      <c r="BI205" s="48"/>
    </row>
    <row r="206" ht="20.25" customHeight="1">
      <c r="A206" s="41" t="str">
        <f t="shared" si="3"/>
        <v>Service[...]</v>
      </c>
      <c r="B206" s="57" t="s">
        <v>56</v>
      </c>
      <c r="C206" s="57"/>
      <c r="D206" s="74"/>
      <c r="E206" s="75"/>
      <c r="F206" s="57"/>
      <c r="G206" s="74"/>
      <c r="H206" s="75"/>
      <c r="I206" s="57"/>
      <c r="J206" s="74"/>
      <c r="K206" s="75"/>
      <c r="L206" s="57"/>
      <c r="M206" s="74"/>
      <c r="N206" s="75"/>
      <c r="O206" s="57"/>
      <c r="P206" s="74"/>
      <c r="Q206" s="75"/>
      <c r="R206" s="57"/>
      <c r="S206" s="74"/>
      <c r="T206" s="75"/>
      <c r="U206" s="57"/>
      <c r="V206" s="74"/>
      <c r="W206" s="75"/>
      <c r="X206" s="57"/>
      <c r="Y206" s="74"/>
      <c r="Z206" s="75"/>
      <c r="AA206" s="57"/>
      <c r="AB206" s="74"/>
      <c r="AC206" s="75"/>
      <c r="AD206" s="57"/>
      <c r="AE206" s="74"/>
      <c r="AF206" s="75"/>
      <c r="AG206" s="57"/>
      <c r="AH206" s="74"/>
      <c r="AI206" s="75"/>
      <c r="AJ206" s="57"/>
      <c r="AK206" s="74"/>
      <c r="AL206" s="75"/>
      <c r="AM206" s="57"/>
      <c r="AN206" s="74"/>
      <c r="AO206" s="75"/>
      <c r="AP206" s="48"/>
      <c r="AQ206" s="48"/>
      <c r="AR206" s="48"/>
      <c r="AS206" s="48"/>
      <c r="AT206" s="48"/>
      <c r="AU206" s="48"/>
      <c r="AV206" s="48"/>
      <c r="AW206" s="48"/>
      <c r="AX206" s="48"/>
      <c r="AY206" s="48"/>
      <c r="AZ206" s="48"/>
      <c r="BA206" s="48"/>
      <c r="BB206" s="48"/>
      <c r="BC206" s="48"/>
      <c r="BD206" s="48"/>
      <c r="BE206" s="48"/>
      <c r="BF206" s="48"/>
      <c r="BG206" s="48"/>
      <c r="BH206" s="48"/>
      <c r="BI206" s="48"/>
    </row>
    <row r="207" ht="20.25" customHeight="1">
      <c r="A207" s="41" t="str">
        <f t="shared" si="3"/>
        <v>Service[...]</v>
      </c>
      <c r="B207" s="57" t="s">
        <v>56</v>
      </c>
      <c r="C207" s="57"/>
      <c r="D207" s="74"/>
      <c r="E207" s="75"/>
      <c r="F207" s="57"/>
      <c r="G207" s="74"/>
      <c r="H207" s="75"/>
      <c r="I207" s="57"/>
      <c r="J207" s="74"/>
      <c r="K207" s="75"/>
      <c r="L207" s="57"/>
      <c r="M207" s="74"/>
      <c r="N207" s="75"/>
      <c r="O207" s="57"/>
      <c r="P207" s="74"/>
      <c r="Q207" s="75"/>
      <c r="R207" s="57"/>
      <c r="S207" s="74"/>
      <c r="T207" s="75"/>
      <c r="U207" s="57"/>
      <c r="V207" s="74"/>
      <c r="W207" s="75"/>
      <c r="X207" s="57"/>
      <c r="Y207" s="74"/>
      <c r="Z207" s="75"/>
      <c r="AA207" s="57"/>
      <c r="AB207" s="74"/>
      <c r="AC207" s="75"/>
      <c r="AD207" s="57"/>
      <c r="AE207" s="74"/>
      <c r="AF207" s="75"/>
      <c r="AG207" s="57"/>
      <c r="AH207" s="74"/>
      <c r="AI207" s="75"/>
      <c r="AJ207" s="57"/>
      <c r="AK207" s="74"/>
      <c r="AL207" s="75"/>
      <c r="AM207" s="57"/>
      <c r="AN207" s="74"/>
      <c r="AO207" s="75"/>
      <c r="AP207" s="48"/>
      <c r="AQ207" s="48"/>
      <c r="AR207" s="48"/>
      <c r="AS207" s="48"/>
      <c r="AT207" s="48"/>
      <c r="AU207" s="48"/>
      <c r="AV207" s="48"/>
      <c r="AW207" s="48"/>
      <c r="AX207" s="48"/>
      <c r="AY207" s="48"/>
      <c r="AZ207" s="48"/>
      <c r="BA207" s="48"/>
      <c r="BB207" s="48"/>
      <c r="BC207" s="48"/>
      <c r="BD207" s="48"/>
      <c r="BE207" s="48"/>
      <c r="BF207" s="48"/>
      <c r="BG207" s="48"/>
      <c r="BH207" s="48"/>
      <c r="BI207" s="48"/>
    </row>
    <row r="208" ht="15.75" customHeight="1">
      <c r="A208" s="41" t="str">
        <f t="shared" si="3"/>
        <v>ServiceSalaires en absences</v>
      </c>
      <c r="B208" s="97" t="s">
        <v>123</v>
      </c>
      <c r="C208" s="57"/>
      <c r="D208" s="74"/>
      <c r="E208" s="75"/>
      <c r="F208" s="57"/>
      <c r="G208" s="74"/>
      <c r="H208" s="75"/>
      <c r="I208" s="57"/>
      <c r="J208" s="74"/>
      <c r="K208" s="75"/>
      <c r="L208" s="57"/>
      <c r="M208" s="74"/>
      <c r="N208" s="75"/>
      <c r="O208" s="57"/>
      <c r="P208" s="74"/>
      <c r="Q208" s="75"/>
      <c r="R208" s="57"/>
      <c r="S208" s="74"/>
      <c r="T208" s="75"/>
      <c r="U208" s="57"/>
      <c r="V208" s="74"/>
      <c r="W208" s="75"/>
      <c r="X208" s="57"/>
      <c r="Y208" s="74"/>
      <c r="Z208" s="75"/>
      <c r="AA208" s="57"/>
      <c r="AB208" s="74"/>
      <c r="AC208" s="75"/>
      <c r="AD208" s="57"/>
      <c r="AE208" s="74"/>
      <c r="AF208" s="75"/>
      <c r="AG208" s="57"/>
      <c r="AH208" s="74"/>
      <c r="AI208" s="75"/>
      <c r="AJ208" s="57"/>
      <c r="AK208" s="74"/>
      <c r="AL208" s="75"/>
      <c r="AM208" s="57"/>
      <c r="AN208" s="74"/>
      <c r="AO208" s="75"/>
      <c r="AP208" s="48"/>
      <c r="AQ208" s="48"/>
      <c r="AR208" s="48"/>
      <c r="AS208" s="48"/>
      <c r="AT208" s="48"/>
      <c r="AU208" s="48"/>
      <c r="AV208" s="48"/>
      <c r="AW208" s="48"/>
      <c r="AX208" s="48"/>
      <c r="AY208" s="48"/>
      <c r="AZ208" s="48"/>
      <c r="BA208" s="48"/>
      <c r="BB208" s="48"/>
      <c r="BC208" s="48"/>
      <c r="BD208" s="48"/>
      <c r="BE208" s="48"/>
      <c r="BF208" s="48"/>
      <c r="BG208" s="48"/>
      <c r="BH208" s="48"/>
      <c r="BI208" s="48"/>
    </row>
    <row r="209" ht="15.75" customHeight="1">
      <c r="A209" s="41" t="str">
        <f t="shared" si="3"/>
        <v>ServiceDéduction à la source</v>
      </c>
      <c r="B209" s="96" t="s">
        <v>124</v>
      </c>
      <c r="C209" s="49"/>
      <c r="D209" s="98"/>
      <c r="E209" s="99"/>
      <c r="F209" s="49"/>
      <c r="G209" s="98"/>
      <c r="H209" s="99"/>
      <c r="I209" s="49"/>
      <c r="J209" s="98"/>
      <c r="K209" s="99"/>
      <c r="L209" s="49"/>
      <c r="M209" s="98"/>
      <c r="N209" s="99"/>
      <c r="O209" s="49"/>
      <c r="P209" s="98"/>
      <c r="Q209" s="99"/>
      <c r="R209" s="49"/>
      <c r="S209" s="98"/>
      <c r="T209" s="99"/>
      <c r="U209" s="49"/>
      <c r="V209" s="98"/>
      <c r="W209" s="99"/>
      <c r="X209" s="49"/>
      <c r="Y209" s="98"/>
      <c r="Z209" s="99"/>
      <c r="AA209" s="49"/>
      <c r="AB209" s="98"/>
      <c r="AC209" s="99"/>
      <c r="AD209" s="49"/>
      <c r="AE209" s="98"/>
      <c r="AF209" s="99"/>
      <c r="AG209" s="49"/>
      <c r="AH209" s="98"/>
      <c r="AI209" s="99"/>
      <c r="AJ209" s="49"/>
      <c r="AK209" s="98"/>
      <c r="AL209" s="99"/>
      <c r="AM209" s="49"/>
      <c r="AN209" s="98"/>
      <c r="AO209" s="99"/>
      <c r="AP209" s="48"/>
      <c r="AQ209" s="48"/>
      <c r="AR209" s="48"/>
      <c r="AS209" s="48"/>
      <c r="AT209" s="48"/>
      <c r="AU209" s="48"/>
      <c r="AV209" s="48"/>
      <c r="AW209" s="48"/>
      <c r="AX209" s="48"/>
      <c r="AY209" s="48"/>
      <c r="AZ209" s="48"/>
      <c r="BA209" s="48"/>
      <c r="BB209" s="48"/>
      <c r="BC209" s="48"/>
      <c r="BD209" s="48"/>
      <c r="BE209" s="48"/>
      <c r="BF209" s="48"/>
      <c r="BG209" s="48"/>
      <c r="BH209" s="48"/>
      <c r="BI209" s="48"/>
    </row>
    <row r="210" ht="15.75" customHeight="1">
      <c r="A210" s="41" t="str">
        <f t="shared" si="3"/>
        <v>ServiceBénéfices marginaux</v>
      </c>
      <c r="B210" s="96" t="s">
        <v>125</v>
      </c>
      <c r="C210" s="57"/>
      <c r="D210" s="74"/>
      <c r="E210" s="75"/>
      <c r="F210" s="57"/>
      <c r="G210" s="74"/>
      <c r="H210" s="75"/>
      <c r="I210" s="57"/>
      <c r="J210" s="74"/>
      <c r="K210" s="75"/>
      <c r="L210" s="57"/>
      <c r="M210" s="74"/>
      <c r="N210" s="75"/>
      <c r="O210" s="57"/>
      <c r="P210" s="74"/>
      <c r="Q210" s="75"/>
      <c r="R210" s="57"/>
      <c r="S210" s="74"/>
      <c r="T210" s="75"/>
      <c r="U210" s="57"/>
      <c r="V210" s="74"/>
      <c r="W210" s="75"/>
      <c r="X210" s="57"/>
      <c r="Y210" s="74"/>
      <c r="Z210" s="75"/>
      <c r="AA210" s="57"/>
      <c r="AB210" s="74"/>
      <c r="AC210" s="75"/>
      <c r="AD210" s="57"/>
      <c r="AE210" s="74"/>
      <c r="AF210" s="75"/>
      <c r="AG210" s="57"/>
      <c r="AH210" s="74"/>
      <c r="AI210" s="75"/>
      <c r="AJ210" s="57"/>
      <c r="AK210" s="74"/>
      <c r="AL210" s="75"/>
      <c r="AM210" s="57"/>
      <c r="AN210" s="74"/>
      <c r="AO210" s="75"/>
      <c r="AP210" s="48"/>
      <c r="AQ210" s="48"/>
      <c r="AR210" s="48"/>
      <c r="AS210" s="48"/>
      <c r="AT210" s="48"/>
      <c r="AU210" s="48"/>
      <c r="AV210" s="48"/>
      <c r="AW210" s="48"/>
      <c r="AX210" s="48"/>
      <c r="AY210" s="48"/>
      <c r="AZ210" s="48"/>
      <c r="BA210" s="48"/>
      <c r="BB210" s="48"/>
      <c r="BC210" s="48"/>
      <c r="BD210" s="48"/>
      <c r="BE210" s="48"/>
      <c r="BF210" s="48"/>
      <c r="BG210" s="48"/>
      <c r="BH210" s="48"/>
      <c r="BI210" s="48"/>
    </row>
    <row r="211" ht="15.75" customHeight="1">
      <c r="A211" s="41" t="str">
        <f t="shared" si="3"/>
        <v>ServiceCsst</v>
      </c>
      <c r="B211" s="96" t="s">
        <v>126</v>
      </c>
      <c r="C211" s="57"/>
      <c r="D211" s="74"/>
      <c r="E211" s="75"/>
      <c r="F211" s="57"/>
      <c r="G211" s="74"/>
      <c r="H211" s="75"/>
      <c r="I211" s="57"/>
      <c r="J211" s="74"/>
      <c r="K211" s="75"/>
      <c r="L211" s="57"/>
      <c r="M211" s="74"/>
      <c r="N211" s="75"/>
      <c r="O211" s="57"/>
      <c r="P211" s="74"/>
      <c r="Q211" s="75"/>
      <c r="R211" s="57"/>
      <c r="S211" s="74"/>
      <c r="T211" s="75"/>
      <c r="U211" s="57"/>
      <c r="V211" s="74"/>
      <c r="W211" s="75"/>
      <c r="X211" s="57"/>
      <c r="Y211" s="74"/>
      <c r="Z211" s="75"/>
      <c r="AA211" s="57"/>
      <c r="AB211" s="74"/>
      <c r="AC211" s="75"/>
      <c r="AD211" s="57"/>
      <c r="AE211" s="74"/>
      <c r="AF211" s="75"/>
      <c r="AG211" s="57"/>
      <c r="AH211" s="74"/>
      <c r="AI211" s="75"/>
      <c r="AJ211" s="57"/>
      <c r="AK211" s="74"/>
      <c r="AL211" s="75"/>
      <c r="AM211" s="57"/>
      <c r="AN211" s="74"/>
      <c r="AO211" s="75"/>
      <c r="AP211" s="48"/>
      <c r="AQ211" s="48"/>
      <c r="AR211" s="48"/>
      <c r="AS211" s="48"/>
      <c r="AT211" s="48"/>
      <c r="AU211" s="48"/>
      <c r="AV211" s="48"/>
      <c r="AW211" s="48"/>
      <c r="AX211" s="48"/>
      <c r="AY211" s="48"/>
      <c r="AZ211" s="48"/>
      <c r="BA211" s="48"/>
      <c r="BB211" s="48"/>
      <c r="BC211" s="48"/>
      <c r="BD211" s="48"/>
      <c r="BE211" s="48"/>
      <c r="BF211" s="48"/>
      <c r="BG211" s="48"/>
      <c r="BH211" s="48"/>
      <c r="BI211" s="48"/>
    </row>
    <row r="212" ht="20.25" customHeight="1">
      <c r="A212" s="41" t="str">
        <f t="shared" si="3"/>
        <v>Service[...]</v>
      </c>
      <c r="B212" s="57" t="s">
        <v>56</v>
      </c>
      <c r="C212" s="53"/>
      <c r="D212" s="100"/>
      <c r="E212" s="91"/>
      <c r="F212" s="53"/>
      <c r="G212" s="100"/>
      <c r="H212" s="91"/>
      <c r="I212" s="53"/>
      <c r="J212" s="100"/>
      <c r="K212" s="91"/>
      <c r="L212" s="53"/>
      <c r="M212" s="100"/>
      <c r="N212" s="91"/>
      <c r="O212" s="53"/>
      <c r="P212" s="100"/>
      <c r="Q212" s="91"/>
      <c r="R212" s="53"/>
      <c r="S212" s="100"/>
      <c r="T212" s="91"/>
      <c r="U212" s="53"/>
      <c r="V212" s="100"/>
      <c r="W212" s="91"/>
      <c r="X212" s="53"/>
      <c r="Y212" s="100"/>
      <c r="Z212" s="91"/>
      <c r="AA212" s="53"/>
      <c r="AB212" s="100"/>
      <c r="AC212" s="91"/>
      <c r="AD212" s="53"/>
      <c r="AE212" s="100"/>
      <c r="AF212" s="91"/>
      <c r="AG212" s="53"/>
      <c r="AH212" s="100"/>
      <c r="AI212" s="91"/>
      <c r="AJ212" s="53"/>
      <c r="AK212" s="100"/>
      <c r="AL212" s="91"/>
      <c r="AM212" s="53"/>
      <c r="AN212" s="100"/>
      <c r="AO212" s="91"/>
      <c r="AP212" s="48"/>
      <c r="AQ212" s="48"/>
      <c r="AR212" s="48"/>
      <c r="AS212" s="48"/>
      <c r="AT212" s="48"/>
      <c r="AU212" s="48"/>
      <c r="AV212" s="48"/>
      <c r="AW212" s="48"/>
      <c r="AX212" s="48"/>
      <c r="AY212" s="48"/>
      <c r="AZ212" s="48"/>
      <c r="BA212" s="48"/>
      <c r="BB212" s="48"/>
      <c r="BC212" s="48"/>
      <c r="BD212" s="48"/>
      <c r="BE212" s="48"/>
      <c r="BF212" s="48"/>
      <c r="BG212" s="48"/>
      <c r="BH212" s="48"/>
      <c r="BI212" s="48"/>
    </row>
    <row r="213" ht="15.75" customHeight="1">
      <c r="A213" s="41" t="str">
        <f t="shared" si="3"/>
        <v>ServiceTOTAL PERSONNEL</v>
      </c>
      <c r="B213" s="92" t="s">
        <v>127</v>
      </c>
      <c r="C213" s="93"/>
      <c r="D213" s="94"/>
      <c r="E213" s="95"/>
      <c r="F213" s="93"/>
      <c r="G213" s="94"/>
      <c r="H213" s="95"/>
      <c r="I213" s="93"/>
      <c r="J213" s="94"/>
      <c r="K213" s="95"/>
      <c r="L213" s="93"/>
      <c r="M213" s="94"/>
      <c r="N213" s="95"/>
      <c r="O213" s="93"/>
      <c r="P213" s="94"/>
      <c r="Q213" s="95"/>
      <c r="R213" s="93"/>
      <c r="S213" s="94"/>
      <c r="T213" s="95"/>
      <c r="U213" s="93"/>
      <c r="V213" s="94"/>
      <c r="W213" s="95"/>
      <c r="X213" s="93"/>
      <c r="Y213" s="94"/>
      <c r="Z213" s="95"/>
      <c r="AA213" s="93"/>
      <c r="AB213" s="94"/>
      <c r="AC213" s="95"/>
      <c r="AD213" s="93"/>
      <c r="AE213" s="94"/>
      <c r="AF213" s="95"/>
      <c r="AG213" s="93"/>
      <c r="AH213" s="94"/>
      <c r="AI213" s="95"/>
      <c r="AJ213" s="93"/>
      <c r="AK213" s="94"/>
      <c r="AL213" s="95"/>
      <c r="AM213" s="93"/>
      <c r="AN213" s="94"/>
      <c r="AO213" s="95"/>
      <c r="AP213" s="48"/>
      <c r="AQ213" s="48"/>
      <c r="AR213" s="48"/>
      <c r="AS213" s="48"/>
      <c r="AT213" s="48"/>
      <c r="AU213" s="48"/>
      <c r="AV213" s="48"/>
      <c r="AW213" s="48"/>
      <c r="AX213" s="48"/>
      <c r="AY213" s="48"/>
      <c r="AZ213" s="48"/>
      <c r="BA213" s="48"/>
      <c r="BB213" s="48"/>
      <c r="BC213" s="48"/>
      <c r="BD213" s="48"/>
      <c r="BE213" s="48"/>
      <c r="BF213" s="48"/>
      <c r="BG213" s="48"/>
      <c r="BH213" s="48"/>
      <c r="BI213" s="48"/>
    </row>
    <row r="214" ht="15.75" customHeight="1">
      <c r="A214" s="41" t="str">
        <f t="shared" si="3"/>
        <v>ServicePublicité 2</v>
      </c>
      <c r="B214" s="57" t="s">
        <v>128</v>
      </c>
      <c r="C214" s="57"/>
      <c r="D214" s="74"/>
      <c r="E214" s="75"/>
      <c r="F214" s="57"/>
      <c r="G214" s="74"/>
      <c r="H214" s="75"/>
      <c r="I214" s="57"/>
      <c r="J214" s="74"/>
      <c r="K214" s="75"/>
      <c r="L214" s="57"/>
      <c r="M214" s="74"/>
      <c r="N214" s="75"/>
      <c r="O214" s="57"/>
      <c r="P214" s="74"/>
      <c r="Q214" s="75"/>
      <c r="R214" s="57"/>
      <c r="S214" s="74"/>
      <c r="T214" s="75"/>
      <c r="U214" s="57"/>
      <c r="V214" s="74"/>
      <c r="W214" s="75"/>
      <c r="X214" s="57"/>
      <c r="Y214" s="74"/>
      <c r="Z214" s="75"/>
      <c r="AA214" s="57"/>
      <c r="AB214" s="74"/>
      <c r="AC214" s="75"/>
      <c r="AD214" s="57"/>
      <c r="AE214" s="74"/>
      <c r="AF214" s="75"/>
      <c r="AG214" s="57"/>
      <c r="AH214" s="74"/>
      <c r="AI214" s="75"/>
      <c r="AJ214" s="57"/>
      <c r="AK214" s="74"/>
      <c r="AL214" s="75"/>
      <c r="AM214" s="57"/>
      <c r="AN214" s="74"/>
      <c r="AO214" s="75"/>
      <c r="AP214" s="48"/>
      <c r="AQ214" s="48"/>
      <c r="AR214" s="48"/>
      <c r="AS214" s="48"/>
      <c r="AT214" s="48"/>
      <c r="AU214" s="48"/>
      <c r="AV214" s="48"/>
      <c r="AW214" s="48"/>
      <c r="AX214" s="48"/>
      <c r="AY214" s="48"/>
      <c r="AZ214" s="48"/>
      <c r="BA214" s="48"/>
      <c r="BB214" s="48"/>
      <c r="BC214" s="48"/>
      <c r="BD214" s="48"/>
      <c r="BE214" s="48"/>
      <c r="BF214" s="48"/>
      <c r="BG214" s="48"/>
      <c r="BH214" s="48"/>
      <c r="BI214" s="48"/>
    </row>
    <row r="215" ht="15.75" customHeight="1">
      <c r="A215" s="41" t="str">
        <f t="shared" si="3"/>
        <v>ServiceService gratuit 2</v>
      </c>
      <c r="B215" s="57" t="s">
        <v>129</v>
      </c>
      <c r="C215" s="57"/>
      <c r="D215" s="74"/>
      <c r="E215" s="75"/>
      <c r="F215" s="57"/>
      <c r="G215" s="74"/>
      <c r="H215" s="75"/>
      <c r="I215" s="57"/>
      <c r="J215" s="74"/>
      <c r="K215" s="75"/>
      <c r="L215" s="57"/>
      <c r="M215" s="74"/>
      <c r="N215" s="75"/>
      <c r="O215" s="57"/>
      <c r="P215" s="74"/>
      <c r="Q215" s="75"/>
      <c r="R215" s="57"/>
      <c r="S215" s="74"/>
      <c r="T215" s="75"/>
      <c r="U215" s="57"/>
      <c r="V215" s="74"/>
      <c r="W215" s="75"/>
      <c r="X215" s="57"/>
      <c r="Y215" s="74"/>
      <c r="Z215" s="75"/>
      <c r="AA215" s="57"/>
      <c r="AB215" s="74"/>
      <c r="AC215" s="75"/>
      <c r="AD215" s="57"/>
      <c r="AE215" s="74"/>
      <c r="AF215" s="75"/>
      <c r="AG215" s="57"/>
      <c r="AH215" s="74"/>
      <c r="AI215" s="75"/>
      <c r="AJ215" s="57"/>
      <c r="AK215" s="74"/>
      <c r="AL215" s="75"/>
      <c r="AM215" s="57"/>
      <c r="AN215" s="74"/>
      <c r="AO215" s="75"/>
      <c r="AP215" s="48"/>
      <c r="AQ215" s="48"/>
      <c r="AR215" s="48"/>
      <c r="AS215" s="48"/>
      <c r="AT215" s="48"/>
      <c r="AU215" s="48"/>
      <c r="AV215" s="48"/>
      <c r="AW215" s="48"/>
      <c r="AX215" s="48"/>
      <c r="AY215" s="48"/>
      <c r="AZ215" s="48"/>
      <c r="BA215" s="48"/>
      <c r="BB215" s="48"/>
      <c r="BC215" s="48"/>
      <c r="BD215" s="48"/>
      <c r="BE215" s="48"/>
      <c r="BF215" s="48"/>
      <c r="BG215" s="48"/>
      <c r="BH215" s="48"/>
      <c r="BI215" s="48"/>
    </row>
    <row r="216" ht="15.75" customHeight="1">
      <c r="A216" s="41" t="str">
        <f t="shared" si="3"/>
        <v>ServiceFrais véhicules de cie</v>
      </c>
      <c r="B216" s="53" t="s">
        <v>130</v>
      </c>
      <c r="C216" s="53"/>
      <c r="D216" s="100"/>
      <c r="E216" s="91"/>
      <c r="F216" s="53"/>
      <c r="G216" s="100"/>
      <c r="H216" s="91"/>
      <c r="I216" s="53"/>
      <c r="J216" s="100"/>
      <c r="K216" s="91"/>
      <c r="L216" s="53"/>
      <c r="M216" s="100"/>
      <c r="N216" s="91"/>
      <c r="O216" s="53"/>
      <c r="P216" s="100"/>
      <c r="Q216" s="91"/>
      <c r="R216" s="53"/>
      <c r="S216" s="100"/>
      <c r="T216" s="91"/>
      <c r="U216" s="53"/>
      <c r="V216" s="100"/>
      <c r="W216" s="91"/>
      <c r="X216" s="53"/>
      <c r="Y216" s="100"/>
      <c r="Z216" s="91"/>
      <c r="AA216" s="53"/>
      <c r="AB216" s="100"/>
      <c r="AC216" s="91"/>
      <c r="AD216" s="53"/>
      <c r="AE216" s="100"/>
      <c r="AF216" s="91"/>
      <c r="AG216" s="53"/>
      <c r="AH216" s="100"/>
      <c r="AI216" s="91"/>
      <c r="AJ216" s="53"/>
      <c r="AK216" s="100"/>
      <c r="AL216" s="91"/>
      <c r="AM216" s="53"/>
      <c r="AN216" s="100"/>
      <c r="AO216" s="91"/>
      <c r="AP216" s="48"/>
      <c r="AQ216" s="48"/>
      <c r="AR216" s="48"/>
      <c r="AS216" s="48"/>
      <c r="AT216" s="48"/>
      <c r="AU216" s="48"/>
      <c r="AV216" s="48"/>
      <c r="AW216" s="48"/>
      <c r="AX216" s="48"/>
      <c r="AY216" s="48"/>
      <c r="AZ216" s="48"/>
      <c r="BA216" s="48"/>
      <c r="BB216" s="48"/>
      <c r="BC216" s="48"/>
      <c r="BD216" s="48"/>
      <c r="BE216" s="48"/>
      <c r="BF216" s="48"/>
      <c r="BG216" s="48"/>
      <c r="BH216" s="48"/>
      <c r="BI216" s="48"/>
    </row>
    <row r="217" ht="15.75" customHeight="1">
      <c r="A217" s="41" t="str">
        <f t="shared" si="3"/>
        <v>ServiceInformatique</v>
      </c>
      <c r="B217" s="57" t="s">
        <v>131</v>
      </c>
      <c r="C217" s="57"/>
      <c r="D217" s="74"/>
      <c r="E217" s="75"/>
      <c r="F217" s="57"/>
      <c r="G217" s="74"/>
      <c r="H217" s="75"/>
      <c r="I217" s="57"/>
      <c r="J217" s="74"/>
      <c r="K217" s="75"/>
      <c r="L217" s="57"/>
      <c r="M217" s="74"/>
      <c r="N217" s="75"/>
      <c r="O217" s="57"/>
      <c r="P217" s="74"/>
      <c r="Q217" s="75"/>
      <c r="R217" s="57"/>
      <c r="S217" s="74"/>
      <c r="T217" s="75"/>
      <c r="U217" s="57"/>
      <c r="V217" s="74"/>
      <c r="W217" s="75"/>
      <c r="X217" s="57"/>
      <c r="Y217" s="74"/>
      <c r="Z217" s="75"/>
      <c r="AA217" s="57"/>
      <c r="AB217" s="74"/>
      <c r="AC217" s="75"/>
      <c r="AD217" s="57"/>
      <c r="AE217" s="74"/>
      <c r="AF217" s="75"/>
      <c r="AG217" s="57"/>
      <c r="AH217" s="74"/>
      <c r="AI217" s="75"/>
      <c r="AJ217" s="57"/>
      <c r="AK217" s="74"/>
      <c r="AL217" s="75"/>
      <c r="AM217" s="57"/>
      <c r="AN217" s="74"/>
      <c r="AO217" s="75"/>
      <c r="AP217" s="48"/>
      <c r="AQ217" s="48"/>
      <c r="AR217" s="48"/>
      <c r="AS217" s="48"/>
      <c r="AT217" s="48"/>
      <c r="AU217" s="48"/>
      <c r="AV217" s="48"/>
      <c r="AW217" s="48"/>
      <c r="AX217" s="48"/>
      <c r="AY217" s="48"/>
      <c r="AZ217" s="48"/>
      <c r="BA217" s="48"/>
      <c r="BB217" s="48"/>
      <c r="BC217" s="48"/>
      <c r="BD217" s="48"/>
      <c r="BE217" s="48"/>
      <c r="BF217" s="48"/>
      <c r="BG217" s="48"/>
      <c r="BH217" s="48"/>
      <c r="BI217" s="48"/>
    </row>
    <row r="218" ht="15.75" customHeight="1">
      <c r="A218" s="41" t="str">
        <f t="shared" si="3"/>
        <v>ServiceFrais de déplacement</v>
      </c>
      <c r="B218" s="57" t="s">
        <v>132</v>
      </c>
      <c r="C218" s="57"/>
      <c r="D218" s="74"/>
      <c r="E218" s="75"/>
      <c r="F218" s="57"/>
      <c r="G218" s="74"/>
      <c r="H218" s="75"/>
      <c r="I218" s="57"/>
      <c r="J218" s="74"/>
      <c r="K218" s="75"/>
      <c r="L218" s="57"/>
      <c r="M218" s="74"/>
      <c r="N218" s="75"/>
      <c r="O218" s="57"/>
      <c r="P218" s="74"/>
      <c r="Q218" s="75"/>
      <c r="R218" s="57"/>
      <c r="S218" s="74"/>
      <c r="T218" s="75"/>
      <c r="U218" s="57"/>
      <c r="V218" s="74"/>
      <c r="W218" s="75"/>
      <c r="X218" s="57"/>
      <c r="Y218" s="74"/>
      <c r="Z218" s="75"/>
      <c r="AA218" s="57"/>
      <c r="AB218" s="74"/>
      <c r="AC218" s="75"/>
      <c r="AD218" s="57"/>
      <c r="AE218" s="74"/>
      <c r="AF218" s="75"/>
      <c r="AG218" s="57"/>
      <c r="AH218" s="74"/>
      <c r="AI218" s="75"/>
      <c r="AJ218" s="57"/>
      <c r="AK218" s="74"/>
      <c r="AL218" s="75"/>
      <c r="AM218" s="57"/>
      <c r="AN218" s="74"/>
      <c r="AO218" s="75"/>
      <c r="AP218" s="48"/>
      <c r="AQ218" s="48"/>
      <c r="AR218" s="48"/>
      <c r="AS218" s="48"/>
      <c r="AT218" s="48"/>
      <c r="AU218" s="48"/>
      <c r="AV218" s="48"/>
      <c r="AW218" s="48"/>
      <c r="AX218" s="48"/>
      <c r="AY218" s="48"/>
      <c r="AZ218" s="48"/>
      <c r="BA218" s="48"/>
      <c r="BB218" s="48"/>
      <c r="BC218" s="48"/>
      <c r="BD218" s="48"/>
      <c r="BE218" s="48"/>
      <c r="BF218" s="48"/>
      <c r="BG218" s="48"/>
      <c r="BH218" s="48"/>
      <c r="BI218" s="48"/>
    </row>
    <row r="219" ht="15.75" customHeight="1">
      <c r="A219" s="41" t="str">
        <f t="shared" si="3"/>
        <v>ServiceServices extérieurs</v>
      </c>
      <c r="B219" s="53" t="s">
        <v>133</v>
      </c>
      <c r="C219" s="53"/>
      <c r="D219" s="100"/>
      <c r="E219" s="91"/>
      <c r="F219" s="53"/>
      <c r="G219" s="100"/>
      <c r="H219" s="91"/>
      <c r="I219" s="53"/>
      <c r="J219" s="100"/>
      <c r="K219" s="91"/>
      <c r="L219" s="53"/>
      <c r="M219" s="100"/>
      <c r="N219" s="91"/>
      <c r="O219" s="53"/>
      <c r="P219" s="100"/>
      <c r="Q219" s="91"/>
      <c r="R219" s="53"/>
      <c r="S219" s="100"/>
      <c r="T219" s="91"/>
      <c r="U219" s="53"/>
      <c r="V219" s="100"/>
      <c r="W219" s="91"/>
      <c r="X219" s="53"/>
      <c r="Y219" s="100"/>
      <c r="Z219" s="91"/>
      <c r="AA219" s="53"/>
      <c r="AB219" s="100"/>
      <c r="AC219" s="91"/>
      <c r="AD219" s="53"/>
      <c r="AE219" s="100"/>
      <c r="AF219" s="91"/>
      <c r="AG219" s="53"/>
      <c r="AH219" s="100"/>
      <c r="AI219" s="91"/>
      <c r="AJ219" s="53"/>
      <c r="AK219" s="100"/>
      <c r="AL219" s="91"/>
      <c r="AM219" s="53"/>
      <c r="AN219" s="100"/>
      <c r="AO219" s="91"/>
      <c r="AP219" s="48"/>
      <c r="AQ219" s="48"/>
      <c r="AR219" s="48"/>
      <c r="AS219" s="48"/>
      <c r="AT219" s="48"/>
      <c r="AU219" s="48"/>
      <c r="AV219" s="48"/>
      <c r="AW219" s="48"/>
      <c r="AX219" s="48"/>
      <c r="AY219" s="48"/>
      <c r="AZ219" s="48"/>
      <c r="BA219" s="48"/>
      <c r="BB219" s="48"/>
      <c r="BC219" s="48"/>
      <c r="BD219" s="48"/>
      <c r="BE219" s="48"/>
      <c r="BF219" s="48"/>
      <c r="BG219" s="48"/>
      <c r="BH219" s="48"/>
      <c r="BI219" s="48"/>
    </row>
    <row r="220" ht="15.75" customHeight="1">
      <c r="A220" s="41" t="str">
        <f t="shared" si="3"/>
        <v>ServiceFournitures d'atelier</v>
      </c>
      <c r="B220" s="57" t="s">
        <v>173</v>
      </c>
      <c r="C220" s="57"/>
      <c r="D220" s="74"/>
      <c r="E220" s="75"/>
      <c r="F220" s="57"/>
      <c r="G220" s="74"/>
      <c r="H220" s="75"/>
      <c r="I220" s="57"/>
      <c r="J220" s="74"/>
      <c r="K220" s="75"/>
      <c r="L220" s="57"/>
      <c r="M220" s="74"/>
      <c r="N220" s="75"/>
      <c r="O220" s="57"/>
      <c r="P220" s="74"/>
      <c r="Q220" s="75"/>
      <c r="R220" s="57"/>
      <c r="S220" s="74"/>
      <c r="T220" s="75"/>
      <c r="U220" s="57"/>
      <c r="V220" s="74"/>
      <c r="W220" s="75"/>
      <c r="X220" s="57"/>
      <c r="Y220" s="74"/>
      <c r="Z220" s="75"/>
      <c r="AA220" s="57"/>
      <c r="AB220" s="74"/>
      <c r="AC220" s="75"/>
      <c r="AD220" s="57"/>
      <c r="AE220" s="74"/>
      <c r="AF220" s="75"/>
      <c r="AG220" s="57"/>
      <c r="AH220" s="74"/>
      <c r="AI220" s="75"/>
      <c r="AJ220" s="57"/>
      <c r="AK220" s="74"/>
      <c r="AL220" s="75"/>
      <c r="AM220" s="57"/>
      <c r="AN220" s="74"/>
      <c r="AO220" s="75"/>
      <c r="AP220" s="48"/>
      <c r="AQ220" s="48"/>
      <c r="AR220" s="48"/>
      <c r="AS220" s="48"/>
      <c r="AT220" s="48"/>
      <c r="AU220" s="48"/>
      <c r="AV220" s="48"/>
      <c r="AW220" s="48"/>
      <c r="AX220" s="48"/>
      <c r="AY220" s="48"/>
      <c r="AZ220" s="48"/>
      <c r="BA220" s="48"/>
      <c r="BB220" s="48"/>
      <c r="BC220" s="48"/>
      <c r="BD220" s="48"/>
      <c r="BE220" s="48"/>
      <c r="BF220" s="48"/>
      <c r="BG220" s="48"/>
      <c r="BH220" s="48"/>
      <c r="BI220" s="48"/>
    </row>
    <row r="221" ht="15.75" customHeight="1">
      <c r="A221" s="41" t="str">
        <f t="shared" si="3"/>
        <v>ServiceFournitures autres</v>
      </c>
      <c r="B221" s="57" t="s">
        <v>134</v>
      </c>
      <c r="C221" s="57"/>
      <c r="D221" s="74"/>
      <c r="E221" s="75"/>
      <c r="F221" s="57"/>
      <c r="G221" s="74"/>
      <c r="H221" s="75"/>
      <c r="I221" s="57"/>
      <c r="J221" s="74"/>
      <c r="K221" s="75"/>
      <c r="L221" s="57"/>
      <c r="M221" s="74"/>
      <c r="N221" s="75"/>
      <c r="O221" s="57"/>
      <c r="P221" s="74"/>
      <c r="Q221" s="75"/>
      <c r="R221" s="57"/>
      <c r="S221" s="74"/>
      <c r="T221" s="75"/>
      <c r="U221" s="57"/>
      <c r="V221" s="74"/>
      <c r="W221" s="75"/>
      <c r="X221" s="57"/>
      <c r="Y221" s="74"/>
      <c r="Z221" s="75"/>
      <c r="AA221" s="57"/>
      <c r="AB221" s="74"/>
      <c r="AC221" s="75"/>
      <c r="AD221" s="57"/>
      <c r="AE221" s="74"/>
      <c r="AF221" s="75"/>
      <c r="AG221" s="57"/>
      <c r="AH221" s="74"/>
      <c r="AI221" s="75"/>
      <c r="AJ221" s="57"/>
      <c r="AK221" s="74"/>
      <c r="AL221" s="75"/>
      <c r="AM221" s="57"/>
      <c r="AN221" s="74"/>
      <c r="AO221" s="75"/>
      <c r="AP221" s="48"/>
      <c r="AQ221" s="48"/>
      <c r="AR221" s="48"/>
      <c r="AS221" s="48"/>
      <c r="AT221" s="48"/>
      <c r="AU221" s="48"/>
      <c r="AV221" s="48"/>
      <c r="AW221" s="48"/>
      <c r="AX221" s="48"/>
      <c r="AY221" s="48"/>
      <c r="AZ221" s="48"/>
      <c r="BA221" s="48"/>
      <c r="BB221" s="48"/>
      <c r="BC221" s="48"/>
      <c r="BD221" s="48"/>
      <c r="BE221" s="48"/>
      <c r="BF221" s="48"/>
      <c r="BG221" s="48"/>
      <c r="BH221" s="48"/>
      <c r="BI221" s="48"/>
    </row>
    <row r="222" ht="15.75" customHeight="1">
      <c r="A222" s="41" t="str">
        <f t="shared" si="3"/>
        <v>ServiceUniformes</v>
      </c>
      <c r="B222" s="57" t="s">
        <v>135</v>
      </c>
      <c r="C222" s="57"/>
      <c r="D222" s="74"/>
      <c r="E222" s="75"/>
      <c r="F222" s="57"/>
      <c r="G222" s="74"/>
      <c r="H222" s="75"/>
      <c r="I222" s="57"/>
      <c r="J222" s="74"/>
      <c r="K222" s="75"/>
      <c r="L222" s="57"/>
      <c r="M222" s="74"/>
      <c r="N222" s="75"/>
      <c r="O222" s="57"/>
      <c r="P222" s="74"/>
      <c r="Q222" s="75"/>
      <c r="R222" s="57"/>
      <c r="S222" s="74"/>
      <c r="T222" s="75"/>
      <c r="U222" s="57"/>
      <c r="V222" s="74"/>
      <c r="W222" s="75"/>
      <c r="X222" s="57"/>
      <c r="Y222" s="74"/>
      <c r="Z222" s="75"/>
      <c r="AA222" s="57"/>
      <c r="AB222" s="74"/>
      <c r="AC222" s="75"/>
      <c r="AD222" s="57"/>
      <c r="AE222" s="74"/>
      <c r="AF222" s="75"/>
      <c r="AG222" s="57"/>
      <c r="AH222" s="74"/>
      <c r="AI222" s="75"/>
      <c r="AJ222" s="57"/>
      <c r="AK222" s="74"/>
      <c r="AL222" s="75"/>
      <c r="AM222" s="57"/>
      <c r="AN222" s="74"/>
      <c r="AO222" s="75"/>
      <c r="AP222" s="48"/>
      <c r="AQ222" s="48"/>
      <c r="AR222" s="48"/>
      <c r="AS222" s="48"/>
      <c r="AT222" s="48"/>
      <c r="AU222" s="48"/>
      <c r="AV222" s="48"/>
      <c r="AW222" s="48"/>
      <c r="AX222" s="48"/>
      <c r="AY222" s="48"/>
      <c r="AZ222" s="48"/>
      <c r="BA222" s="48"/>
      <c r="BB222" s="48"/>
      <c r="BC222" s="48"/>
      <c r="BD222" s="48"/>
      <c r="BE222" s="48"/>
      <c r="BF222" s="48"/>
      <c r="BG222" s="48"/>
      <c r="BH222" s="48"/>
      <c r="BI222" s="48"/>
    </row>
    <row r="223" ht="15.75" customHeight="1">
      <c r="A223" s="41" t="str">
        <f t="shared" si="3"/>
        <v>ServicePapeterie</v>
      </c>
      <c r="B223" s="57" t="s">
        <v>136</v>
      </c>
      <c r="C223" s="57"/>
      <c r="D223" s="74"/>
      <c r="E223" s="75"/>
      <c r="F223" s="57"/>
      <c r="G223" s="74"/>
      <c r="H223" s="75"/>
      <c r="I223" s="57"/>
      <c r="J223" s="74"/>
      <c r="K223" s="75"/>
      <c r="L223" s="57"/>
      <c r="M223" s="74"/>
      <c r="N223" s="75"/>
      <c r="O223" s="57"/>
      <c r="P223" s="74"/>
      <c r="Q223" s="75"/>
      <c r="R223" s="57"/>
      <c r="S223" s="74"/>
      <c r="T223" s="75"/>
      <c r="U223" s="57"/>
      <c r="V223" s="74"/>
      <c r="W223" s="75"/>
      <c r="X223" s="57"/>
      <c r="Y223" s="74"/>
      <c r="Z223" s="75"/>
      <c r="AA223" s="57"/>
      <c r="AB223" s="74"/>
      <c r="AC223" s="75"/>
      <c r="AD223" s="57"/>
      <c r="AE223" s="74"/>
      <c r="AF223" s="75"/>
      <c r="AG223" s="57"/>
      <c r="AH223" s="74"/>
      <c r="AI223" s="75"/>
      <c r="AJ223" s="57"/>
      <c r="AK223" s="74"/>
      <c r="AL223" s="75"/>
      <c r="AM223" s="57"/>
      <c r="AN223" s="74"/>
      <c r="AO223" s="75"/>
      <c r="AP223" s="48"/>
      <c r="AQ223" s="48"/>
      <c r="AR223" s="48"/>
      <c r="AS223" s="48"/>
      <c r="AT223" s="48"/>
      <c r="AU223" s="48"/>
      <c r="AV223" s="48"/>
      <c r="AW223" s="48"/>
      <c r="AX223" s="48"/>
      <c r="AY223" s="48"/>
      <c r="AZ223" s="48"/>
      <c r="BA223" s="48"/>
      <c r="BB223" s="48"/>
      <c r="BC223" s="48"/>
      <c r="BD223" s="48"/>
      <c r="BE223" s="48"/>
      <c r="BF223" s="48"/>
      <c r="BG223" s="48"/>
      <c r="BH223" s="48"/>
      <c r="BI223" s="48"/>
    </row>
    <row r="224" ht="15.75" customHeight="1">
      <c r="A224" s="41" t="str">
        <f t="shared" si="3"/>
        <v>ServiceTéléphone</v>
      </c>
      <c r="B224" s="57" t="s">
        <v>137</v>
      </c>
      <c r="C224" s="57"/>
      <c r="D224" s="74"/>
      <c r="E224" s="75"/>
      <c r="F224" s="57"/>
      <c r="G224" s="74"/>
      <c r="H224" s="75"/>
      <c r="I224" s="57"/>
      <c r="J224" s="74"/>
      <c r="K224" s="75"/>
      <c r="L224" s="57"/>
      <c r="M224" s="74"/>
      <c r="N224" s="75"/>
      <c r="O224" s="57"/>
      <c r="P224" s="74"/>
      <c r="Q224" s="75"/>
      <c r="R224" s="57"/>
      <c r="S224" s="74"/>
      <c r="T224" s="75"/>
      <c r="U224" s="57"/>
      <c r="V224" s="74"/>
      <c r="W224" s="75"/>
      <c r="X224" s="57"/>
      <c r="Y224" s="74"/>
      <c r="Z224" s="75"/>
      <c r="AA224" s="57"/>
      <c r="AB224" s="74"/>
      <c r="AC224" s="75"/>
      <c r="AD224" s="57"/>
      <c r="AE224" s="74"/>
      <c r="AF224" s="75"/>
      <c r="AG224" s="57"/>
      <c r="AH224" s="74"/>
      <c r="AI224" s="75"/>
      <c r="AJ224" s="57"/>
      <c r="AK224" s="74"/>
      <c r="AL224" s="75"/>
      <c r="AM224" s="57"/>
      <c r="AN224" s="74"/>
      <c r="AO224" s="75"/>
      <c r="AP224" s="48"/>
      <c r="AQ224" s="48"/>
      <c r="AR224" s="48"/>
      <c r="AS224" s="48"/>
      <c r="AT224" s="48"/>
      <c r="AU224" s="48"/>
      <c r="AV224" s="48"/>
      <c r="AW224" s="48"/>
      <c r="AX224" s="48"/>
      <c r="AY224" s="48"/>
      <c r="AZ224" s="48"/>
      <c r="BA224" s="48"/>
      <c r="BB224" s="48"/>
      <c r="BC224" s="48"/>
      <c r="BD224" s="48"/>
      <c r="BE224" s="48"/>
      <c r="BF224" s="48"/>
      <c r="BG224" s="48"/>
      <c r="BH224" s="48"/>
      <c r="BI224" s="48"/>
    </row>
    <row r="225" ht="15.75" customHeight="1">
      <c r="A225" s="41" t="str">
        <f t="shared" si="3"/>
        <v>ServiceFrais postaux</v>
      </c>
      <c r="B225" s="57" t="s">
        <v>138</v>
      </c>
      <c r="C225" s="57"/>
      <c r="D225" s="74"/>
      <c r="E225" s="75"/>
      <c r="F225" s="57"/>
      <c r="G225" s="74"/>
      <c r="H225" s="75"/>
      <c r="I225" s="57"/>
      <c r="J225" s="74"/>
      <c r="K225" s="75"/>
      <c r="L225" s="57"/>
      <c r="M225" s="74"/>
      <c r="N225" s="75"/>
      <c r="O225" s="57"/>
      <c r="P225" s="74"/>
      <c r="Q225" s="75"/>
      <c r="R225" s="57"/>
      <c r="S225" s="74"/>
      <c r="T225" s="75"/>
      <c r="U225" s="57"/>
      <c r="V225" s="74"/>
      <c r="W225" s="75"/>
      <c r="X225" s="57"/>
      <c r="Y225" s="74"/>
      <c r="Z225" s="75"/>
      <c r="AA225" s="57"/>
      <c r="AB225" s="74"/>
      <c r="AC225" s="75"/>
      <c r="AD225" s="57"/>
      <c r="AE225" s="74"/>
      <c r="AF225" s="75"/>
      <c r="AG225" s="57"/>
      <c r="AH225" s="74"/>
      <c r="AI225" s="75"/>
      <c r="AJ225" s="57"/>
      <c r="AK225" s="74"/>
      <c r="AL225" s="75"/>
      <c r="AM225" s="57"/>
      <c r="AN225" s="74"/>
      <c r="AO225" s="75"/>
      <c r="AP225" s="48"/>
      <c r="AQ225" s="48"/>
      <c r="AR225" s="48"/>
      <c r="AS225" s="48"/>
      <c r="AT225" s="48"/>
      <c r="AU225" s="48"/>
      <c r="AV225" s="48"/>
      <c r="AW225" s="48"/>
      <c r="AX225" s="48"/>
      <c r="AY225" s="48"/>
      <c r="AZ225" s="48"/>
      <c r="BA225" s="48"/>
      <c r="BB225" s="48"/>
      <c r="BC225" s="48"/>
      <c r="BD225" s="48"/>
      <c r="BE225" s="48"/>
      <c r="BF225" s="48"/>
      <c r="BG225" s="48"/>
      <c r="BH225" s="48"/>
      <c r="BI225" s="48"/>
    </row>
    <row r="226" ht="15.75" customHeight="1">
      <c r="A226" s="41" t="str">
        <f t="shared" si="3"/>
        <v>ServiceDivers</v>
      </c>
      <c r="B226" s="57" t="s">
        <v>139</v>
      </c>
      <c r="C226" s="57"/>
      <c r="D226" s="74"/>
      <c r="E226" s="75"/>
      <c r="F226" s="57"/>
      <c r="G226" s="74"/>
      <c r="H226" s="75"/>
      <c r="I226" s="57"/>
      <c r="J226" s="74"/>
      <c r="K226" s="75"/>
      <c r="L226" s="57"/>
      <c r="M226" s="74"/>
      <c r="N226" s="75"/>
      <c r="O226" s="57"/>
      <c r="P226" s="74"/>
      <c r="Q226" s="75"/>
      <c r="R226" s="57"/>
      <c r="S226" s="74"/>
      <c r="T226" s="75"/>
      <c r="U226" s="57"/>
      <c r="V226" s="74"/>
      <c r="W226" s="75"/>
      <c r="X226" s="57"/>
      <c r="Y226" s="74"/>
      <c r="Z226" s="75"/>
      <c r="AA226" s="57"/>
      <c r="AB226" s="74"/>
      <c r="AC226" s="75"/>
      <c r="AD226" s="57"/>
      <c r="AE226" s="74"/>
      <c r="AF226" s="75"/>
      <c r="AG226" s="57"/>
      <c r="AH226" s="74"/>
      <c r="AI226" s="75"/>
      <c r="AJ226" s="57"/>
      <c r="AK226" s="74"/>
      <c r="AL226" s="75"/>
      <c r="AM226" s="57"/>
      <c r="AN226" s="74"/>
      <c r="AO226" s="75"/>
      <c r="AP226" s="48"/>
      <c r="AQ226" s="48"/>
      <c r="AR226" s="48"/>
      <c r="AS226" s="48"/>
      <c r="AT226" s="48"/>
      <c r="AU226" s="48"/>
      <c r="AV226" s="48"/>
      <c r="AW226" s="48"/>
      <c r="AX226" s="48"/>
      <c r="AY226" s="48"/>
      <c r="AZ226" s="48"/>
      <c r="BA226" s="48"/>
      <c r="BB226" s="48"/>
      <c r="BC226" s="48"/>
      <c r="BD226" s="48"/>
      <c r="BE226" s="48"/>
      <c r="BF226" s="48"/>
      <c r="BG226" s="48"/>
      <c r="BH226" s="48"/>
      <c r="BI226" s="48"/>
    </row>
    <row r="227" ht="15.75" customHeight="1">
      <c r="A227" s="41" t="str">
        <f t="shared" si="3"/>
        <v>ServiceFormation</v>
      </c>
      <c r="B227" s="57" t="s">
        <v>140</v>
      </c>
      <c r="C227" s="57"/>
      <c r="D227" s="74"/>
      <c r="E227" s="75"/>
      <c r="F227" s="57"/>
      <c r="G227" s="74"/>
      <c r="H227" s="75"/>
      <c r="I227" s="57"/>
      <c r="J227" s="74"/>
      <c r="K227" s="75"/>
      <c r="L227" s="57"/>
      <c r="M227" s="74"/>
      <c r="N227" s="75"/>
      <c r="O227" s="57"/>
      <c r="P227" s="74"/>
      <c r="Q227" s="75"/>
      <c r="R227" s="57"/>
      <c r="S227" s="74"/>
      <c r="T227" s="75"/>
      <c r="U227" s="57"/>
      <c r="V227" s="74"/>
      <c r="W227" s="75"/>
      <c r="X227" s="57"/>
      <c r="Y227" s="74"/>
      <c r="Z227" s="75"/>
      <c r="AA227" s="57"/>
      <c r="AB227" s="74"/>
      <c r="AC227" s="75"/>
      <c r="AD227" s="57"/>
      <c r="AE227" s="74"/>
      <c r="AF227" s="75"/>
      <c r="AG227" s="57"/>
      <c r="AH227" s="74"/>
      <c r="AI227" s="75"/>
      <c r="AJ227" s="57"/>
      <c r="AK227" s="74"/>
      <c r="AL227" s="75"/>
      <c r="AM227" s="57"/>
      <c r="AN227" s="74"/>
      <c r="AO227" s="75"/>
      <c r="AP227" s="48"/>
      <c r="AQ227" s="48"/>
      <c r="AR227" s="48"/>
      <c r="AS227" s="48"/>
      <c r="AT227" s="48"/>
      <c r="AU227" s="48"/>
      <c r="AV227" s="48"/>
      <c r="AW227" s="48"/>
      <c r="AX227" s="48"/>
      <c r="AY227" s="48"/>
      <c r="AZ227" s="48"/>
      <c r="BA227" s="48"/>
      <c r="BB227" s="48"/>
      <c r="BC227" s="48"/>
      <c r="BD227" s="48"/>
      <c r="BE227" s="48"/>
      <c r="BF227" s="48"/>
      <c r="BG227" s="48"/>
      <c r="BH227" s="48"/>
      <c r="BI227" s="48"/>
    </row>
    <row r="228" ht="15.75" customHeight="1">
      <c r="A228" s="41" t="str">
        <f t="shared" si="3"/>
        <v>ServiceFrais bancaires</v>
      </c>
      <c r="B228" s="57" t="s">
        <v>141</v>
      </c>
      <c r="C228" s="57"/>
      <c r="D228" s="74"/>
      <c r="E228" s="75"/>
      <c r="F228" s="57"/>
      <c r="G228" s="74"/>
      <c r="H228" s="75"/>
      <c r="I228" s="57"/>
      <c r="J228" s="74"/>
      <c r="K228" s="75"/>
      <c r="L228" s="57"/>
      <c r="M228" s="74"/>
      <c r="N228" s="75"/>
      <c r="O228" s="57"/>
      <c r="P228" s="74"/>
      <c r="Q228" s="75"/>
      <c r="R228" s="57"/>
      <c r="S228" s="74"/>
      <c r="T228" s="75"/>
      <c r="U228" s="57"/>
      <c r="V228" s="74"/>
      <c r="W228" s="75"/>
      <c r="X228" s="57"/>
      <c r="Y228" s="74"/>
      <c r="Z228" s="75"/>
      <c r="AA228" s="57"/>
      <c r="AB228" s="74"/>
      <c r="AC228" s="75"/>
      <c r="AD228" s="57"/>
      <c r="AE228" s="74"/>
      <c r="AF228" s="75"/>
      <c r="AG228" s="57"/>
      <c r="AH228" s="74"/>
      <c r="AI228" s="75"/>
      <c r="AJ228" s="57"/>
      <c r="AK228" s="74"/>
      <c r="AL228" s="75"/>
      <c r="AM228" s="57"/>
      <c r="AN228" s="74"/>
      <c r="AO228" s="75"/>
      <c r="AP228" s="48"/>
      <c r="AQ228" s="48"/>
      <c r="AR228" s="48"/>
      <c r="AS228" s="48"/>
      <c r="AT228" s="48"/>
      <c r="AU228" s="48"/>
      <c r="AV228" s="48"/>
      <c r="AW228" s="48"/>
      <c r="AX228" s="48"/>
      <c r="AY228" s="48"/>
      <c r="AZ228" s="48"/>
      <c r="BA228" s="48"/>
      <c r="BB228" s="48"/>
      <c r="BC228" s="48"/>
      <c r="BD228" s="48"/>
      <c r="BE228" s="48"/>
      <c r="BF228" s="48"/>
      <c r="BG228" s="48"/>
      <c r="BH228" s="48"/>
      <c r="BI228" s="48"/>
    </row>
    <row r="229" ht="20.25" customHeight="1">
      <c r="A229" s="41" t="str">
        <f t="shared" si="3"/>
        <v>Service[...]</v>
      </c>
      <c r="B229" s="57" t="s">
        <v>56</v>
      </c>
      <c r="C229" s="57"/>
      <c r="D229" s="74"/>
      <c r="E229" s="75"/>
      <c r="F229" s="57"/>
      <c r="G229" s="74"/>
      <c r="H229" s="75"/>
      <c r="I229" s="57"/>
      <c r="J229" s="74"/>
      <c r="K229" s="75"/>
      <c r="L229" s="57"/>
      <c r="M229" s="74"/>
      <c r="N229" s="75"/>
      <c r="O229" s="57"/>
      <c r="P229" s="74"/>
      <c r="Q229" s="75"/>
      <c r="R229" s="57"/>
      <c r="S229" s="74"/>
      <c r="T229" s="75"/>
      <c r="U229" s="57"/>
      <c r="V229" s="74"/>
      <c r="W229" s="75"/>
      <c r="X229" s="57"/>
      <c r="Y229" s="74"/>
      <c r="Z229" s="75"/>
      <c r="AA229" s="57"/>
      <c r="AB229" s="74"/>
      <c r="AC229" s="75"/>
      <c r="AD229" s="57"/>
      <c r="AE229" s="74"/>
      <c r="AF229" s="75"/>
      <c r="AG229" s="57"/>
      <c r="AH229" s="74"/>
      <c r="AI229" s="75"/>
      <c r="AJ229" s="57"/>
      <c r="AK229" s="74"/>
      <c r="AL229" s="75"/>
      <c r="AM229" s="57"/>
      <c r="AN229" s="74"/>
      <c r="AO229" s="75"/>
      <c r="AP229" s="48"/>
      <c r="AQ229" s="48"/>
      <c r="AR229" s="48"/>
      <c r="AS229" s="48"/>
      <c r="AT229" s="48"/>
      <c r="AU229" s="48"/>
      <c r="AV229" s="48"/>
      <c r="AW229" s="48"/>
      <c r="AX229" s="48"/>
      <c r="AY229" s="48"/>
      <c r="AZ229" s="48"/>
      <c r="BA229" s="48"/>
      <c r="BB229" s="48"/>
      <c r="BC229" s="48"/>
      <c r="BD229" s="48"/>
      <c r="BE229" s="48"/>
      <c r="BF229" s="48"/>
      <c r="BG229" s="48"/>
      <c r="BH229" s="48"/>
      <c r="BI229" s="48"/>
    </row>
    <row r="230" ht="20.25" customHeight="1">
      <c r="A230" s="41" t="str">
        <f t="shared" si="3"/>
        <v>Service[...]</v>
      </c>
      <c r="B230" s="57" t="s">
        <v>56</v>
      </c>
      <c r="C230" s="57"/>
      <c r="D230" s="74"/>
      <c r="E230" s="75"/>
      <c r="F230" s="57"/>
      <c r="G230" s="74"/>
      <c r="H230" s="75"/>
      <c r="I230" s="57"/>
      <c r="J230" s="74"/>
      <c r="K230" s="75"/>
      <c r="L230" s="57"/>
      <c r="M230" s="74"/>
      <c r="N230" s="75"/>
      <c r="O230" s="57"/>
      <c r="P230" s="74"/>
      <c r="Q230" s="75"/>
      <c r="R230" s="57"/>
      <c r="S230" s="74"/>
      <c r="T230" s="75"/>
      <c r="U230" s="57"/>
      <c r="V230" s="74"/>
      <c r="W230" s="75"/>
      <c r="X230" s="57"/>
      <c r="Y230" s="74"/>
      <c r="Z230" s="75"/>
      <c r="AA230" s="57"/>
      <c r="AB230" s="74"/>
      <c r="AC230" s="75"/>
      <c r="AD230" s="57"/>
      <c r="AE230" s="74"/>
      <c r="AF230" s="75"/>
      <c r="AG230" s="57"/>
      <c r="AH230" s="74"/>
      <c r="AI230" s="75"/>
      <c r="AJ230" s="57"/>
      <c r="AK230" s="74"/>
      <c r="AL230" s="75"/>
      <c r="AM230" s="57"/>
      <c r="AN230" s="74"/>
      <c r="AO230" s="75"/>
      <c r="AP230" s="48"/>
      <c r="AQ230" s="48"/>
      <c r="AR230" s="48"/>
      <c r="AS230" s="48"/>
      <c r="AT230" s="48"/>
      <c r="AU230" s="48"/>
      <c r="AV230" s="48"/>
      <c r="AW230" s="48"/>
      <c r="AX230" s="48"/>
      <c r="AY230" s="48"/>
      <c r="AZ230" s="48"/>
      <c r="BA230" s="48"/>
      <c r="BB230" s="48"/>
      <c r="BC230" s="48"/>
      <c r="BD230" s="48"/>
      <c r="BE230" s="48"/>
      <c r="BF230" s="48"/>
      <c r="BG230" s="48"/>
      <c r="BH230" s="48"/>
      <c r="BI230" s="48"/>
    </row>
    <row r="231" ht="20.25" customHeight="1">
      <c r="A231" s="41" t="str">
        <f t="shared" si="3"/>
        <v>Service[...]</v>
      </c>
      <c r="B231" s="57" t="s">
        <v>56</v>
      </c>
      <c r="C231" s="57"/>
      <c r="D231" s="74"/>
      <c r="E231" s="75"/>
      <c r="F231" s="57"/>
      <c r="G231" s="74"/>
      <c r="H231" s="75"/>
      <c r="I231" s="57"/>
      <c r="J231" s="74"/>
      <c r="K231" s="75"/>
      <c r="L231" s="57"/>
      <c r="M231" s="74"/>
      <c r="N231" s="75"/>
      <c r="O231" s="57"/>
      <c r="P231" s="74"/>
      <c r="Q231" s="75"/>
      <c r="R231" s="57"/>
      <c r="S231" s="74"/>
      <c r="T231" s="75"/>
      <c r="U231" s="57"/>
      <c r="V231" s="74"/>
      <c r="W231" s="75"/>
      <c r="X231" s="57"/>
      <c r="Y231" s="74"/>
      <c r="Z231" s="75"/>
      <c r="AA231" s="57"/>
      <c r="AB231" s="74"/>
      <c r="AC231" s="75"/>
      <c r="AD231" s="57"/>
      <c r="AE231" s="74"/>
      <c r="AF231" s="75"/>
      <c r="AG231" s="57"/>
      <c r="AH231" s="74"/>
      <c r="AI231" s="75"/>
      <c r="AJ231" s="57"/>
      <c r="AK231" s="74"/>
      <c r="AL231" s="75"/>
      <c r="AM231" s="57"/>
      <c r="AN231" s="74"/>
      <c r="AO231" s="75"/>
      <c r="AP231" s="48"/>
      <c r="AQ231" s="48"/>
      <c r="AR231" s="48"/>
      <c r="AS231" s="48"/>
      <c r="AT231" s="48"/>
      <c r="AU231" s="48"/>
      <c r="AV231" s="48"/>
      <c r="AW231" s="48"/>
      <c r="AX231" s="48"/>
      <c r="AY231" s="48"/>
      <c r="AZ231" s="48"/>
      <c r="BA231" s="48"/>
      <c r="BB231" s="48"/>
      <c r="BC231" s="48"/>
      <c r="BD231" s="48"/>
      <c r="BE231" s="48"/>
      <c r="BF231" s="48"/>
      <c r="BG231" s="48"/>
      <c r="BH231" s="48"/>
      <c r="BI231" s="48"/>
    </row>
    <row r="232" ht="15.75" customHeight="1">
      <c r="A232" s="41" t="str">
        <f t="shared" si="3"/>
        <v>ServiceTOTAL SEMI-FIXES</v>
      </c>
      <c r="B232" s="92" t="s">
        <v>142</v>
      </c>
      <c r="C232" s="93"/>
      <c r="D232" s="94"/>
      <c r="E232" s="95"/>
      <c r="F232" s="93"/>
      <c r="G232" s="94"/>
      <c r="H232" s="95"/>
      <c r="I232" s="93"/>
      <c r="J232" s="94"/>
      <c r="K232" s="95"/>
      <c r="L232" s="93"/>
      <c r="M232" s="94"/>
      <c r="N232" s="95"/>
      <c r="O232" s="93"/>
      <c r="P232" s="94"/>
      <c r="Q232" s="95"/>
      <c r="R232" s="93"/>
      <c r="S232" s="94"/>
      <c r="T232" s="95"/>
      <c r="U232" s="93"/>
      <c r="V232" s="94"/>
      <c r="W232" s="95"/>
      <c r="X232" s="93"/>
      <c r="Y232" s="94"/>
      <c r="Z232" s="95"/>
      <c r="AA232" s="93"/>
      <c r="AB232" s="94"/>
      <c r="AC232" s="95"/>
      <c r="AD232" s="93"/>
      <c r="AE232" s="94"/>
      <c r="AF232" s="95"/>
      <c r="AG232" s="93"/>
      <c r="AH232" s="94"/>
      <c r="AI232" s="95"/>
      <c r="AJ232" s="93"/>
      <c r="AK232" s="94"/>
      <c r="AL232" s="95"/>
      <c r="AM232" s="93"/>
      <c r="AN232" s="94"/>
      <c r="AO232" s="95"/>
      <c r="AP232" s="48"/>
      <c r="AQ232" s="48"/>
      <c r="AR232" s="48"/>
      <c r="AS232" s="48"/>
      <c r="AT232" s="48"/>
      <c r="AU232" s="48"/>
      <c r="AV232" s="48"/>
      <c r="AW232" s="48"/>
      <c r="AX232" s="48"/>
      <c r="AY232" s="48"/>
      <c r="AZ232" s="48"/>
      <c r="BA232" s="48"/>
      <c r="BB232" s="48"/>
      <c r="BC232" s="48"/>
      <c r="BD232" s="48"/>
      <c r="BE232" s="48"/>
      <c r="BF232" s="48"/>
      <c r="BG232" s="48"/>
      <c r="BH232" s="48"/>
      <c r="BI232" s="48"/>
    </row>
    <row r="233" ht="15.75" customHeight="1">
      <c r="A233" s="41" t="str">
        <f t="shared" si="3"/>
        <v>Service</v>
      </c>
      <c r="B233" s="53"/>
      <c r="C233" s="53"/>
      <c r="D233" s="100"/>
      <c r="E233" s="91"/>
      <c r="F233" s="53"/>
      <c r="G233" s="100"/>
      <c r="H233" s="91"/>
      <c r="I233" s="53"/>
      <c r="J233" s="100"/>
      <c r="K233" s="91"/>
      <c r="L233" s="53"/>
      <c r="M233" s="100"/>
      <c r="N233" s="91"/>
      <c r="O233" s="53"/>
      <c r="P233" s="100"/>
      <c r="Q233" s="91"/>
      <c r="R233" s="53"/>
      <c r="S233" s="100"/>
      <c r="T233" s="91"/>
      <c r="U233" s="53"/>
      <c r="V233" s="100"/>
      <c r="W233" s="91"/>
      <c r="X233" s="53"/>
      <c r="Y233" s="100"/>
      <c r="Z233" s="91"/>
      <c r="AA233" s="53"/>
      <c r="AB233" s="100"/>
      <c r="AC233" s="91"/>
      <c r="AD233" s="53"/>
      <c r="AE233" s="100"/>
      <c r="AF233" s="91"/>
      <c r="AG233" s="53"/>
      <c r="AH233" s="100"/>
      <c r="AI233" s="91"/>
      <c r="AJ233" s="53"/>
      <c r="AK233" s="100"/>
      <c r="AL233" s="91"/>
      <c r="AM233" s="53"/>
      <c r="AN233" s="100"/>
      <c r="AO233" s="91"/>
      <c r="AP233" s="48"/>
      <c r="AQ233" s="48"/>
      <c r="AR233" s="48"/>
      <c r="AS233" s="48"/>
      <c r="AT233" s="48"/>
      <c r="AU233" s="48"/>
      <c r="AV233" s="48"/>
      <c r="AW233" s="48"/>
      <c r="AX233" s="48"/>
      <c r="AY233" s="48"/>
      <c r="AZ233" s="48"/>
      <c r="BA233" s="48"/>
      <c r="BB233" s="48"/>
      <c r="BC233" s="48"/>
      <c r="BD233" s="48"/>
      <c r="BE233" s="48"/>
      <c r="BF233" s="48"/>
      <c r="BG233" s="48"/>
      <c r="BH233" s="48"/>
      <c r="BI233" s="48"/>
    </row>
    <row r="234" ht="15.75" customHeight="1">
      <c r="A234" s="41" t="str">
        <f t="shared" si="3"/>
        <v>ServiceTOTAL DES DÉPENSES</v>
      </c>
      <c r="B234" s="92" t="s">
        <v>143</v>
      </c>
      <c r="C234" s="93"/>
      <c r="D234" s="94"/>
      <c r="E234" s="95"/>
      <c r="F234" s="93"/>
      <c r="G234" s="94"/>
      <c r="H234" s="95"/>
      <c r="I234" s="93"/>
      <c r="J234" s="94"/>
      <c r="K234" s="95"/>
      <c r="L234" s="93"/>
      <c r="M234" s="94"/>
      <c r="N234" s="95"/>
      <c r="O234" s="93"/>
      <c r="P234" s="94"/>
      <c r="Q234" s="95"/>
      <c r="R234" s="93"/>
      <c r="S234" s="94"/>
      <c r="T234" s="95"/>
      <c r="U234" s="93"/>
      <c r="V234" s="94"/>
      <c r="W234" s="95"/>
      <c r="X234" s="93"/>
      <c r="Y234" s="94"/>
      <c r="Z234" s="95"/>
      <c r="AA234" s="93"/>
      <c r="AB234" s="94"/>
      <c r="AC234" s="95"/>
      <c r="AD234" s="93"/>
      <c r="AE234" s="94"/>
      <c r="AF234" s="95"/>
      <c r="AG234" s="93"/>
      <c r="AH234" s="94"/>
      <c r="AI234" s="95"/>
      <c r="AJ234" s="93"/>
      <c r="AK234" s="94"/>
      <c r="AL234" s="95"/>
      <c r="AM234" s="93"/>
      <c r="AN234" s="94"/>
      <c r="AO234" s="95"/>
      <c r="AP234" s="48"/>
      <c r="AQ234" s="48"/>
      <c r="AR234" s="48"/>
      <c r="AS234" s="48"/>
      <c r="AT234" s="48"/>
      <c r="AU234" s="48"/>
      <c r="AV234" s="48"/>
      <c r="AW234" s="48"/>
      <c r="AX234" s="48"/>
      <c r="AY234" s="48"/>
      <c r="AZ234" s="48"/>
      <c r="BA234" s="48"/>
      <c r="BB234" s="48"/>
      <c r="BC234" s="48"/>
      <c r="BD234" s="48"/>
      <c r="BE234" s="48"/>
      <c r="BF234" s="48"/>
      <c r="BG234" s="48"/>
      <c r="BH234" s="48"/>
      <c r="BI234" s="48"/>
    </row>
    <row r="235" ht="15.75" customHeight="1">
      <c r="A235" s="41" t="str">
        <f t="shared" si="3"/>
        <v>Service</v>
      </c>
      <c r="B235" s="57"/>
      <c r="C235" s="57"/>
      <c r="D235" s="74"/>
      <c r="E235" s="75"/>
      <c r="F235" s="57"/>
      <c r="G235" s="74"/>
      <c r="H235" s="75"/>
      <c r="I235" s="57"/>
      <c r="J235" s="74"/>
      <c r="K235" s="75"/>
      <c r="L235" s="57"/>
      <c r="M235" s="74"/>
      <c r="N235" s="75"/>
      <c r="O235" s="57"/>
      <c r="P235" s="74"/>
      <c r="Q235" s="75"/>
      <c r="R235" s="57"/>
      <c r="S235" s="74"/>
      <c r="T235" s="75"/>
      <c r="U235" s="57"/>
      <c r="V235" s="74"/>
      <c r="W235" s="75"/>
      <c r="X235" s="57"/>
      <c r="Y235" s="74"/>
      <c r="Z235" s="75"/>
      <c r="AA235" s="57"/>
      <c r="AB235" s="74"/>
      <c r="AC235" s="75"/>
      <c r="AD235" s="57"/>
      <c r="AE235" s="74"/>
      <c r="AF235" s="75"/>
      <c r="AG235" s="57"/>
      <c r="AH235" s="74"/>
      <c r="AI235" s="75"/>
      <c r="AJ235" s="57"/>
      <c r="AK235" s="74"/>
      <c r="AL235" s="75"/>
      <c r="AM235" s="57"/>
      <c r="AN235" s="74"/>
      <c r="AO235" s="75"/>
      <c r="AP235" s="48"/>
      <c r="AQ235" s="48"/>
      <c r="AR235" s="48"/>
      <c r="AS235" s="48"/>
      <c r="AT235" s="48"/>
      <c r="AU235" s="48"/>
      <c r="AV235" s="48"/>
      <c r="AW235" s="48"/>
      <c r="AX235" s="48"/>
      <c r="AY235" s="48"/>
      <c r="AZ235" s="48"/>
      <c r="BA235" s="48"/>
      <c r="BB235" s="48"/>
      <c r="BC235" s="48"/>
      <c r="BD235" s="48"/>
      <c r="BE235" s="48"/>
      <c r="BF235" s="48"/>
      <c r="BG235" s="48"/>
      <c r="BH235" s="48"/>
      <c r="BI235" s="48"/>
    </row>
    <row r="236" ht="15.75" customHeight="1">
      <c r="A236" s="41" t="str">
        <f t="shared" si="3"/>
        <v>ServicePROFIT DÉPARTEMENTAL</v>
      </c>
      <c r="B236" s="103" t="s">
        <v>150</v>
      </c>
      <c r="C236" s="103"/>
      <c r="D236" s="149"/>
      <c r="E236" s="106"/>
      <c r="F236" s="103"/>
      <c r="G236" s="124"/>
      <c r="H236" s="106"/>
      <c r="I236" s="103"/>
      <c r="J236" s="124"/>
      <c r="K236" s="106"/>
      <c r="L236" s="103"/>
      <c r="M236" s="124"/>
      <c r="N236" s="106"/>
      <c r="O236" s="103"/>
      <c r="P236" s="124"/>
      <c r="Q236" s="106"/>
      <c r="R236" s="103"/>
      <c r="S236" s="124"/>
      <c r="T236" s="106"/>
      <c r="U236" s="103"/>
      <c r="V236" s="124"/>
      <c r="W236" s="106"/>
      <c r="X236" s="103"/>
      <c r="Y236" s="124"/>
      <c r="Z236" s="106"/>
      <c r="AA236" s="103"/>
      <c r="AB236" s="124"/>
      <c r="AC236" s="106"/>
      <c r="AD236" s="103"/>
      <c r="AE236" s="124"/>
      <c r="AF236" s="106"/>
      <c r="AG236" s="103"/>
      <c r="AH236" s="124"/>
      <c r="AI236" s="106"/>
      <c r="AJ236" s="103"/>
      <c r="AK236" s="124"/>
      <c r="AL236" s="106"/>
      <c r="AM236" s="103"/>
      <c r="AN236" s="124"/>
      <c r="AO236" s="106"/>
      <c r="AP236" s="48"/>
      <c r="AQ236" s="48"/>
      <c r="AR236" s="48"/>
      <c r="AS236" s="48"/>
      <c r="AT236" s="48"/>
      <c r="AU236" s="48"/>
      <c r="AV236" s="48"/>
      <c r="AW236" s="48"/>
      <c r="AX236" s="48"/>
      <c r="AY236" s="48"/>
      <c r="AZ236" s="48"/>
      <c r="BA236" s="48"/>
      <c r="BB236" s="48"/>
      <c r="BC236" s="48"/>
      <c r="BD236" s="48"/>
      <c r="BE236" s="48"/>
      <c r="BF236" s="48"/>
      <c r="BG236" s="48"/>
      <c r="BH236" s="48"/>
      <c r="BI236" s="48"/>
    </row>
    <row r="237" ht="15.75" customHeight="1">
      <c r="A237" s="41"/>
      <c r="B237" s="74"/>
      <c r="C237" s="74"/>
      <c r="D237" s="74"/>
      <c r="E237" s="88"/>
      <c r="F237" s="74"/>
      <c r="G237" s="74"/>
      <c r="H237" s="88"/>
      <c r="I237" s="74"/>
      <c r="J237" s="74"/>
      <c r="K237" s="88"/>
      <c r="L237" s="74"/>
      <c r="M237" s="74"/>
      <c r="N237" s="88"/>
      <c r="O237" s="74"/>
      <c r="P237" s="74"/>
      <c r="Q237" s="88"/>
      <c r="R237" s="74"/>
      <c r="S237" s="74"/>
      <c r="T237" s="88"/>
      <c r="U237" s="74"/>
      <c r="V237" s="74"/>
      <c r="W237" s="88"/>
      <c r="X237" s="74"/>
      <c r="Y237" s="74"/>
      <c r="Z237" s="88"/>
      <c r="AA237" s="74"/>
      <c r="AB237" s="74"/>
      <c r="AC237" s="88"/>
      <c r="AD237" s="74"/>
      <c r="AE237" s="74"/>
      <c r="AF237" s="88"/>
      <c r="AG237" s="74"/>
      <c r="AH237" s="74"/>
      <c r="AI237" s="88"/>
      <c r="AJ237" s="74"/>
      <c r="AK237" s="74"/>
      <c r="AL237" s="88"/>
      <c r="AM237" s="74"/>
      <c r="AN237" s="74"/>
      <c r="AO237" s="88"/>
      <c r="AP237" s="48"/>
      <c r="AQ237" s="48"/>
      <c r="AR237" s="48"/>
      <c r="AS237" s="48"/>
      <c r="AT237" s="48"/>
      <c r="AU237" s="48"/>
      <c r="AV237" s="48"/>
      <c r="AW237" s="48"/>
      <c r="AX237" s="48"/>
      <c r="AY237" s="48"/>
      <c r="AZ237" s="48"/>
      <c r="BA237" s="48"/>
      <c r="BB237" s="48"/>
      <c r="BC237" s="48"/>
      <c r="BD237" s="48"/>
      <c r="BE237" s="48"/>
      <c r="BF237" s="48"/>
      <c r="BG237" s="48"/>
      <c r="BH237" s="48"/>
      <c r="BI237" s="48"/>
    </row>
    <row r="238" ht="15.75" customHeight="1">
      <c r="A238" s="41"/>
      <c r="B238" s="111"/>
      <c r="C238" s="111"/>
      <c r="D238" s="111"/>
      <c r="E238" s="125"/>
      <c r="F238" s="111"/>
      <c r="G238" s="111"/>
      <c r="H238" s="125"/>
      <c r="I238" s="111"/>
      <c r="J238" s="111"/>
      <c r="K238" s="125"/>
      <c r="L238" s="111"/>
      <c r="M238" s="111"/>
      <c r="N238" s="125"/>
      <c r="O238" s="111"/>
      <c r="P238" s="111"/>
      <c r="Q238" s="125"/>
      <c r="R238" s="111"/>
      <c r="S238" s="111"/>
      <c r="T238" s="125"/>
      <c r="U238" s="111"/>
      <c r="V238" s="111"/>
      <c r="W238" s="125"/>
      <c r="X238" s="111"/>
      <c r="Y238" s="111"/>
      <c r="Z238" s="125"/>
      <c r="AA238" s="111"/>
      <c r="AB238" s="111"/>
      <c r="AC238" s="125"/>
      <c r="AD238" s="111"/>
      <c r="AE238" s="111"/>
      <c r="AF238" s="125"/>
      <c r="AG238" s="111"/>
      <c r="AH238" s="111"/>
      <c r="AI238" s="125"/>
      <c r="AJ238" s="111"/>
      <c r="AK238" s="111"/>
      <c r="AL238" s="125"/>
      <c r="AM238" s="111"/>
      <c r="AN238" s="111"/>
      <c r="AO238" s="125"/>
      <c r="AP238" s="40"/>
      <c r="AQ238" s="40"/>
      <c r="AR238" s="40"/>
      <c r="AS238" s="40"/>
      <c r="AT238" s="40"/>
      <c r="AU238" s="40"/>
      <c r="AV238" s="40"/>
      <c r="AW238" s="40"/>
      <c r="AX238" s="40"/>
      <c r="AY238" s="40"/>
      <c r="AZ238" s="40"/>
      <c r="BA238" s="40"/>
      <c r="BB238" s="40"/>
      <c r="BC238" s="40"/>
      <c r="BD238" s="40"/>
      <c r="BE238" s="40"/>
      <c r="BF238" s="40"/>
      <c r="BG238" s="40"/>
      <c r="BH238" s="40"/>
      <c r="BI238" s="40"/>
    </row>
    <row r="239" ht="15.75" customHeight="1">
      <c r="A239" s="41"/>
      <c r="B239" s="112" t="str">
        <f>B4</f>
        <v>Budget 2025</v>
      </c>
      <c r="C239" s="112" t="s">
        <v>174</v>
      </c>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38"/>
      <c r="AQ239" s="38"/>
      <c r="AR239" s="38"/>
      <c r="AS239" s="38"/>
      <c r="AT239" s="38"/>
      <c r="AU239" s="38"/>
      <c r="AV239" s="38"/>
      <c r="AW239" s="38"/>
      <c r="AX239" s="38"/>
      <c r="AY239" s="38"/>
      <c r="AZ239" s="38"/>
      <c r="BA239" s="38"/>
      <c r="BB239" s="38"/>
      <c r="BC239" s="38"/>
      <c r="BD239" s="38"/>
      <c r="BE239" s="38"/>
      <c r="BF239" s="38"/>
      <c r="BG239" s="38"/>
      <c r="BH239" s="38"/>
      <c r="BI239" s="38"/>
    </row>
    <row r="240" ht="15.75" customHeight="1">
      <c r="A240" s="41"/>
      <c r="B240" s="113"/>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40"/>
      <c r="AQ240" s="40"/>
      <c r="AR240" s="40"/>
      <c r="AS240" s="40"/>
      <c r="AT240" s="40"/>
      <c r="AU240" s="40"/>
      <c r="AV240" s="40"/>
      <c r="AW240" s="40"/>
      <c r="AX240" s="40"/>
      <c r="AY240" s="40"/>
      <c r="AZ240" s="40"/>
      <c r="BA240" s="40"/>
      <c r="BB240" s="40"/>
      <c r="BC240" s="40"/>
      <c r="BD240" s="40"/>
      <c r="BE240" s="40"/>
      <c r="BF240" s="40"/>
      <c r="BG240" s="40"/>
      <c r="BH240" s="40"/>
      <c r="BI240" s="40"/>
    </row>
    <row r="241" ht="15.75" customHeight="1">
      <c r="A241" s="41"/>
      <c r="B241" s="42" t="s">
        <v>2</v>
      </c>
      <c r="C241" s="43"/>
      <c r="D241" s="44"/>
      <c r="E241" s="45"/>
      <c r="F241" s="114"/>
      <c r="G241" s="115"/>
      <c r="H241" s="116"/>
      <c r="I241" s="114"/>
      <c r="J241" s="115"/>
      <c r="K241" s="116"/>
      <c r="L241" s="114"/>
      <c r="M241" s="115"/>
      <c r="N241" s="116"/>
      <c r="O241" s="114"/>
      <c r="P241" s="115"/>
      <c r="Q241" s="116"/>
      <c r="R241" s="114"/>
      <c r="S241" s="115"/>
      <c r="T241" s="116"/>
      <c r="U241" s="114"/>
      <c r="V241" s="115"/>
      <c r="W241" s="116"/>
      <c r="X241" s="114"/>
      <c r="Y241" s="115"/>
      <c r="Z241" s="116"/>
      <c r="AA241" s="114"/>
      <c r="AB241" s="115"/>
      <c r="AC241" s="116"/>
      <c r="AD241" s="114"/>
      <c r="AE241" s="115"/>
      <c r="AF241" s="116"/>
      <c r="AG241" s="114"/>
      <c r="AH241" s="115"/>
      <c r="AI241" s="116"/>
      <c r="AJ241" s="114"/>
      <c r="AK241" s="115"/>
      <c r="AL241" s="116"/>
      <c r="AM241" s="114"/>
      <c r="AN241" s="115"/>
      <c r="AO241" s="116"/>
      <c r="AP241" s="48"/>
      <c r="AQ241" s="48"/>
      <c r="AR241" s="48"/>
      <c r="AS241" s="48"/>
      <c r="AT241" s="48"/>
      <c r="AU241" s="48"/>
      <c r="AV241" s="48"/>
      <c r="AW241" s="48"/>
      <c r="AX241" s="48"/>
      <c r="AY241" s="48"/>
      <c r="AZ241" s="48"/>
      <c r="BA241" s="48"/>
      <c r="BB241" s="48"/>
      <c r="BC241" s="48"/>
      <c r="BD241" s="48"/>
      <c r="BE241" s="48"/>
      <c r="BF241" s="48"/>
      <c r="BG241" s="48"/>
      <c r="BH241" s="48"/>
      <c r="BI241" s="48"/>
    </row>
    <row r="242" ht="15.75" customHeight="1">
      <c r="A242" s="41" t="str">
        <f t="shared" ref="A242:A292" si="4">+$C$239&amp;B242</f>
        <v>Carrosserie</v>
      </c>
      <c r="B242" s="57"/>
      <c r="C242" s="117"/>
      <c r="D242" s="86"/>
      <c r="E242" s="118"/>
      <c r="F242" s="117"/>
      <c r="G242" s="86"/>
      <c r="H242" s="118"/>
      <c r="I242" s="117"/>
      <c r="J242" s="86"/>
      <c r="K242" s="118"/>
      <c r="L242" s="117"/>
      <c r="M242" s="86"/>
      <c r="N242" s="118"/>
      <c r="O242" s="117"/>
      <c r="P242" s="86"/>
      <c r="Q242" s="118"/>
      <c r="R242" s="117"/>
      <c r="S242" s="86"/>
      <c r="T242" s="118"/>
      <c r="U242" s="117"/>
      <c r="V242" s="86"/>
      <c r="W242" s="118"/>
      <c r="X242" s="117"/>
      <c r="Y242" s="86"/>
      <c r="Z242" s="118"/>
      <c r="AA242" s="117"/>
      <c r="AB242" s="86"/>
      <c r="AC242" s="118"/>
      <c r="AD242" s="117"/>
      <c r="AE242" s="86"/>
      <c r="AF242" s="118"/>
      <c r="AG242" s="117"/>
      <c r="AH242" s="86"/>
      <c r="AI242" s="118"/>
      <c r="AJ242" s="117"/>
      <c r="AK242" s="86"/>
      <c r="AL242" s="118"/>
      <c r="AM242" s="117"/>
      <c r="AN242" s="86"/>
      <c r="AO242" s="118"/>
      <c r="AP242" s="48"/>
      <c r="AQ242" s="48"/>
      <c r="AR242" s="48"/>
      <c r="AS242" s="48"/>
      <c r="AT242" s="48"/>
      <c r="AU242" s="48"/>
      <c r="AV242" s="48"/>
      <c r="AW242" s="48"/>
      <c r="AX242" s="48"/>
      <c r="AY242" s="48"/>
      <c r="AZ242" s="48"/>
      <c r="BA242" s="48"/>
      <c r="BB242" s="48"/>
      <c r="BC242" s="48"/>
      <c r="BD242" s="48"/>
      <c r="BE242" s="48"/>
      <c r="BF242" s="48"/>
      <c r="BG242" s="48"/>
      <c r="BH242" s="48"/>
      <c r="BI242" s="48"/>
    </row>
    <row r="243" ht="15.75" customHeight="1">
      <c r="A243" s="41" t="str">
        <f t="shared" si="4"/>
        <v>Carrosserie</v>
      </c>
      <c r="B243" s="57"/>
      <c r="C243" s="117"/>
      <c r="D243" s="86"/>
      <c r="E243" s="118"/>
      <c r="F243" s="117"/>
      <c r="G243" s="86"/>
      <c r="H243" s="118"/>
      <c r="I243" s="117"/>
      <c r="J243" s="86"/>
      <c r="K243" s="118"/>
      <c r="L243" s="117"/>
      <c r="M243" s="86"/>
      <c r="N243" s="118"/>
      <c r="O243" s="117"/>
      <c r="P243" s="86"/>
      <c r="Q243" s="118"/>
      <c r="R243" s="117"/>
      <c r="S243" s="86"/>
      <c r="T243" s="118"/>
      <c r="U243" s="117"/>
      <c r="V243" s="86"/>
      <c r="W243" s="118"/>
      <c r="X243" s="117"/>
      <c r="Y243" s="86"/>
      <c r="Z243" s="118"/>
      <c r="AA243" s="117"/>
      <c r="AB243" s="86"/>
      <c r="AC243" s="118"/>
      <c r="AD243" s="117"/>
      <c r="AE243" s="86"/>
      <c r="AF243" s="118"/>
      <c r="AG243" s="117"/>
      <c r="AH243" s="86"/>
      <c r="AI243" s="118"/>
      <c r="AJ243" s="117"/>
      <c r="AK243" s="86"/>
      <c r="AL243" s="118"/>
      <c r="AM243" s="117"/>
      <c r="AN243" s="86"/>
      <c r="AO243" s="118"/>
      <c r="AP243" s="48"/>
      <c r="AQ243" s="48"/>
      <c r="AR243" s="48"/>
      <c r="AS243" s="48"/>
      <c r="AT243" s="48"/>
      <c r="AU243" s="48"/>
      <c r="AV243" s="48"/>
      <c r="AW243" s="48"/>
      <c r="AX243" s="48"/>
      <c r="AY243" s="48"/>
      <c r="AZ243" s="48"/>
      <c r="BA243" s="48"/>
      <c r="BB243" s="48"/>
      <c r="BC243" s="48"/>
      <c r="BD243" s="48"/>
      <c r="BE243" s="48"/>
      <c r="BF243" s="48"/>
      <c r="BG243" s="48"/>
      <c r="BH243" s="48"/>
      <c r="BI243" s="48"/>
    </row>
    <row r="244" ht="15.75" customHeight="1">
      <c r="A244" s="41" t="str">
        <f t="shared" si="4"/>
        <v>CarrosserieM/O Sous-traitement</v>
      </c>
      <c r="B244" s="57" t="s">
        <v>175</v>
      </c>
      <c r="C244" s="126"/>
      <c r="D244" s="88"/>
      <c r="E244" s="75"/>
      <c r="F244" s="126"/>
      <c r="G244" s="88"/>
      <c r="H244" s="75"/>
      <c r="I244" s="126"/>
      <c r="J244" s="88"/>
      <c r="K244" s="75"/>
      <c r="L244" s="126"/>
      <c r="M244" s="88"/>
      <c r="N244" s="75"/>
      <c r="O244" s="126"/>
      <c r="P244" s="88"/>
      <c r="Q244" s="75"/>
      <c r="R244" s="126"/>
      <c r="S244" s="88"/>
      <c r="T244" s="75"/>
      <c r="U244" s="126"/>
      <c r="V244" s="88"/>
      <c r="W244" s="75"/>
      <c r="X244" s="126"/>
      <c r="Y244" s="88"/>
      <c r="Z244" s="75"/>
      <c r="AA244" s="126"/>
      <c r="AB244" s="88"/>
      <c r="AC244" s="75"/>
      <c r="AD244" s="126"/>
      <c r="AE244" s="88"/>
      <c r="AF244" s="75"/>
      <c r="AG244" s="126"/>
      <c r="AH244" s="88"/>
      <c r="AI244" s="75"/>
      <c r="AJ244" s="126"/>
      <c r="AK244" s="88"/>
      <c r="AL244" s="75"/>
      <c r="AM244" s="126"/>
      <c r="AN244" s="88"/>
      <c r="AO244" s="75"/>
      <c r="AP244" s="48"/>
      <c r="AQ244" s="48"/>
      <c r="AR244" s="48"/>
      <c r="AS244" s="48"/>
      <c r="AT244" s="48"/>
      <c r="AU244" s="48"/>
      <c r="AV244" s="48"/>
      <c r="AW244" s="48"/>
      <c r="AX244" s="48"/>
      <c r="AY244" s="48"/>
      <c r="AZ244" s="48"/>
      <c r="BA244" s="48"/>
      <c r="BB244" s="48"/>
      <c r="BC244" s="48"/>
      <c r="BD244" s="48"/>
      <c r="BE244" s="48"/>
      <c r="BF244" s="48"/>
      <c r="BG244" s="48"/>
      <c r="BH244" s="48"/>
      <c r="BI244" s="48"/>
    </row>
    <row r="245" ht="15.75" customHeight="1">
      <c r="A245" s="41" t="str">
        <f t="shared" si="4"/>
        <v>Carrosserie% profit / ventes</v>
      </c>
      <c r="B245" s="57" t="s">
        <v>163</v>
      </c>
      <c r="C245" s="126"/>
      <c r="D245" s="74"/>
      <c r="E245" s="127"/>
      <c r="F245" s="126"/>
      <c r="G245" s="74"/>
      <c r="H245" s="127"/>
      <c r="I245" s="126"/>
      <c r="J245" s="74"/>
      <c r="K245" s="127"/>
      <c r="L245" s="126"/>
      <c r="M245" s="74"/>
      <c r="N245" s="127"/>
      <c r="O245" s="126"/>
      <c r="P245" s="74"/>
      <c r="Q245" s="127"/>
      <c r="R245" s="126"/>
      <c r="S245" s="74"/>
      <c r="T245" s="127"/>
      <c r="U245" s="126"/>
      <c r="V245" s="74"/>
      <c r="W245" s="127"/>
      <c r="X245" s="126"/>
      <c r="Y245" s="74"/>
      <c r="Z245" s="127"/>
      <c r="AA245" s="126"/>
      <c r="AB245" s="74"/>
      <c r="AC245" s="127"/>
      <c r="AD245" s="126"/>
      <c r="AE245" s="74"/>
      <c r="AF245" s="127"/>
      <c r="AG245" s="126"/>
      <c r="AH245" s="74"/>
      <c r="AI245" s="127"/>
      <c r="AJ245" s="126"/>
      <c r="AK245" s="74"/>
      <c r="AL245" s="127"/>
      <c r="AM245" s="126"/>
      <c r="AN245" s="74"/>
      <c r="AO245" s="127"/>
      <c r="AP245" s="48"/>
      <c r="AQ245" s="48"/>
      <c r="AR245" s="48"/>
      <c r="AS245" s="48"/>
      <c r="AT245" s="48"/>
      <c r="AU245" s="48"/>
      <c r="AV245" s="48"/>
      <c r="AW245" s="48"/>
      <c r="AX245" s="48"/>
      <c r="AY245" s="48"/>
      <c r="AZ245" s="48"/>
      <c r="BA245" s="48"/>
      <c r="BB245" s="48"/>
      <c r="BC245" s="48"/>
      <c r="BD245" s="48"/>
      <c r="BE245" s="48"/>
      <c r="BF245" s="48"/>
      <c r="BG245" s="48"/>
      <c r="BH245" s="48"/>
      <c r="BI245" s="48"/>
    </row>
    <row r="246" ht="15.75" customHeight="1">
      <c r="A246" s="41" t="str">
        <f t="shared" si="4"/>
        <v>Carrosserie</v>
      </c>
      <c r="B246" s="57"/>
      <c r="C246" s="117"/>
      <c r="D246" s="86"/>
      <c r="E246" s="118"/>
      <c r="F246" s="117"/>
      <c r="G246" s="86"/>
      <c r="H246" s="118"/>
      <c r="I246" s="117"/>
      <c r="J246" s="86"/>
      <c r="K246" s="118"/>
      <c r="L246" s="117"/>
      <c r="M246" s="86"/>
      <c r="N246" s="118"/>
      <c r="O246" s="117"/>
      <c r="P246" s="86"/>
      <c r="Q246" s="118"/>
      <c r="R246" s="117"/>
      <c r="S246" s="86"/>
      <c r="T246" s="118"/>
      <c r="U246" s="117"/>
      <c r="V246" s="86"/>
      <c r="W246" s="118"/>
      <c r="X246" s="117"/>
      <c r="Y246" s="86"/>
      <c r="Z246" s="118"/>
      <c r="AA246" s="117"/>
      <c r="AB246" s="86"/>
      <c r="AC246" s="118"/>
      <c r="AD246" s="117"/>
      <c r="AE246" s="86"/>
      <c r="AF246" s="118"/>
      <c r="AG246" s="117"/>
      <c r="AH246" s="86"/>
      <c r="AI246" s="118"/>
      <c r="AJ246" s="117"/>
      <c r="AK246" s="86"/>
      <c r="AL246" s="118"/>
      <c r="AM246" s="117"/>
      <c r="AN246" s="86"/>
      <c r="AO246" s="118"/>
      <c r="AP246" s="48"/>
      <c r="AQ246" s="48"/>
      <c r="AR246" s="48"/>
      <c r="AS246" s="48"/>
      <c r="AT246" s="48"/>
      <c r="AU246" s="48"/>
      <c r="AV246" s="48"/>
      <c r="AW246" s="48"/>
      <c r="AX246" s="48"/>
      <c r="AY246" s="48"/>
      <c r="AZ246" s="48"/>
      <c r="BA246" s="48"/>
      <c r="BB246" s="48"/>
      <c r="BC246" s="48"/>
      <c r="BD246" s="48"/>
      <c r="BE246" s="48"/>
      <c r="BF246" s="48"/>
      <c r="BG246" s="48"/>
      <c r="BH246" s="48"/>
      <c r="BI246" s="48"/>
    </row>
    <row r="247" ht="15.75" customHeight="1">
      <c r="A247" s="41" t="str">
        <f t="shared" si="4"/>
        <v>CarrosserieM/O Carrosserie</v>
      </c>
      <c r="B247" s="49" t="s">
        <v>176</v>
      </c>
      <c r="C247" s="131"/>
      <c r="D247" s="132"/>
      <c r="E247" s="99"/>
      <c r="F247" s="131"/>
      <c r="G247" s="132"/>
      <c r="H247" s="99"/>
      <c r="I247" s="131"/>
      <c r="J247" s="132"/>
      <c r="K247" s="99"/>
      <c r="L247" s="131"/>
      <c r="M247" s="132"/>
      <c r="N247" s="99"/>
      <c r="O247" s="131"/>
      <c r="P247" s="132"/>
      <c r="Q247" s="99"/>
      <c r="R247" s="131"/>
      <c r="S247" s="132"/>
      <c r="T247" s="99"/>
      <c r="U247" s="131"/>
      <c r="V247" s="132"/>
      <c r="W247" s="99"/>
      <c r="X247" s="131"/>
      <c r="Y247" s="132"/>
      <c r="Z247" s="99"/>
      <c r="AA247" s="131"/>
      <c r="AB247" s="132"/>
      <c r="AC247" s="99"/>
      <c r="AD247" s="131"/>
      <c r="AE247" s="132"/>
      <c r="AF247" s="99"/>
      <c r="AG247" s="131"/>
      <c r="AH247" s="132"/>
      <c r="AI247" s="99"/>
      <c r="AJ247" s="131"/>
      <c r="AK247" s="132"/>
      <c r="AL247" s="99"/>
      <c r="AM247" s="131"/>
      <c r="AN247" s="132"/>
      <c r="AO247" s="99"/>
      <c r="AP247" s="48"/>
      <c r="AQ247" s="48"/>
      <c r="AR247" s="48"/>
      <c r="AS247" s="48"/>
      <c r="AT247" s="48"/>
      <c r="AU247" s="48"/>
      <c r="AV247" s="48"/>
      <c r="AW247" s="48"/>
      <c r="AX247" s="48"/>
      <c r="AY247" s="48"/>
      <c r="AZ247" s="48"/>
      <c r="BA247" s="48"/>
      <c r="BB247" s="48"/>
      <c r="BC247" s="48"/>
      <c r="BD247" s="48"/>
      <c r="BE247" s="48"/>
      <c r="BF247" s="48"/>
      <c r="BG247" s="48"/>
      <c r="BH247" s="48"/>
      <c r="BI247" s="48"/>
    </row>
    <row r="248" ht="15.75" customHeight="1">
      <c r="A248" s="41" t="str">
        <f t="shared" si="4"/>
        <v>Carrosserie% profit / ventes</v>
      </c>
      <c r="B248" s="57" t="s">
        <v>163</v>
      </c>
      <c r="C248" s="126"/>
      <c r="D248" s="74"/>
      <c r="E248" s="127"/>
      <c r="F248" s="126"/>
      <c r="G248" s="74"/>
      <c r="H248" s="127"/>
      <c r="I248" s="126"/>
      <c r="J248" s="74"/>
      <c r="K248" s="127"/>
      <c r="L248" s="126"/>
      <c r="M248" s="74"/>
      <c r="N248" s="127"/>
      <c r="O248" s="126"/>
      <c r="P248" s="74"/>
      <c r="Q248" s="127"/>
      <c r="R248" s="126"/>
      <c r="S248" s="74"/>
      <c r="T248" s="127"/>
      <c r="U248" s="126"/>
      <c r="V248" s="74"/>
      <c r="W248" s="127"/>
      <c r="X248" s="126"/>
      <c r="Y248" s="74"/>
      <c r="Z248" s="127"/>
      <c r="AA248" s="126"/>
      <c r="AB248" s="74"/>
      <c r="AC248" s="127"/>
      <c r="AD248" s="126"/>
      <c r="AE248" s="74"/>
      <c r="AF248" s="127"/>
      <c r="AG248" s="126"/>
      <c r="AH248" s="74"/>
      <c r="AI248" s="127"/>
      <c r="AJ248" s="126"/>
      <c r="AK248" s="74"/>
      <c r="AL248" s="127"/>
      <c r="AM248" s="126"/>
      <c r="AN248" s="74"/>
      <c r="AO248" s="127"/>
      <c r="AP248" s="48"/>
      <c r="AQ248" s="48"/>
      <c r="AR248" s="48"/>
      <c r="AS248" s="48"/>
      <c r="AT248" s="48"/>
      <c r="AU248" s="48"/>
      <c r="AV248" s="48"/>
      <c r="AW248" s="48"/>
      <c r="AX248" s="48"/>
      <c r="AY248" s="48"/>
      <c r="AZ248" s="48"/>
      <c r="BA248" s="48"/>
      <c r="BB248" s="48"/>
      <c r="BC248" s="48"/>
      <c r="BD248" s="48"/>
      <c r="BE248" s="48"/>
      <c r="BF248" s="48"/>
      <c r="BG248" s="48"/>
      <c r="BH248" s="48"/>
      <c r="BI248" s="48"/>
    </row>
    <row r="249" ht="15.75" customHeight="1">
      <c r="A249" s="41" t="str">
        <f t="shared" si="4"/>
        <v>Carrosserie</v>
      </c>
      <c r="B249" s="53"/>
      <c r="C249" s="128"/>
      <c r="D249" s="129"/>
      <c r="E249" s="130"/>
      <c r="F249" s="128"/>
      <c r="G249" s="129"/>
      <c r="H249" s="130"/>
      <c r="I249" s="128"/>
      <c r="J249" s="129"/>
      <c r="K249" s="130"/>
      <c r="L249" s="128"/>
      <c r="M249" s="129"/>
      <c r="N249" s="130"/>
      <c r="O249" s="128"/>
      <c r="P249" s="129"/>
      <c r="Q249" s="130"/>
      <c r="R249" s="128"/>
      <c r="S249" s="129"/>
      <c r="T249" s="130"/>
      <c r="U249" s="128"/>
      <c r="V249" s="129"/>
      <c r="W249" s="130"/>
      <c r="X249" s="128"/>
      <c r="Y249" s="129"/>
      <c r="Z249" s="130"/>
      <c r="AA249" s="128"/>
      <c r="AB249" s="129"/>
      <c r="AC249" s="130"/>
      <c r="AD249" s="128"/>
      <c r="AE249" s="129"/>
      <c r="AF249" s="130"/>
      <c r="AG249" s="128"/>
      <c r="AH249" s="129"/>
      <c r="AI249" s="130"/>
      <c r="AJ249" s="128"/>
      <c r="AK249" s="129"/>
      <c r="AL249" s="130"/>
      <c r="AM249" s="128"/>
      <c r="AN249" s="129"/>
      <c r="AO249" s="130"/>
      <c r="AP249" s="48"/>
      <c r="AQ249" s="48"/>
      <c r="AR249" s="48"/>
      <c r="AS249" s="48"/>
      <c r="AT249" s="48"/>
      <c r="AU249" s="48"/>
      <c r="AV249" s="48"/>
      <c r="AW249" s="48"/>
      <c r="AX249" s="48"/>
      <c r="AY249" s="48"/>
      <c r="AZ249" s="48"/>
      <c r="BA249" s="48"/>
      <c r="BB249" s="48"/>
      <c r="BC249" s="48"/>
      <c r="BD249" s="48"/>
      <c r="BE249" s="48"/>
      <c r="BF249" s="48"/>
      <c r="BG249" s="48"/>
      <c r="BH249" s="48"/>
      <c r="BI249" s="48"/>
    </row>
    <row r="250" ht="15.75" customHeight="1">
      <c r="A250" s="41" t="str">
        <f t="shared" si="4"/>
        <v>CarrosserieM/O Esthétique Carr.</v>
      </c>
      <c r="B250" s="49" t="s">
        <v>177</v>
      </c>
      <c r="C250" s="131"/>
      <c r="D250" s="132"/>
      <c r="E250" s="99"/>
      <c r="F250" s="131"/>
      <c r="G250" s="132"/>
      <c r="H250" s="99"/>
      <c r="I250" s="131"/>
      <c r="J250" s="132"/>
      <c r="K250" s="99"/>
      <c r="L250" s="131"/>
      <c r="M250" s="132"/>
      <c r="N250" s="99"/>
      <c r="O250" s="131"/>
      <c r="P250" s="132"/>
      <c r="Q250" s="99"/>
      <c r="R250" s="131"/>
      <c r="S250" s="132"/>
      <c r="T250" s="99"/>
      <c r="U250" s="131"/>
      <c r="V250" s="132"/>
      <c r="W250" s="99"/>
      <c r="X250" s="131"/>
      <c r="Y250" s="132"/>
      <c r="Z250" s="99"/>
      <c r="AA250" s="131"/>
      <c r="AB250" s="132"/>
      <c r="AC250" s="99"/>
      <c r="AD250" s="131"/>
      <c r="AE250" s="132"/>
      <c r="AF250" s="99"/>
      <c r="AG250" s="131"/>
      <c r="AH250" s="132"/>
      <c r="AI250" s="99"/>
      <c r="AJ250" s="131"/>
      <c r="AK250" s="132"/>
      <c r="AL250" s="99"/>
      <c r="AM250" s="131"/>
      <c r="AN250" s="132"/>
      <c r="AO250" s="99"/>
      <c r="AP250" s="48"/>
      <c r="AQ250" s="48"/>
      <c r="AR250" s="48"/>
      <c r="AS250" s="48"/>
      <c r="AT250" s="48"/>
      <c r="AU250" s="48"/>
      <c r="AV250" s="48"/>
      <c r="AW250" s="48"/>
      <c r="AX250" s="48"/>
      <c r="AY250" s="48"/>
      <c r="AZ250" s="48"/>
      <c r="BA250" s="48"/>
      <c r="BB250" s="48"/>
      <c r="BC250" s="48"/>
      <c r="BD250" s="48"/>
      <c r="BE250" s="48"/>
      <c r="BF250" s="48"/>
      <c r="BG250" s="48"/>
      <c r="BH250" s="48"/>
      <c r="BI250" s="48"/>
    </row>
    <row r="251" ht="15.75" customHeight="1">
      <c r="A251" s="41" t="str">
        <f t="shared" si="4"/>
        <v>Carrosserie% profit / ventes</v>
      </c>
      <c r="B251" s="57" t="s">
        <v>163</v>
      </c>
      <c r="C251" s="57"/>
      <c r="D251" s="74"/>
      <c r="E251" s="127"/>
      <c r="F251" s="57"/>
      <c r="G251" s="74"/>
      <c r="H251" s="127"/>
      <c r="I251" s="57"/>
      <c r="J251" s="74"/>
      <c r="K251" s="127"/>
      <c r="L251" s="57"/>
      <c r="M251" s="74"/>
      <c r="N251" s="127"/>
      <c r="O251" s="57"/>
      <c r="P251" s="74"/>
      <c r="Q251" s="127"/>
      <c r="R251" s="57"/>
      <c r="S251" s="74"/>
      <c r="T251" s="127"/>
      <c r="U251" s="57"/>
      <c r="V251" s="74"/>
      <c r="W251" s="127"/>
      <c r="X251" s="57"/>
      <c r="Y251" s="74"/>
      <c r="Z251" s="127"/>
      <c r="AA251" s="57"/>
      <c r="AB251" s="74"/>
      <c r="AC251" s="127"/>
      <c r="AD251" s="57"/>
      <c r="AE251" s="74"/>
      <c r="AF251" s="127"/>
      <c r="AG251" s="57"/>
      <c r="AH251" s="74"/>
      <c r="AI251" s="127"/>
      <c r="AJ251" s="57"/>
      <c r="AK251" s="74"/>
      <c r="AL251" s="127"/>
      <c r="AM251" s="57"/>
      <c r="AN251" s="74"/>
      <c r="AO251" s="127"/>
      <c r="AP251" s="48"/>
      <c r="AQ251" s="48"/>
      <c r="AR251" s="48"/>
      <c r="AS251" s="48"/>
      <c r="AT251" s="48"/>
      <c r="AU251" s="48"/>
      <c r="AV251" s="48"/>
      <c r="AW251" s="48"/>
      <c r="AX251" s="48"/>
      <c r="AY251" s="48"/>
      <c r="AZ251" s="48"/>
      <c r="BA251" s="48"/>
      <c r="BB251" s="48"/>
      <c r="BC251" s="48"/>
      <c r="BD251" s="48"/>
      <c r="BE251" s="48"/>
      <c r="BF251" s="48"/>
      <c r="BG251" s="48"/>
      <c r="BH251" s="48"/>
      <c r="BI251" s="48"/>
    </row>
    <row r="252" ht="15.75" customHeight="1">
      <c r="A252" s="41" t="str">
        <f t="shared" si="4"/>
        <v>Carrosserie</v>
      </c>
      <c r="B252" s="57"/>
      <c r="C252" s="57"/>
      <c r="D252" s="74"/>
      <c r="E252" s="127"/>
      <c r="F252" s="57"/>
      <c r="G252" s="74"/>
      <c r="H252" s="127"/>
      <c r="I252" s="57"/>
      <c r="J252" s="74"/>
      <c r="K252" s="127"/>
      <c r="L252" s="57"/>
      <c r="M252" s="74"/>
      <c r="N252" s="127"/>
      <c r="O252" s="57"/>
      <c r="P252" s="74"/>
      <c r="Q252" s="127"/>
      <c r="R252" s="57"/>
      <c r="S252" s="74"/>
      <c r="T252" s="127"/>
      <c r="U252" s="57"/>
      <c r="V252" s="74"/>
      <c r="W252" s="127"/>
      <c r="X252" s="57"/>
      <c r="Y252" s="74"/>
      <c r="Z252" s="127"/>
      <c r="AA252" s="57"/>
      <c r="AB252" s="74"/>
      <c r="AC252" s="127"/>
      <c r="AD252" s="57"/>
      <c r="AE252" s="74"/>
      <c r="AF252" s="127"/>
      <c r="AG252" s="57"/>
      <c r="AH252" s="74"/>
      <c r="AI252" s="127"/>
      <c r="AJ252" s="57"/>
      <c r="AK252" s="74"/>
      <c r="AL252" s="127"/>
      <c r="AM252" s="57"/>
      <c r="AN252" s="74"/>
      <c r="AO252" s="127"/>
      <c r="AP252" s="48"/>
      <c r="AQ252" s="48"/>
      <c r="AR252" s="48"/>
      <c r="AS252" s="48"/>
      <c r="AT252" s="48"/>
      <c r="AU252" s="48"/>
      <c r="AV252" s="48"/>
      <c r="AW252" s="48"/>
      <c r="AX252" s="48"/>
      <c r="AY252" s="48"/>
      <c r="AZ252" s="48"/>
      <c r="BA252" s="48"/>
      <c r="BB252" s="48"/>
      <c r="BC252" s="48"/>
      <c r="BD252" s="48"/>
      <c r="BE252" s="48"/>
      <c r="BF252" s="48"/>
      <c r="BG252" s="48"/>
      <c r="BH252" s="48"/>
      <c r="BI252" s="48"/>
    </row>
    <row r="253" ht="15.75" customHeight="1">
      <c r="A253" s="41" t="str">
        <f t="shared" si="4"/>
        <v>CarrosserieTotal Mécanique</v>
      </c>
      <c r="B253" s="76" t="s">
        <v>172</v>
      </c>
      <c r="C253" s="77"/>
      <c r="D253" s="139"/>
      <c r="E253" s="79"/>
      <c r="F253" s="77"/>
      <c r="G253" s="139"/>
      <c r="H253" s="79"/>
      <c r="I253" s="77"/>
      <c r="J253" s="139"/>
      <c r="K253" s="79"/>
      <c r="L253" s="77"/>
      <c r="M253" s="139"/>
      <c r="N253" s="79"/>
      <c r="O253" s="77"/>
      <c r="P253" s="139"/>
      <c r="Q253" s="79"/>
      <c r="R253" s="77"/>
      <c r="S253" s="139"/>
      <c r="T253" s="79"/>
      <c r="U253" s="77"/>
      <c r="V253" s="139"/>
      <c r="W253" s="79"/>
      <c r="X253" s="77"/>
      <c r="Y253" s="139"/>
      <c r="Z253" s="79"/>
      <c r="AA253" s="77"/>
      <c r="AB253" s="139"/>
      <c r="AC253" s="79"/>
      <c r="AD253" s="77"/>
      <c r="AE253" s="139"/>
      <c r="AF253" s="79"/>
      <c r="AG253" s="77"/>
      <c r="AH253" s="139"/>
      <c r="AI253" s="79"/>
      <c r="AJ253" s="77"/>
      <c r="AK253" s="139"/>
      <c r="AL253" s="79"/>
      <c r="AM253" s="77"/>
      <c r="AN253" s="139"/>
      <c r="AO253" s="79"/>
      <c r="AP253" s="48"/>
      <c r="AQ253" s="48"/>
      <c r="AR253" s="48"/>
      <c r="AS253" s="48"/>
      <c r="AT253" s="48"/>
      <c r="AU253" s="48"/>
      <c r="AV253" s="48"/>
      <c r="AW253" s="48"/>
      <c r="AX253" s="48"/>
      <c r="AY253" s="48"/>
      <c r="AZ253" s="48"/>
      <c r="BA253" s="48"/>
      <c r="BB253" s="48"/>
      <c r="BC253" s="48"/>
      <c r="BD253" s="48"/>
      <c r="BE253" s="48"/>
      <c r="BF253" s="48"/>
      <c r="BG253" s="48"/>
      <c r="BH253" s="48"/>
      <c r="BI253" s="48"/>
    </row>
    <row r="254" ht="15.75" customHeight="1">
      <c r="A254" s="41" t="str">
        <f t="shared" si="4"/>
        <v>Carrosserie</v>
      </c>
      <c r="B254" s="80"/>
      <c r="C254" s="80"/>
      <c r="D254" s="81"/>
      <c r="E254" s="148"/>
      <c r="F254" s="80"/>
      <c r="G254" s="81"/>
      <c r="H254" s="148"/>
      <c r="I254" s="80"/>
      <c r="J254" s="81"/>
      <c r="K254" s="148"/>
      <c r="L254" s="80"/>
      <c r="M254" s="81"/>
      <c r="N254" s="148"/>
      <c r="O254" s="80"/>
      <c r="P254" s="81"/>
      <c r="Q254" s="148"/>
      <c r="R254" s="80"/>
      <c r="S254" s="81"/>
      <c r="T254" s="148"/>
      <c r="U254" s="80"/>
      <c r="V254" s="81"/>
      <c r="W254" s="148"/>
      <c r="X254" s="80"/>
      <c r="Y254" s="81"/>
      <c r="Z254" s="148"/>
      <c r="AA254" s="80"/>
      <c r="AB254" s="81"/>
      <c r="AC254" s="148"/>
      <c r="AD254" s="80"/>
      <c r="AE254" s="81"/>
      <c r="AF254" s="148"/>
      <c r="AG254" s="80"/>
      <c r="AH254" s="81"/>
      <c r="AI254" s="148"/>
      <c r="AJ254" s="80"/>
      <c r="AK254" s="81"/>
      <c r="AL254" s="148"/>
      <c r="AM254" s="80"/>
      <c r="AN254" s="81"/>
      <c r="AO254" s="148"/>
      <c r="AP254" s="48"/>
      <c r="AQ254" s="48"/>
      <c r="AR254" s="48"/>
      <c r="AS254" s="48"/>
      <c r="AT254" s="48"/>
      <c r="AU254" s="48"/>
      <c r="AV254" s="48"/>
      <c r="AW254" s="48"/>
      <c r="AX254" s="48"/>
      <c r="AY254" s="48"/>
      <c r="AZ254" s="48"/>
      <c r="BA254" s="48"/>
      <c r="BB254" s="48"/>
      <c r="BC254" s="48"/>
      <c r="BD254" s="48"/>
      <c r="BE254" s="48"/>
      <c r="BF254" s="48"/>
      <c r="BG254" s="48"/>
      <c r="BH254" s="48"/>
      <c r="BI254" s="48"/>
    </row>
    <row r="255" ht="15.75" customHeight="1">
      <c r="A255" s="41" t="str">
        <f t="shared" si="4"/>
        <v>Carrosserie</v>
      </c>
      <c r="B255" s="57"/>
      <c r="C255" s="57"/>
      <c r="D255" s="74"/>
      <c r="E255" s="65"/>
      <c r="F255" s="57"/>
      <c r="G255" s="74"/>
      <c r="H255" s="65"/>
      <c r="I255" s="57"/>
      <c r="J255" s="74"/>
      <c r="K255" s="65"/>
      <c r="L255" s="57"/>
      <c r="M255" s="74"/>
      <c r="N255" s="65"/>
      <c r="O255" s="57"/>
      <c r="P255" s="74"/>
      <c r="Q255" s="65"/>
      <c r="R255" s="57"/>
      <c r="S255" s="74"/>
      <c r="T255" s="65"/>
      <c r="U255" s="57"/>
      <c r="V255" s="74"/>
      <c r="W255" s="65"/>
      <c r="X255" s="57"/>
      <c r="Y255" s="74"/>
      <c r="Z255" s="65"/>
      <c r="AA255" s="57"/>
      <c r="AB255" s="74"/>
      <c r="AC255" s="65"/>
      <c r="AD255" s="57"/>
      <c r="AE255" s="74"/>
      <c r="AF255" s="65"/>
      <c r="AG255" s="57"/>
      <c r="AH255" s="74"/>
      <c r="AI255" s="65"/>
      <c r="AJ255" s="57"/>
      <c r="AK255" s="74"/>
      <c r="AL255" s="65"/>
      <c r="AM255" s="57"/>
      <c r="AN255" s="74"/>
      <c r="AO255" s="65"/>
      <c r="AP255" s="48"/>
      <c r="AQ255" s="48"/>
      <c r="AR255" s="48"/>
      <c r="AS255" s="48"/>
      <c r="AT255" s="48"/>
      <c r="AU255" s="48"/>
      <c r="AV255" s="48"/>
      <c r="AW255" s="48"/>
      <c r="AX255" s="48"/>
      <c r="AY255" s="48"/>
      <c r="AZ255" s="48"/>
      <c r="BA255" s="48"/>
      <c r="BB255" s="48"/>
      <c r="BC255" s="48"/>
      <c r="BD255" s="48"/>
      <c r="BE255" s="48"/>
      <c r="BF255" s="48"/>
      <c r="BG255" s="48"/>
      <c r="BH255" s="48"/>
      <c r="BI255" s="48"/>
    </row>
    <row r="256" ht="15.75" customHeight="1">
      <c r="A256" s="41" t="str">
        <f t="shared" si="4"/>
        <v>CarrosserieDEPENSES</v>
      </c>
      <c r="B256" s="85" t="s">
        <v>110</v>
      </c>
      <c r="C256" s="57"/>
      <c r="D256" s="74"/>
      <c r="E256" s="65"/>
      <c r="F256" s="57"/>
      <c r="G256" s="74"/>
      <c r="H256" s="65"/>
      <c r="I256" s="57"/>
      <c r="J256" s="74"/>
      <c r="K256" s="65"/>
      <c r="L256" s="57"/>
      <c r="M256" s="74"/>
      <c r="N256" s="65"/>
      <c r="O256" s="57"/>
      <c r="P256" s="74"/>
      <c r="Q256" s="65"/>
      <c r="R256" s="57"/>
      <c r="S256" s="74"/>
      <c r="T256" s="65"/>
      <c r="U256" s="57"/>
      <c r="V256" s="74"/>
      <c r="W256" s="65"/>
      <c r="X256" s="57"/>
      <c r="Y256" s="74"/>
      <c r="Z256" s="65"/>
      <c r="AA256" s="57"/>
      <c r="AB256" s="74"/>
      <c r="AC256" s="65"/>
      <c r="AD256" s="57"/>
      <c r="AE256" s="74"/>
      <c r="AF256" s="65"/>
      <c r="AG256" s="57"/>
      <c r="AH256" s="74"/>
      <c r="AI256" s="65"/>
      <c r="AJ256" s="57"/>
      <c r="AK256" s="74"/>
      <c r="AL256" s="65"/>
      <c r="AM256" s="57"/>
      <c r="AN256" s="74"/>
      <c r="AO256" s="65"/>
      <c r="AP256" s="48"/>
      <c r="AQ256" s="48"/>
      <c r="AR256" s="48"/>
      <c r="AS256" s="48"/>
      <c r="AT256" s="48"/>
      <c r="AU256" s="48"/>
      <c r="AV256" s="48"/>
      <c r="AW256" s="48"/>
      <c r="AX256" s="48"/>
      <c r="AY256" s="48"/>
      <c r="AZ256" s="48"/>
      <c r="BA256" s="48"/>
      <c r="BB256" s="48"/>
      <c r="BC256" s="48"/>
      <c r="BD256" s="48"/>
      <c r="BE256" s="48"/>
      <c r="BF256" s="48"/>
      <c r="BG256" s="48"/>
      <c r="BH256" s="48"/>
      <c r="BI256" s="48"/>
    </row>
    <row r="257" ht="15.75" customHeight="1">
      <c r="A257" s="41" t="str">
        <f t="shared" si="4"/>
        <v>CarrosserieSalaires cadres</v>
      </c>
      <c r="B257" s="96" t="s">
        <v>119</v>
      </c>
      <c r="C257" s="57"/>
      <c r="D257" s="74"/>
      <c r="E257" s="75"/>
      <c r="F257" s="57"/>
      <c r="G257" s="74"/>
      <c r="H257" s="75"/>
      <c r="I257" s="57"/>
      <c r="J257" s="74"/>
      <c r="K257" s="75"/>
      <c r="L257" s="57"/>
      <c r="M257" s="74"/>
      <c r="N257" s="75"/>
      <c r="O257" s="57"/>
      <c r="P257" s="74"/>
      <c r="Q257" s="75"/>
      <c r="R257" s="57"/>
      <c r="S257" s="74"/>
      <c r="T257" s="75"/>
      <c r="U257" s="57"/>
      <c r="V257" s="74"/>
      <c r="W257" s="75"/>
      <c r="X257" s="57"/>
      <c r="Y257" s="74"/>
      <c r="Z257" s="75"/>
      <c r="AA257" s="57"/>
      <c r="AB257" s="74"/>
      <c r="AC257" s="75"/>
      <c r="AD257" s="57"/>
      <c r="AE257" s="74"/>
      <c r="AF257" s="75"/>
      <c r="AG257" s="57"/>
      <c r="AH257" s="74"/>
      <c r="AI257" s="75"/>
      <c r="AJ257" s="57"/>
      <c r="AK257" s="74"/>
      <c r="AL257" s="75"/>
      <c r="AM257" s="57"/>
      <c r="AN257" s="74"/>
      <c r="AO257" s="75"/>
      <c r="AP257" s="48"/>
      <c r="AQ257" s="48"/>
      <c r="AR257" s="48"/>
      <c r="AS257" s="48"/>
      <c r="AT257" s="48"/>
      <c r="AU257" s="48"/>
      <c r="AV257" s="48"/>
      <c r="AW257" s="48"/>
      <c r="AX257" s="48"/>
      <c r="AY257" s="48"/>
      <c r="AZ257" s="48"/>
      <c r="BA257" s="48"/>
      <c r="BB257" s="48"/>
      <c r="BC257" s="48"/>
      <c r="BD257" s="48"/>
      <c r="BE257" s="48"/>
      <c r="BF257" s="48"/>
      <c r="BG257" s="48"/>
      <c r="BH257" s="48"/>
      <c r="BI257" s="48"/>
    </row>
    <row r="258" ht="15.75" customHeight="1">
      <c r="A258" s="41" t="str">
        <f t="shared" si="4"/>
        <v>CarrosserieSalaires commis</v>
      </c>
      <c r="B258" s="97" t="s">
        <v>120</v>
      </c>
      <c r="C258" s="57"/>
      <c r="D258" s="74"/>
      <c r="E258" s="75"/>
      <c r="F258" s="57"/>
      <c r="G258" s="74"/>
      <c r="H258" s="75"/>
      <c r="I258" s="57"/>
      <c r="J258" s="74"/>
      <c r="K258" s="75"/>
      <c r="L258" s="57"/>
      <c r="M258" s="74"/>
      <c r="N258" s="75"/>
      <c r="O258" s="57"/>
      <c r="P258" s="74"/>
      <c r="Q258" s="75"/>
      <c r="R258" s="57"/>
      <c r="S258" s="74"/>
      <c r="T258" s="75"/>
      <c r="U258" s="57"/>
      <c r="V258" s="74"/>
      <c r="W258" s="75"/>
      <c r="X258" s="57"/>
      <c r="Y258" s="74"/>
      <c r="Z258" s="75"/>
      <c r="AA258" s="57"/>
      <c r="AB258" s="74"/>
      <c r="AC258" s="75"/>
      <c r="AD258" s="57"/>
      <c r="AE258" s="74"/>
      <c r="AF258" s="75"/>
      <c r="AG258" s="57"/>
      <c r="AH258" s="74"/>
      <c r="AI258" s="75"/>
      <c r="AJ258" s="57"/>
      <c r="AK258" s="74"/>
      <c r="AL258" s="75"/>
      <c r="AM258" s="57"/>
      <c r="AN258" s="74"/>
      <c r="AO258" s="75"/>
      <c r="AP258" s="48"/>
      <c r="AQ258" s="48"/>
      <c r="AR258" s="48"/>
      <c r="AS258" s="48"/>
      <c r="AT258" s="48"/>
      <c r="AU258" s="48"/>
      <c r="AV258" s="48"/>
      <c r="AW258" s="48"/>
      <c r="AX258" s="48"/>
      <c r="AY258" s="48"/>
      <c r="AZ258" s="48"/>
      <c r="BA258" s="48"/>
      <c r="BB258" s="48"/>
      <c r="BC258" s="48"/>
      <c r="BD258" s="48"/>
      <c r="BE258" s="48"/>
      <c r="BF258" s="48"/>
      <c r="BG258" s="48"/>
      <c r="BH258" s="48"/>
      <c r="BI258" s="48"/>
    </row>
    <row r="259" ht="15.75" customHeight="1">
      <c r="A259" s="41" t="str">
        <f t="shared" si="4"/>
        <v>CarrosserieSalaires autres</v>
      </c>
      <c r="B259" s="96" t="s">
        <v>121</v>
      </c>
      <c r="C259" s="49"/>
      <c r="D259" s="98"/>
      <c r="E259" s="99"/>
      <c r="F259" s="49"/>
      <c r="G259" s="98"/>
      <c r="H259" s="99"/>
      <c r="I259" s="49"/>
      <c r="J259" s="98"/>
      <c r="K259" s="99"/>
      <c r="L259" s="49"/>
      <c r="M259" s="98"/>
      <c r="N259" s="99"/>
      <c r="O259" s="49"/>
      <c r="P259" s="98"/>
      <c r="Q259" s="99"/>
      <c r="R259" s="49"/>
      <c r="S259" s="98"/>
      <c r="T259" s="99"/>
      <c r="U259" s="49"/>
      <c r="V259" s="98"/>
      <c r="W259" s="99"/>
      <c r="X259" s="49"/>
      <c r="Y259" s="98"/>
      <c r="Z259" s="99"/>
      <c r="AA259" s="49"/>
      <c r="AB259" s="98"/>
      <c r="AC259" s="99"/>
      <c r="AD259" s="49"/>
      <c r="AE259" s="98"/>
      <c r="AF259" s="99"/>
      <c r="AG259" s="49"/>
      <c r="AH259" s="98"/>
      <c r="AI259" s="99"/>
      <c r="AJ259" s="49"/>
      <c r="AK259" s="98"/>
      <c r="AL259" s="99"/>
      <c r="AM259" s="49"/>
      <c r="AN259" s="98"/>
      <c r="AO259" s="99"/>
      <c r="AP259" s="48"/>
      <c r="AQ259" s="48"/>
      <c r="AR259" s="48"/>
      <c r="AS259" s="48"/>
      <c r="AT259" s="48"/>
      <c r="AU259" s="48"/>
      <c r="AV259" s="48"/>
      <c r="AW259" s="48"/>
      <c r="AX259" s="48"/>
      <c r="AY259" s="48"/>
      <c r="AZ259" s="48"/>
      <c r="BA259" s="48"/>
      <c r="BB259" s="48"/>
      <c r="BC259" s="48"/>
      <c r="BD259" s="48"/>
      <c r="BE259" s="48"/>
      <c r="BF259" s="48"/>
      <c r="BG259" s="48"/>
      <c r="BH259" s="48"/>
      <c r="BI259" s="48"/>
    </row>
    <row r="260" ht="15.75" customHeight="1">
      <c r="A260" s="41" t="str">
        <f t="shared" si="4"/>
        <v>CarrosserieSalaires spécialistes</v>
      </c>
      <c r="B260" s="96" t="s">
        <v>122</v>
      </c>
      <c r="C260" s="57"/>
      <c r="D260" s="74"/>
      <c r="E260" s="75"/>
      <c r="F260" s="57"/>
      <c r="G260" s="74"/>
      <c r="H260" s="75"/>
      <c r="I260" s="57"/>
      <c r="J260" s="74"/>
      <c r="K260" s="75"/>
      <c r="L260" s="57"/>
      <c r="M260" s="74"/>
      <c r="N260" s="75"/>
      <c r="O260" s="57"/>
      <c r="P260" s="74"/>
      <c r="Q260" s="75"/>
      <c r="R260" s="57"/>
      <c r="S260" s="74"/>
      <c r="T260" s="75"/>
      <c r="U260" s="57"/>
      <c r="V260" s="74"/>
      <c r="W260" s="75"/>
      <c r="X260" s="57"/>
      <c r="Y260" s="74"/>
      <c r="Z260" s="75"/>
      <c r="AA260" s="57"/>
      <c r="AB260" s="74"/>
      <c r="AC260" s="75"/>
      <c r="AD260" s="57"/>
      <c r="AE260" s="74"/>
      <c r="AF260" s="75"/>
      <c r="AG260" s="57"/>
      <c r="AH260" s="74"/>
      <c r="AI260" s="75"/>
      <c r="AJ260" s="57"/>
      <c r="AK260" s="74"/>
      <c r="AL260" s="75"/>
      <c r="AM260" s="57"/>
      <c r="AN260" s="74"/>
      <c r="AO260" s="75"/>
      <c r="AP260" s="48"/>
      <c r="AQ260" s="48"/>
      <c r="AR260" s="48"/>
      <c r="AS260" s="48"/>
      <c r="AT260" s="48"/>
      <c r="AU260" s="48"/>
      <c r="AV260" s="48"/>
      <c r="AW260" s="48"/>
      <c r="AX260" s="48"/>
      <c r="AY260" s="48"/>
      <c r="AZ260" s="48"/>
      <c r="BA260" s="48"/>
      <c r="BB260" s="48"/>
      <c r="BC260" s="48"/>
      <c r="BD260" s="48"/>
      <c r="BE260" s="48"/>
      <c r="BF260" s="48"/>
      <c r="BG260" s="48"/>
      <c r="BH260" s="48"/>
      <c r="BI260" s="48"/>
    </row>
    <row r="261" ht="20.25" customHeight="1">
      <c r="A261" s="41" t="str">
        <f t="shared" si="4"/>
        <v>Carrosserie[...]</v>
      </c>
      <c r="B261" s="57" t="s">
        <v>56</v>
      </c>
      <c r="C261" s="57"/>
      <c r="D261" s="74"/>
      <c r="E261" s="75"/>
      <c r="F261" s="57"/>
      <c r="G261" s="74"/>
      <c r="H261" s="75"/>
      <c r="I261" s="57"/>
      <c r="J261" s="74"/>
      <c r="K261" s="75"/>
      <c r="L261" s="57"/>
      <c r="M261" s="74"/>
      <c r="N261" s="75"/>
      <c r="O261" s="57"/>
      <c r="P261" s="74"/>
      <c r="Q261" s="75"/>
      <c r="R261" s="57"/>
      <c r="S261" s="74"/>
      <c r="T261" s="75"/>
      <c r="U261" s="57"/>
      <c r="V261" s="74"/>
      <c r="W261" s="75"/>
      <c r="X261" s="57"/>
      <c r="Y261" s="74"/>
      <c r="Z261" s="75"/>
      <c r="AA261" s="57"/>
      <c r="AB261" s="74"/>
      <c r="AC261" s="75"/>
      <c r="AD261" s="57"/>
      <c r="AE261" s="74"/>
      <c r="AF261" s="75"/>
      <c r="AG261" s="57"/>
      <c r="AH261" s="74"/>
      <c r="AI261" s="75"/>
      <c r="AJ261" s="57"/>
      <c r="AK261" s="74"/>
      <c r="AL261" s="75"/>
      <c r="AM261" s="57"/>
      <c r="AN261" s="74"/>
      <c r="AO261" s="75"/>
      <c r="AP261" s="48"/>
      <c r="AQ261" s="48"/>
      <c r="AR261" s="48"/>
      <c r="AS261" s="48"/>
      <c r="AT261" s="48"/>
      <c r="AU261" s="48"/>
      <c r="AV261" s="48"/>
      <c r="AW261" s="48"/>
      <c r="AX261" s="48"/>
      <c r="AY261" s="48"/>
      <c r="AZ261" s="48"/>
      <c r="BA261" s="48"/>
      <c r="BB261" s="48"/>
      <c r="BC261" s="48"/>
      <c r="BD261" s="48"/>
      <c r="BE261" s="48"/>
      <c r="BF261" s="48"/>
      <c r="BG261" s="48"/>
      <c r="BH261" s="48"/>
      <c r="BI261" s="48"/>
    </row>
    <row r="262" ht="20.25" customHeight="1">
      <c r="A262" s="41" t="str">
        <f t="shared" si="4"/>
        <v>Carrosserie[...]</v>
      </c>
      <c r="B262" s="57" t="s">
        <v>56</v>
      </c>
      <c r="C262" s="57"/>
      <c r="D262" s="74"/>
      <c r="E262" s="75"/>
      <c r="F262" s="57"/>
      <c r="G262" s="74"/>
      <c r="H262" s="75"/>
      <c r="I262" s="57"/>
      <c r="J262" s="74"/>
      <c r="K262" s="75"/>
      <c r="L262" s="57"/>
      <c r="M262" s="74"/>
      <c r="N262" s="75"/>
      <c r="O262" s="57"/>
      <c r="P262" s="74"/>
      <c r="Q262" s="75"/>
      <c r="R262" s="57"/>
      <c r="S262" s="74"/>
      <c r="T262" s="75"/>
      <c r="U262" s="57"/>
      <c r="V262" s="74"/>
      <c r="W262" s="75"/>
      <c r="X262" s="57"/>
      <c r="Y262" s="74"/>
      <c r="Z262" s="75"/>
      <c r="AA262" s="57"/>
      <c r="AB262" s="74"/>
      <c r="AC262" s="75"/>
      <c r="AD262" s="57"/>
      <c r="AE262" s="74"/>
      <c r="AF262" s="75"/>
      <c r="AG262" s="57"/>
      <c r="AH262" s="74"/>
      <c r="AI262" s="75"/>
      <c r="AJ262" s="57"/>
      <c r="AK262" s="74"/>
      <c r="AL262" s="75"/>
      <c r="AM262" s="57"/>
      <c r="AN262" s="74"/>
      <c r="AO262" s="75"/>
      <c r="AP262" s="48"/>
      <c r="AQ262" s="48"/>
      <c r="AR262" s="48"/>
      <c r="AS262" s="48"/>
      <c r="AT262" s="48"/>
      <c r="AU262" s="48"/>
      <c r="AV262" s="48"/>
      <c r="AW262" s="48"/>
      <c r="AX262" s="48"/>
      <c r="AY262" s="48"/>
      <c r="AZ262" s="48"/>
      <c r="BA262" s="48"/>
      <c r="BB262" s="48"/>
      <c r="BC262" s="48"/>
      <c r="BD262" s="48"/>
      <c r="BE262" s="48"/>
      <c r="BF262" s="48"/>
      <c r="BG262" s="48"/>
      <c r="BH262" s="48"/>
      <c r="BI262" s="48"/>
    </row>
    <row r="263" ht="20.25" customHeight="1">
      <c r="A263" s="41" t="str">
        <f t="shared" si="4"/>
        <v>Carrosserie[...]</v>
      </c>
      <c r="B263" s="57" t="s">
        <v>56</v>
      </c>
      <c r="C263" s="57"/>
      <c r="D263" s="74"/>
      <c r="E263" s="75"/>
      <c r="F263" s="57"/>
      <c r="G263" s="74"/>
      <c r="H263" s="75"/>
      <c r="I263" s="57"/>
      <c r="J263" s="74"/>
      <c r="K263" s="75"/>
      <c r="L263" s="57"/>
      <c r="M263" s="74"/>
      <c r="N263" s="75"/>
      <c r="O263" s="57"/>
      <c r="P263" s="74"/>
      <c r="Q263" s="75"/>
      <c r="R263" s="57"/>
      <c r="S263" s="74"/>
      <c r="T263" s="75"/>
      <c r="U263" s="57"/>
      <c r="V263" s="74"/>
      <c r="W263" s="75"/>
      <c r="X263" s="57"/>
      <c r="Y263" s="74"/>
      <c r="Z263" s="75"/>
      <c r="AA263" s="57"/>
      <c r="AB263" s="74"/>
      <c r="AC263" s="75"/>
      <c r="AD263" s="57"/>
      <c r="AE263" s="74"/>
      <c r="AF263" s="75"/>
      <c r="AG263" s="57"/>
      <c r="AH263" s="74"/>
      <c r="AI263" s="75"/>
      <c r="AJ263" s="57"/>
      <c r="AK263" s="74"/>
      <c r="AL263" s="75"/>
      <c r="AM263" s="57"/>
      <c r="AN263" s="74"/>
      <c r="AO263" s="75"/>
      <c r="AP263" s="48"/>
      <c r="AQ263" s="48"/>
      <c r="AR263" s="48"/>
      <c r="AS263" s="48"/>
      <c r="AT263" s="48"/>
      <c r="AU263" s="48"/>
      <c r="AV263" s="48"/>
      <c r="AW263" s="48"/>
      <c r="AX263" s="48"/>
      <c r="AY263" s="48"/>
      <c r="AZ263" s="48"/>
      <c r="BA263" s="48"/>
      <c r="BB263" s="48"/>
      <c r="BC263" s="48"/>
      <c r="BD263" s="48"/>
      <c r="BE263" s="48"/>
      <c r="BF263" s="48"/>
      <c r="BG263" s="48"/>
      <c r="BH263" s="48"/>
      <c r="BI263" s="48"/>
    </row>
    <row r="264" ht="15.75" customHeight="1">
      <c r="A264" s="41" t="str">
        <f t="shared" si="4"/>
        <v>CarrosserieSalaires en absences</v>
      </c>
      <c r="B264" s="97" t="s">
        <v>123</v>
      </c>
      <c r="C264" s="57"/>
      <c r="D264" s="74"/>
      <c r="E264" s="75"/>
      <c r="F264" s="57"/>
      <c r="G264" s="74"/>
      <c r="H264" s="75"/>
      <c r="I264" s="57"/>
      <c r="J264" s="74"/>
      <c r="K264" s="75"/>
      <c r="L264" s="57"/>
      <c r="M264" s="74"/>
      <c r="N264" s="75"/>
      <c r="O264" s="57"/>
      <c r="P264" s="74"/>
      <c r="Q264" s="75"/>
      <c r="R264" s="57"/>
      <c r="S264" s="74"/>
      <c r="T264" s="75"/>
      <c r="U264" s="57"/>
      <c r="V264" s="74"/>
      <c r="W264" s="75"/>
      <c r="X264" s="57"/>
      <c r="Y264" s="74"/>
      <c r="Z264" s="75"/>
      <c r="AA264" s="57"/>
      <c r="AB264" s="74"/>
      <c r="AC264" s="75"/>
      <c r="AD264" s="57"/>
      <c r="AE264" s="74"/>
      <c r="AF264" s="75"/>
      <c r="AG264" s="57"/>
      <c r="AH264" s="74"/>
      <c r="AI264" s="75"/>
      <c r="AJ264" s="57"/>
      <c r="AK264" s="74"/>
      <c r="AL264" s="75"/>
      <c r="AM264" s="57"/>
      <c r="AN264" s="74"/>
      <c r="AO264" s="75"/>
      <c r="AP264" s="48"/>
      <c r="AQ264" s="48"/>
      <c r="AR264" s="48"/>
      <c r="AS264" s="48"/>
      <c r="AT264" s="48"/>
      <c r="AU264" s="48"/>
      <c r="AV264" s="48"/>
      <c r="AW264" s="48"/>
      <c r="AX264" s="48"/>
      <c r="AY264" s="48"/>
      <c r="AZ264" s="48"/>
      <c r="BA264" s="48"/>
      <c r="BB264" s="48"/>
      <c r="BC264" s="48"/>
      <c r="BD264" s="48"/>
      <c r="BE264" s="48"/>
      <c r="BF264" s="48"/>
      <c r="BG264" s="48"/>
      <c r="BH264" s="48"/>
      <c r="BI264" s="48"/>
    </row>
    <row r="265" ht="15.75" customHeight="1">
      <c r="A265" s="41" t="str">
        <f t="shared" si="4"/>
        <v>CarrosserieDéduction à la source</v>
      </c>
      <c r="B265" s="96" t="s">
        <v>124</v>
      </c>
      <c r="C265" s="49"/>
      <c r="D265" s="98"/>
      <c r="E265" s="99"/>
      <c r="F265" s="49"/>
      <c r="G265" s="98"/>
      <c r="H265" s="99"/>
      <c r="I265" s="49"/>
      <c r="J265" s="98"/>
      <c r="K265" s="99"/>
      <c r="L265" s="49"/>
      <c r="M265" s="98"/>
      <c r="N265" s="99"/>
      <c r="O265" s="49"/>
      <c r="P265" s="98"/>
      <c r="Q265" s="99"/>
      <c r="R265" s="49"/>
      <c r="S265" s="98"/>
      <c r="T265" s="99"/>
      <c r="U265" s="49"/>
      <c r="V265" s="98"/>
      <c r="W265" s="99"/>
      <c r="X265" s="49"/>
      <c r="Y265" s="98"/>
      <c r="Z265" s="99"/>
      <c r="AA265" s="49"/>
      <c r="AB265" s="98"/>
      <c r="AC265" s="99"/>
      <c r="AD265" s="49"/>
      <c r="AE265" s="98"/>
      <c r="AF265" s="99"/>
      <c r="AG265" s="49"/>
      <c r="AH265" s="98"/>
      <c r="AI265" s="99"/>
      <c r="AJ265" s="49"/>
      <c r="AK265" s="98"/>
      <c r="AL265" s="99"/>
      <c r="AM265" s="49"/>
      <c r="AN265" s="98"/>
      <c r="AO265" s="99"/>
      <c r="AP265" s="48"/>
      <c r="AQ265" s="48"/>
      <c r="AR265" s="48"/>
      <c r="AS265" s="48"/>
      <c r="AT265" s="48"/>
      <c r="AU265" s="48"/>
      <c r="AV265" s="48"/>
      <c r="AW265" s="48"/>
      <c r="AX265" s="48"/>
      <c r="AY265" s="48"/>
      <c r="AZ265" s="48"/>
      <c r="BA265" s="48"/>
      <c r="BB265" s="48"/>
      <c r="BC265" s="48"/>
      <c r="BD265" s="48"/>
      <c r="BE265" s="48"/>
      <c r="BF265" s="48"/>
      <c r="BG265" s="48"/>
      <c r="BH265" s="48"/>
      <c r="BI265" s="48"/>
    </row>
    <row r="266" ht="15.75" customHeight="1">
      <c r="A266" s="41" t="str">
        <f t="shared" si="4"/>
        <v>CarrosserieBénéfices marginaux</v>
      </c>
      <c r="B266" s="96" t="s">
        <v>125</v>
      </c>
      <c r="C266" s="57"/>
      <c r="D266" s="74"/>
      <c r="E266" s="75"/>
      <c r="F266" s="57"/>
      <c r="G266" s="74"/>
      <c r="H266" s="75"/>
      <c r="I266" s="57"/>
      <c r="J266" s="74"/>
      <c r="K266" s="75"/>
      <c r="L266" s="57"/>
      <c r="M266" s="74"/>
      <c r="N266" s="75"/>
      <c r="O266" s="57"/>
      <c r="P266" s="74"/>
      <c r="Q266" s="75"/>
      <c r="R266" s="57"/>
      <c r="S266" s="74"/>
      <c r="T266" s="75"/>
      <c r="U266" s="57"/>
      <c r="V266" s="74"/>
      <c r="W266" s="75"/>
      <c r="X266" s="57"/>
      <c r="Y266" s="74"/>
      <c r="Z266" s="75"/>
      <c r="AA266" s="57"/>
      <c r="AB266" s="74"/>
      <c r="AC266" s="75"/>
      <c r="AD266" s="57"/>
      <c r="AE266" s="74"/>
      <c r="AF266" s="75"/>
      <c r="AG266" s="57"/>
      <c r="AH266" s="74"/>
      <c r="AI266" s="75"/>
      <c r="AJ266" s="57"/>
      <c r="AK266" s="74"/>
      <c r="AL266" s="75"/>
      <c r="AM266" s="57"/>
      <c r="AN266" s="74"/>
      <c r="AO266" s="75"/>
      <c r="AP266" s="48"/>
      <c r="AQ266" s="48"/>
      <c r="AR266" s="48"/>
      <c r="AS266" s="48"/>
      <c r="AT266" s="48"/>
      <c r="AU266" s="48"/>
      <c r="AV266" s="48"/>
      <c r="AW266" s="48"/>
      <c r="AX266" s="48"/>
      <c r="AY266" s="48"/>
      <c r="AZ266" s="48"/>
      <c r="BA266" s="48"/>
      <c r="BB266" s="48"/>
      <c r="BC266" s="48"/>
      <c r="BD266" s="48"/>
      <c r="BE266" s="48"/>
      <c r="BF266" s="48"/>
      <c r="BG266" s="48"/>
      <c r="BH266" s="48"/>
      <c r="BI266" s="48"/>
    </row>
    <row r="267" ht="15.75" customHeight="1">
      <c r="A267" s="41" t="str">
        <f t="shared" si="4"/>
        <v>CarrosserieCsst</v>
      </c>
      <c r="B267" s="96" t="s">
        <v>126</v>
      </c>
      <c r="C267" s="57"/>
      <c r="D267" s="74"/>
      <c r="E267" s="75"/>
      <c r="F267" s="57"/>
      <c r="G267" s="74"/>
      <c r="H267" s="75"/>
      <c r="I267" s="57"/>
      <c r="J267" s="74"/>
      <c r="K267" s="75"/>
      <c r="L267" s="57"/>
      <c r="M267" s="74"/>
      <c r="N267" s="75"/>
      <c r="O267" s="57"/>
      <c r="P267" s="74"/>
      <c r="Q267" s="75"/>
      <c r="R267" s="57"/>
      <c r="S267" s="74"/>
      <c r="T267" s="75"/>
      <c r="U267" s="57"/>
      <c r="V267" s="74"/>
      <c r="W267" s="75"/>
      <c r="X267" s="57"/>
      <c r="Y267" s="74"/>
      <c r="Z267" s="75"/>
      <c r="AA267" s="57"/>
      <c r="AB267" s="74"/>
      <c r="AC267" s="75"/>
      <c r="AD267" s="57"/>
      <c r="AE267" s="74"/>
      <c r="AF267" s="75"/>
      <c r="AG267" s="57"/>
      <c r="AH267" s="74"/>
      <c r="AI267" s="75"/>
      <c r="AJ267" s="57"/>
      <c r="AK267" s="74"/>
      <c r="AL267" s="75"/>
      <c r="AM267" s="57"/>
      <c r="AN267" s="74"/>
      <c r="AO267" s="75"/>
      <c r="AP267" s="48"/>
      <c r="AQ267" s="48"/>
      <c r="AR267" s="48"/>
      <c r="AS267" s="48"/>
      <c r="AT267" s="48"/>
      <c r="AU267" s="48"/>
      <c r="AV267" s="48"/>
      <c r="AW267" s="48"/>
      <c r="AX267" s="48"/>
      <c r="AY267" s="48"/>
      <c r="AZ267" s="48"/>
      <c r="BA267" s="48"/>
      <c r="BB267" s="48"/>
      <c r="BC267" s="48"/>
      <c r="BD267" s="48"/>
      <c r="BE267" s="48"/>
      <c r="BF267" s="48"/>
      <c r="BG267" s="48"/>
      <c r="BH267" s="48"/>
      <c r="BI267" s="48"/>
    </row>
    <row r="268" ht="20.25" customHeight="1">
      <c r="A268" s="41" t="str">
        <f t="shared" si="4"/>
        <v>Carrosserie[...]</v>
      </c>
      <c r="B268" s="57" t="s">
        <v>56</v>
      </c>
      <c r="C268" s="53"/>
      <c r="D268" s="100"/>
      <c r="E268" s="91"/>
      <c r="F268" s="53"/>
      <c r="G268" s="100"/>
      <c r="H268" s="91"/>
      <c r="I268" s="53"/>
      <c r="J268" s="100"/>
      <c r="K268" s="91"/>
      <c r="L268" s="53"/>
      <c r="M268" s="100"/>
      <c r="N268" s="91"/>
      <c r="O268" s="53"/>
      <c r="P268" s="100"/>
      <c r="Q268" s="91"/>
      <c r="R268" s="53"/>
      <c r="S268" s="100"/>
      <c r="T268" s="91"/>
      <c r="U268" s="53"/>
      <c r="V268" s="100"/>
      <c r="W268" s="91"/>
      <c r="X268" s="53"/>
      <c r="Y268" s="100"/>
      <c r="Z268" s="91"/>
      <c r="AA268" s="53"/>
      <c r="AB268" s="100"/>
      <c r="AC268" s="91"/>
      <c r="AD268" s="53"/>
      <c r="AE268" s="100"/>
      <c r="AF268" s="91"/>
      <c r="AG268" s="53"/>
      <c r="AH268" s="100"/>
      <c r="AI268" s="91"/>
      <c r="AJ268" s="53"/>
      <c r="AK268" s="100"/>
      <c r="AL268" s="91"/>
      <c r="AM268" s="53"/>
      <c r="AN268" s="100"/>
      <c r="AO268" s="91"/>
      <c r="AP268" s="48"/>
      <c r="AQ268" s="48"/>
      <c r="AR268" s="48"/>
      <c r="AS268" s="48"/>
      <c r="AT268" s="48"/>
      <c r="AU268" s="48"/>
      <c r="AV268" s="48"/>
      <c r="AW268" s="48"/>
      <c r="AX268" s="48"/>
      <c r="AY268" s="48"/>
      <c r="AZ268" s="48"/>
      <c r="BA268" s="48"/>
      <c r="BB268" s="48"/>
      <c r="BC268" s="48"/>
      <c r="BD268" s="48"/>
      <c r="BE268" s="48"/>
      <c r="BF268" s="48"/>
      <c r="BG268" s="48"/>
      <c r="BH268" s="48"/>
      <c r="BI268" s="48"/>
    </row>
    <row r="269" ht="15.75" customHeight="1">
      <c r="A269" s="41" t="str">
        <f t="shared" si="4"/>
        <v>CarrosserieTOTAL PERSONNEL</v>
      </c>
      <c r="B269" s="92" t="s">
        <v>127</v>
      </c>
      <c r="C269" s="93"/>
      <c r="D269" s="94"/>
      <c r="E269" s="95"/>
      <c r="F269" s="93"/>
      <c r="G269" s="94"/>
      <c r="H269" s="95"/>
      <c r="I269" s="93"/>
      <c r="J269" s="94"/>
      <c r="K269" s="95"/>
      <c r="L269" s="93"/>
      <c r="M269" s="94"/>
      <c r="N269" s="95"/>
      <c r="O269" s="93"/>
      <c r="P269" s="94"/>
      <c r="Q269" s="95"/>
      <c r="R269" s="93"/>
      <c r="S269" s="94"/>
      <c r="T269" s="95"/>
      <c r="U269" s="93"/>
      <c r="V269" s="94"/>
      <c r="W269" s="95"/>
      <c r="X269" s="93"/>
      <c r="Y269" s="94"/>
      <c r="Z269" s="95"/>
      <c r="AA269" s="93"/>
      <c r="AB269" s="94"/>
      <c r="AC269" s="95"/>
      <c r="AD269" s="93"/>
      <c r="AE269" s="94"/>
      <c r="AF269" s="95"/>
      <c r="AG269" s="93"/>
      <c r="AH269" s="94"/>
      <c r="AI269" s="95"/>
      <c r="AJ269" s="93"/>
      <c r="AK269" s="94"/>
      <c r="AL269" s="95"/>
      <c r="AM269" s="93"/>
      <c r="AN269" s="94"/>
      <c r="AO269" s="95"/>
      <c r="AP269" s="48"/>
      <c r="AQ269" s="48"/>
      <c r="AR269" s="48"/>
      <c r="AS269" s="48"/>
      <c r="AT269" s="48"/>
      <c r="AU269" s="48"/>
      <c r="AV269" s="48"/>
      <c r="AW269" s="48"/>
      <c r="AX269" s="48"/>
      <c r="AY269" s="48"/>
      <c r="AZ269" s="48"/>
      <c r="BA269" s="48"/>
      <c r="BB269" s="48"/>
      <c r="BC269" s="48"/>
      <c r="BD269" s="48"/>
      <c r="BE269" s="48"/>
      <c r="BF269" s="48"/>
      <c r="BG269" s="48"/>
      <c r="BH269" s="48"/>
      <c r="BI269" s="48"/>
    </row>
    <row r="270" ht="15.75" customHeight="1">
      <c r="A270" s="41" t="str">
        <f t="shared" si="4"/>
        <v>CarrosseriePublicité 2</v>
      </c>
      <c r="B270" s="150" t="s">
        <v>128</v>
      </c>
      <c r="C270" s="57"/>
      <c r="D270" s="74"/>
      <c r="E270" s="75"/>
      <c r="F270" s="57"/>
      <c r="G270" s="74"/>
      <c r="H270" s="75"/>
      <c r="I270" s="57"/>
      <c r="J270" s="74"/>
      <c r="K270" s="75"/>
      <c r="L270" s="57"/>
      <c r="M270" s="74"/>
      <c r="N270" s="75"/>
      <c r="O270" s="57"/>
      <c r="P270" s="74"/>
      <c r="Q270" s="75"/>
      <c r="R270" s="57"/>
      <c r="S270" s="74"/>
      <c r="T270" s="75"/>
      <c r="U270" s="57"/>
      <c r="V270" s="74"/>
      <c r="W270" s="75"/>
      <c r="X270" s="57"/>
      <c r="Y270" s="74"/>
      <c r="Z270" s="75"/>
      <c r="AA270" s="57"/>
      <c r="AB270" s="74"/>
      <c r="AC270" s="75"/>
      <c r="AD270" s="57"/>
      <c r="AE270" s="74"/>
      <c r="AF270" s="75"/>
      <c r="AG270" s="57"/>
      <c r="AH270" s="74"/>
      <c r="AI270" s="75"/>
      <c r="AJ270" s="57"/>
      <c r="AK270" s="74"/>
      <c r="AL270" s="75"/>
      <c r="AM270" s="57"/>
      <c r="AN270" s="74"/>
      <c r="AO270" s="75"/>
      <c r="AP270" s="48"/>
      <c r="AQ270" s="48"/>
      <c r="AR270" s="48"/>
      <c r="AS270" s="48"/>
      <c r="AT270" s="48"/>
      <c r="AU270" s="48"/>
      <c r="AV270" s="48"/>
      <c r="AW270" s="48"/>
      <c r="AX270" s="48"/>
      <c r="AY270" s="48"/>
      <c r="AZ270" s="48"/>
      <c r="BA270" s="48"/>
      <c r="BB270" s="48"/>
      <c r="BC270" s="48"/>
      <c r="BD270" s="48"/>
      <c r="BE270" s="48"/>
      <c r="BF270" s="48"/>
      <c r="BG270" s="48"/>
      <c r="BH270" s="48"/>
      <c r="BI270" s="48"/>
    </row>
    <row r="271" ht="15.75" customHeight="1">
      <c r="A271" s="41" t="str">
        <f t="shared" si="4"/>
        <v>CarrosserieService gratuit 2</v>
      </c>
      <c r="B271" s="96" t="s">
        <v>129</v>
      </c>
      <c r="C271" s="57"/>
      <c r="D271" s="74"/>
      <c r="E271" s="75"/>
      <c r="F271" s="57"/>
      <c r="G271" s="74"/>
      <c r="H271" s="75"/>
      <c r="I271" s="57"/>
      <c r="J271" s="74"/>
      <c r="K271" s="75"/>
      <c r="L271" s="57"/>
      <c r="M271" s="74"/>
      <c r="N271" s="75"/>
      <c r="O271" s="57"/>
      <c r="P271" s="74"/>
      <c r="Q271" s="75"/>
      <c r="R271" s="57"/>
      <c r="S271" s="74"/>
      <c r="T271" s="75"/>
      <c r="U271" s="57"/>
      <c r="V271" s="74"/>
      <c r="W271" s="75"/>
      <c r="X271" s="57"/>
      <c r="Y271" s="74"/>
      <c r="Z271" s="75"/>
      <c r="AA271" s="57"/>
      <c r="AB271" s="74"/>
      <c r="AC271" s="75"/>
      <c r="AD271" s="57"/>
      <c r="AE271" s="74"/>
      <c r="AF271" s="75"/>
      <c r="AG271" s="57"/>
      <c r="AH271" s="74"/>
      <c r="AI271" s="75"/>
      <c r="AJ271" s="57"/>
      <c r="AK271" s="74"/>
      <c r="AL271" s="75"/>
      <c r="AM271" s="57"/>
      <c r="AN271" s="74"/>
      <c r="AO271" s="75"/>
      <c r="AP271" s="48"/>
      <c r="AQ271" s="48"/>
      <c r="AR271" s="48"/>
      <c r="AS271" s="48"/>
      <c r="AT271" s="48"/>
      <c r="AU271" s="48"/>
      <c r="AV271" s="48"/>
      <c r="AW271" s="48"/>
      <c r="AX271" s="48"/>
      <c r="AY271" s="48"/>
      <c r="AZ271" s="48"/>
      <c r="BA271" s="48"/>
      <c r="BB271" s="48"/>
      <c r="BC271" s="48"/>
      <c r="BD271" s="48"/>
      <c r="BE271" s="48"/>
      <c r="BF271" s="48"/>
      <c r="BG271" s="48"/>
      <c r="BH271" s="48"/>
      <c r="BI271" s="48"/>
    </row>
    <row r="272" ht="15.75" customHeight="1">
      <c r="A272" s="41" t="str">
        <f t="shared" si="4"/>
        <v>CarrosserieFrais véhicules de cie</v>
      </c>
      <c r="B272" s="97" t="s">
        <v>130</v>
      </c>
      <c r="C272" s="53"/>
      <c r="D272" s="100"/>
      <c r="E272" s="91"/>
      <c r="F272" s="53"/>
      <c r="G272" s="100"/>
      <c r="H272" s="91"/>
      <c r="I272" s="53"/>
      <c r="J272" s="100"/>
      <c r="K272" s="91"/>
      <c r="L272" s="53"/>
      <c r="M272" s="100"/>
      <c r="N272" s="91"/>
      <c r="O272" s="53"/>
      <c r="P272" s="100"/>
      <c r="Q272" s="91"/>
      <c r="R272" s="53"/>
      <c r="S272" s="100"/>
      <c r="T272" s="91"/>
      <c r="U272" s="53"/>
      <c r="V272" s="100"/>
      <c r="W272" s="91"/>
      <c r="X272" s="53"/>
      <c r="Y272" s="100"/>
      <c r="Z272" s="91"/>
      <c r="AA272" s="53"/>
      <c r="AB272" s="100"/>
      <c r="AC272" s="91"/>
      <c r="AD272" s="53"/>
      <c r="AE272" s="100"/>
      <c r="AF272" s="91"/>
      <c r="AG272" s="53"/>
      <c r="AH272" s="100"/>
      <c r="AI272" s="91"/>
      <c r="AJ272" s="53"/>
      <c r="AK272" s="100"/>
      <c r="AL272" s="91"/>
      <c r="AM272" s="53"/>
      <c r="AN272" s="100"/>
      <c r="AO272" s="91"/>
      <c r="AP272" s="48"/>
      <c r="AQ272" s="48"/>
      <c r="AR272" s="48"/>
      <c r="AS272" s="48"/>
      <c r="AT272" s="48"/>
      <c r="AU272" s="48"/>
      <c r="AV272" s="48"/>
      <c r="AW272" s="48"/>
      <c r="AX272" s="48"/>
      <c r="AY272" s="48"/>
      <c r="AZ272" s="48"/>
      <c r="BA272" s="48"/>
      <c r="BB272" s="48"/>
      <c r="BC272" s="48"/>
      <c r="BD272" s="48"/>
      <c r="BE272" s="48"/>
      <c r="BF272" s="48"/>
      <c r="BG272" s="48"/>
      <c r="BH272" s="48"/>
      <c r="BI272" s="48"/>
    </row>
    <row r="273" ht="15.75" customHeight="1">
      <c r="A273" s="41" t="str">
        <f t="shared" si="4"/>
        <v>CarrosserieInformatique</v>
      </c>
      <c r="B273" s="96" t="s">
        <v>131</v>
      </c>
      <c r="C273" s="57"/>
      <c r="D273" s="74"/>
      <c r="E273" s="75"/>
      <c r="F273" s="57"/>
      <c r="G273" s="74"/>
      <c r="H273" s="75"/>
      <c r="I273" s="57"/>
      <c r="J273" s="74"/>
      <c r="K273" s="75"/>
      <c r="L273" s="57"/>
      <c r="M273" s="74"/>
      <c r="N273" s="75"/>
      <c r="O273" s="57"/>
      <c r="P273" s="74"/>
      <c r="Q273" s="75"/>
      <c r="R273" s="57"/>
      <c r="S273" s="74"/>
      <c r="T273" s="75"/>
      <c r="U273" s="57"/>
      <c r="V273" s="74"/>
      <c r="W273" s="75"/>
      <c r="X273" s="57"/>
      <c r="Y273" s="74"/>
      <c r="Z273" s="75"/>
      <c r="AA273" s="57"/>
      <c r="AB273" s="74"/>
      <c r="AC273" s="75"/>
      <c r="AD273" s="57"/>
      <c r="AE273" s="74"/>
      <c r="AF273" s="75"/>
      <c r="AG273" s="57"/>
      <c r="AH273" s="74"/>
      <c r="AI273" s="75"/>
      <c r="AJ273" s="57"/>
      <c r="AK273" s="74"/>
      <c r="AL273" s="75"/>
      <c r="AM273" s="57"/>
      <c r="AN273" s="74"/>
      <c r="AO273" s="75"/>
      <c r="AP273" s="48"/>
      <c r="AQ273" s="48"/>
      <c r="AR273" s="48"/>
      <c r="AS273" s="48"/>
      <c r="AT273" s="48"/>
      <c r="AU273" s="48"/>
      <c r="AV273" s="48"/>
      <c r="AW273" s="48"/>
      <c r="AX273" s="48"/>
      <c r="AY273" s="48"/>
      <c r="AZ273" s="48"/>
      <c r="BA273" s="48"/>
      <c r="BB273" s="48"/>
      <c r="BC273" s="48"/>
      <c r="BD273" s="48"/>
      <c r="BE273" s="48"/>
      <c r="BF273" s="48"/>
      <c r="BG273" s="48"/>
      <c r="BH273" s="48"/>
      <c r="BI273" s="48"/>
    </row>
    <row r="274" ht="15.75" customHeight="1">
      <c r="A274" s="41" t="str">
        <f t="shared" si="4"/>
        <v>CarrosserieFrais de déplacement</v>
      </c>
      <c r="B274" s="96" t="s">
        <v>132</v>
      </c>
      <c r="C274" s="57"/>
      <c r="D274" s="74"/>
      <c r="E274" s="75"/>
      <c r="F274" s="57"/>
      <c r="G274" s="74"/>
      <c r="H274" s="75"/>
      <c r="I274" s="57"/>
      <c r="J274" s="74"/>
      <c r="K274" s="75"/>
      <c r="L274" s="57"/>
      <c r="M274" s="74"/>
      <c r="N274" s="75"/>
      <c r="O274" s="57"/>
      <c r="P274" s="74"/>
      <c r="Q274" s="75"/>
      <c r="R274" s="57"/>
      <c r="S274" s="74"/>
      <c r="T274" s="75"/>
      <c r="U274" s="57"/>
      <c r="V274" s="74"/>
      <c r="W274" s="75"/>
      <c r="X274" s="57"/>
      <c r="Y274" s="74"/>
      <c r="Z274" s="75"/>
      <c r="AA274" s="57"/>
      <c r="AB274" s="74"/>
      <c r="AC274" s="75"/>
      <c r="AD274" s="57"/>
      <c r="AE274" s="74"/>
      <c r="AF274" s="75"/>
      <c r="AG274" s="57"/>
      <c r="AH274" s="74"/>
      <c r="AI274" s="75"/>
      <c r="AJ274" s="57"/>
      <c r="AK274" s="74"/>
      <c r="AL274" s="75"/>
      <c r="AM274" s="57"/>
      <c r="AN274" s="74"/>
      <c r="AO274" s="75"/>
      <c r="AP274" s="48"/>
      <c r="AQ274" s="48"/>
      <c r="AR274" s="48"/>
      <c r="AS274" s="48"/>
      <c r="AT274" s="48"/>
      <c r="AU274" s="48"/>
      <c r="AV274" s="48"/>
      <c r="AW274" s="48"/>
      <c r="AX274" s="48"/>
      <c r="AY274" s="48"/>
      <c r="AZ274" s="48"/>
      <c r="BA274" s="48"/>
      <c r="BB274" s="48"/>
      <c r="BC274" s="48"/>
      <c r="BD274" s="48"/>
      <c r="BE274" s="48"/>
      <c r="BF274" s="48"/>
      <c r="BG274" s="48"/>
      <c r="BH274" s="48"/>
      <c r="BI274" s="48"/>
    </row>
    <row r="275" ht="15.75" customHeight="1">
      <c r="A275" s="41" t="str">
        <f t="shared" si="4"/>
        <v>CarrosserieServices extérieurs</v>
      </c>
      <c r="B275" s="97" t="s">
        <v>133</v>
      </c>
      <c r="C275" s="53"/>
      <c r="D275" s="100"/>
      <c r="E275" s="91"/>
      <c r="F275" s="53"/>
      <c r="G275" s="100"/>
      <c r="H275" s="91"/>
      <c r="I275" s="53"/>
      <c r="J275" s="100"/>
      <c r="K275" s="91"/>
      <c r="L275" s="53"/>
      <c r="M275" s="100"/>
      <c r="N275" s="91"/>
      <c r="O275" s="53"/>
      <c r="P275" s="100"/>
      <c r="Q275" s="91"/>
      <c r="R275" s="53"/>
      <c r="S275" s="100"/>
      <c r="T275" s="91"/>
      <c r="U275" s="53"/>
      <c r="V275" s="100"/>
      <c r="W275" s="91"/>
      <c r="X275" s="53"/>
      <c r="Y275" s="100"/>
      <c r="Z275" s="91"/>
      <c r="AA275" s="53"/>
      <c r="AB275" s="100"/>
      <c r="AC275" s="91"/>
      <c r="AD275" s="53"/>
      <c r="AE275" s="100"/>
      <c r="AF275" s="91"/>
      <c r="AG275" s="53"/>
      <c r="AH275" s="100"/>
      <c r="AI275" s="91"/>
      <c r="AJ275" s="53"/>
      <c r="AK275" s="100"/>
      <c r="AL275" s="91"/>
      <c r="AM275" s="53"/>
      <c r="AN275" s="100"/>
      <c r="AO275" s="91"/>
      <c r="AP275" s="48"/>
      <c r="AQ275" s="48"/>
      <c r="AR275" s="48"/>
      <c r="AS275" s="48"/>
      <c r="AT275" s="48"/>
      <c r="AU275" s="48"/>
      <c r="AV275" s="48"/>
      <c r="AW275" s="48"/>
      <c r="AX275" s="48"/>
      <c r="AY275" s="48"/>
      <c r="AZ275" s="48"/>
      <c r="BA275" s="48"/>
      <c r="BB275" s="48"/>
      <c r="BC275" s="48"/>
      <c r="BD275" s="48"/>
      <c r="BE275" s="48"/>
      <c r="BF275" s="48"/>
      <c r="BG275" s="48"/>
      <c r="BH275" s="48"/>
      <c r="BI275" s="48"/>
    </row>
    <row r="276" ht="15.75" customHeight="1">
      <c r="A276" s="41" t="str">
        <f t="shared" si="4"/>
        <v>CarrosserieFournitures d'atelier</v>
      </c>
      <c r="B276" s="96" t="s">
        <v>173</v>
      </c>
      <c r="C276" s="57"/>
      <c r="D276" s="74"/>
      <c r="E276" s="75"/>
      <c r="F276" s="57"/>
      <c r="G276" s="74"/>
      <c r="H276" s="75"/>
      <c r="I276" s="57"/>
      <c r="J276" s="74"/>
      <c r="K276" s="75"/>
      <c r="L276" s="57"/>
      <c r="M276" s="74"/>
      <c r="N276" s="75"/>
      <c r="O276" s="57"/>
      <c r="P276" s="74"/>
      <c r="Q276" s="75"/>
      <c r="R276" s="57"/>
      <c r="S276" s="74"/>
      <c r="T276" s="75"/>
      <c r="U276" s="57"/>
      <c r="V276" s="74"/>
      <c r="W276" s="75"/>
      <c r="X276" s="57"/>
      <c r="Y276" s="74"/>
      <c r="Z276" s="75"/>
      <c r="AA276" s="57"/>
      <c r="AB276" s="74"/>
      <c r="AC276" s="75"/>
      <c r="AD276" s="57"/>
      <c r="AE276" s="74"/>
      <c r="AF276" s="75"/>
      <c r="AG276" s="57"/>
      <c r="AH276" s="74"/>
      <c r="AI276" s="75"/>
      <c r="AJ276" s="57"/>
      <c r="AK276" s="74"/>
      <c r="AL276" s="75"/>
      <c r="AM276" s="57"/>
      <c r="AN276" s="74"/>
      <c r="AO276" s="75"/>
      <c r="AP276" s="48"/>
      <c r="AQ276" s="48"/>
      <c r="AR276" s="48"/>
      <c r="AS276" s="48"/>
      <c r="AT276" s="48"/>
      <c r="AU276" s="48"/>
      <c r="AV276" s="48"/>
      <c r="AW276" s="48"/>
      <c r="AX276" s="48"/>
      <c r="AY276" s="48"/>
      <c r="AZ276" s="48"/>
      <c r="BA276" s="48"/>
      <c r="BB276" s="48"/>
      <c r="BC276" s="48"/>
      <c r="BD276" s="48"/>
      <c r="BE276" s="48"/>
      <c r="BF276" s="48"/>
      <c r="BG276" s="48"/>
      <c r="BH276" s="48"/>
      <c r="BI276" s="48"/>
    </row>
    <row r="277" ht="15.75" customHeight="1">
      <c r="A277" s="41" t="str">
        <f t="shared" si="4"/>
        <v>CarrosserieFournitures autres</v>
      </c>
      <c r="B277" s="96" t="s">
        <v>134</v>
      </c>
      <c r="C277" s="57"/>
      <c r="D277" s="74"/>
      <c r="E277" s="75"/>
      <c r="F277" s="57"/>
      <c r="G277" s="74"/>
      <c r="H277" s="75"/>
      <c r="I277" s="57"/>
      <c r="J277" s="74"/>
      <c r="K277" s="75"/>
      <c r="L277" s="57"/>
      <c r="M277" s="74"/>
      <c r="N277" s="75"/>
      <c r="O277" s="57"/>
      <c r="P277" s="74"/>
      <c r="Q277" s="75"/>
      <c r="R277" s="57"/>
      <c r="S277" s="74"/>
      <c r="T277" s="75"/>
      <c r="U277" s="57"/>
      <c r="V277" s="74"/>
      <c r="W277" s="75"/>
      <c r="X277" s="57"/>
      <c r="Y277" s="74"/>
      <c r="Z277" s="75"/>
      <c r="AA277" s="57"/>
      <c r="AB277" s="74"/>
      <c r="AC277" s="75"/>
      <c r="AD277" s="57"/>
      <c r="AE277" s="74"/>
      <c r="AF277" s="75"/>
      <c r="AG277" s="57"/>
      <c r="AH277" s="74"/>
      <c r="AI277" s="75"/>
      <c r="AJ277" s="57"/>
      <c r="AK277" s="74"/>
      <c r="AL277" s="75"/>
      <c r="AM277" s="57"/>
      <c r="AN277" s="74"/>
      <c r="AO277" s="75"/>
      <c r="AP277" s="48"/>
      <c r="AQ277" s="48"/>
      <c r="AR277" s="48"/>
      <c r="AS277" s="48"/>
      <c r="AT277" s="48"/>
      <c r="AU277" s="48"/>
      <c r="AV277" s="48"/>
      <c r="AW277" s="48"/>
      <c r="AX277" s="48"/>
      <c r="AY277" s="48"/>
      <c r="AZ277" s="48"/>
      <c r="BA277" s="48"/>
      <c r="BB277" s="48"/>
      <c r="BC277" s="48"/>
      <c r="BD277" s="48"/>
      <c r="BE277" s="48"/>
      <c r="BF277" s="48"/>
      <c r="BG277" s="48"/>
      <c r="BH277" s="48"/>
      <c r="BI277" s="48"/>
    </row>
    <row r="278" ht="15.75" customHeight="1">
      <c r="A278" s="41" t="str">
        <f t="shared" si="4"/>
        <v>CarrosserieUniformes</v>
      </c>
      <c r="B278" s="96" t="s">
        <v>135</v>
      </c>
      <c r="C278" s="57"/>
      <c r="D278" s="74"/>
      <c r="E278" s="75"/>
      <c r="F278" s="57"/>
      <c r="G278" s="74"/>
      <c r="H278" s="75"/>
      <c r="I278" s="57"/>
      <c r="J278" s="74"/>
      <c r="K278" s="75"/>
      <c r="L278" s="57"/>
      <c r="M278" s="74"/>
      <c r="N278" s="75"/>
      <c r="O278" s="57"/>
      <c r="P278" s="74"/>
      <c r="Q278" s="75"/>
      <c r="R278" s="57"/>
      <c r="S278" s="74"/>
      <c r="T278" s="75"/>
      <c r="U278" s="57"/>
      <c r="V278" s="74"/>
      <c r="W278" s="75"/>
      <c r="X278" s="57"/>
      <c r="Y278" s="74"/>
      <c r="Z278" s="75"/>
      <c r="AA278" s="57"/>
      <c r="AB278" s="74"/>
      <c r="AC278" s="75"/>
      <c r="AD278" s="57"/>
      <c r="AE278" s="74"/>
      <c r="AF278" s="75"/>
      <c r="AG278" s="57"/>
      <c r="AH278" s="74"/>
      <c r="AI278" s="75"/>
      <c r="AJ278" s="57"/>
      <c r="AK278" s="74"/>
      <c r="AL278" s="75"/>
      <c r="AM278" s="57"/>
      <c r="AN278" s="74"/>
      <c r="AO278" s="75"/>
      <c r="AP278" s="48"/>
      <c r="AQ278" s="48"/>
      <c r="AR278" s="48"/>
      <c r="AS278" s="48"/>
      <c r="AT278" s="48"/>
      <c r="AU278" s="48"/>
      <c r="AV278" s="48"/>
      <c r="AW278" s="48"/>
      <c r="AX278" s="48"/>
      <c r="AY278" s="48"/>
      <c r="AZ278" s="48"/>
      <c r="BA278" s="48"/>
      <c r="BB278" s="48"/>
      <c r="BC278" s="48"/>
      <c r="BD278" s="48"/>
      <c r="BE278" s="48"/>
      <c r="BF278" s="48"/>
      <c r="BG278" s="48"/>
      <c r="BH278" s="48"/>
      <c r="BI278" s="48"/>
    </row>
    <row r="279" ht="15.75" customHeight="1">
      <c r="A279" s="41" t="str">
        <f t="shared" si="4"/>
        <v>CarrosseriePapeterie</v>
      </c>
      <c r="B279" s="96" t="s">
        <v>136</v>
      </c>
      <c r="C279" s="57"/>
      <c r="D279" s="74"/>
      <c r="E279" s="75"/>
      <c r="F279" s="57"/>
      <c r="G279" s="74"/>
      <c r="H279" s="75"/>
      <c r="I279" s="57"/>
      <c r="J279" s="74"/>
      <c r="K279" s="75"/>
      <c r="L279" s="57"/>
      <c r="M279" s="74"/>
      <c r="N279" s="75"/>
      <c r="O279" s="57"/>
      <c r="P279" s="74"/>
      <c r="Q279" s="75"/>
      <c r="R279" s="57"/>
      <c r="S279" s="74"/>
      <c r="T279" s="75"/>
      <c r="U279" s="57"/>
      <c r="V279" s="74"/>
      <c r="W279" s="75"/>
      <c r="X279" s="57"/>
      <c r="Y279" s="74"/>
      <c r="Z279" s="75"/>
      <c r="AA279" s="57"/>
      <c r="AB279" s="74"/>
      <c r="AC279" s="75"/>
      <c r="AD279" s="57"/>
      <c r="AE279" s="74"/>
      <c r="AF279" s="75"/>
      <c r="AG279" s="57"/>
      <c r="AH279" s="74"/>
      <c r="AI279" s="75"/>
      <c r="AJ279" s="57"/>
      <c r="AK279" s="74"/>
      <c r="AL279" s="75"/>
      <c r="AM279" s="57"/>
      <c r="AN279" s="74"/>
      <c r="AO279" s="75"/>
      <c r="AP279" s="48"/>
      <c r="AQ279" s="48"/>
      <c r="AR279" s="48"/>
      <c r="AS279" s="48"/>
      <c r="AT279" s="48"/>
      <c r="AU279" s="48"/>
      <c r="AV279" s="48"/>
      <c r="AW279" s="48"/>
      <c r="AX279" s="48"/>
      <c r="AY279" s="48"/>
      <c r="AZ279" s="48"/>
      <c r="BA279" s="48"/>
      <c r="BB279" s="48"/>
      <c r="BC279" s="48"/>
      <c r="BD279" s="48"/>
      <c r="BE279" s="48"/>
      <c r="BF279" s="48"/>
      <c r="BG279" s="48"/>
      <c r="BH279" s="48"/>
      <c r="BI279" s="48"/>
    </row>
    <row r="280" ht="15.75" customHeight="1">
      <c r="A280" s="41" t="str">
        <f t="shared" si="4"/>
        <v>CarrosserieTéléphone</v>
      </c>
      <c r="B280" s="96" t="s">
        <v>137</v>
      </c>
      <c r="C280" s="57"/>
      <c r="D280" s="74"/>
      <c r="E280" s="75"/>
      <c r="F280" s="57"/>
      <c r="G280" s="74"/>
      <c r="H280" s="75"/>
      <c r="I280" s="57"/>
      <c r="J280" s="74"/>
      <c r="K280" s="75"/>
      <c r="L280" s="57"/>
      <c r="M280" s="74"/>
      <c r="N280" s="75"/>
      <c r="O280" s="57"/>
      <c r="P280" s="74"/>
      <c r="Q280" s="75"/>
      <c r="R280" s="57"/>
      <c r="S280" s="74"/>
      <c r="T280" s="75"/>
      <c r="U280" s="57"/>
      <c r="V280" s="74"/>
      <c r="W280" s="75"/>
      <c r="X280" s="57"/>
      <c r="Y280" s="74"/>
      <c r="Z280" s="75"/>
      <c r="AA280" s="57"/>
      <c r="AB280" s="74"/>
      <c r="AC280" s="75"/>
      <c r="AD280" s="57"/>
      <c r="AE280" s="74"/>
      <c r="AF280" s="75"/>
      <c r="AG280" s="57"/>
      <c r="AH280" s="74"/>
      <c r="AI280" s="75"/>
      <c r="AJ280" s="57"/>
      <c r="AK280" s="74"/>
      <c r="AL280" s="75"/>
      <c r="AM280" s="57"/>
      <c r="AN280" s="74"/>
      <c r="AO280" s="75"/>
      <c r="AP280" s="48"/>
      <c r="AQ280" s="48"/>
      <c r="AR280" s="48"/>
      <c r="AS280" s="48"/>
      <c r="AT280" s="48"/>
      <c r="AU280" s="48"/>
      <c r="AV280" s="48"/>
      <c r="AW280" s="48"/>
      <c r="AX280" s="48"/>
      <c r="AY280" s="48"/>
      <c r="AZ280" s="48"/>
      <c r="BA280" s="48"/>
      <c r="BB280" s="48"/>
      <c r="BC280" s="48"/>
      <c r="BD280" s="48"/>
      <c r="BE280" s="48"/>
      <c r="BF280" s="48"/>
      <c r="BG280" s="48"/>
      <c r="BH280" s="48"/>
      <c r="BI280" s="48"/>
    </row>
    <row r="281" ht="15.75" customHeight="1">
      <c r="A281" s="41" t="str">
        <f t="shared" si="4"/>
        <v>CarrosserieFrais postaux</v>
      </c>
      <c r="B281" s="96" t="s">
        <v>138</v>
      </c>
      <c r="C281" s="57"/>
      <c r="D281" s="74"/>
      <c r="E281" s="75"/>
      <c r="F281" s="57"/>
      <c r="G281" s="74"/>
      <c r="H281" s="75"/>
      <c r="I281" s="57"/>
      <c r="J281" s="74"/>
      <c r="K281" s="75"/>
      <c r="L281" s="57"/>
      <c r="M281" s="74"/>
      <c r="N281" s="75"/>
      <c r="O281" s="57"/>
      <c r="P281" s="74"/>
      <c r="Q281" s="75"/>
      <c r="R281" s="57"/>
      <c r="S281" s="74"/>
      <c r="T281" s="75"/>
      <c r="U281" s="57"/>
      <c r="V281" s="74"/>
      <c r="W281" s="75"/>
      <c r="X281" s="57"/>
      <c r="Y281" s="74"/>
      <c r="Z281" s="75"/>
      <c r="AA281" s="57"/>
      <c r="AB281" s="74"/>
      <c r="AC281" s="75"/>
      <c r="AD281" s="57"/>
      <c r="AE281" s="74"/>
      <c r="AF281" s="75"/>
      <c r="AG281" s="57"/>
      <c r="AH281" s="74"/>
      <c r="AI281" s="75"/>
      <c r="AJ281" s="57"/>
      <c r="AK281" s="74"/>
      <c r="AL281" s="75"/>
      <c r="AM281" s="57"/>
      <c r="AN281" s="74"/>
      <c r="AO281" s="75"/>
      <c r="AP281" s="48"/>
      <c r="AQ281" s="48"/>
      <c r="AR281" s="48"/>
      <c r="AS281" s="48"/>
      <c r="AT281" s="48"/>
      <c r="AU281" s="48"/>
      <c r="AV281" s="48"/>
      <c r="AW281" s="48"/>
      <c r="AX281" s="48"/>
      <c r="AY281" s="48"/>
      <c r="AZ281" s="48"/>
      <c r="BA281" s="48"/>
      <c r="BB281" s="48"/>
      <c r="BC281" s="48"/>
      <c r="BD281" s="48"/>
      <c r="BE281" s="48"/>
      <c r="BF281" s="48"/>
      <c r="BG281" s="48"/>
      <c r="BH281" s="48"/>
      <c r="BI281" s="48"/>
    </row>
    <row r="282" ht="15.75" customHeight="1">
      <c r="A282" s="41" t="str">
        <f t="shared" si="4"/>
        <v>CarrosserieDivers</v>
      </c>
      <c r="B282" s="96" t="s">
        <v>139</v>
      </c>
      <c r="C282" s="57"/>
      <c r="D282" s="74"/>
      <c r="E282" s="75"/>
      <c r="F282" s="57"/>
      <c r="G282" s="74"/>
      <c r="H282" s="75"/>
      <c r="I282" s="57"/>
      <c r="J282" s="74"/>
      <c r="K282" s="75"/>
      <c r="L282" s="57"/>
      <c r="M282" s="74"/>
      <c r="N282" s="75"/>
      <c r="O282" s="57"/>
      <c r="P282" s="74"/>
      <c r="Q282" s="75"/>
      <c r="R282" s="57"/>
      <c r="S282" s="74"/>
      <c r="T282" s="75"/>
      <c r="U282" s="57"/>
      <c r="V282" s="74"/>
      <c r="W282" s="75"/>
      <c r="X282" s="57"/>
      <c r="Y282" s="74"/>
      <c r="Z282" s="75"/>
      <c r="AA282" s="57"/>
      <c r="AB282" s="74"/>
      <c r="AC282" s="75"/>
      <c r="AD282" s="57"/>
      <c r="AE282" s="74"/>
      <c r="AF282" s="75"/>
      <c r="AG282" s="57"/>
      <c r="AH282" s="74"/>
      <c r="AI282" s="75"/>
      <c r="AJ282" s="57"/>
      <c r="AK282" s="74"/>
      <c r="AL282" s="75"/>
      <c r="AM282" s="57"/>
      <c r="AN282" s="74"/>
      <c r="AO282" s="75"/>
      <c r="AP282" s="48"/>
      <c r="AQ282" s="48"/>
      <c r="AR282" s="48"/>
      <c r="AS282" s="48"/>
      <c r="AT282" s="48"/>
      <c r="AU282" s="48"/>
      <c r="AV282" s="48"/>
      <c r="AW282" s="48"/>
      <c r="AX282" s="48"/>
      <c r="AY282" s="48"/>
      <c r="AZ282" s="48"/>
      <c r="BA282" s="48"/>
      <c r="BB282" s="48"/>
      <c r="BC282" s="48"/>
      <c r="BD282" s="48"/>
      <c r="BE282" s="48"/>
      <c r="BF282" s="48"/>
      <c r="BG282" s="48"/>
      <c r="BH282" s="48"/>
      <c r="BI282" s="48"/>
    </row>
    <row r="283" ht="15.75" customHeight="1">
      <c r="A283" s="41" t="str">
        <f t="shared" si="4"/>
        <v>CarrosserieFormation</v>
      </c>
      <c r="B283" s="96" t="s">
        <v>140</v>
      </c>
      <c r="C283" s="57"/>
      <c r="D283" s="74"/>
      <c r="E283" s="75"/>
      <c r="F283" s="57"/>
      <c r="G283" s="74"/>
      <c r="H283" s="75"/>
      <c r="I283" s="57"/>
      <c r="J283" s="74"/>
      <c r="K283" s="75"/>
      <c r="L283" s="57"/>
      <c r="M283" s="74"/>
      <c r="N283" s="75"/>
      <c r="O283" s="57"/>
      <c r="P283" s="74"/>
      <c r="Q283" s="75"/>
      <c r="R283" s="57"/>
      <c r="S283" s="74"/>
      <c r="T283" s="75"/>
      <c r="U283" s="57"/>
      <c r="V283" s="74"/>
      <c r="W283" s="75"/>
      <c r="X283" s="57"/>
      <c r="Y283" s="74"/>
      <c r="Z283" s="75"/>
      <c r="AA283" s="57"/>
      <c r="AB283" s="74"/>
      <c r="AC283" s="75"/>
      <c r="AD283" s="57"/>
      <c r="AE283" s="74"/>
      <c r="AF283" s="75"/>
      <c r="AG283" s="57"/>
      <c r="AH283" s="74"/>
      <c r="AI283" s="75"/>
      <c r="AJ283" s="57"/>
      <c r="AK283" s="74"/>
      <c r="AL283" s="75"/>
      <c r="AM283" s="57"/>
      <c r="AN283" s="74"/>
      <c r="AO283" s="75"/>
      <c r="AP283" s="48"/>
      <c r="AQ283" s="48"/>
      <c r="AR283" s="48"/>
      <c r="AS283" s="48"/>
      <c r="AT283" s="48"/>
      <c r="AU283" s="48"/>
      <c r="AV283" s="48"/>
      <c r="AW283" s="48"/>
      <c r="AX283" s="48"/>
      <c r="AY283" s="48"/>
      <c r="AZ283" s="48"/>
      <c r="BA283" s="48"/>
      <c r="BB283" s="48"/>
      <c r="BC283" s="48"/>
      <c r="BD283" s="48"/>
      <c r="BE283" s="48"/>
      <c r="BF283" s="48"/>
      <c r="BG283" s="48"/>
      <c r="BH283" s="48"/>
      <c r="BI283" s="48"/>
    </row>
    <row r="284" ht="15.75" customHeight="1">
      <c r="A284" s="41" t="str">
        <f t="shared" si="4"/>
        <v>CarrosserieFrais bancaires</v>
      </c>
      <c r="B284" s="96" t="s">
        <v>141</v>
      </c>
      <c r="C284" s="57"/>
      <c r="D284" s="74"/>
      <c r="E284" s="75"/>
      <c r="F284" s="57"/>
      <c r="G284" s="74"/>
      <c r="H284" s="75"/>
      <c r="I284" s="57"/>
      <c r="J284" s="74"/>
      <c r="K284" s="75"/>
      <c r="L284" s="57"/>
      <c r="M284" s="74"/>
      <c r="N284" s="75"/>
      <c r="O284" s="57"/>
      <c r="P284" s="74"/>
      <c r="Q284" s="75"/>
      <c r="R284" s="57"/>
      <c r="S284" s="74"/>
      <c r="T284" s="75"/>
      <c r="U284" s="57"/>
      <c r="V284" s="74"/>
      <c r="W284" s="75"/>
      <c r="X284" s="57"/>
      <c r="Y284" s="74"/>
      <c r="Z284" s="75"/>
      <c r="AA284" s="57"/>
      <c r="AB284" s="74"/>
      <c r="AC284" s="75"/>
      <c r="AD284" s="57"/>
      <c r="AE284" s="74"/>
      <c r="AF284" s="75"/>
      <c r="AG284" s="57"/>
      <c r="AH284" s="74"/>
      <c r="AI284" s="75"/>
      <c r="AJ284" s="57"/>
      <c r="AK284" s="74"/>
      <c r="AL284" s="75"/>
      <c r="AM284" s="57"/>
      <c r="AN284" s="74"/>
      <c r="AO284" s="75"/>
      <c r="AP284" s="48"/>
      <c r="AQ284" s="48"/>
      <c r="AR284" s="48"/>
      <c r="AS284" s="48"/>
      <c r="AT284" s="48"/>
      <c r="AU284" s="48"/>
      <c r="AV284" s="48"/>
      <c r="AW284" s="48"/>
      <c r="AX284" s="48"/>
      <c r="AY284" s="48"/>
      <c r="AZ284" s="48"/>
      <c r="BA284" s="48"/>
      <c r="BB284" s="48"/>
      <c r="BC284" s="48"/>
      <c r="BD284" s="48"/>
      <c r="BE284" s="48"/>
      <c r="BF284" s="48"/>
      <c r="BG284" s="48"/>
      <c r="BH284" s="48"/>
      <c r="BI284" s="48"/>
    </row>
    <row r="285" ht="20.25" customHeight="1">
      <c r="A285" s="41" t="str">
        <f t="shared" si="4"/>
        <v>Carrosserie[...]</v>
      </c>
      <c r="B285" s="96" t="s">
        <v>56</v>
      </c>
      <c r="C285" s="57"/>
      <c r="D285" s="74"/>
      <c r="E285" s="75"/>
      <c r="F285" s="57"/>
      <c r="G285" s="74"/>
      <c r="H285" s="75"/>
      <c r="I285" s="57"/>
      <c r="J285" s="74"/>
      <c r="K285" s="75"/>
      <c r="L285" s="57"/>
      <c r="M285" s="74"/>
      <c r="N285" s="75"/>
      <c r="O285" s="57"/>
      <c r="P285" s="74"/>
      <c r="Q285" s="75"/>
      <c r="R285" s="57"/>
      <c r="S285" s="74"/>
      <c r="T285" s="75"/>
      <c r="U285" s="57"/>
      <c r="V285" s="74"/>
      <c r="W285" s="75"/>
      <c r="X285" s="57"/>
      <c r="Y285" s="74"/>
      <c r="Z285" s="75"/>
      <c r="AA285" s="57"/>
      <c r="AB285" s="74"/>
      <c r="AC285" s="75"/>
      <c r="AD285" s="57"/>
      <c r="AE285" s="74"/>
      <c r="AF285" s="75"/>
      <c r="AG285" s="57"/>
      <c r="AH285" s="74"/>
      <c r="AI285" s="75"/>
      <c r="AJ285" s="57"/>
      <c r="AK285" s="74"/>
      <c r="AL285" s="75"/>
      <c r="AM285" s="57"/>
      <c r="AN285" s="74"/>
      <c r="AO285" s="75"/>
      <c r="AP285" s="48"/>
      <c r="AQ285" s="48"/>
      <c r="AR285" s="48"/>
      <c r="AS285" s="48"/>
      <c r="AT285" s="48"/>
      <c r="AU285" s="48"/>
      <c r="AV285" s="48"/>
      <c r="AW285" s="48"/>
      <c r="AX285" s="48"/>
      <c r="AY285" s="48"/>
      <c r="AZ285" s="48"/>
      <c r="BA285" s="48"/>
      <c r="BB285" s="48"/>
      <c r="BC285" s="48"/>
      <c r="BD285" s="48"/>
      <c r="BE285" s="48"/>
      <c r="BF285" s="48"/>
      <c r="BG285" s="48"/>
      <c r="BH285" s="48"/>
      <c r="BI285" s="48"/>
    </row>
    <row r="286" ht="20.25" customHeight="1">
      <c r="A286" s="41" t="str">
        <f t="shared" si="4"/>
        <v>Carrosserie[...]</v>
      </c>
      <c r="B286" s="96" t="s">
        <v>56</v>
      </c>
      <c r="C286" s="57"/>
      <c r="D286" s="74"/>
      <c r="E286" s="75"/>
      <c r="F286" s="57"/>
      <c r="G286" s="74"/>
      <c r="H286" s="75"/>
      <c r="I286" s="57"/>
      <c r="J286" s="74"/>
      <c r="K286" s="75"/>
      <c r="L286" s="57"/>
      <c r="M286" s="74"/>
      <c r="N286" s="75"/>
      <c r="O286" s="57"/>
      <c r="P286" s="74"/>
      <c r="Q286" s="75"/>
      <c r="R286" s="57"/>
      <c r="S286" s="74"/>
      <c r="T286" s="75"/>
      <c r="U286" s="57"/>
      <c r="V286" s="74"/>
      <c r="W286" s="75"/>
      <c r="X286" s="57"/>
      <c r="Y286" s="74"/>
      <c r="Z286" s="75"/>
      <c r="AA286" s="57"/>
      <c r="AB286" s="74"/>
      <c r="AC286" s="75"/>
      <c r="AD286" s="57"/>
      <c r="AE286" s="74"/>
      <c r="AF286" s="75"/>
      <c r="AG286" s="57"/>
      <c r="AH286" s="74"/>
      <c r="AI286" s="75"/>
      <c r="AJ286" s="57"/>
      <c r="AK286" s="74"/>
      <c r="AL286" s="75"/>
      <c r="AM286" s="57"/>
      <c r="AN286" s="74"/>
      <c r="AO286" s="75"/>
      <c r="AP286" s="48"/>
      <c r="AQ286" s="48"/>
      <c r="AR286" s="48"/>
      <c r="AS286" s="48"/>
      <c r="AT286" s="48"/>
      <c r="AU286" s="48"/>
      <c r="AV286" s="48"/>
      <c r="AW286" s="48"/>
      <c r="AX286" s="48"/>
      <c r="AY286" s="48"/>
      <c r="AZ286" s="48"/>
      <c r="BA286" s="48"/>
      <c r="BB286" s="48"/>
      <c r="BC286" s="48"/>
      <c r="BD286" s="48"/>
      <c r="BE286" s="48"/>
      <c r="BF286" s="48"/>
      <c r="BG286" s="48"/>
      <c r="BH286" s="48"/>
      <c r="BI286" s="48"/>
    </row>
    <row r="287" ht="20.25" customHeight="1">
      <c r="A287" s="41" t="str">
        <f t="shared" si="4"/>
        <v>Carrosserie[...]</v>
      </c>
      <c r="B287" s="96" t="s">
        <v>56</v>
      </c>
      <c r="C287" s="57"/>
      <c r="D287" s="74"/>
      <c r="E287" s="75"/>
      <c r="F287" s="57"/>
      <c r="G287" s="74"/>
      <c r="H287" s="75"/>
      <c r="I287" s="57"/>
      <c r="J287" s="74"/>
      <c r="K287" s="75"/>
      <c r="L287" s="57"/>
      <c r="M287" s="74"/>
      <c r="N287" s="75"/>
      <c r="O287" s="57"/>
      <c r="P287" s="74"/>
      <c r="Q287" s="75"/>
      <c r="R287" s="57"/>
      <c r="S287" s="74"/>
      <c r="T287" s="75"/>
      <c r="U287" s="57"/>
      <c r="V287" s="74"/>
      <c r="W287" s="75"/>
      <c r="X287" s="57"/>
      <c r="Y287" s="74"/>
      <c r="Z287" s="75"/>
      <c r="AA287" s="57"/>
      <c r="AB287" s="74"/>
      <c r="AC287" s="75"/>
      <c r="AD287" s="57"/>
      <c r="AE287" s="74"/>
      <c r="AF287" s="75"/>
      <c r="AG287" s="57"/>
      <c r="AH287" s="74"/>
      <c r="AI287" s="75"/>
      <c r="AJ287" s="57"/>
      <c r="AK287" s="74"/>
      <c r="AL287" s="75"/>
      <c r="AM287" s="57"/>
      <c r="AN287" s="74"/>
      <c r="AO287" s="75"/>
      <c r="AP287" s="48"/>
      <c r="AQ287" s="48"/>
      <c r="AR287" s="48"/>
      <c r="AS287" s="48"/>
      <c r="AT287" s="48"/>
      <c r="AU287" s="48"/>
      <c r="AV287" s="48"/>
      <c r="AW287" s="48"/>
      <c r="AX287" s="48"/>
      <c r="AY287" s="48"/>
      <c r="AZ287" s="48"/>
      <c r="BA287" s="48"/>
      <c r="BB287" s="48"/>
      <c r="BC287" s="48"/>
      <c r="BD287" s="48"/>
      <c r="BE287" s="48"/>
      <c r="BF287" s="48"/>
      <c r="BG287" s="48"/>
      <c r="BH287" s="48"/>
      <c r="BI287" s="48"/>
    </row>
    <row r="288" ht="15.75" customHeight="1">
      <c r="A288" s="41" t="str">
        <f t="shared" si="4"/>
        <v>CarrosserieTOTAL SEMI-FIXES</v>
      </c>
      <c r="B288" s="151" t="s">
        <v>142</v>
      </c>
      <c r="C288" s="93"/>
      <c r="D288" s="94"/>
      <c r="E288" s="95"/>
      <c r="F288" s="93"/>
      <c r="G288" s="94"/>
      <c r="H288" s="95"/>
      <c r="I288" s="93"/>
      <c r="J288" s="94"/>
      <c r="K288" s="95"/>
      <c r="L288" s="93"/>
      <c r="M288" s="94"/>
      <c r="N288" s="95"/>
      <c r="O288" s="93"/>
      <c r="P288" s="94"/>
      <c r="Q288" s="95"/>
      <c r="R288" s="93"/>
      <c r="S288" s="94"/>
      <c r="T288" s="95"/>
      <c r="U288" s="93"/>
      <c r="V288" s="94"/>
      <c r="W288" s="95"/>
      <c r="X288" s="93"/>
      <c r="Y288" s="94"/>
      <c r="Z288" s="95"/>
      <c r="AA288" s="93"/>
      <c r="AB288" s="94"/>
      <c r="AC288" s="95"/>
      <c r="AD288" s="93"/>
      <c r="AE288" s="94"/>
      <c r="AF288" s="95"/>
      <c r="AG288" s="93"/>
      <c r="AH288" s="94"/>
      <c r="AI288" s="95"/>
      <c r="AJ288" s="93"/>
      <c r="AK288" s="94"/>
      <c r="AL288" s="95"/>
      <c r="AM288" s="93"/>
      <c r="AN288" s="94"/>
      <c r="AO288" s="95"/>
      <c r="AP288" s="48"/>
      <c r="AQ288" s="48"/>
      <c r="AR288" s="48"/>
      <c r="AS288" s="48"/>
      <c r="AT288" s="48"/>
      <c r="AU288" s="48"/>
      <c r="AV288" s="48"/>
      <c r="AW288" s="48"/>
      <c r="AX288" s="48"/>
      <c r="AY288" s="48"/>
      <c r="AZ288" s="48"/>
      <c r="BA288" s="48"/>
      <c r="BB288" s="48"/>
      <c r="BC288" s="48"/>
      <c r="BD288" s="48"/>
      <c r="BE288" s="48"/>
      <c r="BF288" s="48"/>
      <c r="BG288" s="48"/>
      <c r="BH288" s="48"/>
      <c r="BI288" s="48"/>
    </row>
    <row r="289" ht="15.75" customHeight="1">
      <c r="A289" s="41" t="str">
        <f t="shared" si="4"/>
        <v>Carrosserie</v>
      </c>
      <c r="B289" s="53"/>
      <c r="C289" s="53"/>
      <c r="D289" s="100"/>
      <c r="E289" s="91"/>
      <c r="F289" s="53"/>
      <c r="G289" s="100"/>
      <c r="H289" s="91"/>
      <c r="I289" s="53"/>
      <c r="J289" s="100"/>
      <c r="K289" s="91"/>
      <c r="L289" s="53"/>
      <c r="M289" s="100"/>
      <c r="N289" s="91"/>
      <c r="O289" s="53"/>
      <c r="P289" s="100"/>
      <c r="Q289" s="91"/>
      <c r="R289" s="53"/>
      <c r="S289" s="100"/>
      <c r="T289" s="91"/>
      <c r="U289" s="53"/>
      <c r="V289" s="100"/>
      <c r="W289" s="91"/>
      <c r="X289" s="53"/>
      <c r="Y289" s="100"/>
      <c r="Z289" s="91"/>
      <c r="AA289" s="53"/>
      <c r="AB289" s="100"/>
      <c r="AC289" s="91"/>
      <c r="AD289" s="53"/>
      <c r="AE289" s="100"/>
      <c r="AF289" s="91"/>
      <c r="AG289" s="53"/>
      <c r="AH289" s="100"/>
      <c r="AI289" s="91"/>
      <c r="AJ289" s="53"/>
      <c r="AK289" s="100"/>
      <c r="AL289" s="91"/>
      <c r="AM289" s="53"/>
      <c r="AN289" s="100"/>
      <c r="AO289" s="91"/>
      <c r="AP289" s="48"/>
      <c r="AQ289" s="48"/>
      <c r="AR289" s="48"/>
      <c r="AS289" s="48"/>
      <c r="AT289" s="48"/>
      <c r="AU289" s="48"/>
      <c r="AV289" s="48"/>
      <c r="AW289" s="48"/>
      <c r="AX289" s="48"/>
      <c r="AY289" s="48"/>
      <c r="AZ289" s="48"/>
      <c r="BA289" s="48"/>
      <c r="BB289" s="48"/>
      <c r="BC289" s="48"/>
      <c r="BD289" s="48"/>
      <c r="BE289" s="48"/>
      <c r="BF289" s="48"/>
      <c r="BG289" s="48"/>
      <c r="BH289" s="48"/>
      <c r="BI289" s="48"/>
    </row>
    <row r="290" ht="15.75" customHeight="1">
      <c r="A290" s="41" t="str">
        <f t="shared" si="4"/>
        <v>CarrosserieTOTAL DES DÉPENSES</v>
      </c>
      <c r="B290" s="92" t="s">
        <v>143</v>
      </c>
      <c r="C290" s="93"/>
      <c r="D290" s="94"/>
      <c r="E290" s="95"/>
      <c r="F290" s="93"/>
      <c r="G290" s="94"/>
      <c r="H290" s="95"/>
      <c r="I290" s="93"/>
      <c r="J290" s="94"/>
      <c r="K290" s="95"/>
      <c r="L290" s="93"/>
      <c r="M290" s="94"/>
      <c r="N290" s="95"/>
      <c r="O290" s="93"/>
      <c r="P290" s="94"/>
      <c r="Q290" s="95"/>
      <c r="R290" s="93"/>
      <c r="S290" s="94"/>
      <c r="T290" s="95"/>
      <c r="U290" s="93"/>
      <c r="V290" s="94"/>
      <c r="W290" s="95"/>
      <c r="X290" s="93"/>
      <c r="Y290" s="94"/>
      <c r="Z290" s="95"/>
      <c r="AA290" s="93"/>
      <c r="AB290" s="94"/>
      <c r="AC290" s="95"/>
      <c r="AD290" s="93"/>
      <c r="AE290" s="94"/>
      <c r="AF290" s="95"/>
      <c r="AG290" s="93"/>
      <c r="AH290" s="94"/>
      <c r="AI290" s="95"/>
      <c r="AJ290" s="93"/>
      <c r="AK290" s="94"/>
      <c r="AL290" s="95"/>
      <c r="AM290" s="93"/>
      <c r="AN290" s="94"/>
      <c r="AO290" s="95"/>
      <c r="AP290" s="48"/>
      <c r="AQ290" s="48"/>
      <c r="AR290" s="48"/>
      <c r="AS290" s="48"/>
      <c r="AT290" s="48"/>
      <c r="AU290" s="48"/>
      <c r="AV290" s="48"/>
      <c r="AW290" s="48"/>
      <c r="AX290" s="48"/>
      <c r="AY290" s="48"/>
      <c r="AZ290" s="48"/>
      <c r="BA290" s="48"/>
      <c r="BB290" s="48"/>
      <c r="BC290" s="48"/>
      <c r="BD290" s="48"/>
      <c r="BE290" s="48"/>
      <c r="BF290" s="48"/>
      <c r="BG290" s="48"/>
      <c r="BH290" s="48"/>
      <c r="BI290" s="48"/>
    </row>
    <row r="291" ht="15.75" customHeight="1">
      <c r="A291" s="41" t="str">
        <f t="shared" si="4"/>
        <v>Carrosserie</v>
      </c>
      <c r="B291" s="57"/>
      <c r="C291" s="57"/>
      <c r="D291" s="74"/>
      <c r="E291" s="75"/>
      <c r="F291" s="57"/>
      <c r="G291" s="74"/>
      <c r="H291" s="75"/>
      <c r="I291" s="57"/>
      <c r="J291" s="74"/>
      <c r="K291" s="75"/>
      <c r="L291" s="57"/>
      <c r="M291" s="74"/>
      <c r="N291" s="75"/>
      <c r="O291" s="57"/>
      <c r="P291" s="74"/>
      <c r="Q291" s="75"/>
      <c r="R291" s="57"/>
      <c r="S291" s="74"/>
      <c r="T291" s="75"/>
      <c r="U291" s="57"/>
      <c r="V291" s="74"/>
      <c r="W291" s="75"/>
      <c r="X291" s="57"/>
      <c r="Y291" s="74"/>
      <c r="Z291" s="75"/>
      <c r="AA291" s="57"/>
      <c r="AB291" s="74"/>
      <c r="AC291" s="75"/>
      <c r="AD291" s="57"/>
      <c r="AE291" s="74"/>
      <c r="AF291" s="75"/>
      <c r="AG291" s="57"/>
      <c r="AH291" s="74"/>
      <c r="AI291" s="75"/>
      <c r="AJ291" s="57"/>
      <c r="AK291" s="74"/>
      <c r="AL291" s="75"/>
      <c r="AM291" s="57"/>
      <c r="AN291" s="74"/>
      <c r="AO291" s="75"/>
      <c r="AP291" s="48"/>
      <c r="AQ291" s="48"/>
      <c r="AR291" s="48"/>
      <c r="AS291" s="48"/>
      <c r="AT291" s="48"/>
      <c r="AU291" s="48"/>
      <c r="AV291" s="48"/>
      <c r="AW291" s="48"/>
      <c r="AX291" s="48"/>
      <c r="AY291" s="48"/>
      <c r="AZ291" s="48"/>
      <c r="BA291" s="48"/>
      <c r="BB291" s="48"/>
      <c r="BC291" s="48"/>
      <c r="BD291" s="48"/>
      <c r="BE291" s="48"/>
      <c r="BF291" s="48"/>
      <c r="BG291" s="48"/>
      <c r="BH291" s="48"/>
      <c r="BI291" s="48"/>
    </row>
    <row r="292" ht="15.75" customHeight="1">
      <c r="A292" s="41" t="str">
        <f t="shared" si="4"/>
        <v>CarrosseriePROFIT DÉPARTEMENTAL</v>
      </c>
      <c r="B292" s="103" t="s">
        <v>150</v>
      </c>
      <c r="C292" s="103"/>
      <c r="D292" s="124"/>
      <c r="E292" s="106"/>
      <c r="F292" s="103"/>
      <c r="G292" s="124"/>
      <c r="H292" s="106"/>
      <c r="I292" s="103"/>
      <c r="J292" s="124"/>
      <c r="K292" s="106"/>
      <c r="L292" s="103"/>
      <c r="M292" s="124"/>
      <c r="N292" s="106"/>
      <c r="O292" s="103"/>
      <c r="P292" s="124"/>
      <c r="Q292" s="106"/>
      <c r="R292" s="103"/>
      <c r="S292" s="124"/>
      <c r="T292" s="106"/>
      <c r="U292" s="103"/>
      <c r="V292" s="124"/>
      <c r="W292" s="106"/>
      <c r="X292" s="103"/>
      <c r="Y292" s="124"/>
      <c r="Z292" s="106"/>
      <c r="AA292" s="103"/>
      <c r="AB292" s="124"/>
      <c r="AC292" s="106"/>
      <c r="AD292" s="103"/>
      <c r="AE292" s="124"/>
      <c r="AF292" s="106"/>
      <c r="AG292" s="103"/>
      <c r="AH292" s="124"/>
      <c r="AI292" s="106"/>
      <c r="AJ292" s="103"/>
      <c r="AK292" s="124"/>
      <c r="AL292" s="106"/>
      <c r="AM292" s="103"/>
      <c r="AN292" s="124"/>
      <c r="AO292" s="106"/>
      <c r="AP292" s="48"/>
      <c r="AQ292" s="48"/>
      <c r="AR292" s="48"/>
      <c r="AS292" s="48"/>
      <c r="AT292" s="48"/>
      <c r="AU292" s="48"/>
      <c r="AV292" s="48"/>
      <c r="AW292" s="48"/>
      <c r="AX292" s="48"/>
      <c r="AY292" s="48"/>
      <c r="AZ292" s="48"/>
      <c r="BA292" s="48"/>
      <c r="BB292" s="48"/>
      <c r="BC292" s="48"/>
      <c r="BD292" s="48"/>
      <c r="BE292" s="48"/>
      <c r="BF292" s="48"/>
      <c r="BG292" s="48"/>
      <c r="BH292" s="48"/>
      <c r="BI292" s="48"/>
    </row>
    <row r="293" ht="15.75" customHeight="1">
      <c r="A293" s="41"/>
      <c r="B293" s="74"/>
      <c r="C293" s="74"/>
      <c r="D293" s="74"/>
      <c r="E293" s="88"/>
      <c r="F293" s="74"/>
      <c r="G293" s="74"/>
      <c r="H293" s="88"/>
      <c r="I293" s="74"/>
      <c r="J293" s="74"/>
      <c r="K293" s="88"/>
      <c r="L293" s="74"/>
      <c r="M293" s="74"/>
      <c r="N293" s="88"/>
      <c r="O293" s="74"/>
      <c r="P293" s="74"/>
      <c r="Q293" s="88"/>
      <c r="R293" s="74"/>
      <c r="S293" s="74"/>
      <c r="T293" s="88"/>
      <c r="U293" s="74"/>
      <c r="V293" s="74"/>
      <c r="W293" s="88"/>
      <c r="X293" s="74"/>
      <c r="Y293" s="74"/>
      <c r="Z293" s="88"/>
      <c r="AA293" s="74"/>
      <c r="AB293" s="74"/>
      <c r="AC293" s="88"/>
      <c r="AD293" s="74"/>
      <c r="AE293" s="74"/>
      <c r="AF293" s="88"/>
      <c r="AG293" s="74"/>
      <c r="AH293" s="74"/>
      <c r="AI293" s="88"/>
      <c r="AJ293" s="74"/>
      <c r="AK293" s="74"/>
      <c r="AL293" s="88"/>
      <c r="AM293" s="74"/>
      <c r="AN293" s="74"/>
      <c r="AO293" s="88"/>
      <c r="AP293" s="48"/>
      <c r="AQ293" s="48"/>
      <c r="AR293" s="48"/>
      <c r="AS293" s="48"/>
      <c r="AT293" s="48"/>
      <c r="AU293" s="48"/>
      <c r="AV293" s="48"/>
      <c r="AW293" s="48"/>
      <c r="AX293" s="48"/>
      <c r="AY293" s="48"/>
      <c r="AZ293" s="48"/>
      <c r="BA293" s="48"/>
      <c r="BB293" s="48"/>
      <c r="BC293" s="48"/>
      <c r="BD293" s="48"/>
      <c r="BE293" s="48"/>
      <c r="BF293" s="48"/>
      <c r="BG293" s="48"/>
      <c r="BH293" s="48"/>
      <c r="BI293" s="48"/>
    </row>
    <row r="294" ht="15.75" customHeight="1">
      <c r="A294" s="41"/>
      <c r="B294" s="112" t="str">
        <f>B4</f>
        <v>Budget 2025</v>
      </c>
      <c r="C294" s="112" t="s">
        <v>178</v>
      </c>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48"/>
      <c r="AQ294" s="48"/>
      <c r="AR294" s="48"/>
      <c r="AS294" s="48"/>
      <c r="AT294" s="48"/>
      <c r="AU294" s="48"/>
      <c r="AV294" s="48"/>
      <c r="AW294" s="48"/>
      <c r="AX294" s="48"/>
      <c r="AY294" s="48"/>
      <c r="AZ294" s="48"/>
      <c r="BA294" s="48"/>
      <c r="BB294" s="48"/>
      <c r="BC294" s="48"/>
      <c r="BD294" s="48"/>
      <c r="BE294" s="48"/>
      <c r="BF294" s="48"/>
      <c r="BG294" s="48"/>
      <c r="BH294" s="48"/>
      <c r="BI294" s="48"/>
    </row>
    <row r="295" ht="15.75" customHeight="1">
      <c r="A295" s="41"/>
      <c r="B295" s="113"/>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48"/>
      <c r="AQ295" s="48"/>
      <c r="AR295" s="48"/>
      <c r="AS295" s="48"/>
      <c r="AT295" s="48"/>
      <c r="AU295" s="48"/>
      <c r="AV295" s="48"/>
      <c r="AW295" s="48"/>
      <c r="AX295" s="48"/>
      <c r="AY295" s="48"/>
      <c r="AZ295" s="48"/>
      <c r="BA295" s="48"/>
      <c r="BB295" s="48"/>
      <c r="BC295" s="48"/>
      <c r="BD295" s="48"/>
      <c r="BE295" s="48"/>
      <c r="BF295" s="48"/>
      <c r="BG295" s="48"/>
      <c r="BH295" s="48"/>
      <c r="BI295" s="48"/>
    </row>
    <row r="296" ht="15.75" customHeight="1">
      <c r="A296" s="41"/>
      <c r="B296" s="42" t="s">
        <v>2</v>
      </c>
      <c r="C296" s="43"/>
      <c r="D296" s="44"/>
      <c r="E296" s="45"/>
      <c r="F296" s="114"/>
      <c r="G296" s="115"/>
      <c r="H296" s="116"/>
      <c r="I296" s="114"/>
      <c r="J296" s="115"/>
      <c r="K296" s="116"/>
      <c r="L296" s="114"/>
      <c r="M296" s="115"/>
      <c r="N296" s="116"/>
      <c r="O296" s="114"/>
      <c r="P296" s="115"/>
      <c r="Q296" s="116"/>
      <c r="R296" s="114"/>
      <c r="S296" s="115"/>
      <c r="T296" s="116"/>
      <c r="U296" s="114"/>
      <c r="V296" s="115"/>
      <c r="W296" s="116"/>
      <c r="X296" s="114"/>
      <c r="Y296" s="115"/>
      <c r="Z296" s="116"/>
      <c r="AA296" s="114"/>
      <c r="AB296" s="115"/>
      <c r="AC296" s="116"/>
      <c r="AD296" s="114"/>
      <c r="AE296" s="115"/>
      <c r="AF296" s="116"/>
      <c r="AG296" s="114"/>
      <c r="AH296" s="115"/>
      <c r="AI296" s="116"/>
      <c r="AJ296" s="114"/>
      <c r="AK296" s="115"/>
      <c r="AL296" s="116"/>
      <c r="AM296" s="114"/>
      <c r="AN296" s="115"/>
      <c r="AO296" s="116"/>
      <c r="AP296" s="48"/>
      <c r="AQ296" s="48"/>
      <c r="AR296" s="48"/>
      <c r="AS296" s="48"/>
      <c r="AT296" s="48"/>
      <c r="AU296" s="48"/>
      <c r="AV296" s="48"/>
      <c r="AW296" s="48"/>
      <c r="AX296" s="48"/>
      <c r="AY296" s="48"/>
      <c r="AZ296" s="48"/>
      <c r="BA296" s="48"/>
      <c r="BB296" s="48"/>
      <c r="BC296" s="48"/>
      <c r="BD296" s="48"/>
      <c r="BE296" s="48"/>
      <c r="BF296" s="48"/>
      <c r="BG296" s="48"/>
      <c r="BH296" s="48"/>
      <c r="BI296" s="48"/>
    </row>
    <row r="297" ht="15.75" customHeight="1">
      <c r="A297" s="41" t="str">
        <f t="shared" ref="A297:A356" si="5">+$C$294&amp;B297</f>
        <v>Pièces</v>
      </c>
      <c r="B297" s="57"/>
      <c r="C297" s="117"/>
      <c r="D297" s="86"/>
      <c r="E297" s="118"/>
      <c r="F297" s="117"/>
      <c r="G297" s="86"/>
      <c r="H297" s="118"/>
      <c r="I297" s="117"/>
      <c r="J297" s="86"/>
      <c r="K297" s="118"/>
      <c r="L297" s="117"/>
      <c r="M297" s="86"/>
      <c r="N297" s="118"/>
      <c r="O297" s="117"/>
      <c r="P297" s="86"/>
      <c r="Q297" s="118"/>
      <c r="R297" s="117"/>
      <c r="S297" s="86"/>
      <c r="T297" s="118"/>
      <c r="U297" s="117"/>
      <c r="V297" s="86"/>
      <c r="W297" s="118"/>
      <c r="X297" s="117"/>
      <c r="Y297" s="86"/>
      <c r="Z297" s="118"/>
      <c r="AA297" s="117"/>
      <c r="AB297" s="86"/>
      <c r="AC297" s="118"/>
      <c r="AD297" s="117"/>
      <c r="AE297" s="86"/>
      <c r="AF297" s="118"/>
      <c r="AG297" s="117"/>
      <c r="AH297" s="86"/>
      <c r="AI297" s="118"/>
      <c r="AJ297" s="117"/>
      <c r="AK297" s="86"/>
      <c r="AL297" s="118"/>
      <c r="AM297" s="117"/>
      <c r="AN297" s="86"/>
      <c r="AO297" s="118"/>
      <c r="AP297" s="48"/>
      <c r="AQ297" s="48"/>
      <c r="AR297" s="48"/>
      <c r="AS297" s="48"/>
      <c r="AT297" s="48"/>
      <c r="AU297" s="48"/>
      <c r="AV297" s="48"/>
      <c r="AW297" s="48"/>
      <c r="AX297" s="48"/>
      <c r="AY297" s="48"/>
      <c r="AZ297" s="48"/>
      <c r="BA297" s="48"/>
      <c r="BB297" s="48"/>
      <c r="BC297" s="48"/>
      <c r="BD297" s="48"/>
      <c r="BE297" s="48"/>
      <c r="BF297" s="48"/>
      <c r="BG297" s="48"/>
      <c r="BH297" s="48"/>
      <c r="BI297" s="48"/>
    </row>
    <row r="298" ht="15.75" customHeight="1">
      <c r="A298" s="41" t="str">
        <f t="shared" si="5"/>
        <v>PiècesPièces Ro Clients</v>
      </c>
      <c r="B298" s="57" t="s">
        <v>179</v>
      </c>
      <c r="C298" s="126"/>
      <c r="D298" s="122"/>
      <c r="E298" s="75"/>
      <c r="F298" s="126"/>
      <c r="G298" s="122"/>
      <c r="H298" s="75"/>
      <c r="I298" s="126"/>
      <c r="J298" s="122"/>
      <c r="K298" s="75"/>
      <c r="L298" s="126"/>
      <c r="M298" s="122"/>
      <c r="N298" s="75"/>
      <c r="O298" s="126"/>
      <c r="P298" s="122"/>
      <c r="Q298" s="75"/>
      <c r="R298" s="126"/>
      <c r="S298" s="122"/>
      <c r="T298" s="75"/>
      <c r="U298" s="126"/>
      <c r="V298" s="122"/>
      <c r="W298" s="75"/>
      <c r="X298" s="126"/>
      <c r="Y298" s="122"/>
      <c r="Z298" s="75"/>
      <c r="AA298" s="126"/>
      <c r="AB298" s="122"/>
      <c r="AC298" s="75"/>
      <c r="AD298" s="126"/>
      <c r="AE298" s="122"/>
      <c r="AF298" s="75"/>
      <c r="AG298" s="126"/>
      <c r="AH298" s="122"/>
      <c r="AI298" s="75"/>
      <c r="AJ298" s="126"/>
      <c r="AK298" s="122"/>
      <c r="AL298" s="75"/>
      <c r="AM298" s="126"/>
      <c r="AN298" s="122"/>
      <c r="AO298" s="75"/>
      <c r="AP298" s="48"/>
      <c r="AQ298" s="48"/>
      <c r="AR298" s="48"/>
      <c r="AS298" s="48"/>
      <c r="AT298" s="48"/>
      <c r="AU298" s="48"/>
      <c r="AV298" s="48"/>
      <c r="AW298" s="48"/>
      <c r="AX298" s="48"/>
      <c r="AY298" s="48"/>
      <c r="AZ298" s="48"/>
      <c r="BA298" s="48"/>
      <c r="BB298" s="48"/>
      <c r="BC298" s="48"/>
      <c r="BD298" s="48"/>
      <c r="BE298" s="48"/>
      <c r="BF298" s="48"/>
      <c r="BG298" s="48"/>
      <c r="BH298" s="48"/>
      <c r="BI298" s="48"/>
    </row>
    <row r="299" ht="15.75" customHeight="1">
      <c r="A299" s="41" t="str">
        <f t="shared" si="5"/>
        <v>PiècesPièces Ro Carrosserie</v>
      </c>
      <c r="B299" s="57" t="s">
        <v>180</v>
      </c>
      <c r="C299" s="126"/>
      <c r="D299" s="122"/>
      <c r="E299" s="75"/>
      <c r="F299" s="126"/>
      <c r="G299" s="122"/>
      <c r="H299" s="75"/>
      <c r="I299" s="126"/>
      <c r="J299" s="122"/>
      <c r="K299" s="75"/>
      <c r="L299" s="126"/>
      <c r="M299" s="122"/>
      <c r="N299" s="75"/>
      <c r="O299" s="126"/>
      <c r="P299" s="122"/>
      <c r="Q299" s="75"/>
      <c r="R299" s="126"/>
      <c r="S299" s="122"/>
      <c r="T299" s="75"/>
      <c r="U299" s="126"/>
      <c r="V299" s="122"/>
      <c r="W299" s="75"/>
      <c r="X299" s="126"/>
      <c r="Y299" s="122"/>
      <c r="Z299" s="75"/>
      <c r="AA299" s="126"/>
      <c r="AB299" s="122"/>
      <c r="AC299" s="75"/>
      <c r="AD299" s="126"/>
      <c r="AE299" s="122"/>
      <c r="AF299" s="75"/>
      <c r="AG299" s="126"/>
      <c r="AH299" s="122"/>
      <c r="AI299" s="75"/>
      <c r="AJ299" s="126"/>
      <c r="AK299" s="122"/>
      <c r="AL299" s="75"/>
      <c r="AM299" s="126"/>
      <c r="AN299" s="122"/>
      <c r="AO299" s="75"/>
      <c r="AP299" s="48"/>
      <c r="AQ299" s="48"/>
      <c r="AR299" s="48"/>
      <c r="AS299" s="48"/>
      <c r="AT299" s="48"/>
      <c r="AU299" s="48"/>
      <c r="AV299" s="48"/>
      <c r="AW299" s="48"/>
      <c r="AX299" s="48"/>
      <c r="AY299" s="48"/>
      <c r="AZ299" s="48"/>
      <c r="BA299" s="48"/>
      <c r="BB299" s="48"/>
      <c r="BC299" s="48"/>
      <c r="BD299" s="48"/>
      <c r="BE299" s="48"/>
      <c r="BF299" s="48"/>
      <c r="BG299" s="48"/>
      <c r="BH299" s="48"/>
      <c r="BI299" s="48"/>
    </row>
    <row r="300" ht="15.75" customHeight="1">
      <c r="A300" s="41" t="str">
        <f t="shared" si="5"/>
        <v>PiècesP/A Garantie</v>
      </c>
      <c r="B300" s="57" t="s">
        <v>181</v>
      </c>
      <c r="C300" s="126"/>
      <c r="D300" s="122"/>
      <c r="E300" s="75"/>
      <c r="F300" s="126"/>
      <c r="G300" s="122"/>
      <c r="H300" s="75"/>
      <c r="I300" s="126"/>
      <c r="J300" s="122"/>
      <c r="K300" s="75"/>
      <c r="L300" s="126"/>
      <c r="M300" s="122"/>
      <c r="N300" s="75"/>
      <c r="O300" s="126"/>
      <c r="P300" s="122"/>
      <c r="Q300" s="75"/>
      <c r="R300" s="126"/>
      <c r="S300" s="122"/>
      <c r="T300" s="75"/>
      <c r="U300" s="126"/>
      <c r="V300" s="122"/>
      <c r="W300" s="75"/>
      <c r="X300" s="126"/>
      <c r="Y300" s="122"/>
      <c r="Z300" s="75"/>
      <c r="AA300" s="126"/>
      <c r="AB300" s="122"/>
      <c r="AC300" s="75"/>
      <c r="AD300" s="126"/>
      <c r="AE300" s="122"/>
      <c r="AF300" s="75"/>
      <c r="AG300" s="126"/>
      <c r="AH300" s="122"/>
      <c r="AI300" s="75"/>
      <c r="AJ300" s="126"/>
      <c r="AK300" s="122"/>
      <c r="AL300" s="75"/>
      <c r="AM300" s="126"/>
      <c r="AN300" s="122"/>
      <c r="AO300" s="75"/>
      <c r="AP300" s="48"/>
      <c r="AQ300" s="48"/>
      <c r="AR300" s="48"/>
      <c r="AS300" s="48"/>
      <c r="AT300" s="48"/>
      <c r="AU300" s="48"/>
      <c r="AV300" s="48"/>
      <c r="AW300" s="48"/>
      <c r="AX300" s="48"/>
      <c r="AY300" s="48"/>
      <c r="AZ300" s="48"/>
      <c r="BA300" s="48"/>
      <c r="BB300" s="48"/>
      <c r="BC300" s="48"/>
      <c r="BD300" s="48"/>
      <c r="BE300" s="48"/>
      <c r="BF300" s="48"/>
      <c r="BG300" s="48"/>
      <c r="BH300" s="48"/>
      <c r="BI300" s="48"/>
    </row>
    <row r="301" ht="15.75" customHeight="1">
      <c r="A301" s="41" t="str">
        <f t="shared" si="5"/>
        <v>PiècesVentes Internes</v>
      </c>
      <c r="B301" s="57" t="s">
        <v>182</v>
      </c>
      <c r="C301" s="126"/>
      <c r="D301" s="122"/>
      <c r="E301" s="75"/>
      <c r="F301" s="126"/>
      <c r="G301" s="122"/>
      <c r="H301" s="75"/>
      <c r="I301" s="126"/>
      <c r="J301" s="122"/>
      <c r="K301" s="75"/>
      <c r="L301" s="126"/>
      <c r="M301" s="122"/>
      <c r="N301" s="75"/>
      <c r="O301" s="126"/>
      <c r="P301" s="122"/>
      <c r="Q301" s="75"/>
      <c r="R301" s="126"/>
      <c r="S301" s="122"/>
      <c r="T301" s="75"/>
      <c r="U301" s="126"/>
      <c r="V301" s="122"/>
      <c r="W301" s="75"/>
      <c r="X301" s="126"/>
      <c r="Y301" s="122"/>
      <c r="Z301" s="75"/>
      <c r="AA301" s="126"/>
      <c r="AB301" s="122"/>
      <c r="AC301" s="75"/>
      <c r="AD301" s="126"/>
      <c r="AE301" s="122"/>
      <c r="AF301" s="75"/>
      <c r="AG301" s="126"/>
      <c r="AH301" s="122"/>
      <c r="AI301" s="75"/>
      <c r="AJ301" s="126"/>
      <c r="AK301" s="122"/>
      <c r="AL301" s="75"/>
      <c r="AM301" s="126"/>
      <c r="AN301" s="122"/>
      <c r="AO301" s="75"/>
      <c r="AP301" s="48"/>
      <c r="AQ301" s="48"/>
      <c r="AR301" s="48"/>
      <c r="AS301" s="48"/>
      <c r="AT301" s="48"/>
      <c r="AU301" s="48"/>
      <c r="AV301" s="48"/>
      <c r="AW301" s="48"/>
      <c r="AX301" s="48"/>
      <c r="AY301" s="48"/>
      <c r="AZ301" s="48"/>
      <c r="BA301" s="48"/>
      <c r="BB301" s="48"/>
      <c r="BC301" s="48"/>
      <c r="BD301" s="48"/>
      <c r="BE301" s="48"/>
      <c r="BF301" s="48"/>
      <c r="BG301" s="48"/>
      <c r="BH301" s="48"/>
      <c r="BI301" s="48"/>
    </row>
    <row r="302" ht="15.75" customHeight="1">
      <c r="A302" s="41" t="str">
        <f t="shared" si="5"/>
        <v>PiècesVentes Détails</v>
      </c>
      <c r="B302" s="57" t="s">
        <v>183</v>
      </c>
      <c r="C302" s="126"/>
      <c r="D302" s="122"/>
      <c r="E302" s="75"/>
      <c r="F302" s="126"/>
      <c r="G302" s="122"/>
      <c r="H302" s="75"/>
      <c r="I302" s="126"/>
      <c r="J302" s="122"/>
      <c r="K302" s="75"/>
      <c r="L302" s="126"/>
      <c r="M302" s="122"/>
      <c r="N302" s="75"/>
      <c r="O302" s="126"/>
      <c r="P302" s="122"/>
      <c r="Q302" s="75"/>
      <c r="R302" s="126"/>
      <c r="S302" s="122"/>
      <c r="T302" s="75"/>
      <c r="U302" s="126"/>
      <c r="V302" s="122"/>
      <c r="W302" s="75"/>
      <c r="X302" s="126"/>
      <c r="Y302" s="122"/>
      <c r="Z302" s="75"/>
      <c r="AA302" s="126"/>
      <c r="AB302" s="122"/>
      <c r="AC302" s="75"/>
      <c r="AD302" s="126"/>
      <c r="AE302" s="122"/>
      <c r="AF302" s="75"/>
      <c r="AG302" s="126"/>
      <c r="AH302" s="122"/>
      <c r="AI302" s="75"/>
      <c r="AJ302" s="126"/>
      <c r="AK302" s="122"/>
      <c r="AL302" s="75"/>
      <c r="AM302" s="126"/>
      <c r="AN302" s="122"/>
      <c r="AO302" s="75"/>
      <c r="AP302" s="48"/>
      <c r="AQ302" s="48"/>
      <c r="AR302" s="48"/>
      <c r="AS302" s="48"/>
      <c r="AT302" s="48"/>
      <c r="AU302" s="48"/>
      <c r="AV302" s="48"/>
      <c r="AW302" s="48"/>
      <c r="AX302" s="48"/>
      <c r="AY302" s="48"/>
      <c r="AZ302" s="48"/>
      <c r="BA302" s="48"/>
      <c r="BB302" s="48"/>
      <c r="BC302" s="48"/>
      <c r="BD302" s="48"/>
      <c r="BE302" s="48"/>
      <c r="BF302" s="48"/>
      <c r="BG302" s="48"/>
      <c r="BH302" s="48"/>
      <c r="BI302" s="48"/>
    </row>
    <row r="303" ht="15.75" customHeight="1">
      <c r="A303" s="41" t="str">
        <f t="shared" si="5"/>
        <v>PiècesVentes de Gros</v>
      </c>
      <c r="B303" s="57" t="s">
        <v>184</v>
      </c>
      <c r="C303" s="126"/>
      <c r="D303" s="122"/>
      <c r="E303" s="75"/>
      <c r="F303" s="126"/>
      <c r="G303" s="122"/>
      <c r="H303" s="75"/>
      <c r="I303" s="126"/>
      <c r="J303" s="122"/>
      <c r="K303" s="75"/>
      <c r="L303" s="126"/>
      <c r="M303" s="122"/>
      <c r="N303" s="75"/>
      <c r="O303" s="126"/>
      <c r="P303" s="122"/>
      <c r="Q303" s="75"/>
      <c r="R303" s="126"/>
      <c r="S303" s="122"/>
      <c r="T303" s="75"/>
      <c r="U303" s="126"/>
      <c r="V303" s="122"/>
      <c r="W303" s="75"/>
      <c r="X303" s="126"/>
      <c r="Y303" s="122"/>
      <c r="Z303" s="75"/>
      <c r="AA303" s="126"/>
      <c r="AB303" s="122"/>
      <c r="AC303" s="75"/>
      <c r="AD303" s="126"/>
      <c r="AE303" s="122"/>
      <c r="AF303" s="75"/>
      <c r="AG303" s="126"/>
      <c r="AH303" s="122"/>
      <c r="AI303" s="75"/>
      <c r="AJ303" s="126"/>
      <c r="AK303" s="122"/>
      <c r="AL303" s="75"/>
      <c r="AM303" s="126"/>
      <c r="AN303" s="122"/>
      <c r="AO303" s="75"/>
      <c r="AP303" s="48"/>
      <c r="AQ303" s="48"/>
      <c r="AR303" s="48"/>
      <c r="AS303" s="48"/>
      <c r="AT303" s="48"/>
      <c r="AU303" s="48"/>
      <c r="AV303" s="48"/>
      <c r="AW303" s="48"/>
      <c r="AX303" s="48"/>
      <c r="AY303" s="48"/>
      <c r="AZ303" s="48"/>
      <c r="BA303" s="48"/>
      <c r="BB303" s="48"/>
      <c r="BC303" s="48"/>
      <c r="BD303" s="48"/>
      <c r="BE303" s="48"/>
      <c r="BF303" s="48"/>
      <c r="BG303" s="48"/>
      <c r="BH303" s="48"/>
      <c r="BI303" s="48"/>
    </row>
    <row r="304" ht="15.75" customHeight="1">
      <c r="A304" s="41" t="str">
        <f t="shared" si="5"/>
        <v>Pièces[...]</v>
      </c>
      <c r="B304" s="57" t="s">
        <v>56</v>
      </c>
      <c r="C304" s="126"/>
      <c r="D304" s="122"/>
      <c r="E304" s="75"/>
      <c r="F304" s="126"/>
      <c r="G304" s="122"/>
      <c r="H304" s="75"/>
      <c r="I304" s="126"/>
      <c r="J304" s="122"/>
      <c r="K304" s="75"/>
      <c r="L304" s="126"/>
      <c r="M304" s="122"/>
      <c r="N304" s="75"/>
      <c r="O304" s="126"/>
      <c r="P304" s="122"/>
      <c r="Q304" s="75"/>
      <c r="R304" s="126"/>
      <c r="S304" s="122"/>
      <c r="T304" s="75"/>
      <c r="U304" s="126"/>
      <c r="V304" s="122"/>
      <c r="W304" s="75"/>
      <c r="X304" s="126"/>
      <c r="Y304" s="122"/>
      <c r="Z304" s="75"/>
      <c r="AA304" s="126"/>
      <c r="AB304" s="122"/>
      <c r="AC304" s="75"/>
      <c r="AD304" s="126"/>
      <c r="AE304" s="122"/>
      <c r="AF304" s="75"/>
      <c r="AG304" s="126"/>
      <c r="AH304" s="122"/>
      <c r="AI304" s="75"/>
      <c r="AJ304" s="126"/>
      <c r="AK304" s="122"/>
      <c r="AL304" s="75"/>
      <c r="AM304" s="126"/>
      <c r="AN304" s="122"/>
      <c r="AO304" s="75"/>
      <c r="AP304" s="48"/>
      <c r="AQ304" s="48"/>
      <c r="AR304" s="48"/>
      <c r="AS304" s="48"/>
      <c r="AT304" s="48"/>
      <c r="AU304" s="48"/>
      <c r="AV304" s="48"/>
      <c r="AW304" s="48"/>
      <c r="AX304" s="48"/>
      <c r="AY304" s="48"/>
      <c r="AZ304" s="48"/>
      <c r="BA304" s="48"/>
      <c r="BB304" s="48"/>
      <c r="BC304" s="48"/>
      <c r="BD304" s="48"/>
      <c r="BE304" s="48"/>
      <c r="BF304" s="48"/>
      <c r="BG304" s="48"/>
      <c r="BH304" s="48"/>
      <c r="BI304" s="48"/>
    </row>
    <row r="305" ht="15.75" customHeight="1">
      <c r="A305" s="41" t="str">
        <f t="shared" si="5"/>
        <v>PiècesEscomptes</v>
      </c>
      <c r="B305" s="57" t="s">
        <v>185</v>
      </c>
      <c r="C305" s="126"/>
      <c r="D305" s="122"/>
      <c r="E305" s="75"/>
      <c r="F305" s="126"/>
      <c r="G305" s="122"/>
      <c r="H305" s="75"/>
      <c r="I305" s="126"/>
      <c r="J305" s="122"/>
      <c r="K305" s="75"/>
      <c r="L305" s="126"/>
      <c r="M305" s="122"/>
      <c r="N305" s="75"/>
      <c r="O305" s="126"/>
      <c r="P305" s="122"/>
      <c r="Q305" s="75"/>
      <c r="R305" s="126"/>
      <c r="S305" s="122"/>
      <c r="T305" s="75"/>
      <c r="U305" s="126"/>
      <c r="V305" s="122"/>
      <c r="W305" s="75"/>
      <c r="X305" s="126"/>
      <c r="Y305" s="122"/>
      <c r="Z305" s="75"/>
      <c r="AA305" s="126"/>
      <c r="AB305" s="122"/>
      <c r="AC305" s="75"/>
      <c r="AD305" s="126"/>
      <c r="AE305" s="122"/>
      <c r="AF305" s="75"/>
      <c r="AG305" s="126"/>
      <c r="AH305" s="122"/>
      <c r="AI305" s="75"/>
      <c r="AJ305" s="126"/>
      <c r="AK305" s="122"/>
      <c r="AL305" s="75"/>
      <c r="AM305" s="126"/>
      <c r="AN305" s="122"/>
      <c r="AO305" s="75"/>
      <c r="AP305" s="48"/>
      <c r="AQ305" s="48"/>
      <c r="AR305" s="48"/>
      <c r="AS305" s="48"/>
      <c r="AT305" s="48"/>
      <c r="AU305" s="48"/>
      <c r="AV305" s="48"/>
      <c r="AW305" s="48"/>
      <c r="AX305" s="48"/>
      <c r="AY305" s="48"/>
      <c r="AZ305" s="48"/>
      <c r="BA305" s="48"/>
      <c r="BB305" s="48"/>
      <c r="BC305" s="48"/>
      <c r="BD305" s="48"/>
      <c r="BE305" s="48"/>
      <c r="BF305" s="48"/>
      <c r="BG305" s="48"/>
      <c r="BH305" s="48"/>
      <c r="BI305" s="48"/>
    </row>
    <row r="306" ht="15.75" customHeight="1">
      <c r="A306" s="41" t="str">
        <f t="shared" si="5"/>
        <v>PiècesRectif. Inventaire</v>
      </c>
      <c r="B306" s="53" t="s">
        <v>186</v>
      </c>
      <c r="C306" s="126"/>
      <c r="D306" s="122"/>
      <c r="E306" s="75"/>
      <c r="F306" s="126"/>
      <c r="G306" s="122"/>
      <c r="H306" s="75"/>
      <c r="I306" s="126"/>
      <c r="J306" s="122"/>
      <c r="K306" s="75"/>
      <c r="L306" s="126"/>
      <c r="M306" s="122"/>
      <c r="N306" s="75"/>
      <c r="O306" s="126"/>
      <c r="P306" s="122"/>
      <c r="Q306" s="75"/>
      <c r="R306" s="126"/>
      <c r="S306" s="122"/>
      <c r="T306" s="75"/>
      <c r="U306" s="126"/>
      <c r="V306" s="122"/>
      <c r="W306" s="75"/>
      <c r="X306" s="126"/>
      <c r="Y306" s="122"/>
      <c r="Z306" s="75"/>
      <c r="AA306" s="126"/>
      <c r="AB306" s="122"/>
      <c r="AC306" s="75"/>
      <c r="AD306" s="126"/>
      <c r="AE306" s="122"/>
      <c r="AF306" s="75"/>
      <c r="AG306" s="126"/>
      <c r="AH306" s="122"/>
      <c r="AI306" s="75"/>
      <c r="AJ306" s="126"/>
      <c r="AK306" s="122"/>
      <c r="AL306" s="75"/>
      <c r="AM306" s="126"/>
      <c r="AN306" s="122"/>
      <c r="AO306" s="75"/>
      <c r="AP306" s="48"/>
      <c r="AQ306" s="48"/>
      <c r="AR306" s="48"/>
      <c r="AS306" s="48"/>
      <c r="AT306" s="48"/>
      <c r="AU306" s="48"/>
      <c r="AV306" s="48"/>
      <c r="AW306" s="48"/>
      <c r="AX306" s="48"/>
      <c r="AY306" s="48"/>
      <c r="AZ306" s="48"/>
      <c r="BA306" s="48"/>
      <c r="BB306" s="48"/>
      <c r="BC306" s="48"/>
      <c r="BD306" s="48"/>
      <c r="BE306" s="48"/>
      <c r="BF306" s="48"/>
      <c r="BG306" s="48"/>
      <c r="BH306" s="48"/>
      <c r="BI306" s="48"/>
    </row>
    <row r="307" ht="15.75" customHeight="1">
      <c r="A307" s="41" t="str">
        <f t="shared" si="5"/>
        <v>PiècesSous-total Pièces</v>
      </c>
      <c r="B307" s="70" t="s">
        <v>187</v>
      </c>
      <c r="C307" s="145"/>
      <c r="D307" s="152"/>
      <c r="E307" s="147"/>
      <c r="F307" s="145"/>
      <c r="G307" s="152"/>
      <c r="H307" s="147"/>
      <c r="I307" s="145"/>
      <c r="J307" s="152"/>
      <c r="K307" s="147"/>
      <c r="L307" s="145"/>
      <c r="M307" s="152"/>
      <c r="N307" s="147"/>
      <c r="O307" s="145"/>
      <c r="P307" s="152"/>
      <c r="Q307" s="147"/>
      <c r="R307" s="145"/>
      <c r="S307" s="152"/>
      <c r="T307" s="147"/>
      <c r="U307" s="145"/>
      <c r="V307" s="152"/>
      <c r="W307" s="147"/>
      <c r="X307" s="145"/>
      <c r="Y307" s="152"/>
      <c r="Z307" s="147"/>
      <c r="AA307" s="145"/>
      <c r="AB307" s="152"/>
      <c r="AC307" s="147"/>
      <c r="AD307" s="145"/>
      <c r="AE307" s="152"/>
      <c r="AF307" s="147"/>
      <c r="AG307" s="145"/>
      <c r="AH307" s="152"/>
      <c r="AI307" s="147"/>
      <c r="AJ307" s="145"/>
      <c r="AK307" s="152"/>
      <c r="AL307" s="147"/>
      <c r="AM307" s="145"/>
      <c r="AN307" s="152"/>
      <c r="AO307" s="147"/>
      <c r="AP307" s="48"/>
      <c r="AQ307" s="48"/>
      <c r="AR307" s="48"/>
      <c r="AS307" s="48"/>
      <c r="AT307" s="48"/>
      <c r="AU307" s="48"/>
      <c r="AV307" s="48"/>
      <c r="AW307" s="48"/>
      <c r="AX307" s="48"/>
      <c r="AY307" s="48"/>
      <c r="AZ307" s="48"/>
      <c r="BA307" s="48"/>
      <c r="BB307" s="48"/>
      <c r="BC307" s="48"/>
      <c r="BD307" s="48"/>
      <c r="BE307" s="48"/>
      <c r="BF307" s="48"/>
      <c r="BG307" s="48"/>
      <c r="BH307" s="48"/>
      <c r="BI307" s="48"/>
    </row>
    <row r="308" ht="15.75" customHeight="1">
      <c r="A308" s="41" t="str">
        <f t="shared" si="5"/>
        <v>Pièces</v>
      </c>
      <c r="B308" s="57"/>
      <c r="C308" s="57"/>
      <c r="D308" s="74"/>
      <c r="E308" s="65"/>
      <c r="F308" s="57"/>
      <c r="G308" s="74"/>
      <c r="H308" s="65"/>
      <c r="I308" s="57"/>
      <c r="J308" s="74"/>
      <c r="K308" s="65"/>
      <c r="L308" s="57"/>
      <c r="M308" s="74"/>
      <c r="N308" s="65"/>
      <c r="O308" s="57"/>
      <c r="P308" s="74"/>
      <c r="Q308" s="65"/>
      <c r="R308" s="57"/>
      <c r="S308" s="74"/>
      <c r="T308" s="65"/>
      <c r="U308" s="57"/>
      <c r="V308" s="74"/>
      <c r="W308" s="65"/>
      <c r="X308" s="57"/>
      <c r="Y308" s="74"/>
      <c r="Z308" s="65"/>
      <c r="AA308" s="57"/>
      <c r="AB308" s="74"/>
      <c r="AC308" s="65"/>
      <c r="AD308" s="57"/>
      <c r="AE308" s="74"/>
      <c r="AF308" s="65"/>
      <c r="AG308" s="57"/>
      <c r="AH308" s="74"/>
      <c r="AI308" s="65"/>
      <c r="AJ308" s="57"/>
      <c r="AK308" s="74"/>
      <c r="AL308" s="65"/>
      <c r="AM308" s="57"/>
      <c r="AN308" s="74"/>
      <c r="AO308" s="65"/>
      <c r="AP308" s="48"/>
      <c r="AQ308" s="48"/>
      <c r="AR308" s="48"/>
      <c r="AS308" s="48"/>
      <c r="AT308" s="48"/>
      <c r="AU308" s="48"/>
      <c r="AV308" s="48"/>
      <c r="AW308" s="48"/>
      <c r="AX308" s="48"/>
      <c r="AY308" s="48"/>
      <c r="AZ308" s="48"/>
      <c r="BA308" s="48"/>
      <c r="BB308" s="48"/>
      <c r="BC308" s="48"/>
      <c r="BD308" s="48"/>
      <c r="BE308" s="48"/>
      <c r="BF308" s="48"/>
      <c r="BG308" s="48"/>
      <c r="BH308" s="48"/>
      <c r="BI308" s="48"/>
    </row>
    <row r="309" ht="15.75" customHeight="1">
      <c r="A309" s="41" t="str">
        <f t="shared" si="5"/>
        <v>Pièces</v>
      </c>
      <c r="B309" s="53"/>
      <c r="C309" s="53"/>
      <c r="D309" s="100"/>
      <c r="E309" s="153"/>
      <c r="F309" s="53"/>
      <c r="G309" s="100"/>
      <c r="H309" s="153"/>
      <c r="I309" s="53"/>
      <c r="J309" s="100"/>
      <c r="K309" s="153"/>
      <c r="L309" s="53"/>
      <c r="M309" s="100"/>
      <c r="N309" s="153"/>
      <c r="O309" s="53"/>
      <c r="P309" s="100"/>
      <c r="Q309" s="153"/>
      <c r="R309" s="53"/>
      <c r="S309" s="100"/>
      <c r="T309" s="153"/>
      <c r="U309" s="53"/>
      <c r="V309" s="100"/>
      <c r="W309" s="153"/>
      <c r="X309" s="53"/>
      <c r="Y309" s="100"/>
      <c r="Z309" s="153"/>
      <c r="AA309" s="53"/>
      <c r="AB309" s="100"/>
      <c r="AC309" s="153"/>
      <c r="AD309" s="53"/>
      <c r="AE309" s="100"/>
      <c r="AF309" s="153"/>
      <c r="AG309" s="53"/>
      <c r="AH309" s="100"/>
      <c r="AI309" s="153"/>
      <c r="AJ309" s="53"/>
      <c r="AK309" s="100"/>
      <c r="AL309" s="153"/>
      <c r="AM309" s="53"/>
      <c r="AN309" s="100"/>
      <c r="AO309" s="153"/>
      <c r="AP309" s="48"/>
      <c r="AQ309" s="48"/>
      <c r="AR309" s="48"/>
      <c r="AS309" s="48"/>
      <c r="AT309" s="48"/>
      <c r="AU309" s="48"/>
      <c r="AV309" s="48"/>
      <c r="AW309" s="48"/>
      <c r="AX309" s="48"/>
      <c r="AY309" s="48"/>
      <c r="AZ309" s="48"/>
      <c r="BA309" s="48"/>
      <c r="BB309" s="48"/>
      <c r="BC309" s="48"/>
      <c r="BD309" s="48"/>
      <c r="BE309" s="48"/>
      <c r="BF309" s="48"/>
      <c r="BG309" s="48"/>
      <c r="BH309" s="48"/>
      <c r="BI309" s="48"/>
    </row>
    <row r="310" ht="15.75" customHeight="1">
      <c r="A310" s="41" t="str">
        <f t="shared" si="5"/>
        <v>PiècesVentes Pneus</v>
      </c>
      <c r="B310" s="57" t="s">
        <v>188</v>
      </c>
      <c r="C310" s="126"/>
      <c r="D310" s="122"/>
      <c r="E310" s="75"/>
      <c r="F310" s="126"/>
      <c r="G310" s="122"/>
      <c r="H310" s="75"/>
      <c r="I310" s="126"/>
      <c r="J310" s="122"/>
      <c r="K310" s="75"/>
      <c r="L310" s="126"/>
      <c r="M310" s="122"/>
      <c r="N310" s="75"/>
      <c r="O310" s="126"/>
      <c r="P310" s="122"/>
      <c r="Q310" s="75"/>
      <c r="R310" s="126"/>
      <c r="S310" s="122"/>
      <c r="T310" s="75"/>
      <c r="U310" s="126"/>
      <c r="V310" s="122"/>
      <c r="W310" s="75"/>
      <c r="X310" s="126"/>
      <c r="Y310" s="122"/>
      <c r="Z310" s="75"/>
      <c r="AA310" s="126"/>
      <c r="AB310" s="122"/>
      <c r="AC310" s="75"/>
      <c r="AD310" s="126"/>
      <c r="AE310" s="122"/>
      <c r="AF310" s="75"/>
      <c r="AG310" s="126"/>
      <c r="AH310" s="122"/>
      <c r="AI310" s="75"/>
      <c r="AJ310" s="126"/>
      <c r="AK310" s="122"/>
      <c r="AL310" s="75"/>
      <c r="AM310" s="126"/>
      <c r="AN310" s="122"/>
      <c r="AO310" s="75"/>
      <c r="AP310" s="48"/>
      <c r="AQ310" s="48"/>
      <c r="AR310" s="48"/>
      <c r="AS310" s="48"/>
      <c r="AT310" s="48"/>
      <c r="AU310" s="48"/>
      <c r="AV310" s="48"/>
      <c r="AW310" s="48"/>
      <c r="AX310" s="48"/>
      <c r="AY310" s="48"/>
      <c r="AZ310" s="48"/>
      <c r="BA310" s="48"/>
      <c r="BB310" s="48"/>
      <c r="BC310" s="48"/>
      <c r="BD310" s="48"/>
      <c r="BE310" s="48"/>
      <c r="BF310" s="48"/>
      <c r="BG310" s="48"/>
      <c r="BH310" s="48"/>
      <c r="BI310" s="48"/>
    </row>
    <row r="311" ht="15.75" customHeight="1">
      <c r="A311" s="41" t="str">
        <f t="shared" si="5"/>
        <v>PiècesHuiles et Graisse</v>
      </c>
      <c r="B311" s="53" t="s">
        <v>189</v>
      </c>
      <c r="C311" s="126"/>
      <c r="D311" s="122"/>
      <c r="E311" s="75"/>
      <c r="F311" s="126"/>
      <c r="G311" s="122"/>
      <c r="H311" s="75"/>
      <c r="I311" s="126"/>
      <c r="J311" s="122"/>
      <c r="K311" s="75"/>
      <c r="L311" s="126"/>
      <c r="M311" s="122"/>
      <c r="N311" s="75"/>
      <c r="O311" s="126"/>
      <c r="P311" s="122"/>
      <c r="Q311" s="75"/>
      <c r="R311" s="126"/>
      <c r="S311" s="122"/>
      <c r="T311" s="75"/>
      <c r="U311" s="126"/>
      <c r="V311" s="122"/>
      <c r="W311" s="75"/>
      <c r="X311" s="126"/>
      <c r="Y311" s="122"/>
      <c r="Z311" s="75"/>
      <c r="AA311" s="126"/>
      <c r="AB311" s="122"/>
      <c r="AC311" s="75"/>
      <c r="AD311" s="126"/>
      <c r="AE311" s="122"/>
      <c r="AF311" s="75"/>
      <c r="AG311" s="126"/>
      <c r="AH311" s="122"/>
      <c r="AI311" s="75"/>
      <c r="AJ311" s="126"/>
      <c r="AK311" s="122"/>
      <c r="AL311" s="75"/>
      <c r="AM311" s="126"/>
      <c r="AN311" s="122"/>
      <c r="AO311" s="75"/>
      <c r="AP311" s="48"/>
      <c r="AQ311" s="48"/>
      <c r="AR311" s="48"/>
      <c r="AS311" s="48"/>
      <c r="AT311" s="48"/>
      <c r="AU311" s="48"/>
      <c r="AV311" s="48"/>
      <c r="AW311" s="48"/>
      <c r="AX311" s="48"/>
      <c r="AY311" s="48"/>
      <c r="AZ311" s="48"/>
      <c r="BA311" s="48"/>
      <c r="BB311" s="48"/>
      <c r="BC311" s="48"/>
      <c r="BD311" s="48"/>
      <c r="BE311" s="48"/>
      <c r="BF311" s="48"/>
      <c r="BG311" s="48"/>
      <c r="BH311" s="48"/>
      <c r="BI311" s="48"/>
    </row>
    <row r="312" ht="15.75" customHeight="1">
      <c r="A312" s="41" t="str">
        <f t="shared" si="5"/>
        <v>PiècesSous-total Pièces et Acc.</v>
      </c>
      <c r="B312" s="70" t="s">
        <v>190</v>
      </c>
      <c r="C312" s="145"/>
      <c r="D312" s="152"/>
      <c r="E312" s="147"/>
      <c r="F312" s="145"/>
      <c r="G312" s="152"/>
      <c r="H312" s="147"/>
      <c r="I312" s="145"/>
      <c r="J312" s="152"/>
      <c r="K312" s="147"/>
      <c r="L312" s="145"/>
      <c r="M312" s="152"/>
      <c r="N312" s="147"/>
      <c r="O312" s="145"/>
      <c r="P312" s="152"/>
      <c r="Q312" s="147"/>
      <c r="R312" s="145"/>
      <c r="S312" s="152"/>
      <c r="T312" s="147"/>
      <c r="U312" s="145"/>
      <c r="V312" s="152"/>
      <c r="W312" s="147"/>
      <c r="X312" s="145"/>
      <c r="Y312" s="152"/>
      <c r="Z312" s="147"/>
      <c r="AA312" s="145"/>
      <c r="AB312" s="152"/>
      <c r="AC312" s="147"/>
      <c r="AD312" s="145"/>
      <c r="AE312" s="152"/>
      <c r="AF312" s="147"/>
      <c r="AG312" s="145"/>
      <c r="AH312" s="152"/>
      <c r="AI312" s="147"/>
      <c r="AJ312" s="145"/>
      <c r="AK312" s="152"/>
      <c r="AL312" s="147"/>
      <c r="AM312" s="145"/>
      <c r="AN312" s="152"/>
      <c r="AO312" s="147"/>
      <c r="AP312" s="48"/>
      <c r="AQ312" s="48"/>
      <c r="AR312" s="48"/>
      <c r="AS312" s="48"/>
      <c r="AT312" s="48"/>
      <c r="AU312" s="48"/>
      <c r="AV312" s="48"/>
      <c r="AW312" s="48"/>
      <c r="AX312" s="48"/>
      <c r="AY312" s="48"/>
      <c r="AZ312" s="48"/>
      <c r="BA312" s="48"/>
      <c r="BB312" s="48"/>
      <c r="BC312" s="48"/>
      <c r="BD312" s="48"/>
      <c r="BE312" s="48"/>
      <c r="BF312" s="48"/>
      <c r="BG312" s="48"/>
      <c r="BH312" s="48"/>
      <c r="BI312" s="48"/>
    </row>
    <row r="313" ht="15.75" customHeight="1">
      <c r="A313" s="41" t="str">
        <f t="shared" si="5"/>
        <v>Pièces</v>
      </c>
      <c r="B313" s="57"/>
      <c r="C313" s="57"/>
      <c r="D313" s="74"/>
      <c r="E313" s="65"/>
      <c r="F313" s="57"/>
      <c r="G313" s="74"/>
      <c r="H313" s="65"/>
      <c r="I313" s="57"/>
      <c r="J313" s="74"/>
      <c r="K313" s="65"/>
      <c r="L313" s="57"/>
      <c r="M313" s="74"/>
      <c r="N313" s="65"/>
      <c r="O313" s="57"/>
      <c r="P313" s="74"/>
      <c r="Q313" s="65"/>
      <c r="R313" s="57"/>
      <c r="S313" s="74"/>
      <c r="T313" s="65"/>
      <c r="U313" s="57"/>
      <c r="V313" s="74"/>
      <c r="W313" s="65"/>
      <c r="X313" s="57"/>
      <c r="Y313" s="74"/>
      <c r="Z313" s="65"/>
      <c r="AA313" s="57"/>
      <c r="AB313" s="74"/>
      <c r="AC313" s="65"/>
      <c r="AD313" s="57"/>
      <c r="AE313" s="74"/>
      <c r="AF313" s="65"/>
      <c r="AG313" s="57"/>
      <c r="AH313" s="74"/>
      <c r="AI313" s="65"/>
      <c r="AJ313" s="57"/>
      <c r="AK313" s="74"/>
      <c r="AL313" s="65"/>
      <c r="AM313" s="57"/>
      <c r="AN313" s="74"/>
      <c r="AO313" s="65"/>
      <c r="AP313" s="48"/>
      <c r="AQ313" s="48"/>
      <c r="AR313" s="48"/>
      <c r="AS313" s="48"/>
      <c r="AT313" s="48"/>
      <c r="AU313" s="48"/>
      <c r="AV313" s="48"/>
      <c r="AW313" s="48"/>
      <c r="AX313" s="48"/>
      <c r="AY313" s="48"/>
      <c r="AZ313" s="48"/>
      <c r="BA313" s="48"/>
      <c r="BB313" s="48"/>
      <c r="BC313" s="48"/>
      <c r="BD313" s="48"/>
      <c r="BE313" s="48"/>
      <c r="BF313" s="48"/>
      <c r="BG313" s="48"/>
      <c r="BH313" s="48"/>
      <c r="BI313" s="48"/>
    </row>
    <row r="314" ht="15.75" customHeight="1">
      <c r="A314" s="41" t="str">
        <f t="shared" si="5"/>
        <v>Pièces</v>
      </c>
      <c r="B314" s="57"/>
      <c r="C314" s="57"/>
      <c r="D314" s="74"/>
      <c r="E314" s="65"/>
      <c r="F314" s="57"/>
      <c r="G314" s="74"/>
      <c r="H314" s="65"/>
      <c r="I314" s="57"/>
      <c r="J314" s="74"/>
      <c r="K314" s="65"/>
      <c r="L314" s="57"/>
      <c r="M314" s="74"/>
      <c r="N314" s="65"/>
      <c r="O314" s="57"/>
      <c r="P314" s="74"/>
      <c r="Q314" s="65"/>
      <c r="R314" s="57"/>
      <c r="S314" s="74"/>
      <c r="T314" s="65"/>
      <c r="U314" s="57"/>
      <c r="V314" s="74"/>
      <c r="W314" s="65"/>
      <c r="X314" s="57"/>
      <c r="Y314" s="74"/>
      <c r="Z314" s="65"/>
      <c r="AA314" s="57"/>
      <c r="AB314" s="74"/>
      <c r="AC314" s="65"/>
      <c r="AD314" s="57"/>
      <c r="AE314" s="74"/>
      <c r="AF314" s="65"/>
      <c r="AG314" s="57"/>
      <c r="AH314" s="74"/>
      <c r="AI314" s="65"/>
      <c r="AJ314" s="57"/>
      <c r="AK314" s="74"/>
      <c r="AL314" s="65"/>
      <c r="AM314" s="57"/>
      <c r="AN314" s="74"/>
      <c r="AO314" s="65"/>
      <c r="AP314" s="48"/>
      <c r="AQ314" s="48"/>
      <c r="AR314" s="48"/>
      <c r="AS314" s="48"/>
      <c r="AT314" s="48"/>
      <c r="AU314" s="48"/>
      <c r="AV314" s="48"/>
      <c r="AW314" s="48"/>
      <c r="AX314" s="48"/>
      <c r="AY314" s="48"/>
      <c r="AZ314" s="48"/>
      <c r="BA314" s="48"/>
      <c r="BB314" s="48"/>
      <c r="BC314" s="48"/>
      <c r="BD314" s="48"/>
      <c r="BE314" s="48"/>
      <c r="BF314" s="48"/>
      <c r="BG314" s="48"/>
      <c r="BH314" s="48"/>
      <c r="BI314" s="48"/>
    </row>
    <row r="315" ht="15.75" customHeight="1">
      <c r="A315" s="41" t="str">
        <f t="shared" si="5"/>
        <v>PiècesAutostock</v>
      </c>
      <c r="B315" s="53" t="s">
        <v>191</v>
      </c>
      <c r="C315" s="128"/>
      <c r="D315" s="154"/>
      <c r="E315" s="91"/>
      <c r="F315" s="128"/>
      <c r="G315" s="154"/>
      <c r="H315" s="91"/>
      <c r="I315" s="128"/>
      <c r="J315" s="154"/>
      <c r="K315" s="91"/>
      <c r="L315" s="128"/>
      <c r="M315" s="154"/>
      <c r="N315" s="91"/>
      <c r="O315" s="128"/>
      <c r="P315" s="154"/>
      <c r="Q315" s="91"/>
      <c r="R315" s="128"/>
      <c r="S315" s="154"/>
      <c r="T315" s="91"/>
      <c r="U315" s="128"/>
      <c r="V315" s="154"/>
      <c r="W315" s="91"/>
      <c r="X315" s="128"/>
      <c r="Y315" s="154"/>
      <c r="Z315" s="91"/>
      <c r="AA315" s="128"/>
      <c r="AB315" s="154"/>
      <c r="AC315" s="91"/>
      <c r="AD315" s="128"/>
      <c r="AE315" s="154"/>
      <c r="AF315" s="91"/>
      <c r="AG315" s="128"/>
      <c r="AH315" s="154"/>
      <c r="AI315" s="91"/>
      <c r="AJ315" s="128"/>
      <c r="AK315" s="154"/>
      <c r="AL315" s="91"/>
      <c r="AM315" s="128"/>
      <c r="AN315" s="154"/>
      <c r="AO315" s="91"/>
      <c r="AP315" s="48"/>
      <c r="AQ315" s="48"/>
      <c r="AR315" s="48"/>
      <c r="AS315" s="48"/>
      <c r="AT315" s="48"/>
      <c r="AU315" s="48"/>
      <c r="AV315" s="48"/>
      <c r="AW315" s="48"/>
      <c r="AX315" s="48"/>
      <c r="AY315" s="48"/>
      <c r="AZ315" s="48"/>
      <c r="BA315" s="48"/>
      <c r="BB315" s="48"/>
      <c r="BC315" s="48"/>
      <c r="BD315" s="48"/>
      <c r="BE315" s="48"/>
      <c r="BF315" s="48"/>
      <c r="BG315" s="48"/>
      <c r="BH315" s="48"/>
      <c r="BI315" s="48"/>
    </row>
    <row r="316" ht="15.75" customHeight="1">
      <c r="A316" s="41" t="str">
        <f t="shared" si="5"/>
        <v>Pièces</v>
      </c>
      <c r="B316" s="57"/>
      <c r="C316" s="126"/>
      <c r="D316" s="122"/>
      <c r="E316" s="75"/>
      <c r="F316" s="126"/>
      <c r="G316" s="122"/>
      <c r="H316" s="75"/>
      <c r="I316" s="126"/>
      <c r="J316" s="122"/>
      <c r="K316" s="75"/>
      <c r="L316" s="126"/>
      <c r="M316" s="122"/>
      <c r="N316" s="75"/>
      <c r="O316" s="126"/>
      <c r="P316" s="122"/>
      <c r="Q316" s="75"/>
      <c r="R316" s="126"/>
      <c r="S316" s="122"/>
      <c r="T316" s="75"/>
      <c r="U316" s="126"/>
      <c r="V316" s="122"/>
      <c r="W316" s="75"/>
      <c r="X316" s="126"/>
      <c r="Y316" s="122"/>
      <c r="Z316" s="75"/>
      <c r="AA316" s="126"/>
      <c r="AB316" s="122"/>
      <c r="AC316" s="75"/>
      <c r="AD316" s="126"/>
      <c r="AE316" s="122"/>
      <c r="AF316" s="75"/>
      <c r="AG316" s="126"/>
      <c r="AH316" s="122"/>
      <c r="AI316" s="75"/>
      <c r="AJ316" s="126"/>
      <c r="AK316" s="122"/>
      <c r="AL316" s="75"/>
      <c r="AM316" s="126"/>
      <c r="AN316" s="122"/>
      <c r="AO316" s="75"/>
      <c r="AP316" s="48"/>
      <c r="AQ316" s="48"/>
      <c r="AR316" s="48"/>
      <c r="AS316" s="48"/>
      <c r="AT316" s="48"/>
      <c r="AU316" s="48"/>
      <c r="AV316" s="48"/>
      <c r="AW316" s="48"/>
      <c r="AX316" s="48"/>
      <c r="AY316" s="48"/>
      <c r="AZ316" s="48"/>
      <c r="BA316" s="48"/>
      <c r="BB316" s="48"/>
      <c r="BC316" s="48"/>
      <c r="BD316" s="48"/>
      <c r="BE316" s="48"/>
      <c r="BF316" s="48"/>
      <c r="BG316" s="48"/>
      <c r="BH316" s="48"/>
      <c r="BI316" s="48"/>
    </row>
    <row r="317" ht="15.75" customHeight="1">
      <c r="A317" s="41" t="str">
        <f t="shared" si="5"/>
        <v>PiècesTotal Dépt. Pièces</v>
      </c>
      <c r="B317" s="76" t="s">
        <v>192</v>
      </c>
      <c r="C317" s="77"/>
      <c r="D317" s="155"/>
      <c r="E317" s="79"/>
      <c r="F317" s="77"/>
      <c r="G317" s="155"/>
      <c r="H317" s="79"/>
      <c r="I317" s="77"/>
      <c r="J317" s="155"/>
      <c r="K317" s="79"/>
      <c r="L317" s="77"/>
      <c r="M317" s="155"/>
      <c r="N317" s="79"/>
      <c r="O317" s="77"/>
      <c r="P317" s="155"/>
      <c r="Q317" s="79"/>
      <c r="R317" s="77"/>
      <c r="S317" s="155"/>
      <c r="T317" s="79"/>
      <c r="U317" s="77"/>
      <c r="V317" s="155"/>
      <c r="W317" s="79"/>
      <c r="X317" s="77"/>
      <c r="Y317" s="155"/>
      <c r="Z317" s="79"/>
      <c r="AA317" s="77"/>
      <c r="AB317" s="155"/>
      <c r="AC317" s="79"/>
      <c r="AD317" s="77"/>
      <c r="AE317" s="155"/>
      <c r="AF317" s="79"/>
      <c r="AG317" s="77"/>
      <c r="AH317" s="155"/>
      <c r="AI317" s="79"/>
      <c r="AJ317" s="77"/>
      <c r="AK317" s="155"/>
      <c r="AL317" s="79"/>
      <c r="AM317" s="77"/>
      <c r="AN317" s="155"/>
      <c r="AO317" s="79"/>
      <c r="AP317" s="48"/>
      <c r="AQ317" s="48"/>
      <c r="AR317" s="48"/>
      <c r="AS317" s="48"/>
      <c r="AT317" s="48"/>
      <c r="AU317" s="48"/>
      <c r="AV317" s="48"/>
      <c r="AW317" s="48"/>
      <c r="AX317" s="48"/>
      <c r="AY317" s="48"/>
      <c r="AZ317" s="48"/>
      <c r="BA317" s="48"/>
      <c r="BB317" s="48"/>
      <c r="BC317" s="48"/>
      <c r="BD317" s="48"/>
      <c r="BE317" s="48"/>
      <c r="BF317" s="48"/>
      <c r="BG317" s="48"/>
      <c r="BH317" s="48"/>
      <c r="BI317" s="48"/>
    </row>
    <row r="318" ht="15.75" customHeight="1">
      <c r="A318" s="41" t="str">
        <f t="shared" si="5"/>
        <v>Pièces</v>
      </c>
      <c r="B318" s="156"/>
      <c r="C318" s="157"/>
      <c r="D318" s="158"/>
      <c r="E318" s="159"/>
      <c r="F318" s="157"/>
      <c r="G318" s="158"/>
      <c r="H318" s="159"/>
      <c r="I318" s="157"/>
      <c r="J318" s="158"/>
      <c r="K318" s="159"/>
      <c r="L318" s="157"/>
      <c r="M318" s="158"/>
      <c r="N318" s="159"/>
      <c r="O318" s="157"/>
      <c r="P318" s="158"/>
      <c r="Q318" s="159"/>
      <c r="R318" s="157"/>
      <c r="S318" s="158"/>
      <c r="T318" s="159"/>
      <c r="U318" s="157"/>
      <c r="V318" s="158"/>
      <c r="W318" s="159"/>
      <c r="X318" s="157"/>
      <c r="Y318" s="158"/>
      <c r="Z318" s="159"/>
      <c r="AA318" s="157"/>
      <c r="AB318" s="158"/>
      <c r="AC318" s="159"/>
      <c r="AD318" s="157"/>
      <c r="AE318" s="158"/>
      <c r="AF318" s="159"/>
      <c r="AG318" s="157"/>
      <c r="AH318" s="158"/>
      <c r="AI318" s="159"/>
      <c r="AJ318" s="157"/>
      <c r="AK318" s="158"/>
      <c r="AL318" s="159"/>
      <c r="AM318" s="157"/>
      <c r="AN318" s="158"/>
      <c r="AO318" s="159"/>
      <c r="AP318" s="48"/>
      <c r="AQ318" s="48"/>
      <c r="AR318" s="48"/>
      <c r="AS318" s="48"/>
      <c r="AT318" s="48"/>
      <c r="AU318" s="48"/>
      <c r="AV318" s="48"/>
      <c r="AW318" s="48"/>
      <c r="AX318" s="48"/>
      <c r="AY318" s="48"/>
      <c r="AZ318" s="48"/>
      <c r="BA318" s="48"/>
      <c r="BB318" s="48"/>
      <c r="BC318" s="48"/>
      <c r="BD318" s="48"/>
      <c r="BE318" s="48"/>
      <c r="BF318" s="48"/>
      <c r="BG318" s="48"/>
      <c r="BH318" s="48"/>
      <c r="BI318" s="48"/>
    </row>
    <row r="319" ht="15.75" customHeight="1">
      <c r="A319" s="41" t="str">
        <f t="shared" si="5"/>
        <v>Pièces</v>
      </c>
      <c r="B319" s="70"/>
      <c r="C319" s="135"/>
      <c r="D319" s="136"/>
      <c r="E319" s="102"/>
      <c r="F319" s="135"/>
      <c r="G319" s="136"/>
      <c r="H319" s="102"/>
      <c r="I319" s="135"/>
      <c r="J319" s="136"/>
      <c r="K319" s="102"/>
      <c r="L319" s="135"/>
      <c r="M319" s="136"/>
      <c r="N319" s="102"/>
      <c r="O319" s="135"/>
      <c r="P319" s="136"/>
      <c r="Q319" s="102"/>
      <c r="R319" s="135"/>
      <c r="S319" s="136"/>
      <c r="T319" s="102"/>
      <c r="U319" s="135"/>
      <c r="V319" s="136"/>
      <c r="W319" s="102"/>
      <c r="X319" s="135"/>
      <c r="Y319" s="136"/>
      <c r="Z319" s="102"/>
      <c r="AA319" s="135"/>
      <c r="AB319" s="136"/>
      <c r="AC319" s="102"/>
      <c r="AD319" s="135"/>
      <c r="AE319" s="136"/>
      <c r="AF319" s="102"/>
      <c r="AG319" s="135"/>
      <c r="AH319" s="136"/>
      <c r="AI319" s="102"/>
      <c r="AJ319" s="135"/>
      <c r="AK319" s="136"/>
      <c r="AL319" s="102"/>
      <c r="AM319" s="135"/>
      <c r="AN319" s="136"/>
      <c r="AO319" s="102"/>
      <c r="AP319" s="48"/>
      <c r="AQ319" s="48"/>
      <c r="AR319" s="48"/>
      <c r="AS319" s="48"/>
      <c r="AT319" s="48"/>
      <c r="AU319" s="48"/>
      <c r="AV319" s="48"/>
      <c r="AW319" s="48"/>
      <c r="AX319" s="48"/>
      <c r="AY319" s="48"/>
      <c r="AZ319" s="48"/>
      <c r="BA319" s="48"/>
      <c r="BB319" s="48"/>
      <c r="BC319" s="48"/>
      <c r="BD319" s="48"/>
      <c r="BE319" s="48"/>
      <c r="BF319" s="48"/>
      <c r="BG319" s="48"/>
      <c r="BH319" s="48"/>
      <c r="BI319" s="48"/>
    </row>
    <row r="320" ht="15.75" customHeight="1">
      <c r="A320" s="41" t="str">
        <f t="shared" si="5"/>
        <v>PiècesDEPENSES</v>
      </c>
      <c r="B320" s="85" t="s">
        <v>110</v>
      </c>
      <c r="C320" s="57"/>
      <c r="D320" s="74"/>
      <c r="E320" s="65"/>
      <c r="F320" s="57"/>
      <c r="G320" s="74"/>
      <c r="H320" s="65"/>
      <c r="I320" s="57"/>
      <c r="J320" s="74"/>
      <c r="K320" s="65"/>
      <c r="L320" s="57"/>
      <c r="M320" s="74"/>
      <c r="N320" s="65"/>
      <c r="O320" s="57"/>
      <c r="P320" s="74"/>
      <c r="Q320" s="65"/>
      <c r="R320" s="57"/>
      <c r="S320" s="74"/>
      <c r="T320" s="65"/>
      <c r="U320" s="57"/>
      <c r="V320" s="74"/>
      <c r="W320" s="65"/>
      <c r="X320" s="57"/>
      <c r="Y320" s="74"/>
      <c r="Z320" s="65"/>
      <c r="AA320" s="57"/>
      <c r="AB320" s="74"/>
      <c r="AC320" s="65"/>
      <c r="AD320" s="57"/>
      <c r="AE320" s="74"/>
      <c r="AF320" s="65"/>
      <c r="AG320" s="57"/>
      <c r="AH320" s="74"/>
      <c r="AI320" s="65"/>
      <c r="AJ320" s="57"/>
      <c r="AK320" s="74"/>
      <c r="AL320" s="65"/>
      <c r="AM320" s="57"/>
      <c r="AN320" s="74"/>
      <c r="AO320" s="65"/>
      <c r="AP320" s="48"/>
      <c r="AQ320" s="48"/>
      <c r="AR320" s="48"/>
      <c r="AS320" s="48"/>
      <c r="AT320" s="48"/>
      <c r="AU320" s="48"/>
      <c r="AV320" s="48"/>
      <c r="AW320" s="48"/>
      <c r="AX320" s="48"/>
      <c r="AY320" s="48"/>
      <c r="AZ320" s="48"/>
      <c r="BA320" s="48"/>
      <c r="BB320" s="48"/>
      <c r="BC320" s="48"/>
      <c r="BD320" s="48"/>
      <c r="BE320" s="48"/>
      <c r="BF320" s="48"/>
      <c r="BG320" s="48"/>
      <c r="BH320" s="48"/>
      <c r="BI320" s="48"/>
    </row>
    <row r="321" ht="15.75" customHeight="1">
      <c r="A321" s="41" t="str">
        <f t="shared" si="5"/>
        <v>PiècesSalaires cadres</v>
      </c>
      <c r="B321" s="96" t="s">
        <v>119</v>
      </c>
      <c r="C321" s="57"/>
      <c r="D321" s="74"/>
      <c r="E321" s="75"/>
      <c r="F321" s="57"/>
      <c r="G321" s="74"/>
      <c r="H321" s="75"/>
      <c r="I321" s="57"/>
      <c r="J321" s="74"/>
      <c r="K321" s="75"/>
      <c r="L321" s="57"/>
      <c r="M321" s="74"/>
      <c r="N321" s="75"/>
      <c r="O321" s="57"/>
      <c r="P321" s="74"/>
      <c r="Q321" s="75"/>
      <c r="R321" s="57"/>
      <c r="S321" s="74"/>
      <c r="T321" s="75"/>
      <c r="U321" s="57"/>
      <c r="V321" s="74"/>
      <c r="W321" s="75"/>
      <c r="X321" s="57"/>
      <c r="Y321" s="74"/>
      <c r="Z321" s="75"/>
      <c r="AA321" s="57"/>
      <c r="AB321" s="74"/>
      <c r="AC321" s="75"/>
      <c r="AD321" s="57"/>
      <c r="AE321" s="74"/>
      <c r="AF321" s="75"/>
      <c r="AG321" s="57"/>
      <c r="AH321" s="74"/>
      <c r="AI321" s="75"/>
      <c r="AJ321" s="57"/>
      <c r="AK321" s="74"/>
      <c r="AL321" s="75"/>
      <c r="AM321" s="57"/>
      <c r="AN321" s="74"/>
      <c r="AO321" s="75"/>
      <c r="AP321" s="48"/>
      <c r="AQ321" s="48"/>
      <c r="AR321" s="48"/>
      <c r="AS321" s="48"/>
      <c r="AT321" s="48"/>
      <c r="AU321" s="48"/>
      <c r="AV321" s="48"/>
      <c r="AW321" s="48"/>
      <c r="AX321" s="48"/>
      <c r="AY321" s="48"/>
      <c r="AZ321" s="48"/>
      <c r="BA321" s="48"/>
      <c r="BB321" s="48"/>
      <c r="BC321" s="48"/>
      <c r="BD321" s="48"/>
      <c r="BE321" s="48"/>
      <c r="BF321" s="48"/>
      <c r="BG321" s="48"/>
      <c r="BH321" s="48"/>
      <c r="BI321" s="48"/>
    </row>
    <row r="322" ht="15.75" customHeight="1">
      <c r="A322" s="41" t="str">
        <f t="shared" si="5"/>
        <v>PiècesSalaires commis</v>
      </c>
      <c r="B322" s="97" t="s">
        <v>120</v>
      </c>
      <c r="C322" s="57"/>
      <c r="D322" s="74"/>
      <c r="E322" s="75"/>
      <c r="F322" s="57"/>
      <c r="G322" s="74"/>
      <c r="H322" s="75"/>
      <c r="I322" s="57"/>
      <c r="J322" s="74"/>
      <c r="K322" s="75"/>
      <c r="L322" s="57"/>
      <c r="M322" s="74"/>
      <c r="N322" s="75"/>
      <c r="O322" s="57"/>
      <c r="P322" s="74"/>
      <c r="Q322" s="75"/>
      <c r="R322" s="57"/>
      <c r="S322" s="74"/>
      <c r="T322" s="75"/>
      <c r="U322" s="57"/>
      <c r="V322" s="74"/>
      <c r="W322" s="75"/>
      <c r="X322" s="57"/>
      <c r="Y322" s="74"/>
      <c r="Z322" s="75"/>
      <c r="AA322" s="57"/>
      <c r="AB322" s="74"/>
      <c r="AC322" s="75"/>
      <c r="AD322" s="57"/>
      <c r="AE322" s="74"/>
      <c r="AF322" s="75"/>
      <c r="AG322" s="57"/>
      <c r="AH322" s="74"/>
      <c r="AI322" s="75"/>
      <c r="AJ322" s="57"/>
      <c r="AK322" s="74"/>
      <c r="AL322" s="75"/>
      <c r="AM322" s="57"/>
      <c r="AN322" s="74"/>
      <c r="AO322" s="75"/>
      <c r="AP322" s="48"/>
      <c r="AQ322" s="48"/>
      <c r="AR322" s="48"/>
      <c r="AS322" s="48"/>
      <c r="AT322" s="48"/>
      <c r="AU322" s="48"/>
      <c r="AV322" s="48"/>
      <c r="AW322" s="48"/>
      <c r="AX322" s="48"/>
      <c r="AY322" s="48"/>
      <c r="AZ322" s="48"/>
      <c r="BA322" s="48"/>
      <c r="BB322" s="48"/>
      <c r="BC322" s="48"/>
      <c r="BD322" s="48"/>
      <c r="BE322" s="48"/>
      <c r="BF322" s="48"/>
      <c r="BG322" s="48"/>
      <c r="BH322" s="48"/>
      <c r="BI322" s="48"/>
    </row>
    <row r="323" ht="15.75" customHeight="1">
      <c r="A323" s="41" t="str">
        <f t="shared" si="5"/>
        <v>PiècesSalaires autres</v>
      </c>
      <c r="B323" s="96" t="s">
        <v>121</v>
      </c>
      <c r="C323" s="49"/>
      <c r="D323" s="98"/>
      <c r="E323" s="99"/>
      <c r="F323" s="49"/>
      <c r="G323" s="98"/>
      <c r="H323" s="99"/>
      <c r="I323" s="49"/>
      <c r="J323" s="98"/>
      <c r="K323" s="99"/>
      <c r="L323" s="49"/>
      <c r="M323" s="98"/>
      <c r="N323" s="99"/>
      <c r="O323" s="49"/>
      <c r="P323" s="98"/>
      <c r="Q323" s="99"/>
      <c r="R323" s="49"/>
      <c r="S323" s="98"/>
      <c r="T323" s="99"/>
      <c r="U323" s="49"/>
      <c r="V323" s="98"/>
      <c r="W323" s="99"/>
      <c r="X323" s="49"/>
      <c r="Y323" s="98"/>
      <c r="Z323" s="99"/>
      <c r="AA323" s="49"/>
      <c r="AB323" s="98"/>
      <c r="AC323" s="99"/>
      <c r="AD323" s="49"/>
      <c r="AE323" s="98"/>
      <c r="AF323" s="99"/>
      <c r="AG323" s="49"/>
      <c r="AH323" s="98"/>
      <c r="AI323" s="99"/>
      <c r="AJ323" s="49"/>
      <c r="AK323" s="98"/>
      <c r="AL323" s="99"/>
      <c r="AM323" s="49"/>
      <c r="AN323" s="98"/>
      <c r="AO323" s="99"/>
      <c r="AP323" s="48"/>
      <c r="AQ323" s="48"/>
      <c r="AR323" s="48"/>
      <c r="AS323" s="48"/>
      <c r="AT323" s="48"/>
      <c r="AU323" s="48"/>
      <c r="AV323" s="48"/>
      <c r="AW323" s="48"/>
      <c r="AX323" s="48"/>
      <c r="AY323" s="48"/>
      <c r="AZ323" s="48"/>
      <c r="BA323" s="48"/>
      <c r="BB323" s="48"/>
      <c r="BC323" s="48"/>
      <c r="BD323" s="48"/>
      <c r="BE323" s="48"/>
      <c r="BF323" s="48"/>
      <c r="BG323" s="48"/>
      <c r="BH323" s="48"/>
      <c r="BI323" s="48"/>
    </row>
    <row r="324" ht="15.75" customHeight="1">
      <c r="A324" s="41" t="str">
        <f t="shared" si="5"/>
        <v>PiècesSalaires spécialistes</v>
      </c>
      <c r="B324" s="96" t="s">
        <v>122</v>
      </c>
      <c r="C324" s="57"/>
      <c r="D324" s="74"/>
      <c r="E324" s="75"/>
      <c r="F324" s="57"/>
      <c r="G324" s="74"/>
      <c r="H324" s="75"/>
      <c r="I324" s="57"/>
      <c r="J324" s="74"/>
      <c r="K324" s="75"/>
      <c r="L324" s="57"/>
      <c r="M324" s="74"/>
      <c r="N324" s="75"/>
      <c r="O324" s="57"/>
      <c r="P324" s="74"/>
      <c r="Q324" s="75"/>
      <c r="R324" s="57"/>
      <c r="S324" s="74"/>
      <c r="T324" s="75"/>
      <c r="U324" s="57"/>
      <c r="V324" s="74"/>
      <c r="W324" s="75"/>
      <c r="X324" s="57"/>
      <c r="Y324" s="74"/>
      <c r="Z324" s="75"/>
      <c r="AA324" s="57"/>
      <c r="AB324" s="74"/>
      <c r="AC324" s="75"/>
      <c r="AD324" s="57"/>
      <c r="AE324" s="74"/>
      <c r="AF324" s="75"/>
      <c r="AG324" s="57"/>
      <c r="AH324" s="74"/>
      <c r="AI324" s="75"/>
      <c r="AJ324" s="57"/>
      <c r="AK324" s="74"/>
      <c r="AL324" s="75"/>
      <c r="AM324" s="57"/>
      <c r="AN324" s="74"/>
      <c r="AO324" s="75"/>
      <c r="AP324" s="48"/>
      <c r="AQ324" s="48"/>
      <c r="AR324" s="48"/>
      <c r="AS324" s="48"/>
      <c r="AT324" s="48"/>
      <c r="AU324" s="48"/>
      <c r="AV324" s="48"/>
      <c r="AW324" s="48"/>
      <c r="AX324" s="48"/>
      <c r="AY324" s="48"/>
      <c r="AZ324" s="48"/>
      <c r="BA324" s="48"/>
      <c r="BB324" s="48"/>
      <c r="BC324" s="48"/>
      <c r="BD324" s="48"/>
      <c r="BE324" s="48"/>
      <c r="BF324" s="48"/>
      <c r="BG324" s="48"/>
      <c r="BH324" s="48"/>
      <c r="BI324" s="48"/>
    </row>
    <row r="325" ht="15.75" customHeight="1">
      <c r="A325" s="41" t="str">
        <f t="shared" si="5"/>
        <v>Pièces[...]</v>
      </c>
      <c r="B325" s="57" t="s">
        <v>56</v>
      </c>
      <c r="C325" s="57"/>
      <c r="D325" s="74"/>
      <c r="E325" s="75"/>
      <c r="F325" s="57"/>
      <c r="G325" s="74"/>
      <c r="H325" s="75"/>
      <c r="I325" s="57"/>
      <c r="J325" s="74"/>
      <c r="K325" s="75"/>
      <c r="L325" s="57"/>
      <c r="M325" s="74"/>
      <c r="N325" s="75"/>
      <c r="O325" s="57"/>
      <c r="P325" s="74"/>
      <c r="Q325" s="75"/>
      <c r="R325" s="57"/>
      <c r="S325" s="74"/>
      <c r="T325" s="75"/>
      <c r="U325" s="57"/>
      <c r="V325" s="74"/>
      <c r="W325" s="75"/>
      <c r="X325" s="57"/>
      <c r="Y325" s="74"/>
      <c r="Z325" s="75"/>
      <c r="AA325" s="57"/>
      <c r="AB325" s="74"/>
      <c r="AC325" s="75"/>
      <c r="AD325" s="57"/>
      <c r="AE325" s="74"/>
      <c r="AF325" s="75"/>
      <c r="AG325" s="57"/>
      <c r="AH325" s="74"/>
      <c r="AI325" s="75"/>
      <c r="AJ325" s="57"/>
      <c r="AK325" s="74"/>
      <c r="AL325" s="75"/>
      <c r="AM325" s="57"/>
      <c r="AN325" s="74"/>
      <c r="AO325" s="75"/>
      <c r="AP325" s="48"/>
      <c r="AQ325" s="48"/>
      <c r="AR325" s="48"/>
      <c r="AS325" s="48"/>
      <c r="AT325" s="48"/>
      <c r="AU325" s="48"/>
      <c r="AV325" s="48"/>
      <c r="AW325" s="48"/>
      <c r="AX325" s="48"/>
      <c r="AY325" s="48"/>
      <c r="AZ325" s="48"/>
      <c r="BA325" s="48"/>
      <c r="BB325" s="48"/>
      <c r="BC325" s="48"/>
      <c r="BD325" s="48"/>
      <c r="BE325" s="48"/>
      <c r="BF325" s="48"/>
      <c r="BG325" s="48"/>
      <c r="BH325" s="48"/>
      <c r="BI325" s="48"/>
    </row>
    <row r="326" ht="15.75" customHeight="1">
      <c r="A326" s="41" t="str">
        <f t="shared" si="5"/>
        <v>Pièces[...]</v>
      </c>
      <c r="B326" s="57" t="s">
        <v>56</v>
      </c>
      <c r="C326" s="57"/>
      <c r="D326" s="74"/>
      <c r="E326" s="75"/>
      <c r="F326" s="57"/>
      <c r="G326" s="74"/>
      <c r="H326" s="75"/>
      <c r="I326" s="57"/>
      <c r="J326" s="74"/>
      <c r="K326" s="75"/>
      <c r="L326" s="57"/>
      <c r="M326" s="74"/>
      <c r="N326" s="75"/>
      <c r="O326" s="57"/>
      <c r="P326" s="74"/>
      <c r="Q326" s="75"/>
      <c r="R326" s="57"/>
      <c r="S326" s="74"/>
      <c r="T326" s="75"/>
      <c r="U326" s="57"/>
      <c r="V326" s="74"/>
      <c r="W326" s="75"/>
      <c r="X326" s="57"/>
      <c r="Y326" s="74"/>
      <c r="Z326" s="75"/>
      <c r="AA326" s="57"/>
      <c r="AB326" s="74"/>
      <c r="AC326" s="75"/>
      <c r="AD326" s="57"/>
      <c r="AE326" s="74"/>
      <c r="AF326" s="75"/>
      <c r="AG326" s="57"/>
      <c r="AH326" s="74"/>
      <c r="AI326" s="75"/>
      <c r="AJ326" s="57"/>
      <c r="AK326" s="74"/>
      <c r="AL326" s="75"/>
      <c r="AM326" s="57"/>
      <c r="AN326" s="74"/>
      <c r="AO326" s="75"/>
      <c r="AP326" s="48"/>
      <c r="AQ326" s="48"/>
      <c r="AR326" s="48"/>
      <c r="AS326" s="48"/>
      <c r="AT326" s="48"/>
      <c r="AU326" s="48"/>
      <c r="AV326" s="48"/>
      <c r="AW326" s="48"/>
      <c r="AX326" s="48"/>
      <c r="AY326" s="48"/>
      <c r="AZ326" s="48"/>
      <c r="BA326" s="48"/>
      <c r="BB326" s="48"/>
      <c r="BC326" s="48"/>
      <c r="BD326" s="48"/>
      <c r="BE326" s="48"/>
      <c r="BF326" s="48"/>
      <c r="BG326" s="48"/>
      <c r="BH326" s="48"/>
      <c r="BI326" s="48"/>
    </row>
    <row r="327" ht="15.75" customHeight="1">
      <c r="A327" s="41" t="str">
        <f t="shared" si="5"/>
        <v>Pièces[...]</v>
      </c>
      <c r="B327" s="57" t="s">
        <v>56</v>
      </c>
      <c r="C327" s="57"/>
      <c r="D327" s="74"/>
      <c r="E327" s="75"/>
      <c r="F327" s="57"/>
      <c r="G327" s="74"/>
      <c r="H327" s="75"/>
      <c r="I327" s="57"/>
      <c r="J327" s="74"/>
      <c r="K327" s="75"/>
      <c r="L327" s="57"/>
      <c r="M327" s="74"/>
      <c r="N327" s="75"/>
      <c r="O327" s="57"/>
      <c r="P327" s="74"/>
      <c r="Q327" s="75"/>
      <c r="R327" s="57"/>
      <c r="S327" s="74"/>
      <c r="T327" s="75"/>
      <c r="U327" s="57"/>
      <c r="V327" s="74"/>
      <c r="W327" s="75"/>
      <c r="X327" s="57"/>
      <c r="Y327" s="74"/>
      <c r="Z327" s="75"/>
      <c r="AA327" s="57"/>
      <c r="AB327" s="74"/>
      <c r="AC327" s="75"/>
      <c r="AD327" s="57"/>
      <c r="AE327" s="74"/>
      <c r="AF327" s="75"/>
      <c r="AG327" s="57"/>
      <c r="AH327" s="74"/>
      <c r="AI327" s="75"/>
      <c r="AJ327" s="57"/>
      <c r="AK327" s="74"/>
      <c r="AL327" s="75"/>
      <c r="AM327" s="57"/>
      <c r="AN327" s="74"/>
      <c r="AO327" s="75"/>
      <c r="AP327" s="48"/>
      <c r="AQ327" s="48"/>
      <c r="AR327" s="48"/>
      <c r="AS327" s="48"/>
      <c r="AT327" s="48"/>
      <c r="AU327" s="48"/>
      <c r="AV327" s="48"/>
      <c r="AW327" s="48"/>
      <c r="AX327" s="48"/>
      <c r="AY327" s="48"/>
      <c r="AZ327" s="48"/>
      <c r="BA327" s="48"/>
      <c r="BB327" s="48"/>
      <c r="BC327" s="48"/>
      <c r="BD327" s="48"/>
      <c r="BE327" s="48"/>
      <c r="BF327" s="48"/>
      <c r="BG327" s="48"/>
      <c r="BH327" s="48"/>
      <c r="BI327" s="48"/>
    </row>
    <row r="328" ht="15.75" customHeight="1">
      <c r="A328" s="41" t="str">
        <f t="shared" si="5"/>
        <v>PiècesSalaires en absences</v>
      </c>
      <c r="B328" s="97" t="s">
        <v>123</v>
      </c>
      <c r="C328" s="57"/>
      <c r="D328" s="74"/>
      <c r="E328" s="75"/>
      <c r="F328" s="57"/>
      <c r="G328" s="74"/>
      <c r="H328" s="75"/>
      <c r="I328" s="57"/>
      <c r="J328" s="74"/>
      <c r="K328" s="75"/>
      <c r="L328" s="57"/>
      <c r="M328" s="74"/>
      <c r="N328" s="75"/>
      <c r="O328" s="57"/>
      <c r="P328" s="74"/>
      <c r="Q328" s="75"/>
      <c r="R328" s="57"/>
      <c r="S328" s="74"/>
      <c r="T328" s="75"/>
      <c r="U328" s="57"/>
      <c r="V328" s="74"/>
      <c r="W328" s="75"/>
      <c r="X328" s="57"/>
      <c r="Y328" s="74"/>
      <c r="Z328" s="75"/>
      <c r="AA328" s="57"/>
      <c r="AB328" s="74"/>
      <c r="AC328" s="75"/>
      <c r="AD328" s="57"/>
      <c r="AE328" s="74"/>
      <c r="AF328" s="75"/>
      <c r="AG328" s="57"/>
      <c r="AH328" s="74"/>
      <c r="AI328" s="75"/>
      <c r="AJ328" s="57"/>
      <c r="AK328" s="74"/>
      <c r="AL328" s="75"/>
      <c r="AM328" s="57"/>
      <c r="AN328" s="74"/>
      <c r="AO328" s="75"/>
      <c r="AP328" s="48"/>
      <c r="AQ328" s="48"/>
      <c r="AR328" s="48"/>
      <c r="AS328" s="48"/>
      <c r="AT328" s="48"/>
      <c r="AU328" s="48"/>
      <c r="AV328" s="48"/>
      <c r="AW328" s="48"/>
      <c r="AX328" s="48"/>
      <c r="AY328" s="48"/>
      <c r="AZ328" s="48"/>
      <c r="BA328" s="48"/>
      <c r="BB328" s="48"/>
      <c r="BC328" s="48"/>
      <c r="BD328" s="48"/>
      <c r="BE328" s="48"/>
      <c r="BF328" s="48"/>
      <c r="BG328" s="48"/>
      <c r="BH328" s="48"/>
      <c r="BI328" s="48"/>
    </row>
    <row r="329" ht="15.75" customHeight="1">
      <c r="A329" s="41" t="str">
        <f t="shared" si="5"/>
        <v>PiècesDéduction à la source</v>
      </c>
      <c r="B329" s="96" t="s">
        <v>124</v>
      </c>
      <c r="C329" s="49"/>
      <c r="D329" s="98"/>
      <c r="E329" s="99"/>
      <c r="F329" s="49"/>
      <c r="G329" s="98"/>
      <c r="H329" s="99"/>
      <c r="I329" s="49"/>
      <c r="J329" s="98"/>
      <c r="K329" s="99"/>
      <c r="L329" s="49"/>
      <c r="M329" s="98"/>
      <c r="N329" s="99"/>
      <c r="O329" s="49"/>
      <c r="P329" s="98"/>
      <c r="Q329" s="99"/>
      <c r="R329" s="49"/>
      <c r="S329" s="98"/>
      <c r="T329" s="99"/>
      <c r="U329" s="49"/>
      <c r="V329" s="98"/>
      <c r="W329" s="99"/>
      <c r="X329" s="49"/>
      <c r="Y329" s="98"/>
      <c r="Z329" s="99"/>
      <c r="AA329" s="49"/>
      <c r="AB329" s="98"/>
      <c r="AC329" s="99"/>
      <c r="AD329" s="49"/>
      <c r="AE329" s="98"/>
      <c r="AF329" s="99"/>
      <c r="AG329" s="49"/>
      <c r="AH329" s="98"/>
      <c r="AI329" s="99"/>
      <c r="AJ329" s="49"/>
      <c r="AK329" s="98"/>
      <c r="AL329" s="99"/>
      <c r="AM329" s="49"/>
      <c r="AN329" s="98"/>
      <c r="AO329" s="99"/>
      <c r="AP329" s="48"/>
      <c r="AQ329" s="48"/>
      <c r="AR329" s="48"/>
      <c r="AS329" s="48"/>
      <c r="AT329" s="48"/>
      <c r="AU329" s="48"/>
      <c r="AV329" s="48"/>
      <c r="AW329" s="48"/>
      <c r="AX329" s="48"/>
      <c r="AY329" s="48"/>
      <c r="AZ329" s="48"/>
      <c r="BA329" s="48"/>
      <c r="BB329" s="48"/>
      <c r="BC329" s="48"/>
      <c r="BD329" s="48"/>
      <c r="BE329" s="48"/>
      <c r="BF329" s="48"/>
      <c r="BG329" s="48"/>
      <c r="BH329" s="48"/>
      <c r="BI329" s="48"/>
    </row>
    <row r="330" ht="15.75" customHeight="1">
      <c r="A330" s="41" t="str">
        <f t="shared" si="5"/>
        <v>PiècesBénéfices marginaux</v>
      </c>
      <c r="B330" s="96" t="s">
        <v>125</v>
      </c>
      <c r="C330" s="57"/>
      <c r="D330" s="74"/>
      <c r="E330" s="75"/>
      <c r="F330" s="57"/>
      <c r="G330" s="74"/>
      <c r="H330" s="75"/>
      <c r="I330" s="57"/>
      <c r="J330" s="74"/>
      <c r="K330" s="75"/>
      <c r="L330" s="57"/>
      <c r="M330" s="74"/>
      <c r="N330" s="75"/>
      <c r="O330" s="57"/>
      <c r="P330" s="74"/>
      <c r="Q330" s="75"/>
      <c r="R330" s="57"/>
      <c r="S330" s="74"/>
      <c r="T330" s="75"/>
      <c r="U330" s="57"/>
      <c r="V330" s="74"/>
      <c r="W330" s="75"/>
      <c r="X330" s="57"/>
      <c r="Y330" s="74"/>
      <c r="Z330" s="75"/>
      <c r="AA330" s="57"/>
      <c r="AB330" s="74"/>
      <c r="AC330" s="75"/>
      <c r="AD330" s="57"/>
      <c r="AE330" s="74"/>
      <c r="AF330" s="75"/>
      <c r="AG330" s="57"/>
      <c r="AH330" s="74"/>
      <c r="AI330" s="75"/>
      <c r="AJ330" s="57"/>
      <c r="AK330" s="74"/>
      <c r="AL330" s="75"/>
      <c r="AM330" s="57"/>
      <c r="AN330" s="74"/>
      <c r="AO330" s="75"/>
      <c r="AP330" s="48"/>
      <c r="AQ330" s="48"/>
      <c r="AR330" s="48"/>
      <c r="AS330" s="48"/>
      <c r="AT330" s="48"/>
      <c r="AU330" s="48"/>
      <c r="AV330" s="48"/>
      <c r="AW330" s="48"/>
      <c r="AX330" s="48"/>
      <c r="AY330" s="48"/>
      <c r="AZ330" s="48"/>
      <c r="BA330" s="48"/>
      <c r="BB330" s="48"/>
      <c r="BC330" s="48"/>
      <c r="BD330" s="48"/>
      <c r="BE330" s="48"/>
      <c r="BF330" s="48"/>
      <c r="BG330" s="48"/>
      <c r="BH330" s="48"/>
      <c r="BI330" s="48"/>
    </row>
    <row r="331" ht="15.75" customHeight="1">
      <c r="A331" s="41" t="str">
        <f t="shared" si="5"/>
        <v>PiècesCsst</v>
      </c>
      <c r="B331" s="96" t="s">
        <v>126</v>
      </c>
      <c r="C331" s="57"/>
      <c r="D331" s="74"/>
      <c r="E331" s="75"/>
      <c r="F331" s="57"/>
      <c r="G331" s="74"/>
      <c r="H331" s="75"/>
      <c r="I331" s="57"/>
      <c r="J331" s="74"/>
      <c r="K331" s="75"/>
      <c r="L331" s="57"/>
      <c r="M331" s="74"/>
      <c r="N331" s="75"/>
      <c r="O331" s="57"/>
      <c r="P331" s="74"/>
      <c r="Q331" s="75"/>
      <c r="R331" s="57"/>
      <c r="S331" s="74"/>
      <c r="T331" s="75"/>
      <c r="U331" s="57"/>
      <c r="V331" s="74"/>
      <c r="W331" s="75"/>
      <c r="X331" s="57"/>
      <c r="Y331" s="74"/>
      <c r="Z331" s="75"/>
      <c r="AA331" s="57"/>
      <c r="AB331" s="74"/>
      <c r="AC331" s="75"/>
      <c r="AD331" s="57"/>
      <c r="AE331" s="74"/>
      <c r="AF331" s="75"/>
      <c r="AG331" s="57"/>
      <c r="AH331" s="74"/>
      <c r="AI331" s="75"/>
      <c r="AJ331" s="57"/>
      <c r="AK331" s="74"/>
      <c r="AL331" s="75"/>
      <c r="AM331" s="57"/>
      <c r="AN331" s="74"/>
      <c r="AO331" s="75"/>
      <c r="AP331" s="48"/>
      <c r="AQ331" s="48"/>
      <c r="AR331" s="48"/>
      <c r="AS331" s="48"/>
      <c r="AT331" s="48"/>
      <c r="AU331" s="48"/>
      <c r="AV331" s="48"/>
      <c r="AW331" s="48"/>
      <c r="AX331" s="48"/>
      <c r="AY331" s="48"/>
      <c r="AZ331" s="48"/>
      <c r="BA331" s="48"/>
      <c r="BB331" s="48"/>
      <c r="BC331" s="48"/>
      <c r="BD331" s="48"/>
      <c r="BE331" s="48"/>
      <c r="BF331" s="48"/>
      <c r="BG331" s="48"/>
      <c r="BH331" s="48"/>
      <c r="BI331" s="48"/>
    </row>
    <row r="332" ht="15.75" customHeight="1">
      <c r="A332" s="41" t="str">
        <f t="shared" si="5"/>
        <v>Pièces[...]</v>
      </c>
      <c r="B332" s="57" t="s">
        <v>56</v>
      </c>
      <c r="C332" s="53"/>
      <c r="D332" s="100"/>
      <c r="E332" s="91"/>
      <c r="F332" s="53"/>
      <c r="G332" s="100"/>
      <c r="H332" s="91"/>
      <c r="I332" s="53"/>
      <c r="J332" s="100"/>
      <c r="K332" s="91"/>
      <c r="L332" s="53"/>
      <c r="M332" s="100"/>
      <c r="N332" s="91"/>
      <c r="O332" s="53"/>
      <c r="P332" s="100"/>
      <c r="Q332" s="91"/>
      <c r="R332" s="53"/>
      <c r="S332" s="100"/>
      <c r="T332" s="91"/>
      <c r="U332" s="53"/>
      <c r="V332" s="100"/>
      <c r="W332" s="91"/>
      <c r="X332" s="53"/>
      <c r="Y332" s="100"/>
      <c r="Z332" s="91"/>
      <c r="AA332" s="53"/>
      <c r="AB332" s="100"/>
      <c r="AC332" s="91"/>
      <c r="AD332" s="53"/>
      <c r="AE332" s="100"/>
      <c r="AF332" s="91"/>
      <c r="AG332" s="53"/>
      <c r="AH332" s="100"/>
      <c r="AI332" s="91"/>
      <c r="AJ332" s="53"/>
      <c r="AK332" s="100"/>
      <c r="AL332" s="91"/>
      <c r="AM332" s="53"/>
      <c r="AN332" s="100"/>
      <c r="AO332" s="91"/>
      <c r="AP332" s="48"/>
      <c r="AQ332" s="48"/>
      <c r="AR332" s="48"/>
      <c r="AS332" s="48"/>
      <c r="AT332" s="48"/>
      <c r="AU332" s="48"/>
      <c r="AV332" s="48"/>
      <c r="AW332" s="48"/>
      <c r="AX332" s="48"/>
      <c r="AY332" s="48"/>
      <c r="AZ332" s="48"/>
      <c r="BA332" s="48"/>
      <c r="BB332" s="48"/>
      <c r="BC332" s="48"/>
      <c r="BD332" s="48"/>
      <c r="BE332" s="48"/>
      <c r="BF332" s="48"/>
      <c r="BG332" s="48"/>
      <c r="BH332" s="48"/>
      <c r="BI332" s="48"/>
    </row>
    <row r="333" ht="15.75" customHeight="1">
      <c r="A333" s="41" t="str">
        <f t="shared" si="5"/>
        <v>PiècesTOTAL PERSONNEL</v>
      </c>
      <c r="B333" s="92" t="s">
        <v>127</v>
      </c>
      <c r="C333" s="93"/>
      <c r="D333" s="94"/>
      <c r="E333" s="95"/>
      <c r="F333" s="93"/>
      <c r="G333" s="94"/>
      <c r="H333" s="95"/>
      <c r="I333" s="93"/>
      <c r="J333" s="94"/>
      <c r="K333" s="95"/>
      <c r="L333" s="93"/>
      <c r="M333" s="94"/>
      <c r="N333" s="95"/>
      <c r="O333" s="93"/>
      <c r="P333" s="94"/>
      <c r="Q333" s="95"/>
      <c r="R333" s="93"/>
      <c r="S333" s="94"/>
      <c r="T333" s="95"/>
      <c r="U333" s="93"/>
      <c r="V333" s="94"/>
      <c r="W333" s="95"/>
      <c r="X333" s="93"/>
      <c r="Y333" s="94"/>
      <c r="Z333" s="95"/>
      <c r="AA333" s="93"/>
      <c r="AB333" s="94"/>
      <c r="AC333" s="95"/>
      <c r="AD333" s="93"/>
      <c r="AE333" s="94"/>
      <c r="AF333" s="95"/>
      <c r="AG333" s="93"/>
      <c r="AH333" s="94"/>
      <c r="AI333" s="95"/>
      <c r="AJ333" s="93"/>
      <c r="AK333" s="94"/>
      <c r="AL333" s="95"/>
      <c r="AM333" s="93"/>
      <c r="AN333" s="94"/>
      <c r="AO333" s="95"/>
      <c r="AP333" s="48"/>
      <c r="AQ333" s="48"/>
      <c r="AR333" s="48"/>
      <c r="AS333" s="48"/>
      <c r="AT333" s="48"/>
      <c r="AU333" s="48"/>
      <c r="AV333" s="48"/>
      <c r="AW333" s="48"/>
      <c r="AX333" s="48"/>
      <c r="AY333" s="48"/>
      <c r="AZ333" s="48"/>
      <c r="BA333" s="48"/>
      <c r="BB333" s="48"/>
      <c r="BC333" s="48"/>
      <c r="BD333" s="48"/>
      <c r="BE333" s="48"/>
      <c r="BF333" s="48"/>
      <c r="BG333" s="48"/>
      <c r="BH333" s="48"/>
      <c r="BI333" s="48"/>
    </row>
    <row r="334" ht="15.75" customHeight="1">
      <c r="A334" s="41" t="str">
        <f t="shared" si="5"/>
        <v>PiècesPublicité 2</v>
      </c>
      <c r="B334" s="150" t="s">
        <v>128</v>
      </c>
      <c r="C334" s="57"/>
      <c r="D334" s="74"/>
      <c r="E334" s="75"/>
      <c r="F334" s="57"/>
      <c r="G334" s="74"/>
      <c r="H334" s="75"/>
      <c r="I334" s="57"/>
      <c r="J334" s="74"/>
      <c r="K334" s="75"/>
      <c r="L334" s="57"/>
      <c r="M334" s="74"/>
      <c r="N334" s="75"/>
      <c r="O334" s="57"/>
      <c r="P334" s="74"/>
      <c r="Q334" s="75"/>
      <c r="R334" s="57"/>
      <c r="S334" s="74"/>
      <c r="T334" s="75"/>
      <c r="U334" s="57"/>
      <c r="V334" s="74"/>
      <c r="W334" s="75"/>
      <c r="X334" s="57"/>
      <c r="Y334" s="74"/>
      <c r="Z334" s="75"/>
      <c r="AA334" s="57"/>
      <c r="AB334" s="74"/>
      <c r="AC334" s="75"/>
      <c r="AD334" s="57"/>
      <c r="AE334" s="74"/>
      <c r="AF334" s="75"/>
      <c r="AG334" s="57"/>
      <c r="AH334" s="74"/>
      <c r="AI334" s="75"/>
      <c r="AJ334" s="57"/>
      <c r="AK334" s="74"/>
      <c r="AL334" s="75"/>
      <c r="AM334" s="57"/>
      <c r="AN334" s="74"/>
      <c r="AO334" s="75"/>
      <c r="AP334" s="48"/>
      <c r="AQ334" s="48"/>
      <c r="AR334" s="48"/>
      <c r="AS334" s="48"/>
      <c r="AT334" s="48"/>
      <c r="AU334" s="48"/>
      <c r="AV334" s="48"/>
      <c r="AW334" s="48"/>
      <c r="AX334" s="48"/>
      <c r="AY334" s="48"/>
      <c r="AZ334" s="48"/>
      <c r="BA334" s="48"/>
      <c r="BB334" s="48"/>
      <c r="BC334" s="48"/>
      <c r="BD334" s="48"/>
      <c r="BE334" s="48"/>
      <c r="BF334" s="48"/>
      <c r="BG334" s="48"/>
      <c r="BH334" s="48"/>
      <c r="BI334" s="48"/>
    </row>
    <row r="335" ht="15.75" customHeight="1">
      <c r="A335" s="41" t="str">
        <f t="shared" si="5"/>
        <v>PiècesService gratuit 2</v>
      </c>
      <c r="B335" s="96" t="s">
        <v>129</v>
      </c>
      <c r="C335" s="57"/>
      <c r="D335" s="74"/>
      <c r="E335" s="75"/>
      <c r="F335" s="57"/>
      <c r="G335" s="74"/>
      <c r="H335" s="75"/>
      <c r="I335" s="57"/>
      <c r="J335" s="74"/>
      <c r="K335" s="75"/>
      <c r="L335" s="57"/>
      <c r="M335" s="74"/>
      <c r="N335" s="75"/>
      <c r="O335" s="57"/>
      <c r="P335" s="74"/>
      <c r="Q335" s="75"/>
      <c r="R335" s="57"/>
      <c r="S335" s="74"/>
      <c r="T335" s="75"/>
      <c r="U335" s="57"/>
      <c r="V335" s="74"/>
      <c r="W335" s="75"/>
      <c r="X335" s="57"/>
      <c r="Y335" s="74"/>
      <c r="Z335" s="75"/>
      <c r="AA335" s="57"/>
      <c r="AB335" s="74"/>
      <c r="AC335" s="75"/>
      <c r="AD335" s="57"/>
      <c r="AE335" s="74"/>
      <c r="AF335" s="75"/>
      <c r="AG335" s="57"/>
      <c r="AH335" s="74"/>
      <c r="AI335" s="75"/>
      <c r="AJ335" s="57"/>
      <c r="AK335" s="74"/>
      <c r="AL335" s="75"/>
      <c r="AM335" s="57"/>
      <c r="AN335" s="74"/>
      <c r="AO335" s="75"/>
      <c r="AP335" s="48"/>
      <c r="AQ335" s="48"/>
      <c r="AR335" s="48"/>
      <c r="AS335" s="48"/>
      <c r="AT335" s="48"/>
      <c r="AU335" s="48"/>
      <c r="AV335" s="48"/>
      <c r="AW335" s="48"/>
      <c r="AX335" s="48"/>
      <c r="AY335" s="48"/>
      <c r="AZ335" s="48"/>
      <c r="BA335" s="48"/>
      <c r="BB335" s="48"/>
      <c r="BC335" s="48"/>
      <c r="BD335" s="48"/>
      <c r="BE335" s="48"/>
      <c r="BF335" s="48"/>
      <c r="BG335" s="48"/>
      <c r="BH335" s="48"/>
      <c r="BI335" s="48"/>
    </row>
    <row r="336" ht="15.75" customHeight="1">
      <c r="A336" s="41" t="str">
        <f t="shared" si="5"/>
        <v>PiècesFrais véhicules de cie</v>
      </c>
      <c r="B336" s="97" t="s">
        <v>130</v>
      </c>
      <c r="C336" s="53"/>
      <c r="D336" s="100"/>
      <c r="E336" s="91"/>
      <c r="F336" s="53"/>
      <c r="G336" s="100"/>
      <c r="H336" s="91"/>
      <c r="I336" s="53"/>
      <c r="J336" s="100"/>
      <c r="K336" s="91"/>
      <c r="L336" s="53"/>
      <c r="M336" s="100"/>
      <c r="N336" s="91"/>
      <c r="O336" s="53"/>
      <c r="P336" s="100"/>
      <c r="Q336" s="91"/>
      <c r="R336" s="53"/>
      <c r="S336" s="100"/>
      <c r="T336" s="91"/>
      <c r="U336" s="53"/>
      <c r="V336" s="100"/>
      <c r="W336" s="91"/>
      <c r="X336" s="53"/>
      <c r="Y336" s="100"/>
      <c r="Z336" s="91"/>
      <c r="AA336" s="53"/>
      <c r="AB336" s="100"/>
      <c r="AC336" s="91"/>
      <c r="AD336" s="53"/>
      <c r="AE336" s="100"/>
      <c r="AF336" s="91"/>
      <c r="AG336" s="53"/>
      <c r="AH336" s="100"/>
      <c r="AI336" s="91"/>
      <c r="AJ336" s="53"/>
      <c r="AK336" s="100"/>
      <c r="AL336" s="91"/>
      <c r="AM336" s="53"/>
      <c r="AN336" s="100"/>
      <c r="AO336" s="91"/>
      <c r="AP336" s="48"/>
      <c r="AQ336" s="48"/>
      <c r="AR336" s="48"/>
      <c r="AS336" s="48"/>
      <c r="AT336" s="48"/>
      <c r="AU336" s="48"/>
      <c r="AV336" s="48"/>
      <c r="AW336" s="48"/>
      <c r="AX336" s="48"/>
      <c r="AY336" s="48"/>
      <c r="AZ336" s="48"/>
      <c r="BA336" s="48"/>
      <c r="BB336" s="48"/>
      <c r="BC336" s="48"/>
      <c r="BD336" s="48"/>
      <c r="BE336" s="48"/>
      <c r="BF336" s="48"/>
      <c r="BG336" s="48"/>
      <c r="BH336" s="48"/>
      <c r="BI336" s="48"/>
    </row>
    <row r="337" ht="15.75" customHeight="1">
      <c r="A337" s="41" t="str">
        <f t="shared" si="5"/>
        <v>PiècesInformatique</v>
      </c>
      <c r="B337" s="96" t="s">
        <v>131</v>
      </c>
      <c r="C337" s="57"/>
      <c r="D337" s="74"/>
      <c r="E337" s="75"/>
      <c r="F337" s="57"/>
      <c r="G337" s="74"/>
      <c r="H337" s="75"/>
      <c r="I337" s="57"/>
      <c r="J337" s="74"/>
      <c r="K337" s="75"/>
      <c r="L337" s="57"/>
      <c r="M337" s="74"/>
      <c r="N337" s="75"/>
      <c r="O337" s="57"/>
      <c r="P337" s="74"/>
      <c r="Q337" s="75"/>
      <c r="R337" s="57"/>
      <c r="S337" s="74"/>
      <c r="T337" s="75"/>
      <c r="U337" s="57"/>
      <c r="V337" s="74"/>
      <c r="W337" s="75"/>
      <c r="X337" s="57"/>
      <c r="Y337" s="74"/>
      <c r="Z337" s="75"/>
      <c r="AA337" s="57"/>
      <c r="AB337" s="74"/>
      <c r="AC337" s="75"/>
      <c r="AD337" s="57"/>
      <c r="AE337" s="74"/>
      <c r="AF337" s="75"/>
      <c r="AG337" s="57"/>
      <c r="AH337" s="74"/>
      <c r="AI337" s="75"/>
      <c r="AJ337" s="57"/>
      <c r="AK337" s="74"/>
      <c r="AL337" s="75"/>
      <c r="AM337" s="57"/>
      <c r="AN337" s="74"/>
      <c r="AO337" s="75"/>
      <c r="AP337" s="48"/>
      <c r="AQ337" s="48"/>
      <c r="AR337" s="48"/>
      <c r="AS337" s="48"/>
      <c r="AT337" s="48"/>
      <c r="AU337" s="48"/>
      <c r="AV337" s="48"/>
      <c r="AW337" s="48"/>
      <c r="AX337" s="48"/>
      <c r="AY337" s="48"/>
      <c r="AZ337" s="48"/>
      <c r="BA337" s="48"/>
      <c r="BB337" s="48"/>
      <c r="BC337" s="48"/>
      <c r="BD337" s="48"/>
      <c r="BE337" s="48"/>
      <c r="BF337" s="48"/>
      <c r="BG337" s="48"/>
      <c r="BH337" s="48"/>
      <c r="BI337" s="48"/>
    </row>
    <row r="338" ht="15.75" customHeight="1">
      <c r="A338" s="41" t="str">
        <f t="shared" si="5"/>
        <v>PiècesFrais de déplacement</v>
      </c>
      <c r="B338" s="96" t="s">
        <v>132</v>
      </c>
      <c r="C338" s="57"/>
      <c r="D338" s="74"/>
      <c r="E338" s="75"/>
      <c r="F338" s="57"/>
      <c r="G338" s="74"/>
      <c r="H338" s="75"/>
      <c r="I338" s="57"/>
      <c r="J338" s="74"/>
      <c r="K338" s="75"/>
      <c r="L338" s="57"/>
      <c r="M338" s="74"/>
      <c r="N338" s="75"/>
      <c r="O338" s="57"/>
      <c r="P338" s="74"/>
      <c r="Q338" s="75"/>
      <c r="R338" s="57"/>
      <c r="S338" s="74"/>
      <c r="T338" s="75"/>
      <c r="U338" s="57"/>
      <c r="V338" s="74"/>
      <c r="W338" s="75"/>
      <c r="X338" s="57"/>
      <c r="Y338" s="74"/>
      <c r="Z338" s="75"/>
      <c r="AA338" s="57"/>
      <c r="AB338" s="74"/>
      <c r="AC338" s="75"/>
      <c r="AD338" s="57"/>
      <c r="AE338" s="74"/>
      <c r="AF338" s="75"/>
      <c r="AG338" s="57"/>
      <c r="AH338" s="74"/>
      <c r="AI338" s="75"/>
      <c r="AJ338" s="57"/>
      <c r="AK338" s="74"/>
      <c r="AL338" s="75"/>
      <c r="AM338" s="57"/>
      <c r="AN338" s="74"/>
      <c r="AO338" s="75"/>
      <c r="AP338" s="48"/>
      <c r="AQ338" s="48"/>
      <c r="AR338" s="48"/>
      <c r="AS338" s="48"/>
      <c r="AT338" s="48"/>
      <c r="AU338" s="48"/>
      <c r="AV338" s="48"/>
      <c r="AW338" s="48"/>
      <c r="AX338" s="48"/>
      <c r="AY338" s="48"/>
      <c r="AZ338" s="48"/>
      <c r="BA338" s="48"/>
      <c r="BB338" s="48"/>
      <c r="BC338" s="48"/>
      <c r="BD338" s="48"/>
      <c r="BE338" s="48"/>
      <c r="BF338" s="48"/>
      <c r="BG338" s="48"/>
      <c r="BH338" s="48"/>
      <c r="BI338" s="48"/>
    </row>
    <row r="339" ht="15.75" customHeight="1">
      <c r="A339" s="41" t="str">
        <f t="shared" si="5"/>
        <v>PiècesServices extérieurs</v>
      </c>
      <c r="B339" s="97" t="s">
        <v>133</v>
      </c>
      <c r="C339" s="53"/>
      <c r="D339" s="100"/>
      <c r="E339" s="91"/>
      <c r="F339" s="53"/>
      <c r="G339" s="100"/>
      <c r="H339" s="91"/>
      <c r="I339" s="53"/>
      <c r="J339" s="100"/>
      <c r="K339" s="91"/>
      <c r="L339" s="53"/>
      <c r="M339" s="100"/>
      <c r="N339" s="91"/>
      <c r="O339" s="53"/>
      <c r="P339" s="100"/>
      <c r="Q339" s="91"/>
      <c r="R339" s="53"/>
      <c r="S339" s="100"/>
      <c r="T339" s="91"/>
      <c r="U339" s="53"/>
      <c r="V339" s="100"/>
      <c r="W339" s="91"/>
      <c r="X339" s="53"/>
      <c r="Y339" s="100"/>
      <c r="Z339" s="91"/>
      <c r="AA339" s="53"/>
      <c r="AB339" s="100"/>
      <c r="AC339" s="91"/>
      <c r="AD339" s="53"/>
      <c r="AE339" s="100"/>
      <c r="AF339" s="91"/>
      <c r="AG339" s="53"/>
      <c r="AH339" s="100"/>
      <c r="AI339" s="91"/>
      <c r="AJ339" s="53"/>
      <c r="AK339" s="100"/>
      <c r="AL339" s="91"/>
      <c r="AM339" s="53"/>
      <c r="AN339" s="100"/>
      <c r="AO339" s="91"/>
      <c r="AP339" s="48"/>
      <c r="AQ339" s="48"/>
      <c r="AR339" s="48"/>
      <c r="AS339" s="48"/>
      <c r="AT339" s="48"/>
      <c r="AU339" s="48"/>
      <c r="AV339" s="48"/>
      <c r="AW339" s="48"/>
      <c r="AX339" s="48"/>
      <c r="AY339" s="48"/>
      <c r="AZ339" s="48"/>
      <c r="BA339" s="48"/>
      <c r="BB339" s="48"/>
      <c r="BC339" s="48"/>
      <c r="BD339" s="48"/>
      <c r="BE339" s="48"/>
      <c r="BF339" s="48"/>
      <c r="BG339" s="48"/>
      <c r="BH339" s="48"/>
      <c r="BI339" s="48"/>
    </row>
    <row r="340" ht="15.75" customHeight="1">
      <c r="A340" s="41" t="str">
        <f t="shared" si="5"/>
        <v>PiècesFournitures d'atelier</v>
      </c>
      <c r="B340" s="96" t="s">
        <v>173</v>
      </c>
      <c r="C340" s="57"/>
      <c r="D340" s="74"/>
      <c r="E340" s="75"/>
      <c r="F340" s="57"/>
      <c r="G340" s="74"/>
      <c r="H340" s="75"/>
      <c r="I340" s="57"/>
      <c r="J340" s="74"/>
      <c r="K340" s="75"/>
      <c r="L340" s="57"/>
      <c r="M340" s="74"/>
      <c r="N340" s="75"/>
      <c r="O340" s="57"/>
      <c r="P340" s="74"/>
      <c r="Q340" s="75"/>
      <c r="R340" s="57"/>
      <c r="S340" s="74"/>
      <c r="T340" s="75"/>
      <c r="U340" s="57"/>
      <c r="V340" s="74"/>
      <c r="W340" s="75"/>
      <c r="X340" s="57"/>
      <c r="Y340" s="74"/>
      <c r="Z340" s="75"/>
      <c r="AA340" s="57"/>
      <c r="AB340" s="74"/>
      <c r="AC340" s="75"/>
      <c r="AD340" s="57"/>
      <c r="AE340" s="74"/>
      <c r="AF340" s="75"/>
      <c r="AG340" s="57"/>
      <c r="AH340" s="74"/>
      <c r="AI340" s="75"/>
      <c r="AJ340" s="57"/>
      <c r="AK340" s="74"/>
      <c r="AL340" s="75"/>
      <c r="AM340" s="57"/>
      <c r="AN340" s="74"/>
      <c r="AO340" s="75"/>
      <c r="AP340" s="48"/>
      <c r="AQ340" s="48"/>
      <c r="AR340" s="48"/>
      <c r="AS340" s="48"/>
      <c r="AT340" s="48"/>
      <c r="AU340" s="48"/>
      <c r="AV340" s="48"/>
      <c r="AW340" s="48"/>
      <c r="AX340" s="48"/>
      <c r="AY340" s="48"/>
      <c r="AZ340" s="48"/>
      <c r="BA340" s="48"/>
      <c r="BB340" s="48"/>
      <c r="BC340" s="48"/>
      <c r="BD340" s="48"/>
      <c r="BE340" s="48"/>
      <c r="BF340" s="48"/>
      <c r="BG340" s="48"/>
      <c r="BH340" s="48"/>
      <c r="BI340" s="48"/>
    </row>
    <row r="341" ht="15.75" customHeight="1">
      <c r="A341" s="41" t="str">
        <f t="shared" si="5"/>
        <v>PiècesFournitures autres</v>
      </c>
      <c r="B341" s="96" t="s">
        <v>134</v>
      </c>
      <c r="C341" s="57"/>
      <c r="D341" s="74"/>
      <c r="E341" s="75"/>
      <c r="F341" s="57"/>
      <c r="G341" s="74"/>
      <c r="H341" s="75"/>
      <c r="I341" s="57"/>
      <c r="J341" s="74"/>
      <c r="K341" s="75"/>
      <c r="L341" s="57"/>
      <c r="M341" s="74"/>
      <c r="N341" s="75"/>
      <c r="O341" s="57"/>
      <c r="P341" s="74"/>
      <c r="Q341" s="75"/>
      <c r="R341" s="57"/>
      <c r="S341" s="74"/>
      <c r="T341" s="75"/>
      <c r="U341" s="57"/>
      <c r="V341" s="74"/>
      <c r="W341" s="75"/>
      <c r="X341" s="57"/>
      <c r="Y341" s="74"/>
      <c r="Z341" s="75"/>
      <c r="AA341" s="57"/>
      <c r="AB341" s="74"/>
      <c r="AC341" s="75"/>
      <c r="AD341" s="57"/>
      <c r="AE341" s="74"/>
      <c r="AF341" s="75"/>
      <c r="AG341" s="57"/>
      <c r="AH341" s="74"/>
      <c r="AI341" s="75"/>
      <c r="AJ341" s="57"/>
      <c r="AK341" s="74"/>
      <c r="AL341" s="75"/>
      <c r="AM341" s="57"/>
      <c r="AN341" s="74"/>
      <c r="AO341" s="75"/>
      <c r="AP341" s="48"/>
      <c r="AQ341" s="48"/>
      <c r="AR341" s="48"/>
      <c r="AS341" s="48"/>
      <c r="AT341" s="48"/>
      <c r="AU341" s="48"/>
      <c r="AV341" s="48"/>
      <c r="AW341" s="48"/>
      <c r="AX341" s="48"/>
      <c r="AY341" s="48"/>
      <c r="AZ341" s="48"/>
      <c r="BA341" s="48"/>
      <c r="BB341" s="48"/>
      <c r="BC341" s="48"/>
      <c r="BD341" s="48"/>
      <c r="BE341" s="48"/>
      <c r="BF341" s="48"/>
      <c r="BG341" s="48"/>
      <c r="BH341" s="48"/>
      <c r="BI341" s="48"/>
    </row>
    <row r="342" ht="15.75" customHeight="1">
      <c r="A342" s="41" t="str">
        <f t="shared" si="5"/>
        <v>PiècesUniformes</v>
      </c>
      <c r="B342" s="96" t="s">
        <v>135</v>
      </c>
      <c r="C342" s="57"/>
      <c r="D342" s="74"/>
      <c r="E342" s="75"/>
      <c r="F342" s="57"/>
      <c r="G342" s="74"/>
      <c r="H342" s="75"/>
      <c r="I342" s="57"/>
      <c r="J342" s="74"/>
      <c r="K342" s="75"/>
      <c r="L342" s="57"/>
      <c r="M342" s="74"/>
      <c r="N342" s="75"/>
      <c r="O342" s="57"/>
      <c r="P342" s="74"/>
      <c r="Q342" s="75"/>
      <c r="R342" s="57"/>
      <c r="S342" s="74"/>
      <c r="T342" s="75"/>
      <c r="U342" s="57"/>
      <c r="V342" s="74"/>
      <c r="W342" s="75"/>
      <c r="X342" s="57"/>
      <c r="Y342" s="74"/>
      <c r="Z342" s="75"/>
      <c r="AA342" s="57"/>
      <c r="AB342" s="74"/>
      <c r="AC342" s="75"/>
      <c r="AD342" s="57"/>
      <c r="AE342" s="74"/>
      <c r="AF342" s="75"/>
      <c r="AG342" s="57"/>
      <c r="AH342" s="74"/>
      <c r="AI342" s="75"/>
      <c r="AJ342" s="57"/>
      <c r="AK342" s="74"/>
      <c r="AL342" s="75"/>
      <c r="AM342" s="57"/>
      <c r="AN342" s="74"/>
      <c r="AO342" s="75"/>
      <c r="AP342" s="48"/>
      <c r="AQ342" s="48"/>
      <c r="AR342" s="48"/>
      <c r="AS342" s="48"/>
      <c r="AT342" s="48"/>
      <c r="AU342" s="48"/>
      <c r="AV342" s="48"/>
      <c r="AW342" s="48"/>
      <c r="AX342" s="48"/>
      <c r="AY342" s="48"/>
      <c r="AZ342" s="48"/>
      <c r="BA342" s="48"/>
      <c r="BB342" s="48"/>
      <c r="BC342" s="48"/>
      <c r="BD342" s="48"/>
      <c r="BE342" s="48"/>
      <c r="BF342" s="48"/>
      <c r="BG342" s="48"/>
      <c r="BH342" s="48"/>
      <c r="BI342" s="48"/>
    </row>
    <row r="343" ht="15.75" customHeight="1">
      <c r="A343" s="41" t="str">
        <f t="shared" si="5"/>
        <v>PiècesPapeterie</v>
      </c>
      <c r="B343" s="96" t="s">
        <v>136</v>
      </c>
      <c r="C343" s="57"/>
      <c r="D343" s="74"/>
      <c r="E343" s="75"/>
      <c r="F343" s="57"/>
      <c r="G343" s="74"/>
      <c r="H343" s="75"/>
      <c r="I343" s="57"/>
      <c r="J343" s="74"/>
      <c r="K343" s="75"/>
      <c r="L343" s="57"/>
      <c r="M343" s="74"/>
      <c r="N343" s="75"/>
      <c r="O343" s="57"/>
      <c r="P343" s="74"/>
      <c r="Q343" s="75"/>
      <c r="R343" s="57"/>
      <c r="S343" s="74"/>
      <c r="T343" s="75"/>
      <c r="U343" s="57"/>
      <c r="V343" s="74"/>
      <c r="W343" s="75"/>
      <c r="X343" s="57"/>
      <c r="Y343" s="74"/>
      <c r="Z343" s="75"/>
      <c r="AA343" s="57"/>
      <c r="AB343" s="74"/>
      <c r="AC343" s="75"/>
      <c r="AD343" s="57"/>
      <c r="AE343" s="74"/>
      <c r="AF343" s="75"/>
      <c r="AG343" s="57"/>
      <c r="AH343" s="74"/>
      <c r="AI343" s="75"/>
      <c r="AJ343" s="57"/>
      <c r="AK343" s="74"/>
      <c r="AL343" s="75"/>
      <c r="AM343" s="57"/>
      <c r="AN343" s="74"/>
      <c r="AO343" s="75"/>
      <c r="AP343" s="48"/>
      <c r="AQ343" s="48"/>
      <c r="AR343" s="48"/>
      <c r="AS343" s="48"/>
      <c r="AT343" s="48"/>
      <c r="AU343" s="48"/>
      <c r="AV343" s="48"/>
      <c r="AW343" s="48"/>
      <c r="AX343" s="48"/>
      <c r="AY343" s="48"/>
      <c r="AZ343" s="48"/>
      <c r="BA343" s="48"/>
      <c r="BB343" s="48"/>
      <c r="BC343" s="48"/>
      <c r="BD343" s="48"/>
      <c r="BE343" s="48"/>
      <c r="BF343" s="48"/>
      <c r="BG343" s="48"/>
      <c r="BH343" s="48"/>
      <c r="BI343" s="48"/>
    </row>
    <row r="344" ht="15.75" customHeight="1">
      <c r="A344" s="41" t="str">
        <f t="shared" si="5"/>
        <v>PiècesTéléphone</v>
      </c>
      <c r="B344" s="96" t="s">
        <v>137</v>
      </c>
      <c r="C344" s="57"/>
      <c r="D344" s="74"/>
      <c r="E344" s="75"/>
      <c r="F344" s="57"/>
      <c r="G344" s="74"/>
      <c r="H344" s="75"/>
      <c r="I344" s="57"/>
      <c r="J344" s="74"/>
      <c r="K344" s="75"/>
      <c r="L344" s="57"/>
      <c r="M344" s="74"/>
      <c r="N344" s="75"/>
      <c r="O344" s="57"/>
      <c r="P344" s="74"/>
      <c r="Q344" s="75"/>
      <c r="R344" s="57"/>
      <c r="S344" s="74"/>
      <c r="T344" s="75"/>
      <c r="U344" s="57"/>
      <c r="V344" s="74"/>
      <c r="W344" s="75"/>
      <c r="X344" s="57"/>
      <c r="Y344" s="74"/>
      <c r="Z344" s="75"/>
      <c r="AA344" s="57"/>
      <c r="AB344" s="74"/>
      <c r="AC344" s="75"/>
      <c r="AD344" s="57"/>
      <c r="AE344" s="74"/>
      <c r="AF344" s="75"/>
      <c r="AG344" s="57"/>
      <c r="AH344" s="74"/>
      <c r="AI344" s="75"/>
      <c r="AJ344" s="57"/>
      <c r="AK344" s="74"/>
      <c r="AL344" s="75"/>
      <c r="AM344" s="57"/>
      <c r="AN344" s="74"/>
      <c r="AO344" s="75"/>
      <c r="AP344" s="48"/>
      <c r="AQ344" s="48"/>
      <c r="AR344" s="48"/>
      <c r="AS344" s="48"/>
      <c r="AT344" s="48"/>
      <c r="AU344" s="48"/>
      <c r="AV344" s="48"/>
      <c r="AW344" s="48"/>
      <c r="AX344" s="48"/>
      <c r="AY344" s="48"/>
      <c r="AZ344" s="48"/>
      <c r="BA344" s="48"/>
      <c r="BB344" s="48"/>
      <c r="BC344" s="48"/>
      <c r="BD344" s="48"/>
      <c r="BE344" s="48"/>
      <c r="BF344" s="48"/>
      <c r="BG344" s="48"/>
      <c r="BH344" s="48"/>
      <c r="BI344" s="48"/>
    </row>
    <row r="345" ht="15.75" customHeight="1">
      <c r="A345" s="41" t="str">
        <f t="shared" si="5"/>
        <v>PiècesFrais postaux</v>
      </c>
      <c r="B345" s="96" t="s">
        <v>138</v>
      </c>
      <c r="C345" s="57"/>
      <c r="D345" s="74"/>
      <c r="E345" s="75"/>
      <c r="F345" s="57"/>
      <c r="G345" s="74"/>
      <c r="H345" s="75"/>
      <c r="I345" s="57"/>
      <c r="J345" s="74"/>
      <c r="K345" s="75"/>
      <c r="L345" s="57"/>
      <c r="M345" s="74"/>
      <c r="N345" s="75"/>
      <c r="O345" s="57"/>
      <c r="P345" s="74"/>
      <c r="Q345" s="75"/>
      <c r="R345" s="57"/>
      <c r="S345" s="74"/>
      <c r="T345" s="75"/>
      <c r="U345" s="57"/>
      <c r="V345" s="74"/>
      <c r="W345" s="75"/>
      <c r="X345" s="57"/>
      <c r="Y345" s="74"/>
      <c r="Z345" s="75"/>
      <c r="AA345" s="57"/>
      <c r="AB345" s="74"/>
      <c r="AC345" s="75"/>
      <c r="AD345" s="57"/>
      <c r="AE345" s="74"/>
      <c r="AF345" s="75"/>
      <c r="AG345" s="57"/>
      <c r="AH345" s="74"/>
      <c r="AI345" s="75"/>
      <c r="AJ345" s="57"/>
      <c r="AK345" s="74"/>
      <c r="AL345" s="75"/>
      <c r="AM345" s="57"/>
      <c r="AN345" s="74"/>
      <c r="AO345" s="75"/>
      <c r="AP345" s="48"/>
      <c r="AQ345" s="48"/>
      <c r="AR345" s="48"/>
      <c r="AS345" s="48"/>
      <c r="AT345" s="48"/>
      <c r="AU345" s="48"/>
      <c r="AV345" s="48"/>
      <c r="AW345" s="48"/>
      <c r="AX345" s="48"/>
      <c r="AY345" s="48"/>
      <c r="AZ345" s="48"/>
      <c r="BA345" s="48"/>
      <c r="BB345" s="48"/>
      <c r="BC345" s="48"/>
      <c r="BD345" s="48"/>
      <c r="BE345" s="48"/>
      <c r="BF345" s="48"/>
      <c r="BG345" s="48"/>
      <c r="BH345" s="48"/>
      <c r="BI345" s="48"/>
    </row>
    <row r="346" ht="15.75" customHeight="1">
      <c r="A346" s="41" t="str">
        <f t="shared" si="5"/>
        <v>PiècesDivers</v>
      </c>
      <c r="B346" s="96" t="s">
        <v>139</v>
      </c>
      <c r="C346" s="57"/>
      <c r="D346" s="74"/>
      <c r="E346" s="75"/>
      <c r="F346" s="57"/>
      <c r="G346" s="74"/>
      <c r="H346" s="75"/>
      <c r="I346" s="57"/>
      <c r="J346" s="74"/>
      <c r="K346" s="75"/>
      <c r="L346" s="57"/>
      <c r="M346" s="74"/>
      <c r="N346" s="75"/>
      <c r="O346" s="57"/>
      <c r="P346" s="74"/>
      <c r="Q346" s="75"/>
      <c r="R346" s="57"/>
      <c r="S346" s="74"/>
      <c r="T346" s="75"/>
      <c r="U346" s="57"/>
      <c r="V346" s="74"/>
      <c r="W346" s="75"/>
      <c r="X346" s="57"/>
      <c r="Y346" s="74"/>
      <c r="Z346" s="75"/>
      <c r="AA346" s="57"/>
      <c r="AB346" s="74"/>
      <c r="AC346" s="75"/>
      <c r="AD346" s="57"/>
      <c r="AE346" s="74"/>
      <c r="AF346" s="75"/>
      <c r="AG346" s="57"/>
      <c r="AH346" s="74"/>
      <c r="AI346" s="75"/>
      <c r="AJ346" s="57"/>
      <c r="AK346" s="74"/>
      <c r="AL346" s="75"/>
      <c r="AM346" s="57"/>
      <c r="AN346" s="74"/>
      <c r="AO346" s="75"/>
      <c r="AP346" s="48"/>
      <c r="AQ346" s="48"/>
      <c r="AR346" s="48"/>
      <c r="AS346" s="48"/>
      <c r="AT346" s="48"/>
      <c r="AU346" s="48"/>
      <c r="AV346" s="48"/>
      <c r="AW346" s="48"/>
      <c r="AX346" s="48"/>
      <c r="AY346" s="48"/>
      <c r="AZ346" s="48"/>
      <c r="BA346" s="48"/>
      <c r="BB346" s="48"/>
      <c r="BC346" s="48"/>
      <c r="BD346" s="48"/>
      <c r="BE346" s="48"/>
      <c r="BF346" s="48"/>
      <c r="BG346" s="48"/>
      <c r="BH346" s="48"/>
      <c r="BI346" s="48"/>
    </row>
    <row r="347" ht="15.75" customHeight="1">
      <c r="A347" s="41" t="str">
        <f t="shared" si="5"/>
        <v>PiècesFormation</v>
      </c>
      <c r="B347" s="96" t="s">
        <v>140</v>
      </c>
      <c r="C347" s="57"/>
      <c r="D347" s="74"/>
      <c r="E347" s="75"/>
      <c r="F347" s="57"/>
      <c r="G347" s="74"/>
      <c r="H347" s="75"/>
      <c r="I347" s="57"/>
      <c r="J347" s="74"/>
      <c r="K347" s="75"/>
      <c r="L347" s="57"/>
      <c r="M347" s="74"/>
      <c r="N347" s="75"/>
      <c r="O347" s="57"/>
      <c r="P347" s="74"/>
      <c r="Q347" s="75"/>
      <c r="R347" s="57"/>
      <c r="S347" s="74"/>
      <c r="T347" s="75"/>
      <c r="U347" s="57"/>
      <c r="V347" s="74"/>
      <c r="W347" s="75"/>
      <c r="X347" s="57"/>
      <c r="Y347" s="74"/>
      <c r="Z347" s="75"/>
      <c r="AA347" s="57"/>
      <c r="AB347" s="74"/>
      <c r="AC347" s="75"/>
      <c r="AD347" s="57"/>
      <c r="AE347" s="74"/>
      <c r="AF347" s="75"/>
      <c r="AG347" s="57"/>
      <c r="AH347" s="74"/>
      <c r="AI347" s="75"/>
      <c r="AJ347" s="57"/>
      <c r="AK347" s="74"/>
      <c r="AL347" s="75"/>
      <c r="AM347" s="57"/>
      <c r="AN347" s="74"/>
      <c r="AO347" s="75"/>
      <c r="AP347" s="40"/>
      <c r="AQ347" s="40"/>
      <c r="AR347" s="40"/>
      <c r="AS347" s="40"/>
      <c r="AT347" s="40"/>
      <c r="AU347" s="40"/>
      <c r="AV347" s="40"/>
      <c r="AW347" s="40"/>
      <c r="AX347" s="40"/>
      <c r="AY347" s="40"/>
      <c r="AZ347" s="40"/>
      <c r="BA347" s="40"/>
      <c r="BB347" s="40"/>
      <c r="BC347" s="40"/>
      <c r="BD347" s="40"/>
      <c r="BE347" s="40"/>
      <c r="BF347" s="40"/>
      <c r="BG347" s="40"/>
      <c r="BH347" s="40"/>
      <c r="BI347" s="40"/>
    </row>
    <row r="348" ht="15.75" customHeight="1">
      <c r="A348" s="41" t="str">
        <f t="shared" si="5"/>
        <v>PiècesFrais bancaires</v>
      </c>
      <c r="B348" s="96" t="s">
        <v>141</v>
      </c>
      <c r="C348" s="57"/>
      <c r="D348" s="74"/>
      <c r="E348" s="75"/>
      <c r="F348" s="57"/>
      <c r="G348" s="74"/>
      <c r="H348" s="75"/>
      <c r="I348" s="57"/>
      <c r="J348" s="74"/>
      <c r="K348" s="75"/>
      <c r="L348" s="57"/>
      <c r="M348" s="74"/>
      <c r="N348" s="75"/>
      <c r="O348" s="57"/>
      <c r="P348" s="74"/>
      <c r="Q348" s="75"/>
      <c r="R348" s="57"/>
      <c r="S348" s="74"/>
      <c r="T348" s="75"/>
      <c r="U348" s="57"/>
      <c r="V348" s="74"/>
      <c r="W348" s="75"/>
      <c r="X348" s="57"/>
      <c r="Y348" s="74"/>
      <c r="Z348" s="75"/>
      <c r="AA348" s="57"/>
      <c r="AB348" s="74"/>
      <c r="AC348" s="75"/>
      <c r="AD348" s="57"/>
      <c r="AE348" s="74"/>
      <c r="AF348" s="75"/>
      <c r="AG348" s="57"/>
      <c r="AH348" s="74"/>
      <c r="AI348" s="75"/>
      <c r="AJ348" s="57"/>
      <c r="AK348" s="74"/>
      <c r="AL348" s="75"/>
      <c r="AM348" s="57"/>
      <c r="AN348" s="74"/>
      <c r="AO348" s="75"/>
      <c r="AP348" s="40"/>
      <c r="AQ348" s="40"/>
      <c r="AR348" s="40"/>
      <c r="AS348" s="40"/>
      <c r="AT348" s="40"/>
      <c r="AU348" s="40"/>
      <c r="AV348" s="40"/>
      <c r="AW348" s="40"/>
      <c r="AX348" s="40"/>
      <c r="AY348" s="40"/>
      <c r="AZ348" s="40"/>
      <c r="BA348" s="40"/>
      <c r="BB348" s="40"/>
      <c r="BC348" s="40"/>
      <c r="BD348" s="40"/>
      <c r="BE348" s="40"/>
      <c r="BF348" s="40"/>
      <c r="BG348" s="40"/>
      <c r="BH348" s="40"/>
      <c r="BI348" s="40"/>
    </row>
    <row r="349" ht="15.75" customHeight="1">
      <c r="A349" s="41" t="str">
        <f t="shared" si="5"/>
        <v>Pièces[...]</v>
      </c>
      <c r="B349" s="96" t="s">
        <v>56</v>
      </c>
      <c r="C349" s="57"/>
      <c r="D349" s="74"/>
      <c r="E349" s="75"/>
      <c r="F349" s="57"/>
      <c r="G349" s="74"/>
      <c r="H349" s="75"/>
      <c r="I349" s="57"/>
      <c r="J349" s="74"/>
      <c r="K349" s="75"/>
      <c r="L349" s="57"/>
      <c r="M349" s="74"/>
      <c r="N349" s="75"/>
      <c r="O349" s="57"/>
      <c r="P349" s="74"/>
      <c r="Q349" s="75"/>
      <c r="R349" s="57"/>
      <c r="S349" s="74"/>
      <c r="T349" s="75"/>
      <c r="U349" s="57"/>
      <c r="V349" s="74"/>
      <c r="W349" s="75"/>
      <c r="X349" s="57"/>
      <c r="Y349" s="74"/>
      <c r="Z349" s="75"/>
      <c r="AA349" s="57"/>
      <c r="AB349" s="74"/>
      <c r="AC349" s="75"/>
      <c r="AD349" s="57"/>
      <c r="AE349" s="74"/>
      <c r="AF349" s="75"/>
      <c r="AG349" s="57"/>
      <c r="AH349" s="74"/>
      <c r="AI349" s="75"/>
      <c r="AJ349" s="57"/>
      <c r="AK349" s="74"/>
      <c r="AL349" s="75"/>
      <c r="AM349" s="57"/>
      <c r="AN349" s="74"/>
      <c r="AO349" s="75"/>
      <c r="AP349" s="40"/>
      <c r="AQ349" s="40"/>
      <c r="AR349" s="40"/>
      <c r="AS349" s="40"/>
      <c r="AT349" s="40"/>
      <c r="AU349" s="40"/>
      <c r="AV349" s="40"/>
      <c r="AW349" s="40"/>
      <c r="AX349" s="40"/>
      <c r="AY349" s="40"/>
      <c r="AZ349" s="40"/>
      <c r="BA349" s="40"/>
      <c r="BB349" s="40"/>
      <c r="BC349" s="40"/>
      <c r="BD349" s="40"/>
      <c r="BE349" s="40"/>
      <c r="BF349" s="40"/>
      <c r="BG349" s="40"/>
      <c r="BH349" s="40"/>
      <c r="BI349" s="40"/>
    </row>
    <row r="350" ht="15.75" customHeight="1">
      <c r="A350" s="41" t="str">
        <f t="shared" si="5"/>
        <v>Pièces[...]</v>
      </c>
      <c r="B350" s="96" t="s">
        <v>56</v>
      </c>
      <c r="C350" s="57"/>
      <c r="D350" s="74"/>
      <c r="E350" s="75"/>
      <c r="F350" s="57"/>
      <c r="G350" s="74"/>
      <c r="H350" s="75"/>
      <c r="I350" s="57"/>
      <c r="J350" s="74"/>
      <c r="K350" s="75"/>
      <c r="L350" s="57"/>
      <c r="M350" s="74"/>
      <c r="N350" s="75"/>
      <c r="O350" s="57"/>
      <c r="P350" s="74"/>
      <c r="Q350" s="75"/>
      <c r="R350" s="57"/>
      <c r="S350" s="74"/>
      <c r="T350" s="75"/>
      <c r="U350" s="57"/>
      <c r="V350" s="74"/>
      <c r="W350" s="75"/>
      <c r="X350" s="57"/>
      <c r="Y350" s="74"/>
      <c r="Z350" s="75"/>
      <c r="AA350" s="57"/>
      <c r="AB350" s="74"/>
      <c r="AC350" s="75"/>
      <c r="AD350" s="57"/>
      <c r="AE350" s="74"/>
      <c r="AF350" s="75"/>
      <c r="AG350" s="57"/>
      <c r="AH350" s="74"/>
      <c r="AI350" s="75"/>
      <c r="AJ350" s="57"/>
      <c r="AK350" s="74"/>
      <c r="AL350" s="75"/>
      <c r="AM350" s="57"/>
      <c r="AN350" s="74"/>
      <c r="AO350" s="75"/>
      <c r="AP350" s="48"/>
      <c r="AQ350" s="48"/>
      <c r="AR350" s="48"/>
      <c r="AS350" s="48"/>
      <c r="AT350" s="48"/>
      <c r="AU350" s="48"/>
      <c r="AV350" s="48"/>
      <c r="AW350" s="48"/>
      <c r="AX350" s="48"/>
      <c r="AY350" s="48"/>
      <c r="AZ350" s="48"/>
      <c r="BA350" s="48"/>
      <c r="BB350" s="48"/>
      <c r="BC350" s="48"/>
      <c r="BD350" s="48"/>
      <c r="BE350" s="48"/>
      <c r="BF350" s="48"/>
      <c r="BG350" s="48"/>
      <c r="BH350" s="48"/>
      <c r="BI350" s="48"/>
    </row>
    <row r="351" ht="15.75" customHeight="1">
      <c r="A351" s="41" t="str">
        <f t="shared" si="5"/>
        <v>Pièces[...]</v>
      </c>
      <c r="B351" s="96" t="s">
        <v>56</v>
      </c>
      <c r="C351" s="57"/>
      <c r="D351" s="74"/>
      <c r="E351" s="75"/>
      <c r="F351" s="57"/>
      <c r="G351" s="74"/>
      <c r="H351" s="75"/>
      <c r="I351" s="57"/>
      <c r="J351" s="74"/>
      <c r="K351" s="75"/>
      <c r="L351" s="57"/>
      <c r="M351" s="74"/>
      <c r="N351" s="75"/>
      <c r="O351" s="57"/>
      <c r="P351" s="74"/>
      <c r="Q351" s="75"/>
      <c r="R351" s="57"/>
      <c r="S351" s="74"/>
      <c r="T351" s="75"/>
      <c r="U351" s="57"/>
      <c r="V351" s="74"/>
      <c r="W351" s="75"/>
      <c r="X351" s="57"/>
      <c r="Y351" s="74"/>
      <c r="Z351" s="75"/>
      <c r="AA351" s="57"/>
      <c r="AB351" s="74"/>
      <c r="AC351" s="75"/>
      <c r="AD351" s="57"/>
      <c r="AE351" s="74"/>
      <c r="AF351" s="75"/>
      <c r="AG351" s="57"/>
      <c r="AH351" s="74"/>
      <c r="AI351" s="75"/>
      <c r="AJ351" s="57"/>
      <c r="AK351" s="74"/>
      <c r="AL351" s="75"/>
      <c r="AM351" s="57"/>
      <c r="AN351" s="74"/>
      <c r="AO351" s="75"/>
      <c r="AP351" s="48"/>
      <c r="AQ351" s="48"/>
      <c r="AR351" s="48"/>
      <c r="AS351" s="48"/>
      <c r="AT351" s="48"/>
      <c r="AU351" s="48"/>
      <c r="AV351" s="48"/>
      <c r="AW351" s="48"/>
      <c r="AX351" s="48"/>
      <c r="AY351" s="48"/>
      <c r="AZ351" s="48"/>
      <c r="BA351" s="48"/>
      <c r="BB351" s="48"/>
      <c r="BC351" s="48"/>
      <c r="BD351" s="48"/>
      <c r="BE351" s="48"/>
      <c r="BF351" s="48"/>
      <c r="BG351" s="48"/>
      <c r="BH351" s="48"/>
      <c r="BI351" s="48"/>
    </row>
    <row r="352" ht="15.75" customHeight="1">
      <c r="A352" s="41" t="str">
        <f t="shared" si="5"/>
        <v>PiècesTOTAL SEMI-FIXES</v>
      </c>
      <c r="B352" s="92" t="s">
        <v>142</v>
      </c>
      <c r="C352" s="93"/>
      <c r="D352" s="94"/>
      <c r="E352" s="95"/>
      <c r="F352" s="93"/>
      <c r="G352" s="94"/>
      <c r="H352" s="95"/>
      <c r="I352" s="93"/>
      <c r="J352" s="94"/>
      <c r="K352" s="95"/>
      <c r="L352" s="93"/>
      <c r="M352" s="94"/>
      <c r="N352" s="95"/>
      <c r="O352" s="93"/>
      <c r="P352" s="94"/>
      <c r="Q352" s="95"/>
      <c r="R352" s="93"/>
      <c r="S352" s="94"/>
      <c r="T352" s="95"/>
      <c r="U352" s="93"/>
      <c r="V352" s="94"/>
      <c r="W352" s="95"/>
      <c r="X352" s="93"/>
      <c r="Y352" s="94"/>
      <c r="Z352" s="95"/>
      <c r="AA352" s="93"/>
      <c r="AB352" s="94"/>
      <c r="AC352" s="95"/>
      <c r="AD352" s="93"/>
      <c r="AE352" s="94"/>
      <c r="AF352" s="95"/>
      <c r="AG352" s="93"/>
      <c r="AH352" s="94"/>
      <c r="AI352" s="95"/>
      <c r="AJ352" s="93"/>
      <c r="AK352" s="94"/>
      <c r="AL352" s="95"/>
      <c r="AM352" s="93"/>
      <c r="AN352" s="94"/>
      <c r="AO352" s="95"/>
      <c r="AP352" s="40"/>
      <c r="AQ352" s="40"/>
      <c r="AR352" s="40"/>
      <c r="AS352" s="40"/>
      <c r="AT352" s="40"/>
      <c r="AU352" s="40"/>
      <c r="AV352" s="40"/>
      <c r="AW352" s="40"/>
      <c r="AX352" s="40"/>
      <c r="AY352" s="40"/>
      <c r="AZ352" s="40"/>
      <c r="BA352" s="40"/>
      <c r="BB352" s="40"/>
      <c r="BC352" s="40"/>
      <c r="BD352" s="40"/>
      <c r="BE352" s="40"/>
      <c r="BF352" s="40"/>
      <c r="BG352" s="40"/>
      <c r="BH352" s="40"/>
      <c r="BI352" s="40"/>
    </row>
    <row r="353" ht="15.75" customHeight="1">
      <c r="A353" s="41" t="str">
        <f t="shared" si="5"/>
        <v>Pièces</v>
      </c>
      <c r="B353" s="53"/>
      <c r="C353" s="53"/>
      <c r="D353" s="100"/>
      <c r="E353" s="91"/>
      <c r="F353" s="53"/>
      <c r="G353" s="100"/>
      <c r="H353" s="91"/>
      <c r="I353" s="53"/>
      <c r="J353" s="100"/>
      <c r="K353" s="91"/>
      <c r="L353" s="53"/>
      <c r="M353" s="100"/>
      <c r="N353" s="91"/>
      <c r="O353" s="53"/>
      <c r="P353" s="100"/>
      <c r="Q353" s="91"/>
      <c r="R353" s="53"/>
      <c r="S353" s="100"/>
      <c r="T353" s="91"/>
      <c r="U353" s="53"/>
      <c r="V353" s="100"/>
      <c r="W353" s="91"/>
      <c r="X353" s="53"/>
      <c r="Y353" s="100"/>
      <c r="Z353" s="91"/>
      <c r="AA353" s="53"/>
      <c r="AB353" s="100"/>
      <c r="AC353" s="91"/>
      <c r="AD353" s="53"/>
      <c r="AE353" s="100"/>
      <c r="AF353" s="91"/>
      <c r="AG353" s="53"/>
      <c r="AH353" s="100"/>
      <c r="AI353" s="91"/>
      <c r="AJ353" s="53"/>
      <c r="AK353" s="100"/>
      <c r="AL353" s="91"/>
      <c r="AM353" s="53"/>
      <c r="AN353" s="100"/>
      <c r="AO353" s="91"/>
      <c r="AP353" s="40"/>
      <c r="AQ353" s="40"/>
      <c r="AR353" s="40"/>
      <c r="AS353" s="40"/>
      <c r="AT353" s="40"/>
      <c r="AU353" s="40"/>
      <c r="AV353" s="40"/>
      <c r="AW353" s="40"/>
      <c r="AX353" s="40"/>
      <c r="AY353" s="40"/>
      <c r="AZ353" s="40"/>
      <c r="BA353" s="40"/>
      <c r="BB353" s="40"/>
      <c r="BC353" s="40"/>
      <c r="BD353" s="40"/>
      <c r="BE353" s="40"/>
      <c r="BF353" s="40"/>
      <c r="BG353" s="40"/>
      <c r="BH353" s="40"/>
      <c r="BI353" s="40"/>
    </row>
    <row r="354" ht="15.75" customHeight="1">
      <c r="A354" s="41" t="str">
        <f t="shared" si="5"/>
        <v>PiècesTOTAL DES DÉPENSES</v>
      </c>
      <c r="B354" s="92" t="s">
        <v>143</v>
      </c>
      <c r="C354" s="93"/>
      <c r="D354" s="94"/>
      <c r="E354" s="95"/>
      <c r="F354" s="93"/>
      <c r="G354" s="94"/>
      <c r="H354" s="95"/>
      <c r="I354" s="93"/>
      <c r="J354" s="94"/>
      <c r="K354" s="95"/>
      <c r="L354" s="93"/>
      <c r="M354" s="94"/>
      <c r="N354" s="95"/>
      <c r="O354" s="93"/>
      <c r="P354" s="94"/>
      <c r="Q354" s="95"/>
      <c r="R354" s="93"/>
      <c r="S354" s="94"/>
      <c r="T354" s="95"/>
      <c r="U354" s="93"/>
      <c r="V354" s="94"/>
      <c r="W354" s="95"/>
      <c r="X354" s="93"/>
      <c r="Y354" s="94"/>
      <c r="Z354" s="95"/>
      <c r="AA354" s="93"/>
      <c r="AB354" s="94"/>
      <c r="AC354" s="95"/>
      <c r="AD354" s="93"/>
      <c r="AE354" s="94"/>
      <c r="AF354" s="95"/>
      <c r="AG354" s="93"/>
      <c r="AH354" s="94"/>
      <c r="AI354" s="95"/>
      <c r="AJ354" s="93"/>
      <c r="AK354" s="94"/>
      <c r="AL354" s="95"/>
      <c r="AM354" s="93"/>
      <c r="AN354" s="94"/>
      <c r="AO354" s="95"/>
      <c r="AP354" s="40"/>
      <c r="AQ354" s="40"/>
      <c r="AR354" s="40"/>
      <c r="AS354" s="40"/>
      <c r="AT354" s="40"/>
      <c r="AU354" s="40"/>
      <c r="AV354" s="40"/>
      <c r="AW354" s="40"/>
      <c r="AX354" s="40"/>
      <c r="AY354" s="40"/>
      <c r="AZ354" s="40"/>
      <c r="BA354" s="40"/>
      <c r="BB354" s="40"/>
      <c r="BC354" s="40"/>
      <c r="BD354" s="40"/>
      <c r="BE354" s="40"/>
      <c r="BF354" s="40"/>
      <c r="BG354" s="40"/>
      <c r="BH354" s="40"/>
      <c r="BI354" s="40"/>
    </row>
    <row r="355" ht="15.75" customHeight="1">
      <c r="A355" s="41" t="str">
        <f t="shared" si="5"/>
        <v>Pièces</v>
      </c>
      <c r="B355" s="57"/>
      <c r="C355" s="57"/>
      <c r="D355" s="74"/>
      <c r="E355" s="75"/>
      <c r="F355" s="57"/>
      <c r="G355" s="74"/>
      <c r="H355" s="75"/>
      <c r="I355" s="57"/>
      <c r="J355" s="74"/>
      <c r="K355" s="75"/>
      <c r="L355" s="57"/>
      <c r="M355" s="74"/>
      <c r="N355" s="75"/>
      <c r="O355" s="57"/>
      <c r="P355" s="74"/>
      <c r="Q355" s="75"/>
      <c r="R355" s="57"/>
      <c r="S355" s="74"/>
      <c r="T355" s="75"/>
      <c r="U355" s="57"/>
      <c r="V355" s="74"/>
      <c r="W355" s="75"/>
      <c r="X355" s="57"/>
      <c r="Y355" s="74"/>
      <c r="Z355" s="75"/>
      <c r="AA355" s="57"/>
      <c r="AB355" s="74"/>
      <c r="AC355" s="75"/>
      <c r="AD355" s="57"/>
      <c r="AE355" s="74"/>
      <c r="AF355" s="75"/>
      <c r="AG355" s="57"/>
      <c r="AH355" s="74"/>
      <c r="AI355" s="75"/>
      <c r="AJ355" s="57"/>
      <c r="AK355" s="74"/>
      <c r="AL355" s="75"/>
      <c r="AM355" s="57"/>
      <c r="AN355" s="74"/>
      <c r="AO355" s="75"/>
      <c r="AP355" s="40"/>
      <c r="AQ355" s="40"/>
      <c r="AR355" s="40"/>
      <c r="AS355" s="40"/>
      <c r="AT355" s="40"/>
      <c r="AU355" s="40"/>
      <c r="AV355" s="40"/>
      <c r="AW355" s="40"/>
      <c r="AX355" s="40"/>
      <c r="AY355" s="40"/>
      <c r="AZ355" s="40"/>
      <c r="BA355" s="40"/>
      <c r="BB355" s="40"/>
      <c r="BC355" s="40"/>
      <c r="BD355" s="40"/>
      <c r="BE355" s="40"/>
      <c r="BF355" s="40"/>
      <c r="BG355" s="40"/>
      <c r="BH355" s="40"/>
      <c r="BI355" s="40"/>
    </row>
    <row r="356" ht="15.75" customHeight="1">
      <c r="A356" s="41" t="str">
        <f t="shared" si="5"/>
        <v>PiècesPROFIT DÉPARTEMENTAL</v>
      </c>
      <c r="B356" s="103" t="s">
        <v>150</v>
      </c>
      <c r="C356" s="103"/>
      <c r="D356" s="160"/>
      <c r="E356" s="106"/>
      <c r="F356" s="103"/>
      <c r="G356" s="124"/>
      <c r="H356" s="106"/>
      <c r="I356" s="103"/>
      <c r="J356" s="124"/>
      <c r="K356" s="106"/>
      <c r="L356" s="103"/>
      <c r="M356" s="124"/>
      <c r="N356" s="106"/>
      <c r="O356" s="103"/>
      <c r="P356" s="124"/>
      <c r="Q356" s="106"/>
      <c r="R356" s="103"/>
      <c r="S356" s="124"/>
      <c r="T356" s="106"/>
      <c r="U356" s="103"/>
      <c r="V356" s="124"/>
      <c r="W356" s="106"/>
      <c r="X356" s="103"/>
      <c r="Y356" s="124"/>
      <c r="Z356" s="106"/>
      <c r="AA356" s="103"/>
      <c r="AB356" s="124"/>
      <c r="AC356" s="106"/>
      <c r="AD356" s="103"/>
      <c r="AE356" s="124"/>
      <c r="AF356" s="106"/>
      <c r="AG356" s="103"/>
      <c r="AH356" s="124"/>
      <c r="AI356" s="106"/>
      <c r="AJ356" s="103"/>
      <c r="AK356" s="124"/>
      <c r="AL356" s="106"/>
      <c r="AM356" s="103"/>
      <c r="AN356" s="124"/>
      <c r="AO356" s="106"/>
      <c r="AP356" s="40"/>
      <c r="AQ356" s="40"/>
      <c r="AR356" s="40"/>
      <c r="AS356" s="40"/>
      <c r="AT356" s="40"/>
      <c r="AU356" s="40"/>
      <c r="AV356" s="40"/>
      <c r="AW356" s="40"/>
      <c r="AX356" s="40"/>
      <c r="AY356" s="40"/>
      <c r="AZ356" s="40"/>
      <c r="BA356" s="40"/>
      <c r="BB356" s="40"/>
      <c r="BC356" s="40"/>
      <c r="BD356" s="40"/>
      <c r="BE356" s="40"/>
      <c r="BF356" s="40"/>
      <c r="BG356" s="40"/>
      <c r="BH356" s="40"/>
      <c r="BI356" s="40"/>
    </row>
    <row r="357" ht="15.75" customHeight="1">
      <c r="A357" s="41"/>
      <c r="B357" s="83"/>
      <c r="C357" s="83"/>
      <c r="D357" s="83"/>
      <c r="E357" s="161"/>
      <c r="F357" s="83"/>
      <c r="G357" s="83"/>
      <c r="H357" s="161"/>
      <c r="I357" s="83"/>
      <c r="J357" s="83"/>
      <c r="K357" s="161"/>
      <c r="L357" s="83"/>
      <c r="M357" s="83"/>
      <c r="N357" s="161"/>
      <c r="O357" s="83"/>
      <c r="P357" s="83"/>
      <c r="Q357" s="161"/>
      <c r="R357" s="83"/>
      <c r="S357" s="83"/>
      <c r="T357" s="161"/>
      <c r="U357" s="83"/>
      <c r="V357" s="83"/>
      <c r="W357" s="161"/>
      <c r="X357" s="83"/>
      <c r="Y357" s="83"/>
      <c r="Z357" s="161"/>
      <c r="AA357" s="83"/>
      <c r="AB357" s="83"/>
      <c r="AC357" s="161"/>
      <c r="AD357" s="83"/>
      <c r="AE357" s="83"/>
      <c r="AF357" s="161"/>
      <c r="AG357" s="83"/>
      <c r="AH357" s="83"/>
      <c r="AI357" s="161"/>
      <c r="AJ357" s="83"/>
      <c r="AK357" s="83"/>
      <c r="AL357" s="161"/>
      <c r="AM357" s="83"/>
      <c r="AN357" s="83"/>
      <c r="AO357" s="161"/>
      <c r="AP357" s="40"/>
      <c r="AQ357" s="40"/>
      <c r="AR357" s="40"/>
      <c r="AS357" s="40"/>
      <c r="AT357" s="40"/>
      <c r="AU357" s="40"/>
      <c r="AV357" s="40"/>
      <c r="AW357" s="40"/>
      <c r="AX357" s="40"/>
      <c r="AY357" s="40"/>
      <c r="AZ357" s="40"/>
      <c r="BA357" s="40"/>
      <c r="BB357" s="40"/>
      <c r="BC357" s="40"/>
      <c r="BD357" s="40"/>
      <c r="BE357" s="40"/>
      <c r="BF357" s="40"/>
      <c r="BG357" s="40"/>
      <c r="BH357" s="40"/>
      <c r="BI357" s="40"/>
    </row>
    <row r="358" ht="15.75" customHeight="1">
      <c r="A358" s="41"/>
      <c r="B358" s="83"/>
      <c r="C358" s="83"/>
      <c r="D358" s="83"/>
      <c r="E358" s="161"/>
      <c r="F358" s="83"/>
      <c r="G358" s="83"/>
      <c r="H358" s="161"/>
      <c r="I358" s="83"/>
      <c r="J358" s="83"/>
      <c r="K358" s="161"/>
      <c r="L358" s="83"/>
      <c r="M358" s="83"/>
      <c r="N358" s="161"/>
      <c r="O358" s="83"/>
      <c r="P358" s="83"/>
      <c r="Q358" s="161"/>
      <c r="R358" s="83"/>
      <c r="S358" s="83"/>
      <c r="T358" s="161"/>
      <c r="U358" s="83"/>
      <c r="V358" s="83"/>
      <c r="W358" s="161"/>
      <c r="X358" s="83"/>
      <c r="Y358" s="83"/>
      <c r="Z358" s="161"/>
      <c r="AA358" s="83"/>
      <c r="AB358" s="83"/>
      <c r="AC358" s="161"/>
      <c r="AD358" s="83"/>
      <c r="AE358" s="83"/>
      <c r="AF358" s="161"/>
      <c r="AG358" s="83"/>
      <c r="AH358" s="83"/>
      <c r="AI358" s="161"/>
      <c r="AJ358" s="83"/>
      <c r="AK358" s="83"/>
      <c r="AL358" s="161"/>
      <c r="AM358" s="83"/>
      <c r="AN358" s="83"/>
      <c r="AO358" s="161"/>
      <c r="AP358" s="40"/>
      <c r="AQ358" s="40"/>
      <c r="AR358" s="40"/>
      <c r="AS358" s="40"/>
      <c r="AT358" s="40"/>
      <c r="AU358" s="40"/>
      <c r="AV358" s="40"/>
      <c r="AW358" s="40"/>
      <c r="AX358" s="40"/>
      <c r="AY358" s="40"/>
      <c r="AZ358" s="40"/>
      <c r="BA358" s="40"/>
      <c r="BB358" s="40"/>
      <c r="BC358" s="40"/>
      <c r="BD358" s="40"/>
      <c r="BE358" s="40"/>
      <c r="BF358" s="40"/>
      <c r="BG358" s="40"/>
      <c r="BH358" s="40"/>
      <c r="BI358" s="40"/>
    </row>
    <row r="359" ht="15.75" customHeight="1">
      <c r="A359" s="41"/>
      <c r="B359" s="112" t="str">
        <f>+B294</f>
        <v>Budget 2025</v>
      </c>
      <c r="C359" s="112" t="s">
        <v>193</v>
      </c>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c r="AG359" s="112"/>
      <c r="AH359" s="112"/>
      <c r="AI359" s="112"/>
      <c r="AJ359" s="112"/>
      <c r="AK359" s="112"/>
      <c r="AL359" s="112"/>
      <c r="AM359" s="112"/>
      <c r="AN359" s="112"/>
      <c r="AO359" s="112"/>
      <c r="AP359" s="40"/>
      <c r="AQ359" s="40"/>
      <c r="AR359" s="40"/>
      <c r="AS359" s="40"/>
      <c r="AT359" s="40"/>
      <c r="AU359" s="40"/>
      <c r="AV359" s="40"/>
      <c r="AW359" s="40"/>
      <c r="AX359" s="40"/>
      <c r="AY359" s="40"/>
      <c r="AZ359" s="40"/>
      <c r="BA359" s="40"/>
      <c r="BB359" s="40"/>
      <c r="BC359" s="40"/>
      <c r="BD359" s="40"/>
      <c r="BE359" s="40"/>
      <c r="BF359" s="40"/>
      <c r="BG359" s="40"/>
      <c r="BH359" s="40"/>
      <c r="BI359" s="40"/>
    </row>
    <row r="360" ht="15.75" customHeight="1">
      <c r="A360" s="41"/>
      <c r="B360" s="113"/>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40"/>
      <c r="AQ360" s="40"/>
      <c r="AR360" s="40"/>
      <c r="AS360" s="40"/>
      <c r="AT360" s="40"/>
      <c r="AU360" s="40"/>
      <c r="AV360" s="40"/>
      <c r="AW360" s="40"/>
      <c r="AX360" s="40"/>
      <c r="AY360" s="40"/>
      <c r="AZ360" s="40"/>
      <c r="BA360" s="40"/>
      <c r="BB360" s="40"/>
      <c r="BC360" s="40"/>
      <c r="BD360" s="40"/>
      <c r="BE360" s="40"/>
      <c r="BF360" s="40"/>
      <c r="BG360" s="40"/>
      <c r="BH360" s="40"/>
      <c r="BI360" s="40"/>
    </row>
    <row r="361" ht="15.75" customHeight="1">
      <c r="A361" s="41"/>
      <c r="B361" s="42" t="s">
        <v>2</v>
      </c>
      <c r="C361" s="43"/>
      <c r="D361" s="44"/>
      <c r="E361" s="45"/>
      <c r="F361" s="114"/>
      <c r="G361" s="115"/>
      <c r="H361" s="116"/>
      <c r="I361" s="114"/>
      <c r="J361" s="115"/>
      <c r="K361" s="116"/>
      <c r="L361" s="114"/>
      <c r="M361" s="115"/>
      <c r="N361" s="116"/>
      <c r="O361" s="114"/>
      <c r="P361" s="115"/>
      <c r="Q361" s="116"/>
      <c r="R361" s="114"/>
      <c r="S361" s="115"/>
      <c r="T361" s="116"/>
      <c r="U361" s="114"/>
      <c r="V361" s="115"/>
      <c r="W361" s="116"/>
      <c r="X361" s="114"/>
      <c r="Y361" s="115"/>
      <c r="Z361" s="116"/>
      <c r="AA361" s="114"/>
      <c r="AB361" s="115"/>
      <c r="AC361" s="116"/>
      <c r="AD361" s="114"/>
      <c r="AE361" s="115"/>
      <c r="AF361" s="116"/>
      <c r="AG361" s="114"/>
      <c r="AH361" s="115"/>
      <c r="AI361" s="116"/>
      <c r="AJ361" s="114"/>
      <c r="AK361" s="115"/>
      <c r="AL361" s="116"/>
      <c r="AM361" s="114"/>
      <c r="AN361" s="115"/>
      <c r="AO361" s="116"/>
      <c r="AP361" s="40"/>
      <c r="AQ361" s="40"/>
      <c r="AR361" s="40"/>
      <c r="AS361" s="40"/>
      <c r="AT361" s="40"/>
      <c r="AU361" s="40"/>
      <c r="AV361" s="40"/>
      <c r="AW361" s="40"/>
      <c r="AX361" s="40"/>
      <c r="AY361" s="40"/>
      <c r="AZ361" s="40"/>
      <c r="BA361" s="40"/>
      <c r="BB361" s="40"/>
      <c r="BC361" s="40"/>
      <c r="BD361" s="40"/>
      <c r="BE361" s="40"/>
      <c r="BF361" s="40"/>
      <c r="BG361" s="40"/>
      <c r="BH361" s="40"/>
      <c r="BI361" s="40"/>
    </row>
    <row r="362" ht="15.75" customHeight="1">
      <c r="A362" s="41"/>
      <c r="B362" s="57"/>
      <c r="C362" s="117"/>
      <c r="D362" s="86"/>
      <c r="E362" s="118"/>
      <c r="F362" s="117"/>
      <c r="G362" s="86"/>
      <c r="H362" s="118"/>
      <c r="I362" s="117"/>
      <c r="J362" s="86"/>
      <c r="K362" s="118"/>
      <c r="L362" s="117"/>
      <c r="M362" s="86"/>
      <c r="N362" s="118"/>
      <c r="O362" s="117"/>
      <c r="P362" s="86"/>
      <c r="Q362" s="118"/>
      <c r="R362" s="117"/>
      <c r="S362" s="86"/>
      <c r="T362" s="118"/>
      <c r="U362" s="117"/>
      <c r="V362" s="86"/>
      <c r="W362" s="118"/>
      <c r="X362" s="117"/>
      <c r="Y362" s="86"/>
      <c r="Z362" s="118"/>
      <c r="AA362" s="117"/>
      <c r="AB362" s="86"/>
      <c r="AC362" s="118"/>
      <c r="AD362" s="117"/>
      <c r="AE362" s="86"/>
      <c r="AF362" s="118"/>
      <c r="AG362" s="117"/>
      <c r="AH362" s="86"/>
      <c r="AI362" s="118"/>
      <c r="AJ362" s="117"/>
      <c r="AK362" s="86"/>
      <c r="AL362" s="118"/>
      <c r="AM362" s="117"/>
      <c r="AN362" s="86"/>
      <c r="AO362" s="118"/>
      <c r="AP362" s="40"/>
      <c r="AQ362" s="40"/>
      <c r="AR362" s="40"/>
      <c r="AS362" s="40"/>
      <c r="AT362" s="40"/>
      <c r="AU362" s="40"/>
      <c r="AV362" s="40"/>
      <c r="AW362" s="40"/>
      <c r="AX362" s="40"/>
      <c r="AY362" s="40"/>
      <c r="AZ362" s="40"/>
      <c r="BA362" s="40"/>
      <c r="BB362" s="40"/>
      <c r="BC362" s="40"/>
      <c r="BD362" s="40"/>
      <c r="BE362" s="40"/>
      <c r="BF362" s="40"/>
      <c r="BG362" s="40"/>
      <c r="BH362" s="40"/>
      <c r="BI362" s="40"/>
    </row>
    <row r="363" ht="15.75" customHeight="1">
      <c r="A363" s="41" t="str">
        <f t="shared" ref="A363:A402" si="6">+$C$359&amp;B363</f>
        <v>BoutiqueBoutique</v>
      </c>
      <c r="B363" s="76" t="s">
        <v>193</v>
      </c>
      <c r="C363" s="77"/>
      <c r="D363" s="155"/>
      <c r="E363" s="79"/>
      <c r="F363" s="77"/>
      <c r="G363" s="155"/>
      <c r="H363" s="79"/>
      <c r="I363" s="77"/>
      <c r="J363" s="155"/>
      <c r="K363" s="79"/>
      <c r="L363" s="77"/>
      <c r="M363" s="155"/>
      <c r="N363" s="79"/>
      <c r="O363" s="77"/>
      <c r="P363" s="155"/>
      <c r="Q363" s="79"/>
      <c r="R363" s="77"/>
      <c r="S363" s="155"/>
      <c r="T363" s="79"/>
      <c r="U363" s="77"/>
      <c r="V363" s="155"/>
      <c r="W363" s="79"/>
      <c r="X363" s="77"/>
      <c r="Y363" s="155"/>
      <c r="Z363" s="79"/>
      <c r="AA363" s="77"/>
      <c r="AB363" s="155"/>
      <c r="AC363" s="79"/>
      <c r="AD363" s="77"/>
      <c r="AE363" s="155"/>
      <c r="AF363" s="79"/>
      <c r="AG363" s="77"/>
      <c r="AH363" s="155"/>
      <c r="AI363" s="79"/>
      <c r="AJ363" s="77"/>
      <c r="AK363" s="155"/>
      <c r="AL363" s="79"/>
      <c r="AM363" s="77"/>
      <c r="AN363" s="155"/>
      <c r="AO363" s="79"/>
      <c r="AP363" s="40"/>
      <c r="AQ363" s="40"/>
      <c r="AR363" s="40"/>
      <c r="AS363" s="40"/>
      <c r="AT363" s="40"/>
      <c r="AU363" s="40"/>
      <c r="AV363" s="40"/>
      <c r="AW363" s="40"/>
      <c r="AX363" s="40"/>
      <c r="AY363" s="40"/>
      <c r="AZ363" s="40"/>
      <c r="BA363" s="40"/>
      <c r="BB363" s="40"/>
      <c r="BC363" s="40"/>
      <c r="BD363" s="40"/>
      <c r="BE363" s="40"/>
      <c r="BF363" s="40"/>
      <c r="BG363" s="40"/>
      <c r="BH363" s="40"/>
      <c r="BI363" s="40"/>
    </row>
    <row r="364" ht="15.75" customHeight="1">
      <c r="A364" s="41" t="str">
        <f t="shared" si="6"/>
        <v>Boutique</v>
      </c>
      <c r="B364" s="156"/>
      <c r="C364" s="157"/>
      <c r="D364" s="158"/>
      <c r="E364" s="159"/>
      <c r="F364" s="157"/>
      <c r="G364" s="158"/>
      <c r="H364" s="159"/>
      <c r="I364" s="157"/>
      <c r="J364" s="158"/>
      <c r="K364" s="159"/>
      <c r="L364" s="157"/>
      <c r="M364" s="158"/>
      <c r="N364" s="159"/>
      <c r="O364" s="157"/>
      <c r="P364" s="158"/>
      <c r="Q364" s="159"/>
      <c r="R364" s="157"/>
      <c r="S364" s="158"/>
      <c r="T364" s="159"/>
      <c r="U364" s="157"/>
      <c r="V364" s="158"/>
      <c r="W364" s="159"/>
      <c r="X364" s="157"/>
      <c r="Y364" s="158"/>
      <c r="Z364" s="159"/>
      <c r="AA364" s="157"/>
      <c r="AB364" s="158"/>
      <c r="AC364" s="159"/>
      <c r="AD364" s="157"/>
      <c r="AE364" s="158"/>
      <c r="AF364" s="159"/>
      <c r="AG364" s="157"/>
      <c r="AH364" s="158"/>
      <c r="AI364" s="159"/>
      <c r="AJ364" s="157"/>
      <c r="AK364" s="158"/>
      <c r="AL364" s="159"/>
      <c r="AM364" s="157"/>
      <c r="AN364" s="158"/>
      <c r="AO364" s="159"/>
      <c r="AP364" s="40"/>
      <c r="AQ364" s="40"/>
      <c r="AR364" s="40"/>
      <c r="AS364" s="40"/>
      <c r="AT364" s="40"/>
      <c r="AU364" s="40"/>
      <c r="AV364" s="40"/>
      <c r="AW364" s="40"/>
      <c r="AX364" s="40"/>
      <c r="AY364" s="40"/>
      <c r="AZ364" s="40"/>
      <c r="BA364" s="40"/>
      <c r="BB364" s="40"/>
      <c r="BC364" s="40"/>
      <c r="BD364" s="40"/>
      <c r="BE364" s="40"/>
      <c r="BF364" s="40"/>
      <c r="BG364" s="40"/>
      <c r="BH364" s="40"/>
      <c r="BI364" s="40"/>
    </row>
    <row r="365" ht="15.75" customHeight="1">
      <c r="A365" s="41" t="str">
        <f t="shared" si="6"/>
        <v>BoutiqueTotal Dépt. Boutique</v>
      </c>
      <c r="B365" s="70" t="s">
        <v>194</v>
      </c>
      <c r="C365" s="135"/>
      <c r="D365" s="136"/>
      <c r="E365" s="102"/>
      <c r="F365" s="135"/>
      <c r="G365" s="136"/>
      <c r="H365" s="102"/>
      <c r="I365" s="135"/>
      <c r="J365" s="136"/>
      <c r="K365" s="102"/>
      <c r="L365" s="135"/>
      <c r="M365" s="136"/>
      <c r="N365" s="102"/>
      <c r="O365" s="135"/>
      <c r="P365" s="136"/>
      <c r="Q365" s="102"/>
      <c r="R365" s="135"/>
      <c r="S365" s="136"/>
      <c r="T365" s="102"/>
      <c r="U365" s="135"/>
      <c r="V365" s="136"/>
      <c r="W365" s="102"/>
      <c r="X365" s="135"/>
      <c r="Y365" s="136"/>
      <c r="Z365" s="102"/>
      <c r="AA365" s="135"/>
      <c r="AB365" s="136"/>
      <c r="AC365" s="102"/>
      <c r="AD365" s="135"/>
      <c r="AE365" s="136"/>
      <c r="AF365" s="102"/>
      <c r="AG365" s="135"/>
      <c r="AH365" s="136"/>
      <c r="AI365" s="102"/>
      <c r="AJ365" s="135"/>
      <c r="AK365" s="136"/>
      <c r="AL365" s="102"/>
      <c r="AM365" s="135"/>
      <c r="AN365" s="136"/>
      <c r="AO365" s="102"/>
      <c r="AP365" s="40"/>
      <c r="AQ365" s="40"/>
      <c r="AR365" s="40"/>
      <c r="AS365" s="40"/>
      <c r="AT365" s="40"/>
      <c r="AU365" s="40"/>
      <c r="AV365" s="40"/>
      <c r="AW365" s="40"/>
      <c r="AX365" s="40"/>
      <c r="AY365" s="40"/>
      <c r="AZ365" s="40"/>
      <c r="BA365" s="40"/>
      <c r="BB365" s="40"/>
      <c r="BC365" s="40"/>
      <c r="BD365" s="40"/>
      <c r="BE365" s="40"/>
      <c r="BF365" s="40"/>
      <c r="BG365" s="40"/>
      <c r="BH365" s="40"/>
      <c r="BI365" s="40"/>
    </row>
    <row r="366" ht="15.75" customHeight="1">
      <c r="A366" s="41" t="str">
        <f t="shared" si="6"/>
        <v>Boutique</v>
      </c>
      <c r="B366" s="85"/>
      <c r="C366" s="57"/>
      <c r="D366" s="74"/>
      <c r="E366" s="65"/>
      <c r="F366" s="57"/>
      <c r="G366" s="74"/>
      <c r="H366" s="65"/>
      <c r="I366" s="57"/>
      <c r="J366" s="74"/>
      <c r="K366" s="65"/>
      <c r="L366" s="57"/>
      <c r="M366" s="74"/>
      <c r="N366" s="65"/>
      <c r="O366" s="57"/>
      <c r="P366" s="74"/>
      <c r="Q366" s="65"/>
      <c r="R366" s="57"/>
      <c r="S366" s="74"/>
      <c r="T366" s="65"/>
      <c r="U366" s="57"/>
      <c r="V366" s="74"/>
      <c r="W366" s="65"/>
      <c r="X366" s="57"/>
      <c r="Y366" s="74"/>
      <c r="Z366" s="65"/>
      <c r="AA366" s="57"/>
      <c r="AB366" s="74"/>
      <c r="AC366" s="65"/>
      <c r="AD366" s="57"/>
      <c r="AE366" s="74"/>
      <c r="AF366" s="65"/>
      <c r="AG366" s="57"/>
      <c r="AH366" s="74"/>
      <c r="AI366" s="65"/>
      <c r="AJ366" s="57"/>
      <c r="AK366" s="74"/>
      <c r="AL366" s="65"/>
      <c r="AM366" s="57"/>
      <c r="AN366" s="74"/>
      <c r="AO366" s="65"/>
      <c r="AP366" s="40"/>
      <c r="AQ366" s="40"/>
      <c r="AR366" s="40"/>
      <c r="AS366" s="40"/>
      <c r="AT366" s="40"/>
      <c r="AU366" s="40"/>
      <c r="AV366" s="40"/>
      <c r="AW366" s="40"/>
      <c r="AX366" s="40"/>
      <c r="AY366" s="40"/>
      <c r="AZ366" s="40"/>
      <c r="BA366" s="40"/>
      <c r="BB366" s="40"/>
      <c r="BC366" s="40"/>
      <c r="BD366" s="40"/>
      <c r="BE366" s="40"/>
      <c r="BF366" s="40"/>
      <c r="BG366" s="40"/>
      <c r="BH366" s="40"/>
      <c r="BI366" s="40"/>
    </row>
    <row r="367" ht="15.75" customHeight="1">
      <c r="A367" s="41" t="str">
        <f t="shared" si="6"/>
        <v>BoutiqueDEPENSES</v>
      </c>
      <c r="B367" s="85" t="s">
        <v>110</v>
      </c>
      <c r="C367" s="57"/>
      <c r="D367" s="74"/>
      <c r="E367" s="65"/>
      <c r="F367" s="57"/>
      <c r="G367" s="74"/>
      <c r="H367" s="65"/>
      <c r="I367" s="57"/>
      <c r="J367" s="74"/>
      <c r="K367" s="65"/>
      <c r="L367" s="57"/>
      <c r="M367" s="74"/>
      <c r="N367" s="65"/>
      <c r="O367" s="57"/>
      <c r="P367" s="74"/>
      <c r="Q367" s="65"/>
      <c r="R367" s="57"/>
      <c r="S367" s="74"/>
      <c r="T367" s="65"/>
      <c r="U367" s="57"/>
      <c r="V367" s="74"/>
      <c r="W367" s="65"/>
      <c r="X367" s="57"/>
      <c r="Y367" s="74"/>
      <c r="Z367" s="65"/>
      <c r="AA367" s="57"/>
      <c r="AB367" s="74"/>
      <c r="AC367" s="65"/>
      <c r="AD367" s="57"/>
      <c r="AE367" s="74"/>
      <c r="AF367" s="65"/>
      <c r="AG367" s="57"/>
      <c r="AH367" s="74"/>
      <c r="AI367" s="65"/>
      <c r="AJ367" s="57"/>
      <c r="AK367" s="74"/>
      <c r="AL367" s="65"/>
      <c r="AM367" s="57"/>
      <c r="AN367" s="74"/>
      <c r="AO367" s="65"/>
      <c r="AP367" s="40"/>
      <c r="AQ367" s="40"/>
      <c r="AR367" s="40"/>
      <c r="AS367" s="40"/>
      <c r="AT367" s="40"/>
      <c r="AU367" s="40"/>
      <c r="AV367" s="40"/>
      <c r="AW367" s="40"/>
      <c r="AX367" s="40"/>
      <c r="AY367" s="40"/>
      <c r="AZ367" s="40"/>
      <c r="BA367" s="40"/>
      <c r="BB367" s="40"/>
      <c r="BC367" s="40"/>
      <c r="BD367" s="40"/>
      <c r="BE367" s="40"/>
      <c r="BF367" s="40"/>
      <c r="BG367" s="40"/>
      <c r="BH367" s="40"/>
      <c r="BI367" s="40"/>
    </row>
    <row r="368" ht="15.75" customHeight="1">
      <c r="A368" s="41" t="str">
        <f t="shared" si="6"/>
        <v>BoutiqueSalaires cadres</v>
      </c>
      <c r="B368" s="96" t="s">
        <v>119</v>
      </c>
      <c r="C368" s="57"/>
      <c r="D368" s="74"/>
      <c r="E368" s="75"/>
      <c r="F368" s="57"/>
      <c r="G368" s="74"/>
      <c r="H368" s="75"/>
      <c r="I368" s="57"/>
      <c r="J368" s="74"/>
      <c r="K368" s="75"/>
      <c r="L368" s="57"/>
      <c r="M368" s="74"/>
      <c r="N368" s="75"/>
      <c r="O368" s="57"/>
      <c r="P368" s="74"/>
      <c r="Q368" s="75"/>
      <c r="R368" s="57"/>
      <c r="S368" s="74"/>
      <c r="T368" s="75"/>
      <c r="U368" s="57"/>
      <c r="V368" s="74"/>
      <c r="W368" s="75"/>
      <c r="X368" s="57"/>
      <c r="Y368" s="74"/>
      <c r="Z368" s="75"/>
      <c r="AA368" s="57"/>
      <c r="AB368" s="74"/>
      <c r="AC368" s="75"/>
      <c r="AD368" s="57"/>
      <c r="AE368" s="74"/>
      <c r="AF368" s="75"/>
      <c r="AG368" s="57"/>
      <c r="AH368" s="74"/>
      <c r="AI368" s="75"/>
      <c r="AJ368" s="57"/>
      <c r="AK368" s="74"/>
      <c r="AL368" s="75"/>
      <c r="AM368" s="57"/>
      <c r="AN368" s="74"/>
      <c r="AO368" s="75"/>
      <c r="AP368" s="40"/>
      <c r="AQ368" s="40"/>
      <c r="AR368" s="40"/>
      <c r="AS368" s="40"/>
      <c r="AT368" s="40"/>
      <c r="AU368" s="40"/>
      <c r="AV368" s="40"/>
      <c r="AW368" s="40"/>
      <c r="AX368" s="40"/>
      <c r="AY368" s="40"/>
      <c r="AZ368" s="40"/>
      <c r="BA368" s="40"/>
      <c r="BB368" s="40"/>
      <c r="BC368" s="40"/>
      <c r="BD368" s="40"/>
      <c r="BE368" s="40"/>
      <c r="BF368" s="40"/>
      <c r="BG368" s="40"/>
      <c r="BH368" s="40"/>
      <c r="BI368" s="40"/>
    </row>
    <row r="369" ht="15.75" customHeight="1">
      <c r="A369" s="41" t="str">
        <f t="shared" si="6"/>
        <v>BoutiqueSalaires commis</v>
      </c>
      <c r="B369" s="97" t="s">
        <v>120</v>
      </c>
      <c r="C369" s="57"/>
      <c r="D369" s="74"/>
      <c r="E369" s="75"/>
      <c r="F369" s="57"/>
      <c r="G369" s="74"/>
      <c r="H369" s="75"/>
      <c r="I369" s="57"/>
      <c r="J369" s="74"/>
      <c r="K369" s="75"/>
      <c r="L369" s="57"/>
      <c r="M369" s="74"/>
      <c r="N369" s="75"/>
      <c r="O369" s="57"/>
      <c r="P369" s="74"/>
      <c r="Q369" s="75"/>
      <c r="R369" s="57"/>
      <c r="S369" s="74"/>
      <c r="T369" s="75"/>
      <c r="U369" s="57"/>
      <c r="V369" s="74"/>
      <c r="W369" s="75"/>
      <c r="X369" s="57"/>
      <c r="Y369" s="74"/>
      <c r="Z369" s="75"/>
      <c r="AA369" s="57"/>
      <c r="AB369" s="74"/>
      <c r="AC369" s="75"/>
      <c r="AD369" s="57"/>
      <c r="AE369" s="74"/>
      <c r="AF369" s="75"/>
      <c r="AG369" s="57"/>
      <c r="AH369" s="74"/>
      <c r="AI369" s="75"/>
      <c r="AJ369" s="57"/>
      <c r="AK369" s="74"/>
      <c r="AL369" s="75"/>
      <c r="AM369" s="57"/>
      <c r="AN369" s="74"/>
      <c r="AO369" s="75"/>
      <c r="AP369" s="40"/>
      <c r="AQ369" s="40"/>
      <c r="AR369" s="40"/>
      <c r="AS369" s="40"/>
      <c r="AT369" s="40"/>
      <c r="AU369" s="40"/>
      <c r="AV369" s="40"/>
      <c r="AW369" s="40"/>
      <c r="AX369" s="40"/>
      <c r="AY369" s="40"/>
      <c r="AZ369" s="40"/>
      <c r="BA369" s="40"/>
      <c r="BB369" s="40"/>
      <c r="BC369" s="40"/>
      <c r="BD369" s="40"/>
      <c r="BE369" s="40"/>
      <c r="BF369" s="40"/>
      <c r="BG369" s="40"/>
      <c r="BH369" s="40"/>
      <c r="BI369" s="40"/>
    </row>
    <row r="370" ht="15.75" customHeight="1">
      <c r="A370" s="41" t="str">
        <f t="shared" si="6"/>
        <v>BoutiqueSalaires autres</v>
      </c>
      <c r="B370" s="96" t="s">
        <v>121</v>
      </c>
      <c r="C370" s="49"/>
      <c r="D370" s="98"/>
      <c r="E370" s="99"/>
      <c r="F370" s="49"/>
      <c r="G370" s="98"/>
      <c r="H370" s="99"/>
      <c r="I370" s="49"/>
      <c r="J370" s="98"/>
      <c r="K370" s="99"/>
      <c r="L370" s="49"/>
      <c r="M370" s="98"/>
      <c r="N370" s="99"/>
      <c r="O370" s="49"/>
      <c r="P370" s="98"/>
      <c r="Q370" s="99"/>
      <c r="R370" s="49"/>
      <c r="S370" s="98"/>
      <c r="T370" s="99"/>
      <c r="U370" s="49"/>
      <c r="V370" s="98"/>
      <c r="W370" s="99"/>
      <c r="X370" s="49"/>
      <c r="Y370" s="98"/>
      <c r="Z370" s="99"/>
      <c r="AA370" s="49"/>
      <c r="AB370" s="98"/>
      <c r="AC370" s="99"/>
      <c r="AD370" s="49"/>
      <c r="AE370" s="98"/>
      <c r="AF370" s="99"/>
      <c r="AG370" s="49"/>
      <c r="AH370" s="98"/>
      <c r="AI370" s="99"/>
      <c r="AJ370" s="49"/>
      <c r="AK370" s="98"/>
      <c r="AL370" s="99"/>
      <c r="AM370" s="49"/>
      <c r="AN370" s="98"/>
      <c r="AO370" s="99"/>
      <c r="AP370" s="40"/>
      <c r="AQ370" s="40"/>
      <c r="AR370" s="40"/>
      <c r="AS370" s="40"/>
      <c r="AT370" s="40"/>
      <c r="AU370" s="40"/>
      <c r="AV370" s="40"/>
      <c r="AW370" s="40"/>
      <c r="AX370" s="40"/>
      <c r="AY370" s="40"/>
      <c r="AZ370" s="40"/>
      <c r="BA370" s="40"/>
      <c r="BB370" s="40"/>
      <c r="BC370" s="40"/>
      <c r="BD370" s="40"/>
      <c r="BE370" s="40"/>
      <c r="BF370" s="40"/>
      <c r="BG370" s="40"/>
      <c r="BH370" s="40"/>
      <c r="BI370" s="40"/>
    </row>
    <row r="371" ht="15.75" customHeight="1">
      <c r="A371" s="41" t="str">
        <f t="shared" si="6"/>
        <v>BoutiqueSalaires spécialistes</v>
      </c>
      <c r="B371" s="96" t="s">
        <v>122</v>
      </c>
      <c r="C371" s="57"/>
      <c r="D371" s="74"/>
      <c r="E371" s="75"/>
      <c r="F371" s="57"/>
      <c r="G371" s="74"/>
      <c r="H371" s="75"/>
      <c r="I371" s="57"/>
      <c r="J371" s="74"/>
      <c r="K371" s="75"/>
      <c r="L371" s="57"/>
      <c r="M371" s="74"/>
      <c r="N371" s="75"/>
      <c r="O371" s="57"/>
      <c r="P371" s="74"/>
      <c r="Q371" s="75"/>
      <c r="R371" s="57"/>
      <c r="S371" s="74"/>
      <c r="T371" s="75"/>
      <c r="U371" s="57"/>
      <c r="V371" s="74"/>
      <c r="W371" s="75"/>
      <c r="X371" s="57"/>
      <c r="Y371" s="74"/>
      <c r="Z371" s="75"/>
      <c r="AA371" s="57"/>
      <c r="AB371" s="74"/>
      <c r="AC371" s="75"/>
      <c r="AD371" s="57"/>
      <c r="AE371" s="74"/>
      <c r="AF371" s="75"/>
      <c r="AG371" s="57"/>
      <c r="AH371" s="74"/>
      <c r="AI371" s="75"/>
      <c r="AJ371" s="57"/>
      <c r="AK371" s="74"/>
      <c r="AL371" s="75"/>
      <c r="AM371" s="57"/>
      <c r="AN371" s="74"/>
      <c r="AO371" s="75"/>
      <c r="AP371" s="40"/>
      <c r="AQ371" s="40"/>
      <c r="AR371" s="40"/>
      <c r="AS371" s="40"/>
      <c r="AT371" s="40"/>
      <c r="AU371" s="40"/>
      <c r="AV371" s="40"/>
      <c r="AW371" s="40"/>
      <c r="AX371" s="40"/>
      <c r="AY371" s="40"/>
      <c r="AZ371" s="40"/>
      <c r="BA371" s="40"/>
      <c r="BB371" s="40"/>
      <c r="BC371" s="40"/>
      <c r="BD371" s="40"/>
      <c r="BE371" s="40"/>
      <c r="BF371" s="40"/>
      <c r="BG371" s="40"/>
      <c r="BH371" s="40"/>
      <c r="BI371" s="40"/>
    </row>
    <row r="372" ht="15.75" customHeight="1">
      <c r="A372" s="41" t="str">
        <f t="shared" si="6"/>
        <v>Boutique[...]</v>
      </c>
      <c r="B372" s="57" t="s">
        <v>56</v>
      </c>
      <c r="C372" s="57"/>
      <c r="D372" s="74"/>
      <c r="E372" s="75"/>
      <c r="F372" s="57"/>
      <c r="G372" s="74"/>
      <c r="H372" s="75"/>
      <c r="I372" s="57"/>
      <c r="J372" s="74"/>
      <c r="K372" s="75"/>
      <c r="L372" s="57"/>
      <c r="M372" s="74"/>
      <c r="N372" s="75"/>
      <c r="O372" s="57"/>
      <c r="P372" s="74"/>
      <c r="Q372" s="75"/>
      <c r="R372" s="57"/>
      <c r="S372" s="74"/>
      <c r="T372" s="75"/>
      <c r="U372" s="57"/>
      <c r="V372" s="74"/>
      <c r="W372" s="75"/>
      <c r="X372" s="57"/>
      <c r="Y372" s="74"/>
      <c r="Z372" s="75"/>
      <c r="AA372" s="57"/>
      <c r="AB372" s="74"/>
      <c r="AC372" s="75"/>
      <c r="AD372" s="57"/>
      <c r="AE372" s="74"/>
      <c r="AF372" s="75"/>
      <c r="AG372" s="57"/>
      <c r="AH372" s="74"/>
      <c r="AI372" s="75"/>
      <c r="AJ372" s="57"/>
      <c r="AK372" s="74"/>
      <c r="AL372" s="75"/>
      <c r="AM372" s="57"/>
      <c r="AN372" s="74"/>
      <c r="AO372" s="75"/>
      <c r="AP372" s="40"/>
      <c r="AQ372" s="40"/>
      <c r="AR372" s="40"/>
      <c r="AS372" s="40"/>
      <c r="AT372" s="40"/>
      <c r="AU372" s="40"/>
      <c r="AV372" s="40"/>
      <c r="AW372" s="40"/>
      <c r="AX372" s="40"/>
      <c r="AY372" s="40"/>
      <c r="AZ372" s="40"/>
      <c r="BA372" s="40"/>
      <c r="BB372" s="40"/>
      <c r="BC372" s="40"/>
      <c r="BD372" s="40"/>
      <c r="BE372" s="40"/>
      <c r="BF372" s="40"/>
      <c r="BG372" s="40"/>
      <c r="BH372" s="40"/>
      <c r="BI372" s="40"/>
    </row>
    <row r="373" ht="15.75" customHeight="1">
      <c r="A373" s="41" t="str">
        <f t="shared" si="6"/>
        <v>Boutique[...]</v>
      </c>
      <c r="B373" s="57" t="s">
        <v>56</v>
      </c>
      <c r="C373" s="57"/>
      <c r="D373" s="74"/>
      <c r="E373" s="75"/>
      <c r="F373" s="57"/>
      <c r="G373" s="74"/>
      <c r="H373" s="75"/>
      <c r="I373" s="57"/>
      <c r="J373" s="74"/>
      <c r="K373" s="75"/>
      <c r="L373" s="57"/>
      <c r="M373" s="74"/>
      <c r="N373" s="75"/>
      <c r="O373" s="57"/>
      <c r="P373" s="74"/>
      <c r="Q373" s="75"/>
      <c r="R373" s="57"/>
      <c r="S373" s="74"/>
      <c r="T373" s="75"/>
      <c r="U373" s="57"/>
      <c r="V373" s="74"/>
      <c r="W373" s="75"/>
      <c r="X373" s="57"/>
      <c r="Y373" s="74"/>
      <c r="Z373" s="75"/>
      <c r="AA373" s="57"/>
      <c r="AB373" s="74"/>
      <c r="AC373" s="75"/>
      <c r="AD373" s="57"/>
      <c r="AE373" s="74"/>
      <c r="AF373" s="75"/>
      <c r="AG373" s="57"/>
      <c r="AH373" s="74"/>
      <c r="AI373" s="75"/>
      <c r="AJ373" s="57"/>
      <c r="AK373" s="74"/>
      <c r="AL373" s="75"/>
      <c r="AM373" s="57"/>
      <c r="AN373" s="74"/>
      <c r="AO373" s="75"/>
      <c r="AP373" s="40"/>
      <c r="AQ373" s="40"/>
      <c r="AR373" s="40"/>
      <c r="AS373" s="40"/>
      <c r="AT373" s="40"/>
      <c r="AU373" s="40"/>
      <c r="AV373" s="40"/>
      <c r="AW373" s="40"/>
      <c r="AX373" s="40"/>
      <c r="AY373" s="40"/>
      <c r="AZ373" s="40"/>
      <c r="BA373" s="40"/>
      <c r="BB373" s="40"/>
      <c r="BC373" s="40"/>
      <c r="BD373" s="40"/>
      <c r="BE373" s="40"/>
      <c r="BF373" s="40"/>
      <c r="BG373" s="40"/>
      <c r="BH373" s="40"/>
      <c r="BI373" s="40"/>
    </row>
    <row r="374" ht="15.75" customHeight="1">
      <c r="A374" s="41" t="str">
        <f t="shared" si="6"/>
        <v>Boutique[...]</v>
      </c>
      <c r="B374" s="57" t="s">
        <v>56</v>
      </c>
      <c r="C374" s="57"/>
      <c r="D374" s="74"/>
      <c r="E374" s="75"/>
      <c r="F374" s="57"/>
      <c r="G374" s="74"/>
      <c r="H374" s="75"/>
      <c r="I374" s="57"/>
      <c r="J374" s="74"/>
      <c r="K374" s="75"/>
      <c r="L374" s="57"/>
      <c r="M374" s="74"/>
      <c r="N374" s="75"/>
      <c r="O374" s="57"/>
      <c r="P374" s="74"/>
      <c r="Q374" s="75"/>
      <c r="R374" s="57"/>
      <c r="S374" s="74"/>
      <c r="T374" s="75"/>
      <c r="U374" s="57"/>
      <c r="V374" s="74"/>
      <c r="W374" s="75"/>
      <c r="X374" s="57"/>
      <c r="Y374" s="74"/>
      <c r="Z374" s="75"/>
      <c r="AA374" s="57"/>
      <c r="AB374" s="74"/>
      <c r="AC374" s="75"/>
      <c r="AD374" s="57"/>
      <c r="AE374" s="74"/>
      <c r="AF374" s="75"/>
      <c r="AG374" s="57"/>
      <c r="AH374" s="74"/>
      <c r="AI374" s="75"/>
      <c r="AJ374" s="57"/>
      <c r="AK374" s="74"/>
      <c r="AL374" s="75"/>
      <c r="AM374" s="57"/>
      <c r="AN374" s="74"/>
      <c r="AO374" s="75"/>
      <c r="AP374" s="40"/>
      <c r="AQ374" s="40"/>
      <c r="AR374" s="40"/>
      <c r="AS374" s="40"/>
      <c r="AT374" s="40"/>
      <c r="AU374" s="40"/>
      <c r="AV374" s="40"/>
      <c r="AW374" s="40"/>
      <c r="AX374" s="40"/>
      <c r="AY374" s="40"/>
      <c r="AZ374" s="40"/>
      <c r="BA374" s="40"/>
      <c r="BB374" s="40"/>
      <c r="BC374" s="40"/>
      <c r="BD374" s="40"/>
      <c r="BE374" s="40"/>
      <c r="BF374" s="40"/>
      <c r="BG374" s="40"/>
      <c r="BH374" s="40"/>
      <c r="BI374" s="40"/>
    </row>
    <row r="375" ht="15.75" customHeight="1">
      <c r="A375" s="41" t="str">
        <f t="shared" si="6"/>
        <v>BoutiqueSalaires en absences</v>
      </c>
      <c r="B375" s="97" t="s">
        <v>123</v>
      </c>
      <c r="C375" s="57"/>
      <c r="D375" s="74"/>
      <c r="E375" s="75"/>
      <c r="F375" s="57"/>
      <c r="G375" s="74"/>
      <c r="H375" s="75"/>
      <c r="I375" s="57"/>
      <c r="J375" s="74"/>
      <c r="K375" s="75"/>
      <c r="L375" s="57"/>
      <c r="M375" s="74"/>
      <c r="N375" s="75"/>
      <c r="O375" s="57"/>
      <c r="P375" s="74"/>
      <c r="Q375" s="75"/>
      <c r="R375" s="57"/>
      <c r="S375" s="74"/>
      <c r="T375" s="75"/>
      <c r="U375" s="57"/>
      <c r="V375" s="74"/>
      <c r="W375" s="75"/>
      <c r="X375" s="57"/>
      <c r="Y375" s="74"/>
      <c r="Z375" s="75"/>
      <c r="AA375" s="57"/>
      <c r="AB375" s="74"/>
      <c r="AC375" s="75"/>
      <c r="AD375" s="57"/>
      <c r="AE375" s="74"/>
      <c r="AF375" s="75"/>
      <c r="AG375" s="57"/>
      <c r="AH375" s="74"/>
      <c r="AI375" s="75"/>
      <c r="AJ375" s="57"/>
      <c r="AK375" s="74"/>
      <c r="AL375" s="75"/>
      <c r="AM375" s="57"/>
      <c r="AN375" s="74"/>
      <c r="AO375" s="75"/>
      <c r="AP375" s="40"/>
      <c r="AQ375" s="40"/>
      <c r="AR375" s="40"/>
      <c r="AS375" s="40"/>
      <c r="AT375" s="40"/>
      <c r="AU375" s="40"/>
      <c r="AV375" s="40"/>
      <c r="AW375" s="40"/>
      <c r="AX375" s="40"/>
      <c r="AY375" s="40"/>
      <c r="AZ375" s="40"/>
      <c r="BA375" s="40"/>
      <c r="BB375" s="40"/>
      <c r="BC375" s="40"/>
      <c r="BD375" s="40"/>
      <c r="BE375" s="40"/>
      <c r="BF375" s="40"/>
      <c r="BG375" s="40"/>
      <c r="BH375" s="40"/>
      <c r="BI375" s="40"/>
    </row>
    <row r="376" ht="15.75" customHeight="1">
      <c r="A376" s="41" t="str">
        <f t="shared" si="6"/>
        <v>BoutiqueDéduction à la source</v>
      </c>
      <c r="B376" s="96" t="s">
        <v>124</v>
      </c>
      <c r="C376" s="49"/>
      <c r="D376" s="98"/>
      <c r="E376" s="99"/>
      <c r="F376" s="49"/>
      <c r="G376" s="98"/>
      <c r="H376" s="99"/>
      <c r="I376" s="49"/>
      <c r="J376" s="98"/>
      <c r="K376" s="99"/>
      <c r="L376" s="49"/>
      <c r="M376" s="98"/>
      <c r="N376" s="99"/>
      <c r="O376" s="49"/>
      <c r="P376" s="98"/>
      <c r="Q376" s="99"/>
      <c r="R376" s="49"/>
      <c r="S376" s="98"/>
      <c r="T376" s="99"/>
      <c r="U376" s="49"/>
      <c r="V376" s="98"/>
      <c r="W376" s="99"/>
      <c r="X376" s="49"/>
      <c r="Y376" s="98"/>
      <c r="Z376" s="99"/>
      <c r="AA376" s="49"/>
      <c r="AB376" s="98"/>
      <c r="AC376" s="99"/>
      <c r="AD376" s="49"/>
      <c r="AE376" s="98"/>
      <c r="AF376" s="99"/>
      <c r="AG376" s="49"/>
      <c r="AH376" s="98"/>
      <c r="AI376" s="99"/>
      <c r="AJ376" s="49"/>
      <c r="AK376" s="98"/>
      <c r="AL376" s="99"/>
      <c r="AM376" s="49"/>
      <c r="AN376" s="98"/>
      <c r="AO376" s="99"/>
      <c r="AP376" s="40"/>
      <c r="AQ376" s="40"/>
      <c r="AR376" s="40"/>
      <c r="AS376" s="40"/>
      <c r="AT376" s="40"/>
      <c r="AU376" s="40"/>
      <c r="AV376" s="40"/>
      <c r="AW376" s="40"/>
      <c r="AX376" s="40"/>
      <c r="AY376" s="40"/>
      <c r="AZ376" s="40"/>
      <c r="BA376" s="40"/>
      <c r="BB376" s="40"/>
      <c r="BC376" s="40"/>
      <c r="BD376" s="40"/>
      <c r="BE376" s="40"/>
      <c r="BF376" s="40"/>
      <c r="BG376" s="40"/>
      <c r="BH376" s="40"/>
      <c r="BI376" s="40"/>
    </row>
    <row r="377" ht="15.75" customHeight="1">
      <c r="A377" s="41" t="str">
        <f t="shared" si="6"/>
        <v>BoutiqueBénéfices marginaux</v>
      </c>
      <c r="B377" s="96" t="s">
        <v>125</v>
      </c>
      <c r="C377" s="57"/>
      <c r="D377" s="74"/>
      <c r="E377" s="75"/>
      <c r="F377" s="57"/>
      <c r="G377" s="74"/>
      <c r="H377" s="75"/>
      <c r="I377" s="57"/>
      <c r="J377" s="74"/>
      <c r="K377" s="75"/>
      <c r="L377" s="57"/>
      <c r="M377" s="74"/>
      <c r="N377" s="75"/>
      <c r="O377" s="57"/>
      <c r="P377" s="74"/>
      <c r="Q377" s="75"/>
      <c r="R377" s="57"/>
      <c r="S377" s="74"/>
      <c r="T377" s="75"/>
      <c r="U377" s="57"/>
      <c r="V377" s="74"/>
      <c r="W377" s="75"/>
      <c r="X377" s="57"/>
      <c r="Y377" s="74"/>
      <c r="Z377" s="75"/>
      <c r="AA377" s="57"/>
      <c r="AB377" s="74"/>
      <c r="AC377" s="75"/>
      <c r="AD377" s="57"/>
      <c r="AE377" s="74"/>
      <c r="AF377" s="75"/>
      <c r="AG377" s="57"/>
      <c r="AH377" s="74"/>
      <c r="AI377" s="75"/>
      <c r="AJ377" s="57"/>
      <c r="AK377" s="74"/>
      <c r="AL377" s="75"/>
      <c r="AM377" s="57"/>
      <c r="AN377" s="74"/>
      <c r="AO377" s="75"/>
      <c r="AP377" s="40"/>
      <c r="AQ377" s="40"/>
      <c r="AR377" s="40"/>
      <c r="AS377" s="40"/>
      <c r="AT377" s="40"/>
      <c r="AU377" s="40"/>
      <c r="AV377" s="40"/>
      <c r="AW377" s="40"/>
      <c r="AX377" s="40"/>
      <c r="AY377" s="40"/>
      <c r="AZ377" s="40"/>
      <c r="BA377" s="40"/>
      <c r="BB377" s="40"/>
      <c r="BC377" s="40"/>
      <c r="BD377" s="40"/>
      <c r="BE377" s="40"/>
      <c r="BF377" s="40"/>
      <c r="BG377" s="40"/>
      <c r="BH377" s="40"/>
      <c r="BI377" s="40"/>
    </row>
    <row r="378" ht="15.75" customHeight="1">
      <c r="A378" s="41" t="str">
        <f t="shared" si="6"/>
        <v>BoutiqueCsst</v>
      </c>
      <c r="B378" s="96" t="s">
        <v>126</v>
      </c>
      <c r="C378" s="57"/>
      <c r="D378" s="74"/>
      <c r="E378" s="75"/>
      <c r="F378" s="57"/>
      <c r="G378" s="74"/>
      <c r="H378" s="75"/>
      <c r="I378" s="57"/>
      <c r="J378" s="74"/>
      <c r="K378" s="75"/>
      <c r="L378" s="57"/>
      <c r="M378" s="74"/>
      <c r="N378" s="75"/>
      <c r="O378" s="57"/>
      <c r="P378" s="74"/>
      <c r="Q378" s="75"/>
      <c r="R378" s="57"/>
      <c r="S378" s="74"/>
      <c r="T378" s="75"/>
      <c r="U378" s="57"/>
      <c r="V378" s="74"/>
      <c r="W378" s="75"/>
      <c r="X378" s="57"/>
      <c r="Y378" s="74"/>
      <c r="Z378" s="75"/>
      <c r="AA378" s="57"/>
      <c r="AB378" s="74"/>
      <c r="AC378" s="75"/>
      <c r="AD378" s="57"/>
      <c r="AE378" s="74"/>
      <c r="AF378" s="75"/>
      <c r="AG378" s="57"/>
      <c r="AH378" s="74"/>
      <c r="AI378" s="75"/>
      <c r="AJ378" s="57"/>
      <c r="AK378" s="74"/>
      <c r="AL378" s="75"/>
      <c r="AM378" s="57"/>
      <c r="AN378" s="74"/>
      <c r="AO378" s="75"/>
      <c r="AP378" s="40"/>
      <c r="AQ378" s="40"/>
      <c r="AR378" s="40"/>
      <c r="AS378" s="40"/>
      <c r="AT378" s="40"/>
      <c r="AU378" s="40"/>
      <c r="AV378" s="40"/>
      <c r="AW378" s="40"/>
      <c r="AX378" s="40"/>
      <c r="AY378" s="40"/>
      <c r="AZ378" s="40"/>
      <c r="BA378" s="40"/>
      <c r="BB378" s="40"/>
      <c r="BC378" s="40"/>
      <c r="BD378" s="40"/>
      <c r="BE378" s="40"/>
      <c r="BF378" s="40"/>
      <c r="BG378" s="40"/>
      <c r="BH378" s="40"/>
      <c r="BI378" s="40"/>
    </row>
    <row r="379" ht="15.75" customHeight="1">
      <c r="A379" s="41" t="str">
        <f t="shared" si="6"/>
        <v>Boutique[...]</v>
      </c>
      <c r="B379" s="57" t="s">
        <v>56</v>
      </c>
      <c r="C379" s="53"/>
      <c r="D379" s="100"/>
      <c r="E379" s="91"/>
      <c r="F379" s="53"/>
      <c r="G379" s="100"/>
      <c r="H379" s="91"/>
      <c r="I379" s="53"/>
      <c r="J379" s="100"/>
      <c r="K379" s="91"/>
      <c r="L379" s="53"/>
      <c r="M379" s="100"/>
      <c r="N379" s="91"/>
      <c r="O379" s="53"/>
      <c r="P379" s="100"/>
      <c r="Q379" s="91"/>
      <c r="R379" s="53"/>
      <c r="S379" s="100"/>
      <c r="T379" s="91"/>
      <c r="U379" s="53"/>
      <c r="V379" s="100"/>
      <c r="W379" s="91"/>
      <c r="X379" s="53"/>
      <c r="Y379" s="100"/>
      <c r="Z379" s="91"/>
      <c r="AA379" s="53"/>
      <c r="AB379" s="100"/>
      <c r="AC379" s="91"/>
      <c r="AD379" s="53"/>
      <c r="AE379" s="100"/>
      <c r="AF379" s="91"/>
      <c r="AG379" s="53"/>
      <c r="AH379" s="100"/>
      <c r="AI379" s="91"/>
      <c r="AJ379" s="53"/>
      <c r="AK379" s="100"/>
      <c r="AL379" s="91"/>
      <c r="AM379" s="53"/>
      <c r="AN379" s="100"/>
      <c r="AO379" s="91"/>
      <c r="AP379" s="40"/>
      <c r="AQ379" s="40"/>
      <c r="AR379" s="40"/>
      <c r="AS379" s="40"/>
      <c r="AT379" s="40"/>
      <c r="AU379" s="40"/>
      <c r="AV379" s="40"/>
      <c r="AW379" s="40"/>
      <c r="AX379" s="40"/>
      <c r="AY379" s="40"/>
      <c r="AZ379" s="40"/>
      <c r="BA379" s="40"/>
      <c r="BB379" s="40"/>
      <c r="BC379" s="40"/>
      <c r="BD379" s="40"/>
      <c r="BE379" s="40"/>
      <c r="BF379" s="40"/>
      <c r="BG379" s="40"/>
      <c r="BH379" s="40"/>
      <c r="BI379" s="40"/>
    </row>
    <row r="380" ht="15.75" customHeight="1">
      <c r="A380" s="41" t="str">
        <f t="shared" si="6"/>
        <v>BoutiqueTOTAL PERSONNEL</v>
      </c>
      <c r="B380" s="92" t="s">
        <v>127</v>
      </c>
      <c r="C380" s="93"/>
      <c r="D380" s="94"/>
      <c r="E380" s="95"/>
      <c r="F380" s="93"/>
      <c r="G380" s="94"/>
      <c r="H380" s="95"/>
      <c r="I380" s="93"/>
      <c r="J380" s="94"/>
      <c r="K380" s="95"/>
      <c r="L380" s="93"/>
      <c r="M380" s="94"/>
      <c r="N380" s="95"/>
      <c r="O380" s="93"/>
      <c r="P380" s="94"/>
      <c r="Q380" s="95"/>
      <c r="R380" s="93"/>
      <c r="S380" s="94"/>
      <c r="T380" s="95"/>
      <c r="U380" s="93"/>
      <c r="V380" s="94"/>
      <c r="W380" s="95"/>
      <c r="X380" s="93"/>
      <c r="Y380" s="94"/>
      <c r="Z380" s="95"/>
      <c r="AA380" s="93"/>
      <c r="AB380" s="94"/>
      <c r="AC380" s="95"/>
      <c r="AD380" s="93"/>
      <c r="AE380" s="94"/>
      <c r="AF380" s="95"/>
      <c r="AG380" s="93"/>
      <c r="AH380" s="94"/>
      <c r="AI380" s="95"/>
      <c r="AJ380" s="93"/>
      <c r="AK380" s="94"/>
      <c r="AL380" s="95"/>
      <c r="AM380" s="93"/>
      <c r="AN380" s="94"/>
      <c r="AO380" s="95"/>
      <c r="AP380" s="40"/>
      <c r="AQ380" s="40"/>
      <c r="AR380" s="40"/>
      <c r="AS380" s="40"/>
      <c r="AT380" s="40"/>
      <c r="AU380" s="40"/>
      <c r="AV380" s="40"/>
      <c r="AW380" s="40"/>
      <c r="AX380" s="40"/>
      <c r="AY380" s="40"/>
      <c r="AZ380" s="40"/>
      <c r="BA380" s="40"/>
      <c r="BB380" s="40"/>
      <c r="BC380" s="40"/>
      <c r="BD380" s="40"/>
      <c r="BE380" s="40"/>
      <c r="BF380" s="40"/>
      <c r="BG380" s="40"/>
      <c r="BH380" s="40"/>
      <c r="BI380" s="40"/>
    </row>
    <row r="381" ht="15.75" customHeight="1">
      <c r="A381" s="41" t="str">
        <f t="shared" si="6"/>
        <v>BoutiquePublicité 2</v>
      </c>
      <c r="B381" s="150" t="s">
        <v>128</v>
      </c>
      <c r="C381" s="57"/>
      <c r="D381" s="74"/>
      <c r="E381" s="75"/>
      <c r="F381" s="57"/>
      <c r="G381" s="74"/>
      <c r="H381" s="75"/>
      <c r="I381" s="57"/>
      <c r="J381" s="74"/>
      <c r="K381" s="75"/>
      <c r="L381" s="57"/>
      <c r="M381" s="74"/>
      <c r="N381" s="75"/>
      <c r="O381" s="57"/>
      <c r="P381" s="74"/>
      <c r="Q381" s="75"/>
      <c r="R381" s="57"/>
      <c r="S381" s="74"/>
      <c r="T381" s="75"/>
      <c r="U381" s="57"/>
      <c r="V381" s="74"/>
      <c r="W381" s="75"/>
      <c r="X381" s="57"/>
      <c r="Y381" s="74"/>
      <c r="Z381" s="75"/>
      <c r="AA381" s="57"/>
      <c r="AB381" s="74"/>
      <c r="AC381" s="75"/>
      <c r="AD381" s="57"/>
      <c r="AE381" s="74"/>
      <c r="AF381" s="75"/>
      <c r="AG381" s="57"/>
      <c r="AH381" s="74"/>
      <c r="AI381" s="75"/>
      <c r="AJ381" s="57"/>
      <c r="AK381" s="74"/>
      <c r="AL381" s="75"/>
      <c r="AM381" s="57"/>
      <c r="AN381" s="74"/>
      <c r="AO381" s="75"/>
      <c r="AP381" s="40"/>
      <c r="AQ381" s="40"/>
      <c r="AR381" s="40"/>
      <c r="AS381" s="40"/>
      <c r="AT381" s="40"/>
      <c r="AU381" s="40"/>
      <c r="AV381" s="40"/>
      <c r="AW381" s="40"/>
      <c r="AX381" s="40"/>
      <c r="AY381" s="40"/>
      <c r="AZ381" s="40"/>
      <c r="BA381" s="40"/>
      <c r="BB381" s="40"/>
      <c r="BC381" s="40"/>
      <c r="BD381" s="40"/>
      <c r="BE381" s="40"/>
      <c r="BF381" s="40"/>
      <c r="BG381" s="40"/>
      <c r="BH381" s="40"/>
      <c r="BI381" s="40"/>
    </row>
    <row r="382" ht="15.75" customHeight="1">
      <c r="A382" s="41" t="str">
        <f t="shared" si="6"/>
        <v>BoutiqueService gratuit 2</v>
      </c>
      <c r="B382" s="96" t="s">
        <v>129</v>
      </c>
      <c r="C382" s="57"/>
      <c r="D382" s="74"/>
      <c r="E382" s="75"/>
      <c r="F382" s="57"/>
      <c r="G382" s="74"/>
      <c r="H382" s="75"/>
      <c r="I382" s="57"/>
      <c r="J382" s="74"/>
      <c r="K382" s="75"/>
      <c r="L382" s="57"/>
      <c r="M382" s="74"/>
      <c r="N382" s="75"/>
      <c r="O382" s="57"/>
      <c r="P382" s="74"/>
      <c r="Q382" s="75"/>
      <c r="R382" s="57"/>
      <c r="S382" s="74"/>
      <c r="T382" s="75"/>
      <c r="U382" s="57"/>
      <c r="V382" s="74"/>
      <c r="W382" s="75"/>
      <c r="X382" s="57"/>
      <c r="Y382" s="74"/>
      <c r="Z382" s="75"/>
      <c r="AA382" s="57"/>
      <c r="AB382" s="74"/>
      <c r="AC382" s="75"/>
      <c r="AD382" s="57"/>
      <c r="AE382" s="74"/>
      <c r="AF382" s="75"/>
      <c r="AG382" s="57"/>
      <c r="AH382" s="74"/>
      <c r="AI382" s="75"/>
      <c r="AJ382" s="57"/>
      <c r="AK382" s="74"/>
      <c r="AL382" s="75"/>
      <c r="AM382" s="57"/>
      <c r="AN382" s="74"/>
      <c r="AO382" s="75"/>
      <c r="AP382" s="40"/>
      <c r="AQ382" s="40"/>
      <c r="AR382" s="40"/>
      <c r="AS382" s="40"/>
      <c r="AT382" s="40"/>
      <c r="AU382" s="40"/>
      <c r="AV382" s="40"/>
      <c r="AW382" s="40"/>
      <c r="AX382" s="40"/>
      <c r="AY382" s="40"/>
      <c r="AZ382" s="40"/>
      <c r="BA382" s="40"/>
      <c r="BB382" s="40"/>
      <c r="BC382" s="40"/>
      <c r="BD382" s="40"/>
      <c r="BE382" s="40"/>
      <c r="BF382" s="40"/>
      <c r="BG382" s="40"/>
      <c r="BH382" s="40"/>
      <c r="BI382" s="40"/>
    </row>
    <row r="383" ht="15.75" customHeight="1">
      <c r="A383" s="41" t="str">
        <f t="shared" si="6"/>
        <v>BoutiqueFrais véhicules de cie</v>
      </c>
      <c r="B383" s="97" t="s">
        <v>130</v>
      </c>
      <c r="C383" s="53"/>
      <c r="D383" s="100"/>
      <c r="E383" s="91"/>
      <c r="F383" s="53"/>
      <c r="G383" s="100"/>
      <c r="H383" s="91"/>
      <c r="I383" s="53"/>
      <c r="J383" s="100"/>
      <c r="K383" s="91"/>
      <c r="L383" s="53"/>
      <c r="M383" s="100"/>
      <c r="N383" s="91"/>
      <c r="O383" s="53"/>
      <c r="P383" s="100"/>
      <c r="Q383" s="91"/>
      <c r="R383" s="53"/>
      <c r="S383" s="100"/>
      <c r="T383" s="91"/>
      <c r="U383" s="53"/>
      <c r="V383" s="100"/>
      <c r="W383" s="91"/>
      <c r="X383" s="53"/>
      <c r="Y383" s="100"/>
      <c r="Z383" s="91"/>
      <c r="AA383" s="53"/>
      <c r="AB383" s="100"/>
      <c r="AC383" s="91"/>
      <c r="AD383" s="53"/>
      <c r="AE383" s="100"/>
      <c r="AF383" s="91"/>
      <c r="AG383" s="53"/>
      <c r="AH383" s="100"/>
      <c r="AI383" s="91"/>
      <c r="AJ383" s="53"/>
      <c r="AK383" s="100"/>
      <c r="AL383" s="91"/>
      <c r="AM383" s="53"/>
      <c r="AN383" s="100"/>
      <c r="AO383" s="91"/>
      <c r="AP383" s="40"/>
      <c r="AQ383" s="40"/>
      <c r="AR383" s="40"/>
      <c r="AS383" s="40"/>
      <c r="AT383" s="40"/>
      <c r="AU383" s="40"/>
      <c r="AV383" s="40"/>
      <c r="AW383" s="40"/>
      <c r="AX383" s="40"/>
      <c r="AY383" s="40"/>
      <c r="AZ383" s="40"/>
      <c r="BA383" s="40"/>
      <c r="BB383" s="40"/>
      <c r="BC383" s="40"/>
      <c r="BD383" s="40"/>
      <c r="BE383" s="40"/>
      <c r="BF383" s="40"/>
      <c r="BG383" s="40"/>
      <c r="BH383" s="40"/>
      <c r="BI383" s="40"/>
    </row>
    <row r="384" ht="15.75" customHeight="1">
      <c r="A384" s="41" t="str">
        <f t="shared" si="6"/>
        <v>BoutiqueInformatique</v>
      </c>
      <c r="B384" s="96" t="s">
        <v>131</v>
      </c>
      <c r="C384" s="57"/>
      <c r="D384" s="74"/>
      <c r="E384" s="75"/>
      <c r="F384" s="57"/>
      <c r="G384" s="74"/>
      <c r="H384" s="75"/>
      <c r="I384" s="57"/>
      <c r="J384" s="74"/>
      <c r="K384" s="75"/>
      <c r="L384" s="57"/>
      <c r="M384" s="74"/>
      <c r="N384" s="75"/>
      <c r="O384" s="57"/>
      <c r="P384" s="74"/>
      <c r="Q384" s="75"/>
      <c r="R384" s="57"/>
      <c r="S384" s="74"/>
      <c r="T384" s="75"/>
      <c r="U384" s="57"/>
      <c r="V384" s="74"/>
      <c r="W384" s="75"/>
      <c r="X384" s="57"/>
      <c r="Y384" s="74"/>
      <c r="Z384" s="75"/>
      <c r="AA384" s="57"/>
      <c r="AB384" s="74"/>
      <c r="AC384" s="75"/>
      <c r="AD384" s="57"/>
      <c r="AE384" s="74"/>
      <c r="AF384" s="75"/>
      <c r="AG384" s="57"/>
      <c r="AH384" s="74"/>
      <c r="AI384" s="75"/>
      <c r="AJ384" s="57"/>
      <c r="AK384" s="74"/>
      <c r="AL384" s="75"/>
      <c r="AM384" s="57"/>
      <c r="AN384" s="74"/>
      <c r="AO384" s="75"/>
      <c r="AP384" s="40"/>
      <c r="AQ384" s="40"/>
      <c r="AR384" s="40"/>
      <c r="AS384" s="40"/>
      <c r="AT384" s="40"/>
      <c r="AU384" s="40"/>
      <c r="AV384" s="40"/>
      <c r="AW384" s="40"/>
      <c r="AX384" s="40"/>
      <c r="AY384" s="40"/>
      <c r="AZ384" s="40"/>
      <c r="BA384" s="40"/>
      <c r="BB384" s="40"/>
      <c r="BC384" s="40"/>
      <c r="BD384" s="40"/>
      <c r="BE384" s="40"/>
      <c r="BF384" s="40"/>
      <c r="BG384" s="40"/>
      <c r="BH384" s="40"/>
      <c r="BI384" s="40"/>
    </row>
    <row r="385" ht="15.75" customHeight="1">
      <c r="A385" s="41" t="str">
        <f t="shared" si="6"/>
        <v>BoutiqueFrais de déplacement</v>
      </c>
      <c r="B385" s="96" t="s">
        <v>132</v>
      </c>
      <c r="C385" s="57"/>
      <c r="D385" s="74"/>
      <c r="E385" s="75"/>
      <c r="F385" s="57"/>
      <c r="G385" s="74"/>
      <c r="H385" s="75"/>
      <c r="I385" s="57"/>
      <c r="J385" s="74"/>
      <c r="K385" s="75"/>
      <c r="L385" s="57"/>
      <c r="M385" s="74"/>
      <c r="N385" s="75"/>
      <c r="O385" s="57"/>
      <c r="P385" s="74"/>
      <c r="Q385" s="75"/>
      <c r="R385" s="57"/>
      <c r="S385" s="74"/>
      <c r="T385" s="75"/>
      <c r="U385" s="57"/>
      <c r="V385" s="74"/>
      <c r="W385" s="75"/>
      <c r="X385" s="57"/>
      <c r="Y385" s="74"/>
      <c r="Z385" s="75"/>
      <c r="AA385" s="57"/>
      <c r="AB385" s="74"/>
      <c r="AC385" s="75"/>
      <c r="AD385" s="57"/>
      <c r="AE385" s="74"/>
      <c r="AF385" s="75"/>
      <c r="AG385" s="57"/>
      <c r="AH385" s="74"/>
      <c r="AI385" s="75"/>
      <c r="AJ385" s="57"/>
      <c r="AK385" s="74"/>
      <c r="AL385" s="75"/>
      <c r="AM385" s="57"/>
      <c r="AN385" s="74"/>
      <c r="AO385" s="75"/>
      <c r="AP385" s="40"/>
      <c r="AQ385" s="40"/>
      <c r="AR385" s="40"/>
      <c r="AS385" s="40"/>
      <c r="AT385" s="40"/>
      <c r="AU385" s="40"/>
      <c r="AV385" s="40"/>
      <c r="AW385" s="40"/>
      <c r="AX385" s="40"/>
      <c r="AY385" s="40"/>
      <c r="AZ385" s="40"/>
      <c r="BA385" s="40"/>
      <c r="BB385" s="40"/>
      <c r="BC385" s="40"/>
      <c r="BD385" s="40"/>
      <c r="BE385" s="40"/>
      <c r="BF385" s="40"/>
      <c r="BG385" s="40"/>
      <c r="BH385" s="40"/>
      <c r="BI385" s="40"/>
    </row>
    <row r="386" ht="15.75" customHeight="1">
      <c r="A386" s="41" t="str">
        <f t="shared" si="6"/>
        <v>BoutiqueServices extérieurs</v>
      </c>
      <c r="B386" s="96" t="s">
        <v>133</v>
      </c>
      <c r="C386" s="53"/>
      <c r="D386" s="100"/>
      <c r="E386" s="91"/>
      <c r="F386" s="53"/>
      <c r="G386" s="100"/>
      <c r="H386" s="91"/>
      <c r="I386" s="53"/>
      <c r="J386" s="100"/>
      <c r="K386" s="91"/>
      <c r="L386" s="53"/>
      <c r="M386" s="100"/>
      <c r="N386" s="91"/>
      <c r="O386" s="53"/>
      <c r="P386" s="100"/>
      <c r="Q386" s="91"/>
      <c r="R386" s="53"/>
      <c r="S386" s="100"/>
      <c r="T386" s="91"/>
      <c r="U386" s="53"/>
      <c r="V386" s="100"/>
      <c r="W386" s="91"/>
      <c r="X386" s="53"/>
      <c r="Y386" s="100"/>
      <c r="Z386" s="91"/>
      <c r="AA386" s="53"/>
      <c r="AB386" s="100"/>
      <c r="AC386" s="91"/>
      <c r="AD386" s="53"/>
      <c r="AE386" s="100"/>
      <c r="AF386" s="91"/>
      <c r="AG386" s="53"/>
      <c r="AH386" s="100"/>
      <c r="AI386" s="91"/>
      <c r="AJ386" s="53"/>
      <c r="AK386" s="100"/>
      <c r="AL386" s="91"/>
      <c r="AM386" s="53"/>
      <c r="AN386" s="100"/>
      <c r="AO386" s="91"/>
      <c r="AP386" s="40"/>
      <c r="AQ386" s="40"/>
      <c r="AR386" s="40"/>
      <c r="AS386" s="40"/>
      <c r="AT386" s="40"/>
      <c r="AU386" s="40"/>
      <c r="AV386" s="40"/>
      <c r="AW386" s="40"/>
      <c r="AX386" s="40"/>
      <c r="AY386" s="40"/>
      <c r="AZ386" s="40"/>
      <c r="BA386" s="40"/>
      <c r="BB386" s="40"/>
      <c r="BC386" s="40"/>
      <c r="BD386" s="40"/>
      <c r="BE386" s="40"/>
      <c r="BF386" s="40"/>
      <c r="BG386" s="40"/>
      <c r="BH386" s="40"/>
      <c r="BI386" s="40"/>
    </row>
    <row r="387" ht="20.25" customHeight="1">
      <c r="A387" s="41" t="str">
        <f t="shared" si="6"/>
        <v>BoutiqueFournitures autres</v>
      </c>
      <c r="B387" s="150" t="s">
        <v>134</v>
      </c>
      <c r="C387" s="57"/>
      <c r="D387" s="74"/>
      <c r="E387" s="75"/>
      <c r="F387" s="57"/>
      <c r="G387" s="74"/>
      <c r="H387" s="75"/>
      <c r="I387" s="57"/>
      <c r="J387" s="74"/>
      <c r="K387" s="75"/>
      <c r="L387" s="57"/>
      <c r="M387" s="74"/>
      <c r="N387" s="75"/>
      <c r="O387" s="57"/>
      <c r="P387" s="74"/>
      <c r="Q387" s="75"/>
      <c r="R387" s="57"/>
      <c r="S387" s="74"/>
      <c r="T387" s="75"/>
      <c r="U387" s="57"/>
      <c r="V387" s="74"/>
      <c r="W387" s="75"/>
      <c r="X387" s="57"/>
      <c r="Y387" s="74"/>
      <c r="Z387" s="75"/>
      <c r="AA387" s="57"/>
      <c r="AB387" s="74"/>
      <c r="AC387" s="75"/>
      <c r="AD387" s="57"/>
      <c r="AE387" s="74"/>
      <c r="AF387" s="75"/>
      <c r="AG387" s="57"/>
      <c r="AH387" s="74"/>
      <c r="AI387" s="75"/>
      <c r="AJ387" s="57"/>
      <c r="AK387" s="74"/>
      <c r="AL387" s="75"/>
      <c r="AM387" s="57"/>
      <c r="AN387" s="74"/>
      <c r="AO387" s="75"/>
      <c r="AP387" s="40"/>
      <c r="AQ387" s="40"/>
      <c r="AR387" s="40"/>
      <c r="AS387" s="40"/>
      <c r="AT387" s="40"/>
      <c r="AU387" s="40"/>
      <c r="AV387" s="40"/>
      <c r="AW387" s="40"/>
      <c r="AX387" s="40"/>
      <c r="AY387" s="40"/>
      <c r="AZ387" s="40"/>
      <c r="BA387" s="40"/>
      <c r="BB387" s="40"/>
      <c r="BC387" s="40"/>
      <c r="BD387" s="40"/>
      <c r="BE387" s="40"/>
      <c r="BF387" s="40"/>
      <c r="BG387" s="40"/>
      <c r="BH387" s="40"/>
      <c r="BI387" s="40"/>
    </row>
    <row r="388" ht="20.25" customHeight="1">
      <c r="A388" s="41" t="str">
        <f t="shared" si="6"/>
        <v>BoutiqueUniformes</v>
      </c>
      <c r="B388" s="96" t="s">
        <v>135</v>
      </c>
      <c r="C388" s="57"/>
      <c r="D388" s="74"/>
      <c r="E388" s="75"/>
      <c r="F388" s="57"/>
      <c r="G388" s="74"/>
      <c r="H388" s="75"/>
      <c r="I388" s="57"/>
      <c r="J388" s="74"/>
      <c r="K388" s="75"/>
      <c r="L388" s="57"/>
      <c r="M388" s="74"/>
      <c r="N388" s="75"/>
      <c r="O388" s="57"/>
      <c r="P388" s="74"/>
      <c r="Q388" s="75"/>
      <c r="R388" s="57"/>
      <c r="S388" s="74"/>
      <c r="T388" s="75"/>
      <c r="U388" s="57"/>
      <c r="V388" s="74"/>
      <c r="W388" s="75"/>
      <c r="X388" s="57"/>
      <c r="Y388" s="74"/>
      <c r="Z388" s="75"/>
      <c r="AA388" s="57"/>
      <c r="AB388" s="74"/>
      <c r="AC388" s="75"/>
      <c r="AD388" s="57"/>
      <c r="AE388" s="74"/>
      <c r="AF388" s="75"/>
      <c r="AG388" s="57"/>
      <c r="AH388" s="74"/>
      <c r="AI388" s="75"/>
      <c r="AJ388" s="57"/>
      <c r="AK388" s="74"/>
      <c r="AL388" s="75"/>
      <c r="AM388" s="57"/>
      <c r="AN388" s="74"/>
      <c r="AO388" s="75"/>
      <c r="AP388" s="40"/>
      <c r="AQ388" s="40"/>
      <c r="AR388" s="40"/>
      <c r="AS388" s="40"/>
      <c r="AT388" s="40"/>
      <c r="AU388" s="40"/>
      <c r="AV388" s="40"/>
      <c r="AW388" s="40"/>
      <c r="AX388" s="40"/>
      <c r="AY388" s="40"/>
      <c r="AZ388" s="40"/>
      <c r="BA388" s="40"/>
      <c r="BB388" s="40"/>
      <c r="BC388" s="40"/>
      <c r="BD388" s="40"/>
      <c r="BE388" s="40"/>
      <c r="BF388" s="40"/>
      <c r="BG388" s="40"/>
      <c r="BH388" s="40"/>
      <c r="BI388" s="40"/>
    </row>
    <row r="389" ht="20.25" customHeight="1">
      <c r="A389" s="41" t="str">
        <f t="shared" si="6"/>
        <v>BoutiquePapeterie</v>
      </c>
      <c r="B389" s="96" t="s">
        <v>136</v>
      </c>
      <c r="C389" s="57"/>
      <c r="D389" s="74"/>
      <c r="E389" s="75"/>
      <c r="F389" s="57"/>
      <c r="G389" s="74"/>
      <c r="H389" s="75"/>
      <c r="I389" s="57"/>
      <c r="J389" s="74"/>
      <c r="K389" s="75"/>
      <c r="L389" s="57"/>
      <c r="M389" s="74"/>
      <c r="N389" s="75"/>
      <c r="O389" s="57"/>
      <c r="P389" s="74"/>
      <c r="Q389" s="75"/>
      <c r="R389" s="57"/>
      <c r="S389" s="74"/>
      <c r="T389" s="75"/>
      <c r="U389" s="57"/>
      <c r="V389" s="74"/>
      <c r="W389" s="75"/>
      <c r="X389" s="57"/>
      <c r="Y389" s="74"/>
      <c r="Z389" s="75"/>
      <c r="AA389" s="57"/>
      <c r="AB389" s="74"/>
      <c r="AC389" s="75"/>
      <c r="AD389" s="57"/>
      <c r="AE389" s="74"/>
      <c r="AF389" s="75"/>
      <c r="AG389" s="57"/>
      <c r="AH389" s="74"/>
      <c r="AI389" s="75"/>
      <c r="AJ389" s="57"/>
      <c r="AK389" s="74"/>
      <c r="AL389" s="75"/>
      <c r="AM389" s="57"/>
      <c r="AN389" s="74"/>
      <c r="AO389" s="75"/>
      <c r="AP389" s="40"/>
      <c r="AQ389" s="40"/>
      <c r="AR389" s="40"/>
      <c r="AS389" s="40"/>
      <c r="AT389" s="40"/>
      <c r="AU389" s="40"/>
      <c r="AV389" s="40"/>
      <c r="AW389" s="40"/>
      <c r="AX389" s="40"/>
      <c r="AY389" s="40"/>
      <c r="AZ389" s="40"/>
      <c r="BA389" s="40"/>
      <c r="BB389" s="40"/>
      <c r="BC389" s="40"/>
      <c r="BD389" s="40"/>
      <c r="BE389" s="40"/>
      <c r="BF389" s="40"/>
      <c r="BG389" s="40"/>
      <c r="BH389" s="40"/>
      <c r="BI389" s="40"/>
    </row>
    <row r="390" ht="20.25" customHeight="1">
      <c r="A390" s="41" t="str">
        <f t="shared" si="6"/>
        <v>BoutiqueTéléphone</v>
      </c>
      <c r="B390" s="96" t="s">
        <v>137</v>
      </c>
      <c r="C390" s="57"/>
      <c r="D390" s="74"/>
      <c r="E390" s="75"/>
      <c r="F390" s="57"/>
      <c r="G390" s="74"/>
      <c r="H390" s="75"/>
      <c r="I390" s="57"/>
      <c r="J390" s="74"/>
      <c r="K390" s="75"/>
      <c r="L390" s="57"/>
      <c r="M390" s="74"/>
      <c r="N390" s="75"/>
      <c r="O390" s="57"/>
      <c r="P390" s="74"/>
      <c r="Q390" s="75"/>
      <c r="R390" s="57"/>
      <c r="S390" s="74"/>
      <c r="T390" s="75"/>
      <c r="U390" s="57"/>
      <c r="V390" s="74"/>
      <c r="W390" s="75"/>
      <c r="X390" s="57"/>
      <c r="Y390" s="74"/>
      <c r="Z390" s="75"/>
      <c r="AA390" s="57"/>
      <c r="AB390" s="74"/>
      <c r="AC390" s="75"/>
      <c r="AD390" s="57"/>
      <c r="AE390" s="74"/>
      <c r="AF390" s="75"/>
      <c r="AG390" s="57"/>
      <c r="AH390" s="74"/>
      <c r="AI390" s="75"/>
      <c r="AJ390" s="57"/>
      <c r="AK390" s="74"/>
      <c r="AL390" s="75"/>
      <c r="AM390" s="57"/>
      <c r="AN390" s="74"/>
      <c r="AO390" s="75"/>
      <c r="AP390" s="40"/>
      <c r="AQ390" s="40"/>
      <c r="AR390" s="40"/>
      <c r="AS390" s="40"/>
      <c r="AT390" s="40"/>
      <c r="AU390" s="40"/>
      <c r="AV390" s="40"/>
      <c r="AW390" s="40"/>
      <c r="AX390" s="40"/>
      <c r="AY390" s="40"/>
      <c r="AZ390" s="40"/>
      <c r="BA390" s="40"/>
      <c r="BB390" s="40"/>
      <c r="BC390" s="40"/>
      <c r="BD390" s="40"/>
      <c r="BE390" s="40"/>
      <c r="BF390" s="40"/>
      <c r="BG390" s="40"/>
      <c r="BH390" s="40"/>
      <c r="BI390" s="40"/>
    </row>
    <row r="391" ht="20.25" customHeight="1">
      <c r="A391" s="41" t="str">
        <f t="shared" si="6"/>
        <v>BoutiqueFrais postaux</v>
      </c>
      <c r="B391" s="96" t="s">
        <v>138</v>
      </c>
      <c r="C391" s="57"/>
      <c r="D391" s="74"/>
      <c r="E391" s="75"/>
      <c r="F391" s="57"/>
      <c r="G391" s="74"/>
      <c r="H391" s="75"/>
      <c r="I391" s="57"/>
      <c r="J391" s="74"/>
      <c r="K391" s="75"/>
      <c r="L391" s="57"/>
      <c r="M391" s="74"/>
      <c r="N391" s="75"/>
      <c r="O391" s="57"/>
      <c r="P391" s="74"/>
      <c r="Q391" s="75"/>
      <c r="R391" s="57"/>
      <c r="S391" s="74"/>
      <c r="T391" s="75"/>
      <c r="U391" s="57"/>
      <c r="V391" s="74"/>
      <c r="W391" s="75"/>
      <c r="X391" s="57"/>
      <c r="Y391" s="74"/>
      <c r="Z391" s="75"/>
      <c r="AA391" s="57"/>
      <c r="AB391" s="74"/>
      <c r="AC391" s="75"/>
      <c r="AD391" s="57"/>
      <c r="AE391" s="74"/>
      <c r="AF391" s="75"/>
      <c r="AG391" s="57"/>
      <c r="AH391" s="74"/>
      <c r="AI391" s="75"/>
      <c r="AJ391" s="57"/>
      <c r="AK391" s="74"/>
      <c r="AL391" s="75"/>
      <c r="AM391" s="57"/>
      <c r="AN391" s="74"/>
      <c r="AO391" s="75"/>
      <c r="AP391" s="40"/>
      <c r="AQ391" s="40"/>
      <c r="AR391" s="40"/>
      <c r="AS391" s="40"/>
      <c r="AT391" s="40"/>
      <c r="AU391" s="40"/>
      <c r="AV391" s="40"/>
      <c r="AW391" s="40"/>
      <c r="AX391" s="40"/>
      <c r="AY391" s="40"/>
      <c r="AZ391" s="40"/>
      <c r="BA391" s="40"/>
      <c r="BB391" s="40"/>
      <c r="BC391" s="40"/>
      <c r="BD391" s="40"/>
      <c r="BE391" s="40"/>
      <c r="BF391" s="40"/>
      <c r="BG391" s="40"/>
      <c r="BH391" s="40"/>
      <c r="BI391" s="40"/>
    </row>
    <row r="392" ht="20.25" customHeight="1">
      <c r="A392" s="41" t="str">
        <f t="shared" si="6"/>
        <v>BoutiqueDivers</v>
      </c>
      <c r="B392" s="96" t="s">
        <v>139</v>
      </c>
      <c r="C392" s="57"/>
      <c r="D392" s="74"/>
      <c r="E392" s="75"/>
      <c r="F392" s="57"/>
      <c r="G392" s="74"/>
      <c r="H392" s="75"/>
      <c r="I392" s="57"/>
      <c r="J392" s="74"/>
      <c r="K392" s="75"/>
      <c r="L392" s="57"/>
      <c r="M392" s="74"/>
      <c r="N392" s="75"/>
      <c r="O392" s="57"/>
      <c r="P392" s="74"/>
      <c r="Q392" s="75"/>
      <c r="R392" s="57"/>
      <c r="S392" s="74"/>
      <c r="T392" s="75"/>
      <c r="U392" s="57"/>
      <c r="V392" s="74"/>
      <c r="W392" s="75"/>
      <c r="X392" s="57"/>
      <c r="Y392" s="74"/>
      <c r="Z392" s="75"/>
      <c r="AA392" s="57"/>
      <c r="AB392" s="74"/>
      <c r="AC392" s="75"/>
      <c r="AD392" s="57"/>
      <c r="AE392" s="74"/>
      <c r="AF392" s="75"/>
      <c r="AG392" s="57"/>
      <c r="AH392" s="74"/>
      <c r="AI392" s="75"/>
      <c r="AJ392" s="57"/>
      <c r="AK392" s="74"/>
      <c r="AL392" s="75"/>
      <c r="AM392" s="57"/>
      <c r="AN392" s="74"/>
      <c r="AO392" s="75"/>
      <c r="AP392" s="40"/>
      <c r="AQ392" s="40"/>
      <c r="AR392" s="40"/>
      <c r="AS392" s="40"/>
      <c r="AT392" s="40"/>
      <c r="AU392" s="40"/>
      <c r="AV392" s="40"/>
      <c r="AW392" s="40"/>
      <c r="AX392" s="40"/>
      <c r="AY392" s="40"/>
      <c r="AZ392" s="40"/>
      <c r="BA392" s="40"/>
      <c r="BB392" s="40"/>
      <c r="BC392" s="40"/>
      <c r="BD392" s="40"/>
      <c r="BE392" s="40"/>
      <c r="BF392" s="40"/>
      <c r="BG392" s="40"/>
      <c r="BH392" s="40"/>
      <c r="BI392" s="40"/>
    </row>
    <row r="393" ht="20.25" customHeight="1">
      <c r="A393" s="41" t="str">
        <f t="shared" si="6"/>
        <v>BoutiqueFormation</v>
      </c>
      <c r="B393" s="96" t="s">
        <v>140</v>
      </c>
      <c r="C393" s="57"/>
      <c r="D393" s="74"/>
      <c r="E393" s="75"/>
      <c r="F393" s="57"/>
      <c r="G393" s="74"/>
      <c r="H393" s="75"/>
      <c r="I393" s="57"/>
      <c r="J393" s="74"/>
      <c r="K393" s="75"/>
      <c r="L393" s="57"/>
      <c r="M393" s="74"/>
      <c r="N393" s="75"/>
      <c r="O393" s="57"/>
      <c r="P393" s="74"/>
      <c r="Q393" s="75"/>
      <c r="R393" s="57"/>
      <c r="S393" s="74"/>
      <c r="T393" s="75"/>
      <c r="U393" s="57"/>
      <c r="V393" s="74"/>
      <c r="W393" s="75"/>
      <c r="X393" s="57"/>
      <c r="Y393" s="74"/>
      <c r="Z393" s="75"/>
      <c r="AA393" s="57"/>
      <c r="AB393" s="74"/>
      <c r="AC393" s="75"/>
      <c r="AD393" s="57"/>
      <c r="AE393" s="74"/>
      <c r="AF393" s="75"/>
      <c r="AG393" s="57"/>
      <c r="AH393" s="74"/>
      <c r="AI393" s="75"/>
      <c r="AJ393" s="57"/>
      <c r="AK393" s="74"/>
      <c r="AL393" s="75"/>
      <c r="AM393" s="57"/>
      <c r="AN393" s="74"/>
      <c r="AO393" s="75"/>
      <c r="AP393" s="40"/>
      <c r="AQ393" s="40"/>
      <c r="AR393" s="40"/>
      <c r="AS393" s="40"/>
      <c r="AT393" s="40"/>
      <c r="AU393" s="40"/>
      <c r="AV393" s="40"/>
      <c r="AW393" s="40"/>
      <c r="AX393" s="40"/>
      <c r="AY393" s="40"/>
      <c r="AZ393" s="40"/>
      <c r="BA393" s="40"/>
      <c r="BB393" s="40"/>
      <c r="BC393" s="40"/>
      <c r="BD393" s="40"/>
      <c r="BE393" s="40"/>
      <c r="BF393" s="40"/>
      <c r="BG393" s="40"/>
      <c r="BH393" s="40"/>
      <c r="BI393" s="40"/>
    </row>
    <row r="394" ht="20.25" customHeight="1">
      <c r="A394" s="41" t="str">
        <f t="shared" si="6"/>
        <v>BoutiqueFrais bancaires</v>
      </c>
      <c r="B394" s="96" t="s">
        <v>141</v>
      </c>
      <c r="C394" s="57"/>
      <c r="D394" s="74"/>
      <c r="E394" s="75"/>
      <c r="F394" s="57"/>
      <c r="G394" s="74"/>
      <c r="H394" s="75"/>
      <c r="I394" s="57"/>
      <c r="J394" s="74"/>
      <c r="K394" s="75"/>
      <c r="L394" s="57"/>
      <c r="M394" s="74"/>
      <c r="N394" s="75"/>
      <c r="O394" s="57"/>
      <c r="P394" s="74"/>
      <c r="Q394" s="75"/>
      <c r="R394" s="57"/>
      <c r="S394" s="74"/>
      <c r="T394" s="75"/>
      <c r="U394" s="57"/>
      <c r="V394" s="74"/>
      <c r="W394" s="75"/>
      <c r="X394" s="57"/>
      <c r="Y394" s="74"/>
      <c r="Z394" s="75"/>
      <c r="AA394" s="57"/>
      <c r="AB394" s="74"/>
      <c r="AC394" s="75"/>
      <c r="AD394" s="57"/>
      <c r="AE394" s="74"/>
      <c r="AF394" s="75"/>
      <c r="AG394" s="57"/>
      <c r="AH394" s="74"/>
      <c r="AI394" s="75"/>
      <c r="AJ394" s="57"/>
      <c r="AK394" s="74"/>
      <c r="AL394" s="75"/>
      <c r="AM394" s="57"/>
      <c r="AN394" s="74"/>
      <c r="AO394" s="75"/>
      <c r="AP394" s="40"/>
      <c r="AQ394" s="40"/>
      <c r="AR394" s="40"/>
      <c r="AS394" s="40"/>
      <c r="AT394" s="40"/>
      <c r="AU394" s="40"/>
      <c r="AV394" s="40"/>
      <c r="AW394" s="40"/>
      <c r="AX394" s="40"/>
      <c r="AY394" s="40"/>
      <c r="AZ394" s="40"/>
      <c r="BA394" s="40"/>
      <c r="BB394" s="40"/>
      <c r="BC394" s="40"/>
      <c r="BD394" s="40"/>
      <c r="BE394" s="40"/>
      <c r="BF394" s="40"/>
      <c r="BG394" s="40"/>
      <c r="BH394" s="40"/>
      <c r="BI394" s="40"/>
    </row>
    <row r="395" ht="15.75" customHeight="1">
      <c r="A395" s="41" t="str">
        <f t="shared" si="6"/>
        <v>Boutique[...]</v>
      </c>
      <c r="B395" s="96" t="s">
        <v>56</v>
      </c>
      <c r="C395" s="57"/>
      <c r="D395" s="74"/>
      <c r="E395" s="75"/>
      <c r="F395" s="57"/>
      <c r="G395" s="74"/>
      <c r="H395" s="75"/>
      <c r="I395" s="57"/>
      <c r="J395" s="74"/>
      <c r="K395" s="75"/>
      <c r="L395" s="57"/>
      <c r="M395" s="74"/>
      <c r="N395" s="75"/>
      <c r="O395" s="57"/>
      <c r="P395" s="74"/>
      <c r="Q395" s="75"/>
      <c r="R395" s="57"/>
      <c r="S395" s="74"/>
      <c r="T395" s="75"/>
      <c r="U395" s="57"/>
      <c r="V395" s="74"/>
      <c r="W395" s="75"/>
      <c r="X395" s="57"/>
      <c r="Y395" s="74"/>
      <c r="Z395" s="75"/>
      <c r="AA395" s="57"/>
      <c r="AB395" s="74"/>
      <c r="AC395" s="75"/>
      <c r="AD395" s="57"/>
      <c r="AE395" s="74"/>
      <c r="AF395" s="75"/>
      <c r="AG395" s="57"/>
      <c r="AH395" s="74"/>
      <c r="AI395" s="75"/>
      <c r="AJ395" s="57"/>
      <c r="AK395" s="74"/>
      <c r="AL395" s="75"/>
      <c r="AM395" s="57"/>
      <c r="AN395" s="74"/>
      <c r="AO395" s="75"/>
      <c r="AP395" s="40"/>
      <c r="AQ395" s="40"/>
      <c r="AR395" s="40"/>
      <c r="AS395" s="40"/>
      <c r="AT395" s="40"/>
      <c r="AU395" s="40"/>
      <c r="AV395" s="40"/>
      <c r="AW395" s="40"/>
      <c r="AX395" s="40"/>
      <c r="AY395" s="40"/>
      <c r="AZ395" s="40"/>
      <c r="BA395" s="40"/>
      <c r="BB395" s="40"/>
      <c r="BC395" s="40"/>
      <c r="BD395" s="40"/>
      <c r="BE395" s="40"/>
      <c r="BF395" s="40"/>
      <c r="BG395" s="40"/>
      <c r="BH395" s="40"/>
      <c r="BI395" s="40"/>
    </row>
    <row r="396" ht="15.75" customHeight="1">
      <c r="A396" s="41" t="str">
        <f t="shared" si="6"/>
        <v>Boutique[...]</v>
      </c>
      <c r="B396" s="96" t="s">
        <v>56</v>
      </c>
      <c r="C396" s="57"/>
      <c r="D396" s="74"/>
      <c r="E396" s="75"/>
      <c r="F396" s="57"/>
      <c r="G396" s="74"/>
      <c r="H396" s="75"/>
      <c r="I396" s="57"/>
      <c r="J396" s="74"/>
      <c r="K396" s="75"/>
      <c r="L396" s="57"/>
      <c r="M396" s="74"/>
      <c r="N396" s="75"/>
      <c r="O396" s="57"/>
      <c r="P396" s="74"/>
      <c r="Q396" s="75"/>
      <c r="R396" s="57"/>
      <c r="S396" s="74"/>
      <c r="T396" s="75"/>
      <c r="U396" s="57"/>
      <c r="V396" s="74"/>
      <c r="W396" s="75"/>
      <c r="X396" s="57"/>
      <c r="Y396" s="74"/>
      <c r="Z396" s="75"/>
      <c r="AA396" s="57"/>
      <c r="AB396" s="74"/>
      <c r="AC396" s="75"/>
      <c r="AD396" s="57"/>
      <c r="AE396" s="74"/>
      <c r="AF396" s="75"/>
      <c r="AG396" s="57"/>
      <c r="AH396" s="74"/>
      <c r="AI396" s="75"/>
      <c r="AJ396" s="57"/>
      <c r="AK396" s="74"/>
      <c r="AL396" s="75"/>
      <c r="AM396" s="57"/>
      <c r="AN396" s="74"/>
      <c r="AO396" s="75"/>
      <c r="AP396" s="40"/>
      <c r="AQ396" s="40"/>
      <c r="AR396" s="40"/>
      <c r="AS396" s="40"/>
      <c r="AT396" s="40"/>
      <c r="AU396" s="40"/>
      <c r="AV396" s="40"/>
      <c r="AW396" s="40"/>
      <c r="AX396" s="40"/>
      <c r="AY396" s="40"/>
      <c r="AZ396" s="40"/>
      <c r="BA396" s="40"/>
      <c r="BB396" s="40"/>
      <c r="BC396" s="40"/>
      <c r="BD396" s="40"/>
      <c r="BE396" s="40"/>
      <c r="BF396" s="40"/>
      <c r="BG396" s="40"/>
      <c r="BH396" s="40"/>
      <c r="BI396" s="40"/>
    </row>
    <row r="397" ht="15.75" customHeight="1">
      <c r="A397" s="41" t="str">
        <f t="shared" si="6"/>
        <v>Boutique[...]</v>
      </c>
      <c r="B397" s="96" t="s">
        <v>56</v>
      </c>
      <c r="C397" s="53"/>
      <c r="D397" s="100"/>
      <c r="E397" s="75"/>
      <c r="F397" s="53"/>
      <c r="G397" s="100"/>
      <c r="H397" s="75"/>
      <c r="I397" s="53"/>
      <c r="J397" s="100"/>
      <c r="K397" s="75"/>
      <c r="L397" s="53"/>
      <c r="M397" s="100"/>
      <c r="N397" s="75"/>
      <c r="O397" s="53"/>
      <c r="P397" s="100"/>
      <c r="Q397" s="75"/>
      <c r="R397" s="53"/>
      <c r="S397" s="100"/>
      <c r="T397" s="75"/>
      <c r="U397" s="53"/>
      <c r="V397" s="100"/>
      <c r="W397" s="75"/>
      <c r="X397" s="53"/>
      <c r="Y397" s="100"/>
      <c r="Z397" s="75"/>
      <c r="AA397" s="53"/>
      <c r="AB397" s="100"/>
      <c r="AC397" s="75"/>
      <c r="AD397" s="53"/>
      <c r="AE397" s="100"/>
      <c r="AF397" s="75"/>
      <c r="AG397" s="53"/>
      <c r="AH397" s="100"/>
      <c r="AI397" s="75"/>
      <c r="AJ397" s="53"/>
      <c r="AK397" s="100"/>
      <c r="AL397" s="75"/>
      <c r="AM397" s="53"/>
      <c r="AN397" s="100"/>
      <c r="AO397" s="75"/>
      <c r="AP397" s="40"/>
      <c r="AQ397" s="40"/>
      <c r="AR397" s="40"/>
      <c r="AS397" s="40"/>
      <c r="AT397" s="40"/>
      <c r="AU397" s="40"/>
      <c r="AV397" s="40"/>
      <c r="AW397" s="40"/>
      <c r="AX397" s="40"/>
      <c r="AY397" s="40"/>
      <c r="AZ397" s="40"/>
      <c r="BA397" s="40"/>
      <c r="BB397" s="40"/>
      <c r="BC397" s="40"/>
      <c r="BD397" s="40"/>
      <c r="BE397" s="40"/>
      <c r="BF397" s="40"/>
      <c r="BG397" s="40"/>
      <c r="BH397" s="40"/>
      <c r="BI397" s="40"/>
    </row>
    <row r="398" ht="15.75" customHeight="1">
      <c r="A398" s="41" t="str">
        <f t="shared" si="6"/>
        <v>BoutiqueTOTAL SEMI-FIXES</v>
      </c>
      <c r="B398" s="92" t="s">
        <v>142</v>
      </c>
      <c r="C398" s="93"/>
      <c r="D398" s="94"/>
      <c r="E398" s="95"/>
      <c r="F398" s="93"/>
      <c r="G398" s="94"/>
      <c r="H398" s="95"/>
      <c r="I398" s="93"/>
      <c r="J398" s="94"/>
      <c r="K398" s="95"/>
      <c r="L398" s="93"/>
      <c r="M398" s="94"/>
      <c r="N398" s="95"/>
      <c r="O398" s="93"/>
      <c r="P398" s="94"/>
      <c r="Q398" s="95"/>
      <c r="R398" s="93"/>
      <c r="S398" s="94"/>
      <c r="T398" s="95"/>
      <c r="U398" s="93"/>
      <c r="V398" s="94"/>
      <c r="W398" s="95"/>
      <c r="X398" s="93"/>
      <c r="Y398" s="94"/>
      <c r="Z398" s="95"/>
      <c r="AA398" s="93"/>
      <c r="AB398" s="94"/>
      <c r="AC398" s="95"/>
      <c r="AD398" s="93"/>
      <c r="AE398" s="94"/>
      <c r="AF398" s="95"/>
      <c r="AG398" s="93"/>
      <c r="AH398" s="94"/>
      <c r="AI398" s="95"/>
      <c r="AJ398" s="93"/>
      <c r="AK398" s="94"/>
      <c r="AL398" s="95"/>
      <c r="AM398" s="93"/>
      <c r="AN398" s="94"/>
      <c r="AO398" s="95"/>
      <c r="AP398" s="40"/>
      <c r="AQ398" s="40"/>
      <c r="AR398" s="40"/>
      <c r="AS398" s="40"/>
      <c r="AT398" s="40"/>
      <c r="AU398" s="40"/>
      <c r="AV398" s="40"/>
      <c r="AW398" s="40"/>
      <c r="AX398" s="40"/>
      <c r="AY398" s="40"/>
      <c r="AZ398" s="40"/>
      <c r="BA398" s="40"/>
      <c r="BB398" s="40"/>
      <c r="BC398" s="40"/>
      <c r="BD398" s="40"/>
      <c r="BE398" s="40"/>
      <c r="BF398" s="40"/>
      <c r="BG398" s="40"/>
      <c r="BH398" s="40"/>
      <c r="BI398" s="40"/>
    </row>
    <row r="399" ht="15.75" customHeight="1">
      <c r="A399" s="41" t="str">
        <f t="shared" si="6"/>
        <v>Boutique</v>
      </c>
      <c r="B399" s="57"/>
      <c r="C399" s="57"/>
      <c r="D399" s="74"/>
      <c r="E399" s="65"/>
      <c r="F399" s="57"/>
      <c r="G399" s="74"/>
      <c r="H399" s="65"/>
      <c r="I399" s="57"/>
      <c r="J399" s="74"/>
      <c r="K399" s="65"/>
      <c r="L399" s="57"/>
      <c r="M399" s="74"/>
      <c r="N399" s="65"/>
      <c r="O399" s="57"/>
      <c r="P399" s="74"/>
      <c r="Q399" s="65"/>
      <c r="R399" s="57"/>
      <c r="S399" s="74"/>
      <c r="T399" s="65"/>
      <c r="U399" s="57"/>
      <c r="V399" s="74"/>
      <c r="W399" s="65"/>
      <c r="X399" s="57"/>
      <c r="Y399" s="74"/>
      <c r="Z399" s="65"/>
      <c r="AA399" s="57"/>
      <c r="AB399" s="74"/>
      <c r="AC399" s="65"/>
      <c r="AD399" s="57"/>
      <c r="AE399" s="74"/>
      <c r="AF399" s="65"/>
      <c r="AG399" s="57"/>
      <c r="AH399" s="74"/>
      <c r="AI399" s="65"/>
      <c r="AJ399" s="57"/>
      <c r="AK399" s="74"/>
      <c r="AL399" s="65"/>
      <c r="AM399" s="57"/>
      <c r="AN399" s="74"/>
      <c r="AO399" s="65"/>
      <c r="AP399" s="40"/>
      <c r="AQ399" s="40"/>
      <c r="AR399" s="40"/>
      <c r="AS399" s="40"/>
      <c r="AT399" s="40"/>
      <c r="AU399" s="40"/>
      <c r="AV399" s="40"/>
      <c r="AW399" s="40"/>
      <c r="AX399" s="40"/>
      <c r="AY399" s="40"/>
      <c r="AZ399" s="40"/>
      <c r="BA399" s="40"/>
      <c r="BB399" s="40"/>
      <c r="BC399" s="40"/>
      <c r="BD399" s="40"/>
      <c r="BE399" s="40"/>
      <c r="BF399" s="40"/>
      <c r="BG399" s="40"/>
      <c r="BH399" s="40"/>
      <c r="BI399" s="40"/>
    </row>
    <row r="400" ht="15.75" customHeight="1">
      <c r="A400" s="41" t="str">
        <f t="shared" si="6"/>
        <v>BoutiqueTOTAL DES DÉPENSES</v>
      </c>
      <c r="B400" s="92" t="s">
        <v>143</v>
      </c>
      <c r="C400" s="93"/>
      <c r="D400" s="94"/>
      <c r="E400" s="95"/>
      <c r="F400" s="93"/>
      <c r="G400" s="94"/>
      <c r="H400" s="95"/>
      <c r="I400" s="93"/>
      <c r="J400" s="94"/>
      <c r="K400" s="95"/>
      <c r="L400" s="93"/>
      <c r="M400" s="94"/>
      <c r="N400" s="95"/>
      <c r="O400" s="93"/>
      <c r="P400" s="94"/>
      <c r="Q400" s="95"/>
      <c r="R400" s="93"/>
      <c r="S400" s="94"/>
      <c r="T400" s="95"/>
      <c r="U400" s="93"/>
      <c r="V400" s="94"/>
      <c r="W400" s="95"/>
      <c r="X400" s="93"/>
      <c r="Y400" s="94"/>
      <c r="Z400" s="95"/>
      <c r="AA400" s="93"/>
      <c r="AB400" s="94"/>
      <c r="AC400" s="95"/>
      <c r="AD400" s="93"/>
      <c r="AE400" s="94"/>
      <c r="AF400" s="95"/>
      <c r="AG400" s="93"/>
      <c r="AH400" s="94"/>
      <c r="AI400" s="95"/>
      <c r="AJ400" s="93"/>
      <c r="AK400" s="94"/>
      <c r="AL400" s="95"/>
      <c r="AM400" s="93"/>
      <c r="AN400" s="94"/>
      <c r="AO400" s="95"/>
      <c r="AP400" s="40"/>
      <c r="AQ400" s="40"/>
      <c r="AR400" s="40"/>
      <c r="AS400" s="40"/>
      <c r="AT400" s="40"/>
      <c r="AU400" s="40"/>
      <c r="AV400" s="40"/>
      <c r="AW400" s="40"/>
      <c r="AX400" s="40"/>
      <c r="AY400" s="40"/>
      <c r="AZ400" s="40"/>
      <c r="BA400" s="40"/>
      <c r="BB400" s="40"/>
      <c r="BC400" s="40"/>
      <c r="BD400" s="40"/>
      <c r="BE400" s="40"/>
      <c r="BF400" s="40"/>
      <c r="BG400" s="40"/>
      <c r="BH400" s="40"/>
      <c r="BI400" s="40"/>
    </row>
    <row r="401" ht="15.75" customHeight="1">
      <c r="A401" s="41" t="str">
        <f t="shared" si="6"/>
        <v>Boutique</v>
      </c>
      <c r="B401" s="57"/>
      <c r="C401" s="57"/>
      <c r="D401" s="74"/>
      <c r="E401" s="75"/>
      <c r="F401" s="57"/>
      <c r="G401" s="74"/>
      <c r="H401" s="75"/>
      <c r="I401" s="57"/>
      <c r="J401" s="74"/>
      <c r="K401" s="75"/>
      <c r="L401" s="57"/>
      <c r="M401" s="74"/>
      <c r="N401" s="75"/>
      <c r="O401" s="57"/>
      <c r="P401" s="74"/>
      <c r="Q401" s="75"/>
      <c r="R401" s="57"/>
      <c r="S401" s="74"/>
      <c r="T401" s="75"/>
      <c r="U401" s="57"/>
      <c r="V401" s="74"/>
      <c r="W401" s="75"/>
      <c r="X401" s="57"/>
      <c r="Y401" s="74"/>
      <c r="Z401" s="75"/>
      <c r="AA401" s="57"/>
      <c r="AB401" s="74"/>
      <c r="AC401" s="75"/>
      <c r="AD401" s="57"/>
      <c r="AE401" s="74"/>
      <c r="AF401" s="75"/>
      <c r="AG401" s="57"/>
      <c r="AH401" s="74"/>
      <c r="AI401" s="75"/>
      <c r="AJ401" s="57"/>
      <c r="AK401" s="74"/>
      <c r="AL401" s="75"/>
      <c r="AM401" s="57"/>
      <c r="AN401" s="74"/>
      <c r="AO401" s="75"/>
      <c r="AP401" s="40"/>
      <c r="AQ401" s="40"/>
      <c r="AR401" s="40"/>
      <c r="AS401" s="40"/>
      <c r="AT401" s="40"/>
      <c r="AU401" s="40"/>
      <c r="AV401" s="40"/>
      <c r="AW401" s="40"/>
      <c r="AX401" s="40"/>
      <c r="AY401" s="40"/>
      <c r="AZ401" s="40"/>
      <c r="BA401" s="40"/>
      <c r="BB401" s="40"/>
      <c r="BC401" s="40"/>
      <c r="BD401" s="40"/>
      <c r="BE401" s="40"/>
      <c r="BF401" s="40"/>
      <c r="BG401" s="40"/>
      <c r="BH401" s="40"/>
      <c r="BI401" s="40"/>
    </row>
    <row r="402" ht="15.75" customHeight="1">
      <c r="A402" s="41" t="str">
        <f t="shared" si="6"/>
        <v>BoutiquePROFIT DÉPARTEMENTAL</v>
      </c>
      <c r="B402" s="162" t="s">
        <v>150</v>
      </c>
      <c r="C402" s="163"/>
      <c r="D402" s="164"/>
      <c r="E402" s="165"/>
      <c r="F402" s="163"/>
      <c r="G402" s="164"/>
      <c r="H402" s="165"/>
      <c r="I402" s="163"/>
      <c r="J402" s="164"/>
      <c r="K402" s="165"/>
      <c r="L402" s="163"/>
      <c r="M402" s="164"/>
      <c r="N402" s="165"/>
      <c r="O402" s="163"/>
      <c r="P402" s="164"/>
      <c r="Q402" s="165"/>
      <c r="R402" s="163"/>
      <c r="S402" s="164"/>
      <c r="T402" s="165"/>
      <c r="U402" s="163"/>
      <c r="V402" s="164"/>
      <c r="W402" s="165"/>
      <c r="X402" s="163"/>
      <c r="Y402" s="164"/>
      <c r="Z402" s="165"/>
      <c r="AA402" s="163"/>
      <c r="AB402" s="164"/>
      <c r="AC402" s="165"/>
      <c r="AD402" s="163"/>
      <c r="AE402" s="164"/>
      <c r="AF402" s="165"/>
      <c r="AG402" s="163"/>
      <c r="AH402" s="164"/>
      <c r="AI402" s="165"/>
      <c r="AJ402" s="163"/>
      <c r="AK402" s="164"/>
      <c r="AL402" s="165"/>
      <c r="AM402" s="163"/>
      <c r="AN402" s="164"/>
      <c r="AO402" s="165"/>
      <c r="AP402" s="40"/>
      <c r="AQ402" s="40"/>
      <c r="AR402" s="40"/>
      <c r="AS402" s="40"/>
      <c r="AT402" s="40"/>
      <c r="AU402" s="40"/>
      <c r="AV402" s="40"/>
      <c r="AW402" s="40"/>
      <c r="AX402" s="40"/>
      <c r="AY402" s="40"/>
      <c r="AZ402" s="40"/>
      <c r="BA402" s="40"/>
      <c r="BB402" s="40"/>
      <c r="BC402" s="40"/>
      <c r="BD402" s="40"/>
      <c r="BE402" s="40"/>
      <c r="BF402" s="40"/>
      <c r="BG402" s="40"/>
      <c r="BH402" s="40"/>
      <c r="BI402" s="40"/>
    </row>
    <row r="403" ht="15.75" customHeight="1">
      <c r="A403" s="41"/>
      <c r="B403" s="83"/>
      <c r="C403" s="83"/>
      <c r="D403" s="83"/>
      <c r="E403" s="161"/>
      <c r="F403" s="83"/>
      <c r="G403" s="83"/>
      <c r="H403" s="161"/>
      <c r="I403" s="83"/>
      <c r="J403" s="83"/>
      <c r="K403" s="161"/>
      <c r="L403" s="83"/>
      <c r="M403" s="83"/>
      <c r="N403" s="161"/>
      <c r="O403" s="83"/>
      <c r="P403" s="83"/>
      <c r="Q403" s="161"/>
      <c r="R403" s="83"/>
      <c r="S403" s="83"/>
      <c r="T403" s="161"/>
      <c r="U403" s="83"/>
      <c r="V403" s="83"/>
      <c r="W403" s="161"/>
      <c r="X403" s="83"/>
      <c r="Y403" s="83"/>
      <c r="Z403" s="161"/>
      <c r="AA403" s="83"/>
      <c r="AB403" s="83"/>
      <c r="AC403" s="161"/>
      <c r="AD403" s="83"/>
      <c r="AE403" s="83"/>
      <c r="AF403" s="161"/>
      <c r="AG403" s="83"/>
      <c r="AH403" s="83"/>
      <c r="AI403" s="161"/>
      <c r="AJ403" s="83"/>
      <c r="AK403" s="83"/>
      <c r="AL403" s="161"/>
      <c r="AM403" s="83"/>
      <c r="AN403" s="83"/>
      <c r="AO403" s="161"/>
      <c r="AP403" s="40"/>
      <c r="AQ403" s="40"/>
      <c r="AR403" s="40"/>
      <c r="AS403" s="40"/>
      <c r="AT403" s="40"/>
      <c r="AU403" s="40"/>
      <c r="AV403" s="40"/>
      <c r="AW403" s="40"/>
      <c r="AX403" s="40"/>
      <c r="AY403" s="40"/>
      <c r="AZ403" s="40"/>
      <c r="BA403" s="40"/>
      <c r="BB403" s="40"/>
      <c r="BC403" s="40"/>
      <c r="BD403" s="40"/>
      <c r="BE403" s="40"/>
      <c r="BF403" s="40"/>
      <c r="BG403" s="40"/>
      <c r="BH403" s="40"/>
      <c r="BI403" s="40"/>
    </row>
    <row r="404" ht="15.75" customHeight="1">
      <c r="A404" s="41"/>
      <c r="B404" s="74"/>
      <c r="C404" s="74"/>
      <c r="D404" s="74"/>
      <c r="E404" s="88"/>
      <c r="F404" s="74"/>
      <c r="G404" s="74"/>
      <c r="H404" s="88"/>
      <c r="I404" s="74"/>
      <c r="J404" s="74"/>
      <c r="K404" s="88"/>
      <c r="L404" s="74"/>
      <c r="M404" s="74"/>
      <c r="N404" s="88"/>
      <c r="O404" s="74"/>
      <c r="P404" s="74"/>
      <c r="Q404" s="88"/>
      <c r="R404" s="74"/>
      <c r="S404" s="74"/>
      <c r="T404" s="88"/>
      <c r="U404" s="74"/>
      <c r="V404" s="74"/>
      <c r="W404" s="88"/>
      <c r="X404" s="74"/>
      <c r="Y404" s="74"/>
      <c r="Z404" s="88"/>
      <c r="AA404" s="74"/>
      <c r="AB404" s="74"/>
      <c r="AC404" s="88"/>
      <c r="AD404" s="74"/>
      <c r="AE404" s="74"/>
      <c r="AF404" s="88"/>
      <c r="AG404" s="74"/>
      <c r="AH404" s="74"/>
      <c r="AI404" s="88"/>
      <c r="AJ404" s="74"/>
      <c r="AK404" s="74"/>
      <c r="AL404" s="88"/>
      <c r="AM404" s="74"/>
      <c r="AN404" s="74"/>
      <c r="AO404" s="88"/>
      <c r="AP404" s="40"/>
      <c r="AQ404" s="40"/>
      <c r="AR404" s="40"/>
      <c r="AS404" s="40"/>
      <c r="AT404" s="40"/>
      <c r="AU404" s="40"/>
      <c r="AV404" s="40"/>
      <c r="AW404" s="40"/>
      <c r="AX404" s="40"/>
      <c r="AY404" s="40"/>
      <c r="AZ404" s="40"/>
      <c r="BA404" s="40"/>
      <c r="BB404" s="40"/>
      <c r="BC404" s="40"/>
      <c r="BD404" s="40"/>
      <c r="BE404" s="40"/>
      <c r="BF404" s="40"/>
      <c r="BG404" s="40"/>
      <c r="BH404" s="40"/>
      <c r="BI404" s="40"/>
    </row>
    <row r="405" ht="15.75" customHeight="1">
      <c r="A405" s="41"/>
      <c r="B405" s="112" t="str">
        <f>B4</f>
        <v>Budget 2025</v>
      </c>
      <c r="C405" s="112" t="s">
        <v>195</v>
      </c>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c r="AG405" s="112"/>
      <c r="AH405" s="112"/>
      <c r="AI405" s="112"/>
      <c r="AJ405" s="112"/>
      <c r="AK405" s="112"/>
      <c r="AL405" s="112"/>
      <c r="AM405" s="112"/>
      <c r="AN405" s="112"/>
      <c r="AO405" s="112"/>
      <c r="AP405" s="40"/>
      <c r="AQ405" s="40"/>
      <c r="AR405" s="40"/>
      <c r="AS405" s="40"/>
      <c r="AT405" s="40"/>
      <c r="AU405" s="40"/>
      <c r="AV405" s="40"/>
      <c r="AW405" s="40"/>
      <c r="AX405" s="40"/>
      <c r="AY405" s="40"/>
      <c r="AZ405" s="40"/>
      <c r="BA405" s="40"/>
      <c r="BB405" s="40"/>
      <c r="BC405" s="40"/>
      <c r="BD405" s="40"/>
      <c r="BE405" s="40"/>
      <c r="BF405" s="40"/>
      <c r="BG405" s="40"/>
      <c r="BH405" s="40"/>
      <c r="BI405" s="40"/>
    </row>
    <row r="406" ht="15.75" customHeight="1">
      <c r="A406" s="41"/>
      <c r="B406" s="166"/>
      <c r="C406" s="167"/>
      <c r="D406" s="167"/>
      <c r="E406" s="167"/>
      <c r="F406" s="168"/>
      <c r="G406" s="168"/>
      <c r="H406" s="168"/>
      <c r="I406" s="168"/>
      <c r="J406" s="168"/>
      <c r="K406" s="168"/>
      <c r="L406" s="168"/>
      <c r="M406" s="168"/>
      <c r="N406" s="168"/>
      <c r="O406" s="168"/>
      <c r="P406" s="168"/>
      <c r="Q406" s="168"/>
      <c r="R406" s="168"/>
      <c r="S406" s="168"/>
      <c r="T406" s="168"/>
      <c r="U406" s="168"/>
      <c r="V406" s="168"/>
      <c r="W406" s="168"/>
      <c r="X406" s="168"/>
      <c r="Y406" s="168"/>
      <c r="Z406" s="168"/>
      <c r="AA406" s="168"/>
      <c r="AB406" s="168"/>
      <c r="AC406" s="168"/>
      <c r="AD406" s="168"/>
      <c r="AE406" s="168"/>
      <c r="AF406" s="168"/>
      <c r="AG406" s="168"/>
      <c r="AH406" s="168"/>
      <c r="AI406" s="168"/>
      <c r="AJ406" s="168"/>
      <c r="AK406" s="168"/>
      <c r="AL406" s="168"/>
      <c r="AM406" s="168"/>
      <c r="AN406" s="168"/>
      <c r="AO406" s="168"/>
      <c r="AP406" s="40"/>
      <c r="AQ406" s="40"/>
      <c r="AR406" s="40"/>
      <c r="AS406" s="40"/>
      <c r="AT406" s="40"/>
      <c r="AU406" s="40"/>
      <c r="AV406" s="40"/>
      <c r="AW406" s="40"/>
      <c r="AX406" s="40"/>
      <c r="AY406" s="40"/>
      <c r="AZ406" s="40"/>
      <c r="BA406" s="40"/>
      <c r="BB406" s="40"/>
      <c r="BC406" s="40"/>
      <c r="BD406" s="40"/>
      <c r="BE406" s="40"/>
      <c r="BF406" s="40"/>
      <c r="BG406" s="40"/>
      <c r="BH406" s="40"/>
      <c r="BI406" s="40"/>
    </row>
    <row r="407" ht="15.75" customHeight="1">
      <c r="A407" s="41"/>
      <c r="B407" s="42" t="s">
        <v>2</v>
      </c>
      <c r="C407" s="43"/>
      <c r="D407" s="44"/>
      <c r="E407" s="45"/>
      <c r="F407" s="114"/>
      <c r="G407" s="115"/>
      <c r="H407" s="116"/>
      <c r="I407" s="114"/>
      <c r="J407" s="115"/>
      <c r="K407" s="116"/>
      <c r="L407" s="114"/>
      <c r="M407" s="115"/>
      <c r="N407" s="116"/>
      <c r="O407" s="114"/>
      <c r="P407" s="115"/>
      <c r="Q407" s="116"/>
      <c r="R407" s="114"/>
      <c r="S407" s="115"/>
      <c r="T407" s="116"/>
      <c r="U407" s="114"/>
      <c r="V407" s="115"/>
      <c r="W407" s="116"/>
      <c r="X407" s="114"/>
      <c r="Y407" s="115"/>
      <c r="Z407" s="116"/>
      <c r="AA407" s="114"/>
      <c r="AB407" s="115"/>
      <c r="AC407" s="116"/>
      <c r="AD407" s="114"/>
      <c r="AE407" s="115"/>
      <c r="AF407" s="116"/>
      <c r="AG407" s="114"/>
      <c r="AH407" s="115"/>
      <c r="AI407" s="116"/>
      <c r="AJ407" s="114"/>
      <c r="AK407" s="115"/>
      <c r="AL407" s="116"/>
      <c r="AM407" s="114"/>
      <c r="AN407" s="115"/>
      <c r="AO407" s="116"/>
      <c r="AP407" s="40"/>
      <c r="AQ407" s="40"/>
      <c r="AR407" s="40"/>
      <c r="AS407" s="40"/>
      <c r="AT407" s="40"/>
      <c r="AU407" s="40"/>
      <c r="AV407" s="40"/>
      <c r="AW407" s="40"/>
      <c r="AX407" s="40"/>
      <c r="AY407" s="40"/>
      <c r="AZ407" s="40"/>
      <c r="BA407" s="40"/>
      <c r="BB407" s="40"/>
      <c r="BC407" s="40"/>
      <c r="BD407" s="40"/>
      <c r="BE407" s="40"/>
      <c r="BF407" s="40"/>
      <c r="BG407" s="40"/>
      <c r="BH407" s="40"/>
      <c r="BI407" s="40"/>
    </row>
    <row r="408" ht="15.75" customHeight="1">
      <c r="A408" s="41"/>
      <c r="B408" s="53"/>
      <c r="C408" s="169"/>
      <c r="D408" s="170"/>
      <c r="E408" s="171"/>
      <c r="F408" s="169"/>
      <c r="G408" s="170"/>
      <c r="H408" s="171"/>
      <c r="I408" s="169"/>
      <c r="J408" s="170"/>
      <c r="K408" s="171"/>
      <c r="L408" s="169"/>
      <c r="M408" s="170"/>
      <c r="N408" s="171"/>
      <c r="O408" s="169"/>
      <c r="P408" s="170"/>
      <c r="Q408" s="171"/>
      <c r="R408" s="169"/>
      <c r="S408" s="170"/>
      <c r="T408" s="171"/>
      <c r="U408" s="169"/>
      <c r="V408" s="170"/>
      <c r="W408" s="171"/>
      <c r="X408" s="169"/>
      <c r="Y408" s="170"/>
      <c r="Z408" s="171"/>
      <c r="AA408" s="169"/>
      <c r="AB408" s="170"/>
      <c r="AC408" s="171"/>
      <c r="AD408" s="169"/>
      <c r="AE408" s="170"/>
      <c r="AF408" s="171"/>
      <c r="AG408" s="169"/>
      <c r="AH408" s="170"/>
      <c r="AI408" s="171"/>
      <c r="AJ408" s="169"/>
      <c r="AK408" s="170"/>
      <c r="AL408" s="171"/>
      <c r="AM408" s="169"/>
      <c r="AN408" s="170"/>
      <c r="AO408" s="171"/>
      <c r="AP408" s="40"/>
      <c r="AQ408" s="40"/>
      <c r="AR408" s="40"/>
      <c r="AS408" s="40"/>
      <c r="AT408" s="40"/>
      <c r="AU408" s="40"/>
      <c r="AV408" s="40"/>
      <c r="AW408" s="40"/>
      <c r="AX408" s="40"/>
      <c r="AY408" s="40"/>
      <c r="AZ408" s="40"/>
      <c r="BA408" s="40"/>
      <c r="BB408" s="40"/>
      <c r="BC408" s="40"/>
      <c r="BD408" s="40"/>
      <c r="BE408" s="40"/>
      <c r="BF408" s="40"/>
      <c r="BG408" s="40"/>
      <c r="BH408" s="40"/>
      <c r="BI408" s="40"/>
    </row>
    <row r="409" ht="15.75" customHeight="1">
      <c r="A409" s="41" t="str">
        <f t="shared" ref="A409:A442" si="7">B409</f>
        <v>Ventes nettes</v>
      </c>
      <c r="B409" s="97" t="s">
        <v>96</v>
      </c>
      <c r="C409" s="172"/>
      <c r="D409" s="173"/>
      <c r="E409" s="174"/>
      <c r="F409" s="172"/>
      <c r="G409" s="173"/>
      <c r="H409" s="174"/>
      <c r="I409" s="172"/>
      <c r="J409" s="173"/>
      <c r="K409" s="174"/>
      <c r="L409" s="172"/>
      <c r="M409" s="173"/>
      <c r="N409" s="174"/>
      <c r="O409" s="172"/>
      <c r="P409" s="173"/>
      <c r="Q409" s="174"/>
      <c r="R409" s="172"/>
      <c r="S409" s="173"/>
      <c r="T409" s="174"/>
      <c r="U409" s="172"/>
      <c r="V409" s="173"/>
      <c r="W409" s="174"/>
      <c r="X409" s="172"/>
      <c r="Y409" s="173"/>
      <c r="Z409" s="174"/>
      <c r="AA409" s="172"/>
      <c r="AB409" s="173"/>
      <c r="AC409" s="174"/>
      <c r="AD409" s="172"/>
      <c r="AE409" s="173"/>
      <c r="AF409" s="174"/>
      <c r="AG409" s="172"/>
      <c r="AH409" s="173"/>
      <c r="AI409" s="174"/>
      <c r="AJ409" s="172"/>
      <c r="AK409" s="173"/>
      <c r="AL409" s="174"/>
      <c r="AM409" s="172"/>
      <c r="AN409" s="173"/>
      <c r="AO409" s="174"/>
      <c r="AP409" s="40"/>
      <c r="AQ409" s="40"/>
      <c r="AR409" s="40"/>
      <c r="AS409" s="40"/>
      <c r="AT409" s="40"/>
      <c r="AU409" s="40"/>
      <c r="AV409" s="40"/>
      <c r="AW409" s="40"/>
      <c r="AX409" s="40"/>
      <c r="AY409" s="40"/>
      <c r="AZ409" s="40"/>
      <c r="BA409" s="40"/>
      <c r="BB409" s="40"/>
      <c r="BC409" s="40"/>
      <c r="BD409" s="40"/>
      <c r="BE409" s="40"/>
      <c r="BF409" s="40"/>
      <c r="BG409" s="40"/>
      <c r="BH409" s="40"/>
      <c r="BI409" s="40"/>
    </row>
    <row r="410" ht="15.75" customHeight="1">
      <c r="A410" s="41" t="str">
        <f t="shared" si="7"/>
        <v>Profit brut</v>
      </c>
      <c r="B410" s="175" t="s">
        <v>196</v>
      </c>
      <c r="C410" s="176"/>
      <c r="D410" s="177"/>
      <c r="E410" s="178"/>
      <c r="F410" s="176"/>
      <c r="G410" s="177"/>
      <c r="H410" s="178"/>
      <c r="I410" s="176"/>
      <c r="J410" s="177"/>
      <c r="K410" s="178"/>
      <c r="L410" s="176"/>
      <c r="M410" s="177"/>
      <c r="N410" s="178"/>
      <c r="O410" s="176"/>
      <c r="P410" s="177"/>
      <c r="Q410" s="178"/>
      <c r="R410" s="176"/>
      <c r="S410" s="177"/>
      <c r="T410" s="178"/>
      <c r="U410" s="176"/>
      <c r="V410" s="177"/>
      <c r="W410" s="178"/>
      <c r="X410" s="176"/>
      <c r="Y410" s="177"/>
      <c r="Z410" s="178"/>
      <c r="AA410" s="176"/>
      <c r="AB410" s="177"/>
      <c r="AC410" s="178"/>
      <c r="AD410" s="176"/>
      <c r="AE410" s="177"/>
      <c r="AF410" s="178"/>
      <c r="AG410" s="176"/>
      <c r="AH410" s="177"/>
      <c r="AI410" s="178"/>
      <c r="AJ410" s="176"/>
      <c r="AK410" s="177"/>
      <c r="AL410" s="178"/>
      <c r="AM410" s="176"/>
      <c r="AN410" s="177"/>
      <c r="AO410" s="178"/>
      <c r="AP410" s="40"/>
      <c r="AQ410" s="40"/>
      <c r="AR410" s="40"/>
      <c r="AS410" s="40"/>
      <c r="AT410" s="40"/>
      <c r="AU410" s="40"/>
      <c r="AV410" s="40"/>
      <c r="AW410" s="40"/>
      <c r="AX410" s="40"/>
      <c r="AY410" s="40"/>
      <c r="AZ410" s="40"/>
      <c r="BA410" s="40"/>
      <c r="BB410" s="40"/>
      <c r="BC410" s="40"/>
      <c r="BD410" s="40"/>
      <c r="BE410" s="40"/>
      <c r="BF410" s="40"/>
      <c r="BG410" s="40"/>
      <c r="BH410" s="40"/>
      <c r="BI410" s="40"/>
    </row>
    <row r="411" ht="15.75" customHeight="1">
      <c r="A411" s="41" t="str">
        <f t="shared" si="7"/>
        <v>DÉPENSES</v>
      </c>
      <c r="B411" s="179" t="s">
        <v>197</v>
      </c>
      <c r="C411" s="180"/>
      <c r="D411" s="181"/>
      <c r="E411" s="182"/>
      <c r="F411" s="180"/>
      <c r="G411" s="181"/>
      <c r="H411" s="182"/>
      <c r="I411" s="180"/>
      <c r="J411" s="181"/>
      <c r="K411" s="182"/>
      <c r="L411" s="180"/>
      <c r="M411" s="181"/>
      <c r="N411" s="182"/>
      <c r="O411" s="180"/>
      <c r="P411" s="181"/>
      <c r="Q411" s="182"/>
      <c r="R411" s="180"/>
      <c r="S411" s="181"/>
      <c r="T411" s="182"/>
      <c r="U411" s="180"/>
      <c r="V411" s="181"/>
      <c r="W411" s="182"/>
      <c r="X411" s="180"/>
      <c r="Y411" s="181"/>
      <c r="Z411" s="182"/>
      <c r="AA411" s="180"/>
      <c r="AB411" s="181"/>
      <c r="AC411" s="182"/>
      <c r="AD411" s="180"/>
      <c r="AE411" s="181"/>
      <c r="AF411" s="182"/>
      <c r="AG411" s="180"/>
      <c r="AH411" s="181"/>
      <c r="AI411" s="182"/>
      <c r="AJ411" s="180"/>
      <c r="AK411" s="181"/>
      <c r="AL411" s="182"/>
      <c r="AM411" s="180"/>
      <c r="AN411" s="181"/>
      <c r="AO411" s="182"/>
      <c r="AP411" s="40"/>
      <c r="AQ411" s="40"/>
      <c r="AR411" s="40"/>
      <c r="AS411" s="40"/>
      <c r="AT411" s="40"/>
      <c r="AU411" s="40"/>
      <c r="AV411" s="40"/>
      <c r="AW411" s="40"/>
      <c r="AX411" s="40"/>
      <c r="AY411" s="40"/>
      <c r="AZ411" s="40"/>
      <c r="BA411" s="40"/>
      <c r="BB411" s="40"/>
      <c r="BC411" s="40"/>
      <c r="BD411" s="40"/>
      <c r="BE411" s="40"/>
      <c r="BF411" s="40"/>
      <c r="BG411" s="40"/>
      <c r="BH411" s="40"/>
      <c r="BI411" s="40"/>
    </row>
    <row r="412" ht="15.75" customHeight="1">
      <c r="A412" s="41" t="str">
        <f t="shared" si="7"/>
        <v>Comm. vendeurs</v>
      </c>
      <c r="B412" s="96" t="s">
        <v>111</v>
      </c>
      <c r="C412" s="183"/>
      <c r="D412" s="184"/>
      <c r="E412" s="182"/>
      <c r="F412" s="96"/>
      <c r="G412" s="184"/>
      <c r="H412" s="182"/>
      <c r="I412" s="96"/>
      <c r="J412" s="184"/>
      <c r="K412" s="182"/>
      <c r="L412" s="96"/>
      <c r="M412" s="184"/>
      <c r="N412" s="182"/>
      <c r="O412" s="96"/>
      <c r="P412" s="184"/>
      <c r="Q412" s="182"/>
      <c r="R412" s="96"/>
      <c r="S412" s="184"/>
      <c r="T412" s="182"/>
      <c r="U412" s="96"/>
      <c r="V412" s="184"/>
      <c r="W412" s="182"/>
      <c r="X412" s="96"/>
      <c r="Y412" s="184"/>
      <c r="Z412" s="182"/>
      <c r="AA412" s="96"/>
      <c r="AB412" s="184"/>
      <c r="AC412" s="182"/>
      <c r="AD412" s="96"/>
      <c r="AE412" s="184"/>
      <c r="AF412" s="182"/>
      <c r="AG412" s="96"/>
      <c r="AH412" s="184"/>
      <c r="AI412" s="182"/>
      <c r="AJ412" s="96"/>
      <c r="AK412" s="184"/>
      <c r="AL412" s="182"/>
      <c r="AM412" s="96"/>
      <c r="AN412" s="184"/>
      <c r="AO412" s="182"/>
      <c r="AP412" s="40"/>
      <c r="AQ412" s="40"/>
      <c r="AR412" s="40"/>
      <c r="AS412" s="40"/>
      <c r="AT412" s="40"/>
      <c r="AU412" s="40"/>
      <c r="AV412" s="40"/>
      <c r="AW412" s="40"/>
      <c r="AX412" s="40"/>
      <c r="AY412" s="40"/>
      <c r="AZ412" s="40"/>
      <c r="BA412" s="40"/>
      <c r="BB412" s="40"/>
      <c r="BC412" s="40"/>
      <c r="BD412" s="40"/>
      <c r="BE412" s="40"/>
      <c r="BF412" s="40"/>
      <c r="BG412" s="40"/>
      <c r="BH412" s="40"/>
      <c r="BI412" s="40"/>
    </row>
    <row r="413" ht="15.75" customHeight="1">
      <c r="A413" s="41" t="str">
        <f t="shared" si="7"/>
        <v>Comm. F&amp;I</v>
      </c>
      <c r="B413" s="97" t="s">
        <v>112</v>
      </c>
      <c r="C413" s="185"/>
      <c r="D413" s="186"/>
      <c r="E413" s="174"/>
      <c r="F413" s="97"/>
      <c r="G413" s="186"/>
      <c r="H413" s="174"/>
      <c r="I413" s="97"/>
      <c r="J413" s="186"/>
      <c r="K413" s="174"/>
      <c r="L413" s="97"/>
      <c r="M413" s="186"/>
      <c r="N413" s="174"/>
      <c r="O413" s="97"/>
      <c r="P413" s="186"/>
      <c r="Q413" s="174"/>
      <c r="R413" s="97"/>
      <c r="S413" s="186"/>
      <c r="T413" s="174"/>
      <c r="U413" s="97"/>
      <c r="V413" s="186"/>
      <c r="W413" s="174"/>
      <c r="X413" s="97"/>
      <c r="Y413" s="186"/>
      <c r="Z413" s="174"/>
      <c r="AA413" s="97"/>
      <c r="AB413" s="186"/>
      <c r="AC413" s="174"/>
      <c r="AD413" s="97"/>
      <c r="AE413" s="186"/>
      <c r="AF413" s="174"/>
      <c r="AG413" s="97"/>
      <c r="AH413" s="186"/>
      <c r="AI413" s="174"/>
      <c r="AJ413" s="97"/>
      <c r="AK413" s="186"/>
      <c r="AL413" s="174"/>
      <c r="AM413" s="97"/>
      <c r="AN413" s="186"/>
      <c r="AO413" s="174"/>
      <c r="AP413" s="40"/>
      <c r="AQ413" s="40"/>
      <c r="AR413" s="40"/>
      <c r="AS413" s="40"/>
      <c r="AT413" s="40"/>
      <c r="AU413" s="40"/>
      <c r="AV413" s="40"/>
      <c r="AW413" s="40"/>
      <c r="AX413" s="40"/>
      <c r="AY413" s="40"/>
      <c r="AZ413" s="40"/>
      <c r="BA413" s="40"/>
      <c r="BB413" s="40"/>
      <c r="BC413" s="40"/>
      <c r="BD413" s="40"/>
      <c r="BE413" s="40"/>
      <c r="BF413" s="40"/>
      <c r="BG413" s="40"/>
      <c r="BH413" s="40"/>
      <c r="BI413" s="40"/>
    </row>
    <row r="414" ht="15.75" customHeight="1">
      <c r="A414" s="41" t="str">
        <f t="shared" si="7"/>
        <v>Frais de livraison</v>
      </c>
      <c r="B414" s="96" t="s">
        <v>113</v>
      </c>
      <c r="C414" s="96"/>
      <c r="D414" s="184"/>
      <c r="E414" s="182"/>
      <c r="F414" s="96"/>
      <c r="G414" s="184"/>
      <c r="H414" s="182"/>
      <c r="I414" s="96"/>
      <c r="J414" s="184"/>
      <c r="K414" s="182"/>
      <c r="L414" s="96"/>
      <c r="M414" s="184"/>
      <c r="N414" s="182"/>
      <c r="O414" s="96"/>
      <c r="P414" s="184"/>
      <c r="Q414" s="182"/>
      <c r="R414" s="96"/>
      <c r="S414" s="184"/>
      <c r="T414" s="182"/>
      <c r="U414" s="96"/>
      <c r="V414" s="184"/>
      <c r="W414" s="182"/>
      <c r="X414" s="96"/>
      <c r="Y414" s="184"/>
      <c r="Z414" s="182"/>
      <c r="AA414" s="96"/>
      <c r="AB414" s="184"/>
      <c r="AC414" s="182"/>
      <c r="AD414" s="96"/>
      <c r="AE414" s="184"/>
      <c r="AF414" s="182"/>
      <c r="AG414" s="96"/>
      <c r="AH414" s="184"/>
      <c r="AI414" s="182"/>
      <c r="AJ414" s="96"/>
      <c r="AK414" s="184"/>
      <c r="AL414" s="182"/>
      <c r="AM414" s="96"/>
      <c r="AN414" s="184"/>
      <c r="AO414" s="182"/>
      <c r="AP414" s="40"/>
      <c r="AQ414" s="40"/>
      <c r="AR414" s="40"/>
      <c r="AS414" s="40"/>
      <c r="AT414" s="40"/>
      <c r="AU414" s="40"/>
      <c r="AV414" s="40"/>
      <c r="AW414" s="40"/>
      <c r="AX414" s="40"/>
      <c r="AY414" s="40"/>
      <c r="AZ414" s="40"/>
      <c r="BA414" s="40"/>
      <c r="BB414" s="40"/>
      <c r="BC414" s="40"/>
      <c r="BD414" s="40"/>
      <c r="BE414" s="40"/>
      <c r="BF414" s="40"/>
      <c r="BG414" s="40"/>
      <c r="BH414" s="40"/>
      <c r="BI414" s="40"/>
    </row>
    <row r="415" ht="15.75" customHeight="1">
      <c r="A415" s="41" t="str">
        <f t="shared" si="7"/>
        <v>Service gratuit 1</v>
      </c>
      <c r="B415" s="96" t="s">
        <v>114</v>
      </c>
      <c r="C415" s="96"/>
      <c r="D415" s="184"/>
      <c r="E415" s="182"/>
      <c r="F415" s="96"/>
      <c r="G415" s="184"/>
      <c r="H415" s="182"/>
      <c r="I415" s="96"/>
      <c r="J415" s="184"/>
      <c r="K415" s="182"/>
      <c r="L415" s="96"/>
      <c r="M415" s="184"/>
      <c r="N415" s="182"/>
      <c r="O415" s="96"/>
      <c r="P415" s="184"/>
      <c r="Q415" s="182"/>
      <c r="R415" s="96"/>
      <c r="S415" s="184"/>
      <c r="T415" s="182"/>
      <c r="U415" s="96"/>
      <c r="V415" s="184"/>
      <c r="W415" s="182"/>
      <c r="X415" s="96"/>
      <c r="Y415" s="184"/>
      <c r="Z415" s="182"/>
      <c r="AA415" s="96"/>
      <c r="AB415" s="184"/>
      <c r="AC415" s="182"/>
      <c r="AD415" s="96"/>
      <c r="AE415" s="184"/>
      <c r="AF415" s="182"/>
      <c r="AG415" s="96"/>
      <c r="AH415" s="184"/>
      <c r="AI415" s="182"/>
      <c r="AJ415" s="96"/>
      <c r="AK415" s="184"/>
      <c r="AL415" s="182"/>
      <c r="AM415" s="96"/>
      <c r="AN415" s="184"/>
      <c r="AO415" s="182"/>
      <c r="AP415" s="40"/>
      <c r="AQ415" s="40"/>
      <c r="AR415" s="40"/>
      <c r="AS415" s="40"/>
      <c r="AT415" s="40"/>
      <c r="AU415" s="40"/>
      <c r="AV415" s="40"/>
      <c r="AW415" s="40"/>
      <c r="AX415" s="40"/>
      <c r="AY415" s="40"/>
      <c r="AZ415" s="40"/>
      <c r="BA415" s="40"/>
      <c r="BB415" s="40"/>
      <c r="BC415" s="40"/>
      <c r="BD415" s="40"/>
      <c r="BE415" s="40"/>
      <c r="BF415" s="40"/>
      <c r="BG415" s="40"/>
      <c r="BH415" s="40"/>
      <c r="BI415" s="40"/>
    </row>
    <row r="416" ht="15.75" customHeight="1">
      <c r="A416" s="41" t="str">
        <f t="shared" si="7"/>
        <v>Entretien stock</v>
      </c>
      <c r="B416" s="97" t="s">
        <v>115</v>
      </c>
      <c r="C416" s="97"/>
      <c r="D416" s="186"/>
      <c r="E416" s="174"/>
      <c r="F416" s="97"/>
      <c r="G416" s="186"/>
      <c r="H416" s="174"/>
      <c r="I416" s="97"/>
      <c r="J416" s="186"/>
      <c r="K416" s="174"/>
      <c r="L416" s="97"/>
      <c r="M416" s="186"/>
      <c r="N416" s="174"/>
      <c r="O416" s="97"/>
      <c r="P416" s="186"/>
      <c r="Q416" s="174"/>
      <c r="R416" s="97"/>
      <c r="S416" s="186"/>
      <c r="T416" s="174"/>
      <c r="U416" s="97"/>
      <c r="V416" s="186"/>
      <c r="W416" s="174"/>
      <c r="X416" s="97"/>
      <c r="Y416" s="186"/>
      <c r="Z416" s="174"/>
      <c r="AA416" s="97"/>
      <c r="AB416" s="186"/>
      <c r="AC416" s="174"/>
      <c r="AD416" s="97"/>
      <c r="AE416" s="186"/>
      <c r="AF416" s="174"/>
      <c r="AG416" s="97"/>
      <c r="AH416" s="186"/>
      <c r="AI416" s="174"/>
      <c r="AJ416" s="97"/>
      <c r="AK416" s="186"/>
      <c r="AL416" s="174"/>
      <c r="AM416" s="97"/>
      <c r="AN416" s="186"/>
      <c r="AO416" s="174"/>
      <c r="AP416" s="40"/>
      <c r="AQ416" s="40"/>
      <c r="AR416" s="40"/>
      <c r="AS416" s="40"/>
      <c r="AT416" s="40"/>
      <c r="AU416" s="40"/>
      <c r="AV416" s="40"/>
      <c r="AW416" s="40"/>
      <c r="AX416" s="40"/>
      <c r="AY416" s="40"/>
      <c r="AZ416" s="40"/>
      <c r="BA416" s="40"/>
      <c r="BB416" s="40"/>
      <c r="BC416" s="40"/>
      <c r="BD416" s="40"/>
      <c r="BE416" s="40"/>
      <c r="BF416" s="40"/>
      <c r="BG416" s="40"/>
      <c r="BH416" s="40"/>
      <c r="BI416" s="40"/>
    </row>
    <row r="417" ht="15.75" customHeight="1">
      <c r="A417" s="41" t="str">
        <f t="shared" si="7"/>
        <v>Publicité 1</v>
      </c>
      <c r="B417" s="96" t="s">
        <v>116</v>
      </c>
      <c r="C417" s="96"/>
      <c r="D417" s="184"/>
      <c r="E417" s="182"/>
      <c r="F417" s="96"/>
      <c r="G417" s="184"/>
      <c r="H417" s="182"/>
      <c r="I417" s="96"/>
      <c r="J417" s="184"/>
      <c r="K417" s="182"/>
      <c r="L417" s="96"/>
      <c r="M417" s="184"/>
      <c r="N417" s="182"/>
      <c r="O417" s="96"/>
      <c r="P417" s="184"/>
      <c r="Q417" s="182"/>
      <c r="R417" s="96"/>
      <c r="S417" s="184"/>
      <c r="T417" s="182"/>
      <c r="U417" s="96"/>
      <c r="V417" s="184"/>
      <c r="W417" s="182"/>
      <c r="X417" s="96"/>
      <c r="Y417" s="184"/>
      <c r="Z417" s="182"/>
      <c r="AA417" s="96"/>
      <c r="AB417" s="184"/>
      <c r="AC417" s="182"/>
      <c r="AD417" s="96"/>
      <c r="AE417" s="184"/>
      <c r="AF417" s="182"/>
      <c r="AG417" s="96"/>
      <c r="AH417" s="184"/>
      <c r="AI417" s="182"/>
      <c r="AJ417" s="96"/>
      <c r="AK417" s="184"/>
      <c r="AL417" s="182"/>
      <c r="AM417" s="96"/>
      <c r="AN417" s="184"/>
      <c r="AO417" s="182"/>
      <c r="AP417" s="40"/>
      <c r="AQ417" s="40"/>
      <c r="AR417" s="40"/>
      <c r="AS417" s="40"/>
      <c r="AT417" s="40"/>
      <c r="AU417" s="40"/>
      <c r="AV417" s="40"/>
      <c r="AW417" s="40"/>
      <c r="AX417" s="40"/>
      <c r="AY417" s="40"/>
      <c r="AZ417" s="40"/>
      <c r="BA417" s="40"/>
      <c r="BB417" s="40"/>
      <c r="BC417" s="40"/>
      <c r="BD417" s="40"/>
      <c r="BE417" s="40"/>
      <c r="BF417" s="40"/>
      <c r="BG417" s="40"/>
      <c r="BH417" s="40"/>
      <c r="BI417" s="40"/>
    </row>
    <row r="418" ht="15.75" customHeight="1">
      <c r="A418" s="41" t="str">
        <f t="shared" si="7"/>
        <v>Intérêt de gros</v>
      </c>
      <c r="B418" s="96" t="s">
        <v>117</v>
      </c>
      <c r="C418" s="96"/>
      <c r="D418" s="184"/>
      <c r="E418" s="182"/>
      <c r="F418" s="96"/>
      <c r="G418" s="184"/>
      <c r="H418" s="182"/>
      <c r="I418" s="96"/>
      <c r="J418" s="184"/>
      <c r="K418" s="182"/>
      <c r="L418" s="96"/>
      <c r="M418" s="184"/>
      <c r="N418" s="182"/>
      <c r="O418" s="96"/>
      <c r="P418" s="184"/>
      <c r="Q418" s="182"/>
      <c r="R418" s="96"/>
      <c r="S418" s="184"/>
      <c r="T418" s="182"/>
      <c r="U418" s="96"/>
      <c r="V418" s="184"/>
      <c r="W418" s="182"/>
      <c r="X418" s="96"/>
      <c r="Y418" s="184"/>
      <c r="Z418" s="182"/>
      <c r="AA418" s="96"/>
      <c r="AB418" s="184"/>
      <c r="AC418" s="182"/>
      <c r="AD418" s="96"/>
      <c r="AE418" s="184"/>
      <c r="AF418" s="182"/>
      <c r="AG418" s="96"/>
      <c r="AH418" s="184"/>
      <c r="AI418" s="182"/>
      <c r="AJ418" s="96"/>
      <c r="AK418" s="184"/>
      <c r="AL418" s="182"/>
      <c r="AM418" s="96"/>
      <c r="AN418" s="184"/>
      <c r="AO418" s="182"/>
      <c r="AP418" s="40"/>
      <c r="AQ418" s="40"/>
      <c r="AR418" s="40"/>
      <c r="AS418" s="40"/>
      <c r="AT418" s="40"/>
      <c r="AU418" s="40"/>
      <c r="AV418" s="40"/>
      <c r="AW418" s="40"/>
      <c r="AX418" s="40"/>
      <c r="AY418" s="40"/>
      <c r="AZ418" s="40"/>
      <c r="BA418" s="40"/>
      <c r="BB418" s="40"/>
      <c r="BC418" s="40"/>
      <c r="BD418" s="40"/>
      <c r="BE418" s="40"/>
      <c r="BF418" s="40"/>
      <c r="BG418" s="40"/>
      <c r="BH418" s="40"/>
      <c r="BI418" s="40"/>
    </row>
    <row r="419" ht="15.75" customHeight="1">
      <c r="A419" s="41" t="str">
        <f t="shared" si="7"/>
        <v>[...]</v>
      </c>
      <c r="B419" s="57" t="s">
        <v>56</v>
      </c>
      <c r="C419" s="96"/>
      <c r="D419" s="184"/>
      <c r="E419" s="182"/>
      <c r="F419" s="96"/>
      <c r="G419" s="184"/>
      <c r="H419" s="182"/>
      <c r="I419" s="96"/>
      <c r="J419" s="184"/>
      <c r="K419" s="182"/>
      <c r="L419" s="96"/>
      <c r="M419" s="184"/>
      <c r="N419" s="182"/>
      <c r="O419" s="96"/>
      <c r="P419" s="184"/>
      <c r="Q419" s="182"/>
      <c r="R419" s="96"/>
      <c r="S419" s="184"/>
      <c r="T419" s="182"/>
      <c r="U419" s="96"/>
      <c r="V419" s="184"/>
      <c r="W419" s="182"/>
      <c r="X419" s="96"/>
      <c r="Y419" s="184"/>
      <c r="Z419" s="182"/>
      <c r="AA419" s="96"/>
      <c r="AB419" s="184"/>
      <c r="AC419" s="182"/>
      <c r="AD419" s="96"/>
      <c r="AE419" s="184"/>
      <c r="AF419" s="182"/>
      <c r="AG419" s="96"/>
      <c r="AH419" s="184"/>
      <c r="AI419" s="182"/>
      <c r="AJ419" s="96"/>
      <c r="AK419" s="184"/>
      <c r="AL419" s="182"/>
      <c r="AM419" s="96"/>
      <c r="AN419" s="184"/>
      <c r="AO419" s="182"/>
      <c r="AP419" s="40"/>
      <c r="AQ419" s="40"/>
      <c r="AR419" s="40"/>
      <c r="AS419" s="40"/>
      <c r="AT419" s="40"/>
      <c r="AU419" s="40"/>
      <c r="AV419" s="40"/>
      <c r="AW419" s="40"/>
      <c r="AX419" s="40"/>
      <c r="AY419" s="40"/>
      <c r="AZ419" s="40"/>
      <c r="BA419" s="40"/>
      <c r="BB419" s="40"/>
      <c r="BC419" s="40"/>
      <c r="BD419" s="40"/>
      <c r="BE419" s="40"/>
      <c r="BF419" s="40"/>
      <c r="BG419" s="40"/>
      <c r="BH419" s="40"/>
      <c r="BI419" s="40"/>
    </row>
    <row r="420" ht="15.75" customHeight="1">
      <c r="A420" s="41" t="str">
        <f t="shared" si="7"/>
        <v>[...]</v>
      </c>
      <c r="B420" s="57" t="s">
        <v>56</v>
      </c>
      <c r="C420" s="96"/>
      <c r="D420" s="184"/>
      <c r="E420" s="182"/>
      <c r="F420" s="96"/>
      <c r="G420" s="184"/>
      <c r="H420" s="182"/>
      <c r="I420" s="96"/>
      <c r="J420" s="184"/>
      <c r="K420" s="182"/>
      <c r="L420" s="96"/>
      <c r="M420" s="184"/>
      <c r="N420" s="182"/>
      <c r="O420" s="96"/>
      <c r="P420" s="184"/>
      <c r="Q420" s="182"/>
      <c r="R420" s="96"/>
      <c r="S420" s="184"/>
      <c r="T420" s="182"/>
      <c r="U420" s="96"/>
      <c r="V420" s="184"/>
      <c r="W420" s="182"/>
      <c r="X420" s="96"/>
      <c r="Y420" s="184"/>
      <c r="Z420" s="182"/>
      <c r="AA420" s="96"/>
      <c r="AB420" s="184"/>
      <c r="AC420" s="182"/>
      <c r="AD420" s="96"/>
      <c r="AE420" s="184"/>
      <c r="AF420" s="182"/>
      <c r="AG420" s="96"/>
      <c r="AH420" s="184"/>
      <c r="AI420" s="182"/>
      <c r="AJ420" s="96"/>
      <c r="AK420" s="184"/>
      <c r="AL420" s="182"/>
      <c r="AM420" s="96"/>
      <c r="AN420" s="184"/>
      <c r="AO420" s="182"/>
      <c r="AP420" s="40"/>
      <c r="AQ420" s="40"/>
      <c r="AR420" s="40"/>
      <c r="AS420" s="40"/>
      <c r="AT420" s="40"/>
      <c r="AU420" s="40"/>
      <c r="AV420" s="40"/>
      <c r="AW420" s="40"/>
      <c r="AX420" s="40"/>
      <c r="AY420" s="40"/>
      <c r="AZ420" s="40"/>
      <c r="BA420" s="40"/>
      <c r="BB420" s="40"/>
      <c r="BC420" s="40"/>
      <c r="BD420" s="40"/>
      <c r="BE420" s="40"/>
      <c r="BF420" s="40"/>
      <c r="BG420" s="40"/>
      <c r="BH420" s="40"/>
      <c r="BI420" s="40"/>
    </row>
    <row r="421" ht="15.75" customHeight="1">
      <c r="A421" s="41" t="str">
        <f t="shared" si="7"/>
        <v>[...]</v>
      </c>
      <c r="B421" s="53" t="s">
        <v>56</v>
      </c>
      <c r="C421" s="96"/>
      <c r="D421" s="184"/>
      <c r="E421" s="182"/>
      <c r="F421" s="96"/>
      <c r="G421" s="184"/>
      <c r="H421" s="182"/>
      <c r="I421" s="96"/>
      <c r="J421" s="184"/>
      <c r="K421" s="182"/>
      <c r="L421" s="96"/>
      <c r="M421" s="184"/>
      <c r="N421" s="182"/>
      <c r="O421" s="96"/>
      <c r="P421" s="184"/>
      <c r="Q421" s="182"/>
      <c r="R421" s="96"/>
      <c r="S421" s="184"/>
      <c r="T421" s="182"/>
      <c r="U421" s="96"/>
      <c r="V421" s="184"/>
      <c r="W421" s="182"/>
      <c r="X421" s="96"/>
      <c r="Y421" s="184"/>
      <c r="Z421" s="182"/>
      <c r="AA421" s="96"/>
      <c r="AB421" s="184"/>
      <c r="AC421" s="182"/>
      <c r="AD421" s="96"/>
      <c r="AE421" s="184"/>
      <c r="AF421" s="182"/>
      <c r="AG421" s="96"/>
      <c r="AH421" s="184"/>
      <c r="AI421" s="182"/>
      <c r="AJ421" s="96"/>
      <c r="AK421" s="184"/>
      <c r="AL421" s="182"/>
      <c r="AM421" s="96"/>
      <c r="AN421" s="184"/>
      <c r="AO421" s="182"/>
      <c r="AP421" s="40"/>
      <c r="AQ421" s="40"/>
      <c r="AR421" s="40"/>
      <c r="AS421" s="40"/>
      <c r="AT421" s="40"/>
      <c r="AU421" s="40"/>
      <c r="AV421" s="40"/>
      <c r="AW421" s="40"/>
      <c r="AX421" s="40"/>
      <c r="AY421" s="40"/>
      <c r="AZ421" s="40"/>
      <c r="BA421" s="40"/>
      <c r="BB421" s="40"/>
      <c r="BC421" s="40"/>
      <c r="BD421" s="40"/>
      <c r="BE421" s="40"/>
      <c r="BF421" s="40"/>
      <c r="BG421" s="40"/>
      <c r="BH421" s="40"/>
      <c r="BI421" s="40"/>
    </row>
    <row r="422" ht="15.75" customHeight="1">
      <c r="A422" s="41" t="str">
        <f t="shared" si="7"/>
        <v>TOTAL VARIABLES</v>
      </c>
      <c r="B422" s="187" t="s">
        <v>118</v>
      </c>
      <c r="C422" s="188"/>
      <c r="D422" s="189"/>
      <c r="E422" s="190"/>
      <c r="F422" s="188"/>
      <c r="G422" s="191"/>
      <c r="H422" s="190"/>
      <c r="I422" s="188"/>
      <c r="J422" s="191"/>
      <c r="K422" s="190"/>
      <c r="L422" s="188"/>
      <c r="M422" s="191"/>
      <c r="N422" s="190"/>
      <c r="O422" s="188"/>
      <c r="P422" s="191"/>
      <c r="Q422" s="190"/>
      <c r="R422" s="188"/>
      <c r="S422" s="191"/>
      <c r="T422" s="190"/>
      <c r="U422" s="188"/>
      <c r="V422" s="191"/>
      <c r="W422" s="190"/>
      <c r="X422" s="188"/>
      <c r="Y422" s="191"/>
      <c r="Z422" s="190"/>
      <c r="AA422" s="188"/>
      <c r="AB422" s="191"/>
      <c r="AC422" s="190"/>
      <c r="AD422" s="188"/>
      <c r="AE422" s="191"/>
      <c r="AF422" s="190"/>
      <c r="AG422" s="188"/>
      <c r="AH422" s="191"/>
      <c r="AI422" s="190"/>
      <c r="AJ422" s="188"/>
      <c r="AK422" s="191"/>
      <c r="AL422" s="190"/>
      <c r="AM422" s="188"/>
      <c r="AN422" s="191"/>
      <c r="AO422" s="190"/>
      <c r="AP422" s="40"/>
      <c r="AQ422" s="40"/>
      <c r="AR422" s="40"/>
      <c r="AS422" s="40"/>
      <c r="AT422" s="40"/>
      <c r="AU422" s="40"/>
      <c r="AV422" s="40"/>
      <c r="AW422" s="40"/>
      <c r="AX422" s="40"/>
      <c r="AY422" s="40"/>
      <c r="AZ422" s="40"/>
      <c r="BA422" s="40"/>
      <c r="BB422" s="40"/>
      <c r="BC422" s="40"/>
      <c r="BD422" s="40"/>
      <c r="BE422" s="40"/>
      <c r="BF422" s="40"/>
      <c r="BG422" s="40"/>
      <c r="BH422" s="40"/>
      <c r="BI422" s="40"/>
    </row>
    <row r="423" ht="15.75" customHeight="1">
      <c r="A423" s="41" t="str">
        <f t="shared" si="7"/>
        <v>Salaires propriétaire</v>
      </c>
      <c r="B423" s="96" t="s">
        <v>198</v>
      </c>
      <c r="C423" s="96"/>
      <c r="D423" s="184"/>
      <c r="E423" s="182"/>
      <c r="F423" s="96"/>
      <c r="G423" s="184"/>
      <c r="H423" s="182"/>
      <c r="I423" s="96"/>
      <c r="J423" s="184"/>
      <c r="K423" s="182"/>
      <c r="L423" s="96"/>
      <c r="M423" s="184"/>
      <c r="N423" s="182"/>
      <c r="O423" s="96"/>
      <c r="P423" s="184"/>
      <c r="Q423" s="182"/>
      <c r="R423" s="96"/>
      <c r="S423" s="184"/>
      <c r="T423" s="182"/>
      <c r="U423" s="96"/>
      <c r="V423" s="184"/>
      <c r="W423" s="182"/>
      <c r="X423" s="96"/>
      <c r="Y423" s="184"/>
      <c r="Z423" s="182"/>
      <c r="AA423" s="96"/>
      <c r="AB423" s="184"/>
      <c r="AC423" s="182"/>
      <c r="AD423" s="96"/>
      <c r="AE423" s="184"/>
      <c r="AF423" s="182"/>
      <c r="AG423" s="96"/>
      <c r="AH423" s="184"/>
      <c r="AI423" s="182"/>
      <c r="AJ423" s="96"/>
      <c r="AK423" s="184"/>
      <c r="AL423" s="182"/>
      <c r="AM423" s="96"/>
      <c r="AN423" s="184"/>
      <c r="AO423" s="182"/>
      <c r="AP423" s="40"/>
      <c r="AQ423" s="40"/>
      <c r="AR423" s="40"/>
      <c r="AS423" s="40"/>
      <c r="AT423" s="40"/>
      <c r="AU423" s="40"/>
      <c r="AV423" s="40"/>
      <c r="AW423" s="40"/>
      <c r="AX423" s="40"/>
      <c r="AY423" s="40"/>
      <c r="AZ423" s="40"/>
      <c r="BA423" s="40"/>
      <c r="BB423" s="40"/>
      <c r="BC423" s="40"/>
      <c r="BD423" s="40"/>
      <c r="BE423" s="40"/>
      <c r="BF423" s="40"/>
      <c r="BG423" s="40"/>
      <c r="BH423" s="40"/>
      <c r="BI423" s="40"/>
    </row>
    <row r="424" ht="15.75" customHeight="1">
      <c r="A424" s="41" t="str">
        <f t="shared" si="7"/>
        <v>Salaires cadres</v>
      </c>
      <c r="B424" s="96" t="s">
        <v>119</v>
      </c>
      <c r="C424" s="96"/>
      <c r="D424" s="184"/>
      <c r="E424" s="182"/>
      <c r="F424" s="96"/>
      <c r="G424" s="184"/>
      <c r="H424" s="182"/>
      <c r="I424" s="96"/>
      <c r="J424" s="184"/>
      <c r="K424" s="182"/>
      <c r="L424" s="96"/>
      <c r="M424" s="184"/>
      <c r="N424" s="182"/>
      <c r="O424" s="96"/>
      <c r="P424" s="184"/>
      <c r="Q424" s="182"/>
      <c r="R424" s="96"/>
      <c r="S424" s="184"/>
      <c r="T424" s="182"/>
      <c r="U424" s="96"/>
      <c r="V424" s="184"/>
      <c r="W424" s="182"/>
      <c r="X424" s="96"/>
      <c r="Y424" s="184"/>
      <c r="Z424" s="182"/>
      <c r="AA424" s="96"/>
      <c r="AB424" s="184"/>
      <c r="AC424" s="182"/>
      <c r="AD424" s="96"/>
      <c r="AE424" s="184"/>
      <c r="AF424" s="182"/>
      <c r="AG424" s="96"/>
      <c r="AH424" s="184"/>
      <c r="AI424" s="182"/>
      <c r="AJ424" s="96"/>
      <c r="AK424" s="184"/>
      <c r="AL424" s="182"/>
      <c r="AM424" s="96"/>
      <c r="AN424" s="184"/>
      <c r="AO424" s="182"/>
      <c r="AP424" s="40"/>
      <c r="AQ424" s="40"/>
      <c r="AR424" s="40"/>
      <c r="AS424" s="40"/>
      <c r="AT424" s="40"/>
      <c r="AU424" s="40"/>
      <c r="AV424" s="40"/>
      <c r="AW424" s="40"/>
      <c r="AX424" s="40"/>
      <c r="AY424" s="40"/>
      <c r="AZ424" s="40"/>
      <c r="BA424" s="40"/>
      <c r="BB424" s="40"/>
      <c r="BC424" s="40"/>
      <c r="BD424" s="40"/>
      <c r="BE424" s="40"/>
      <c r="BF424" s="40"/>
      <c r="BG424" s="40"/>
      <c r="BH424" s="40"/>
      <c r="BI424" s="40"/>
    </row>
    <row r="425" ht="15.75" customHeight="1">
      <c r="A425" s="41" t="str">
        <f t="shared" si="7"/>
        <v>Salaires commis</v>
      </c>
      <c r="B425" s="97" t="s">
        <v>120</v>
      </c>
      <c r="C425" s="97"/>
      <c r="D425" s="186"/>
      <c r="E425" s="174"/>
      <c r="F425" s="97"/>
      <c r="G425" s="186"/>
      <c r="H425" s="174"/>
      <c r="I425" s="97"/>
      <c r="J425" s="186"/>
      <c r="K425" s="174"/>
      <c r="L425" s="97"/>
      <c r="M425" s="186"/>
      <c r="N425" s="174"/>
      <c r="O425" s="97"/>
      <c r="P425" s="186"/>
      <c r="Q425" s="174"/>
      <c r="R425" s="97"/>
      <c r="S425" s="186"/>
      <c r="T425" s="174"/>
      <c r="U425" s="97"/>
      <c r="V425" s="186"/>
      <c r="W425" s="174"/>
      <c r="X425" s="97"/>
      <c r="Y425" s="186"/>
      <c r="Z425" s="174"/>
      <c r="AA425" s="97"/>
      <c r="AB425" s="186"/>
      <c r="AC425" s="174"/>
      <c r="AD425" s="97"/>
      <c r="AE425" s="186"/>
      <c r="AF425" s="174"/>
      <c r="AG425" s="97"/>
      <c r="AH425" s="186"/>
      <c r="AI425" s="174"/>
      <c r="AJ425" s="97"/>
      <c r="AK425" s="186"/>
      <c r="AL425" s="174"/>
      <c r="AM425" s="97"/>
      <c r="AN425" s="186"/>
      <c r="AO425" s="174"/>
      <c r="AP425" s="40"/>
      <c r="AQ425" s="40"/>
      <c r="AR425" s="40"/>
      <c r="AS425" s="40"/>
      <c r="AT425" s="40"/>
      <c r="AU425" s="40"/>
      <c r="AV425" s="40"/>
      <c r="AW425" s="40"/>
      <c r="AX425" s="40"/>
      <c r="AY425" s="40"/>
      <c r="AZ425" s="40"/>
      <c r="BA425" s="40"/>
      <c r="BB425" s="40"/>
      <c r="BC425" s="40"/>
      <c r="BD425" s="40"/>
      <c r="BE425" s="40"/>
      <c r="BF425" s="40"/>
      <c r="BG425" s="40"/>
      <c r="BH425" s="40"/>
      <c r="BI425" s="40"/>
    </row>
    <row r="426" ht="15.75" customHeight="1">
      <c r="A426" s="41" t="str">
        <f t="shared" si="7"/>
        <v>Salaires autres</v>
      </c>
      <c r="B426" s="96" t="s">
        <v>121</v>
      </c>
      <c r="C426" s="96"/>
      <c r="D426" s="184"/>
      <c r="E426" s="182"/>
      <c r="F426" s="96"/>
      <c r="G426" s="184"/>
      <c r="H426" s="182"/>
      <c r="I426" s="96"/>
      <c r="J426" s="184"/>
      <c r="K426" s="182"/>
      <c r="L426" s="96"/>
      <c r="M426" s="184"/>
      <c r="N426" s="182"/>
      <c r="O426" s="96"/>
      <c r="P426" s="184"/>
      <c r="Q426" s="182"/>
      <c r="R426" s="96"/>
      <c r="S426" s="184"/>
      <c r="T426" s="182"/>
      <c r="U426" s="96"/>
      <c r="V426" s="184"/>
      <c r="W426" s="182"/>
      <c r="X426" s="96"/>
      <c r="Y426" s="184"/>
      <c r="Z426" s="182"/>
      <c r="AA426" s="96"/>
      <c r="AB426" s="184"/>
      <c r="AC426" s="182"/>
      <c r="AD426" s="96"/>
      <c r="AE426" s="184"/>
      <c r="AF426" s="182"/>
      <c r="AG426" s="96"/>
      <c r="AH426" s="184"/>
      <c r="AI426" s="182"/>
      <c r="AJ426" s="96"/>
      <c r="AK426" s="184"/>
      <c r="AL426" s="182"/>
      <c r="AM426" s="96"/>
      <c r="AN426" s="184"/>
      <c r="AO426" s="182"/>
      <c r="AP426" s="40"/>
      <c r="AQ426" s="40"/>
      <c r="AR426" s="40"/>
      <c r="AS426" s="40"/>
      <c r="AT426" s="40"/>
      <c r="AU426" s="40"/>
      <c r="AV426" s="40"/>
      <c r="AW426" s="40"/>
      <c r="AX426" s="40"/>
      <c r="AY426" s="40"/>
      <c r="AZ426" s="40"/>
      <c r="BA426" s="40"/>
      <c r="BB426" s="40"/>
      <c r="BC426" s="40"/>
      <c r="BD426" s="40"/>
      <c r="BE426" s="40"/>
      <c r="BF426" s="40"/>
      <c r="BG426" s="40"/>
      <c r="BH426" s="40"/>
      <c r="BI426" s="40"/>
    </row>
    <row r="427" ht="15.75" customHeight="1">
      <c r="A427" s="41" t="str">
        <f t="shared" si="7"/>
        <v>Salaires spécialistes</v>
      </c>
      <c r="B427" s="96" t="s">
        <v>122</v>
      </c>
      <c r="C427" s="96"/>
      <c r="D427" s="184"/>
      <c r="E427" s="182"/>
      <c r="F427" s="96"/>
      <c r="G427" s="184"/>
      <c r="H427" s="182"/>
      <c r="I427" s="96"/>
      <c r="J427" s="184"/>
      <c r="K427" s="182"/>
      <c r="L427" s="96"/>
      <c r="M427" s="184"/>
      <c r="N427" s="182"/>
      <c r="O427" s="96"/>
      <c r="P427" s="184"/>
      <c r="Q427" s="182"/>
      <c r="R427" s="96"/>
      <c r="S427" s="184"/>
      <c r="T427" s="182"/>
      <c r="U427" s="96"/>
      <c r="V427" s="184"/>
      <c r="W427" s="182"/>
      <c r="X427" s="96"/>
      <c r="Y427" s="184"/>
      <c r="Z427" s="182"/>
      <c r="AA427" s="96"/>
      <c r="AB427" s="184"/>
      <c r="AC427" s="182"/>
      <c r="AD427" s="96"/>
      <c r="AE427" s="184"/>
      <c r="AF427" s="182"/>
      <c r="AG427" s="96"/>
      <c r="AH427" s="184"/>
      <c r="AI427" s="182"/>
      <c r="AJ427" s="96"/>
      <c r="AK427" s="184"/>
      <c r="AL427" s="182"/>
      <c r="AM427" s="96"/>
      <c r="AN427" s="184"/>
      <c r="AO427" s="182"/>
      <c r="AP427" s="40"/>
      <c r="AQ427" s="40"/>
      <c r="AR427" s="40"/>
      <c r="AS427" s="40"/>
      <c r="AT427" s="40"/>
      <c r="AU427" s="40"/>
      <c r="AV427" s="40"/>
      <c r="AW427" s="40"/>
      <c r="AX427" s="40"/>
      <c r="AY427" s="40"/>
      <c r="AZ427" s="40"/>
      <c r="BA427" s="40"/>
      <c r="BB427" s="40"/>
      <c r="BC427" s="40"/>
      <c r="BD427" s="40"/>
      <c r="BE427" s="40"/>
      <c r="BF427" s="40"/>
      <c r="BG427" s="40"/>
      <c r="BH427" s="40"/>
      <c r="BI427" s="40"/>
    </row>
    <row r="428" ht="15.75" customHeight="1">
      <c r="A428" s="41" t="str">
        <f t="shared" si="7"/>
        <v>[...]</v>
      </c>
      <c r="B428" s="57" t="s">
        <v>56</v>
      </c>
      <c r="C428" s="96"/>
      <c r="D428" s="184"/>
      <c r="E428" s="182"/>
      <c r="F428" s="96"/>
      <c r="G428" s="184"/>
      <c r="H428" s="182"/>
      <c r="I428" s="96"/>
      <c r="J428" s="184"/>
      <c r="K428" s="182"/>
      <c r="L428" s="96"/>
      <c r="M428" s="184"/>
      <c r="N428" s="182"/>
      <c r="O428" s="96"/>
      <c r="P428" s="184"/>
      <c r="Q428" s="182"/>
      <c r="R428" s="96"/>
      <c r="S428" s="184"/>
      <c r="T428" s="182"/>
      <c r="U428" s="96"/>
      <c r="V428" s="184"/>
      <c r="W428" s="182"/>
      <c r="X428" s="96"/>
      <c r="Y428" s="184"/>
      <c r="Z428" s="182"/>
      <c r="AA428" s="96"/>
      <c r="AB428" s="184"/>
      <c r="AC428" s="182"/>
      <c r="AD428" s="96"/>
      <c r="AE428" s="184"/>
      <c r="AF428" s="182"/>
      <c r="AG428" s="96"/>
      <c r="AH428" s="184"/>
      <c r="AI428" s="182"/>
      <c r="AJ428" s="96"/>
      <c r="AK428" s="184"/>
      <c r="AL428" s="182"/>
      <c r="AM428" s="96"/>
      <c r="AN428" s="184"/>
      <c r="AO428" s="182"/>
      <c r="AP428" s="40"/>
      <c r="AQ428" s="40"/>
      <c r="AR428" s="40"/>
      <c r="AS428" s="40"/>
      <c r="AT428" s="40"/>
      <c r="AU428" s="40"/>
      <c r="AV428" s="40"/>
      <c r="AW428" s="40"/>
      <c r="AX428" s="40"/>
      <c r="AY428" s="40"/>
      <c r="AZ428" s="40"/>
      <c r="BA428" s="40"/>
      <c r="BB428" s="40"/>
      <c r="BC428" s="40"/>
      <c r="BD428" s="40"/>
      <c r="BE428" s="40"/>
      <c r="BF428" s="40"/>
      <c r="BG428" s="40"/>
      <c r="BH428" s="40"/>
      <c r="BI428" s="40"/>
    </row>
    <row r="429" ht="15.75" customHeight="1">
      <c r="A429" s="41" t="str">
        <f t="shared" si="7"/>
        <v>[...]</v>
      </c>
      <c r="B429" s="57" t="s">
        <v>56</v>
      </c>
      <c r="C429" s="96"/>
      <c r="D429" s="184"/>
      <c r="E429" s="182"/>
      <c r="F429" s="96"/>
      <c r="G429" s="184"/>
      <c r="H429" s="182"/>
      <c r="I429" s="96"/>
      <c r="J429" s="184"/>
      <c r="K429" s="182"/>
      <c r="L429" s="96"/>
      <c r="M429" s="184"/>
      <c r="N429" s="182"/>
      <c r="O429" s="96"/>
      <c r="P429" s="184"/>
      <c r="Q429" s="182"/>
      <c r="R429" s="96"/>
      <c r="S429" s="184"/>
      <c r="T429" s="182"/>
      <c r="U429" s="96"/>
      <c r="V429" s="184"/>
      <c r="W429" s="182"/>
      <c r="X429" s="96"/>
      <c r="Y429" s="184"/>
      <c r="Z429" s="182"/>
      <c r="AA429" s="96"/>
      <c r="AB429" s="184"/>
      <c r="AC429" s="182"/>
      <c r="AD429" s="96"/>
      <c r="AE429" s="184"/>
      <c r="AF429" s="182"/>
      <c r="AG429" s="96"/>
      <c r="AH429" s="184"/>
      <c r="AI429" s="182"/>
      <c r="AJ429" s="96"/>
      <c r="AK429" s="184"/>
      <c r="AL429" s="182"/>
      <c r="AM429" s="96"/>
      <c r="AN429" s="184"/>
      <c r="AO429" s="182"/>
      <c r="AP429" s="40"/>
      <c r="AQ429" s="40"/>
      <c r="AR429" s="40"/>
      <c r="AS429" s="40"/>
      <c r="AT429" s="40"/>
      <c r="AU429" s="40"/>
      <c r="AV429" s="40"/>
      <c r="AW429" s="40"/>
      <c r="AX429" s="40"/>
      <c r="AY429" s="40"/>
      <c r="AZ429" s="40"/>
      <c r="BA429" s="40"/>
      <c r="BB429" s="40"/>
      <c r="BC429" s="40"/>
      <c r="BD429" s="40"/>
      <c r="BE429" s="40"/>
      <c r="BF429" s="40"/>
      <c r="BG429" s="40"/>
      <c r="BH429" s="40"/>
      <c r="BI429" s="40"/>
    </row>
    <row r="430" ht="15.75" customHeight="1">
      <c r="A430" s="41" t="str">
        <f t="shared" si="7"/>
        <v>[...]</v>
      </c>
      <c r="B430" s="57" t="s">
        <v>56</v>
      </c>
      <c r="C430" s="96"/>
      <c r="D430" s="184"/>
      <c r="E430" s="182"/>
      <c r="F430" s="96"/>
      <c r="G430" s="184"/>
      <c r="H430" s="182"/>
      <c r="I430" s="96"/>
      <c r="J430" s="184"/>
      <c r="K430" s="182"/>
      <c r="L430" s="96"/>
      <c r="M430" s="184"/>
      <c r="N430" s="182"/>
      <c r="O430" s="96"/>
      <c r="P430" s="184"/>
      <c r="Q430" s="182"/>
      <c r="R430" s="96"/>
      <c r="S430" s="184"/>
      <c r="T430" s="182"/>
      <c r="U430" s="96"/>
      <c r="V430" s="184"/>
      <c r="W430" s="182"/>
      <c r="X430" s="96"/>
      <c r="Y430" s="184"/>
      <c r="Z430" s="182"/>
      <c r="AA430" s="96"/>
      <c r="AB430" s="184"/>
      <c r="AC430" s="182"/>
      <c r="AD430" s="96"/>
      <c r="AE430" s="184"/>
      <c r="AF430" s="182"/>
      <c r="AG430" s="96"/>
      <c r="AH430" s="184"/>
      <c r="AI430" s="182"/>
      <c r="AJ430" s="96"/>
      <c r="AK430" s="184"/>
      <c r="AL430" s="182"/>
      <c r="AM430" s="96"/>
      <c r="AN430" s="184"/>
      <c r="AO430" s="182"/>
      <c r="AP430" s="40"/>
      <c r="AQ430" s="40"/>
      <c r="AR430" s="40"/>
      <c r="AS430" s="40"/>
      <c r="AT430" s="40"/>
      <c r="AU430" s="40"/>
      <c r="AV430" s="40"/>
      <c r="AW430" s="40"/>
      <c r="AX430" s="40"/>
      <c r="AY430" s="40"/>
      <c r="AZ430" s="40"/>
      <c r="BA430" s="40"/>
      <c r="BB430" s="40"/>
      <c r="BC430" s="40"/>
      <c r="BD430" s="40"/>
      <c r="BE430" s="40"/>
      <c r="BF430" s="40"/>
      <c r="BG430" s="40"/>
      <c r="BH430" s="40"/>
      <c r="BI430" s="40"/>
    </row>
    <row r="431" ht="15.75" customHeight="1">
      <c r="A431" s="41" t="str">
        <f t="shared" si="7"/>
        <v>Salaires en absences</v>
      </c>
      <c r="B431" s="97" t="s">
        <v>123</v>
      </c>
      <c r="C431" s="97"/>
      <c r="D431" s="192"/>
      <c r="E431" s="174"/>
      <c r="F431" s="97"/>
      <c r="G431" s="186"/>
      <c r="H431" s="174"/>
      <c r="I431" s="97"/>
      <c r="J431" s="186"/>
      <c r="K431" s="174"/>
      <c r="L431" s="97"/>
      <c r="M431" s="186"/>
      <c r="N431" s="174"/>
      <c r="O431" s="97"/>
      <c r="P431" s="186"/>
      <c r="Q431" s="174"/>
      <c r="R431" s="97"/>
      <c r="S431" s="186"/>
      <c r="T431" s="174"/>
      <c r="U431" s="97"/>
      <c r="V431" s="186"/>
      <c r="W431" s="174"/>
      <c r="X431" s="97"/>
      <c r="Y431" s="186"/>
      <c r="Z431" s="174"/>
      <c r="AA431" s="97"/>
      <c r="AB431" s="186"/>
      <c r="AC431" s="174"/>
      <c r="AD431" s="97"/>
      <c r="AE431" s="186"/>
      <c r="AF431" s="174"/>
      <c r="AG431" s="97"/>
      <c r="AH431" s="186"/>
      <c r="AI431" s="174"/>
      <c r="AJ431" s="97"/>
      <c r="AK431" s="186"/>
      <c r="AL431" s="174"/>
      <c r="AM431" s="97"/>
      <c r="AN431" s="186"/>
      <c r="AO431" s="174"/>
      <c r="AP431" s="40"/>
      <c r="AQ431" s="40"/>
      <c r="AR431" s="40"/>
      <c r="AS431" s="40"/>
      <c r="AT431" s="40"/>
      <c r="AU431" s="40"/>
      <c r="AV431" s="40"/>
      <c r="AW431" s="40"/>
      <c r="AX431" s="40"/>
      <c r="AY431" s="40"/>
      <c r="AZ431" s="40"/>
      <c r="BA431" s="40"/>
      <c r="BB431" s="40"/>
      <c r="BC431" s="40"/>
      <c r="BD431" s="40"/>
      <c r="BE431" s="40"/>
      <c r="BF431" s="40"/>
      <c r="BG431" s="40"/>
      <c r="BH431" s="40"/>
      <c r="BI431" s="40"/>
    </row>
    <row r="432" ht="15.75" customHeight="1">
      <c r="A432" s="41" t="str">
        <f t="shared" si="7"/>
        <v>Déduction à la source</v>
      </c>
      <c r="B432" s="96" t="s">
        <v>124</v>
      </c>
      <c r="C432" s="96"/>
      <c r="D432" s="193"/>
      <c r="E432" s="182"/>
      <c r="F432" s="96"/>
      <c r="G432" s="184"/>
      <c r="H432" s="182"/>
      <c r="I432" s="96"/>
      <c r="J432" s="184"/>
      <c r="K432" s="182"/>
      <c r="L432" s="96"/>
      <c r="M432" s="184"/>
      <c r="N432" s="182"/>
      <c r="O432" s="96"/>
      <c r="P432" s="184"/>
      <c r="Q432" s="182"/>
      <c r="R432" s="96"/>
      <c r="S432" s="184"/>
      <c r="T432" s="182"/>
      <c r="U432" s="96"/>
      <c r="V432" s="184"/>
      <c r="W432" s="182"/>
      <c r="X432" s="96"/>
      <c r="Y432" s="184"/>
      <c r="Z432" s="182"/>
      <c r="AA432" s="96"/>
      <c r="AB432" s="184"/>
      <c r="AC432" s="182"/>
      <c r="AD432" s="96"/>
      <c r="AE432" s="184"/>
      <c r="AF432" s="182"/>
      <c r="AG432" s="96"/>
      <c r="AH432" s="184"/>
      <c r="AI432" s="182"/>
      <c r="AJ432" s="96"/>
      <c r="AK432" s="184"/>
      <c r="AL432" s="182"/>
      <c r="AM432" s="96"/>
      <c r="AN432" s="184"/>
      <c r="AO432" s="182"/>
      <c r="AP432" s="40"/>
      <c r="AQ432" s="40"/>
      <c r="AR432" s="40"/>
      <c r="AS432" s="40"/>
      <c r="AT432" s="40"/>
      <c r="AU432" s="40"/>
      <c r="AV432" s="40"/>
      <c r="AW432" s="40"/>
      <c r="AX432" s="40"/>
      <c r="AY432" s="40"/>
      <c r="AZ432" s="40"/>
      <c r="BA432" s="40"/>
      <c r="BB432" s="40"/>
      <c r="BC432" s="40"/>
      <c r="BD432" s="40"/>
      <c r="BE432" s="40"/>
      <c r="BF432" s="40"/>
      <c r="BG432" s="40"/>
      <c r="BH432" s="40"/>
      <c r="BI432" s="40"/>
    </row>
    <row r="433" ht="15.75" customHeight="1">
      <c r="A433" s="41" t="str">
        <f t="shared" si="7"/>
        <v>Bénéfices marginaux</v>
      </c>
      <c r="B433" s="96" t="s">
        <v>125</v>
      </c>
      <c r="C433" s="96"/>
      <c r="D433" s="193"/>
      <c r="E433" s="182"/>
      <c r="F433" s="96"/>
      <c r="G433" s="184"/>
      <c r="H433" s="182"/>
      <c r="I433" s="96"/>
      <c r="J433" s="184"/>
      <c r="K433" s="182"/>
      <c r="L433" s="96"/>
      <c r="M433" s="184"/>
      <c r="N433" s="182"/>
      <c r="O433" s="96"/>
      <c r="P433" s="184"/>
      <c r="Q433" s="182"/>
      <c r="R433" s="96"/>
      <c r="S433" s="184"/>
      <c r="T433" s="182"/>
      <c r="U433" s="96"/>
      <c r="V433" s="184"/>
      <c r="W433" s="182"/>
      <c r="X433" s="96"/>
      <c r="Y433" s="184"/>
      <c r="Z433" s="182"/>
      <c r="AA433" s="96"/>
      <c r="AB433" s="184"/>
      <c r="AC433" s="182"/>
      <c r="AD433" s="96"/>
      <c r="AE433" s="184"/>
      <c r="AF433" s="182"/>
      <c r="AG433" s="96"/>
      <c r="AH433" s="184"/>
      <c r="AI433" s="182"/>
      <c r="AJ433" s="96"/>
      <c r="AK433" s="184"/>
      <c r="AL433" s="182"/>
      <c r="AM433" s="96"/>
      <c r="AN433" s="184"/>
      <c r="AO433" s="182"/>
      <c r="AP433" s="40"/>
      <c r="AQ433" s="40"/>
      <c r="AR433" s="40"/>
      <c r="AS433" s="40"/>
      <c r="AT433" s="40"/>
      <c r="AU433" s="40"/>
      <c r="AV433" s="40"/>
      <c r="AW433" s="40"/>
      <c r="AX433" s="40"/>
      <c r="AY433" s="40"/>
      <c r="AZ433" s="40"/>
      <c r="BA433" s="40"/>
      <c r="BB433" s="40"/>
      <c r="BC433" s="40"/>
      <c r="BD433" s="40"/>
      <c r="BE433" s="40"/>
      <c r="BF433" s="40"/>
      <c r="BG433" s="40"/>
      <c r="BH433" s="40"/>
      <c r="BI433" s="40"/>
    </row>
    <row r="434" ht="15.75" customHeight="1">
      <c r="A434" s="41" t="str">
        <f t="shared" si="7"/>
        <v>Csst</v>
      </c>
      <c r="B434" s="96" t="s">
        <v>126</v>
      </c>
      <c r="C434" s="96"/>
      <c r="D434" s="193"/>
      <c r="E434" s="182"/>
      <c r="F434" s="96"/>
      <c r="G434" s="184"/>
      <c r="H434" s="182"/>
      <c r="I434" s="96"/>
      <c r="J434" s="184"/>
      <c r="K434" s="182"/>
      <c r="L434" s="96"/>
      <c r="M434" s="184"/>
      <c r="N434" s="182"/>
      <c r="O434" s="96"/>
      <c r="P434" s="184"/>
      <c r="Q434" s="182"/>
      <c r="R434" s="96"/>
      <c r="S434" s="184"/>
      <c r="T434" s="182"/>
      <c r="U434" s="96"/>
      <c r="V434" s="184"/>
      <c r="W434" s="182"/>
      <c r="X434" s="96"/>
      <c r="Y434" s="184"/>
      <c r="Z434" s="182"/>
      <c r="AA434" s="96"/>
      <c r="AB434" s="184"/>
      <c r="AC434" s="182"/>
      <c r="AD434" s="96"/>
      <c r="AE434" s="184"/>
      <c r="AF434" s="182"/>
      <c r="AG434" s="96"/>
      <c r="AH434" s="184"/>
      <c r="AI434" s="182"/>
      <c r="AJ434" s="96"/>
      <c r="AK434" s="184"/>
      <c r="AL434" s="182"/>
      <c r="AM434" s="96"/>
      <c r="AN434" s="184"/>
      <c r="AO434" s="182"/>
      <c r="AP434" s="40"/>
      <c r="AQ434" s="40"/>
      <c r="AR434" s="40"/>
      <c r="AS434" s="40"/>
      <c r="AT434" s="40"/>
      <c r="AU434" s="40"/>
      <c r="AV434" s="40"/>
      <c r="AW434" s="40"/>
      <c r="AX434" s="40"/>
      <c r="AY434" s="40"/>
      <c r="AZ434" s="40"/>
      <c r="BA434" s="40"/>
      <c r="BB434" s="40"/>
      <c r="BC434" s="40"/>
      <c r="BD434" s="40"/>
      <c r="BE434" s="40"/>
      <c r="BF434" s="40"/>
      <c r="BG434" s="40"/>
      <c r="BH434" s="40"/>
      <c r="BI434" s="40"/>
    </row>
    <row r="435" ht="15.75" customHeight="1">
      <c r="A435" s="41" t="str">
        <f t="shared" si="7"/>
        <v>[...]</v>
      </c>
      <c r="B435" s="57" t="s">
        <v>56</v>
      </c>
      <c r="C435" s="96"/>
      <c r="D435" s="184"/>
      <c r="E435" s="182"/>
      <c r="F435" s="96"/>
      <c r="G435" s="184"/>
      <c r="H435" s="182"/>
      <c r="I435" s="96"/>
      <c r="J435" s="184"/>
      <c r="K435" s="182"/>
      <c r="L435" s="96"/>
      <c r="M435" s="184"/>
      <c r="N435" s="182"/>
      <c r="O435" s="96"/>
      <c r="P435" s="184"/>
      <c r="Q435" s="182"/>
      <c r="R435" s="96"/>
      <c r="S435" s="184"/>
      <c r="T435" s="182"/>
      <c r="U435" s="96"/>
      <c r="V435" s="184"/>
      <c r="W435" s="182"/>
      <c r="X435" s="96"/>
      <c r="Y435" s="184"/>
      <c r="Z435" s="182"/>
      <c r="AA435" s="96"/>
      <c r="AB435" s="184"/>
      <c r="AC435" s="182"/>
      <c r="AD435" s="96"/>
      <c r="AE435" s="184"/>
      <c r="AF435" s="182"/>
      <c r="AG435" s="96"/>
      <c r="AH435" s="184"/>
      <c r="AI435" s="182"/>
      <c r="AJ435" s="96"/>
      <c r="AK435" s="184"/>
      <c r="AL435" s="182"/>
      <c r="AM435" s="96"/>
      <c r="AN435" s="184"/>
      <c r="AO435" s="182"/>
      <c r="AP435" s="40"/>
      <c r="AQ435" s="40"/>
      <c r="AR435" s="40"/>
      <c r="AS435" s="40"/>
      <c r="AT435" s="40"/>
      <c r="AU435" s="40"/>
      <c r="AV435" s="40"/>
      <c r="AW435" s="40"/>
      <c r="AX435" s="40"/>
      <c r="AY435" s="40"/>
      <c r="AZ435" s="40"/>
      <c r="BA435" s="40"/>
      <c r="BB435" s="40"/>
      <c r="BC435" s="40"/>
      <c r="BD435" s="40"/>
      <c r="BE435" s="40"/>
      <c r="BF435" s="40"/>
      <c r="BG435" s="40"/>
      <c r="BH435" s="40"/>
      <c r="BI435" s="40"/>
    </row>
    <row r="436" ht="15.75" customHeight="1">
      <c r="A436" s="41" t="str">
        <f t="shared" si="7"/>
        <v>TOTAL PERSONNEL</v>
      </c>
      <c r="B436" s="187" t="s">
        <v>127</v>
      </c>
      <c r="C436" s="188"/>
      <c r="D436" s="194"/>
      <c r="E436" s="190"/>
      <c r="F436" s="188"/>
      <c r="G436" s="194"/>
      <c r="H436" s="190"/>
      <c r="I436" s="188"/>
      <c r="J436" s="194"/>
      <c r="K436" s="190"/>
      <c r="L436" s="188"/>
      <c r="M436" s="194"/>
      <c r="N436" s="190"/>
      <c r="O436" s="188"/>
      <c r="P436" s="194"/>
      <c r="Q436" s="190"/>
      <c r="R436" s="188"/>
      <c r="S436" s="194"/>
      <c r="T436" s="190"/>
      <c r="U436" s="188"/>
      <c r="V436" s="194"/>
      <c r="W436" s="190"/>
      <c r="X436" s="188"/>
      <c r="Y436" s="194"/>
      <c r="Z436" s="190"/>
      <c r="AA436" s="188"/>
      <c r="AB436" s="194"/>
      <c r="AC436" s="190"/>
      <c r="AD436" s="188"/>
      <c r="AE436" s="194"/>
      <c r="AF436" s="190"/>
      <c r="AG436" s="188"/>
      <c r="AH436" s="194"/>
      <c r="AI436" s="190"/>
      <c r="AJ436" s="188"/>
      <c r="AK436" s="194"/>
      <c r="AL436" s="190"/>
      <c r="AM436" s="188"/>
      <c r="AN436" s="194"/>
      <c r="AO436" s="190"/>
      <c r="AP436" s="40"/>
      <c r="AQ436" s="40"/>
      <c r="AR436" s="40"/>
      <c r="AS436" s="40"/>
      <c r="AT436" s="40"/>
      <c r="AU436" s="40"/>
      <c r="AV436" s="40"/>
      <c r="AW436" s="40"/>
      <c r="AX436" s="40"/>
      <c r="AY436" s="40"/>
      <c r="AZ436" s="40"/>
      <c r="BA436" s="40"/>
      <c r="BB436" s="40"/>
      <c r="BC436" s="40"/>
      <c r="BD436" s="40"/>
      <c r="BE436" s="40"/>
      <c r="BF436" s="40"/>
      <c r="BG436" s="40"/>
      <c r="BH436" s="40"/>
      <c r="BI436" s="40"/>
    </row>
    <row r="437" ht="15.75" customHeight="1">
      <c r="A437" s="41" t="str">
        <f t="shared" si="7"/>
        <v>Publicité 2</v>
      </c>
      <c r="B437" s="150" t="s">
        <v>128</v>
      </c>
      <c r="C437" s="150"/>
      <c r="D437" s="195"/>
      <c r="E437" s="196"/>
      <c r="F437" s="150"/>
      <c r="G437" s="195"/>
      <c r="H437" s="196"/>
      <c r="I437" s="150"/>
      <c r="J437" s="195"/>
      <c r="K437" s="196"/>
      <c r="L437" s="150"/>
      <c r="M437" s="195"/>
      <c r="N437" s="196"/>
      <c r="O437" s="150"/>
      <c r="P437" s="195"/>
      <c r="Q437" s="196"/>
      <c r="R437" s="150"/>
      <c r="S437" s="195"/>
      <c r="T437" s="196"/>
      <c r="U437" s="150"/>
      <c r="V437" s="195"/>
      <c r="W437" s="196"/>
      <c r="X437" s="150"/>
      <c r="Y437" s="195"/>
      <c r="Z437" s="196"/>
      <c r="AA437" s="150"/>
      <c r="AB437" s="195"/>
      <c r="AC437" s="196"/>
      <c r="AD437" s="150"/>
      <c r="AE437" s="195"/>
      <c r="AF437" s="196"/>
      <c r="AG437" s="150"/>
      <c r="AH437" s="195"/>
      <c r="AI437" s="196"/>
      <c r="AJ437" s="150"/>
      <c r="AK437" s="195"/>
      <c r="AL437" s="196"/>
      <c r="AM437" s="150"/>
      <c r="AN437" s="195"/>
      <c r="AO437" s="196"/>
      <c r="AP437" s="40"/>
      <c r="AQ437" s="40"/>
      <c r="AR437" s="40"/>
      <c r="AS437" s="40"/>
      <c r="AT437" s="40"/>
      <c r="AU437" s="40"/>
      <c r="AV437" s="40"/>
      <c r="AW437" s="40"/>
      <c r="AX437" s="40"/>
      <c r="AY437" s="40"/>
      <c r="AZ437" s="40"/>
      <c r="BA437" s="40"/>
      <c r="BB437" s="40"/>
      <c r="BC437" s="40"/>
      <c r="BD437" s="40"/>
      <c r="BE437" s="40"/>
      <c r="BF437" s="40"/>
      <c r="BG437" s="40"/>
      <c r="BH437" s="40"/>
      <c r="BI437" s="40"/>
    </row>
    <row r="438" ht="15.75" customHeight="1">
      <c r="A438" s="41" t="str">
        <f t="shared" si="7"/>
        <v>Service gratuit 2</v>
      </c>
      <c r="B438" s="96" t="s">
        <v>129</v>
      </c>
      <c r="C438" s="96"/>
      <c r="D438" s="184"/>
      <c r="E438" s="182"/>
      <c r="F438" s="96"/>
      <c r="G438" s="184"/>
      <c r="H438" s="182"/>
      <c r="I438" s="96"/>
      <c r="J438" s="184"/>
      <c r="K438" s="182"/>
      <c r="L438" s="96"/>
      <c r="M438" s="184"/>
      <c r="N438" s="182"/>
      <c r="O438" s="96"/>
      <c r="P438" s="184"/>
      <c r="Q438" s="182"/>
      <c r="R438" s="96"/>
      <c r="S438" s="184"/>
      <c r="T438" s="182"/>
      <c r="U438" s="96"/>
      <c r="V438" s="184"/>
      <c r="W438" s="182"/>
      <c r="X438" s="96"/>
      <c r="Y438" s="184"/>
      <c r="Z438" s="182"/>
      <c r="AA438" s="96"/>
      <c r="AB438" s="184"/>
      <c r="AC438" s="182"/>
      <c r="AD438" s="96"/>
      <c r="AE438" s="184"/>
      <c r="AF438" s="182"/>
      <c r="AG438" s="96"/>
      <c r="AH438" s="184"/>
      <c r="AI438" s="182"/>
      <c r="AJ438" s="96"/>
      <c r="AK438" s="184"/>
      <c r="AL438" s="182"/>
      <c r="AM438" s="96"/>
      <c r="AN438" s="184"/>
      <c r="AO438" s="182"/>
      <c r="AP438" s="40"/>
      <c r="AQ438" s="40"/>
      <c r="AR438" s="40"/>
      <c r="AS438" s="40"/>
      <c r="AT438" s="40"/>
      <c r="AU438" s="40"/>
      <c r="AV438" s="40"/>
      <c r="AW438" s="40"/>
      <c r="AX438" s="40"/>
      <c r="AY438" s="40"/>
      <c r="AZ438" s="40"/>
      <c r="BA438" s="40"/>
      <c r="BB438" s="40"/>
      <c r="BC438" s="40"/>
      <c r="BD438" s="40"/>
      <c r="BE438" s="40"/>
      <c r="BF438" s="40"/>
      <c r="BG438" s="40"/>
      <c r="BH438" s="40"/>
      <c r="BI438" s="40"/>
    </row>
    <row r="439" ht="15.75" customHeight="1">
      <c r="A439" s="41" t="str">
        <f t="shared" si="7"/>
        <v>Frais véhicules de cie</v>
      </c>
      <c r="B439" s="97" t="s">
        <v>130</v>
      </c>
      <c r="C439" s="97"/>
      <c r="D439" s="186"/>
      <c r="E439" s="174"/>
      <c r="F439" s="97"/>
      <c r="G439" s="186"/>
      <c r="H439" s="174"/>
      <c r="I439" s="97"/>
      <c r="J439" s="186"/>
      <c r="K439" s="174"/>
      <c r="L439" s="97"/>
      <c r="M439" s="186"/>
      <c r="N439" s="174"/>
      <c r="O439" s="97"/>
      <c r="P439" s="186"/>
      <c r="Q439" s="174"/>
      <c r="R439" s="97"/>
      <c r="S439" s="186"/>
      <c r="T439" s="174"/>
      <c r="U439" s="97"/>
      <c r="V439" s="186"/>
      <c r="W439" s="174"/>
      <c r="X439" s="97"/>
      <c r="Y439" s="186"/>
      <c r="Z439" s="174"/>
      <c r="AA439" s="97"/>
      <c r="AB439" s="186"/>
      <c r="AC439" s="174"/>
      <c r="AD439" s="97"/>
      <c r="AE439" s="186"/>
      <c r="AF439" s="174"/>
      <c r="AG439" s="97"/>
      <c r="AH439" s="186"/>
      <c r="AI439" s="174"/>
      <c r="AJ439" s="97"/>
      <c r="AK439" s="186"/>
      <c r="AL439" s="174"/>
      <c r="AM439" s="97"/>
      <c r="AN439" s="186"/>
      <c r="AO439" s="174"/>
      <c r="AP439" s="40"/>
      <c r="AQ439" s="40"/>
      <c r="AR439" s="40"/>
      <c r="AS439" s="40"/>
      <c r="AT439" s="40"/>
      <c r="AU439" s="40"/>
      <c r="AV439" s="40"/>
      <c r="AW439" s="40"/>
      <c r="AX439" s="40"/>
      <c r="AY439" s="40"/>
      <c r="AZ439" s="40"/>
      <c r="BA439" s="40"/>
      <c r="BB439" s="40"/>
      <c r="BC439" s="40"/>
      <c r="BD439" s="40"/>
      <c r="BE439" s="40"/>
      <c r="BF439" s="40"/>
      <c r="BG439" s="40"/>
      <c r="BH439" s="40"/>
      <c r="BI439" s="40"/>
    </row>
    <row r="440" ht="15.75" customHeight="1">
      <c r="A440" s="41" t="str">
        <f t="shared" si="7"/>
        <v>Informatique</v>
      </c>
      <c r="B440" s="96" t="s">
        <v>131</v>
      </c>
      <c r="C440" s="96"/>
      <c r="D440" s="184"/>
      <c r="E440" s="182"/>
      <c r="F440" s="96"/>
      <c r="G440" s="184"/>
      <c r="H440" s="182"/>
      <c r="I440" s="96"/>
      <c r="J440" s="184"/>
      <c r="K440" s="182"/>
      <c r="L440" s="96"/>
      <c r="M440" s="184"/>
      <c r="N440" s="182"/>
      <c r="O440" s="96"/>
      <c r="P440" s="184"/>
      <c r="Q440" s="182"/>
      <c r="R440" s="96"/>
      <c r="S440" s="184"/>
      <c r="T440" s="182"/>
      <c r="U440" s="96"/>
      <c r="V440" s="184"/>
      <c r="W440" s="182"/>
      <c r="X440" s="96"/>
      <c r="Y440" s="184"/>
      <c r="Z440" s="182"/>
      <c r="AA440" s="96"/>
      <c r="AB440" s="184"/>
      <c r="AC440" s="182"/>
      <c r="AD440" s="96"/>
      <c r="AE440" s="184"/>
      <c r="AF440" s="182"/>
      <c r="AG440" s="96"/>
      <c r="AH440" s="184"/>
      <c r="AI440" s="182"/>
      <c r="AJ440" s="96"/>
      <c r="AK440" s="184"/>
      <c r="AL440" s="182"/>
      <c r="AM440" s="96"/>
      <c r="AN440" s="184"/>
      <c r="AO440" s="182"/>
      <c r="AP440" s="40"/>
      <c r="AQ440" s="40"/>
      <c r="AR440" s="40"/>
      <c r="AS440" s="40"/>
      <c r="AT440" s="40"/>
      <c r="AU440" s="40"/>
      <c r="AV440" s="40"/>
      <c r="AW440" s="40"/>
      <c r="AX440" s="40"/>
      <c r="AY440" s="40"/>
      <c r="AZ440" s="40"/>
      <c r="BA440" s="40"/>
      <c r="BB440" s="40"/>
      <c r="BC440" s="40"/>
      <c r="BD440" s="40"/>
      <c r="BE440" s="40"/>
      <c r="BF440" s="40"/>
      <c r="BG440" s="40"/>
      <c r="BH440" s="40"/>
      <c r="BI440" s="40"/>
    </row>
    <row r="441" ht="15.75" customHeight="1">
      <c r="A441" s="41" t="str">
        <f t="shared" si="7"/>
        <v>Frais de déplacement</v>
      </c>
      <c r="B441" s="96" t="s">
        <v>132</v>
      </c>
      <c r="C441" s="96"/>
      <c r="D441" s="184"/>
      <c r="E441" s="182"/>
      <c r="F441" s="96"/>
      <c r="G441" s="184"/>
      <c r="H441" s="182"/>
      <c r="I441" s="96"/>
      <c r="J441" s="184"/>
      <c r="K441" s="182"/>
      <c r="L441" s="96"/>
      <c r="M441" s="184"/>
      <c r="N441" s="182"/>
      <c r="O441" s="96"/>
      <c r="P441" s="184"/>
      <c r="Q441" s="182"/>
      <c r="R441" s="96"/>
      <c r="S441" s="184"/>
      <c r="T441" s="182"/>
      <c r="U441" s="96"/>
      <c r="V441" s="184"/>
      <c r="W441" s="182"/>
      <c r="X441" s="96"/>
      <c r="Y441" s="184"/>
      <c r="Z441" s="182"/>
      <c r="AA441" s="96"/>
      <c r="AB441" s="184"/>
      <c r="AC441" s="182"/>
      <c r="AD441" s="96"/>
      <c r="AE441" s="184"/>
      <c r="AF441" s="182"/>
      <c r="AG441" s="96"/>
      <c r="AH441" s="184"/>
      <c r="AI441" s="182"/>
      <c r="AJ441" s="96"/>
      <c r="AK441" s="184"/>
      <c r="AL441" s="182"/>
      <c r="AM441" s="96"/>
      <c r="AN441" s="184"/>
      <c r="AO441" s="182"/>
      <c r="AP441" s="40"/>
      <c r="AQ441" s="40"/>
      <c r="AR441" s="40"/>
      <c r="AS441" s="40"/>
      <c r="AT441" s="40"/>
      <c r="AU441" s="40"/>
      <c r="AV441" s="40"/>
      <c r="AW441" s="40"/>
      <c r="AX441" s="40"/>
      <c r="AY441" s="40"/>
      <c r="AZ441" s="40"/>
      <c r="BA441" s="40"/>
      <c r="BB441" s="40"/>
      <c r="BC441" s="40"/>
      <c r="BD441" s="40"/>
      <c r="BE441" s="40"/>
      <c r="BF441" s="40"/>
      <c r="BG441" s="40"/>
      <c r="BH441" s="40"/>
      <c r="BI441" s="40"/>
    </row>
    <row r="442" ht="15.75" customHeight="1">
      <c r="A442" s="41" t="str">
        <f t="shared" si="7"/>
        <v>Services extérieurs</v>
      </c>
      <c r="B442" s="96" t="s">
        <v>133</v>
      </c>
      <c r="C442" s="96"/>
      <c r="D442" s="184"/>
      <c r="E442" s="182"/>
      <c r="F442" s="96"/>
      <c r="G442" s="184"/>
      <c r="H442" s="182"/>
      <c r="I442" s="96"/>
      <c r="J442" s="184"/>
      <c r="K442" s="182"/>
      <c r="L442" s="96"/>
      <c r="M442" s="184"/>
      <c r="N442" s="182"/>
      <c r="O442" s="96"/>
      <c r="P442" s="184"/>
      <c r="Q442" s="182"/>
      <c r="R442" s="96"/>
      <c r="S442" s="184"/>
      <c r="T442" s="182"/>
      <c r="U442" s="96"/>
      <c r="V442" s="184"/>
      <c r="W442" s="182"/>
      <c r="X442" s="96"/>
      <c r="Y442" s="184"/>
      <c r="Z442" s="182"/>
      <c r="AA442" s="96"/>
      <c r="AB442" s="184"/>
      <c r="AC442" s="182"/>
      <c r="AD442" s="96"/>
      <c r="AE442" s="184"/>
      <c r="AF442" s="182"/>
      <c r="AG442" s="96"/>
      <c r="AH442" s="184"/>
      <c r="AI442" s="182"/>
      <c r="AJ442" s="96"/>
      <c r="AK442" s="184"/>
      <c r="AL442" s="182"/>
      <c r="AM442" s="96"/>
      <c r="AN442" s="184"/>
      <c r="AO442" s="182"/>
      <c r="AP442" s="40"/>
      <c r="AQ442" s="40"/>
      <c r="AR442" s="40"/>
      <c r="AS442" s="40"/>
      <c r="AT442" s="40"/>
      <c r="AU442" s="40"/>
      <c r="AV442" s="40"/>
      <c r="AW442" s="40"/>
      <c r="AX442" s="40"/>
      <c r="AY442" s="40"/>
      <c r="AZ442" s="40"/>
      <c r="BA442" s="40"/>
      <c r="BB442" s="40"/>
      <c r="BC442" s="40"/>
      <c r="BD442" s="40"/>
      <c r="BE442" s="40"/>
      <c r="BF442" s="40"/>
      <c r="BG442" s="40"/>
      <c r="BH442" s="40"/>
      <c r="BI442" s="40"/>
    </row>
    <row r="443" ht="15.75" customHeight="1">
      <c r="A443" s="41"/>
      <c r="B443" s="57" t="s">
        <v>173</v>
      </c>
      <c r="C443" s="96"/>
      <c r="D443" s="184"/>
      <c r="E443" s="182"/>
      <c r="F443" s="96"/>
      <c r="G443" s="184"/>
      <c r="H443" s="182"/>
      <c r="I443" s="96"/>
      <c r="J443" s="184"/>
      <c r="K443" s="182"/>
      <c r="L443" s="96"/>
      <c r="M443" s="184"/>
      <c r="N443" s="182"/>
      <c r="O443" s="96"/>
      <c r="P443" s="184"/>
      <c r="Q443" s="182"/>
      <c r="R443" s="96"/>
      <c r="S443" s="184"/>
      <c r="T443" s="182"/>
      <c r="U443" s="96"/>
      <c r="V443" s="184"/>
      <c r="W443" s="182"/>
      <c r="X443" s="96"/>
      <c r="Y443" s="184"/>
      <c r="Z443" s="182"/>
      <c r="AA443" s="96"/>
      <c r="AB443" s="184"/>
      <c r="AC443" s="182"/>
      <c r="AD443" s="96"/>
      <c r="AE443" s="184"/>
      <c r="AF443" s="182"/>
      <c r="AG443" s="96"/>
      <c r="AH443" s="184"/>
      <c r="AI443" s="182"/>
      <c r="AJ443" s="96"/>
      <c r="AK443" s="184"/>
      <c r="AL443" s="182"/>
      <c r="AM443" s="96"/>
      <c r="AN443" s="184"/>
      <c r="AO443" s="182"/>
      <c r="AP443" s="40"/>
      <c r="AQ443" s="40"/>
      <c r="AR443" s="40"/>
      <c r="AS443" s="40"/>
      <c r="AT443" s="40"/>
      <c r="AU443" s="40"/>
      <c r="AV443" s="40"/>
      <c r="AW443" s="40"/>
      <c r="AX443" s="40"/>
      <c r="AY443" s="40"/>
      <c r="AZ443" s="40"/>
      <c r="BA443" s="40"/>
      <c r="BB443" s="40"/>
      <c r="BC443" s="40"/>
      <c r="BD443" s="40"/>
      <c r="BE443" s="40"/>
      <c r="BF443" s="40"/>
      <c r="BG443" s="40"/>
      <c r="BH443" s="40"/>
      <c r="BI443" s="40"/>
    </row>
    <row r="444" ht="15.75" customHeight="1">
      <c r="A444" s="41" t="str">
        <f t="shared" ref="A444:A486" si="8">B444</f>
        <v>Fournitures autres</v>
      </c>
      <c r="B444" s="150" t="s">
        <v>134</v>
      </c>
      <c r="C444" s="150"/>
      <c r="D444" s="195"/>
      <c r="E444" s="196"/>
      <c r="F444" s="150"/>
      <c r="G444" s="195"/>
      <c r="H444" s="196"/>
      <c r="I444" s="150"/>
      <c r="J444" s="195"/>
      <c r="K444" s="196"/>
      <c r="L444" s="150"/>
      <c r="M444" s="195"/>
      <c r="N444" s="196"/>
      <c r="O444" s="150"/>
      <c r="P444" s="195"/>
      <c r="Q444" s="196"/>
      <c r="R444" s="150"/>
      <c r="S444" s="195"/>
      <c r="T444" s="196"/>
      <c r="U444" s="150"/>
      <c r="V444" s="195"/>
      <c r="W444" s="196"/>
      <c r="X444" s="150"/>
      <c r="Y444" s="195"/>
      <c r="Z444" s="196"/>
      <c r="AA444" s="150"/>
      <c r="AB444" s="195"/>
      <c r="AC444" s="196"/>
      <c r="AD444" s="150"/>
      <c r="AE444" s="195"/>
      <c r="AF444" s="196"/>
      <c r="AG444" s="150"/>
      <c r="AH444" s="195"/>
      <c r="AI444" s="196"/>
      <c r="AJ444" s="150"/>
      <c r="AK444" s="195"/>
      <c r="AL444" s="196"/>
      <c r="AM444" s="150"/>
      <c r="AN444" s="195"/>
      <c r="AO444" s="196"/>
      <c r="AP444" s="40"/>
      <c r="AQ444" s="40"/>
      <c r="AR444" s="40"/>
      <c r="AS444" s="40"/>
      <c r="AT444" s="40"/>
      <c r="AU444" s="40"/>
      <c r="AV444" s="40"/>
      <c r="AW444" s="40"/>
      <c r="AX444" s="40"/>
      <c r="AY444" s="40"/>
      <c r="AZ444" s="40"/>
      <c r="BA444" s="40"/>
      <c r="BB444" s="40"/>
      <c r="BC444" s="40"/>
      <c r="BD444" s="40"/>
      <c r="BE444" s="40"/>
      <c r="BF444" s="40"/>
      <c r="BG444" s="40"/>
      <c r="BH444" s="40"/>
      <c r="BI444" s="40"/>
    </row>
    <row r="445" ht="15.75" customHeight="1">
      <c r="A445" s="41" t="str">
        <f t="shared" si="8"/>
        <v>Uniformes</v>
      </c>
      <c r="B445" s="96" t="s">
        <v>135</v>
      </c>
      <c r="C445" s="96"/>
      <c r="D445" s="184"/>
      <c r="E445" s="182"/>
      <c r="F445" s="96"/>
      <c r="G445" s="184"/>
      <c r="H445" s="182"/>
      <c r="I445" s="96"/>
      <c r="J445" s="184"/>
      <c r="K445" s="182"/>
      <c r="L445" s="96"/>
      <c r="M445" s="184"/>
      <c r="N445" s="182"/>
      <c r="O445" s="96"/>
      <c r="P445" s="184"/>
      <c r="Q445" s="182"/>
      <c r="R445" s="96"/>
      <c r="S445" s="184"/>
      <c r="T445" s="182"/>
      <c r="U445" s="96"/>
      <c r="V445" s="184"/>
      <c r="W445" s="182"/>
      <c r="X445" s="96"/>
      <c r="Y445" s="184"/>
      <c r="Z445" s="182"/>
      <c r="AA445" s="96"/>
      <c r="AB445" s="184"/>
      <c r="AC445" s="182"/>
      <c r="AD445" s="96"/>
      <c r="AE445" s="184"/>
      <c r="AF445" s="182"/>
      <c r="AG445" s="96"/>
      <c r="AH445" s="184"/>
      <c r="AI445" s="182"/>
      <c r="AJ445" s="96"/>
      <c r="AK445" s="184"/>
      <c r="AL445" s="182"/>
      <c r="AM445" s="96"/>
      <c r="AN445" s="184"/>
      <c r="AO445" s="182"/>
      <c r="AP445" s="40"/>
      <c r="AQ445" s="40"/>
      <c r="AR445" s="40"/>
      <c r="AS445" s="40"/>
      <c r="AT445" s="40"/>
      <c r="AU445" s="40"/>
      <c r="AV445" s="40"/>
      <c r="AW445" s="40"/>
      <c r="AX445" s="40"/>
      <c r="AY445" s="40"/>
      <c r="AZ445" s="40"/>
      <c r="BA445" s="40"/>
      <c r="BB445" s="40"/>
      <c r="BC445" s="40"/>
      <c r="BD445" s="40"/>
      <c r="BE445" s="40"/>
      <c r="BF445" s="40"/>
      <c r="BG445" s="40"/>
      <c r="BH445" s="40"/>
      <c r="BI445" s="40"/>
    </row>
    <row r="446" ht="15.75" customHeight="1">
      <c r="A446" s="41" t="str">
        <f t="shared" si="8"/>
        <v>Papeterie</v>
      </c>
      <c r="B446" s="96" t="s">
        <v>136</v>
      </c>
      <c r="C446" s="96"/>
      <c r="D446" s="184"/>
      <c r="E446" s="182"/>
      <c r="F446" s="96"/>
      <c r="G446" s="184"/>
      <c r="H446" s="182"/>
      <c r="I446" s="96"/>
      <c r="J446" s="184"/>
      <c r="K446" s="182"/>
      <c r="L446" s="96"/>
      <c r="M446" s="184"/>
      <c r="N446" s="182"/>
      <c r="O446" s="96"/>
      <c r="P446" s="184"/>
      <c r="Q446" s="182"/>
      <c r="R446" s="96"/>
      <c r="S446" s="184"/>
      <c r="T446" s="182"/>
      <c r="U446" s="96"/>
      <c r="V446" s="184"/>
      <c r="W446" s="182"/>
      <c r="X446" s="96"/>
      <c r="Y446" s="184"/>
      <c r="Z446" s="182"/>
      <c r="AA446" s="96"/>
      <c r="AB446" s="184"/>
      <c r="AC446" s="182"/>
      <c r="AD446" s="96"/>
      <c r="AE446" s="184"/>
      <c r="AF446" s="182"/>
      <c r="AG446" s="96"/>
      <c r="AH446" s="184"/>
      <c r="AI446" s="182"/>
      <c r="AJ446" s="96"/>
      <c r="AK446" s="184"/>
      <c r="AL446" s="182"/>
      <c r="AM446" s="96"/>
      <c r="AN446" s="184"/>
      <c r="AO446" s="182"/>
      <c r="AP446" s="40"/>
      <c r="AQ446" s="40"/>
      <c r="AR446" s="40"/>
      <c r="AS446" s="40"/>
      <c r="AT446" s="40"/>
      <c r="AU446" s="40"/>
      <c r="AV446" s="40"/>
      <c r="AW446" s="40"/>
      <c r="AX446" s="40"/>
      <c r="AY446" s="40"/>
      <c r="AZ446" s="40"/>
      <c r="BA446" s="40"/>
      <c r="BB446" s="40"/>
      <c r="BC446" s="40"/>
      <c r="BD446" s="40"/>
      <c r="BE446" s="40"/>
      <c r="BF446" s="40"/>
      <c r="BG446" s="40"/>
      <c r="BH446" s="40"/>
      <c r="BI446" s="40"/>
    </row>
    <row r="447" ht="15.75" customHeight="1">
      <c r="A447" s="41" t="str">
        <f t="shared" si="8"/>
        <v>Téléphone</v>
      </c>
      <c r="B447" s="96" t="s">
        <v>137</v>
      </c>
      <c r="C447" s="96"/>
      <c r="D447" s="184"/>
      <c r="E447" s="182"/>
      <c r="F447" s="96"/>
      <c r="G447" s="184"/>
      <c r="H447" s="182"/>
      <c r="I447" s="96"/>
      <c r="J447" s="184"/>
      <c r="K447" s="182"/>
      <c r="L447" s="96"/>
      <c r="M447" s="184"/>
      <c r="N447" s="182"/>
      <c r="O447" s="96"/>
      <c r="P447" s="184"/>
      <c r="Q447" s="182"/>
      <c r="R447" s="96"/>
      <c r="S447" s="184"/>
      <c r="T447" s="182"/>
      <c r="U447" s="96"/>
      <c r="V447" s="184"/>
      <c r="W447" s="182"/>
      <c r="X447" s="96"/>
      <c r="Y447" s="184"/>
      <c r="Z447" s="182"/>
      <c r="AA447" s="96"/>
      <c r="AB447" s="184"/>
      <c r="AC447" s="182"/>
      <c r="AD447" s="96"/>
      <c r="AE447" s="184"/>
      <c r="AF447" s="182"/>
      <c r="AG447" s="96"/>
      <c r="AH447" s="184"/>
      <c r="AI447" s="182"/>
      <c r="AJ447" s="96"/>
      <c r="AK447" s="184"/>
      <c r="AL447" s="182"/>
      <c r="AM447" s="96"/>
      <c r="AN447" s="184"/>
      <c r="AO447" s="182"/>
      <c r="AP447" s="40"/>
      <c r="AQ447" s="40"/>
      <c r="AR447" s="40"/>
      <c r="AS447" s="40"/>
      <c r="AT447" s="40"/>
      <c r="AU447" s="40"/>
      <c r="AV447" s="40"/>
      <c r="AW447" s="40"/>
      <c r="AX447" s="40"/>
      <c r="AY447" s="40"/>
      <c r="AZ447" s="40"/>
      <c r="BA447" s="40"/>
      <c r="BB447" s="40"/>
      <c r="BC447" s="40"/>
      <c r="BD447" s="40"/>
      <c r="BE447" s="40"/>
      <c r="BF447" s="40"/>
      <c r="BG447" s="40"/>
      <c r="BH447" s="40"/>
      <c r="BI447" s="40"/>
    </row>
    <row r="448" ht="15.75" customHeight="1">
      <c r="A448" s="41" t="str">
        <f t="shared" si="8"/>
        <v>Frais postaux</v>
      </c>
      <c r="B448" s="96" t="s">
        <v>138</v>
      </c>
      <c r="C448" s="96"/>
      <c r="D448" s="184"/>
      <c r="E448" s="182"/>
      <c r="F448" s="96"/>
      <c r="G448" s="184"/>
      <c r="H448" s="182"/>
      <c r="I448" s="96"/>
      <c r="J448" s="184"/>
      <c r="K448" s="182"/>
      <c r="L448" s="96"/>
      <c r="M448" s="184"/>
      <c r="N448" s="182"/>
      <c r="O448" s="96"/>
      <c r="P448" s="184"/>
      <c r="Q448" s="182"/>
      <c r="R448" s="96"/>
      <c r="S448" s="184"/>
      <c r="T448" s="182"/>
      <c r="U448" s="96"/>
      <c r="V448" s="184"/>
      <c r="W448" s="182"/>
      <c r="X448" s="96"/>
      <c r="Y448" s="184"/>
      <c r="Z448" s="182"/>
      <c r="AA448" s="96"/>
      <c r="AB448" s="184"/>
      <c r="AC448" s="182"/>
      <c r="AD448" s="96"/>
      <c r="AE448" s="184"/>
      <c r="AF448" s="182"/>
      <c r="AG448" s="96"/>
      <c r="AH448" s="184"/>
      <c r="AI448" s="182"/>
      <c r="AJ448" s="96"/>
      <c r="AK448" s="184"/>
      <c r="AL448" s="182"/>
      <c r="AM448" s="96"/>
      <c r="AN448" s="184"/>
      <c r="AO448" s="182"/>
      <c r="AP448" s="40"/>
      <c r="AQ448" s="40"/>
      <c r="AR448" s="40"/>
      <c r="AS448" s="40"/>
      <c r="AT448" s="40"/>
      <c r="AU448" s="40"/>
      <c r="AV448" s="40"/>
      <c r="AW448" s="40"/>
      <c r="AX448" s="40"/>
      <c r="AY448" s="40"/>
      <c r="AZ448" s="40"/>
      <c r="BA448" s="40"/>
      <c r="BB448" s="40"/>
      <c r="BC448" s="40"/>
      <c r="BD448" s="40"/>
      <c r="BE448" s="40"/>
      <c r="BF448" s="40"/>
      <c r="BG448" s="40"/>
      <c r="BH448" s="40"/>
      <c r="BI448" s="40"/>
    </row>
    <row r="449" ht="15.75" customHeight="1">
      <c r="A449" s="41" t="str">
        <f t="shared" si="8"/>
        <v>Divers</v>
      </c>
      <c r="B449" s="96" t="s">
        <v>139</v>
      </c>
      <c r="C449" s="96"/>
      <c r="D449" s="184"/>
      <c r="E449" s="182"/>
      <c r="F449" s="96"/>
      <c r="G449" s="184"/>
      <c r="H449" s="182"/>
      <c r="I449" s="96"/>
      <c r="J449" s="184"/>
      <c r="K449" s="182"/>
      <c r="L449" s="96"/>
      <c r="M449" s="184"/>
      <c r="N449" s="182"/>
      <c r="O449" s="96"/>
      <c r="P449" s="184"/>
      <c r="Q449" s="182"/>
      <c r="R449" s="96"/>
      <c r="S449" s="184"/>
      <c r="T449" s="182"/>
      <c r="U449" s="96"/>
      <c r="V449" s="184"/>
      <c r="W449" s="182"/>
      <c r="X449" s="96"/>
      <c r="Y449" s="184"/>
      <c r="Z449" s="182"/>
      <c r="AA449" s="96"/>
      <c r="AB449" s="184"/>
      <c r="AC449" s="182"/>
      <c r="AD449" s="96"/>
      <c r="AE449" s="184"/>
      <c r="AF449" s="182"/>
      <c r="AG449" s="96"/>
      <c r="AH449" s="184"/>
      <c r="AI449" s="182"/>
      <c r="AJ449" s="96"/>
      <c r="AK449" s="184"/>
      <c r="AL449" s="182"/>
      <c r="AM449" s="96"/>
      <c r="AN449" s="184"/>
      <c r="AO449" s="182"/>
      <c r="AP449" s="40"/>
      <c r="AQ449" s="40"/>
      <c r="AR449" s="40"/>
      <c r="AS449" s="40"/>
      <c r="AT449" s="40"/>
      <c r="AU449" s="40"/>
      <c r="AV449" s="40"/>
      <c r="AW449" s="40"/>
      <c r="AX449" s="40"/>
      <c r="AY449" s="40"/>
      <c r="AZ449" s="40"/>
      <c r="BA449" s="40"/>
      <c r="BB449" s="40"/>
      <c r="BC449" s="40"/>
      <c r="BD449" s="40"/>
      <c r="BE449" s="40"/>
      <c r="BF449" s="40"/>
      <c r="BG449" s="40"/>
      <c r="BH449" s="40"/>
      <c r="BI449" s="40"/>
    </row>
    <row r="450" ht="15.75" customHeight="1">
      <c r="A450" s="41" t="str">
        <f t="shared" si="8"/>
        <v>Formation</v>
      </c>
      <c r="B450" s="96" t="s">
        <v>140</v>
      </c>
      <c r="C450" s="96"/>
      <c r="D450" s="184"/>
      <c r="E450" s="182"/>
      <c r="F450" s="96"/>
      <c r="G450" s="184"/>
      <c r="H450" s="182"/>
      <c r="I450" s="96"/>
      <c r="J450" s="184"/>
      <c r="K450" s="182"/>
      <c r="L450" s="96"/>
      <c r="M450" s="184"/>
      <c r="N450" s="182"/>
      <c r="O450" s="96"/>
      <c r="P450" s="184"/>
      <c r="Q450" s="182"/>
      <c r="R450" s="96"/>
      <c r="S450" s="184"/>
      <c r="T450" s="182"/>
      <c r="U450" s="96"/>
      <c r="V450" s="184"/>
      <c r="W450" s="182"/>
      <c r="X450" s="96"/>
      <c r="Y450" s="184"/>
      <c r="Z450" s="182"/>
      <c r="AA450" s="96"/>
      <c r="AB450" s="184"/>
      <c r="AC450" s="182"/>
      <c r="AD450" s="96"/>
      <c r="AE450" s="184"/>
      <c r="AF450" s="182"/>
      <c r="AG450" s="96"/>
      <c r="AH450" s="184"/>
      <c r="AI450" s="182"/>
      <c r="AJ450" s="96"/>
      <c r="AK450" s="184"/>
      <c r="AL450" s="182"/>
      <c r="AM450" s="96"/>
      <c r="AN450" s="184"/>
      <c r="AO450" s="182"/>
      <c r="AP450" s="40"/>
      <c r="AQ450" s="40"/>
      <c r="AR450" s="40"/>
      <c r="AS450" s="40"/>
      <c r="AT450" s="40"/>
      <c r="AU450" s="40"/>
      <c r="AV450" s="40"/>
      <c r="AW450" s="40"/>
      <c r="AX450" s="40"/>
      <c r="AY450" s="40"/>
      <c r="AZ450" s="40"/>
      <c r="BA450" s="40"/>
      <c r="BB450" s="40"/>
      <c r="BC450" s="40"/>
      <c r="BD450" s="40"/>
      <c r="BE450" s="40"/>
      <c r="BF450" s="40"/>
      <c r="BG450" s="40"/>
      <c r="BH450" s="40"/>
      <c r="BI450" s="40"/>
    </row>
    <row r="451" ht="15.75" customHeight="1">
      <c r="A451" s="41" t="str">
        <f t="shared" si="8"/>
        <v>Frais bancaires</v>
      </c>
      <c r="B451" s="96" t="s">
        <v>141</v>
      </c>
      <c r="C451" s="96"/>
      <c r="D451" s="184"/>
      <c r="E451" s="182"/>
      <c r="F451" s="96"/>
      <c r="G451" s="184"/>
      <c r="H451" s="182"/>
      <c r="I451" s="96"/>
      <c r="J451" s="184"/>
      <c r="K451" s="182"/>
      <c r="L451" s="96"/>
      <c r="M451" s="184"/>
      <c r="N451" s="182"/>
      <c r="O451" s="96"/>
      <c r="P451" s="184"/>
      <c r="Q451" s="182"/>
      <c r="R451" s="96"/>
      <c r="S451" s="184"/>
      <c r="T451" s="182"/>
      <c r="U451" s="96"/>
      <c r="V451" s="184"/>
      <c r="W451" s="182"/>
      <c r="X451" s="96"/>
      <c r="Y451" s="184"/>
      <c r="Z451" s="182"/>
      <c r="AA451" s="96"/>
      <c r="AB451" s="184"/>
      <c r="AC451" s="182"/>
      <c r="AD451" s="96"/>
      <c r="AE451" s="184"/>
      <c r="AF451" s="182"/>
      <c r="AG451" s="96"/>
      <c r="AH451" s="184"/>
      <c r="AI451" s="182"/>
      <c r="AJ451" s="96"/>
      <c r="AK451" s="184"/>
      <c r="AL451" s="182"/>
      <c r="AM451" s="96"/>
      <c r="AN451" s="184"/>
      <c r="AO451" s="182"/>
      <c r="AP451" s="40"/>
      <c r="AQ451" s="40"/>
      <c r="AR451" s="40"/>
      <c r="AS451" s="40"/>
      <c r="AT451" s="40"/>
      <c r="AU451" s="40"/>
      <c r="AV451" s="40"/>
      <c r="AW451" s="40"/>
      <c r="AX451" s="40"/>
      <c r="AY451" s="40"/>
      <c r="AZ451" s="40"/>
      <c r="BA451" s="40"/>
      <c r="BB451" s="40"/>
      <c r="BC451" s="40"/>
      <c r="BD451" s="40"/>
      <c r="BE451" s="40"/>
      <c r="BF451" s="40"/>
      <c r="BG451" s="40"/>
      <c r="BH451" s="40"/>
      <c r="BI451" s="40"/>
    </row>
    <row r="452" ht="15.75" customHeight="1">
      <c r="A452" s="41" t="str">
        <f t="shared" si="8"/>
        <v>[...]</v>
      </c>
      <c r="B452" s="96" t="s">
        <v>56</v>
      </c>
      <c r="C452" s="96"/>
      <c r="D452" s="184"/>
      <c r="E452" s="182"/>
      <c r="F452" s="96"/>
      <c r="G452" s="184"/>
      <c r="H452" s="182"/>
      <c r="I452" s="96"/>
      <c r="J452" s="184"/>
      <c r="K452" s="182"/>
      <c r="L452" s="96"/>
      <c r="M452" s="184"/>
      <c r="N452" s="182"/>
      <c r="O452" s="96"/>
      <c r="P452" s="184"/>
      <c r="Q452" s="182"/>
      <c r="R452" s="96"/>
      <c r="S452" s="184"/>
      <c r="T452" s="182"/>
      <c r="U452" s="96"/>
      <c r="V452" s="184"/>
      <c r="W452" s="182"/>
      <c r="X452" s="96"/>
      <c r="Y452" s="184"/>
      <c r="Z452" s="182"/>
      <c r="AA452" s="96"/>
      <c r="AB452" s="184"/>
      <c r="AC452" s="182"/>
      <c r="AD452" s="96"/>
      <c r="AE452" s="184"/>
      <c r="AF452" s="182"/>
      <c r="AG452" s="96"/>
      <c r="AH452" s="184"/>
      <c r="AI452" s="182"/>
      <c r="AJ452" s="96"/>
      <c r="AK452" s="184"/>
      <c r="AL452" s="182"/>
      <c r="AM452" s="96"/>
      <c r="AN452" s="184"/>
      <c r="AO452" s="182"/>
      <c r="AP452" s="40"/>
      <c r="AQ452" s="40"/>
      <c r="AR452" s="40"/>
      <c r="AS452" s="40"/>
      <c r="AT452" s="40"/>
      <c r="AU452" s="40"/>
      <c r="AV452" s="40"/>
      <c r="AW452" s="40"/>
      <c r="AX452" s="40"/>
      <c r="AY452" s="40"/>
      <c r="AZ452" s="40"/>
      <c r="BA452" s="40"/>
      <c r="BB452" s="40"/>
      <c r="BC452" s="40"/>
      <c r="BD452" s="40"/>
      <c r="BE452" s="40"/>
      <c r="BF452" s="40"/>
      <c r="BG452" s="40"/>
      <c r="BH452" s="40"/>
      <c r="BI452" s="40"/>
    </row>
    <row r="453" ht="15.75" customHeight="1">
      <c r="A453" s="41" t="str">
        <f t="shared" si="8"/>
        <v>[...]</v>
      </c>
      <c r="B453" s="96" t="s">
        <v>56</v>
      </c>
      <c r="C453" s="96"/>
      <c r="D453" s="184"/>
      <c r="E453" s="182"/>
      <c r="F453" s="96"/>
      <c r="G453" s="184"/>
      <c r="H453" s="182"/>
      <c r="I453" s="96"/>
      <c r="J453" s="184"/>
      <c r="K453" s="182"/>
      <c r="L453" s="96"/>
      <c r="M453" s="184"/>
      <c r="N453" s="182"/>
      <c r="O453" s="96"/>
      <c r="P453" s="184"/>
      <c r="Q453" s="182"/>
      <c r="R453" s="96"/>
      <c r="S453" s="184"/>
      <c r="T453" s="182"/>
      <c r="U453" s="96"/>
      <c r="V453" s="184"/>
      <c r="W453" s="182"/>
      <c r="X453" s="96"/>
      <c r="Y453" s="184"/>
      <c r="Z453" s="182"/>
      <c r="AA453" s="96"/>
      <c r="AB453" s="184"/>
      <c r="AC453" s="182"/>
      <c r="AD453" s="96"/>
      <c r="AE453" s="184"/>
      <c r="AF453" s="182"/>
      <c r="AG453" s="96"/>
      <c r="AH453" s="184"/>
      <c r="AI453" s="182"/>
      <c r="AJ453" s="96"/>
      <c r="AK453" s="184"/>
      <c r="AL453" s="182"/>
      <c r="AM453" s="96"/>
      <c r="AN453" s="184"/>
      <c r="AO453" s="182"/>
      <c r="AP453" s="40"/>
      <c r="AQ453" s="40"/>
      <c r="AR453" s="40"/>
      <c r="AS453" s="40"/>
      <c r="AT453" s="40"/>
      <c r="AU453" s="40"/>
      <c r="AV453" s="40"/>
      <c r="AW453" s="40"/>
      <c r="AX453" s="40"/>
      <c r="AY453" s="40"/>
      <c r="AZ453" s="40"/>
      <c r="BA453" s="40"/>
      <c r="BB453" s="40"/>
      <c r="BC453" s="40"/>
      <c r="BD453" s="40"/>
      <c r="BE453" s="40"/>
      <c r="BF453" s="40"/>
      <c r="BG453" s="40"/>
      <c r="BH453" s="40"/>
      <c r="BI453" s="40"/>
    </row>
    <row r="454" ht="15.75" customHeight="1">
      <c r="A454" s="41" t="str">
        <f t="shared" si="8"/>
        <v>[...]</v>
      </c>
      <c r="B454" s="96" t="s">
        <v>56</v>
      </c>
      <c r="C454" s="96"/>
      <c r="D454" s="184"/>
      <c r="E454" s="182"/>
      <c r="F454" s="96"/>
      <c r="G454" s="184"/>
      <c r="H454" s="182"/>
      <c r="I454" s="96"/>
      <c r="J454" s="184"/>
      <c r="K454" s="182"/>
      <c r="L454" s="96"/>
      <c r="M454" s="184"/>
      <c r="N454" s="182"/>
      <c r="O454" s="96"/>
      <c r="P454" s="184"/>
      <c r="Q454" s="182"/>
      <c r="R454" s="96"/>
      <c r="S454" s="184"/>
      <c r="T454" s="182"/>
      <c r="U454" s="96"/>
      <c r="V454" s="184"/>
      <c r="W454" s="182"/>
      <c r="X454" s="96"/>
      <c r="Y454" s="184"/>
      <c r="Z454" s="182"/>
      <c r="AA454" s="96"/>
      <c r="AB454" s="184"/>
      <c r="AC454" s="182"/>
      <c r="AD454" s="96"/>
      <c r="AE454" s="184"/>
      <c r="AF454" s="182"/>
      <c r="AG454" s="96"/>
      <c r="AH454" s="184"/>
      <c r="AI454" s="182"/>
      <c r="AJ454" s="96"/>
      <c r="AK454" s="184"/>
      <c r="AL454" s="182"/>
      <c r="AM454" s="96"/>
      <c r="AN454" s="184"/>
      <c r="AO454" s="182"/>
      <c r="AP454" s="40"/>
      <c r="AQ454" s="40"/>
      <c r="AR454" s="40"/>
      <c r="AS454" s="40"/>
      <c r="AT454" s="40"/>
      <c r="AU454" s="40"/>
      <c r="AV454" s="40"/>
      <c r="AW454" s="40"/>
      <c r="AX454" s="40"/>
      <c r="AY454" s="40"/>
      <c r="AZ454" s="40"/>
      <c r="BA454" s="40"/>
      <c r="BB454" s="40"/>
      <c r="BC454" s="40"/>
      <c r="BD454" s="40"/>
      <c r="BE454" s="40"/>
      <c r="BF454" s="40"/>
      <c r="BG454" s="40"/>
      <c r="BH454" s="40"/>
      <c r="BI454" s="40"/>
    </row>
    <row r="455" ht="15.75" customHeight="1">
      <c r="A455" s="41" t="str">
        <f t="shared" si="8"/>
        <v>TOTAL SEMI-FIXES</v>
      </c>
      <c r="B455" s="187" t="s">
        <v>142</v>
      </c>
      <c r="C455" s="188"/>
      <c r="D455" s="191"/>
      <c r="E455" s="190"/>
      <c r="F455" s="188"/>
      <c r="G455" s="191"/>
      <c r="H455" s="190"/>
      <c r="I455" s="188"/>
      <c r="J455" s="191"/>
      <c r="K455" s="190"/>
      <c r="L455" s="188"/>
      <c r="M455" s="191"/>
      <c r="N455" s="190"/>
      <c r="O455" s="188"/>
      <c r="P455" s="191"/>
      <c r="Q455" s="190"/>
      <c r="R455" s="188"/>
      <c r="S455" s="191"/>
      <c r="T455" s="190"/>
      <c r="U455" s="188"/>
      <c r="V455" s="191"/>
      <c r="W455" s="190"/>
      <c r="X455" s="188"/>
      <c r="Y455" s="191"/>
      <c r="Z455" s="190"/>
      <c r="AA455" s="188"/>
      <c r="AB455" s="191"/>
      <c r="AC455" s="190"/>
      <c r="AD455" s="188"/>
      <c r="AE455" s="191"/>
      <c r="AF455" s="190"/>
      <c r="AG455" s="188"/>
      <c r="AH455" s="191"/>
      <c r="AI455" s="190"/>
      <c r="AJ455" s="188"/>
      <c r="AK455" s="191"/>
      <c r="AL455" s="190"/>
      <c r="AM455" s="188"/>
      <c r="AN455" s="191"/>
      <c r="AO455" s="190"/>
      <c r="AP455" s="40"/>
      <c r="AQ455" s="40"/>
      <c r="AR455" s="40"/>
      <c r="AS455" s="40"/>
      <c r="AT455" s="40"/>
      <c r="AU455" s="40"/>
      <c r="AV455" s="40"/>
      <c r="AW455" s="40"/>
      <c r="AX455" s="40"/>
      <c r="AY455" s="40"/>
      <c r="AZ455" s="40"/>
      <c r="BA455" s="40"/>
      <c r="BB455" s="40"/>
      <c r="BC455" s="40"/>
      <c r="BD455" s="40"/>
      <c r="BE455" s="40"/>
      <c r="BF455" s="40"/>
      <c r="BG455" s="40"/>
      <c r="BH455" s="40"/>
      <c r="BI455" s="40"/>
    </row>
    <row r="456" ht="15.75" customHeight="1">
      <c r="A456" s="41" t="str">
        <f t="shared" si="8"/>
        <v>Loyer</v>
      </c>
      <c r="B456" s="96" t="s">
        <v>199</v>
      </c>
      <c r="C456" s="96"/>
      <c r="D456" s="184"/>
      <c r="E456" s="182"/>
      <c r="F456" s="96"/>
      <c r="G456" s="184"/>
      <c r="H456" s="182"/>
      <c r="I456" s="96"/>
      <c r="J456" s="184"/>
      <c r="K456" s="182"/>
      <c r="L456" s="96"/>
      <c r="M456" s="184"/>
      <c r="N456" s="182"/>
      <c r="O456" s="96"/>
      <c r="P456" s="184"/>
      <c r="Q456" s="182"/>
      <c r="R456" s="96"/>
      <c r="S456" s="184"/>
      <c r="T456" s="182"/>
      <c r="U456" s="96"/>
      <c r="V456" s="184"/>
      <c r="W456" s="182"/>
      <c r="X456" s="96"/>
      <c r="Y456" s="184"/>
      <c r="Z456" s="182"/>
      <c r="AA456" s="96"/>
      <c r="AB456" s="184"/>
      <c r="AC456" s="182"/>
      <c r="AD456" s="96"/>
      <c r="AE456" s="184"/>
      <c r="AF456" s="182"/>
      <c r="AG456" s="96"/>
      <c r="AH456" s="184"/>
      <c r="AI456" s="182"/>
      <c r="AJ456" s="96"/>
      <c r="AK456" s="184"/>
      <c r="AL456" s="182"/>
      <c r="AM456" s="96"/>
      <c r="AN456" s="184"/>
      <c r="AO456" s="182"/>
      <c r="AP456" s="40"/>
      <c r="AQ456" s="40"/>
      <c r="AR456" s="40"/>
      <c r="AS456" s="40"/>
      <c r="AT456" s="40"/>
      <c r="AU456" s="40"/>
      <c r="AV456" s="40"/>
      <c r="AW456" s="40"/>
      <c r="AX456" s="40"/>
      <c r="AY456" s="40"/>
      <c r="AZ456" s="40"/>
      <c r="BA456" s="40"/>
      <c r="BB456" s="40"/>
      <c r="BC456" s="40"/>
      <c r="BD456" s="40"/>
      <c r="BE456" s="40"/>
      <c r="BF456" s="40"/>
      <c r="BG456" s="40"/>
      <c r="BH456" s="40"/>
      <c r="BI456" s="40"/>
    </row>
    <row r="457" ht="15.75" customHeight="1">
      <c r="A457" s="41" t="str">
        <f t="shared" si="8"/>
        <v>Taxes foncières</v>
      </c>
      <c r="B457" s="96" t="s">
        <v>200</v>
      </c>
      <c r="C457" s="96"/>
      <c r="D457" s="184"/>
      <c r="E457" s="182"/>
      <c r="F457" s="96"/>
      <c r="G457" s="184"/>
      <c r="H457" s="182"/>
      <c r="I457" s="96"/>
      <c r="J457" s="184"/>
      <c r="K457" s="182"/>
      <c r="L457" s="96"/>
      <c r="M457" s="184"/>
      <c r="N457" s="182"/>
      <c r="O457" s="96"/>
      <c r="P457" s="184"/>
      <c r="Q457" s="182"/>
      <c r="R457" s="96"/>
      <c r="S457" s="184"/>
      <c r="T457" s="182"/>
      <c r="U457" s="96"/>
      <c r="V457" s="184"/>
      <c r="W457" s="182"/>
      <c r="X457" s="96"/>
      <c r="Y457" s="184"/>
      <c r="Z457" s="182"/>
      <c r="AA457" s="96"/>
      <c r="AB457" s="184"/>
      <c r="AC457" s="182"/>
      <c r="AD457" s="96"/>
      <c r="AE457" s="184"/>
      <c r="AF457" s="182"/>
      <c r="AG457" s="96"/>
      <c r="AH457" s="184"/>
      <c r="AI457" s="182"/>
      <c r="AJ457" s="96"/>
      <c r="AK457" s="184"/>
      <c r="AL457" s="182"/>
      <c r="AM457" s="96"/>
      <c r="AN457" s="184"/>
      <c r="AO457" s="182"/>
      <c r="AP457" s="40"/>
      <c r="AQ457" s="40"/>
      <c r="AR457" s="40"/>
      <c r="AS457" s="40"/>
      <c r="AT457" s="40"/>
      <c r="AU457" s="40"/>
      <c r="AV457" s="40"/>
      <c r="AW457" s="40"/>
      <c r="AX457" s="40"/>
      <c r="AY457" s="40"/>
      <c r="AZ457" s="40"/>
      <c r="BA457" s="40"/>
      <c r="BB457" s="40"/>
      <c r="BC457" s="40"/>
      <c r="BD457" s="40"/>
      <c r="BE457" s="40"/>
      <c r="BF457" s="40"/>
      <c r="BG457" s="40"/>
      <c r="BH457" s="40"/>
      <c r="BI457" s="40"/>
    </row>
    <row r="458" ht="15.75" customHeight="1">
      <c r="A458" s="41" t="str">
        <f t="shared" si="8"/>
        <v>Taxes d`affaires</v>
      </c>
      <c r="B458" s="97" t="s">
        <v>201</v>
      </c>
      <c r="C458" s="97"/>
      <c r="D458" s="186"/>
      <c r="E458" s="174"/>
      <c r="F458" s="97"/>
      <c r="G458" s="186"/>
      <c r="H458" s="174"/>
      <c r="I458" s="97"/>
      <c r="J458" s="186"/>
      <c r="K458" s="174"/>
      <c r="L458" s="97"/>
      <c r="M458" s="186"/>
      <c r="N458" s="174"/>
      <c r="O458" s="97"/>
      <c r="P458" s="186"/>
      <c r="Q458" s="174"/>
      <c r="R458" s="97"/>
      <c r="S458" s="186"/>
      <c r="T458" s="174"/>
      <c r="U458" s="97"/>
      <c r="V458" s="186"/>
      <c r="W458" s="174"/>
      <c r="X458" s="97"/>
      <c r="Y458" s="186"/>
      <c r="Z458" s="174"/>
      <c r="AA458" s="97"/>
      <c r="AB458" s="186"/>
      <c r="AC458" s="174"/>
      <c r="AD458" s="97"/>
      <c r="AE458" s="186"/>
      <c r="AF458" s="174"/>
      <c r="AG458" s="97"/>
      <c r="AH458" s="186"/>
      <c r="AI458" s="174"/>
      <c r="AJ458" s="97"/>
      <c r="AK458" s="186"/>
      <c r="AL458" s="174"/>
      <c r="AM458" s="97"/>
      <c r="AN458" s="186"/>
      <c r="AO458" s="174"/>
      <c r="AP458" s="40"/>
      <c r="AQ458" s="40"/>
      <c r="AR458" s="40"/>
      <c r="AS458" s="40"/>
      <c r="AT458" s="40"/>
      <c r="AU458" s="40"/>
      <c r="AV458" s="40"/>
      <c r="AW458" s="40"/>
      <c r="AX458" s="40"/>
      <c r="AY458" s="40"/>
      <c r="AZ458" s="40"/>
      <c r="BA458" s="40"/>
      <c r="BB458" s="40"/>
      <c r="BC458" s="40"/>
      <c r="BD458" s="40"/>
      <c r="BE458" s="40"/>
      <c r="BF458" s="40"/>
      <c r="BG458" s="40"/>
      <c r="BH458" s="40"/>
      <c r="BI458" s="40"/>
    </row>
    <row r="459" ht="15.75" customHeight="1">
      <c r="A459" s="41" t="str">
        <f t="shared" si="8"/>
        <v>Taxe sur le capital</v>
      </c>
      <c r="B459" s="96" t="s">
        <v>202</v>
      </c>
      <c r="C459" s="96"/>
      <c r="D459" s="184"/>
      <c r="E459" s="182"/>
      <c r="F459" s="96"/>
      <c r="G459" s="184"/>
      <c r="H459" s="182"/>
      <c r="I459" s="96"/>
      <c r="J459" s="184"/>
      <c r="K459" s="182"/>
      <c r="L459" s="96"/>
      <c r="M459" s="184"/>
      <c r="N459" s="182"/>
      <c r="O459" s="96"/>
      <c r="P459" s="184"/>
      <c r="Q459" s="182"/>
      <c r="R459" s="96"/>
      <c r="S459" s="184"/>
      <c r="T459" s="182"/>
      <c r="U459" s="96"/>
      <c r="V459" s="184"/>
      <c r="W459" s="182"/>
      <c r="X459" s="96"/>
      <c r="Y459" s="184"/>
      <c r="Z459" s="182"/>
      <c r="AA459" s="96"/>
      <c r="AB459" s="184"/>
      <c r="AC459" s="182"/>
      <c r="AD459" s="96"/>
      <c r="AE459" s="184"/>
      <c r="AF459" s="182"/>
      <c r="AG459" s="96"/>
      <c r="AH459" s="184"/>
      <c r="AI459" s="182"/>
      <c r="AJ459" s="96"/>
      <c r="AK459" s="184"/>
      <c r="AL459" s="182"/>
      <c r="AM459" s="96"/>
      <c r="AN459" s="184"/>
      <c r="AO459" s="182"/>
      <c r="AP459" s="40"/>
      <c r="AQ459" s="40"/>
      <c r="AR459" s="40"/>
      <c r="AS459" s="40"/>
      <c r="AT459" s="40"/>
      <c r="AU459" s="40"/>
      <c r="AV459" s="40"/>
      <c r="AW459" s="40"/>
      <c r="AX459" s="40"/>
      <c r="AY459" s="40"/>
      <c r="AZ459" s="40"/>
      <c r="BA459" s="40"/>
      <c r="BB459" s="40"/>
      <c r="BC459" s="40"/>
      <c r="BD459" s="40"/>
      <c r="BE459" s="40"/>
      <c r="BF459" s="40"/>
      <c r="BG459" s="40"/>
      <c r="BH459" s="40"/>
      <c r="BI459" s="40"/>
    </row>
    <row r="460" ht="15.75" customHeight="1">
      <c r="A460" s="41" t="str">
        <f t="shared" si="8"/>
        <v>Assurances</v>
      </c>
      <c r="B460" s="97" t="s">
        <v>203</v>
      </c>
      <c r="C460" s="97"/>
      <c r="D460" s="186"/>
      <c r="E460" s="174"/>
      <c r="F460" s="97"/>
      <c r="G460" s="186"/>
      <c r="H460" s="174"/>
      <c r="I460" s="97"/>
      <c r="J460" s="186"/>
      <c r="K460" s="174"/>
      <c r="L460" s="97"/>
      <c r="M460" s="186"/>
      <c r="N460" s="174"/>
      <c r="O460" s="97"/>
      <c r="P460" s="186"/>
      <c r="Q460" s="174"/>
      <c r="R460" s="97"/>
      <c r="S460" s="186"/>
      <c r="T460" s="174"/>
      <c r="U460" s="97"/>
      <c r="V460" s="186"/>
      <c r="W460" s="174"/>
      <c r="X460" s="97"/>
      <c r="Y460" s="186"/>
      <c r="Z460" s="174"/>
      <c r="AA460" s="97"/>
      <c r="AB460" s="186"/>
      <c r="AC460" s="174"/>
      <c r="AD460" s="97"/>
      <c r="AE460" s="186"/>
      <c r="AF460" s="174"/>
      <c r="AG460" s="97"/>
      <c r="AH460" s="186"/>
      <c r="AI460" s="174"/>
      <c r="AJ460" s="97"/>
      <c r="AK460" s="186"/>
      <c r="AL460" s="174"/>
      <c r="AM460" s="97"/>
      <c r="AN460" s="186"/>
      <c r="AO460" s="174"/>
      <c r="AP460" s="40"/>
      <c r="AQ460" s="40"/>
      <c r="AR460" s="40"/>
      <c r="AS460" s="40"/>
      <c r="AT460" s="40"/>
      <c r="AU460" s="40"/>
      <c r="AV460" s="40"/>
      <c r="AW460" s="40"/>
      <c r="AX460" s="40"/>
      <c r="AY460" s="40"/>
      <c r="AZ460" s="40"/>
      <c r="BA460" s="40"/>
      <c r="BB460" s="40"/>
      <c r="BC460" s="40"/>
      <c r="BD460" s="40"/>
      <c r="BE460" s="40"/>
      <c r="BF460" s="40"/>
      <c r="BG460" s="40"/>
      <c r="BH460" s="40"/>
      <c r="BI460" s="40"/>
    </row>
    <row r="461" ht="15.75" customHeight="1">
      <c r="A461" s="41" t="str">
        <f t="shared" si="8"/>
        <v>Chauffage, éclairage</v>
      </c>
      <c r="B461" s="96" t="s">
        <v>204</v>
      </c>
      <c r="C461" s="96"/>
      <c r="D461" s="184"/>
      <c r="E461" s="182"/>
      <c r="F461" s="96"/>
      <c r="G461" s="184"/>
      <c r="H461" s="182"/>
      <c r="I461" s="96"/>
      <c r="J461" s="184"/>
      <c r="K461" s="182"/>
      <c r="L461" s="96"/>
      <c r="M461" s="184"/>
      <c r="N461" s="182"/>
      <c r="O461" s="96"/>
      <c r="P461" s="184"/>
      <c r="Q461" s="182"/>
      <c r="R461" s="96"/>
      <c r="S461" s="184"/>
      <c r="T461" s="182"/>
      <c r="U461" s="96"/>
      <c r="V461" s="184"/>
      <c r="W461" s="182"/>
      <c r="X461" s="96"/>
      <c r="Y461" s="184"/>
      <c r="Z461" s="182"/>
      <c r="AA461" s="96"/>
      <c r="AB461" s="184"/>
      <c r="AC461" s="182"/>
      <c r="AD461" s="96"/>
      <c r="AE461" s="184"/>
      <c r="AF461" s="182"/>
      <c r="AG461" s="96"/>
      <c r="AH461" s="184"/>
      <c r="AI461" s="182"/>
      <c r="AJ461" s="96"/>
      <c r="AK461" s="184"/>
      <c r="AL461" s="182"/>
      <c r="AM461" s="96"/>
      <c r="AN461" s="184"/>
      <c r="AO461" s="182"/>
      <c r="AP461" s="40"/>
      <c r="AQ461" s="40"/>
      <c r="AR461" s="40"/>
      <c r="AS461" s="40"/>
      <c r="AT461" s="40"/>
      <c r="AU461" s="40"/>
      <c r="AV461" s="40"/>
      <c r="AW461" s="40"/>
      <c r="AX461" s="40"/>
      <c r="AY461" s="40"/>
      <c r="AZ461" s="40"/>
      <c r="BA461" s="40"/>
      <c r="BB461" s="40"/>
      <c r="BC461" s="40"/>
      <c r="BD461" s="40"/>
      <c r="BE461" s="40"/>
      <c r="BF461" s="40"/>
      <c r="BG461" s="40"/>
      <c r="BH461" s="40"/>
      <c r="BI461" s="40"/>
    </row>
    <row r="462" ht="15.75" customHeight="1">
      <c r="A462" s="41" t="str">
        <f t="shared" si="8"/>
        <v>Honoraires</v>
      </c>
      <c r="B462" s="96" t="s">
        <v>205</v>
      </c>
      <c r="C462" s="96"/>
      <c r="D462" s="184"/>
      <c r="E462" s="182"/>
      <c r="F462" s="96"/>
      <c r="G462" s="184"/>
      <c r="H462" s="182"/>
      <c r="I462" s="96"/>
      <c r="J462" s="184"/>
      <c r="K462" s="182"/>
      <c r="L462" s="96"/>
      <c r="M462" s="184"/>
      <c r="N462" s="182"/>
      <c r="O462" s="96"/>
      <c r="P462" s="184"/>
      <c r="Q462" s="182"/>
      <c r="R462" s="96"/>
      <c r="S462" s="184"/>
      <c r="T462" s="182"/>
      <c r="U462" s="96"/>
      <c r="V462" s="184"/>
      <c r="W462" s="182"/>
      <c r="X462" s="96"/>
      <c r="Y462" s="184"/>
      <c r="Z462" s="182"/>
      <c r="AA462" s="96"/>
      <c r="AB462" s="184"/>
      <c r="AC462" s="182"/>
      <c r="AD462" s="96"/>
      <c r="AE462" s="184"/>
      <c r="AF462" s="182"/>
      <c r="AG462" s="96"/>
      <c r="AH462" s="184"/>
      <c r="AI462" s="182"/>
      <c r="AJ462" s="96"/>
      <c r="AK462" s="184"/>
      <c r="AL462" s="182"/>
      <c r="AM462" s="96"/>
      <c r="AN462" s="184"/>
      <c r="AO462" s="182"/>
      <c r="AP462" s="40"/>
      <c r="AQ462" s="40"/>
      <c r="AR462" s="40"/>
      <c r="AS462" s="40"/>
      <c r="AT462" s="40"/>
      <c r="AU462" s="40"/>
      <c r="AV462" s="40"/>
      <c r="AW462" s="40"/>
      <c r="AX462" s="40"/>
      <c r="AY462" s="40"/>
      <c r="AZ462" s="40"/>
      <c r="BA462" s="40"/>
      <c r="BB462" s="40"/>
      <c r="BC462" s="40"/>
      <c r="BD462" s="40"/>
      <c r="BE462" s="40"/>
      <c r="BF462" s="40"/>
      <c r="BG462" s="40"/>
      <c r="BH462" s="40"/>
      <c r="BI462" s="40"/>
    </row>
    <row r="463" ht="15.75" customHeight="1">
      <c r="A463" s="41" t="str">
        <f t="shared" si="8"/>
        <v>Réparation équipement</v>
      </c>
      <c r="B463" s="97" t="s">
        <v>206</v>
      </c>
      <c r="C463" s="97"/>
      <c r="D463" s="186"/>
      <c r="E463" s="174"/>
      <c r="F463" s="97"/>
      <c r="G463" s="186"/>
      <c r="H463" s="174"/>
      <c r="I463" s="97"/>
      <c r="J463" s="186"/>
      <c r="K463" s="174"/>
      <c r="L463" s="97"/>
      <c r="M463" s="186"/>
      <c r="N463" s="174"/>
      <c r="O463" s="97"/>
      <c r="P463" s="186"/>
      <c r="Q463" s="174"/>
      <c r="R463" s="97"/>
      <c r="S463" s="186"/>
      <c r="T463" s="174"/>
      <c r="U463" s="97"/>
      <c r="V463" s="186"/>
      <c r="W463" s="174"/>
      <c r="X463" s="97"/>
      <c r="Y463" s="186"/>
      <c r="Z463" s="174"/>
      <c r="AA463" s="97"/>
      <c r="AB463" s="186"/>
      <c r="AC463" s="174"/>
      <c r="AD463" s="97"/>
      <c r="AE463" s="186"/>
      <c r="AF463" s="174"/>
      <c r="AG463" s="97"/>
      <c r="AH463" s="186"/>
      <c r="AI463" s="174"/>
      <c r="AJ463" s="97"/>
      <c r="AK463" s="186"/>
      <c r="AL463" s="174"/>
      <c r="AM463" s="97"/>
      <c r="AN463" s="186"/>
      <c r="AO463" s="174"/>
      <c r="AP463" s="40"/>
      <c r="AQ463" s="40"/>
      <c r="AR463" s="40"/>
      <c r="AS463" s="40"/>
      <c r="AT463" s="40"/>
      <c r="AU463" s="40"/>
      <c r="AV463" s="40"/>
      <c r="AW463" s="40"/>
      <c r="AX463" s="40"/>
      <c r="AY463" s="40"/>
      <c r="AZ463" s="40"/>
      <c r="BA463" s="40"/>
      <c r="BB463" s="40"/>
      <c r="BC463" s="40"/>
      <c r="BD463" s="40"/>
      <c r="BE463" s="40"/>
      <c r="BF463" s="40"/>
      <c r="BG463" s="40"/>
      <c r="BH463" s="40"/>
      <c r="BI463" s="40"/>
    </row>
    <row r="464" ht="15.75" customHeight="1">
      <c r="A464" s="41" t="str">
        <f t="shared" si="8"/>
        <v>Location équipement</v>
      </c>
      <c r="B464" s="96" t="s">
        <v>207</v>
      </c>
      <c r="C464" s="96"/>
      <c r="D464" s="184"/>
      <c r="E464" s="182"/>
      <c r="F464" s="96"/>
      <c r="G464" s="184"/>
      <c r="H464" s="182"/>
      <c r="I464" s="96"/>
      <c r="J464" s="184"/>
      <c r="K464" s="182"/>
      <c r="L464" s="96"/>
      <c r="M464" s="184"/>
      <c r="N464" s="182"/>
      <c r="O464" s="96"/>
      <c r="P464" s="184"/>
      <c r="Q464" s="182"/>
      <c r="R464" s="96"/>
      <c r="S464" s="184"/>
      <c r="T464" s="182"/>
      <c r="U464" s="96"/>
      <c r="V464" s="184"/>
      <c r="W464" s="182"/>
      <c r="X464" s="96"/>
      <c r="Y464" s="184"/>
      <c r="Z464" s="182"/>
      <c r="AA464" s="96"/>
      <c r="AB464" s="184"/>
      <c r="AC464" s="182"/>
      <c r="AD464" s="96"/>
      <c r="AE464" s="184"/>
      <c r="AF464" s="182"/>
      <c r="AG464" s="96"/>
      <c r="AH464" s="184"/>
      <c r="AI464" s="182"/>
      <c r="AJ464" s="96"/>
      <c r="AK464" s="184"/>
      <c r="AL464" s="182"/>
      <c r="AM464" s="96"/>
      <c r="AN464" s="184"/>
      <c r="AO464" s="182"/>
      <c r="AP464" s="40"/>
      <c r="AQ464" s="40"/>
      <c r="AR464" s="40"/>
      <c r="AS464" s="40"/>
      <c r="AT464" s="40"/>
      <c r="AU464" s="40"/>
      <c r="AV464" s="40"/>
      <c r="AW464" s="40"/>
      <c r="AX464" s="40"/>
      <c r="AY464" s="40"/>
      <c r="AZ464" s="40"/>
      <c r="BA464" s="40"/>
      <c r="BB464" s="40"/>
      <c r="BC464" s="40"/>
      <c r="BD464" s="40"/>
      <c r="BE464" s="40"/>
      <c r="BF464" s="40"/>
      <c r="BG464" s="40"/>
      <c r="BH464" s="40"/>
      <c r="BI464" s="40"/>
    </row>
    <row r="465" ht="15.75" customHeight="1">
      <c r="A465" s="41" t="str">
        <f t="shared" si="8"/>
        <v>Dons</v>
      </c>
      <c r="B465" s="96" t="s">
        <v>208</v>
      </c>
      <c r="C465" s="96"/>
      <c r="D465" s="184"/>
      <c r="E465" s="182"/>
      <c r="F465" s="96"/>
      <c r="G465" s="184"/>
      <c r="H465" s="182"/>
      <c r="I465" s="96"/>
      <c r="J465" s="184"/>
      <c r="K465" s="182"/>
      <c r="L465" s="96"/>
      <c r="M465" s="184"/>
      <c r="N465" s="182"/>
      <c r="O465" s="96"/>
      <c r="P465" s="184"/>
      <c r="Q465" s="182"/>
      <c r="R465" s="96"/>
      <c r="S465" s="184"/>
      <c r="T465" s="182"/>
      <c r="U465" s="96"/>
      <c r="V465" s="184"/>
      <c r="W465" s="182"/>
      <c r="X465" s="96"/>
      <c r="Y465" s="184"/>
      <c r="Z465" s="182"/>
      <c r="AA465" s="96"/>
      <c r="AB465" s="184"/>
      <c r="AC465" s="182"/>
      <c r="AD465" s="96"/>
      <c r="AE465" s="184"/>
      <c r="AF465" s="182"/>
      <c r="AG465" s="96"/>
      <c r="AH465" s="184"/>
      <c r="AI465" s="182"/>
      <c r="AJ465" s="96"/>
      <c r="AK465" s="184"/>
      <c r="AL465" s="182"/>
      <c r="AM465" s="96"/>
      <c r="AN465" s="184"/>
      <c r="AO465" s="182"/>
      <c r="AP465" s="40"/>
      <c r="AQ465" s="40"/>
      <c r="AR465" s="40"/>
      <c r="AS465" s="40"/>
      <c r="AT465" s="40"/>
      <c r="AU465" s="40"/>
      <c r="AV465" s="40"/>
      <c r="AW465" s="40"/>
      <c r="AX465" s="40"/>
      <c r="AY465" s="40"/>
      <c r="AZ465" s="40"/>
      <c r="BA465" s="40"/>
      <c r="BB465" s="40"/>
      <c r="BC465" s="40"/>
      <c r="BD465" s="40"/>
      <c r="BE465" s="40"/>
      <c r="BF465" s="40"/>
      <c r="BG465" s="40"/>
      <c r="BH465" s="40"/>
      <c r="BI465" s="40"/>
    </row>
    <row r="466" ht="15.75" customHeight="1">
      <c r="A466" s="41" t="str">
        <f t="shared" si="8"/>
        <v>[...]</v>
      </c>
      <c r="B466" s="96" t="s">
        <v>56</v>
      </c>
      <c r="C466" s="96"/>
      <c r="D466" s="184"/>
      <c r="E466" s="182"/>
      <c r="F466" s="96"/>
      <c r="G466" s="184"/>
      <c r="H466" s="182"/>
      <c r="I466" s="96"/>
      <c r="J466" s="184"/>
      <c r="K466" s="182"/>
      <c r="L466" s="96"/>
      <c r="M466" s="184"/>
      <c r="N466" s="182"/>
      <c r="O466" s="96"/>
      <c r="P466" s="184"/>
      <c r="Q466" s="182"/>
      <c r="R466" s="96"/>
      <c r="S466" s="184"/>
      <c r="T466" s="182"/>
      <c r="U466" s="96"/>
      <c r="V466" s="184"/>
      <c r="W466" s="182"/>
      <c r="X466" s="96"/>
      <c r="Y466" s="184"/>
      <c r="Z466" s="182"/>
      <c r="AA466" s="96"/>
      <c r="AB466" s="184"/>
      <c r="AC466" s="182"/>
      <c r="AD466" s="96"/>
      <c r="AE466" s="184"/>
      <c r="AF466" s="182"/>
      <c r="AG466" s="96"/>
      <c r="AH466" s="184"/>
      <c r="AI466" s="182"/>
      <c r="AJ466" s="96"/>
      <c r="AK466" s="184"/>
      <c r="AL466" s="182"/>
      <c r="AM466" s="96"/>
      <c r="AN466" s="184"/>
      <c r="AO466" s="182"/>
      <c r="AP466" s="40"/>
      <c r="AQ466" s="40"/>
      <c r="AR466" s="40"/>
      <c r="AS466" s="40"/>
      <c r="AT466" s="40"/>
      <c r="AU466" s="40"/>
      <c r="AV466" s="40"/>
      <c r="AW466" s="40"/>
      <c r="AX466" s="40"/>
      <c r="AY466" s="40"/>
      <c r="AZ466" s="40"/>
      <c r="BA466" s="40"/>
      <c r="BB466" s="40"/>
      <c r="BC466" s="40"/>
      <c r="BD466" s="40"/>
      <c r="BE466" s="40"/>
      <c r="BF466" s="40"/>
      <c r="BG466" s="40"/>
      <c r="BH466" s="40"/>
      <c r="BI466" s="40"/>
    </row>
    <row r="467" ht="15.75" customHeight="1">
      <c r="A467" s="41" t="str">
        <f t="shared" si="8"/>
        <v>[...]</v>
      </c>
      <c r="B467" s="96" t="s">
        <v>56</v>
      </c>
      <c r="C467" s="96"/>
      <c r="D467" s="184"/>
      <c r="E467" s="182"/>
      <c r="F467" s="96"/>
      <c r="G467" s="184"/>
      <c r="H467" s="182"/>
      <c r="I467" s="96"/>
      <c r="J467" s="184"/>
      <c r="K467" s="182"/>
      <c r="L467" s="96"/>
      <c r="M467" s="184"/>
      <c r="N467" s="182"/>
      <c r="O467" s="96"/>
      <c r="P467" s="184"/>
      <c r="Q467" s="182"/>
      <c r="R467" s="96"/>
      <c r="S467" s="184"/>
      <c r="T467" s="182"/>
      <c r="U467" s="96"/>
      <c r="V467" s="184"/>
      <c r="W467" s="182"/>
      <c r="X467" s="96"/>
      <c r="Y467" s="184"/>
      <c r="Z467" s="182"/>
      <c r="AA467" s="96"/>
      <c r="AB467" s="184"/>
      <c r="AC467" s="182"/>
      <c r="AD467" s="96"/>
      <c r="AE467" s="184"/>
      <c r="AF467" s="182"/>
      <c r="AG467" s="96"/>
      <c r="AH467" s="184"/>
      <c r="AI467" s="182"/>
      <c r="AJ467" s="96"/>
      <c r="AK467" s="184"/>
      <c r="AL467" s="182"/>
      <c r="AM467" s="96"/>
      <c r="AN467" s="184"/>
      <c r="AO467" s="182"/>
      <c r="AP467" s="40"/>
      <c r="AQ467" s="40"/>
      <c r="AR467" s="40"/>
      <c r="AS467" s="40"/>
      <c r="AT467" s="40"/>
      <c r="AU467" s="40"/>
      <c r="AV467" s="40"/>
      <c r="AW467" s="40"/>
      <c r="AX467" s="40"/>
      <c r="AY467" s="40"/>
      <c r="AZ467" s="40"/>
      <c r="BA467" s="40"/>
      <c r="BB467" s="40"/>
      <c r="BC467" s="40"/>
      <c r="BD467" s="40"/>
      <c r="BE467" s="40"/>
      <c r="BF467" s="40"/>
      <c r="BG467" s="40"/>
      <c r="BH467" s="40"/>
      <c r="BI467" s="40"/>
    </row>
    <row r="468" ht="15.75" customHeight="1">
      <c r="A468" s="41" t="str">
        <f t="shared" si="8"/>
        <v>[...]</v>
      </c>
      <c r="B468" s="96" t="s">
        <v>56</v>
      </c>
      <c r="C468" s="96"/>
      <c r="D468" s="184"/>
      <c r="E468" s="182"/>
      <c r="F468" s="96"/>
      <c r="G468" s="184"/>
      <c r="H468" s="182"/>
      <c r="I468" s="96"/>
      <c r="J468" s="184"/>
      <c r="K468" s="182"/>
      <c r="L468" s="96"/>
      <c r="M468" s="184"/>
      <c r="N468" s="182"/>
      <c r="O468" s="96"/>
      <c r="P468" s="184"/>
      <c r="Q468" s="182"/>
      <c r="R468" s="96"/>
      <c r="S468" s="184"/>
      <c r="T468" s="182"/>
      <c r="U468" s="96"/>
      <c r="V468" s="184"/>
      <c r="W468" s="182"/>
      <c r="X468" s="96"/>
      <c r="Y468" s="184"/>
      <c r="Z468" s="182"/>
      <c r="AA468" s="96"/>
      <c r="AB468" s="184"/>
      <c r="AC468" s="182"/>
      <c r="AD468" s="96"/>
      <c r="AE468" s="184"/>
      <c r="AF468" s="182"/>
      <c r="AG468" s="96"/>
      <c r="AH468" s="184"/>
      <c r="AI468" s="182"/>
      <c r="AJ468" s="96"/>
      <c r="AK468" s="184"/>
      <c r="AL468" s="182"/>
      <c r="AM468" s="96"/>
      <c r="AN468" s="184"/>
      <c r="AO468" s="182"/>
      <c r="AP468" s="40"/>
      <c r="AQ468" s="40"/>
      <c r="AR468" s="40"/>
      <c r="AS468" s="40"/>
      <c r="AT468" s="40"/>
      <c r="AU468" s="40"/>
      <c r="AV468" s="40"/>
      <c r="AW468" s="40"/>
      <c r="AX468" s="40"/>
      <c r="AY468" s="40"/>
      <c r="AZ468" s="40"/>
      <c r="BA468" s="40"/>
      <c r="BB468" s="40"/>
      <c r="BC468" s="40"/>
      <c r="BD468" s="40"/>
      <c r="BE468" s="40"/>
      <c r="BF468" s="40"/>
      <c r="BG468" s="40"/>
      <c r="BH468" s="40"/>
      <c r="BI468" s="40"/>
    </row>
    <row r="469" ht="15.75" customHeight="1">
      <c r="A469" s="41" t="str">
        <f t="shared" si="8"/>
        <v>TOTAL DÉPENSES FIXES</v>
      </c>
      <c r="B469" s="187" t="s">
        <v>209</v>
      </c>
      <c r="C469" s="188"/>
      <c r="D469" s="191"/>
      <c r="E469" s="190"/>
      <c r="F469" s="188"/>
      <c r="G469" s="191"/>
      <c r="H469" s="190"/>
      <c r="I469" s="188"/>
      <c r="J469" s="191"/>
      <c r="K469" s="190"/>
      <c r="L469" s="188"/>
      <c r="M469" s="191"/>
      <c r="N469" s="190"/>
      <c r="O469" s="188"/>
      <c r="P469" s="191"/>
      <c r="Q469" s="190"/>
      <c r="R469" s="188"/>
      <c r="S469" s="191"/>
      <c r="T469" s="190"/>
      <c r="U469" s="188"/>
      <c r="V469" s="191"/>
      <c r="W469" s="190"/>
      <c r="X469" s="188"/>
      <c r="Y469" s="191"/>
      <c r="Z469" s="190"/>
      <c r="AA469" s="188"/>
      <c r="AB469" s="191"/>
      <c r="AC469" s="190"/>
      <c r="AD469" s="188"/>
      <c r="AE469" s="191"/>
      <c r="AF469" s="190"/>
      <c r="AG469" s="188"/>
      <c r="AH469" s="191"/>
      <c r="AI469" s="190"/>
      <c r="AJ469" s="188"/>
      <c r="AK469" s="191"/>
      <c r="AL469" s="190"/>
      <c r="AM469" s="188"/>
      <c r="AN469" s="191"/>
      <c r="AO469" s="190"/>
      <c r="AP469" s="40"/>
      <c r="AQ469" s="40"/>
      <c r="AR469" s="40"/>
      <c r="AS469" s="40"/>
      <c r="AT469" s="40"/>
      <c r="AU469" s="40"/>
      <c r="AV469" s="40"/>
      <c r="AW469" s="40"/>
      <c r="AX469" s="40"/>
      <c r="AY469" s="40"/>
      <c r="AZ469" s="40"/>
      <c r="BA469" s="40"/>
      <c r="BB469" s="40"/>
      <c r="BC469" s="40"/>
      <c r="BD469" s="40"/>
      <c r="BE469" s="40"/>
      <c r="BF469" s="40"/>
      <c r="BG469" s="40"/>
      <c r="BH469" s="40"/>
      <c r="BI469" s="40"/>
    </row>
    <row r="470" ht="15.75" customHeight="1">
      <c r="A470" s="41" t="str">
        <f t="shared" si="8"/>
        <v/>
      </c>
      <c r="B470" s="96"/>
      <c r="C470" s="96"/>
      <c r="D470" s="181"/>
      <c r="E470" s="197"/>
      <c r="F470" s="96"/>
      <c r="G470" s="181"/>
      <c r="H470" s="197"/>
      <c r="I470" s="96"/>
      <c r="J470" s="181"/>
      <c r="K470" s="197"/>
      <c r="L470" s="96"/>
      <c r="M470" s="181"/>
      <c r="N470" s="197"/>
      <c r="O470" s="96"/>
      <c r="P470" s="181"/>
      <c r="Q470" s="197"/>
      <c r="R470" s="96"/>
      <c r="S470" s="181"/>
      <c r="T470" s="197"/>
      <c r="U470" s="96"/>
      <c r="V470" s="181"/>
      <c r="W470" s="197"/>
      <c r="X470" s="96"/>
      <c r="Y470" s="181"/>
      <c r="Z470" s="197"/>
      <c r="AA470" s="96"/>
      <c r="AB470" s="181"/>
      <c r="AC470" s="197"/>
      <c r="AD470" s="96"/>
      <c r="AE470" s="181"/>
      <c r="AF470" s="197"/>
      <c r="AG470" s="96"/>
      <c r="AH470" s="181"/>
      <c r="AI470" s="197"/>
      <c r="AJ470" s="96"/>
      <c r="AK470" s="181"/>
      <c r="AL470" s="197"/>
      <c r="AM470" s="96"/>
      <c r="AN470" s="181"/>
      <c r="AO470" s="197"/>
      <c r="AP470" s="40"/>
      <c r="AQ470" s="40"/>
      <c r="AR470" s="40"/>
      <c r="AS470" s="40"/>
      <c r="AT470" s="40"/>
      <c r="AU470" s="40"/>
      <c r="AV470" s="40"/>
      <c r="AW470" s="40"/>
      <c r="AX470" s="40"/>
      <c r="AY470" s="40"/>
      <c r="AZ470" s="40"/>
      <c r="BA470" s="40"/>
      <c r="BB470" s="40"/>
      <c r="BC470" s="40"/>
      <c r="BD470" s="40"/>
      <c r="BE470" s="40"/>
      <c r="BF470" s="40"/>
      <c r="BG470" s="40"/>
      <c r="BH470" s="40"/>
      <c r="BI470" s="40"/>
    </row>
    <row r="471" ht="15.75" customHeight="1">
      <c r="A471" s="41" t="str">
        <f t="shared" si="8"/>
        <v>TOTAL DES DÉPENSES</v>
      </c>
      <c r="B471" s="187" t="s">
        <v>143</v>
      </c>
      <c r="C471" s="188"/>
      <c r="D471" s="191"/>
      <c r="E471" s="190"/>
      <c r="F471" s="188"/>
      <c r="G471" s="191"/>
      <c r="H471" s="190"/>
      <c r="I471" s="188"/>
      <c r="J471" s="191"/>
      <c r="K471" s="190"/>
      <c r="L471" s="188"/>
      <c r="M471" s="191"/>
      <c r="N471" s="190"/>
      <c r="O471" s="188"/>
      <c r="P471" s="191"/>
      <c r="Q471" s="190"/>
      <c r="R471" s="188"/>
      <c r="S471" s="191"/>
      <c r="T471" s="190"/>
      <c r="U471" s="188"/>
      <c r="V471" s="191"/>
      <c r="W471" s="190"/>
      <c r="X471" s="188"/>
      <c r="Y471" s="191"/>
      <c r="Z471" s="190"/>
      <c r="AA471" s="188"/>
      <c r="AB471" s="191"/>
      <c r="AC471" s="190"/>
      <c r="AD471" s="188"/>
      <c r="AE471" s="191"/>
      <c r="AF471" s="190"/>
      <c r="AG471" s="188"/>
      <c r="AH471" s="191"/>
      <c r="AI471" s="190"/>
      <c r="AJ471" s="188"/>
      <c r="AK471" s="191"/>
      <c r="AL471" s="190"/>
      <c r="AM471" s="188"/>
      <c r="AN471" s="191"/>
      <c r="AO471" s="190"/>
      <c r="AP471" s="40"/>
      <c r="AQ471" s="40"/>
      <c r="AR471" s="40"/>
      <c r="AS471" s="40"/>
      <c r="AT471" s="40"/>
      <c r="AU471" s="40"/>
      <c r="AV471" s="40"/>
      <c r="AW471" s="40"/>
      <c r="AX471" s="40"/>
      <c r="AY471" s="40"/>
      <c r="AZ471" s="40"/>
      <c r="BA471" s="40"/>
      <c r="BB471" s="40"/>
      <c r="BC471" s="40"/>
      <c r="BD471" s="40"/>
      <c r="BE471" s="40"/>
      <c r="BF471" s="40"/>
      <c r="BG471" s="40"/>
      <c r="BH471" s="40"/>
      <c r="BI471" s="40"/>
    </row>
    <row r="472" ht="18.0" customHeight="1">
      <c r="A472" s="41" t="str">
        <f t="shared" si="8"/>
        <v>Revenus autres</v>
      </c>
      <c r="B472" s="96" t="s">
        <v>210</v>
      </c>
      <c r="C472" s="198"/>
      <c r="D472" s="199"/>
      <c r="E472" s="196"/>
      <c r="F472" s="198"/>
      <c r="G472" s="199"/>
      <c r="H472" s="196"/>
      <c r="I472" s="198"/>
      <c r="J472" s="199"/>
      <c r="K472" s="196"/>
      <c r="L472" s="198"/>
      <c r="M472" s="199"/>
      <c r="N472" s="196"/>
      <c r="O472" s="198"/>
      <c r="P472" s="199"/>
      <c r="Q472" s="196"/>
      <c r="R472" s="198"/>
      <c r="S472" s="199"/>
      <c r="T472" s="196"/>
      <c r="U472" s="198"/>
      <c r="V472" s="199"/>
      <c r="W472" s="196"/>
      <c r="X472" s="198"/>
      <c r="Y472" s="199"/>
      <c r="Z472" s="196"/>
      <c r="AA472" s="198"/>
      <c r="AB472" s="199"/>
      <c r="AC472" s="196"/>
      <c r="AD472" s="198"/>
      <c r="AE472" s="199"/>
      <c r="AF472" s="196"/>
      <c r="AG472" s="198"/>
      <c r="AH472" s="199"/>
      <c r="AI472" s="196"/>
      <c r="AJ472" s="198"/>
      <c r="AK472" s="199"/>
      <c r="AL472" s="196"/>
      <c r="AM472" s="198"/>
      <c r="AN472" s="199"/>
      <c r="AO472" s="196"/>
      <c r="AP472" s="40"/>
      <c r="AQ472" s="40"/>
      <c r="AR472" s="40"/>
      <c r="AS472" s="40"/>
      <c r="AT472" s="40"/>
      <c r="AU472" s="40"/>
      <c r="AV472" s="40"/>
      <c r="AW472" s="40"/>
      <c r="AX472" s="40"/>
      <c r="AY472" s="40"/>
      <c r="AZ472" s="40"/>
      <c r="BA472" s="40"/>
      <c r="BB472" s="40"/>
      <c r="BC472" s="40"/>
      <c r="BD472" s="40"/>
      <c r="BE472" s="40"/>
      <c r="BF472" s="40"/>
      <c r="BG472" s="40"/>
      <c r="BH472" s="40"/>
      <c r="BI472" s="40"/>
    </row>
    <row r="473" ht="18.0" customHeight="1">
      <c r="A473" s="41" t="str">
        <f t="shared" si="8"/>
        <v>Holdbacks</v>
      </c>
      <c r="B473" s="96" t="s">
        <v>147</v>
      </c>
      <c r="C473" s="200"/>
      <c r="D473" s="201"/>
      <c r="E473" s="182"/>
      <c r="F473" s="200"/>
      <c r="G473" s="201"/>
      <c r="H473" s="182"/>
      <c r="I473" s="200"/>
      <c r="J473" s="201"/>
      <c r="K473" s="182"/>
      <c r="L473" s="200"/>
      <c r="M473" s="201"/>
      <c r="N473" s="182"/>
      <c r="O473" s="200"/>
      <c r="P473" s="201"/>
      <c r="Q473" s="182"/>
      <c r="R473" s="200"/>
      <c r="S473" s="201"/>
      <c r="T473" s="182"/>
      <c r="U473" s="200"/>
      <c r="V473" s="201"/>
      <c r="W473" s="182"/>
      <c r="X473" s="200"/>
      <c r="Y473" s="201"/>
      <c r="Z473" s="182"/>
      <c r="AA473" s="200"/>
      <c r="AB473" s="201"/>
      <c r="AC473" s="182"/>
      <c r="AD473" s="200"/>
      <c r="AE473" s="201"/>
      <c r="AF473" s="182"/>
      <c r="AG473" s="200"/>
      <c r="AH473" s="201"/>
      <c r="AI473" s="182"/>
      <c r="AJ473" s="200"/>
      <c r="AK473" s="201"/>
      <c r="AL473" s="182"/>
      <c r="AM473" s="200"/>
      <c r="AN473" s="201"/>
      <c r="AO473" s="182"/>
      <c r="AP473" s="40"/>
      <c r="AQ473" s="40"/>
      <c r="AR473" s="40"/>
      <c r="AS473" s="40"/>
      <c r="AT473" s="40"/>
      <c r="AU473" s="40"/>
      <c r="AV473" s="40"/>
      <c r="AW473" s="40"/>
      <c r="AX473" s="40"/>
      <c r="AY473" s="40"/>
      <c r="AZ473" s="40"/>
      <c r="BA473" s="40"/>
      <c r="BB473" s="40"/>
      <c r="BC473" s="40"/>
      <c r="BD473" s="40"/>
      <c r="BE473" s="40"/>
      <c r="BF473" s="40"/>
      <c r="BG473" s="40"/>
      <c r="BH473" s="40"/>
      <c r="BI473" s="40"/>
    </row>
    <row r="474" ht="18.0" customHeight="1">
      <c r="A474" s="41" t="str">
        <f t="shared" si="8"/>
        <v>Programme neuf 1</v>
      </c>
      <c r="B474" s="96" t="s">
        <v>144</v>
      </c>
      <c r="C474" s="200"/>
      <c r="D474" s="201"/>
      <c r="E474" s="182"/>
      <c r="F474" s="200"/>
      <c r="G474" s="201"/>
      <c r="H474" s="182"/>
      <c r="I474" s="200"/>
      <c r="J474" s="201"/>
      <c r="K474" s="182"/>
      <c r="L474" s="200"/>
      <c r="M474" s="201"/>
      <c r="N474" s="182"/>
      <c r="O474" s="200"/>
      <c r="P474" s="201"/>
      <c r="Q474" s="182"/>
      <c r="R474" s="200"/>
      <c r="S474" s="201"/>
      <c r="T474" s="182"/>
      <c r="U474" s="200"/>
      <c r="V474" s="201"/>
      <c r="W474" s="182"/>
      <c r="X474" s="200"/>
      <c r="Y474" s="201"/>
      <c r="Z474" s="182"/>
      <c r="AA474" s="200"/>
      <c r="AB474" s="201"/>
      <c r="AC474" s="182"/>
      <c r="AD474" s="200"/>
      <c r="AE474" s="201"/>
      <c r="AF474" s="182"/>
      <c r="AG474" s="200"/>
      <c r="AH474" s="201"/>
      <c r="AI474" s="182"/>
      <c r="AJ474" s="200"/>
      <c r="AK474" s="201"/>
      <c r="AL474" s="182"/>
      <c r="AM474" s="200"/>
      <c r="AN474" s="201"/>
      <c r="AO474" s="182"/>
      <c r="AP474" s="40"/>
      <c r="AQ474" s="40"/>
      <c r="AR474" s="40"/>
      <c r="AS474" s="40"/>
      <c r="AT474" s="40"/>
      <c r="AU474" s="40"/>
      <c r="AV474" s="40"/>
      <c r="AW474" s="40"/>
      <c r="AX474" s="40"/>
      <c r="AY474" s="40"/>
      <c r="AZ474" s="40"/>
      <c r="BA474" s="40"/>
      <c r="BB474" s="40"/>
      <c r="BC474" s="40"/>
      <c r="BD474" s="40"/>
      <c r="BE474" s="40"/>
      <c r="BF474" s="40"/>
      <c r="BG474" s="40"/>
      <c r="BH474" s="40"/>
      <c r="BI474" s="40"/>
    </row>
    <row r="475" ht="18.0" customHeight="1">
      <c r="A475" s="41" t="str">
        <f t="shared" si="8"/>
        <v>Programme neuf 2</v>
      </c>
      <c r="B475" s="96" t="s">
        <v>145</v>
      </c>
      <c r="C475" s="200"/>
      <c r="D475" s="201"/>
      <c r="E475" s="182"/>
      <c r="F475" s="200"/>
      <c r="G475" s="201"/>
      <c r="H475" s="182"/>
      <c r="I475" s="200"/>
      <c r="J475" s="201"/>
      <c r="K475" s="182"/>
      <c r="L475" s="200"/>
      <c r="M475" s="201"/>
      <c r="N475" s="182"/>
      <c r="O475" s="200"/>
      <c r="P475" s="201"/>
      <c r="Q475" s="182"/>
      <c r="R475" s="200"/>
      <c r="S475" s="201"/>
      <c r="T475" s="182"/>
      <c r="U475" s="200"/>
      <c r="V475" s="201"/>
      <c r="W475" s="182"/>
      <c r="X475" s="200"/>
      <c r="Y475" s="201"/>
      <c r="Z475" s="182"/>
      <c r="AA475" s="200"/>
      <c r="AB475" s="201"/>
      <c r="AC475" s="182"/>
      <c r="AD475" s="200"/>
      <c r="AE475" s="201"/>
      <c r="AF475" s="182"/>
      <c r="AG475" s="200"/>
      <c r="AH475" s="201"/>
      <c r="AI475" s="182"/>
      <c r="AJ475" s="200"/>
      <c r="AK475" s="201"/>
      <c r="AL475" s="182"/>
      <c r="AM475" s="200"/>
      <c r="AN475" s="201"/>
      <c r="AO475" s="182"/>
      <c r="AP475" s="40"/>
      <c r="AQ475" s="40"/>
      <c r="AR475" s="40"/>
      <c r="AS475" s="40"/>
      <c r="AT475" s="40"/>
      <c r="AU475" s="40"/>
      <c r="AV475" s="40"/>
      <c r="AW475" s="40"/>
      <c r="AX475" s="40"/>
      <c r="AY475" s="40"/>
      <c r="AZ475" s="40"/>
      <c r="BA475" s="40"/>
      <c r="BB475" s="40"/>
      <c r="BC475" s="40"/>
      <c r="BD475" s="40"/>
      <c r="BE475" s="40"/>
      <c r="BF475" s="40"/>
      <c r="BG475" s="40"/>
      <c r="BH475" s="40"/>
      <c r="BI475" s="40"/>
    </row>
    <row r="476" ht="18.0" customHeight="1">
      <c r="A476" s="41" t="str">
        <f t="shared" si="8"/>
        <v>Programme neuf 3</v>
      </c>
      <c r="B476" s="96" t="s">
        <v>146</v>
      </c>
      <c r="C476" s="200"/>
      <c r="D476" s="201"/>
      <c r="E476" s="182"/>
      <c r="F476" s="200"/>
      <c r="G476" s="201"/>
      <c r="H476" s="182"/>
      <c r="I476" s="200"/>
      <c r="J476" s="201"/>
      <c r="K476" s="182"/>
      <c r="L476" s="200"/>
      <c r="M476" s="201"/>
      <c r="N476" s="182"/>
      <c r="O476" s="200"/>
      <c r="P476" s="201"/>
      <c r="Q476" s="182"/>
      <c r="R476" s="200"/>
      <c r="S476" s="201"/>
      <c r="T476" s="182"/>
      <c r="U476" s="200"/>
      <c r="V476" s="201"/>
      <c r="W476" s="182"/>
      <c r="X476" s="200"/>
      <c r="Y476" s="201"/>
      <c r="Z476" s="182"/>
      <c r="AA476" s="200"/>
      <c r="AB476" s="201"/>
      <c r="AC476" s="182"/>
      <c r="AD476" s="200"/>
      <c r="AE476" s="201"/>
      <c r="AF476" s="182"/>
      <c r="AG476" s="200"/>
      <c r="AH476" s="201"/>
      <c r="AI476" s="182"/>
      <c r="AJ476" s="200"/>
      <c r="AK476" s="201"/>
      <c r="AL476" s="182"/>
      <c r="AM476" s="200"/>
      <c r="AN476" s="201"/>
      <c r="AO476" s="182"/>
      <c r="AP476" s="40"/>
      <c r="AQ476" s="40"/>
      <c r="AR476" s="40"/>
      <c r="AS476" s="40"/>
      <c r="AT476" s="40"/>
      <c r="AU476" s="40"/>
      <c r="AV476" s="40"/>
      <c r="AW476" s="40"/>
      <c r="AX476" s="40"/>
      <c r="AY476" s="40"/>
      <c r="AZ476" s="40"/>
      <c r="BA476" s="40"/>
      <c r="BB476" s="40"/>
      <c r="BC476" s="40"/>
      <c r="BD476" s="40"/>
      <c r="BE476" s="40"/>
      <c r="BF476" s="40"/>
      <c r="BG476" s="40"/>
      <c r="BH476" s="40"/>
      <c r="BI476" s="40"/>
    </row>
    <row r="477" ht="18.0" customHeight="1">
      <c r="A477" s="41" t="str">
        <f t="shared" si="8"/>
        <v>Programme used 1</v>
      </c>
      <c r="B477" s="96" t="s">
        <v>158</v>
      </c>
      <c r="C477" s="200"/>
      <c r="D477" s="201"/>
      <c r="E477" s="182"/>
      <c r="F477" s="200"/>
      <c r="G477" s="201"/>
      <c r="H477" s="182"/>
      <c r="I477" s="200"/>
      <c r="J477" s="201"/>
      <c r="K477" s="182"/>
      <c r="L477" s="200"/>
      <c r="M477" s="201"/>
      <c r="N477" s="182"/>
      <c r="O477" s="200"/>
      <c r="P477" s="201"/>
      <c r="Q477" s="182"/>
      <c r="R477" s="200"/>
      <c r="S477" s="201"/>
      <c r="T477" s="182"/>
      <c r="U477" s="200"/>
      <c r="V477" s="201"/>
      <c r="W477" s="182"/>
      <c r="X477" s="200"/>
      <c r="Y477" s="201"/>
      <c r="Z477" s="182"/>
      <c r="AA477" s="200"/>
      <c r="AB477" s="201"/>
      <c r="AC477" s="182"/>
      <c r="AD477" s="200"/>
      <c r="AE477" s="201"/>
      <c r="AF477" s="182"/>
      <c r="AG477" s="200"/>
      <c r="AH477" s="201"/>
      <c r="AI477" s="182"/>
      <c r="AJ477" s="200"/>
      <c r="AK477" s="201"/>
      <c r="AL477" s="182"/>
      <c r="AM477" s="200"/>
      <c r="AN477" s="201"/>
      <c r="AO477" s="182"/>
      <c r="AP477" s="40"/>
      <c r="AQ477" s="40"/>
      <c r="AR477" s="40"/>
      <c r="AS477" s="40"/>
      <c r="AT477" s="40"/>
      <c r="AU477" s="40"/>
      <c r="AV477" s="40"/>
      <c r="AW477" s="40"/>
      <c r="AX477" s="40"/>
      <c r="AY477" s="40"/>
      <c r="AZ477" s="40"/>
      <c r="BA477" s="40"/>
      <c r="BB477" s="40"/>
      <c r="BC477" s="40"/>
      <c r="BD477" s="40"/>
      <c r="BE477" s="40"/>
      <c r="BF477" s="40"/>
      <c r="BG477" s="40"/>
      <c r="BH477" s="40"/>
      <c r="BI477" s="40"/>
    </row>
    <row r="478" ht="18.0" customHeight="1">
      <c r="A478" s="41" t="str">
        <f t="shared" si="8"/>
        <v>Programme used 2</v>
      </c>
      <c r="B478" s="96" t="s">
        <v>159</v>
      </c>
      <c r="C478" s="200"/>
      <c r="D478" s="201"/>
      <c r="E478" s="182"/>
      <c r="F478" s="200"/>
      <c r="G478" s="201"/>
      <c r="H478" s="182"/>
      <c r="I478" s="200"/>
      <c r="J478" s="201"/>
      <c r="K478" s="182"/>
      <c r="L478" s="200"/>
      <c r="M478" s="201"/>
      <c r="N478" s="182"/>
      <c r="O478" s="200"/>
      <c r="P478" s="201"/>
      <c r="Q478" s="182"/>
      <c r="R478" s="200"/>
      <c r="S478" s="201"/>
      <c r="T478" s="182"/>
      <c r="U478" s="200"/>
      <c r="V478" s="201"/>
      <c r="W478" s="182"/>
      <c r="X478" s="200"/>
      <c r="Y478" s="201"/>
      <c r="Z478" s="182"/>
      <c r="AA478" s="200"/>
      <c r="AB478" s="201"/>
      <c r="AC478" s="182"/>
      <c r="AD478" s="200"/>
      <c r="AE478" s="201"/>
      <c r="AF478" s="182"/>
      <c r="AG478" s="200"/>
      <c r="AH478" s="201"/>
      <c r="AI478" s="182"/>
      <c r="AJ478" s="200"/>
      <c r="AK478" s="201"/>
      <c r="AL478" s="182"/>
      <c r="AM478" s="200"/>
      <c r="AN478" s="201"/>
      <c r="AO478" s="182"/>
      <c r="AP478" s="40"/>
      <c r="AQ478" s="40"/>
      <c r="AR478" s="40"/>
      <c r="AS478" s="40"/>
      <c r="AT478" s="40"/>
      <c r="AU478" s="40"/>
      <c r="AV478" s="40"/>
      <c r="AW478" s="40"/>
      <c r="AX478" s="40"/>
      <c r="AY478" s="40"/>
      <c r="AZ478" s="40"/>
      <c r="BA478" s="40"/>
      <c r="BB478" s="40"/>
      <c r="BC478" s="40"/>
      <c r="BD478" s="40"/>
      <c r="BE478" s="40"/>
      <c r="BF478" s="40"/>
      <c r="BG478" s="40"/>
      <c r="BH478" s="40"/>
      <c r="BI478" s="40"/>
    </row>
    <row r="479" ht="18.0" customHeight="1">
      <c r="A479" s="41" t="str">
        <f t="shared" si="8"/>
        <v>Programme used 3</v>
      </c>
      <c r="B479" s="96" t="s">
        <v>160</v>
      </c>
      <c r="C479" s="200"/>
      <c r="D479" s="201"/>
      <c r="E479" s="182"/>
      <c r="F479" s="200"/>
      <c r="G479" s="201"/>
      <c r="H479" s="182"/>
      <c r="I479" s="200"/>
      <c r="J479" s="201"/>
      <c r="K479" s="182"/>
      <c r="L479" s="200"/>
      <c r="M479" s="201"/>
      <c r="N479" s="182"/>
      <c r="O479" s="200"/>
      <c r="P479" s="201"/>
      <c r="Q479" s="182"/>
      <c r="R479" s="200"/>
      <c r="S479" s="201"/>
      <c r="T479" s="182"/>
      <c r="U479" s="200"/>
      <c r="V479" s="201"/>
      <c r="W479" s="182"/>
      <c r="X479" s="200"/>
      <c r="Y479" s="201"/>
      <c r="Z479" s="182"/>
      <c r="AA479" s="200"/>
      <c r="AB479" s="201"/>
      <c r="AC479" s="182"/>
      <c r="AD479" s="200"/>
      <c r="AE479" s="201"/>
      <c r="AF479" s="182"/>
      <c r="AG479" s="200"/>
      <c r="AH479" s="201"/>
      <c r="AI479" s="182"/>
      <c r="AJ479" s="200"/>
      <c r="AK479" s="201"/>
      <c r="AL479" s="182"/>
      <c r="AM479" s="200"/>
      <c r="AN479" s="201"/>
      <c r="AO479" s="182"/>
      <c r="AP479" s="40"/>
      <c r="AQ479" s="40"/>
      <c r="AR479" s="40"/>
      <c r="AS479" s="40"/>
      <c r="AT479" s="40"/>
      <c r="AU479" s="40"/>
      <c r="AV479" s="40"/>
      <c r="AW479" s="40"/>
      <c r="AX479" s="40"/>
      <c r="AY479" s="40"/>
      <c r="AZ479" s="40"/>
      <c r="BA479" s="40"/>
      <c r="BB479" s="40"/>
      <c r="BC479" s="40"/>
      <c r="BD479" s="40"/>
      <c r="BE479" s="40"/>
      <c r="BF479" s="40"/>
      <c r="BG479" s="40"/>
      <c r="BH479" s="40"/>
      <c r="BI479" s="40"/>
    </row>
    <row r="480" ht="18.0" customHeight="1">
      <c r="A480" s="41" t="str">
        <f t="shared" si="8"/>
        <v>[...]</v>
      </c>
      <c r="B480" s="57" t="s">
        <v>56</v>
      </c>
      <c r="C480" s="200"/>
      <c r="D480" s="201"/>
      <c r="E480" s="182"/>
      <c r="F480" s="200"/>
      <c r="G480" s="201"/>
      <c r="H480" s="182"/>
      <c r="I480" s="200"/>
      <c r="J480" s="201"/>
      <c r="K480" s="182"/>
      <c r="L480" s="200"/>
      <c r="M480" s="201"/>
      <c r="N480" s="182"/>
      <c r="O480" s="200"/>
      <c r="P480" s="201"/>
      <c r="Q480" s="182"/>
      <c r="R480" s="200"/>
      <c r="S480" s="201"/>
      <c r="T480" s="182"/>
      <c r="U480" s="200"/>
      <c r="V480" s="201"/>
      <c r="W480" s="182"/>
      <c r="X480" s="200"/>
      <c r="Y480" s="201"/>
      <c r="Z480" s="182"/>
      <c r="AA480" s="200"/>
      <c r="AB480" s="201"/>
      <c r="AC480" s="182"/>
      <c r="AD480" s="200"/>
      <c r="AE480" s="201"/>
      <c r="AF480" s="182"/>
      <c r="AG480" s="200"/>
      <c r="AH480" s="201"/>
      <c r="AI480" s="182"/>
      <c r="AJ480" s="200"/>
      <c r="AK480" s="201"/>
      <c r="AL480" s="182"/>
      <c r="AM480" s="200"/>
      <c r="AN480" s="201"/>
      <c r="AO480" s="182"/>
      <c r="AP480" s="40"/>
      <c r="AQ480" s="40"/>
      <c r="AR480" s="40"/>
      <c r="AS480" s="40"/>
      <c r="AT480" s="40"/>
      <c r="AU480" s="40"/>
      <c r="AV480" s="40"/>
      <c r="AW480" s="40"/>
      <c r="AX480" s="40"/>
      <c r="AY480" s="40"/>
      <c r="AZ480" s="40"/>
      <c r="BA480" s="40"/>
      <c r="BB480" s="40"/>
      <c r="BC480" s="40"/>
      <c r="BD480" s="40"/>
      <c r="BE480" s="40"/>
      <c r="BF480" s="40"/>
      <c r="BG480" s="40"/>
      <c r="BH480" s="40"/>
      <c r="BI480" s="40"/>
    </row>
    <row r="481" ht="18.0" customHeight="1">
      <c r="A481" s="41" t="str">
        <f t="shared" si="8"/>
        <v>[...]</v>
      </c>
      <c r="B481" s="57" t="s">
        <v>56</v>
      </c>
      <c r="C481" s="200"/>
      <c r="D481" s="201"/>
      <c r="E481" s="182"/>
      <c r="F481" s="200"/>
      <c r="G481" s="201"/>
      <c r="H481" s="182"/>
      <c r="I481" s="200"/>
      <c r="J481" s="201"/>
      <c r="K481" s="182"/>
      <c r="L481" s="200"/>
      <c r="M481" s="201"/>
      <c r="N481" s="182"/>
      <c r="O481" s="200"/>
      <c r="P481" s="201"/>
      <c r="Q481" s="182"/>
      <c r="R481" s="200"/>
      <c r="S481" s="201"/>
      <c r="T481" s="182"/>
      <c r="U481" s="200"/>
      <c r="V481" s="201"/>
      <c r="W481" s="182"/>
      <c r="X481" s="200"/>
      <c r="Y481" s="201"/>
      <c r="Z481" s="182"/>
      <c r="AA481" s="200"/>
      <c r="AB481" s="201"/>
      <c r="AC481" s="182"/>
      <c r="AD481" s="200"/>
      <c r="AE481" s="201"/>
      <c r="AF481" s="182"/>
      <c r="AG481" s="200"/>
      <c r="AH481" s="201"/>
      <c r="AI481" s="182"/>
      <c r="AJ481" s="200"/>
      <c r="AK481" s="201"/>
      <c r="AL481" s="182"/>
      <c r="AM481" s="200"/>
      <c r="AN481" s="201"/>
      <c r="AO481" s="182"/>
      <c r="AP481" s="40"/>
      <c r="AQ481" s="40"/>
      <c r="AR481" s="40"/>
      <c r="AS481" s="40"/>
      <c r="AT481" s="40"/>
      <c r="AU481" s="40"/>
      <c r="AV481" s="40"/>
      <c r="AW481" s="40"/>
      <c r="AX481" s="40"/>
      <c r="AY481" s="40"/>
      <c r="AZ481" s="40"/>
      <c r="BA481" s="40"/>
      <c r="BB481" s="40"/>
      <c r="BC481" s="40"/>
      <c r="BD481" s="40"/>
      <c r="BE481" s="40"/>
      <c r="BF481" s="40"/>
      <c r="BG481" s="40"/>
      <c r="BH481" s="40"/>
      <c r="BI481" s="40"/>
    </row>
    <row r="482" ht="18.0" customHeight="1">
      <c r="A482" s="41" t="str">
        <f t="shared" si="8"/>
        <v>[...]</v>
      </c>
      <c r="B482" s="57" t="s">
        <v>56</v>
      </c>
      <c r="C482" s="200"/>
      <c r="D482" s="201"/>
      <c r="E482" s="182"/>
      <c r="F482" s="200"/>
      <c r="G482" s="201"/>
      <c r="H482" s="182"/>
      <c r="I482" s="200"/>
      <c r="J482" s="201"/>
      <c r="K482" s="182"/>
      <c r="L482" s="200"/>
      <c r="M482" s="201"/>
      <c r="N482" s="182"/>
      <c r="O482" s="200"/>
      <c r="P482" s="201"/>
      <c r="Q482" s="182"/>
      <c r="R482" s="200"/>
      <c r="S482" s="201"/>
      <c r="T482" s="182"/>
      <c r="U482" s="200"/>
      <c r="V482" s="201"/>
      <c r="W482" s="182"/>
      <c r="X482" s="200"/>
      <c r="Y482" s="201"/>
      <c r="Z482" s="182"/>
      <c r="AA482" s="200"/>
      <c r="AB482" s="201"/>
      <c r="AC482" s="182"/>
      <c r="AD482" s="200"/>
      <c r="AE482" s="201"/>
      <c r="AF482" s="182"/>
      <c r="AG482" s="200"/>
      <c r="AH482" s="201"/>
      <c r="AI482" s="182"/>
      <c r="AJ482" s="200"/>
      <c r="AK482" s="201"/>
      <c r="AL482" s="182"/>
      <c r="AM482" s="200"/>
      <c r="AN482" s="201"/>
      <c r="AO482" s="182"/>
      <c r="AP482" s="40"/>
      <c r="AQ482" s="40"/>
      <c r="AR482" s="40"/>
      <c r="AS482" s="40"/>
      <c r="AT482" s="40"/>
      <c r="AU482" s="40"/>
      <c r="AV482" s="40"/>
      <c r="AW482" s="40"/>
      <c r="AX482" s="40"/>
      <c r="AY482" s="40"/>
      <c r="AZ482" s="40"/>
      <c r="BA482" s="40"/>
      <c r="BB482" s="40"/>
      <c r="BC482" s="40"/>
      <c r="BD482" s="40"/>
      <c r="BE482" s="40"/>
      <c r="BF482" s="40"/>
      <c r="BG482" s="40"/>
      <c r="BH482" s="40"/>
      <c r="BI482" s="40"/>
    </row>
    <row r="483" ht="18.0" customHeight="1">
      <c r="A483" s="41" t="str">
        <f t="shared" si="8"/>
        <v>Frais administration</v>
      </c>
      <c r="B483" s="97" t="s">
        <v>148</v>
      </c>
      <c r="C483" s="202"/>
      <c r="D483" s="201"/>
      <c r="E483" s="182"/>
      <c r="F483" s="202"/>
      <c r="G483" s="201"/>
      <c r="H483" s="182"/>
      <c r="I483" s="202"/>
      <c r="J483" s="201"/>
      <c r="K483" s="182"/>
      <c r="L483" s="202"/>
      <c r="M483" s="201"/>
      <c r="N483" s="182"/>
      <c r="O483" s="202"/>
      <c r="P483" s="201"/>
      <c r="Q483" s="182"/>
      <c r="R483" s="202"/>
      <c r="S483" s="201"/>
      <c r="T483" s="182"/>
      <c r="U483" s="202"/>
      <c r="V483" s="201"/>
      <c r="W483" s="182"/>
      <c r="X483" s="202"/>
      <c r="Y483" s="201"/>
      <c r="Z483" s="182"/>
      <c r="AA483" s="202"/>
      <c r="AB483" s="201"/>
      <c r="AC483" s="182"/>
      <c r="AD483" s="202"/>
      <c r="AE483" s="201"/>
      <c r="AF483" s="182"/>
      <c r="AG483" s="202"/>
      <c r="AH483" s="201"/>
      <c r="AI483" s="182"/>
      <c r="AJ483" s="202"/>
      <c r="AK483" s="201"/>
      <c r="AL483" s="182"/>
      <c r="AM483" s="202"/>
      <c r="AN483" s="201"/>
      <c r="AO483" s="182"/>
      <c r="AP483" s="40"/>
      <c r="AQ483" s="40"/>
      <c r="AR483" s="40"/>
      <c r="AS483" s="40"/>
      <c r="AT483" s="40"/>
      <c r="AU483" s="40"/>
      <c r="AV483" s="40"/>
      <c r="AW483" s="40"/>
      <c r="AX483" s="40"/>
      <c r="AY483" s="40"/>
      <c r="AZ483" s="40"/>
      <c r="BA483" s="40"/>
      <c r="BB483" s="40"/>
      <c r="BC483" s="40"/>
      <c r="BD483" s="40"/>
      <c r="BE483" s="40"/>
      <c r="BF483" s="40"/>
      <c r="BG483" s="40"/>
      <c r="BH483" s="40"/>
      <c r="BI483" s="40"/>
    </row>
    <row r="484" ht="15.75" customHeight="1">
      <c r="A484" s="41" t="str">
        <f t="shared" si="8"/>
        <v>TOTAL AUTRES REVENUS</v>
      </c>
      <c r="B484" s="187" t="s">
        <v>211</v>
      </c>
      <c r="C484" s="188"/>
      <c r="D484" s="203"/>
      <c r="E484" s="190"/>
      <c r="F484" s="188"/>
      <c r="G484" s="203"/>
      <c r="H484" s="190"/>
      <c r="I484" s="188"/>
      <c r="J484" s="203"/>
      <c r="K484" s="190"/>
      <c r="L484" s="188"/>
      <c r="M484" s="203"/>
      <c r="N484" s="190"/>
      <c r="O484" s="188"/>
      <c r="P484" s="203"/>
      <c r="Q484" s="190"/>
      <c r="R484" s="188"/>
      <c r="S484" s="203"/>
      <c r="T484" s="190"/>
      <c r="U484" s="188"/>
      <c r="V484" s="203"/>
      <c r="W484" s="190"/>
      <c r="X484" s="188"/>
      <c r="Y484" s="203"/>
      <c r="Z484" s="190"/>
      <c r="AA484" s="188"/>
      <c r="AB484" s="203"/>
      <c r="AC484" s="190"/>
      <c r="AD484" s="188"/>
      <c r="AE484" s="203"/>
      <c r="AF484" s="190"/>
      <c r="AG484" s="188"/>
      <c r="AH484" s="203"/>
      <c r="AI484" s="190"/>
      <c r="AJ484" s="188"/>
      <c r="AK484" s="203"/>
      <c r="AL484" s="190"/>
      <c r="AM484" s="188"/>
      <c r="AN484" s="203"/>
      <c r="AO484" s="190"/>
      <c r="AP484" s="40"/>
      <c r="AQ484" s="40"/>
      <c r="AR484" s="40"/>
      <c r="AS484" s="40"/>
      <c r="AT484" s="40"/>
      <c r="AU484" s="40"/>
      <c r="AV484" s="40"/>
      <c r="AW484" s="40"/>
      <c r="AX484" s="40"/>
      <c r="AY484" s="40"/>
      <c r="AZ484" s="40"/>
      <c r="BA484" s="40"/>
      <c r="BB484" s="40"/>
      <c r="BC484" s="40"/>
      <c r="BD484" s="40"/>
      <c r="BE484" s="40"/>
      <c r="BF484" s="40"/>
      <c r="BG484" s="40"/>
      <c r="BH484" s="40"/>
      <c r="BI484" s="40"/>
    </row>
    <row r="485" ht="15.75" customHeight="1">
      <c r="A485" s="41" t="str">
        <f t="shared" si="8"/>
        <v/>
      </c>
      <c r="B485" s="204"/>
      <c r="C485" s="204"/>
      <c r="D485" s="205"/>
      <c r="E485" s="196"/>
      <c r="F485" s="204"/>
      <c r="G485" s="205"/>
      <c r="H485" s="196"/>
      <c r="I485" s="204"/>
      <c r="J485" s="205"/>
      <c r="K485" s="196"/>
      <c r="L485" s="204"/>
      <c r="M485" s="205"/>
      <c r="N485" s="196"/>
      <c r="O485" s="204"/>
      <c r="P485" s="205"/>
      <c r="Q485" s="196"/>
      <c r="R485" s="204"/>
      <c r="S485" s="205"/>
      <c r="T485" s="196"/>
      <c r="U485" s="204"/>
      <c r="V485" s="205"/>
      <c r="W485" s="196"/>
      <c r="X485" s="204"/>
      <c r="Y485" s="205"/>
      <c r="Z485" s="196"/>
      <c r="AA485" s="204"/>
      <c r="AB485" s="205"/>
      <c r="AC485" s="196"/>
      <c r="AD485" s="204"/>
      <c r="AE485" s="205"/>
      <c r="AF485" s="196"/>
      <c r="AG485" s="204"/>
      <c r="AH485" s="205"/>
      <c r="AI485" s="196"/>
      <c r="AJ485" s="204"/>
      <c r="AK485" s="205"/>
      <c r="AL485" s="196"/>
      <c r="AM485" s="204"/>
      <c r="AN485" s="205"/>
      <c r="AO485" s="196"/>
      <c r="AP485" s="40"/>
      <c r="AQ485" s="40"/>
      <c r="AR485" s="40"/>
      <c r="AS485" s="40"/>
      <c r="AT485" s="40"/>
      <c r="AU485" s="40"/>
      <c r="AV485" s="40"/>
      <c r="AW485" s="40"/>
      <c r="AX485" s="40"/>
      <c r="AY485" s="40"/>
      <c r="AZ485" s="40"/>
      <c r="BA485" s="40"/>
      <c r="BB485" s="40"/>
      <c r="BC485" s="40"/>
      <c r="BD485" s="40"/>
      <c r="BE485" s="40"/>
      <c r="BF485" s="40"/>
      <c r="BG485" s="40"/>
      <c r="BH485" s="40"/>
      <c r="BI485" s="40"/>
    </row>
    <row r="486" ht="15.75" customHeight="1">
      <c r="A486" s="41" t="str">
        <f t="shared" si="8"/>
        <v>BAIIA OPÉRATIONNEL</v>
      </c>
      <c r="B486" s="206" t="s">
        <v>212</v>
      </c>
      <c r="C486" s="207"/>
      <c r="D486" s="208"/>
      <c r="E486" s="209"/>
      <c r="F486" s="207"/>
      <c r="G486" s="208"/>
      <c r="H486" s="209"/>
      <c r="I486" s="207"/>
      <c r="J486" s="208"/>
      <c r="K486" s="209"/>
      <c r="L486" s="207"/>
      <c r="M486" s="208"/>
      <c r="N486" s="209"/>
      <c r="O486" s="207"/>
      <c r="P486" s="208"/>
      <c r="Q486" s="209"/>
      <c r="R486" s="207"/>
      <c r="S486" s="208"/>
      <c r="T486" s="209"/>
      <c r="U486" s="207"/>
      <c r="V486" s="208"/>
      <c r="W486" s="209"/>
      <c r="X486" s="207"/>
      <c r="Y486" s="208"/>
      <c r="Z486" s="209"/>
      <c r="AA486" s="207"/>
      <c r="AB486" s="208"/>
      <c r="AC486" s="209"/>
      <c r="AD486" s="207"/>
      <c r="AE486" s="208"/>
      <c r="AF486" s="209"/>
      <c r="AG486" s="207"/>
      <c r="AH486" s="208"/>
      <c r="AI486" s="209"/>
      <c r="AJ486" s="207"/>
      <c r="AK486" s="208"/>
      <c r="AL486" s="209"/>
      <c r="AM486" s="207"/>
      <c r="AN486" s="208"/>
      <c r="AO486" s="209"/>
      <c r="AP486" s="40"/>
      <c r="AQ486" s="40"/>
      <c r="AR486" s="40"/>
      <c r="AS486" s="40"/>
      <c r="AT486" s="40"/>
      <c r="AU486" s="40"/>
      <c r="AV486" s="40"/>
      <c r="AW486" s="40"/>
      <c r="AX486" s="40"/>
      <c r="AY486" s="40"/>
      <c r="AZ486" s="40"/>
      <c r="BA486" s="40"/>
      <c r="BB486" s="40"/>
      <c r="BC486" s="40"/>
      <c r="BD486" s="40"/>
      <c r="BE486" s="40"/>
      <c r="BF486" s="40"/>
      <c r="BG486" s="40"/>
      <c r="BH486" s="40"/>
      <c r="BI486" s="40"/>
    </row>
    <row r="487" ht="15.75" customHeight="1">
      <c r="A487" s="41"/>
      <c r="B487" s="112"/>
      <c r="C487" s="74"/>
      <c r="D487" s="74"/>
      <c r="E487" s="210"/>
      <c r="F487" s="74"/>
      <c r="G487" s="74"/>
      <c r="H487" s="210"/>
      <c r="I487" s="74"/>
      <c r="J487" s="74"/>
      <c r="K487" s="210"/>
      <c r="L487" s="74"/>
      <c r="M487" s="74"/>
      <c r="N487" s="210"/>
      <c r="O487" s="74"/>
      <c r="P487" s="74"/>
      <c r="Q487" s="210"/>
      <c r="R487" s="74"/>
      <c r="S487" s="74"/>
      <c r="T487" s="210"/>
      <c r="U487" s="74"/>
      <c r="V487" s="74"/>
      <c r="W487" s="210"/>
      <c r="X487" s="74"/>
      <c r="Y487" s="74"/>
      <c r="Z487" s="210"/>
      <c r="AA487" s="74"/>
      <c r="AB487" s="74"/>
      <c r="AC487" s="210"/>
      <c r="AD487" s="74"/>
      <c r="AE487" s="74"/>
      <c r="AF487" s="210"/>
      <c r="AG487" s="74"/>
      <c r="AH487" s="74"/>
      <c r="AI487" s="210"/>
      <c r="AJ487" s="74"/>
      <c r="AK487" s="74"/>
      <c r="AL487" s="210"/>
      <c r="AM487" s="74"/>
      <c r="AN487" s="74"/>
      <c r="AO487" s="210"/>
      <c r="AP487" s="40"/>
      <c r="AQ487" s="40"/>
      <c r="AR487" s="40"/>
      <c r="AS487" s="40"/>
      <c r="AT487" s="40"/>
      <c r="AU487" s="40"/>
      <c r="AV487" s="40"/>
      <c r="AW487" s="40"/>
      <c r="AX487" s="40"/>
      <c r="AY487" s="40"/>
      <c r="AZ487" s="40"/>
      <c r="BA487" s="40"/>
      <c r="BB487" s="40"/>
      <c r="BC487" s="40"/>
      <c r="BD487" s="40"/>
      <c r="BE487" s="40"/>
      <c r="BF487" s="40"/>
      <c r="BG487" s="40"/>
      <c r="BH487" s="40"/>
      <c r="BI487" s="40"/>
    </row>
    <row r="488" ht="15.75" customHeight="1">
      <c r="A488" s="41"/>
      <c r="B488" s="112" t="str">
        <f>B4</f>
        <v>Budget 2025</v>
      </c>
      <c r="C488" s="112" t="s">
        <v>213</v>
      </c>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c r="AG488" s="112"/>
      <c r="AH488" s="112"/>
      <c r="AI488" s="112"/>
      <c r="AJ488" s="112"/>
      <c r="AK488" s="112"/>
      <c r="AL488" s="112"/>
      <c r="AM488" s="112"/>
      <c r="AN488" s="112"/>
      <c r="AO488" s="112"/>
      <c r="AP488" s="40"/>
      <c r="AQ488" s="40"/>
      <c r="AR488" s="40"/>
      <c r="AS488" s="40"/>
      <c r="AT488" s="40"/>
      <c r="AU488" s="40"/>
      <c r="AV488" s="40"/>
      <c r="AW488" s="40"/>
      <c r="AX488" s="40"/>
      <c r="AY488" s="40"/>
      <c r="AZ488" s="40"/>
      <c r="BA488" s="40"/>
      <c r="BB488" s="40"/>
      <c r="BC488" s="40"/>
      <c r="BD488" s="40"/>
      <c r="BE488" s="40"/>
      <c r="BF488" s="40"/>
      <c r="BG488" s="40"/>
      <c r="BH488" s="40"/>
      <c r="BI488" s="40"/>
    </row>
    <row r="489" ht="15.75" customHeight="1">
      <c r="A489" s="41"/>
      <c r="B489" s="112"/>
      <c r="C489" s="74"/>
      <c r="D489" s="74"/>
      <c r="E489" s="210"/>
      <c r="F489" s="74"/>
      <c r="G489" s="74"/>
      <c r="H489" s="210"/>
      <c r="I489" s="74"/>
      <c r="J489" s="74"/>
      <c r="K489" s="210"/>
      <c r="L489" s="74"/>
      <c r="M489" s="74"/>
      <c r="N489" s="210"/>
      <c r="O489" s="74"/>
      <c r="P489" s="74"/>
      <c r="Q489" s="210"/>
      <c r="R489" s="74"/>
      <c r="S489" s="74"/>
      <c r="T489" s="210"/>
      <c r="U489" s="74"/>
      <c r="V489" s="74"/>
      <c r="W489" s="210"/>
      <c r="X489" s="74"/>
      <c r="Y489" s="74"/>
      <c r="Z489" s="210"/>
      <c r="AA489" s="74"/>
      <c r="AB489" s="74"/>
      <c r="AC489" s="210"/>
      <c r="AD489" s="74"/>
      <c r="AE489" s="74"/>
      <c r="AF489" s="210"/>
      <c r="AG489" s="74"/>
      <c r="AH489" s="74"/>
      <c r="AI489" s="210"/>
      <c r="AJ489" s="74"/>
      <c r="AK489" s="74"/>
      <c r="AL489" s="210"/>
      <c r="AM489" s="74"/>
      <c r="AN489" s="74"/>
      <c r="AO489" s="210"/>
      <c r="AP489" s="40"/>
      <c r="AQ489" s="40"/>
      <c r="AR489" s="40"/>
      <c r="AS489" s="40"/>
      <c r="AT489" s="40"/>
      <c r="AU489" s="40"/>
      <c r="AV489" s="40"/>
      <c r="AW489" s="40"/>
      <c r="AX489" s="40"/>
      <c r="AY489" s="40"/>
      <c r="AZ489" s="40"/>
      <c r="BA489" s="40"/>
      <c r="BB489" s="40"/>
      <c r="BC489" s="40"/>
      <c r="BD489" s="40"/>
      <c r="BE489" s="40"/>
      <c r="BF489" s="40"/>
      <c r="BG489" s="40"/>
      <c r="BH489" s="40"/>
      <c r="BI489" s="40"/>
    </row>
    <row r="490" ht="15.75" customHeight="1">
      <c r="A490" s="41"/>
      <c r="B490" s="112"/>
      <c r="C490" s="74"/>
      <c r="D490" s="74"/>
      <c r="E490" s="210"/>
      <c r="F490" s="74"/>
      <c r="G490" s="74"/>
      <c r="H490" s="210"/>
      <c r="I490" s="74"/>
      <c r="J490" s="74"/>
      <c r="K490" s="210"/>
      <c r="L490" s="74"/>
      <c r="M490" s="74"/>
      <c r="N490" s="210"/>
      <c r="O490" s="74"/>
      <c r="P490" s="74"/>
      <c r="Q490" s="210"/>
      <c r="R490" s="74"/>
      <c r="S490" s="74"/>
      <c r="T490" s="210"/>
      <c r="U490" s="74"/>
      <c r="V490" s="74"/>
      <c r="W490" s="210"/>
      <c r="X490" s="74"/>
      <c r="Y490" s="74"/>
      <c r="Z490" s="210"/>
      <c r="AA490" s="74"/>
      <c r="AB490" s="74"/>
      <c r="AC490" s="210"/>
      <c r="AD490" s="74"/>
      <c r="AE490" s="74"/>
      <c r="AF490" s="210"/>
      <c r="AG490" s="74"/>
      <c r="AH490" s="74"/>
      <c r="AI490" s="210"/>
      <c r="AJ490" s="74"/>
      <c r="AK490" s="74"/>
      <c r="AL490" s="210"/>
      <c r="AM490" s="74"/>
      <c r="AN490" s="74"/>
      <c r="AO490" s="210"/>
      <c r="AP490" s="40"/>
      <c r="AQ490" s="40"/>
      <c r="AR490" s="40"/>
      <c r="AS490" s="40"/>
      <c r="AT490" s="40"/>
      <c r="AU490" s="40"/>
      <c r="AV490" s="40"/>
      <c r="AW490" s="40"/>
      <c r="AX490" s="40"/>
      <c r="AY490" s="40"/>
      <c r="AZ490" s="40"/>
      <c r="BA490" s="40"/>
      <c r="BB490" s="40"/>
      <c r="BC490" s="40"/>
      <c r="BD490" s="40"/>
      <c r="BE490" s="40"/>
      <c r="BF490" s="40"/>
      <c r="BG490" s="40"/>
      <c r="BH490" s="40"/>
      <c r="BI490" s="40"/>
    </row>
    <row r="491" ht="15.75" customHeight="1">
      <c r="A491" s="41"/>
      <c r="B491" s="112"/>
      <c r="C491" s="74"/>
      <c r="D491" s="74"/>
      <c r="E491" s="210"/>
      <c r="F491" s="74"/>
      <c r="G491" s="74"/>
      <c r="H491" s="210"/>
      <c r="I491" s="74"/>
      <c r="J491" s="74"/>
      <c r="K491" s="210"/>
      <c r="L491" s="74"/>
      <c r="M491" s="74"/>
      <c r="N491" s="210"/>
      <c r="O491" s="74"/>
      <c r="P491" s="74"/>
      <c r="Q491" s="210"/>
      <c r="R491" s="74"/>
      <c r="S491" s="74"/>
      <c r="T491" s="210"/>
      <c r="U491" s="74"/>
      <c r="V491" s="74"/>
      <c r="W491" s="210"/>
      <c r="X491" s="74"/>
      <c r="Y491" s="74"/>
      <c r="Z491" s="210"/>
      <c r="AA491" s="74"/>
      <c r="AB491" s="74"/>
      <c r="AC491" s="210"/>
      <c r="AD491" s="74"/>
      <c r="AE491" s="74"/>
      <c r="AF491" s="210"/>
      <c r="AG491" s="74"/>
      <c r="AH491" s="74"/>
      <c r="AI491" s="210"/>
      <c r="AJ491" s="74"/>
      <c r="AK491" s="74"/>
      <c r="AL491" s="210"/>
      <c r="AM491" s="74"/>
      <c r="AN491" s="74"/>
      <c r="AO491" s="210"/>
      <c r="AP491" s="40"/>
      <c r="AQ491" s="40"/>
      <c r="AR491" s="40"/>
      <c r="AS491" s="40"/>
      <c r="AT491" s="40"/>
      <c r="AU491" s="40"/>
      <c r="AV491" s="40"/>
      <c r="AW491" s="40"/>
      <c r="AX491" s="40"/>
      <c r="AY491" s="40"/>
      <c r="AZ491" s="40"/>
      <c r="BA491" s="40"/>
      <c r="BB491" s="40"/>
      <c r="BC491" s="40"/>
      <c r="BD491" s="40"/>
      <c r="BE491" s="40"/>
      <c r="BF491" s="40"/>
      <c r="BG491" s="40"/>
      <c r="BH491" s="40"/>
      <c r="BI491" s="40"/>
    </row>
    <row r="492" ht="15.75" customHeight="1">
      <c r="A492" s="41"/>
      <c r="B492" s="211" t="s">
        <v>212</v>
      </c>
      <c r="C492" s="212"/>
      <c r="D492" s="213"/>
      <c r="E492" s="214"/>
      <c r="F492" s="215"/>
      <c r="G492" s="213"/>
      <c r="H492" s="216"/>
      <c r="I492" s="215"/>
      <c r="J492" s="213"/>
      <c r="K492" s="216"/>
      <c r="L492" s="215"/>
      <c r="M492" s="213"/>
      <c r="N492" s="216"/>
      <c r="O492" s="215"/>
      <c r="P492" s="213"/>
      <c r="Q492" s="216"/>
      <c r="R492" s="215"/>
      <c r="S492" s="213"/>
      <c r="T492" s="216"/>
      <c r="U492" s="215"/>
      <c r="V492" s="213"/>
      <c r="W492" s="216"/>
      <c r="X492" s="215"/>
      <c r="Y492" s="213"/>
      <c r="Z492" s="216"/>
      <c r="AA492" s="215"/>
      <c r="AB492" s="213"/>
      <c r="AC492" s="216"/>
      <c r="AD492" s="215"/>
      <c r="AE492" s="213"/>
      <c r="AF492" s="216"/>
      <c r="AG492" s="215"/>
      <c r="AH492" s="213"/>
      <c r="AI492" s="216"/>
      <c r="AJ492" s="215"/>
      <c r="AK492" s="213"/>
      <c r="AL492" s="216"/>
      <c r="AM492" s="215"/>
      <c r="AN492" s="213"/>
      <c r="AO492" s="216"/>
      <c r="AP492" s="40"/>
      <c r="AQ492" s="40"/>
      <c r="AR492" s="40"/>
      <c r="AS492" s="40"/>
      <c r="AT492" s="40"/>
      <c r="AU492" s="40"/>
      <c r="AV492" s="40"/>
      <c r="AW492" s="40"/>
      <c r="AX492" s="40"/>
      <c r="AY492" s="40"/>
      <c r="AZ492" s="40"/>
      <c r="BA492" s="40"/>
      <c r="BB492" s="40"/>
      <c r="BC492" s="40"/>
      <c r="BD492" s="40"/>
      <c r="BE492" s="40"/>
      <c r="BF492" s="40"/>
      <c r="BG492" s="40"/>
      <c r="BH492" s="40"/>
      <c r="BI492" s="40"/>
    </row>
    <row r="493" ht="15.75" customHeight="1">
      <c r="A493" s="41"/>
      <c r="B493" s="217"/>
      <c r="C493" s="111"/>
      <c r="D493" s="111"/>
      <c r="E493" s="111"/>
      <c r="F493" s="218"/>
      <c r="G493" s="111"/>
      <c r="H493" s="219"/>
      <c r="I493" s="218"/>
      <c r="J493" s="111"/>
      <c r="K493" s="219"/>
      <c r="L493" s="218"/>
      <c r="M493" s="111"/>
      <c r="N493" s="219"/>
      <c r="O493" s="218"/>
      <c r="P493" s="111"/>
      <c r="Q493" s="219"/>
      <c r="R493" s="218"/>
      <c r="S493" s="111"/>
      <c r="T493" s="219"/>
      <c r="U493" s="218"/>
      <c r="V493" s="111"/>
      <c r="W493" s="219"/>
      <c r="X493" s="218"/>
      <c r="Y493" s="111"/>
      <c r="Z493" s="219"/>
      <c r="AA493" s="218"/>
      <c r="AB493" s="111"/>
      <c r="AC493" s="219"/>
      <c r="AD493" s="218"/>
      <c r="AE493" s="111"/>
      <c r="AF493" s="219"/>
      <c r="AG493" s="218"/>
      <c r="AH493" s="111"/>
      <c r="AI493" s="219"/>
      <c r="AJ493" s="218"/>
      <c r="AK493" s="111"/>
      <c r="AL493" s="219"/>
      <c r="AM493" s="218"/>
      <c r="AN493" s="111"/>
      <c r="AO493" s="219"/>
      <c r="AP493" s="40"/>
      <c r="AQ493" s="40"/>
      <c r="AR493" s="40"/>
      <c r="AS493" s="40"/>
      <c r="AT493" s="40"/>
      <c r="AU493" s="40"/>
      <c r="AV493" s="40"/>
      <c r="AW493" s="40"/>
      <c r="AX493" s="40"/>
      <c r="AY493" s="40"/>
      <c r="AZ493" s="40"/>
      <c r="BA493" s="40"/>
      <c r="BB493" s="40"/>
      <c r="BC493" s="40"/>
      <c r="BD493" s="40"/>
      <c r="BE493" s="40"/>
      <c r="BF493" s="40"/>
      <c r="BG493" s="40"/>
      <c r="BH493" s="40"/>
      <c r="BI493" s="40"/>
    </row>
    <row r="494" ht="15.75" customHeight="1">
      <c r="A494" s="41" t="str">
        <f t="shared" ref="A494:A500" si="9">B494</f>
        <v>Amortissement</v>
      </c>
      <c r="B494" s="220" t="s">
        <v>214</v>
      </c>
      <c r="C494" s="181"/>
      <c r="D494" s="184"/>
      <c r="E494" s="221"/>
      <c r="F494" s="96"/>
      <c r="G494" s="184"/>
      <c r="H494" s="182"/>
      <c r="I494" s="96"/>
      <c r="J494" s="184"/>
      <c r="K494" s="182"/>
      <c r="L494" s="96"/>
      <c r="M494" s="184"/>
      <c r="N494" s="182"/>
      <c r="O494" s="96"/>
      <c r="P494" s="184"/>
      <c r="Q494" s="182"/>
      <c r="R494" s="96"/>
      <c r="S494" s="184"/>
      <c r="T494" s="182"/>
      <c r="U494" s="96"/>
      <c r="V494" s="184"/>
      <c r="W494" s="182"/>
      <c r="X494" s="96"/>
      <c r="Y494" s="184"/>
      <c r="Z494" s="182"/>
      <c r="AA494" s="96"/>
      <c r="AB494" s="184"/>
      <c r="AC494" s="182"/>
      <c r="AD494" s="96"/>
      <c r="AE494" s="184"/>
      <c r="AF494" s="182"/>
      <c r="AG494" s="96"/>
      <c r="AH494" s="184"/>
      <c r="AI494" s="182"/>
      <c r="AJ494" s="96"/>
      <c r="AK494" s="184"/>
      <c r="AL494" s="182"/>
      <c r="AM494" s="96"/>
      <c r="AN494" s="184"/>
      <c r="AO494" s="182"/>
      <c r="AP494" s="40"/>
      <c r="AQ494" s="40"/>
      <c r="AR494" s="40"/>
      <c r="AS494" s="40"/>
      <c r="AT494" s="40"/>
      <c r="AU494" s="40"/>
      <c r="AV494" s="40"/>
      <c r="AW494" s="40"/>
      <c r="AX494" s="40"/>
      <c r="AY494" s="40"/>
      <c r="AZ494" s="40"/>
      <c r="BA494" s="40"/>
      <c r="BB494" s="40"/>
      <c r="BC494" s="40"/>
      <c r="BD494" s="40"/>
      <c r="BE494" s="40"/>
      <c r="BF494" s="40"/>
      <c r="BG494" s="40"/>
      <c r="BH494" s="40"/>
      <c r="BI494" s="40"/>
    </row>
    <row r="495" ht="15.75" customHeight="1">
      <c r="A495" s="41" t="str">
        <f t="shared" si="9"/>
        <v>Intérêts sur marge</v>
      </c>
      <c r="B495" s="220" t="s">
        <v>215</v>
      </c>
      <c r="C495" s="111"/>
      <c r="D495" s="74"/>
      <c r="E495" s="221"/>
      <c r="F495" s="218"/>
      <c r="G495" s="74"/>
      <c r="H495" s="182"/>
      <c r="I495" s="218"/>
      <c r="J495" s="74"/>
      <c r="K495" s="182"/>
      <c r="L495" s="218"/>
      <c r="M495" s="74"/>
      <c r="N495" s="182"/>
      <c r="O495" s="218"/>
      <c r="P495" s="74"/>
      <c r="Q495" s="182"/>
      <c r="R495" s="218"/>
      <c r="S495" s="74"/>
      <c r="T495" s="182"/>
      <c r="U495" s="218"/>
      <c r="V495" s="74"/>
      <c r="W495" s="182"/>
      <c r="X495" s="218"/>
      <c r="Y495" s="74"/>
      <c r="Z495" s="182"/>
      <c r="AA495" s="218"/>
      <c r="AB495" s="74"/>
      <c r="AC495" s="182"/>
      <c r="AD495" s="218"/>
      <c r="AE495" s="74"/>
      <c r="AF495" s="182"/>
      <c r="AG495" s="218"/>
      <c r="AH495" s="74"/>
      <c r="AI495" s="182"/>
      <c r="AJ495" s="218"/>
      <c r="AK495" s="74"/>
      <c r="AL495" s="182"/>
      <c r="AM495" s="218"/>
      <c r="AN495" s="74"/>
      <c r="AO495" s="182"/>
      <c r="AP495" s="40"/>
      <c r="AQ495" s="40"/>
      <c r="AR495" s="40"/>
      <c r="AS495" s="40"/>
      <c r="AT495" s="40"/>
      <c r="AU495" s="40"/>
      <c r="AV495" s="40"/>
      <c r="AW495" s="40"/>
      <c r="AX495" s="40"/>
      <c r="AY495" s="40"/>
      <c r="AZ495" s="40"/>
      <c r="BA495" s="40"/>
      <c r="BB495" s="40"/>
      <c r="BC495" s="40"/>
      <c r="BD495" s="40"/>
      <c r="BE495" s="40"/>
      <c r="BF495" s="40"/>
      <c r="BG495" s="40"/>
      <c r="BH495" s="40"/>
      <c r="BI495" s="40"/>
    </row>
    <row r="496" ht="15.75" customHeight="1">
      <c r="A496" s="41" t="str">
        <f t="shared" si="9"/>
        <v>Intérêts sur prêt</v>
      </c>
      <c r="B496" s="220" t="s">
        <v>216</v>
      </c>
      <c r="C496" s="74"/>
      <c r="D496" s="74"/>
      <c r="E496" s="221"/>
      <c r="F496" s="57"/>
      <c r="G496" s="74"/>
      <c r="H496" s="182"/>
      <c r="I496" s="57"/>
      <c r="J496" s="74"/>
      <c r="K496" s="182"/>
      <c r="L496" s="57"/>
      <c r="M496" s="74"/>
      <c r="N496" s="182"/>
      <c r="O496" s="57"/>
      <c r="P496" s="74"/>
      <c r="Q496" s="182"/>
      <c r="R496" s="57"/>
      <c r="S496" s="74"/>
      <c r="T496" s="182"/>
      <c r="U496" s="57"/>
      <c r="V496" s="74"/>
      <c r="W496" s="182"/>
      <c r="X496" s="57"/>
      <c r="Y496" s="74"/>
      <c r="Z496" s="182"/>
      <c r="AA496" s="57"/>
      <c r="AB496" s="74"/>
      <c r="AC496" s="182"/>
      <c r="AD496" s="57"/>
      <c r="AE496" s="74"/>
      <c r="AF496" s="182"/>
      <c r="AG496" s="57"/>
      <c r="AH496" s="74"/>
      <c r="AI496" s="182"/>
      <c r="AJ496" s="57"/>
      <c r="AK496" s="74"/>
      <c r="AL496" s="182"/>
      <c r="AM496" s="57"/>
      <c r="AN496" s="74"/>
      <c r="AO496" s="182"/>
      <c r="AP496" s="40"/>
      <c r="AQ496" s="40"/>
      <c r="AR496" s="40"/>
      <c r="AS496" s="40"/>
      <c r="AT496" s="40"/>
      <c r="AU496" s="40"/>
      <c r="AV496" s="40"/>
      <c r="AW496" s="40"/>
      <c r="AX496" s="40"/>
      <c r="AY496" s="40"/>
      <c r="AZ496" s="40"/>
      <c r="BA496" s="40"/>
      <c r="BB496" s="40"/>
      <c r="BC496" s="40"/>
      <c r="BD496" s="40"/>
      <c r="BE496" s="40"/>
      <c r="BF496" s="40"/>
      <c r="BG496" s="40"/>
      <c r="BH496" s="40"/>
      <c r="BI496" s="40"/>
    </row>
    <row r="497" ht="15.75" customHeight="1">
      <c r="A497" s="41" t="str">
        <f t="shared" si="9"/>
        <v>Intérêts sur avance</v>
      </c>
      <c r="B497" s="220" t="s">
        <v>217</v>
      </c>
      <c r="C497" s="83"/>
      <c r="D497" s="83"/>
      <c r="E497" s="221"/>
      <c r="F497" s="70"/>
      <c r="G497" s="83"/>
      <c r="H497" s="182"/>
      <c r="I497" s="70"/>
      <c r="J497" s="83"/>
      <c r="K497" s="182"/>
      <c r="L497" s="70"/>
      <c r="M497" s="83"/>
      <c r="N497" s="182"/>
      <c r="O497" s="70"/>
      <c r="P497" s="83"/>
      <c r="Q497" s="182"/>
      <c r="R497" s="70"/>
      <c r="S497" s="83"/>
      <c r="T497" s="182"/>
      <c r="U497" s="70"/>
      <c r="V497" s="83"/>
      <c r="W497" s="182"/>
      <c r="X497" s="70"/>
      <c r="Y497" s="83"/>
      <c r="Z497" s="182"/>
      <c r="AA497" s="70"/>
      <c r="AB497" s="83"/>
      <c r="AC497" s="182"/>
      <c r="AD497" s="70"/>
      <c r="AE497" s="83"/>
      <c r="AF497" s="182"/>
      <c r="AG497" s="70"/>
      <c r="AH497" s="83"/>
      <c r="AI497" s="182"/>
      <c r="AJ497" s="70"/>
      <c r="AK497" s="83"/>
      <c r="AL497" s="182"/>
      <c r="AM497" s="70"/>
      <c r="AN497" s="83"/>
      <c r="AO497" s="182"/>
      <c r="AP497" s="40"/>
      <c r="AQ497" s="40"/>
      <c r="AR497" s="40"/>
      <c r="AS497" s="40"/>
      <c r="AT497" s="40"/>
      <c r="AU497" s="40"/>
      <c r="AV497" s="40"/>
      <c r="AW497" s="40"/>
      <c r="AX497" s="40"/>
      <c r="AY497" s="40"/>
      <c r="AZ497" s="40"/>
      <c r="BA497" s="40"/>
      <c r="BB497" s="40"/>
      <c r="BC497" s="40"/>
      <c r="BD497" s="40"/>
      <c r="BE497" s="40"/>
      <c r="BF497" s="40"/>
      <c r="BG497" s="40"/>
      <c r="BH497" s="40"/>
      <c r="BI497" s="40"/>
    </row>
    <row r="498" ht="15.75" customHeight="1">
      <c r="A498" s="41" t="str">
        <f t="shared" si="9"/>
        <v>[...]</v>
      </c>
      <c r="B498" s="222" t="s">
        <v>56</v>
      </c>
      <c r="C498" s="83"/>
      <c r="D498" s="83"/>
      <c r="E498" s="221"/>
      <c r="F498" s="70"/>
      <c r="G498" s="83"/>
      <c r="H498" s="182"/>
      <c r="I498" s="70"/>
      <c r="J498" s="83"/>
      <c r="K498" s="182"/>
      <c r="L498" s="70"/>
      <c r="M498" s="83"/>
      <c r="N498" s="182"/>
      <c r="O498" s="70"/>
      <c r="P498" s="83"/>
      <c r="Q498" s="182"/>
      <c r="R498" s="70"/>
      <c r="S498" s="83"/>
      <c r="T498" s="182"/>
      <c r="U498" s="70"/>
      <c r="V498" s="83"/>
      <c r="W498" s="182"/>
      <c r="X498" s="70"/>
      <c r="Y498" s="83"/>
      <c r="Z498" s="182"/>
      <c r="AA498" s="70"/>
      <c r="AB498" s="83"/>
      <c r="AC498" s="182"/>
      <c r="AD498" s="70"/>
      <c r="AE498" s="83"/>
      <c r="AF498" s="182"/>
      <c r="AG498" s="70"/>
      <c r="AH498" s="83"/>
      <c r="AI498" s="182"/>
      <c r="AJ498" s="70"/>
      <c r="AK498" s="83"/>
      <c r="AL498" s="182"/>
      <c r="AM498" s="70"/>
      <c r="AN498" s="83"/>
      <c r="AO498" s="182"/>
      <c r="AP498" s="40"/>
      <c r="AQ498" s="40"/>
      <c r="AR498" s="40"/>
      <c r="AS498" s="40"/>
      <c r="AT498" s="40"/>
      <c r="AU498" s="40"/>
      <c r="AV498" s="40"/>
      <c r="AW498" s="40"/>
      <c r="AX498" s="40"/>
      <c r="AY498" s="40"/>
      <c r="AZ498" s="40"/>
      <c r="BA498" s="40"/>
      <c r="BB498" s="40"/>
      <c r="BC498" s="40"/>
      <c r="BD498" s="40"/>
      <c r="BE498" s="40"/>
      <c r="BF498" s="40"/>
      <c r="BG498" s="40"/>
      <c r="BH498" s="40"/>
      <c r="BI498" s="40"/>
    </row>
    <row r="499" ht="15.75" customHeight="1">
      <c r="A499" s="41" t="str">
        <f t="shared" si="9"/>
        <v>Revenus d'intérêts floor plan</v>
      </c>
      <c r="B499" s="220" t="s">
        <v>218</v>
      </c>
      <c r="C499" s="83"/>
      <c r="D499" s="83"/>
      <c r="E499" s="221"/>
      <c r="F499" s="70"/>
      <c r="G499" s="83"/>
      <c r="H499" s="182"/>
      <c r="I499" s="70"/>
      <c r="J499" s="83"/>
      <c r="K499" s="182"/>
      <c r="L499" s="70"/>
      <c r="M499" s="83"/>
      <c r="N499" s="182"/>
      <c r="O499" s="70"/>
      <c r="P499" s="83"/>
      <c r="Q499" s="182"/>
      <c r="R499" s="70"/>
      <c r="S499" s="83"/>
      <c r="T499" s="182"/>
      <c r="U499" s="70"/>
      <c r="V499" s="83"/>
      <c r="W499" s="182"/>
      <c r="X499" s="70"/>
      <c r="Y499" s="83"/>
      <c r="Z499" s="182"/>
      <c r="AA499" s="70"/>
      <c r="AB499" s="83"/>
      <c r="AC499" s="182"/>
      <c r="AD499" s="70"/>
      <c r="AE499" s="83"/>
      <c r="AF499" s="182"/>
      <c r="AG499" s="70"/>
      <c r="AH499" s="83"/>
      <c r="AI499" s="182"/>
      <c r="AJ499" s="70"/>
      <c r="AK499" s="83"/>
      <c r="AL499" s="182"/>
      <c r="AM499" s="70"/>
      <c r="AN499" s="83"/>
      <c r="AO499" s="182"/>
      <c r="AP499" s="40"/>
      <c r="AQ499" s="40"/>
      <c r="AR499" s="40"/>
      <c r="AS499" s="40"/>
      <c r="AT499" s="40"/>
      <c r="AU499" s="40"/>
      <c r="AV499" s="40"/>
      <c r="AW499" s="40"/>
      <c r="AX499" s="40"/>
      <c r="AY499" s="40"/>
      <c r="AZ499" s="40"/>
      <c r="BA499" s="40"/>
      <c r="BB499" s="40"/>
      <c r="BC499" s="40"/>
      <c r="BD499" s="40"/>
      <c r="BE499" s="40"/>
      <c r="BF499" s="40"/>
      <c r="BG499" s="40"/>
      <c r="BH499" s="40"/>
      <c r="BI499" s="40"/>
    </row>
    <row r="500" ht="15.75" customHeight="1">
      <c r="A500" s="41" t="str">
        <f t="shared" si="9"/>
        <v>[...]</v>
      </c>
      <c r="B500" s="223" t="s">
        <v>56</v>
      </c>
      <c r="C500" s="83"/>
      <c r="D500" s="83"/>
      <c r="E500" s="221"/>
      <c r="F500" s="70"/>
      <c r="G500" s="83"/>
      <c r="H500" s="182"/>
      <c r="I500" s="70"/>
      <c r="J500" s="83"/>
      <c r="K500" s="182"/>
      <c r="L500" s="70"/>
      <c r="M500" s="83"/>
      <c r="N500" s="182"/>
      <c r="O500" s="70"/>
      <c r="P500" s="83"/>
      <c r="Q500" s="182"/>
      <c r="R500" s="70"/>
      <c r="S500" s="83"/>
      <c r="T500" s="182"/>
      <c r="U500" s="70"/>
      <c r="V500" s="83"/>
      <c r="W500" s="182"/>
      <c r="X500" s="70"/>
      <c r="Y500" s="83"/>
      <c r="Z500" s="182"/>
      <c r="AA500" s="70"/>
      <c r="AB500" s="83"/>
      <c r="AC500" s="182"/>
      <c r="AD500" s="70"/>
      <c r="AE500" s="83"/>
      <c r="AF500" s="182"/>
      <c r="AG500" s="70"/>
      <c r="AH500" s="83"/>
      <c r="AI500" s="182"/>
      <c r="AJ500" s="70"/>
      <c r="AK500" s="83"/>
      <c r="AL500" s="182"/>
      <c r="AM500" s="70"/>
      <c r="AN500" s="83"/>
      <c r="AO500" s="182"/>
      <c r="AP500" s="40"/>
      <c r="AQ500" s="40"/>
      <c r="AR500" s="40"/>
      <c r="AS500" s="40"/>
      <c r="AT500" s="40"/>
      <c r="AU500" s="40"/>
      <c r="AV500" s="40"/>
      <c r="AW500" s="40"/>
      <c r="AX500" s="40"/>
      <c r="AY500" s="40"/>
      <c r="AZ500" s="40"/>
      <c r="BA500" s="40"/>
      <c r="BB500" s="40"/>
      <c r="BC500" s="40"/>
      <c r="BD500" s="40"/>
      <c r="BE500" s="40"/>
      <c r="BF500" s="40"/>
      <c r="BG500" s="40"/>
      <c r="BH500" s="40"/>
      <c r="BI500" s="40"/>
    </row>
    <row r="501" ht="15.75" customHeight="1">
      <c r="A501" s="33"/>
      <c r="B501" s="224" t="s">
        <v>219</v>
      </c>
      <c r="C501" s="225"/>
      <c r="D501" s="208"/>
      <c r="E501" s="226"/>
      <c r="F501" s="207"/>
      <c r="G501" s="208"/>
      <c r="H501" s="209"/>
      <c r="I501" s="207"/>
      <c r="J501" s="208"/>
      <c r="K501" s="209"/>
      <c r="L501" s="207"/>
      <c r="M501" s="208"/>
      <c r="N501" s="209"/>
      <c r="O501" s="207"/>
      <c r="P501" s="208"/>
      <c r="Q501" s="209"/>
      <c r="R501" s="207"/>
      <c r="S501" s="208"/>
      <c r="T501" s="209"/>
      <c r="U501" s="207"/>
      <c r="V501" s="208"/>
      <c r="W501" s="209"/>
      <c r="X501" s="207"/>
      <c r="Y501" s="208"/>
      <c r="Z501" s="209"/>
      <c r="AA501" s="207"/>
      <c r="AB501" s="208"/>
      <c r="AC501" s="209"/>
      <c r="AD501" s="207"/>
      <c r="AE501" s="208"/>
      <c r="AF501" s="209"/>
      <c r="AG501" s="207"/>
      <c r="AH501" s="208"/>
      <c r="AI501" s="209"/>
      <c r="AJ501" s="207"/>
      <c r="AK501" s="208"/>
      <c r="AL501" s="209"/>
      <c r="AM501" s="207"/>
      <c r="AN501" s="208"/>
      <c r="AO501" s="209"/>
      <c r="AP501" s="40"/>
      <c r="AQ501" s="40"/>
      <c r="AR501" s="40"/>
      <c r="AS501" s="40"/>
      <c r="AT501" s="40"/>
      <c r="AU501" s="40"/>
      <c r="AV501" s="40"/>
      <c r="AW501" s="40"/>
      <c r="AX501" s="40"/>
      <c r="AY501" s="40"/>
      <c r="AZ501" s="40"/>
      <c r="BA501" s="40"/>
      <c r="BB501" s="40"/>
      <c r="BC501" s="40"/>
      <c r="BD501" s="40"/>
      <c r="BE501" s="40"/>
      <c r="BF501" s="40"/>
      <c r="BG501" s="40"/>
      <c r="BH501" s="40"/>
      <c r="BI501" s="40"/>
    </row>
    <row r="502" ht="15.75" customHeight="1">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ht="15.75" customHeight="1">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ht="15.75" customHeight="1">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ht="15.75" customHeight="1">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ht="15.75" customHeight="1">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ht="15.75" customHeight="1">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ht="15.75" customHeight="1">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ht="15.75" customHeight="1">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ht="15.75" customHeight="1">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ht="15.75" customHeight="1">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ht="15.75" customHeight="1">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ht="15.75" customHeight="1">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ht="15.75" customHeight="1">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ht="15.75" customHeight="1">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ht="15.75" customHeight="1">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ht="15.75" customHeight="1">
      <c r="A517" s="33"/>
      <c r="B517" s="227"/>
      <c r="C517" s="228"/>
      <c r="D517" s="228"/>
      <c r="E517" s="228"/>
      <c r="F517" s="228"/>
      <c r="G517" s="228"/>
      <c r="H517" s="228"/>
      <c r="I517" s="228"/>
      <c r="J517" s="228"/>
      <c r="K517" s="228"/>
      <c r="L517" s="228"/>
      <c r="M517" s="228"/>
      <c r="N517" s="228"/>
      <c r="O517" s="228"/>
      <c r="P517" s="228"/>
      <c r="Q517" s="228"/>
      <c r="R517" s="228"/>
      <c r="S517" s="228"/>
      <c r="T517" s="228"/>
      <c r="U517" s="228"/>
      <c r="V517" s="228"/>
      <c r="W517" s="228"/>
      <c r="X517" s="228"/>
      <c r="Y517" s="228"/>
      <c r="Z517" s="228"/>
      <c r="AA517" s="228"/>
      <c r="AB517" s="228"/>
      <c r="AC517" s="228"/>
      <c r="AD517" s="228"/>
      <c r="AE517" s="228"/>
      <c r="AF517" s="228"/>
      <c r="AG517" s="228"/>
      <c r="AH517" s="228"/>
      <c r="AI517" s="228"/>
      <c r="AJ517" s="228"/>
      <c r="AK517" s="228"/>
      <c r="AL517" s="228"/>
      <c r="AM517" s="228"/>
      <c r="AN517" s="228"/>
      <c r="AO517" s="228"/>
      <c r="AP517" s="40"/>
      <c r="AQ517" s="40"/>
      <c r="AR517" s="40"/>
      <c r="AS517" s="40"/>
      <c r="AT517" s="40"/>
      <c r="AU517" s="40"/>
      <c r="AV517" s="40"/>
      <c r="AW517" s="40"/>
      <c r="AX517" s="40"/>
      <c r="AY517" s="40"/>
      <c r="AZ517" s="40"/>
      <c r="BA517" s="40"/>
      <c r="BB517" s="40"/>
      <c r="BC517" s="40"/>
      <c r="BD517" s="40"/>
      <c r="BE517" s="40"/>
      <c r="BF517" s="40"/>
      <c r="BG517" s="40"/>
      <c r="BH517" s="40"/>
      <c r="BI517" s="40"/>
    </row>
    <row r="518" ht="15.75" customHeight="1">
      <c r="A518" s="33"/>
      <c r="B518" s="229"/>
      <c r="C518" s="228"/>
      <c r="D518" s="228"/>
      <c r="E518" s="228"/>
      <c r="F518" s="228"/>
      <c r="G518" s="228"/>
      <c r="H518" s="228"/>
      <c r="I518" s="228"/>
      <c r="J518" s="228"/>
      <c r="K518" s="228"/>
      <c r="L518" s="228"/>
      <c r="M518" s="228"/>
      <c r="N518" s="228"/>
      <c r="O518" s="228"/>
      <c r="P518" s="228"/>
      <c r="Q518" s="228"/>
      <c r="R518" s="228"/>
      <c r="S518" s="228"/>
      <c r="T518" s="228"/>
      <c r="U518" s="228"/>
      <c r="V518" s="228"/>
      <c r="W518" s="228"/>
      <c r="X518" s="228"/>
      <c r="Y518" s="228"/>
      <c r="Z518" s="228"/>
      <c r="AA518" s="228"/>
      <c r="AB518" s="228"/>
      <c r="AC518" s="228"/>
      <c r="AD518" s="228"/>
      <c r="AE518" s="228"/>
      <c r="AF518" s="228"/>
      <c r="AG518" s="228"/>
      <c r="AH518" s="228"/>
      <c r="AI518" s="228"/>
      <c r="AJ518" s="228"/>
      <c r="AK518" s="228"/>
      <c r="AL518" s="228"/>
      <c r="AM518" s="228"/>
      <c r="AN518" s="228"/>
      <c r="AO518" s="228"/>
      <c r="AP518" s="40"/>
      <c r="AQ518" s="40"/>
      <c r="AR518" s="40"/>
      <c r="AS518" s="40"/>
      <c r="AT518" s="40"/>
      <c r="AU518" s="40"/>
      <c r="AV518" s="40"/>
      <c r="AW518" s="40"/>
      <c r="AX518" s="40"/>
      <c r="AY518" s="40"/>
      <c r="AZ518" s="40"/>
      <c r="BA518" s="40"/>
      <c r="BB518" s="40"/>
      <c r="BC518" s="40"/>
      <c r="BD518" s="40"/>
      <c r="BE518" s="40"/>
      <c r="BF518" s="40"/>
      <c r="BG518" s="40"/>
      <c r="BH518" s="40"/>
      <c r="BI518" s="40"/>
    </row>
    <row r="519" ht="15.75" customHeight="1">
      <c r="A519" s="33"/>
      <c r="B519" s="228"/>
      <c r="C519" s="228"/>
      <c r="D519" s="228"/>
      <c r="E519" s="228"/>
      <c r="F519" s="228"/>
      <c r="G519" s="228"/>
      <c r="H519" s="228"/>
      <c r="I519" s="228"/>
      <c r="J519" s="228"/>
      <c r="K519" s="228"/>
      <c r="L519" s="228"/>
      <c r="M519" s="228"/>
      <c r="N519" s="228"/>
      <c r="O519" s="228"/>
      <c r="P519" s="228"/>
      <c r="Q519" s="228"/>
      <c r="R519" s="228"/>
      <c r="S519" s="228"/>
      <c r="T519" s="228"/>
      <c r="U519" s="228"/>
      <c r="V519" s="228"/>
      <c r="W519" s="228"/>
      <c r="X519" s="228"/>
      <c r="Y519" s="228"/>
      <c r="Z519" s="228"/>
      <c r="AA519" s="228"/>
      <c r="AB519" s="228"/>
      <c r="AC519" s="228"/>
      <c r="AD519" s="228"/>
      <c r="AE519" s="228"/>
      <c r="AF519" s="228"/>
      <c r="AG519" s="228"/>
      <c r="AH519" s="228"/>
      <c r="AI519" s="228"/>
      <c r="AJ519" s="228"/>
      <c r="AK519" s="228"/>
      <c r="AL519" s="228"/>
      <c r="AM519" s="228"/>
      <c r="AN519" s="228"/>
      <c r="AO519" s="228"/>
      <c r="AP519" s="40"/>
      <c r="AQ519" s="40"/>
      <c r="AR519" s="40"/>
      <c r="AS519" s="40"/>
      <c r="AT519" s="40"/>
      <c r="AU519" s="40"/>
      <c r="AV519" s="40"/>
      <c r="AW519" s="40"/>
      <c r="AX519" s="40"/>
      <c r="AY519" s="40"/>
      <c r="AZ519" s="40"/>
      <c r="BA519" s="40"/>
      <c r="BB519" s="40"/>
      <c r="BC519" s="40"/>
      <c r="BD519" s="40"/>
      <c r="BE519" s="40"/>
      <c r="BF519" s="40"/>
      <c r="BG519" s="40"/>
      <c r="BH519" s="40"/>
      <c r="BI519" s="40"/>
    </row>
    <row r="520" ht="15.75" customHeight="1">
      <c r="A520" s="33"/>
      <c r="B520" s="228"/>
      <c r="C520" s="227"/>
      <c r="D520" s="227"/>
      <c r="E520" s="227"/>
      <c r="F520" s="227"/>
      <c r="G520" s="227"/>
      <c r="H520" s="227"/>
      <c r="I520" s="227"/>
      <c r="J520" s="227"/>
      <c r="K520" s="227"/>
      <c r="L520" s="227"/>
      <c r="M520" s="227"/>
      <c r="N520" s="227"/>
      <c r="O520" s="227"/>
      <c r="P520" s="227"/>
      <c r="Q520" s="227"/>
      <c r="R520" s="227"/>
      <c r="S520" s="227"/>
      <c r="T520" s="227"/>
      <c r="U520" s="227"/>
      <c r="V520" s="227"/>
      <c r="W520" s="227"/>
      <c r="X520" s="227"/>
      <c r="Y520" s="227"/>
      <c r="Z520" s="227"/>
      <c r="AA520" s="227"/>
      <c r="AB520" s="227"/>
      <c r="AC520" s="227"/>
      <c r="AD520" s="227"/>
      <c r="AE520" s="227"/>
      <c r="AF520" s="227"/>
      <c r="AG520" s="227"/>
      <c r="AH520" s="227"/>
      <c r="AI520" s="227"/>
      <c r="AJ520" s="227"/>
      <c r="AK520" s="227"/>
      <c r="AL520" s="227"/>
      <c r="AM520" s="227"/>
      <c r="AN520" s="227"/>
      <c r="AO520" s="227"/>
      <c r="AP520" s="40"/>
      <c r="AQ520" s="40"/>
      <c r="AR520" s="40"/>
      <c r="AS520" s="40"/>
      <c r="AT520" s="40"/>
      <c r="AU520" s="40"/>
      <c r="AV520" s="40"/>
      <c r="AW520" s="40"/>
      <c r="AX520" s="40"/>
      <c r="AY520" s="40"/>
      <c r="AZ520" s="40"/>
      <c r="BA520" s="40"/>
      <c r="BB520" s="40"/>
      <c r="BC520" s="40"/>
      <c r="BD520" s="40"/>
      <c r="BE520" s="40"/>
      <c r="BF520" s="40"/>
      <c r="BG520" s="40"/>
      <c r="BH520" s="40"/>
      <c r="BI520" s="40"/>
    </row>
    <row r="521" ht="15.75" customHeight="1">
      <c r="A521" s="33"/>
      <c r="B521" s="228"/>
      <c r="C521" s="228"/>
      <c r="D521" s="228"/>
      <c r="E521" s="228"/>
      <c r="F521" s="228"/>
      <c r="G521" s="228"/>
      <c r="H521" s="228"/>
      <c r="I521" s="228"/>
      <c r="J521" s="228"/>
      <c r="K521" s="228"/>
      <c r="L521" s="228"/>
      <c r="M521" s="228"/>
      <c r="N521" s="228"/>
      <c r="O521" s="228"/>
      <c r="P521" s="228"/>
      <c r="Q521" s="228"/>
      <c r="R521" s="228"/>
      <c r="S521" s="228"/>
      <c r="T521" s="228"/>
      <c r="U521" s="228"/>
      <c r="V521" s="228"/>
      <c r="W521" s="228"/>
      <c r="X521" s="228"/>
      <c r="Y521" s="228"/>
      <c r="Z521" s="228"/>
      <c r="AA521" s="228"/>
      <c r="AB521" s="228"/>
      <c r="AC521" s="228"/>
      <c r="AD521" s="228"/>
      <c r="AE521" s="228"/>
      <c r="AF521" s="228"/>
      <c r="AG521" s="228"/>
      <c r="AH521" s="228"/>
      <c r="AI521" s="228"/>
      <c r="AJ521" s="228"/>
      <c r="AK521" s="228"/>
      <c r="AL521" s="228"/>
      <c r="AM521" s="228"/>
      <c r="AN521" s="228"/>
      <c r="AO521" s="228"/>
      <c r="AP521" s="40"/>
      <c r="AQ521" s="40"/>
      <c r="AR521" s="40"/>
      <c r="AS521" s="40"/>
      <c r="AT521" s="40"/>
      <c r="AU521" s="40"/>
      <c r="AV521" s="40"/>
      <c r="AW521" s="40"/>
      <c r="AX521" s="40"/>
      <c r="AY521" s="40"/>
      <c r="AZ521" s="40"/>
      <c r="BA521" s="40"/>
      <c r="BB521" s="40"/>
      <c r="BC521" s="40"/>
      <c r="BD521" s="40"/>
      <c r="BE521" s="40"/>
      <c r="BF521" s="40"/>
      <c r="BG521" s="40"/>
      <c r="BH521" s="40"/>
      <c r="BI521" s="40"/>
    </row>
    <row r="522" ht="15.75" customHeight="1">
      <c r="A522" s="33"/>
      <c r="B522" s="228"/>
      <c r="C522" s="228"/>
      <c r="D522" s="228"/>
      <c r="E522" s="228"/>
      <c r="F522" s="228"/>
      <c r="G522" s="228"/>
      <c r="H522" s="228"/>
      <c r="I522" s="228"/>
      <c r="J522" s="228"/>
      <c r="K522" s="228"/>
      <c r="L522" s="228"/>
      <c r="M522" s="228"/>
      <c r="N522" s="228"/>
      <c r="O522" s="228"/>
      <c r="P522" s="228"/>
      <c r="Q522" s="228"/>
      <c r="R522" s="228"/>
      <c r="S522" s="228"/>
      <c r="T522" s="228"/>
      <c r="U522" s="228"/>
      <c r="V522" s="228"/>
      <c r="W522" s="228"/>
      <c r="X522" s="228"/>
      <c r="Y522" s="228"/>
      <c r="Z522" s="228"/>
      <c r="AA522" s="228"/>
      <c r="AB522" s="228"/>
      <c r="AC522" s="228"/>
      <c r="AD522" s="228"/>
      <c r="AE522" s="228"/>
      <c r="AF522" s="228"/>
      <c r="AG522" s="228"/>
      <c r="AH522" s="228"/>
      <c r="AI522" s="228"/>
      <c r="AJ522" s="228"/>
      <c r="AK522" s="228"/>
      <c r="AL522" s="228"/>
      <c r="AM522" s="228"/>
      <c r="AN522" s="228"/>
      <c r="AO522" s="228"/>
      <c r="AP522" s="40"/>
      <c r="AQ522" s="40"/>
      <c r="AR522" s="40"/>
      <c r="AS522" s="40"/>
      <c r="AT522" s="40"/>
      <c r="AU522" s="40"/>
      <c r="AV522" s="40"/>
      <c r="AW522" s="40"/>
      <c r="AX522" s="40"/>
      <c r="AY522" s="40"/>
      <c r="AZ522" s="40"/>
      <c r="BA522" s="40"/>
      <c r="BB522" s="40"/>
      <c r="BC522" s="40"/>
      <c r="BD522" s="40"/>
      <c r="BE522" s="40"/>
      <c r="BF522" s="40"/>
      <c r="BG522" s="40"/>
      <c r="BH522" s="40"/>
      <c r="BI522" s="40"/>
    </row>
    <row r="523" ht="15.75" customHeight="1">
      <c r="A523" s="33"/>
      <c r="B523" s="228"/>
      <c r="C523" s="228"/>
      <c r="D523" s="228"/>
      <c r="E523" s="228"/>
      <c r="F523" s="228"/>
      <c r="G523" s="228"/>
      <c r="H523" s="228"/>
      <c r="I523" s="228"/>
      <c r="J523" s="228"/>
      <c r="K523" s="228"/>
      <c r="L523" s="228"/>
      <c r="M523" s="228"/>
      <c r="N523" s="228"/>
      <c r="O523" s="228"/>
      <c r="P523" s="228"/>
      <c r="Q523" s="228"/>
      <c r="R523" s="228"/>
      <c r="S523" s="228"/>
      <c r="T523" s="228"/>
      <c r="U523" s="228"/>
      <c r="V523" s="228"/>
      <c r="W523" s="228"/>
      <c r="X523" s="228"/>
      <c r="Y523" s="228"/>
      <c r="Z523" s="228"/>
      <c r="AA523" s="228"/>
      <c r="AB523" s="228"/>
      <c r="AC523" s="228"/>
      <c r="AD523" s="228"/>
      <c r="AE523" s="228"/>
      <c r="AF523" s="228"/>
      <c r="AG523" s="228"/>
      <c r="AH523" s="228"/>
      <c r="AI523" s="228"/>
      <c r="AJ523" s="228"/>
      <c r="AK523" s="228"/>
      <c r="AL523" s="228"/>
      <c r="AM523" s="228"/>
      <c r="AN523" s="228"/>
      <c r="AO523" s="228"/>
      <c r="AP523" s="40"/>
      <c r="AQ523" s="40"/>
      <c r="AR523" s="40"/>
      <c r="AS523" s="40"/>
      <c r="AT523" s="40"/>
      <c r="AU523" s="40"/>
      <c r="AV523" s="40"/>
      <c r="AW523" s="40"/>
      <c r="AX523" s="40"/>
      <c r="AY523" s="40"/>
      <c r="AZ523" s="40"/>
      <c r="BA523" s="40"/>
      <c r="BB523" s="40"/>
      <c r="BC523" s="40"/>
      <c r="BD523" s="40"/>
      <c r="BE523" s="40"/>
      <c r="BF523" s="40"/>
      <c r="BG523" s="40"/>
      <c r="BH523" s="40"/>
      <c r="BI523" s="40"/>
    </row>
    <row r="524" ht="15.75" customHeight="1">
      <c r="A524" s="33"/>
      <c r="B524" s="228"/>
      <c r="C524" s="228"/>
      <c r="D524" s="228"/>
      <c r="E524" s="228"/>
      <c r="F524" s="228"/>
      <c r="G524" s="228"/>
      <c r="H524" s="228"/>
      <c r="I524" s="228"/>
      <c r="J524" s="228"/>
      <c r="K524" s="228"/>
      <c r="L524" s="228"/>
      <c r="M524" s="228"/>
      <c r="N524" s="228"/>
      <c r="O524" s="228"/>
      <c r="P524" s="228"/>
      <c r="Q524" s="228"/>
      <c r="R524" s="228"/>
      <c r="S524" s="228"/>
      <c r="T524" s="228"/>
      <c r="U524" s="228"/>
      <c r="V524" s="228"/>
      <c r="W524" s="228"/>
      <c r="X524" s="228"/>
      <c r="Y524" s="228"/>
      <c r="Z524" s="228"/>
      <c r="AA524" s="228"/>
      <c r="AB524" s="228"/>
      <c r="AC524" s="228"/>
      <c r="AD524" s="228"/>
      <c r="AE524" s="228"/>
      <c r="AF524" s="228"/>
      <c r="AG524" s="228"/>
      <c r="AH524" s="228"/>
      <c r="AI524" s="228"/>
      <c r="AJ524" s="228"/>
      <c r="AK524" s="228"/>
      <c r="AL524" s="228"/>
      <c r="AM524" s="228"/>
      <c r="AN524" s="228"/>
      <c r="AO524" s="228"/>
      <c r="AP524" s="40"/>
      <c r="AQ524" s="40"/>
      <c r="AR524" s="40"/>
      <c r="AS524" s="40"/>
      <c r="AT524" s="40"/>
      <c r="AU524" s="40"/>
      <c r="AV524" s="40"/>
      <c r="AW524" s="40"/>
      <c r="AX524" s="40"/>
      <c r="AY524" s="40"/>
      <c r="AZ524" s="40"/>
      <c r="BA524" s="40"/>
      <c r="BB524" s="40"/>
      <c r="BC524" s="40"/>
      <c r="BD524" s="40"/>
      <c r="BE524" s="40"/>
      <c r="BF524" s="40"/>
      <c r="BG524" s="40"/>
      <c r="BH524" s="40"/>
      <c r="BI524" s="40"/>
    </row>
    <row r="525" ht="15.75" customHeight="1">
      <c r="A525" s="33"/>
      <c r="B525" s="228"/>
      <c r="C525" s="227"/>
      <c r="D525" s="227"/>
      <c r="E525" s="227"/>
      <c r="F525" s="227"/>
      <c r="G525" s="227"/>
      <c r="H525" s="227"/>
      <c r="I525" s="227"/>
      <c r="J525" s="227"/>
      <c r="K525" s="227"/>
      <c r="L525" s="227"/>
      <c r="M525" s="227"/>
      <c r="N525" s="227"/>
      <c r="O525" s="227"/>
      <c r="P525" s="227"/>
      <c r="Q525" s="227"/>
      <c r="R525" s="227"/>
      <c r="S525" s="227"/>
      <c r="T525" s="227"/>
      <c r="U525" s="227"/>
      <c r="V525" s="227"/>
      <c r="W525" s="227"/>
      <c r="X525" s="227"/>
      <c r="Y525" s="227"/>
      <c r="Z525" s="227"/>
      <c r="AA525" s="227"/>
      <c r="AB525" s="227"/>
      <c r="AC525" s="227"/>
      <c r="AD525" s="227"/>
      <c r="AE525" s="227"/>
      <c r="AF525" s="227"/>
      <c r="AG525" s="227"/>
      <c r="AH525" s="227"/>
      <c r="AI525" s="227"/>
      <c r="AJ525" s="227"/>
      <c r="AK525" s="227"/>
      <c r="AL525" s="227"/>
      <c r="AM525" s="227"/>
      <c r="AN525" s="227"/>
      <c r="AO525" s="227"/>
      <c r="AP525" s="40"/>
      <c r="AQ525" s="40"/>
      <c r="AR525" s="40"/>
      <c r="AS525" s="40"/>
      <c r="AT525" s="40"/>
      <c r="AU525" s="40"/>
      <c r="AV525" s="40"/>
      <c r="AW525" s="40"/>
      <c r="AX525" s="40"/>
      <c r="AY525" s="40"/>
      <c r="AZ525" s="40"/>
      <c r="BA525" s="40"/>
      <c r="BB525" s="40"/>
      <c r="BC525" s="40"/>
      <c r="BD525" s="40"/>
      <c r="BE525" s="40"/>
      <c r="BF525" s="40"/>
      <c r="BG525" s="40"/>
      <c r="BH525" s="40"/>
      <c r="BI525" s="40"/>
    </row>
    <row r="526" ht="15.75" customHeight="1">
      <c r="A526" s="33"/>
      <c r="B526" s="228"/>
      <c r="C526" s="228"/>
      <c r="D526" s="228"/>
      <c r="E526" s="228"/>
      <c r="F526" s="228"/>
      <c r="G526" s="228"/>
      <c r="H526" s="228"/>
      <c r="I526" s="228"/>
      <c r="J526" s="228"/>
      <c r="K526" s="228"/>
      <c r="L526" s="228"/>
      <c r="M526" s="228"/>
      <c r="N526" s="228"/>
      <c r="O526" s="228"/>
      <c r="P526" s="228"/>
      <c r="Q526" s="228"/>
      <c r="R526" s="228"/>
      <c r="S526" s="228"/>
      <c r="T526" s="228"/>
      <c r="U526" s="228"/>
      <c r="V526" s="228"/>
      <c r="W526" s="228"/>
      <c r="X526" s="228"/>
      <c r="Y526" s="228"/>
      <c r="Z526" s="228"/>
      <c r="AA526" s="228"/>
      <c r="AB526" s="228"/>
      <c r="AC526" s="228"/>
      <c r="AD526" s="228"/>
      <c r="AE526" s="228"/>
      <c r="AF526" s="228"/>
      <c r="AG526" s="228"/>
      <c r="AH526" s="228"/>
      <c r="AI526" s="228"/>
      <c r="AJ526" s="228"/>
      <c r="AK526" s="228"/>
      <c r="AL526" s="228"/>
      <c r="AM526" s="228"/>
      <c r="AN526" s="228"/>
      <c r="AO526" s="228"/>
      <c r="AP526" s="40"/>
      <c r="AQ526" s="40"/>
      <c r="AR526" s="40"/>
      <c r="AS526" s="40"/>
      <c r="AT526" s="40"/>
      <c r="AU526" s="40"/>
      <c r="AV526" s="40"/>
      <c r="AW526" s="40"/>
      <c r="AX526" s="40"/>
      <c r="AY526" s="40"/>
      <c r="AZ526" s="40"/>
      <c r="BA526" s="40"/>
      <c r="BB526" s="40"/>
      <c r="BC526" s="40"/>
      <c r="BD526" s="40"/>
      <c r="BE526" s="40"/>
      <c r="BF526" s="40"/>
      <c r="BG526" s="40"/>
      <c r="BH526" s="40"/>
      <c r="BI526" s="40"/>
    </row>
    <row r="527" ht="15.75" customHeight="1">
      <c r="A527" s="33"/>
      <c r="B527" s="228"/>
      <c r="C527" s="228"/>
      <c r="D527" s="228"/>
      <c r="E527" s="228"/>
      <c r="F527" s="228"/>
      <c r="G527" s="228"/>
      <c r="H527" s="228"/>
      <c r="I527" s="228"/>
      <c r="J527" s="228"/>
      <c r="K527" s="228"/>
      <c r="L527" s="228"/>
      <c r="M527" s="228"/>
      <c r="N527" s="228"/>
      <c r="O527" s="228"/>
      <c r="P527" s="228"/>
      <c r="Q527" s="228"/>
      <c r="R527" s="228"/>
      <c r="S527" s="228"/>
      <c r="T527" s="228"/>
      <c r="U527" s="228"/>
      <c r="V527" s="228"/>
      <c r="W527" s="228"/>
      <c r="X527" s="228"/>
      <c r="Y527" s="228"/>
      <c r="Z527" s="228"/>
      <c r="AA527" s="228"/>
      <c r="AB527" s="228"/>
      <c r="AC527" s="228"/>
      <c r="AD527" s="228"/>
      <c r="AE527" s="228"/>
      <c r="AF527" s="228"/>
      <c r="AG527" s="228"/>
      <c r="AH527" s="228"/>
      <c r="AI527" s="228"/>
      <c r="AJ527" s="228"/>
      <c r="AK527" s="228"/>
      <c r="AL527" s="228"/>
      <c r="AM527" s="228"/>
      <c r="AN527" s="228"/>
      <c r="AO527" s="228"/>
      <c r="AP527" s="40"/>
      <c r="AQ527" s="40"/>
      <c r="AR527" s="40"/>
      <c r="AS527" s="40"/>
      <c r="AT527" s="40"/>
      <c r="AU527" s="40"/>
      <c r="AV527" s="40"/>
      <c r="AW527" s="40"/>
      <c r="AX527" s="40"/>
      <c r="AY527" s="40"/>
      <c r="AZ527" s="40"/>
      <c r="BA527" s="40"/>
      <c r="BB527" s="40"/>
      <c r="BC527" s="40"/>
      <c r="BD527" s="40"/>
      <c r="BE527" s="40"/>
      <c r="BF527" s="40"/>
      <c r="BG527" s="40"/>
      <c r="BH527" s="40"/>
      <c r="BI527" s="40"/>
    </row>
    <row r="528" ht="15.75" customHeight="1">
      <c r="A528" s="33"/>
      <c r="B528" s="228"/>
      <c r="C528" s="228"/>
      <c r="D528" s="228"/>
      <c r="E528" s="228"/>
      <c r="F528" s="228"/>
      <c r="G528" s="228"/>
      <c r="H528" s="228"/>
      <c r="I528" s="228"/>
      <c r="J528" s="228"/>
      <c r="K528" s="228"/>
      <c r="L528" s="228"/>
      <c r="M528" s="228"/>
      <c r="N528" s="228"/>
      <c r="O528" s="228"/>
      <c r="P528" s="228"/>
      <c r="Q528" s="228"/>
      <c r="R528" s="228"/>
      <c r="S528" s="228"/>
      <c r="T528" s="228"/>
      <c r="U528" s="228"/>
      <c r="V528" s="228"/>
      <c r="W528" s="228"/>
      <c r="X528" s="228"/>
      <c r="Y528" s="228"/>
      <c r="Z528" s="228"/>
      <c r="AA528" s="228"/>
      <c r="AB528" s="228"/>
      <c r="AC528" s="228"/>
      <c r="AD528" s="228"/>
      <c r="AE528" s="228"/>
      <c r="AF528" s="228"/>
      <c r="AG528" s="228"/>
      <c r="AH528" s="228"/>
      <c r="AI528" s="228"/>
      <c r="AJ528" s="228"/>
      <c r="AK528" s="228"/>
      <c r="AL528" s="228"/>
      <c r="AM528" s="228"/>
      <c r="AN528" s="228"/>
      <c r="AO528" s="228"/>
      <c r="AP528" s="40"/>
      <c r="AQ528" s="40"/>
      <c r="AR528" s="40"/>
      <c r="AS528" s="40"/>
      <c r="AT528" s="40"/>
      <c r="AU528" s="40"/>
      <c r="AV528" s="40"/>
      <c r="AW528" s="40"/>
      <c r="AX528" s="40"/>
      <c r="AY528" s="40"/>
      <c r="AZ528" s="40"/>
      <c r="BA528" s="40"/>
      <c r="BB528" s="40"/>
      <c r="BC528" s="40"/>
      <c r="BD528" s="40"/>
      <c r="BE528" s="40"/>
      <c r="BF528" s="40"/>
      <c r="BG528" s="40"/>
      <c r="BH528" s="40"/>
      <c r="BI528" s="40"/>
    </row>
    <row r="529" ht="15.75" customHeight="1">
      <c r="A529" s="33"/>
      <c r="B529" s="230"/>
      <c r="C529" s="231"/>
      <c r="D529" s="231"/>
      <c r="E529" s="231"/>
      <c r="F529" s="231"/>
      <c r="G529" s="231"/>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c r="AD529" s="231"/>
      <c r="AE529" s="231"/>
      <c r="AF529" s="231"/>
      <c r="AG529" s="231"/>
      <c r="AH529" s="231"/>
      <c r="AI529" s="231"/>
      <c r="AJ529" s="231"/>
      <c r="AK529" s="231"/>
      <c r="AL529" s="231"/>
      <c r="AM529" s="231"/>
      <c r="AN529" s="231"/>
      <c r="AO529" s="231"/>
      <c r="AP529" s="40"/>
      <c r="AQ529" s="40"/>
      <c r="AR529" s="40"/>
      <c r="AS529" s="40"/>
      <c r="AT529" s="40"/>
      <c r="AU529" s="40"/>
      <c r="AV529" s="40"/>
      <c r="AW529" s="40"/>
      <c r="AX529" s="40"/>
      <c r="AY529" s="40"/>
      <c r="AZ529" s="40"/>
      <c r="BA529" s="40"/>
      <c r="BB529" s="40"/>
      <c r="BC529" s="40"/>
      <c r="BD529" s="40"/>
      <c r="BE529" s="40"/>
      <c r="BF529" s="40"/>
      <c r="BG529" s="40"/>
      <c r="BH529" s="40"/>
      <c r="BI529" s="40"/>
    </row>
    <row r="530" ht="15.75" customHeight="1">
      <c r="A530" s="33"/>
      <c r="B530" s="228"/>
      <c r="C530" s="228"/>
      <c r="D530" s="228"/>
      <c r="E530" s="228"/>
      <c r="F530" s="228"/>
      <c r="G530" s="228"/>
      <c r="H530" s="228"/>
      <c r="I530" s="228"/>
      <c r="J530" s="228"/>
      <c r="K530" s="228"/>
      <c r="L530" s="228"/>
      <c r="M530" s="228"/>
      <c r="N530" s="228"/>
      <c r="O530" s="228"/>
      <c r="P530" s="228"/>
      <c r="Q530" s="228"/>
      <c r="R530" s="228"/>
      <c r="S530" s="228"/>
      <c r="T530" s="228"/>
      <c r="U530" s="228"/>
      <c r="V530" s="228"/>
      <c r="W530" s="228"/>
      <c r="X530" s="228"/>
      <c r="Y530" s="228"/>
      <c r="Z530" s="228"/>
      <c r="AA530" s="228"/>
      <c r="AB530" s="228"/>
      <c r="AC530" s="228"/>
      <c r="AD530" s="228"/>
      <c r="AE530" s="228"/>
      <c r="AF530" s="228"/>
      <c r="AG530" s="228"/>
      <c r="AH530" s="228"/>
      <c r="AI530" s="228"/>
      <c r="AJ530" s="228"/>
      <c r="AK530" s="228"/>
      <c r="AL530" s="228"/>
      <c r="AM530" s="228"/>
      <c r="AN530" s="228"/>
      <c r="AO530" s="228"/>
      <c r="AP530" s="40"/>
      <c r="AQ530" s="40"/>
      <c r="AR530" s="40"/>
      <c r="AS530" s="40"/>
      <c r="AT530" s="40"/>
      <c r="AU530" s="40"/>
      <c r="AV530" s="40"/>
      <c r="AW530" s="40"/>
      <c r="AX530" s="40"/>
      <c r="AY530" s="40"/>
      <c r="AZ530" s="40"/>
      <c r="BA530" s="40"/>
      <c r="BB530" s="40"/>
      <c r="BC530" s="40"/>
      <c r="BD530" s="40"/>
      <c r="BE530" s="40"/>
      <c r="BF530" s="40"/>
      <c r="BG530" s="40"/>
      <c r="BH530" s="40"/>
      <c r="BI530" s="40"/>
    </row>
    <row r="531" ht="15.75" customHeight="1">
      <c r="A531" s="33"/>
      <c r="B531" s="228"/>
      <c r="C531" s="228"/>
      <c r="D531" s="228"/>
      <c r="E531" s="232"/>
      <c r="F531" s="228"/>
      <c r="G531" s="228"/>
      <c r="H531" s="232"/>
      <c r="I531" s="228"/>
      <c r="J531" s="228"/>
      <c r="K531" s="232"/>
      <c r="L531" s="228"/>
      <c r="M531" s="228"/>
      <c r="N531" s="232"/>
      <c r="O531" s="228"/>
      <c r="P531" s="228"/>
      <c r="Q531" s="232"/>
      <c r="R531" s="228"/>
      <c r="S531" s="228"/>
      <c r="T531" s="232"/>
      <c r="U531" s="228"/>
      <c r="V531" s="228"/>
      <c r="W531" s="232"/>
      <c r="X531" s="228"/>
      <c r="Y531" s="228"/>
      <c r="Z531" s="232"/>
      <c r="AA531" s="228"/>
      <c r="AB531" s="228"/>
      <c r="AC531" s="232"/>
      <c r="AD531" s="228"/>
      <c r="AE531" s="228"/>
      <c r="AF531" s="232"/>
      <c r="AG531" s="228"/>
      <c r="AH531" s="228"/>
      <c r="AI531" s="232"/>
      <c r="AJ531" s="228"/>
      <c r="AK531" s="228"/>
      <c r="AL531" s="232"/>
      <c r="AM531" s="228"/>
      <c r="AN531" s="228"/>
      <c r="AO531" s="232"/>
      <c r="AP531" s="40"/>
      <c r="AQ531" s="40"/>
      <c r="AR531" s="40"/>
      <c r="AS531" s="40"/>
      <c r="AT531" s="40"/>
      <c r="AU531" s="40"/>
      <c r="AV531" s="40"/>
      <c r="AW531" s="40"/>
      <c r="AX531" s="40"/>
      <c r="AY531" s="40"/>
      <c r="AZ531" s="40"/>
      <c r="BA531" s="40"/>
      <c r="BB531" s="40"/>
      <c r="BC531" s="40"/>
      <c r="BD531" s="40"/>
      <c r="BE531" s="40"/>
      <c r="BF531" s="40"/>
      <c r="BG531" s="40"/>
      <c r="BH531" s="40"/>
      <c r="BI531" s="40"/>
    </row>
    <row r="532" ht="15.75" customHeight="1">
      <c r="A532" s="33"/>
      <c r="B532" s="228"/>
      <c r="C532" s="233"/>
      <c r="D532" s="227"/>
      <c r="E532" s="232"/>
      <c r="F532" s="233"/>
      <c r="G532" s="227"/>
      <c r="H532" s="232"/>
      <c r="I532" s="233"/>
      <c r="J532" s="227"/>
      <c r="K532" s="232"/>
      <c r="L532" s="233"/>
      <c r="M532" s="227"/>
      <c r="N532" s="232"/>
      <c r="O532" s="233"/>
      <c r="P532" s="227"/>
      <c r="Q532" s="232"/>
      <c r="R532" s="233"/>
      <c r="S532" s="227"/>
      <c r="T532" s="232"/>
      <c r="U532" s="233"/>
      <c r="V532" s="227"/>
      <c r="W532" s="232"/>
      <c r="X532" s="233"/>
      <c r="Y532" s="227"/>
      <c r="Z532" s="232"/>
      <c r="AA532" s="233"/>
      <c r="AB532" s="227"/>
      <c r="AC532" s="232"/>
      <c r="AD532" s="233"/>
      <c r="AE532" s="227"/>
      <c r="AF532" s="232"/>
      <c r="AG532" s="233"/>
      <c r="AH532" s="227"/>
      <c r="AI532" s="232"/>
      <c r="AJ532" s="233"/>
      <c r="AK532" s="227"/>
      <c r="AL532" s="232"/>
      <c r="AM532" s="233"/>
      <c r="AN532" s="227"/>
      <c r="AO532" s="232"/>
      <c r="AP532" s="40"/>
      <c r="AQ532" s="40"/>
      <c r="AR532" s="40"/>
      <c r="AS532" s="40"/>
      <c r="AT532" s="40"/>
      <c r="AU532" s="40"/>
      <c r="AV532" s="40"/>
      <c r="AW532" s="40"/>
      <c r="AX532" s="40"/>
      <c r="AY532" s="40"/>
      <c r="AZ532" s="40"/>
      <c r="BA532" s="40"/>
      <c r="BB532" s="40"/>
      <c r="BC532" s="40"/>
      <c r="BD532" s="40"/>
      <c r="BE532" s="40"/>
      <c r="BF532" s="40"/>
      <c r="BG532" s="40"/>
      <c r="BH532" s="40"/>
      <c r="BI532" s="40"/>
    </row>
    <row r="533" ht="15.75" customHeight="1">
      <c r="A533" s="33"/>
      <c r="B533" s="228"/>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c r="AA533" s="234"/>
      <c r="AB533" s="234"/>
      <c r="AC533" s="234"/>
      <c r="AD533" s="234"/>
      <c r="AE533" s="234"/>
      <c r="AF533" s="234"/>
      <c r="AG533" s="234"/>
      <c r="AH533" s="234"/>
      <c r="AI533" s="234"/>
      <c r="AJ533" s="234"/>
      <c r="AK533" s="234"/>
      <c r="AL533" s="234"/>
      <c r="AM533" s="234"/>
      <c r="AN533" s="234"/>
      <c r="AO533" s="234"/>
      <c r="AP533" s="40"/>
      <c r="AQ533" s="40"/>
      <c r="AR533" s="40"/>
      <c r="AS533" s="40"/>
      <c r="AT533" s="40"/>
      <c r="AU533" s="40"/>
      <c r="AV533" s="40"/>
      <c r="AW533" s="40"/>
      <c r="AX533" s="40"/>
      <c r="AY533" s="40"/>
      <c r="AZ533" s="40"/>
      <c r="BA533" s="40"/>
      <c r="BB533" s="40"/>
      <c r="BC533" s="40"/>
      <c r="BD533" s="40"/>
      <c r="BE533" s="40"/>
      <c r="BF533" s="40"/>
      <c r="BG533" s="40"/>
      <c r="BH533" s="40"/>
      <c r="BI533" s="40"/>
    </row>
    <row r="534" ht="15.75" customHeight="1">
      <c r="A534" s="33"/>
      <c r="B534" s="227"/>
      <c r="C534" s="228"/>
      <c r="D534" s="228"/>
      <c r="E534" s="228"/>
      <c r="F534" s="228"/>
      <c r="G534" s="228"/>
      <c r="H534" s="228"/>
      <c r="I534" s="228"/>
      <c r="J534" s="228"/>
      <c r="K534" s="228"/>
      <c r="L534" s="228"/>
      <c r="M534" s="228"/>
      <c r="N534" s="228"/>
      <c r="O534" s="228"/>
      <c r="P534" s="228"/>
      <c r="Q534" s="228"/>
      <c r="R534" s="228"/>
      <c r="S534" s="228"/>
      <c r="T534" s="228"/>
      <c r="U534" s="228"/>
      <c r="V534" s="228"/>
      <c r="W534" s="228"/>
      <c r="X534" s="228"/>
      <c r="Y534" s="228"/>
      <c r="Z534" s="228"/>
      <c r="AA534" s="228"/>
      <c r="AB534" s="228"/>
      <c r="AC534" s="228"/>
      <c r="AD534" s="228"/>
      <c r="AE534" s="228"/>
      <c r="AF534" s="228"/>
      <c r="AG534" s="228"/>
      <c r="AH534" s="228"/>
      <c r="AI534" s="228"/>
      <c r="AJ534" s="228"/>
      <c r="AK534" s="228"/>
      <c r="AL534" s="228"/>
      <c r="AM534" s="228"/>
      <c r="AN534" s="228"/>
      <c r="AO534" s="228"/>
      <c r="AP534" s="40"/>
      <c r="AQ534" s="40"/>
      <c r="AR534" s="40"/>
      <c r="AS534" s="40"/>
      <c r="AT534" s="40"/>
      <c r="AU534" s="40"/>
      <c r="AV534" s="40"/>
      <c r="AW534" s="40"/>
      <c r="AX534" s="40"/>
      <c r="AY534" s="40"/>
      <c r="AZ534" s="40"/>
      <c r="BA534" s="40"/>
      <c r="BB534" s="40"/>
      <c r="BC534" s="40"/>
      <c r="BD534" s="40"/>
      <c r="BE534" s="40"/>
      <c r="BF534" s="40"/>
      <c r="BG534" s="40"/>
      <c r="BH534" s="40"/>
      <c r="BI534" s="40"/>
    </row>
    <row r="535" ht="15.75" customHeight="1">
      <c r="A535" s="33"/>
      <c r="B535" s="228"/>
      <c r="C535" s="228"/>
      <c r="D535" s="228"/>
      <c r="E535" s="228"/>
      <c r="F535" s="228"/>
      <c r="G535" s="228"/>
      <c r="H535" s="228"/>
      <c r="I535" s="228"/>
      <c r="J535" s="228"/>
      <c r="K535" s="228"/>
      <c r="L535" s="228"/>
      <c r="M535" s="228"/>
      <c r="N535" s="228"/>
      <c r="O535" s="228"/>
      <c r="P535" s="228"/>
      <c r="Q535" s="228"/>
      <c r="R535" s="228"/>
      <c r="S535" s="228"/>
      <c r="T535" s="228"/>
      <c r="U535" s="228"/>
      <c r="V535" s="228"/>
      <c r="W535" s="228"/>
      <c r="X535" s="228"/>
      <c r="Y535" s="228"/>
      <c r="Z535" s="228"/>
      <c r="AA535" s="228"/>
      <c r="AB535" s="228"/>
      <c r="AC535" s="228"/>
      <c r="AD535" s="228"/>
      <c r="AE535" s="228"/>
      <c r="AF535" s="228"/>
      <c r="AG535" s="228"/>
      <c r="AH535" s="228"/>
      <c r="AI535" s="228"/>
      <c r="AJ535" s="228"/>
      <c r="AK535" s="228"/>
      <c r="AL535" s="228"/>
      <c r="AM535" s="228"/>
      <c r="AN535" s="228"/>
      <c r="AO535" s="228"/>
      <c r="AP535" s="40"/>
      <c r="AQ535" s="40"/>
      <c r="AR535" s="40"/>
      <c r="AS535" s="40"/>
      <c r="AT535" s="40"/>
      <c r="AU535" s="40"/>
      <c r="AV535" s="40"/>
      <c r="AW535" s="40"/>
      <c r="AX535" s="40"/>
      <c r="AY535" s="40"/>
      <c r="AZ535" s="40"/>
      <c r="BA535" s="40"/>
      <c r="BB535" s="40"/>
      <c r="BC535" s="40"/>
      <c r="BD535" s="40"/>
      <c r="BE535" s="40"/>
      <c r="BF535" s="40"/>
      <c r="BG535" s="40"/>
      <c r="BH535" s="40"/>
      <c r="BI535" s="40"/>
    </row>
    <row r="536" ht="15.75" customHeight="1">
      <c r="A536" s="33"/>
      <c r="B536" s="228"/>
      <c r="C536" s="235"/>
      <c r="D536" s="236"/>
      <c r="E536" s="235"/>
      <c r="F536" s="235"/>
      <c r="G536" s="236"/>
      <c r="H536" s="235"/>
      <c r="I536" s="235"/>
      <c r="J536" s="236"/>
      <c r="K536" s="235"/>
      <c r="L536" s="235"/>
      <c r="M536" s="236"/>
      <c r="N536" s="235"/>
      <c r="O536" s="235"/>
      <c r="P536" s="236"/>
      <c r="Q536" s="235"/>
      <c r="R536" s="235"/>
      <c r="S536" s="236"/>
      <c r="T536" s="235"/>
      <c r="U536" s="235"/>
      <c r="V536" s="236"/>
      <c r="W536" s="235"/>
      <c r="X536" s="235"/>
      <c r="Y536" s="236"/>
      <c r="Z536" s="235"/>
      <c r="AA536" s="235"/>
      <c r="AB536" s="236"/>
      <c r="AC536" s="235"/>
      <c r="AD536" s="235"/>
      <c r="AE536" s="236"/>
      <c r="AF536" s="235"/>
      <c r="AG536" s="235"/>
      <c r="AH536" s="236"/>
      <c r="AI536" s="235"/>
      <c r="AJ536" s="235"/>
      <c r="AK536" s="236"/>
      <c r="AL536" s="235"/>
      <c r="AM536" s="235"/>
      <c r="AN536" s="236"/>
      <c r="AO536" s="235"/>
      <c r="AP536" s="40"/>
      <c r="AQ536" s="40"/>
      <c r="AR536" s="40"/>
      <c r="AS536" s="40"/>
      <c r="AT536" s="40"/>
      <c r="AU536" s="40"/>
      <c r="AV536" s="40"/>
      <c r="AW536" s="40"/>
      <c r="AX536" s="40"/>
      <c r="AY536" s="40"/>
      <c r="AZ536" s="40"/>
      <c r="BA536" s="40"/>
      <c r="BB536" s="40"/>
      <c r="BC536" s="40"/>
      <c r="BD536" s="40"/>
      <c r="BE536" s="40"/>
      <c r="BF536" s="40"/>
      <c r="BG536" s="40"/>
      <c r="BH536" s="40"/>
      <c r="BI536" s="40"/>
    </row>
    <row r="537" ht="15.75" customHeight="1">
      <c r="A537" s="33"/>
      <c r="B537" s="228"/>
      <c r="C537" s="235"/>
      <c r="D537" s="236"/>
      <c r="E537" s="235"/>
      <c r="F537" s="235"/>
      <c r="G537" s="236"/>
      <c r="H537" s="235"/>
      <c r="I537" s="235"/>
      <c r="J537" s="236"/>
      <c r="K537" s="235"/>
      <c r="L537" s="235"/>
      <c r="M537" s="236"/>
      <c r="N537" s="235"/>
      <c r="O537" s="235"/>
      <c r="P537" s="236"/>
      <c r="Q537" s="235"/>
      <c r="R537" s="235"/>
      <c r="S537" s="236"/>
      <c r="T537" s="235"/>
      <c r="U537" s="235"/>
      <c r="V537" s="236"/>
      <c r="W537" s="235"/>
      <c r="X537" s="235"/>
      <c r="Y537" s="236"/>
      <c r="Z537" s="235"/>
      <c r="AA537" s="235"/>
      <c r="AB537" s="236"/>
      <c r="AC537" s="235"/>
      <c r="AD537" s="235"/>
      <c r="AE537" s="236"/>
      <c r="AF537" s="235"/>
      <c r="AG537" s="235"/>
      <c r="AH537" s="236"/>
      <c r="AI537" s="235"/>
      <c r="AJ537" s="235"/>
      <c r="AK537" s="236"/>
      <c r="AL537" s="235"/>
      <c r="AM537" s="235"/>
      <c r="AN537" s="236"/>
      <c r="AO537" s="235"/>
      <c r="AP537" s="40"/>
      <c r="AQ537" s="40"/>
      <c r="AR537" s="40"/>
      <c r="AS537" s="40"/>
      <c r="AT537" s="40"/>
      <c r="AU537" s="40"/>
      <c r="AV537" s="40"/>
      <c r="AW537" s="40"/>
      <c r="AX537" s="40"/>
      <c r="AY537" s="40"/>
      <c r="AZ537" s="40"/>
      <c r="BA537" s="40"/>
      <c r="BB537" s="40"/>
      <c r="BC537" s="40"/>
      <c r="BD537" s="40"/>
      <c r="BE537" s="40"/>
      <c r="BF537" s="40"/>
      <c r="BG537" s="40"/>
      <c r="BH537" s="40"/>
      <c r="BI537" s="40"/>
    </row>
    <row r="538" ht="15.75" customHeight="1">
      <c r="A538" s="33"/>
      <c r="B538" s="228"/>
      <c r="C538" s="235"/>
      <c r="D538" s="236"/>
      <c r="E538" s="235"/>
      <c r="F538" s="235"/>
      <c r="G538" s="236"/>
      <c r="H538" s="235"/>
      <c r="I538" s="235"/>
      <c r="J538" s="236"/>
      <c r="K538" s="235"/>
      <c r="L538" s="235"/>
      <c r="M538" s="236"/>
      <c r="N538" s="235"/>
      <c r="O538" s="235"/>
      <c r="P538" s="236"/>
      <c r="Q538" s="235"/>
      <c r="R538" s="235"/>
      <c r="S538" s="236"/>
      <c r="T538" s="235"/>
      <c r="U538" s="235"/>
      <c r="V538" s="236"/>
      <c r="W538" s="235"/>
      <c r="X538" s="235"/>
      <c r="Y538" s="236"/>
      <c r="Z538" s="235"/>
      <c r="AA538" s="235"/>
      <c r="AB538" s="236"/>
      <c r="AC538" s="235"/>
      <c r="AD538" s="235"/>
      <c r="AE538" s="236"/>
      <c r="AF538" s="235"/>
      <c r="AG538" s="235"/>
      <c r="AH538" s="236"/>
      <c r="AI538" s="235"/>
      <c r="AJ538" s="235"/>
      <c r="AK538" s="236"/>
      <c r="AL538" s="235"/>
      <c r="AM538" s="235"/>
      <c r="AN538" s="236"/>
      <c r="AO538" s="235"/>
      <c r="AP538" s="40"/>
      <c r="AQ538" s="40"/>
      <c r="AR538" s="40"/>
      <c r="AS538" s="40"/>
      <c r="AT538" s="40"/>
      <c r="AU538" s="40"/>
      <c r="AV538" s="40"/>
      <c r="AW538" s="40"/>
      <c r="AX538" s="40"/>
      <c r="AY538" s="40"/>
      <c r="AZ538" s="40"/>
      <c r="BA538" s="40"/>
      <c r="BB538" s="40"/>
      <c r="BC538" s="40"/>
      <c r="BD538" s="40"/>
      <c r="BE538" s="40"/>
      <c r="BF538" s="40"/>
      <c r="BG538" s="40"/>
      <c r="BH538" s="40"/>
      <c r="BI538" s="40"/>
    </row>
    <row r="539" ht="15.75" customHeight="1">
      <c r="A539" s="33"/>
      <c r="B539" s="228"/>
      <c r="C539" s="235"/>
      <c r="D539" s="236"/>
      <c r="E539" s="235"/>
      <c r="F539" s="235"/>
      <c r="G539" s="236"/>
      <c r="H539" s="235"/>
      <c r="I539" s="235"/>
      <c r="J539" s="236"/>
      <c r="K539" s="235"/>
      <c r="L539" s="235"/>
      <c r="M539" s="236"/>
      <c r="N539" s="235"/>
      <c r="O539" s="235"/>
      <c r="P539" s="236"/>
      <c r="Q539" s="235"/>
      <c r="R539" s="235"/>
      <c r="S539" s="236"/>
      <c r="T539" s="235"/>
      <c r="U539" s="235"/>
      <c r="V539" s="236"/>
      <c r="W539" s="235"/>
      <c r="X539" s="235"/>
      <c r="Y539" s="236"/>
      <c r="Z539" s="235"/>
      <c r="AA539" s="235"/>
      <c r="AB539" s="236"/>
      <c r="AC539" s="235"/>
      <c r="AD539" s="235"/>
      <c r="AE539" s="236"/>
      <c r="AF539" s="235"/>
      <c r="AG539" s="235"/>
      <c r="AH539" s="236"/>
      <c r="AI539" s="235"/>
      <c r="AJ539" s="235"/>
      <c r="AK539" s="236"/>
      <c r="AL539" s="235"/>
      <c r="AM539" s="235"/>
      <c r="AN539" s="236"/>
      <c r="AO539" s="235"/>
      <c r="AP539" s="40"/>
      <c r="AQ539" s="40"/>
      <c r="AR539" s="40"/>
      <c r="AS539" s="40"/>
      <c r="AT539" s="40"/>
      <c r="AU539" s="40"/>
      <c r="AV539" s="40"/>
      <c r="AW539" s="40"/>
      <c r="AX539" s="40"/>
      <c r="AY539" s="40"/>
      <c r="AZ539" s="40"/>
      <c r="BA539" s="40"/>
      <c r="BB539" s="40"/>
      <c r="BC539" s="40"/>
      <c r="BD539" s="40"/>
      <c r="BE539" s="40"/>
      <c r="BF539" s="40"/>
      <c r="BG539" s="40"/>
      <c r="BH539" s="40"/>
      <c r="BI539" s="40"/>
    </row>
    <row r="540" ht="15.75" customHeight="1">
      <c r="A540" s="33"/>
      <c r="B540" s="228"/>
      <c r="C540" s="235"/>
      <c r="D540" s="236"/>
      <c r="E540" s="235"/>
      <c r="F540" s="235"/>
      <c r="G540" s="236"/>
      <c r="H540" s="235"/>
      <c r="I540" s="235"/>
      <c r="J540" s="236"/>
      <c r="K540" s="235"/>
      <c r="L540" s="235"/>
      <c r="M540" s="236"/>
      <c r="N540" s="235"/>
      <c r="O540" s="235"/>
      <c r="P540" s="236"/>
      <c r="Q540" s="235"/>
      <c r="R540" s="235"/>
      <c r="S540" s="236"/>
      <c r="T540" s="235"/>
      <c r="U540" s="235"/>
      <c r="V540" s="236"/>
      <c r="W540" s="235"/>
      <c r="X540" s="235"/>
      <c r="Y540" s="236"/>
      <c r="Z540" s="235"/>
      <c r="AA540" s="235"/>
      <c r="AB540" s="236"/>
      <c r="AC540" s="235"/>
      <c r="AD540" s="235"/>
      <c r="AE540" s="236"/>
      <c r="AF540" s="235"/>
      <c r="AG540" s="235"/>
      <c r="AH540" s="236"/>
      <c r="AI540" s="235"/>
      <c r="AJ540" s="235"/>
      <c r="AK540" s="236"/>
      <c r="AL540" s="235"/>
      <c r="AM540" s="235"/>
      <c r="AN540" s="236"/>
      <c r="AO540" s="235"/>
      <c r="AP540" s="40"/>
      <c r="AQ540" s="40"/>
      <c r="AR540" s="40"/>
      <c r="AS540" s="40"/>
      <c r="AT540" s="40"/>
      <c r="AU540" s="40"/>
      <c r="AV540" s="40"/>
      <c r="AW540" s="40"/>
      <c r="AX540" s="40"/>
      <c r="AY540" s="40"/>
      <c r="AZ540" s="40"/>
      <c r="BA540" s="40"/>
      <c r="BB540" s="40"/>
      <c r="BC540" s="40"/>
      <c r="BD540" s="40"/>
      <c r="BE540" s="40"/>
      <c r="BF540" s="40"/>
      <c r="BG540" s="40"/>
      <c r="BH540" s="40"/>
      <c r="BI540" s="40"/>
    </row>
    <row r="541" ht="15.75" customHeight="1">
      <c r="A541" s="33"/>
      <c r="B541" s="228"/>
      <c r="C541" s="235"/>
      <c r="D541" s="236"/>
      <c r="E541" s="235"/>
      <c r="F541" s="235"/>
      <c r="G541" s="236"/>
      <c r="H541" s="235"/>
      <c r="I541" s="235"/>
      <c r="J541" s="236"/>
      <c r="K541" s="235"/>
      <c r="L541" s="235"/>
      <c r="M541" s="236"/>
      <c r="N541" s="235"/>
      <c r="O541" s="235"/>
      <c r="P541" s="236"/>
      <c r="Q541" s="235"/>
      <c r="R541" s="235"/>
      <c r="S541" s="236"/>
      <c r="T541" s="235"/>
      <c r="U541" s="235"/>
      <c r="V541" s="236"/>
      <c r="W541" s="235"/>
      <c r="X541" s="235"/>
      <c r="Y541" s="236"/>
      <c r="Z541" s="235"/>
      <c r="AA541" s="235"/>
      <c r="AB541" s="236"/>
      <c r="AC541" s="235"/>
      <c r="AD541" s="235"/>
      <c r="AE541" s="236"/>
      <c r="AF541" s="235"/>
      <c r="AG541" s="235"/>
      <c r="AH541" s="236"/>
      <c r="AI541" s="235"/>
      <c r="AJ541" s="235"/>
      <c r="AK541" s="236"/>
      <c r="AL541" s="235"/>
      <c r="AM541" s="235"/>
      <c r="AN541" s="236"/>
      <c r="AO541" s="235"/>
      <c r="AP541" s="40"/>
      <c r="AQ541" s="40"/>
      <c r="AR541" s="40"/>
      <c r="AS541" s="40"/>
      <c r="AT541" s="40"/>
      <c r="AU541" s="40"/>
      <c r="AV541" s="40"/>
      <c r="AW541" s="40"/>
      <c r="AX541" s="40"/>
      <c r="AY541" s="40"/>
      <c r="AZ541" s="40"/>
      <c r="BA541" s="40"/>
      <c r="BB541" s="40"/>
      <c r="BC541" s="40"/>
      <c r="BD541" s="40"/>
      <c r="BE541" s="40"/>
      <c r="BF541" s="40"/>
      <c r="BG541" s="40"/>
      <c r="BH541" s="40"/>
      <c r="BI541" s="40"/>
    </row>
    <row r="542" ht="15.75" customHeight="1">
      <c r="A542" s="33"/>
      <c r="B542" s="228"/>
      <c r="C542" s="235"/>
      <c r="D542" s="236"/>
      <c r="E542" s="235"/>
      <c r="F542" s="235"/>
      <c r="G542" s="236"/>
      <c r="H542" s="235"/>
      <c r="I542" s="235"/>
      <c r="J542" s="236"/>
      <c r="K542" s="235"/>
      <c r="L542" s="235"/>
      <c r="M542" s="236"/>
      <c r="N542" s="235"/>
      <c r="O542" s="235"/>
      <c r="P542" s="236"/>
      <c r="Q542" s="235"/>
      <c r="R542" s="235"/>
      <c r="S542" s="236"/>
      <c r="T542" s="235"/>
      <c r="U542" s="235"/>
      <c r="V542" s="236"/>
      <c r="W542" s="235"/>
      <c r="X542" s="235"/>
      <c r="Y542" s="236"/>
      <c r="Z542" s="235"/>
      <c r="AA542" s="235"/>
      <c r="AB542" s="236"/>
      <c r="AC542" s="235"/>
      <c r="AD542" s="235"/>
      <c r="AE542" s="236"/>
      <c r="AF542" s="235"/>
      <c r="AG542" s="235"/>
      <c r="AH542" s="236"/>
      <c r="AI542" s="235"/>
      <c r="AJ542" s="235"/>
      <c r="AK542" s="236"/>
      <c r="AL542" s="235"/>
      <c r="AM542" s="235"/>
      <c r="AN542" s="236"/>
      <c r="AO542" s="235"/>
      <c r="AP542" s="40"/>
      <c r="AQ542" s="40"/>
      <c r="AR542" s="40"/>
      <c r="AS542" s="40"/>
      <c r="AT542" s="40"/>
      <c r="AU542" s="40"/>
      <c r="AV542" s="40"/>
      <c r="AW542" s="40"/>
      <c r="AX542" s="40"/>
      <c r="AY542" s="40"/>
      <c r="AZ542" s="40"/>
      <c r="BA542" s="40"/>
      <c r="BB542" s="40"/>
      <c r="BC542" s="40"/>
      <c r="BD542" s="40"/>
      <c r="BE542" s="40"/>
      <c r="BF542" s="40"/>
      <c r="BG542" s="40"/>
      <c r="BH542" s="40"/>
      <c r="BI542" s="40"/>
    </row>
    <row r="543" ht="15.75" customHeight="1">
      <c r="A543" s="33"/>
      <c r="B543" s="227"/>
      <c r="C543" s="237"/>
      <c r="D543" s="238"/>
      <c r="E543" s="237"/>
      <c r="F543" s="237"/>
      <c r="G543" s="238"/>
      <c r="H543" s="237"/>
      <c r="I543" s="237"/>
      <c r="J543" s="238"/>
      <c r="K543" s="237"/>
      <c r="L543" s="237"/>
      <c r="M543" s="238"/>
      <c r="N543" s="237"/>
      <c r="O543" s="237"/>
      <c r="P543" s="238"/>
      <c r="Q543" s="237"/>
      <c r="R543" s="237"/>
      <c r="S543" s="238"/>
      <c r="T543" s="237"/>
      <c r="U543" s="237"/>
      <c r="V543" s="238"/>
      <c r="W543" s="237"/>
      <c r="X543" s="237"/>
      <c r="Y543" s="238"/>
      <c r="Z543" s="237"/>
      <c r="AA543" s="237"/>
      <c r="AB543" s="238"/>
      <c r="AC543" s="237"/>
      <c r="AD543" s="237"/>
      <c r="AE543" s="238"/>
      <c r="AF543" s="237"/>
      <c r="AG543" s="237"/>
      <c r="AH543" s="238"/>
      <c r="AI543" s="237"/>
      <c r="AJ543" s="237"/>
      <c r="AK543" s="238"/>
      <c r="AL543" s="237"/>
      <c r="AM543" s="237"/>
      <c r="AN543" s="238"/>
      <c r="AO543" s="237"/>
      <c r="AP543" s="40"/>
      <c r="AQ543" s="40"/>
      <c r="AR543" s="40"/>
      <c r="AS543" s="40"/>
      <c r="AT543" s="40"/>
      <c r="AU543" s="40"/>
      <c r="AV543" s="40"/>
      <c r="AW543" s="40"/>
      <c r="AX543" s="40"/>
      <c r="AY543" s="40"/>
      <c r="AZ543" s="40"/>
      <c r="BA543" s="40"/>
      <c r="BB543" s="40"/>
      <c r="BC543" s="40"/>
      <c r="BD543" s="40"/>
      <c r="BE543" s="40"/>
      <c r="BF543" s="40"/>
      <c r="BG543" s="40"/>
      <c r="BH543" s="40"/>
      <c r="BI543" s="40"/>
    </row>
    <row r="544" ht="15.75" customHeight="1">
      <c r="A544" s="33"/>
      <c r="B544" s="228"/>
      <c r="C544" s="235"/>
      <c r="D544" s="236"/>
      <c r="E544" s="235"/>
      <c r="F544" s="235"/>
      <c r="G544" s="236"/>
      <c r="H544" s="235"/>
      <c r="I544" s="235"/>
      <c r="J544" s="236"/>
      <c r="K544" s="235"/>
      <c r="L544" s="235"/>
      <c r="M544" s="236"/>
      <c r="N544" s="235"/>
      <c r="O544" s="235"/>
      <c r="P544" s="236"/>
      <c r="Q544" s="235"/>
      <c r="R544" s="235"/>
      <c r="S544" s="236"/>
      <c r="T544" s="235"/>
      <c r="U544" s="235"/>
      <c r="V544" s="236"/>
      <c r="W544" s="235"/>
      <c r="X544" s="235"/>
      <c r="Y544" s="236"/>
      <c r="Z544" s="235"/>
      <c r="AA544" s="235"/>
      <c r="AB544" s="236"/>
      <c r="AC544" s="235"/>
      <c r="AD544" s="235"/>
      <c r="AE544" s="236"/>
      <c r="AF544" s="235"/>
      <c r="AG544" s="235"/>
      <c r="AH544" s="236"/>
      <c r="AI544" s="235"/>
      <c r="AJ544" s="235"/>
      <c r="AK544" s="236"/>
      <c r="AL544" s="235"/>
      <c r="AM544" s="235"/>
      <c r="AN544" s="236"/>
      <c r="AO544" s="235"/>
      <c r="AP544" s="40"/>
      <c r="AQ544" s="40"/>
      <c r="AR544" s="40"/>
      <c r="AS544" s="40"/>
      <c r="AT544" s="40"/>
      <c r="AU544" s="40"/>
      <c r="AV544" s="40"/>
      <c r="AW544" s="40"/>
      <c r="AX544" s="40"/>
      <c r="AY544" s="40"/>
      <c r="AZ544" s="40"/>
      <c r="BA544" s="40"/>
      <c r="BB544" s="40"/>
      <c r="BC544" s="40"/>
      <c r="BD544" s="40"/>
      <c r="BE544" s="40"/>
      <c r="BF544" s="40"/>
      <c r="BG544" s="40"/>
      <c r="BH544" s="40"/>
      <c r="BI544" s="40"/>
    </row>
    <row r="545" ht="15.75" customHeight="1">
      <c r="A545" s="33"/>
      <c r="B545" s="228"/>
      <c r="C545" s="235"/>
      <c r="D545" s="236"/>
      <c r="E545" s="235"/>
      <c r="F545" s="235"/>
      <c r="G545" s="236"/>
      <c r="H545" s="235"/>
      <c r="I545" s="235"/>
      <c r="J545" s="236"/>
      <c r="K545" s="235"/>
      <c r="L545" s="235"/>
      <c r="M545" s="236"/>
      <c r="N545" s="235"/>
      <c r="O545" s="235"/>
      <c r="P545" s="236"/>
      <c r="Q545" s="235"/>
      <c r="R545" s="235"/>
      <c r="S545" s="236"/>
      <c r="T545" s="235"/>
      <c r="U545" s="235"/>
      <c r="V545" s="236"/>
      <c r="W545" s="235"/>
      <c r="X545" s="235"/>
      <c r="Y545" s="236"/>
      <c r="Z545" s="235"/>
      <c r="AA545" s="235"/>
      <c r="AB545" s="236"/>
      <c r="AC545" s="235"/>
      <c r="AD545" s="235"/>
      <c r="AE545" s="236"/>
      <c r="AF545" s="235"/>
      <c r="AG545" s="235"/>
      <c r="AH545" s="236"/>
      <c r="AI545" s="235"/>
      <c r="AJ545" s="235"/>
      <c r="AK545" s="236"/>
      <c r="AL545" s="235"/>
      <c r="AM545" s="235"/>
      <c r="AN545" s="236"/>
      <c r="AO545" s="235"/>
      <c r="AP545" s="40"/>
      <c r="AQ545" s="40"/>
      <c r="AR545" s="40"/>
      <c r="AS545" s="40"/>
      <c r="AT545" s="40"/>
      <c r="AU545" s="40"/>
      <c r="AV545" s="40"/>
      <c r="AW545" s="40"/>
      <c r="AX545" s="40"/>
      <c r="AY545" s="40"/>
      <c r="AZ545" s="40"/>
      <c r="BA545" s="40"/>
      <c r="BB545" s="40"/>
      <c r="BC545" s="40"/>
      <c r="BD545" s="40"/>
      <c r="BE545" s="40"/>
      <c r="BF545" s="40"/>
      <c r="BG545" s="40"/>
      <c r="BH545" s="40"/>
      <c r="BI545" s="40"/>
    </row>
    <row r="546" ht="15.75" customHeight="1">
      <c r="A546" s="33"/>
      <c r="B546" s="227"/>
      <c r="C546" s="235"/>
      <c r="D546" s="236"/>
      <c r="E546" s="235"/>
      <c r="F546" s="235"/>
      <c r="G546" s="236"/>
      <c r="H546" s="235"/>
      <c r="I546" s="235"/>
      <c r="J546" s="236"/>
      <c r="K546" s="235"/>
      <c r="L546" s="235"/>
      <c r="M546" s="236"/>
      <c r="N546" s="235"/>
      <c r="O546" s="235"/>
      <c r="P546" s="236"/>
      <c r="Q546" s="235"/>
      <c r="R546" s="235"/>
      <c r="S546" s="236"/>
      <c r="T546" s="235"/>
      <c r="U546" s="235"/>
      <c r="V546" s="236"/>
      <c r="W546" s="235"/>
      <c r="X546" s="235"/>
      <c r="Y546" s="236"/>
      <c r="Z546" s="235"/>
      <c r="AA546" s="235"/>
      <c r="AB546" s="236"/>
      <c r="AC546" s="235"/>
      <c r="AD546" s="235"/>
      <c r="AE546" s="236"/>
      <c r="AF546" s="235"/>
      <c r="AG546" s="235"/>
      <c r="AH546" s="236"/>
      <c r="AI546" s="235"/>
      <c r="AJ546" s="235"/>
      <c r="AK546" s="236"/>
      <c r="AL546" s="235"/>
      <c r="AM546" s="235"/>
      <c r="AN546" s="236"/>
      <c r="AO546" s="235"/>
      <c r="AP546" s="40"/>
      <c r="AQ546" s="40"/>
      <c r="AR546" s="40"/>
      <c r="AS546" s="40"/>
      <c r="AT546" s="40"/>
      <c r="AU546" s="40"/>
      <c r="AV546" s="40"/>
      <c r="AW546" s="40"/>
      <c r="AX546" s="40"/>
      <c r="AY546" s="40"/>
      <c r="AZ546" s="40"/>
      <c r="BA546" s="40"/>
      <c r="BB546" s="40"/>
      <c r="BC546" s="40"/>
      <c r="BD546" s="40"/>
      <c r="BE546" s="40"/>
      <c r="BF546" s="40"/>
      <c r="BG546" s="40"/>
      <c r="BH546" s="40"/>
      <c r="BI546" s="40"/>
    </row>
    <row r="547" ht="15.75" customHeight="1">
      <c r="A547" s="33"/>
      <c r="B547" s="228"/>
      <c r="C547" s="228"/>
      <c r="D547" s="228"/>
      <c r="E547" s="228"/>
      <c r="F547" s="228"/>
      <c r="G547" s="228"/>
      <c r="H547" s="228"/>
      <c r="I547" s="228"/>
      <c r="J547" s="228"/>
      <c r="K547" s="228"/>
      <c r="L547" s="228"/>
      <c r="M547" s="228"/>
      <c r="N547" s="228"/>
      <c r="O547" s="228"/>
      <c r="P547" s="228"/>
      <c r="Q547" s="228"/>
      <c r="R547" s="228"/>
      <c r="S547" s="228"/>
      <c r="T547" s="228"/>
      <c r="U547" s="228"/>
      <c r="V547" s="228"/>
      <c r="W547" s="228"/>
      <c r="X547" s="228"/>
      <c r="Y547" s="228"/>
      <c r="Z547" s="228"/>
      <c r="AA547" s="228"/>
      <c r="AB547" s="228"/>
      <c r="AC547" s="228"/>
      <c r="AD547" s="228"/>
      <c r="AE547" s="228"/>
      <c r="AF547" s="228"/>
      <c r="AG547" s="228"/>
      <c r="AH547" s="228"/>
      <c r="AI547" s="228"/>
      <c r="AJ547" s="228"/>
      <c r="AK547" s="228"/>
      <c r="AL547" s="228"/>
      <c r="AM547" s="228"/>
      <c r="AN547" s="228"/>
      <c r="AO547" s="228"/>
      <c r="AP547" s="40"/>
      <c r="AQ547" s="40"/>
      <c r="AR547" s="40"/>
      <c r="AS547" s="40"/>
      <c r="AT547" s="40"/>
      <c r="AU547" s="40"/>
      <c r="AV547" s="40"/>
      <c r="AW547" s="40"/>
      <c r="AX547" s="40"/>
      <c r="AY547" s="40"/>
      <c r="AZ547" s="40"/>
      <c r="BA547" s="40"/>
      <c r="BB547" s="40"/>
      <c r="BC547" s="40"/>
      <c r="BD547" s="40"/>
      <c r="BE547" s="40"/>
      <c r="BF547" s="40"/>
      <c r="BG547" s="40"/>
      <c r="BH547" s="40"/>
      <c r="BI547" s="40"/>
    </row>
    <row r="548" ht="15.75" customHeight="1">
      <c r="A548" s="33"/>
      <c r="B548" s="228"/>
      <c r="C548" s="235"/>
      <c r="D548" s="228"/>
      <c r="E548" s="235"/>
      <c r="F548" s="235"/>
      <c r="G548" s="228"/>
      <c r="H548" s="235"/>
      <c r="I548" s="235"/>
      <c r="J548" s="228"/>
      <c r="K548" s="235"/>
      <c r="L548" s="235"/>
      <c r="M548" s="228"/>
      <c r="N548" s="235"/>
      <c r="O548" s="235"/>
      <c r="P548" s="228"/>
      <c r="Q548" s="235"/>
      <c r="R548" s="235"/>
      <c r="S548" s="228"/>
      <c r="T548" s="235"/>
      <c r="U548" s="235"/>
      <c r="V548" s="228"/>
      <c r="W548" s="235"/>
      <c r="X548" s="235"/>
      <c r="Y548" s="228"/>
      <c r="Z548" s="235"/>
      <c r="AA548" s="235"/>
      <c r="AB548" s="228"/>
      <c r="AC548" s="235"/>
      <c r="AD548" s="235"/>
      <c r="AE548" s="228"/>
      <c r="AF548" s="235"/>
      <c r="AG548" s="235"/>
      <c r="AH548" s="228"/>
      <c r="AI548" s="235"/>
      <c r="AJ548" s="235"/>
      <c r="AK548" s="228"/>
      <c r="AL548" s="235"/>
      <c r="AM548" s="235"/>
      <c r="AN548" s="228"/>
      <c r="AO548" s="235"/>
      <c r="AP548" s="40"/>
      <c r="AQ548" s="40"/>
      <c r="AR548" s="40"/>
      <c r="AS548" s="40"/>
      <c r="AT548" s="40"/>
      <c r="AU548" s="40"/>
      <c r="AV548" s="40"/>
      <c r="AW548" s="40"/>
      <c r="AX548" s="40"/>
      <c r="AY548" s="40"/>
      <c r="AZ548" s="40"/>
      <c r="BA548" s="40"/>
      <c r="BB548" s="40"/>
      <c r="BC548" s="40"/>
      <c r="BD548" s="40"/>
      <c r="BE548" s="40"/>
      <c r="BF548" s="40"/>
      <c r="BG548" s="40"/>
      <c r="BH548" s="40"/>
      <c r="BI548" s="40"/>
    </row>
    <row r="549" ht="15.75" customHeight="1">
      <c r="A549" s="33"/>
      <c r="B549" s="228"/>
      <c r="C549" s="235"/>
      <c r="D549" s="236"/>
      <c r="E549" s="235"/>
      <c r="F549" s="235"/>
      <c r="G549" s="236"/>
      <c r="H549" s="235"/>
      <c r="I549" s="235"/>
      <c r="J549" s="236"/>
      <c r="K549" s="235"/>
      <c r="L549" s="235"/>
      <c r="M549" s="236"/>
      <c r="N549" s="235"/>
      <c r="O549" s="235"/>
      <c r="P549" s="236"/>
      <c r="Q549" s="235"/>
      <c r="R549" s="235"/>
      <c r="S549" s="236"/>
      <c r="T549" s="235"/>
      <c r="U549" s="235"/>
      <c r="V549" s="236"/>
      <c r="W549" s="235"/>
      <c r="X549" s="235"/>
      <c r="Y549" s="236"/>
      <c r="Z549" s="235"/>
      <c r="AA549" s="235"/>
      <c r="AB549" s="236"/>
      <c r="AC549" s="235"/>
      <c r="AD549" s="235"/>
      <c r="AE549" s="236"/>
      <c r="AF549" s="235"/>
      <c r="AG549" s="235"/>
      <c r="AH549" s="236"/>
      <c r="AI549" s="235"/>
      <c r="AJ549" s="235"/>
      <c r="AK549" s="236"/>
      <c r="AL549" s="235"/>
      <c r="AM549" s="235"/>
      <c r="AN549" s="236"/>
      <c r="AO549" s="235"/>
      <c r="AP549" s="40"/>
      <c r="AQ549" s="40"/>
      <c r="AR549" s="40"/>
      <c r="AS549" s="40"/>
      <c r="AT549" s="40"/>
      <c r="AU549" s="40"/>
      <c r="AV549" s="40"/>
      <c r="AW549" s="40"/>
      <c r="AX549" s="40"/>
      <c r="AY549" s="40"/>
      <c r="AZ549" s="40"/>
      <c r="BA549" s="40"/>
      <c r="BB549" s="40"/>
      <c r="BC549" s="40"/>
      <c r="BD549" s="40"/>
      <c r="BE549" s="40"/>
      <c r="BF549" s="40"/>
      <c r="BG549" s="40"/>
      <c r="BH549" s="40"/>
      <c r="BI549" s="40"/>
    </row>
    <row r="550" ht="15.75" customHeight="1">
      <c r="A550" s="33"/>
      <c r="B550" s="228"/>
      <c r="C550" s="235"/>
      <c r="D550" s="236"/>
      <c r="E550" s="235"/>
      <c r="F550" s="235"/>
      <c r="G550" s="236"/>
      <c r="H550" s="235"/>
      <c r="I550" s="235"/>
      <c r="J550" s="236"/>
      <c r="K550" s="235"/>
      <c r="L550" s="235"/>
      <c r="M550" s="236"/>
      <c r="N550" s="235"/>
      <c r="O550" s="235"/>
      <c r="P550" s="236"/>
      <c r="Q550" s="235"/>
      <c r="R550" s="235"/>
      <c r="S550" s="236"/>
      <c r="T550" s="235"/>
      <c r="U550" s="235"/>
      <c r="V550" s="236"/>
      <c r="W550" s="235"/>
      <c r="X550" s="235"/>
      <c r="Y550" s="236"/>
      <c r="Z550" s="235"/>
      <c r="AA550" s="235"/>
      <c r="AB550" s="236"/>
      <c r="AC550" s="235"/>
      <c r="AD550" s="235"/>
      <c r="AE550" s="236"/>
      <c r="AF550" s="235"/>
      <c r="AG550" s="235"/>
      <c r="AH550" s="236"/>
      <c r="AI550" s="235"/>
      <c r="AJ550" s="235"/>
      <c r="AK550" s="236"/>
      <c r="AL550" s="235"/>
      <c r="AM550" s="235"/>
      <c r="AN550" s="236"/>
      <c r="AO550" s="235"/>
      <c r="AP550" s="40"/>
      <c r="AQ550" s="40"/>
      <c r="AR550" s="40"/>
      <c r="AS550" s="40"/>
      <c r="AT550" s="40"/>
      <c r="AU550" s="40"/>
      <c r="AV550" s="40"/>
      <c r="AW550" s="40"/>
      <c r="AX550" s="40"/>
      <c r="AY550" s="40"/>
      <c r="AZ550" s="40"/>
      <c r="BA550" s="40"/>
      <c r="BB550" s="40"/>
      <c r="BC550" s="40"/>
      <c r="BD550" s="40"/>
      <c r="BE550" s="40"/>
      <c r="BF550" s="40"/>
      <c r="BG550" s="40"/>
      <c r="BH550" s="40"/>
      <c r="BI550" s="40"/>
    </row>
    <row r="551" ht="15.75" customHeight="1">
      <c r="A551" s="33"/>
      <c r="B551" s="228"/>
      <c r="C551" s="235"/>
      <c r="D551" s="236"/>
      <c r="E551" s="235"/>
      <c r="F551" s="235"/>
      <c r="G551" s="236"/>
      <c r="H551" s="235"/>
      <c r="I551" s="235"/>
      <c r="J551" s="236"/>
      <c r="K551" s="235"/>
      <c r="L551" s="235"/>
      <c r="M551" s="236"/>
      <c r="N551" s="235"/>
      <c r="O551" s="235"/>
      <c r="P551" s="236"/>
      <c r="Q551" s="235"/>
      <c r="R551" s="235"/>
      <c r="S551" s="236"/>
      <c r="T551" s="235"/>
      <c r="U551" s="235"/>
      <c r="V551" s="236"/>
      <c r="W551" s="235"/>
      <c r="X551" s="235"/>
      <c r="Y551" s="236"/>
      <c r="Z551" s="235"/>
      <c r="AA551" s="235"/>
      <c r="AB551" s="236"/>
      <c r="AC551" s="235"/>
      <c r="AD551" s="235"/>
      <c r="AE551" s="236"/>
      <c r="AF551" s="235"/>
      <c r="AG551" s="235"/>
      <c r="AH551" s="236"/>
      <c r="AI551" s="235"/>
      <c r="AJ551" s="235"/>
      <c r="AK551" s="236"/>
      <c r="AL551" s="235"/>
      <c r="AM551" s="235"/>
      <c r="AN551" s="236"/>
      <c r="AO551" s="235"/>
      <c r="AP551" s="40"/>
      <c r="AQ551" s="40"/>
      <c r="AR551" s="40"/>
      <c r="AS551" s="40"/>
      <c r="AT551" s="40"/>
      <c r="AU551" s="40"/>
      <c r="AV551" s="40"/>
      <c r="AW551" s="40"/>
      <c r="AX551" s="40"/>
      <c r="AY551" s="40"/>
      <c r="AZ551" s="40"/>
      <c r="BA551" s="40"/>
      <c r="BB551" s="40"/>
      <c r="BC551" s="40"/>
      <c r="BD551" s="40"/>
      <c r="BE551" s="40"/>
      <c r="BF551" s="40"/>
      <c r="BG551" s="40"/>
      <c r="BH551" s="40"/>
      <c r="BI551" s="40"/>
    </row>
    <row r="552" ht="15.75" customHeight="1">
      <c r="A552" s="33"/>
      <c r="B552" s="227"/>
      <c r="C552" s="237"/>
      <c r="D552" s="238"/>
      <c r="E552" s="237"/>
      <c r="F552" s="237"/>
      <c r="G552" s="238"/>
      <c r="H552" s="237"/>
      <c r="I552" s="237"/>
      <c r="J552" s="238"/>
      <c r="K552" s="237"/>
      <c r="L552" s="237"/>
      <c r="M552" s="238"/>
      <c r="N552" s="237"/>
      <c r="O552" s="237"/>
      <c r="P552" s="238"/>
      <c r="Q552" s="237"/>
      <c r="R552" s="237"/>
      <c r="S552" s="238"/>
      <c r="T552" s="237"/>
      <c r="U552" s="237"/>
      <c r="V552" s="238"/>
      <c r="W552" s="237"/>
      <c r="X552" s="237"/>
      <c r="Y552" s="238"/>
      <c r="Z552" s="237"/>
      <c r="AA552" s="237"/>
      <c r="AB552" s="238"/>
      <c r="AC552" s="237"/>
      <c r="AD552" s="237"/>
      <c r="AE552" s="238"/>
      <c r="AF552" s="237"/>
      <c r="AG552" s="237"/>
      <c r="AH552" s="238"/>
      <c r="AI552" s="237"/>
      <c r="AJ552" s="237"/>
      <c r="AK552" s="238"/>
      <c r="AL552" s="237"/>
      <c r="AM552" s="237"/>
      <c r="AN552" s="238"/>
      <c r="AO552" s="237"/>
      <c r="AP552" s="40"/>
      <c r="AQ552" s="40"/>
      <c r="AR552" s="40"/>
      <c r="AS552" s="40"/>
      <c r="AT552" s="40"/>
      <c r="AU552" s="40"/>
      <c r="AV552" s="40"/>
      <c r="AW552" s="40"/>
      <c r="AX552" s="40"/>
      <c r="AY552" s="40"/>
      <c r="AZ552" s="40"/>
      <c r="BA552" s="40"/>
      <c r="BB552" s="40"/>
      <c r="BC552" s="40"/>
      <c r="BD552" s="40"/>
      <c r="BE552" s="40"/>
      <c r="BF552" s="40"/>
      <c r="BG552" s="40"/>
      <c r="BH552" s="40"/>
      <c r="BI552" s="40"/>
    </row>
    <row r="553" ht="15.75" customHeight="1">
      <c r="A553" s="33"/>
      <c r="B553" s="228"/>
      <c r="C553" s="228"/>
      <c r="D553" s="228"/>
      <c r="E553" s="228"/>
      <c r="F553" s="228"/>
      <c r="G553" s="228"/>
      <c r="H553" s="228"/>
      <c r="I553" s="228"/>
      <c r="J553" s="228"/>
      <c r="K553" s="228"/>
      <c r="L553" s="228"/>
      <c r="M553" s="228"/>
      <c r="N553" s="228"/>
      <c r="O553" s="228"/>
      <c r="P553" s="228"/>
      <c r="Q553" s="228"/>
      <c r="R553" s="228"/>
      <c r="S553" s="228"/>
      <c r="T553" s="228"/>
      <c r="U553" s="228"/>
      <c r="V553" s="228"/>
      <c r="W553" s="228"/>
      <c r="X553" s="228"/>
      <c r="Y553" s="228"/>
      <c r="Z553" s="228"/>
      <c r="AA553" s="228"/>
      <c r="AB553" s="228"/>
      <c r="AC553" s="228"/>
      <c r="AD553" s="228"/>
      <c r="AE553" s="228"/>
      <c r="AF553" s="228"/>
      <c r="AG553" s="228"/>
      <c r="AH553" s="228"/>
      <c r="AI553" s="228"/>
      <c r="AJ553" s="228"/>
      <c r="AK553" s="228"/>
      <c r="AL553" s="228"/>
      <c r="AM553" s="228"/>
      <c r="AN553" s="228"/>
      <c r="AO553" s="228"/>
      <c r="AP553" s="40"/>
      <c r="AQ553" s="40"/>
      <c r="AR553" s="40"/>
      <c r="AS553" s="40"/>
      <c r="AT553" s="40"/>
      <c r="AU553" s="40"/>
      <c r="AV553" s="40"/>
      <c r="AW553" s="40"/>
      <c r="AX553" s="40"/>
      <c r="AY553" s="40"/>
      <c r="AZ553" s="40"/>
      <c r="BA553" s="40"/>
      <c r="BB553" s="40"/>
      <c r="BC553" s="40"/>
      <c r="BD553" s="40"/>
      <c r="BE553" s="40"/>
      <c r="BF553" s="40"/>
      <c r="BG553" s="40"/>
      <c r="BH553" s="40"/>
      <c r="BI553" s="40"/>
    </row>
    <row r="554" ht="15.75" customHeight="1">
      <c r="A554" s="33"/>
      <c r="B554" s="228"/>
      <c r="C554" s="235"/>
      <c r="D554" s="236"/>
      <c r="E554" s="235"/>
      <c r="F554" s="235"/>
      <c r="G554" s="236"/>
      <c r="H554" s="235"/>
      <c r="I554" s="235"/>
      <c r="J554" s="236"/>
      <c r="K554" s="235"/>
      <c r="L554" s="235"/>
      <c r="M554" s="236"/>
      <c r="N554" s="235"/>
      <c r="O554" s="235"/>
      <c r="P554" s="236"/>
      <c r="Q554" s="235"/>
      <c r="R554" s="235"/>
      <c r="S554" s="236"/>
      <c r="T554" s="235"/>
      <c r="U554" s="235"/>
      <c r="V554" s="236"/>
      <c r="W554" s="235"/>
      <c r="X554" s="235"/>
      <c r="Y554" s="236"/>
      <c r="Z554" s="235"/>
      <c r="AA554" s="235"/>
      <c r="AB554" s="236"/>
      <c r="AC554" s="235"/>
      <c r="AD554" s="235"/>
      <c r="AE554" s="236"/>
      <c r="AF554" s="235"/>
      <c r="AG554" s="235"/>
      <c r="AH554" s="236"/>
      <c r="AI554" s="235"/>
      <c r="AJ554" s="235"/>
      <c r="AK554" s="236"/>
      <c r="AL554" s="235"/>
      <c r="AM554" s="235"/>
      <c r="AN554" s="236"/>
      <c r="AO554" s="235"/>
      <c r="AP554" s="40"/>
      <c r="AQ554" s="40"/>
      <c r="AR554" s="40"/>
      <c r="AS554" s="40"/>
      <c r="AT554" s="40"/>
      <c r="AU554" s="40"/>
      <c r="AV554" s="40"/>
      <c r="AW554" s="40"/>
      <c r="AX554" s="40"/>
      <c r="AY554" s="40"/>
      <c r="AZ554" s="40"/>
      <c r="BA554" s="40"/>
      <c r="BB554" s="40"/>
      <c r="BC554" s="40"/>
      <c r="BD554" s="40"/>
      <c r="BE554" s="40"/>
      <c r="BF554" s="40"/>
      <c r="BG554" s="40"/>
      <c r="BH554" s="40"/>
      <c r="BI554" s="40"/>
    </row>
    <row r="555" ht="15.75" customHeight="1">
      <c r="A555" s="33"/>
      <c r="B555" s="227"/>
      <c r="C555" s="235"/>
      <c r="D555" s="236"/>
      <c r="E555" s="235"/>
      <c r="F555" s="235"/>
      <c r="G555" s="236"/>
      <c r="H555" s="235"/>
      <c r="I555" s="235"/>
      <c r="J555" s="236"/>
      <c r="K555" s="235"/>
      <c r="L555" s="235"/>
      <c r="M555" s="236"/>
      <c r="N555" s="235"/>
      <c r="O555" s="235"/>
      <c r="P555" s="236"/>
      <c r="Q555" s="235"/>
      <c r="R555" s="235"/>
      <c r="S555" s="236"/>
      <c r="T555" s="235"/>
      <c r="U555" s="235"/>
      <c r="V555" s="236"/>
      <c r="W555" s="235"/>
      <c r="X555" s="235"/>
      <c r="Y555" s="236"/>
      <c r="Z555" s="235"/>
      <c r="AA555" s="235"/>
      <c r="AB555" s="236"/>
      <c r="AC555" s="235"/>
      <c r="AD555" s="235"/>
      <c r="AE555" s="236"/>
      <c r="AF555" s="235"/>
      <c r="AG555" s="235"/>
      <c r="AH555" s="236"/>
      <c r="AI555" s="235"/>
      <c r="AJ555" s="235"/>
      <c r="AK555" s="236"/>
      <c r="AL555" s="235"/>
      <c r="AM555" s="235"/>
      <c r="AN555" s="236"/>
      <c r="AO555" s="235"/>
      <c r="AP555" s="40"/>
      <c r="AQ555" s="40"/>
      <c r="AR555" s="40"/>
      <c r="AS555" s="40"/>
      <c r="AT555" s="40"/>
      <c r="AU555" s="40"/>
      <c r="AV555" s="40"/>
      <c r="AW555" s="40"/>
      <c r="AX555" s="40"/>
      <c r="AY555" s="40"/>
      <c r="AZ555" s="40"/>
      <c r="BA555" s="40"/>
      <c r="BB555" s="40"/>
      <c r="BC555" s="40"/>
      <c r="BD555" s="40"/>
      <c r="BE555" s="40"/>
      <c r="BF555" s="40"/>
      <c r="BG555" s="40"/>
      <c r="BH555" s="40"/>
      <c r="BI555" s="40"/>
    </row>
    <row r="556" ht="15.75" customHeight="1">
      <c r="A556" s="33"/>
      <c r="B556" s="228"/>
      <c r="C556" s="235"/>
      <c r="D556" s="236"/>
      <c r="E556" s="235"/>
      <c r="F556" s="235"/>
      <c r="G556" s="236"/>
      <c r="H556" s="235"/>
      <c r="I556" s="235"/>
      <c r="J556" s="236"/>
      <c r="K556" s="235"/>
      <c r="L556" s="235"/>
      <c r="M556" s="236"/>
      <c r="N556" s="235"/>
      <c r="O556" s="235"/>
      <c r="P556" s="236"/>
      <c r="Q556" s="235"/>
      <c r="R556" s="235"/>
      <c r="S556" s="236"/>
      <c r="T556" s="235"/>
      <c r="U556" s="235"/>
      <c r="V556" s="236"/>
      <c r="W556" s="235"/>
      <c r="X556" s="235"/>
      <c r="Y556" s="236"/>
      <c r="Z556" s="235"/>
      <c r="AA556" s="235"/>
      <c r="AB556" s="236"/>
      <c r="AC556" s="235"/>
      <c r="AD556" s="235"/>
      <c r="AE556" s="236"/>
      <c r="AF556" s="235"/>
      <c r="AG556" s="235"/>
      <c r="AH556" s="236"/>
      <c r="AI556" s="235"/>
      <c r="AJ556" s="235"/>
      <c r="AK556" s="236"/>
      <c r="AL556" s="235"/>
      <c r="AM556" s="235"/>
      <c r="AN556" s="236"/>
      <c r="AO556" s="235"/>
      <c r="AP556" s="40"/>
      <c r="AQ556" s="40"/>
      <c r="AR556" s="40"/>
      <c r="AS556" s="40"/>
      <c r="AT556" s="40"/>
      <c r="AU556" s="40"/>
      <c r="AV556" s="40"/>
      <c r="AW556" s="40"/>
      <c r="AX556" s="40"/>
      <c r="AY556" s="40"/>
      <c r="AZ556" s="40"/>
      <c r="BA556" s="40"/>
      <c r="BB556" s="40"/>
      <c r="BC556" s="40"/>
      <c r="BD556" s="40"/>
      <c r="BE556" s="40"/>
      <c r="BF556" s="40"/>
      <c r="BG556" s="40"/>
      <c r="BH556" s="40"/>
      <c r="BI556" s="40"/>
    </row>
    <row r="557" ht="15.75" customHeight="1">
      <c r="A557" s="33"/>
      <c r="B557" s="228"/>
      <c r="C557" s="228"/>
      <c r="D557" s="228"/>
      <c r="E557" s="228"/>
      <c r="F557" s="228"/>
      <c r="G557" s="228"/>
      <c r="H557" s="228"/>
      <c r="I557" s="228"/>
      <c r="J557" s="228"/>
      <c r="K557" s="228"/>
      <c r="L557" s="228"/>
      <c r="M557" s="228"/>
      <c r="N557" s="228"/>
      <c r="O557" s="228"/>
      <c r="P557" s="228"/>
      <c r="Q557" s="228"/>
      <c r="R557" s="228"/>
      <c r="S557" s="228"/>
      <c r="T557" s="228"/>
      <c r="U557" s="228"/>
      <c r="V557" s="228"/>
      <c r="W557" s="228"/>
      <c r="X557" s="228"/>
      <c r="Y557" s="228"/>
      <c r="Z557" s="228"/>
      <c r="AA557" s="228"/>
      <c r="AB557" s="228"/>
      <c r="AC557" s="228"/>
      <c r="AD557" s="228"/>
      <c r="AE557" s="228"/>
      <c r="AF557" s="228"/>
      <c r="AG557" s="228"/>
      <c r="AH557" s="228"/>
      <c r="AI557" s="228"/>
      <c r="AJ557" s="228"/>
      <c r="AK557" s="228"/>
      <c r="AL557" s="228"/>
      <c r="AM557" s="228"/>
      <c r="AN557" s="228"/>
      <c r="AO557" s="228"/>
      <c r="AP557" s="40"/>
      <c r="AQ557" s="40"/>
      <c r="AR557" s="40"/>
      <c r="AS557" s="40"/>
      <c r="AT557" s="40"/>
      <c r="AU557" s="40"/>
      <c r="AV557" s="40"/>
      <c r="AW557" s="40"/>
      <c r="AX557" s="40"/>
      <c r="AY557" s="40"/>
      <c r="AZ557" s="40"/>
      <c r="BA557" s="40"/>
      <c r="BB557" s="40"/>
      <c r="BC557" s="40"/>
      <c r="BD557" s="40"/>
      <c r="BE557" s="40"/>
      <c r="BF557" s="40"/>
      <c r="BG557" s="40"/>
      <c r="BH557" s="40"/>
      <c r="BI557" s="40"/>
    </row>
    <row r="558" ht="15.75" customHeight="1">
      <c r="A558" s="33"/>
      <c r="B558" s="228"/>
      <c r="C558" s="228"/>
      <c r="D558" s="228"/>
      <c r="E558" s="228"/>
      <c r="F558" s="228"/>
      <c r="G558" s="228"/>
      <c r="H558" s="228"/>
      <c r="I558" s="228"/>
      <c r="J558" s="228"/>
      <c r="K558" s="228"/>
      <c r="L558" s="228"/>
      <c r="M558" s="228"/>
      <c r="N558" s="228"/>
      <c r="O558" s="228"/>
      <c r="P558" s="228"/>
      <c r="Q558" s="228"/>
      <c r="R558" s="228"/>
      <c r="S558" s="228"/>
      <c r="T558" s="228"/>
      <c r="U558" s="228"/>
      <c r="V558" s="228"/>
      <c r="W558" s="228"/>
      <c r="X558" s="228"/>
      <c r="Y558" s="228"/>
      <c r="Z558" s="228"/>
      <c r="AA558" s="228"/>
      <c r="AB558" s="228"/>
      <c r="AC558" s="228"/>
      <c r="AD558" s="228"/>
      <c r="AE558" s="228"/>
      <c r="AF558" s="228"/>
      <c r="AG558" s="228"/>
      <c r="AH558" s="228"/>
      <c r="AI558" s="228"/>
      <c r="AJ558" s="228"/>
      <c r="AK558" s="228"/>
      <c r="AL558" s="228"/>
      <c r="AM558" s="228"/>
      <c r="AN558" s="228"/>
      <c r="AO558" s="228"/>
      <c r="AP558" s="40"/>
      <c r="AQ558" s="40"/>
      <c r="AR558" s="40"/>
      <c r="AS558" s="40"/>
      <c r="AT558" s="40"/>
      <c r="AU558" s="40"/>
      <c r="AV558" s="40"/>
      <c r="AW558" s="40"/>
      <c r="AX558" s="40"/>
      <c r="AY558" s="40"/>
      <c r="AZ558" s="40"/>
      <c r="BA558" s="40"/>
      <c r="BB558" s="40"/>
      <c r="BC558" s="40"/>
      <c r="BD558" s="40"/>
      <c r="BE558" s="40"/>
      <c r="BF558" s="40"/>
      <c r="BG558" s="40"/>
      <c r="BH558" s="40"/>
      <c r="BI558" s="40"/>
    </row>
    <row r="559" ht="15.75" customHeight="1">
      <c r="A559" s="33"/>
      <c r="B559" s="228"/>
      <c r="C559" s="228"/>
      <c r="D559" s="228"/>
      <c r="E559" s="228"/>
      <c r="F559" s="228"/>
      <c r="G559" s="228"/>
      <c r="H559" s="228"/>
      <c r="I559" s="228"/>
      <c r="J559" s="228"/>
      <c r="K559" s="228"/>
      <c r="L559" s="228"/>
      <c r="M559" s="228"/>
      <c r="N559" s="228"/>
      <c r="O559" s="228"/>
      <c r="P559" s="228"/>
      <c r="Q559" s="228"/>
      <c r="R559" s="228"/>
      <c r="S559" s="228"/>
      <c r="T559" s="228"/>
      <c r="U559" s="228"/>
      <c r="V559" s="228"/>
      <c r="W559" s="228"/>
      <c r="X559" s="228"/>
      <c r="Y559" s="228"/>
      <c r="Z559" s="228"/>
      <c r="AA559" s="228"/>
      <c r="AB559" s="228"/>
      <c r="AC559" s="228"/>
      <c r="AD559" s="228"/>
      <c r="AE559" s="228"/>
      <c r="AF559" s="228"/>
      <c r="AG559" s="228"/>
      <c r="AH559" s="228"/>
      <c r="AI559" s="228"/>
      <c r="AJ559" s="228"/>
      <c r="AK559" s="228"/>
      <c r="AL559" s="228"/>
      <c r="AM559" s="228"/>
      <c r="AN559" s="228"/>
      <c r="AO559" s="228"/>
      <c r="AP559" s="40"/>
      <c r="AQ559" s="40"/>
      <c r="AR559" s="40"/>
      <c r="AS559" s="40"/>
      <c r="AT559" s="40"/>
      <c r="AU559" s="40"/>
      <c r="AV559" s="40"/>
      <c r="AW559" s="40"/>
      <c r="AX559" s="40"/>
      <c r="AY559" s="40"/>
      <c r="AZ559" s="40"/>
      <c r="BA559" s="40"/>
      <c r="BB559" s="40"/>
      <c r="BC559" s="40"/>
      <c r="BD559" s="40"/>
      <c r="BE559" s="40"/>
      <c r="BF559" s="40"/>
      <c r="BG559" s="40"/>
      <c r="BH559" s="40"/>
      <c r="BI559" s="40"/>
    </row>
    <row r="560" ht="15.75" customHeight="1">
      <c r="A560" s="33"/>
      <c r="B560" s="228"/>
      <c r="C560" s="228"/>
      <c r="D560" s="228"/>
      <c r="E560" s="228"/>
      <c r="F560" s="228"/>
      <c r="G560" s="228"/>
      <c r="H560" s="228"/>
      <c r="I560" s="228"/>
      <c r="J560" s="228"/>
      <c r="K560" s="228"/>
      <c r="L560" s="228"/>
      <c r="M560" s="228"/>
      <c r="N560" s="228"/>
      <c r="O560" s="228"/>
      <c r="P560" s="228"/>
      <c r="Q560" s="228"/>
      <c r="R560" s="228"/>
      <c r="S560" s="228"/>
      <c r="T560" s="228"/>
      <c r="U560" s="228"/>
      <c r="V560" s="228"/>
      <c r="W560" s="228"/>
      <c r="X560" s="228"/>
      <c r="Y560" s="228"/>
      <c r="Z560" s="228"/>
      <c r="AA560" s="228"/>
      <c r="AB560" s="228"/>
      <c r="AC560" s="228"/>
      <c r="AD560" s="228"/>
      <c r="AE560" s="228"/>
      <c r="AF560" s="228"/>
      <c r="AG560" s="228"/>
      <c r="AH560" s="228"/>
      <c r="AI560" s="228"/>
      <c r="AJ560" s="228"/>
      <c r="AK560" s="228"/>
      <c r="AL560" s="228"/>
      <c r="AM560" s="228"/>
      <c r="AN560" s="228"/>
      <c r="AO560" s="228"/>
      <c r="AP560" s="40"/>
      <c r="AQ560" s="40"/>
      <c r="AR560" s="40"/>
      <c r="AS560" s="40"/>
      <c r="AT560" s="40"/>
      <c r="AU560" s="40"/>
      <c r="AV560" s="40"/>
      <c r="AW560" s="40"/>
      <c r="AX560" s="40"/>
      <c r="AY560" s="40"/>
      <c r="AZ560" s="40"/>
      <c r="BA560" s="40"/>
      <c r="BB560" s="40"/>
      <c r="BC560" s="40"/>
      <c r="BD560" s="40"/>
      <c r="BE560" s="40"/>
      <c r="BF560" s="40"/>
      <c r="BG560" s="40"/>
      <c r="BH560" s="40"/>
      <c r="BI560" s="40"/>
    </row>
    <row r="561" ht="15.75" customHeight="1">
      <c r="A561" s="33"/>
      <c r="B561" s="228"/>
      <c r="C561" s="228"/>
      <c r="D561" s="228"/>
      <c r="E561" s="228"/>
      <c r="F561" s="228"/>
      <c r="G561" s="228"/>
      <c r="H561" s="228"/>
      <c r="I561" s="228"/>
      <c r="J561" s="228"/>
      <c r="K561" s="228"/>
      <c r="L561" s="228"/>
      <c r="M561" s="228"/>
      <c r="N561" s="228"/>
      <c r="O561" s="228"/>
      <c r="P561" s="228"/>
      <c r="Q561" s="228"/>
      <c r="R561" s="228"/>
      <c r="S561" s="228"/>
      <c r="T561" s="228"/>
      <c r="U561" s="228"/>
      <c r="V561" s="228"/>
      <c r="W561" s="228"/>
      <c r="X561" s="228"/>
      <c r="Y561" s="228"/>
      <c r="Z561" s="228"/>
      <c r="AA561" s="228"/>
      <c r="AB561" s="228"/>
      <c r="AC561" s="228"/>
      <c r="AD561" s="228"/>
      <c r="AE561" s="228"/>
      <c r="AF561" s="228"/>
      <c r="AG561" s="228"/>
      <c r="AH561" s="228"/>
      <c r="AI561" s="228"/>
      <c r="AJ561" s="228"/>
      <c r="AK561" s="228"/>
      <c r="AL561" s="228"/>
      <c r="AM561" s="228"/>
      <c r="AN561" s="228"/>
      <c r="AO561" s="228"/>
      <c r="AP561" s="40"/>
      <c r="AQ561" s="40"/>
      <c r="AR561" s="40"/>
      <c r="AS561" s="40"/>
      <c r="AT561" s="40"/>
      <c r="AU561" s="40"/>
      <c r="AV561" s="40"/>
      <c r="AW561" s="40"/>
      <c r="AX561" s="40"/>
      <c r="AY561" s="40"/>
      <c r="AZ561" s="40"/>
      <c r="BA561" s="40"/>
      <c r="BB561" s="40"/>
      <c r="BC561" s="40"/>
      <c r="BD561" s="40"/>
      <c r="BE561" s="40"/>
      <c r="BF561" s="40"/>
      <c r="BG561" s="40"/>
      <c r="BH561" s="40"/>
      <c r="BI561" s="40"/>
    </row>
    <row r="562" ht="15.75" customHeight="1">
      <c r="A562" s="33"/>
      <c r="B562" s="228"/>
      <c r="C562" s="228"/>
      <c r="D562" s="228"/>
      <c r="E562" s="228"/>
      <c r="F562" s="228"/>
      <c r="G562" s="228"/>
      <c r="H562" s="228"/>
      <c r="I562" s="228"/>
      <c r="J562" s="228"/>
      <c r="K562" s="228"/>
      <c r="L562" s="228"/>
      <c r="M562" s="228"/>
      <c r="N562" s="228"/>
      <c r="O562" s="228"/>
      <c r="P562" s="228"/>
      <c r="Q562" s="228"/>
      <c r="R562" s="228"/>
      <c r="S562" s="228"/>
      <c r="T562" s="228"/>
      <c r="U562" s="228"/>
      <c r="V562" s="228"/>
      <c r="W562" s="228"/>
      <c r="X562" s="228"/>
      <c r="Y562" s="228"/>
      <c r="Z562" s="228"/>
      <c r="AA562" s="228"/>
      <c r="AB562" s="228"/>
      <c r="AC562" s="228"/>
      <c r="AD562" s="228"/>
      <c r="AE562" s="228"/>
      <c r="AF562" s="228"/>
      <c r="AG562" s="228"/>
      <c r="AH562" s="228"/>
      <c r="AI562" s="228"/>
      <c r="AJ562" s="228"/>
      <c r="AK562" s="228"/>
      <c r="AL562" s="228"/>
      <c r="AM562" s="228"/>
      <c r="AN562" s="228"/>
      <c r="AO562" s="228"/>
      <c r="AP562" s="40"/>
      <c r="AQ562" s="40"/>
      <c r="AR562" s="40"/>
      <c r="AS562" s="40"/>
      <c r="AT562" s="40"/>
      <c r="AU562" s="40"/>
      <c r="AV562" s="40"/>
      <c r="AW562" s="40"/>
      <c r="AX562" s="40"/>
      <c r="AY562" s="40"/>
      <c r="AZ562" s="40"/>
      <c r="BA562" s="40"/>
      <c r="BB562" s="40"/>
      <c r="BC562" s="40"/>
      <c r="BD562" s="40"/>
      <c r="BE562" s="40"/>
      <c r="BF562" s="40"/>
      <c r="BG562" s="40"/>
      <c r="BH562" s="40"/>
      <c r="BI562" s="40"/>
    </row>
    <row r="563" ht="15.75" customHeight="1">
      <c r="A563" s="33"/>
      <c r="B563" s="228"/>
      <c r="C563" s="228"/>
      <c r="D563" s="228"/>
      <c r="E563" s="228"/>
      <c r="F563" s="228"/>
      <c r="G563" s="228"/>
      <c r="H563" s="228"/>
      <c r="I563" s="228"/>
      <c r="J563" s="228"/>
      <c r="K563" s="228"/>
      <c r="L563" s="228"/>
      <c r="M563" s="228"/>
      <c r="N563" s="228"/>
      <c r="O563" s="228"/>
      <c r="P563" s="228"/>
      <c r="Q563" s="228"/>
      <c r="R563" s="228"/>
      <c r="S563" s="228"/>
      <c r="T563" s="228"/>
      <c r="U563" s="228"/>
      <c r="V563" s="228"/>
      <c r="W563" s="228"/>
      <c r="X563" s="228"/>
      <c r="Y563" s="228"/>
      <c r="Z563" s="228"/>
      <c r="AA563" s="228"/>
      <c r="AB563" s="228"/>
      <c r="AC563" s="228"/>
      <c r="AD563" s="228"/>
      <c r="AE563" s="228"/>
      <c r="AF563" s="228"/>
      <c r="AG563" s="228"/>
      <c r="AH563" s="228"/>
      <c r="AI563" s="228"/>
      <c r="AJ563" s="228"/>
      <c r="AK563" s="228"/>
      <c r="AL563" s="228"/>
      <c r="AM563" s="228"/>
      <c r="AN563" s="228"/>
      <c r="AO563" s="228"/>
      <c r="AP563" s="40"/>
      <c r="AQ563" s="40"/>
      <c r="AR563" s="40"/>
      <c r="AS563" s="40"/>
      <c r="AT563" s="40"/>
      <c r="AU563" s="40"/>
      <c r="AV563" s="40"/>
      <c r="AW563" s="40"/>
      <c r="AX563" s="40"/>
      <c r="AY563" s="40"/>
      <c r="AZ563" s="40"/>
      <c r="BA563" s="40"/>
      <c r="BB563" s="40"/>
      <c r="BC563" s="40"/>
      <c r="BD563" s="40"/>
      <c r="BE563" s="40"/>
      <c r="BF563" s="40"/>
      <c r="BG563" s="40"/>
      <c r="BH563" s="40"/>
      <c r="BI563" s="40"/>
    </row>
    <row r="564" ht="15.75" customHeight="1">
      <c r="A564" s="33"/>
      <c r="B564" s="228"/>
      <c r="C564" s="228"/>
      <c r="D564" s="228"/>
      <c r="E564" s="228"/>
      <c r="F564" s="228"/>
      <c r="G564" s="228"/>
      <c r="H564" s="228"/>
      <c r="I564" s="228"/>
      <c r="J564" s="228"/>
      <c r="K564" s="228"/>
      <c r="L564" s="228"/>
      <c r="M564" s="228"/>
      <c r="N564" s="228"/>
      <c r="O564" s="228"/>
      <c r="P564" s="228"/>
      <c r="Q564" s="228"/>
      <c r="R564" s="228"/>
      <c r="S564" s="228"/>
      <c r="T564" s="228"/>
      <c r="U564" s="228"/>
      <c r="V564" s="228"/>
      <c r="W564" s="228"/>
      <c r="X564" s="228"/>
      <c r="Y564" s="228"/>
      <c r="Z564" s="228"/>
      <c r="AA564" s="228"/>
      <c r="AB564" s="228"/>
      <c r="AC564" s="228"/>
      <c r="AD564" s="228"/>
      <c r="AE564" s="228"/>
      <c r="AF564" s="228"/>
      <c r="AG564" s="228"/>
      <c r="AH564" s="228"/>
      <c r="AI564" s="228"/>
      <c r="AJ564" s="228"/>
      <c r="AK564" s="228"/>
      <c r="AL564" s="228"/>
      <c r="AM564" s="228"/>
      <c r="AN564" s="228"/>
      <c r="AO564" s="228"/>
      <c r="AP564" s="40"/>
      <c r="AQ564" s="40"/>
      <c r="AR564" s="40"/>
      <c r="AS564" s="40"/>
      <c r="AT564" s="40"/>
      <c r="AU564" s="40"/>
      <c r="AV564" s="40"/>
      <c r="AW564" s="40"/>
      <c r="AX564" s="40"/>
      <c r="AY564" s="40"/>
      <c r="AZ564" s="40"/>
      <c r="BA564" s="40"/>
      <c r="BB564" s="40"/>
      <c r="BC564" s="40"/>
      <c r="BD564" s="40"/>
      <c r="BE564" s="40"/>
      <c r="BF564" s="40"/>
      <c r="BG564" s="40"/>
      <c r="BH564" s="40"/>
      <c r="BI564" s="40"/>
    </row>
    <row r="565" ht="15.75" customHeight="1">
      <c r="A565" s="33"/>
      <c r="B565" s="227"/>
      <c r="C565" s="228"/>
      <c r="D565" s="228"/>
      <c r="E565" s="228"/>
      <c r="F565" s="228"/>
      <c r="G565" s="228"/>
      <c r="H565" s="228"/>
      <c r="I565" s="228"/>
      <c r="J565" s="228"/>
      <c r="K565" s="228"/>
      <c r="L565" s="228"/>
      <c r="M565" s="228"/>
      <c r="N565" s="228"/>
      <c r="O565" s="228"/>
      <c r="P565" s="228"/>
      <c r="Q565" s="228"/>
      <c r="R565" s="228"/>
      <c r="S565" s="228"/>
      <c r="T565" s="228"/>
      <c r="U565" s="228"/>
      <c r="V565" s="228"/>
      <c r="W565" s="228"/>
      <c r="X565" s="228"/>
      <c r="Y565" s="228"/>
      <c r="Z565" s="228"/>
      <c r="AA565" s="228"/>
      <c r="AB565" s="228"/>
      <c r="AC565" s="228"/>
      <c r="AD565" s="228"/>
      <c r="AE565" s="228"/>
      <c r="AF565" s="228"/>
      <c r="AG565" s="228"/>
      <c r="AH565" s="228"/>
      <c r="AI565" s="228"/>
      <c r="AJ565" s="228"/>
      <c r="AK565" s="228"/>
      <c r="AL565" s="228"/>
      <c r="AM565" s="228"/>
      <c r="AN565" s="228"/>
      <c r="AO565" s="228"/>
      <c r="AP565" s="40"/>
      <c r="AQ565" s="40"/>
      <c r="AR565" s="40"/>
      <c r="AS565" s="40"/>
      <c r="AT565" s="40"/>
      <c r="AU565" s="40"/>
      <c r="AV565" s="40"/>
      <c r="AW565" s="40"/>
      <c r="AX565" s="40"/>
      <c r="AY565" s="40"/>
      <c r="AZ565" s="40"/>
      <c r="BA565" s="40"/>
      <c r="BB565" s="40"/>
      <c r="BC565" s="40"/>
      <c r="BD565" s="40"/>
      <c r="BE565" s="40"/>
      <c r="BF565" s="40"/>
      <c r="BG565" s="40"/>
      <c r="BH565" s="40"/>
      <c r="BI565" s="40"/>
    </row>
    <row r="566" ht="15.75" customHeight="1">
      <c r="A566" s="33"/>
      <c r="B566" s="228"/>
      <c r="C566" s="228"/>
      <c r="D566" s="228"/>
      <c r="E566" s="228"/>
      <c r="F566" s="228"/>
      <c r="G566" s="228"/>
      <c r="H566" s="228"/>
      <c r="I566" s="228"/>
      <c r="J566" s="228"/>
      <c r="K566" s="228"/>
      <c r="L566" s="228"/>
      <c r="M566" s="228"/>
      <c r="N566" s="228"/>
      <c r="O566" s="228"/>
      <c r="P566" s="228"/>
      <c r="Q566" s="228"/>
      <c r="R566" s="228"/>
      <c r="S566" s="228"/>
      <c r="T566" s="228"/>
      <c r="U566" s="228"/>
      <c r="V566" s="228"/>
      <c r="W566" s="228"/>
      <c r="X566" s="228"/>
      <c r="Y566" s="228"/>
      <c r="Z566" s="228"/>
      <c r="AA566" s="228"/>
      <c r="AB566" s="228"/>
      <c r="AC566" s="228"/>
      <c r="AD566" s="228"/>
      <c r="AE566" s="228"/>
      <c r="AF566" s="228"/>
      <c r="AG566" s="228"/>
      <c r="AH566" s="228"/>
      <c r="AI566" s="228"/>
      <c r="AJ566" s="228"/>
      <c r="AK566" s="228"/>
      <c r="AL566" s="228"/>
      <c r="AM566" s="228"/>
      <c r="AN566" s="228"/>
      <c r="AO566" s="228"/>
      <c r="AP566" s="40"/>
      <c r="AQ566" s="40"/>
      <c r="AR566" s="40"/>
      <c r="AS566" s="40"/>
      <c r="AT566" s="40"/>
      <c r="AU566" s="40"/>
      <c r="AV566" s="40"/>
      <c r="AW566" s="40"/>
      <c r="AX566" s="40"/>
      <c r="AY566" s="40"/>
      <c r="AZ566" s="40"/>
      <c r="BA566" s="40"/>
      <c r="BB566" s="40"/>
      <c r="BC566" s="40"/>
      <c r="BD566" s="40"/>
      <c r="BE566" s="40"/>
      <c r="BF566" s="40"/>
      <c r="BG566" s="40"/>
      <c r="BH566" s="40"/>
      <c r="BI566" s="40"/>
    </row>
    <row r="567" ht="15.75" customHeight="1">
      <c r="A567" s="33"/>
      <c r="B567" s="228"/>
      <c r="C567" s="228"/>
      <c r="D567" s="228"/>
      <c r="E567" s="228"/>
      <c r="F567" s="228"/>
      <c r="G567" s="228"/>
      <c r="H567" s="228"/>
      <c r="I567" s="228"/>
      <c r="J567" s="228"/>
      <c r="K567" s="228"/>
      <c r="L567" s="228"/>
      <c r="M567" s="228"/>
      <c r="N567" s="228"/>
      <c r="O567" s="228"/>
      <c r="P567" s="228"/>
      <c r="Q567" s="228"/>
      <c r="R567" s="228"/>
      <c r="S567" s="228"/>
      <c r="T567" s="228"/>
      <c r="U567" s="228"/>
      <c r="V567" s="228"/>
      <c r="W567" s="228"/>
      <c r="X567" s="228"/>
      <c r="Y567" s="228"/>
      <c r="Z567" s="228"/>
      <c r="AA567" s="228"/>
      <c r="AB567" s="228"/>
      <c r="AC567" s="228"/>
      <c r="AD567" s="228"/>
      <c r="AE567" s="228"/>
      <c r="AF567" s="228"/>
      <c r="AG567" s="228"/>
      <c r="AH567" s="228"/>
      <c r="AI567" s="228"/>
      <c r="AJ567" s="228"/>
      <c r="AK567" s="228"/>
      <c r="AL567" s="228"/>
      <c r="AM567" s="228"/>
      <c r="AN567" s="228"/>
      <c r="AO567" s="228"/>
      <c r="AP567" s="40"/>
      <c r="AQ567" s="40"/>
      <c r="AR567" s="40"/>
      <c r="AS567" s="40"/>
      <c r="AT567" s="40"/>
      <c r="AU567" s="40"/>
      <c r="AV567" s="40"/>
      <c r="AW567" s="40"/>
      <c r="AX567" s="40"/>
      <c r="AY567" s="40"/>
      <c r="AZ567" s="40"/>
      <c r="BA567" s="40"/>
      <c r="BB567" s="40"/>
      <c r="BC567" s="40"/>
      <c r="BD567" s="40"/>
      <c r="BE567" s="40"/>
      <c r="BF567" s="40"/>
      <c r="BG567" s="40"/>
      <c r="BH567" s="40"/>
      <c r="BI567" s="40"/>
    </row>
    <row r="568" ht="15.75" customHeight="1">
      <c r="A568" s="33"/>
      <c r="B568" s="228"/>
      <c r="C568" s="228"/>
      <c r="D568" s="228"/>
      <c r="E568" s="228"/>
      <c r="F568" s="228"/>
      <c r="G568" s="228"/>
      <c r="H568" s="228"/>
      <c r="I568" s="228"/>
      <c r="J568" s="228"/>
      <c r="K568" s="228"/>
      <c r="L568" s="228"/>
      <c r="M568" s="228"/>
      <c r="N568" s="228"/>
      <c r="O568" s="228"/>
      <c r="P568" s="228"/>
      <c r="Q568" s="228"/>
      <c r="R568" s="228"/>
      <c r="S568" s="228"/>
      <c r="T568" s="228"/>
      <c r="U568" s="228"/>
      <c r="V568" s="228"/>
      <c r="W568" s="228"/>
      <c r="X568" s="228"/>
      <c r="Y568" s="228"/>
      <c r="Z568" s="228"/>
      <c r="AA568" s="228"/>
      <c r="AB568" s="228"/>
      <c r="AC568" s="228"/>
      <c r="AD568" s="228"/>
      <c r="AE568" s="228"/>
      <c r="AF568" s="228"/>
      <c r="AG568" s="228"/>
      <c r="AH568" s="228"/>
      <c r="AI568" s="228"/>
      <c r="AJ568" s="228"/>
      <c r="AK568" s="228"/>
      <c r="AL568" s="228"/>
      <c r="AM568" s="228"/>
      <c r="AN568" s="228"/>
      <c r="AO568" s="228"/>
      <c r="AP568" s="40"/>
      <c r="AQ568" s="40"/>
      <c r="AR568" s="40"/>
      <c r="AS568" s="40"/>
      <c r="AT568" s="40"/>
      <c r="AU568" s="40"/>
      <c r="AV568" s="40"/>
      <c r="AW568" s="40"/>
      <c r="AX568" s="40"/>
      <c r="AY568" s="40"/>
      <c r="AZ568" s="40"/>
      <c r="BA568" s="40"/>
      <c r="BB568" s="40"/>
      <c r="BC568" s="40"/>
      <c r="BD568" s="40"/>
      <c r="BE568" s="40"/>
      <c r="BF568" s="40"/>
      <c r="BG568" s="40"/>
      <c r="BH568" s="40"/>
      <c r="BI568" s="40"/>
    </row>
    <row r="569" ht="15.75" customHeight="1">
      <c r="A569" s="33"/>
      <c r="B569" s="227"/>
      <c r="C569" s="228"/>
      <c r="D569" s="228"/>
      <c r="E569" s="228"/>
      <c r="F569" s="228"/>
      <c r="G569" s="228"/>
      <c r="H569" s="228"/>
      <c r="I569" s="228"/>
      <c r="J569" s="228"/>
      <c r="K569" s="228"/>
      <c r="L569" s="228"/>
      <c r="M569" s="228"/>
      <c r="N569" s="228"/>
      <c r="O569" s="228"/>
      <c r="P569" s="228"/>
      <c r="Q569" s="228"/>
      <c r="R569" s="228"/>
      <c r="S569" s="228"/>
      <c r="T569" s="228"/>
      <c r="U569" s="228"/>
      <c r="V569" s="228"/>
      <c r="W569" s="228"/>
      <c r="X569" s="228"/>
      <c r="Y569" s="228"/>
      <c r="Z569" s="228"/>
      <c r="AA569" s="228"/>
      <c r="AB569" s="228"/>
      <c r="AC569" s="228"/>
      <c r="AD569" s="228"/>
      <c r="AE569" s="228"/>
      <c r="AF569" s="228"/>
      <c r="AG569" s="228"/>
      <c r="AH569" s="228"/>
      <c r="AI569" s="228"/>
      <c r="AJ569" s="228"/>
      <c r="AK569" s="228"/>
      <c r="AL569" s="228"/>
      <c r="AM569" s="228"/>
      <c r="AN569" s="228"/>
      <c r="AO569" s="228"/>
      <c r="AP569" s="40"/>
      <c r="AQ569" s="40"/>
      <c r="AR569" s="40"/>
      <c r="AS569" s="40"/>
      <c r="AT569" s="40"/>
      <c r="AU569" s="40"/>
      <c r="AV569" s="40"/>
      <c r="AW569" s="40"/>
      <c r="AX569" s="40"/>
      <c r="AY569" s="40"/>
      <c r="AZ569" s="40"/>
      <c r="BA569" s="40"/>
      <c r="BB569" s="40"/>
      <c r="BC569" s="40"/>
      <c r="BD569" s="40"/>
      <c r="BE569" s="40"/>
      <c r="BF569" s="40"/>
      <c r="BG569" s="40"/>
      <c r="BH569" s="40"/>
      <c r="BI569" s="40"/>
    </row>
    <row r="570" ht="15.75" customHeight="1">
      <c r="A570" s="33"/>
      <c r="B570" s="228"/>
      <c r="C570" s="228"/>
      <c r="D570" s="228"/>
      <c r="E570" s="228"/>
      <c r="F570" s="228"/>
      <c r="G570" s="228"/>
      <c r="H570" s="228"/>
      <c r="I570" s="228"/>
      <c r="J570" s="228"/>
      <c r="K570" s="228"/>
      <c r="L570" s="228"/>
      <c r="M570" s="228"/>
      <c r="N570" s="228"/>
      <c r="O570" s="228"/>
      <c r="P570" s="228"/>
      <c r="Q570" s="228"/>
      <c r="R570" s="228"/>
      <c r="S570" s="228"/>
      <c r="T570" s="228"/>
      <c r="U570" s="228"/>
      <c r="V570" s="228"/>
      <c r="W570" s="228"/>
      <c r="X570" s="228"/>
      <c r="Y570" s="228"/>
      <c r="Z570" s="228"/>
      <c r="AA570" s="228"/>
      <c r="AB570" s="228"/>
      <c r="AC570" s="228"/>
      <c r="AD570" s="228"/>
      <c r="AE570" s="228"/>
      <c r="AF570" s="228"/>
      <c r="AG570" s="228"/>
      <c r="AH570" s="228"/>
      <c r="AI570" s="228"/>
      <c r="AJ570" s="228"/>
      <c r="AK570" s="228"/>
      <c r="AL570" s="228"/>
      <c r="AM570" s="228"/>
      <c r="AN570" s="228"/>
      <c r="AO570" s="228"/>
      <c r="AP570" s="40"/>
      <c r="AQ570" s="40"/>
      <c r="AR570" s="40"/>
      <c r="AS570" s="40"/>
      <c r="AT570" s="40"/>
      <c r="AU570" s="40"/>
      <c r="AV570" s="40"/>
      <c r="AW570" s="40"/>
      <c r="AX570" s="40"/>
      <c r="AY570" s="40"/>
      <c r="AZ570" s="40"/>
      <c r="BA570" s="40"/>
      <c r="BB570" s="40"/>
      <c r="BC570" s="40"/>
      <c r="BD570" s="40"/>
      <c r="BE570" s="40"/>
      <c r="BF570" s="40"/>
      <c r="BG570" s="40"/>
      <c r="BH570" s="40"/>
      <c r="BI570" s="40"/>
    </row>
    <row r="571" ht="15.75" customHeight="1">
      <c r="A571" s="33"/>
      <c r="B571" s="228"/>
      <c r="C571" s="228"/>
      <c r="D571" s="228"/>
      <c r="E571" s="228"/>
      <c r="F571" s="228"/>
      <c r="G571" s="228"/>
      <c r="H571" s="228"/>
      <c r="I571" s="228"/>
      <c r="J571" s="228"/>
      <c r="K571" s="228"/>
      <c r="L571" s="228"/>
      <c r="M571" s="228"/>
      <c r="N571" s="228"/>
      <c r="O571" s="228"/>
      <c r="P571" s="228"/>
      <c r="Q571" s="228"/>
      <c r="R571" s="228"/>
      <c r="S571" s="228"/>
      <c r="T571" s="228"/>
      <c r="U571" s="228"/>
      <c r="V571" s="228"/>
      <c r="W571" s="228"/>
      <c r="X571" s="228"/>
      <c r="Y571" s="228"/>
      <c r="Z571" s="228"/>
      <c r="AA571" s="228"/>
      <c r="AB571" s="228"/>
      <c r="AC571" s="228"/>
      <c r="AD571" s="228"/>
      <c r="AE571" s="228"/>
      <c r="AF571" s="228"/>
      <c r="AG571" s="228"/>
      <c r="AH571" s="228"/>
      <c r="AI571" s="228"/>
      <c r="AJ571" s="228"/>
      <c r="AK571" s="228"/>
      <c r="AL571" s="228"/>
      <c r="AM571" s="228"/>
      <c r="AN571" s="228"/>
      <c r="AO571" s="228"/>
      <c r="AP571" s="40"/>
      <c r="AQ571" s="40"/>
      <c r="AR571" s="40"/>
      <c r="AS571" s="40"/>
      <c r="AT571" s="40"/>
      <c r="AU571" s="40"/>
      <c r="AV571" s="40"/>
      <c r="AW571" s="40"/>
      <c r="AX571" s="40"/>
      <c r="AY571" s="40"/>
      <c r="AZ571" s="40"/>
      <c r="BA571" s="40"/>
      <c r="BB571" s="40"/>
      <c r="BC571" s="40"/>
      <c r="BD571" s="40"/>
      <c r="BE571" s="40"/>
      <c r="BF571" s="40"/>
      <c r="BG571" s="40"/>
      <c r="BH571" s="40"/>
      <c r="BI571" s="40"/>
    </row>
    <row r="572" ht="15.75" customHeight="1">
      <c r="A572" s="33"/>
      <c r="B572" s="227"/>
      <c r="C572" s="228"/>
      <c r="D572" s="228"/>
      <c r="E572" s="228"/>
      <c r="F572" s="228"/>
      <c r="G572" s="228"/>
      <c r="H572" s="228"/>
      <c r="I572" s="228"/>
      <c r="J572" s="228"/>
      <c r="K572" s="228"/>
      <c r="L572" s="228"/>
      <c r="M572" s="228"/>
      <c r="N572" s="228"/>
      <c r="O572" s="228"/>
      <c r="P572" s="228"/>
      <c r="Q572" s="228"/>
      <c r="R572" s="228"/>
      <c r="S572" s="228"/>
      <c r="T572" s="228"/>
      <c r="U572" s="228"/>
      <c r="V572" s="228"/>
      <c r="W572" s="228"/>
      <c r="X572" s="228"/>
      <c r="Y572" s="228"/>
      <c r="Z572" s="228"/>
      <c r="AA572" s="228"/>
      <c r="AB572" s="228"/>
      <c r="AC572" s="228"/>
      <c r="AD572" s="228"/>
      <c r="AE572" s="228"/>
      <c r="AF572" s="228"/>
      <c r="AG572" s="228"/>
      <c r="AH572" s="228"/>
      <c r="AI572" s="228"/>
      <c r="AJ572" s="228"/>
      <c r="AK572" s="228"/>
      <c r="AL572" s="228"/>
      <c r="AM572" s="228"/>
      <c r="AN572" s="228"/>
      <c r="AO572" s="228"/>
      <c r="AP572" s="40"/>
      <c r="AQ572" s="40"/>
      <c r="AR572" s="40"/>
      <c r="AS572" s="40"/>
      <c r="AT572" s="40"/>
      <c r="AU572" s="40"/>
      <c r="AV572" s="40"/>
      <c r="AW572" s="40"/>
      <c r="AX572" s="40"/>
      <c r="AY572" s="40"/>
      <c r="AZ572" s="40"/>
      <c r="BA572" s="40"/>
      <c r="BB572" s="40"/>
      <c r="BC572" s="40"/>
      <c r="BD572" s="40"/>
      <c r="BE572" s="40"/>
      <c r="BF572" s="40"/>
      <c r="BG572" s="40"/>
      <c r="BH572" s="40"/>
      <c r="BI572" s="40"/>
    </row>
    <row r="573" ht="15.75" customHeight="1">
      <c r="A573" s="33"/>
      <c r="B573" s="228"/>
      <c r="C573" s="228"/>
      <c r="D573" s="228"/>
      <c r="E573" s="228"/>
      <c r="F573" s="228"/>
      <c r="G573" s="228"/>
      <c r="H573" s="228"/>
      <c r="I573" s="228"/>
      <c r="J573" s="228"/>
      <c r="K573" s="228"/>
      <c r="L573" s="228"/>
      <c r="M573" s="228"/>
      <c r="N573" s="228"/>
      <c r="O573" s="228"/>
      <c r="P573" s="228"/>
      <c r="Q573" s="228"/>
      <c r="R573" s="228"/>
      <c r="S573" s="228"/>
      <c r="T573" s="228"/>
      <c r="U573" s="228"/>
      <c r="V573" s="228"/>
      <c r="W573" s="228"/>
      <c r="X573" s="228"/>
      <c r="Y573" s="228"/>
      <c r="Z573" s="228"/>
      <c r="AA573" s="228"/>
      <c r="AB573" s="228"/>
      <c r="AC573" s="228"/>
      <c r="AD573" s="228"/>
      <c r="AE573" s="228"/>
      <c r="AF573" s="228"/>
      <c r="AG573" s="228"/>
      <c r="AH573" s="228"/>
      <c r="AI573" s="228"/>
      <c r="AJ573" s="228"/>
      <c r="AK573" s="228"/>
      <c r="AL573" s="228"/>
      <c r="AM573" s="228"/>
      <c r="AN573" s="228"/>
      <c r="AO573" s="228"/>
      <c r="AP573" s="40"/>
      <c r="AQ573" s="40"/>
      <c r="AR573" s="40"/>
      <c r="AS573" s="40"/>
      <c r="AT573" s="40"/>
      <c r="AU573" s="40"/>
      <c r="AV573" s="40"/>
      <c r="AW573" s="40"/>
      <c r="AX573" s="40"/>
      <c r="AY573" s="40"/>
      <c r="AZ573" s="40"/>
      <c r="BA573" s="40"/>
      <c r="BB573" s="40"/>
      <c r="BC573" s="40"/>
      <c r="BD573" s="40"/>
      <c r="BE573" s="40"/>
      <c r="BF573" s="40"/>
      <c r="BG573" s="40"/>
      <c r="BH573" s="40"/>
      <c r="BI573" s="40"/>
    </row>
    <row r="574" ht="15.75" customHeight="1">
      <c r="A574" s="33"/>
      <c r="B574" s="228"/>
      <c r="C574" s="235"/>
      <c r="D574" s="236"/>
      <c r="E574" s="235"/>
      <c r="F574" s="235"/>
      <c r="G574" s="236"/>
      <c r="H574" s="235"/>
      <c r="I574" s="235"/>
      <c r="J574" s="236"/>
      <c r="K574" s="235"/>
      <c r="L574" s="235"/>
      <c r="M574" s="236"/>
      <c r="N574" s="235"/>
      <c r="O574" s="235"/>
      <c r="P574" s="236"/>
      <c r="Q574" s="235"/>
      <c r="R574" s="235"/>
      <c r="S574" s="236"/>
      <c r="T574" s="235"/>
      <c r="U574" s="235"/>
      <c r="V574" s="236"/>
      <c r="W574" s="235"/>
      <c r="X574" s="235"/>
      <c r="Y574" s="236"/>
      <c r="Z574" s="235"/>
      <c r="AA574" s="235"/>
      <c r="AB574" s="236"/>
      <c r="AC574" s="235"/>
      <c r="AD574" s="235"/>
      <c r="AE574" s="236"/>
      <c r="AF574" s="235"/>
      <c r="AG574" s="235"/>
      <c r="AH574" s="236"/>
      <c r="AI574" s="235"/>
      <c r="AJ574" s="235"/>
      <c r="AK574" s="236"/>
      <c r="AL574" s="235"/>
      <c r="AM574" s="235"/>
      <c r="AN574" s="236"/>
      <c r="AO574" s="235"/>
      <c r="AP574" s="40"/>
      <c r="AQ574" s="40"/>
      <c r="AR574" s="40"/>
      <c r="AS574" s="40"/>
      <c r="AT574" s="40"/>
      <c r="AU574" s="40"/>
      <c r="AV574" s="40"/>
      <c r="AW574" s="40"/>
      <c r="AX574" s="40"/>
      <c r="AY574" s="40"/>
      <c r="AZ574" s="40"/>
      <c r="BA574" s="40"/>
      <c r="BB574" s="40"/>
      <c r="BC574" s="40"/>
      <c r="BD574" s="40"/>
      <c r="BE574" s="40"/>
      <c r="BF574" s="40"/>
      <c r="BG574" s="40"/>
      <c r="BH574" s="40"/>
      <c r="BI574" s="40"/>
    </row>
    <row r="575" ht="15.75" customHeight="1">
      <c r="A575" s="33"/>
      <c r="B575" s="227"/>
      <c r="C575" s="237"/>
      <c r="D575" s="238"/>
      <c r="E575" s="237"/>
      <c r="F575" s="237"/>
      <c r="G575" s="238"/>
      <c r="H575" s="237"/>
      <c r="I575" s="237"/>
      <c r="J575" s="238"/>
      <c r="K575" s="237"/>
      <c r="L575" s="237"/>
      <c r="M575" s="238"/>
      <c r="N575" s="237"/>
      <c r="O575" s="237"/>
      <c r="P575" s="238"/>
      <c r="Q575" s="237"/>
      <c r="R575" s="237"/>
      <c r="S575" s="238"/>
      <c r="T575" s="237"/>
      <c r="U575" s="237"/>
      <c r="V575" s="238"/>
      <c r="W575" s="237"/>
      <c r="X575" s="237"/>
      <c r="Y575" s="238"/>
      <c r="Z575" s="237"/>
      <c r="AA575" s="237"/>
      <c r="AB575" s="238"/>
      <c r="AC575" s="237"/>
      <c r="AD575" s="237"/>
      <c r="AE575" s="238"/>
      <c r="AF575" s="237"/>
      <c r="AG575" s="237"/>
      <c r="AH575" s="238"/>
      <c r="AI575" s="237"/>
      <c r="AJ575" s="237"/>
      <c r="AK575" s="238"/>
      <c r="AL575" s="237"/>
      <c r="AM575" s="237"/>
      <c r="AN575" s="238"/>
      <c r="AO575" s="237"/>
      <c r="AP575" s="40"/>
      <c r="AQ575" s="40"/>
      <c r="AR575" s="40"/>
      <c r="AS575" s="40"/>
      <c r="AT575" s="40"/>
      <c r="AU575" s="40"/>
      <c r="AV575" s="40"/>
      <c r="AW575" s="40"/>
      <c r="AX575" s="40"/>
      <c r="AY575" s="40"/>
      <c r="AZ575" s="40"/>
      <c r="BA575" s="40"/>
      <c r="BB575" s="40"/>
      <c r="BC575" s="40"/>
      <c r="BD575" s="40"/>
      <c r="BE575" s="40"/>
      <c r="BF575" s="40"/>
      <c r="BG575" s="40"/>
      <c r="BH575" s="40"/>
      <c r="BI575" s="40"/>
    </row>
    <row r="576" ht="15.75" customHeight="1">
      <c r="A576" s="33"/>
      <c r="B576" s="228"/>
      <c r="C576" s="236"/>
      <c r="D576" s="235"/>
      <c r="E576" s="236"/>
      <c r="F576" s="236"/>
      <c r="G576" s="235"/>
      <c r="H576" s="236"/>
      <c r="I576" s="236"/>
      <c r="J576" s="235"/>
      <c r="K576" s="236"/>
      <c r="L576" s="236"/>
      <c r="M576" s="235"/>
      <c r="N576" s="236"/>
      <c r="O576" s="236"/>
      <c r="P576" s="235"/>
      <c r="Q576" s="236"/>
      <c r="R576" s="236"/>
      <c r="S576" s="235"/>
      <c r="T576" s="236"/>
      <c r="U576" s="236"/>
      <c r="V576" s="235"/>
      <c r="W576" s="236"/>
      <c r="X576" s="236"/>
      <c r="Y576" s="235"/>
      <c r="Z576" s="236"/>
      <c r="AA576" s="236"/>
      <c r="AB576" s="235"/>
      <c r="AC576" s="236"/>
      <c r="AD576" s="236"/>
      <c r="AE576" s="235"/>
      <c r="AF576" s="236"/>
      <c r="AG576" s="236"/>
      <c r="AH576" s="235"/>
      <c r="AI576" s="236"/>
      <c r="AJ576" s="236"/>
      <c r="AK576" s="235"/>
      <c r="AL576" s="236"/>
      <c r="AM576" s="236"/>
      <c r="AN576" s="235"/>
      <c r="AO576" s="236"/>
      <c r="AP576" s="40"/>
      <c r="AQ576" s="40"/>
      <c r="AR576" s="40"/>
      <c r="AS576" s="40"/>
      <c r="AT576" s="40"/>
      <c r="AU576" s="40"/>
      <c r="AV576" s="40"/>
      <c r="AW576" s="40"/>
      <c r="AX576" s="40"/>
      <c r="AY576" s="40"/>
      <c r="AZ576" s="40"/>
      <c r="BA576" s="40"/>
      <c r="BB576" s="40"/>
      <c r="BC576" s="40"/>
      <c r="BD576" s="40"/>
      <c r="BE576" s="40"/>
      <c r="BF576" s="40"/>
      <c r="BG576" s="40"/>
      <c r="BH576" s="40"/>
      <c r="BI576" s="40"/>
    </row>
    <row r="577" ht="15.75" customHeight="1">
      <c r="A577" s="33"/>
      <c r="B577" s="228"/>
      <c r="C577" s="236"/>
      <c r="D577" s="235"/>
      <c r="E577" s="236"/>
      <c r="F577" s="236"/>
      <c r="G577" s="235"/>
      <c r="H577" s="236"/>
      <c r="I577" s="236"/>
      <c r="J577" s="235"/>
      <c r="K577" s="236"/>
      <c r="L577" s="236"/>
      <c r="M577" s="235"/>
      <c r="N577" s="236"/>
      <c r="O577" s="236"/>
      <c r="P577" s="235"/>
      <c r="Q577" s="236"/>
      <c r="R577" s="236"/>
      <c r="S577" s="235"/>
      <c r="T577" s="236"/>
      <c r="U577" s="236"/>
      <c r="V577" s="235"/>
      <c r="W577" s="236"/>
      <c r="X577" s="236"/>
      <c r="Y577" s="235"/>
      <c r="Z577" s="236"/>
      <c r="AA577" s="236"/>
      <c r="AB577" s="235"/>
      <c r="AC577" s="236"/>
      <c r="AD577" s="236"/>
      <c r="AE577" s="235"/>
      <c r="AF577" s="236"/>
      <c r="AG577" s="236"/>
      <c r="AH577" s="235"/>
      <c r="AI577" s="236"/>
      <c r="AJ577" s="236"/>
      <c r="AK577" s="235"/>
      <c r="AL577" s="236"/>
      <c r="AM577" s="236"/>
      <c r="AN577" s="235"/>
      <c r="AO577" s="236"/>
      <c r="AP577" s="40"/>
      <c r="AQ577" s="40"/>
      <c r="AR577" s="40"/>
      <c r="AS577" s="40"/>
      <c r="AT577" s="40"/>
      <c r="AU577" s="40"/>
      <c r="AV577" s="40"/>
      <c r="AW577" s="40"/>
      <c r="AX577" s="40"/>
      <c r="AY577" s="40"/>
      <c r="AZ577" s="40"/>
      <c r="BA577" s="40"/>
      <c r="BB577" s="40"/>
      <c r="BC577" s="40"/>
      <c r="BD577" s="40"/>
      <c r="BE577" s="40"/>
      <c r="BF577" s="40"/>
      <c r="BG577" s="40"/>
      <c r="BH577" s="40"/>
      <c r="BI577" s="40"/>
    </row>
    <row r="578" ht="15.75" customHeight="1">
      <c r="A578" s="33"/>
      <c r="B578" s="228"/>
      <c r="C578" s="228"/>
      <c r="D578" s="228"/>
      <c r="E578" s="228"/>
      <c r="F578" s="228"/>
      <c r="G578" s="228"/>
      <c r="H578" s="228"/>
      <c r="I578" s="228"/>
      <c r="J578" s="228"/>
      <c r="K578" s="228"/>
      <c r="L578" s="228"/>
      <c r="M578" s="228"/>
      <c r="N578" s="228"/>
      <c r="O578" s="228"/>
      <c r="P578" s="228"/>
      <c r="Q578" s="228"/>
      <c r="R578" s="228"/>
      <c r="S578" s="228"/>
      <c r="T578" s="228"/>
      <c r="U578" s="228"/>
      <c r="V578" s="228"/>
      <c r="W578" s="228"/>
      <c r="X578" s="228"/>
      <c r="Y578" s="228"/>
      <c r="Z578" s="228"/>
      <c r="AA578" s="228"/>
      <c r="AB578" s="228"/>
      <c r="AC578" s="228"/>
      <c r="AD578" s="228"/>
      <c r="AE578" s="228"/>
      <c r="AF578" s="228"/>
      <c r="AG578" s="228"/>
      <c r="AH578" s="228"/>
      <c r="AI578" s="228"/>
      <c r="AJ578" s="228"/>
      <c r="AK578" s="228"/>
      <c r="AL578" s="228"/>
      <c r="AM578" s="228"/>
      <c r="AN578" s="228"/>
      <c r="AO578" s="228"/>
      <c r="AP578" s="40"/>
      <c r="AQ578" s="40"/>
      <c r="AR578" s="40"/>
      <c r="AS578" s="40"/>
      <c r="AT578" s="40"/>
      <c r="AU578" s="40"/>
      <c r="AV578" s="40"/>
      <c r="AW578" s="40"/>
      <c r="AX578" s="40"/>
      <c r="AY578" s="40"/>
      <c r="AZ578" s="40"/>
      <c r="BA578" s="40"/>
      <c r="BB578" s="40"/>
      <c r="BC578" s="40"/>
      <c r="BD578" s="40"/>
      <c r="BE578" s="40"/>
      <c r="BF578" s="40"/>
      <c r="BG578" s="40"/>
      <c r="BH578" s="40"/>
      <c r="BI578" s="40"/>
    </row>
    <row r="579" ht="15.75" customHeight="1">
      <c r="A579" s="33"/>
      <c r="B579" s="228"/>
      <c r="C579" s="236"/>
      <c r="D579" s="235"/>
      <c r="E579" s="236"/>
      <c r="F579" s="236"/>
      <c r="G579" s="235"/>
      <c r="H579" s="236"/>
      <c r="I579" s="236"/>
      <c r="J579" s="235"/>
      <c r="K579" s="236"/>
      <c r="L579" s="236"/>
      <c r="M579" s="235"/>
      <c r="N579" s="236"/>
      <c r="O579" s="236"/>
      <c r="P579" s="235"/>
      <c r="Q579" s="236"/>
      <c r="R579" s="236"/>
      <c r="S579" s="235"/>
      <c r="T579" s="236"/>
      <c r="U579" s="236"/>
      <c r="V579" s="235"/>
      <c r="W579" s="236"/>
      <c r="X579" s="236"/>
      <c r="Y579" s="235"/>
      <c r="Z579" s="236"/>
      <c r="AA579" s="236"/>
      <c r="AB579" s="235"/>
      <c r="AC579" s="236"/>
      <c r="AD579" s="236"/>
      <c r="AE579" s="235"/>
      <c r="AF579" s="236"/>
      <c r="AG579" s="236"/>
      <c r="AH579" s="235"/>
      <c r="AI579" s="236"/>
      <c r="AJ579" s="236"/>
      <c r="AK579" s="235"/>
      <c r="AL579" s="236"/>
      <c r="AM579" s="236"/>
      <c r="AN579" s="235"/>
      <c r="AO579" s="236"/>
      <c r="AP579" s="40"/>
      <c r="AQ579" s="40"/>
      <c r="AR579" s="40"/>
      <c r="AS579" s="40"/>
      <c r="AT579" s="40"/>
      <c r="AU579" s="40"/>
      <c r="AV579" s="40"/>
      <c r="AW579" s="40"/>
      <c r="AX579" s="40"/>
      <c r="AY579" s="40"/>
      <c r="AZ579" s="40"/>
      <c r="BA579" s="40"/>
      <c r="BB579" s="40"/>
      <c r="BC579" s="40"/>
      <c r="BD579" s="40"/>
      <c r="BE579" s="40"/>
      <c r="BF579" s="40"/>
      <c r="BG579" s="40"/>
      <c r="BH579" s="40"/>
      <c r="BI579" s="40"/>
    </row>
    <row r="580" ht="15.75" customHeight="1">
      <c r="A580" s="33"/>
      <c r="B580" s="228"/>
      <c r="C580" s="236"/>
      <c r="D580" s="235"/>
      <c r="E580" s="236"/>
      <c r="F580" s="236"/>
      <c r="G580" s="235"/>
      <c r="H580" s="236"/>
      <c r="I580" s="236"/>
      <c r="J580" s="235"/>
      <c r="K580" s="236"/>
      <c r="L580" s="236"/>
      <c r="M580" s="235"/>
      <c r="N580" s="236"/>
      <c r="O580" s="236"/>
      <c r="P580" s="235"/>
      <c r="Q580" s="236"/>
      <c r="R580" s="236"/>
      <c r="S580" s="235"/>
      <c r="T580" s="236"/>
      <c r="U580" s="236"/>
      <c r="V580" s="235"/>
      <c r="W580" s="236"/>
      <c r="X580" s="236"/>
      <c r="Y580" s="235"/>
      <c r="Z580" s="236"/>
      <c r="AA580" s="236"/>
      <c r="AB580" s="235"/>
      <c r="AC580" s="236"/>
      <c r="AD580" s="236"/>
      <c r="AE580" s="235"/>
      <c r="AF580" s="236"/>
      <c r="AG580" s="236"/>
      <c r="AH580" s="235"/>
      <c r="AI580" s="236"/>
      <c r="AJ580" s="236"/>
      <c r="AK580" s="235"/>
      <c r="AL580" s="236"/>
      <c r="AM580" s="236"/>
      <c r="AN580" s="235"/>
      <c r="AO580" s="236"/>
      <c r="AP580" s="40"/>
      <c r="AQ580" s="40"/>
      <c r="AR580" s="40"/>
      <c r="AS580" s="40"/>
      <c r="AT580" s="40"/>
      <c r="AU580" s="40"/>
      <c r="AV580" s="40"/>
      <c r="AW580" s="40"/>
      <c r="AX580" s="40"/>
      <c r="AY580" s="40"/>
      <c r="AZ580" s="40"/>
      <c r="BA580" s="40"/>
      <c r="BB580" s="40"/>
      <c r="BC580" s="40"/>
      <c r="BD580" s="40"/>
      <c r="BE580" s="40"/>
      <c r="BF580" s="40"/>
      <c r="BG580" s="40"/>
      <c r="BH580" s="40"/>
      <c r="BI580" s="40"/>
    </row>
    <row r="581" ht="15.75" customHeight="1">
      <c r="A581" s="33"/>
      <c r="B581" s="228"/>
      <c r="C581" s="236"/>
      <c r="D581" s="235"/>
      <c r="E581" s="236"/>
      <c r="F581" s="236"/>
      <c r="G581" s="235"/>
      <c r="H581" s="236"/>
      <c r="I581" s="236"/>
      <c r="J581" s="235"/>
      <c r="K581" s="236"/>
      <c r="L581" s="236"/>
      <c r="M581" s="235"/>
      <c r="N581" s="236"/>
      <c r="O581" s="236"/>
      <c r="P581" s="235"/>
      <c r="Q581" s="236"/>
      <c r="R581" s="236"/>
      <c r="S581" s="235"/>
      <c r="T581" s="236"/>
      <c r="U581" s="236"/>
      <c r="V581" s="235"/>
      <c r="W581" s="236"/>
      <c r="X581" s="236"/>
      <c r="Y581" s="235"/>
      <c r="Z581" s="236"/>
      <c r="AA581" s="236"/>
      <c r="AB581" s="235"/>
      <c r="AC581" s="236"/>
      <c r="AD581" s="236"/>
      <c r="AE581" s="235"/>
      <c r="AF581" s="236"/>
      <c r="AG581" s="236"/>
      <c r="AH581" s="235"/>
      <c r="AI581" s="236"/>
      <c r="AJ581" s="236"/>
      <c r="AK581" s="235"/>
      <c r="AL581" s="236"/>
      <c r="AM581" s="236"/>
      <c r="AN581" s="235"/>
      <c r="AO581" s="236"/>
      <c r="AP581" s="40"/>
      <c r="AQ581" s="40"/>
      <c r="AR581" s="40"/>
      <c r="AS581" s="40"/>
      <c r="AT581" s="40"/>
      <c r="AU581" s="40"/>
      <c r="AV581" s="40"/>
      <c r="AW581" s="40"/>
      <c r="AX581" s="40"/>
      <c r="AY581" s="40"/>
      <c r="AZ581" s="40"/>
      <c r="BA581" s="40"/>
      <c r="BB581" s="40"/>
      <c r="BC581" s="40"/>
      <c r="BD581" s="40"/>
      <c r="BE581" s="40"/>
      <c r="BF581" s="40"/>
      <c r="BG581" s="40"/>
      <c r="BH581" s="40"/>
      <c r="BI581" s="40"/>
    </row>
    <row r="582" ht="15.75" customHeight="1">
      <c r="A582" s="33"/>
      <c r="B582" s="228"/>
      <c r="C582" s="236"/>
      <c r="D582" s="235"/>
      <c r="E582" s="236"/>
      <c r="F582" s="236"/>
      <c r="G582" s="235"/>
      <c r="H582" s="236"/>
      <c r="I582" s="236"/>
      <c r="J582" s="235"/>
      <c r="K582" s="236"/>
      <c r="L582" s="236"/>
      <c r="M582" s="235"/>
      <c r="N582" s="236"/>
      <c r="O582" s="236"/>
      <c r="P582" s="235"/>
      <c r="Q582" s="236"/>
      <c r="R582" s="236"/>
      <c r="S582" s="235"/>
      <c r="T582" s="236"/>
      <c r="U582" s="236"/>
      <c r="V582" s="235"/>
      <c r="W582" s="236"/>
      <c r="X582" s="236"/>
      <c r="Y582" s="235"/>
      <c r="Z582" s="236"/>
      <c r="AA582" s="236"/>
      <c r="AB582" s="235"/>
      <c r="AC582" s="236"/>
      <c r="AD582" s="236"/>
      <c r="AE582" s="235"/>
      <c r="AF582" s="236"/>
      <c r="AG582" s="236"/>
      <c r="AH582" s="235"/>
      <c r="AI582" s="236"/>
      <c r="AJ582" s="236"/>
      <c r="AK582" s="235"/>
      <c r="AL582" s="236"/>
      <c r="AM582" s="236"/>
      <c r="AN582" s="235"/>
      <c r="AO582" s="236"/>
      <c r="AP582" s="40"/>
      <c r="AQ582" s="40"/>
      <c r="AR582" s="40"/>
      <c r="AS582" s="40"/>
      <c r="AT582" s="40"/>
      <c r="AU582" s="40"/>
      <c r="AV582" s="40"/>
      <c r="AW582" s="40"/>
      <c r="AX582" s="40"/>
      <c r="AY582" s="40"/>
      <c r="AZ582" s="40"/>
      <c r="BA582" s="40"/>
      <c r="BB582" s="40"/>
      <c r="BC582" s="40"/>
      <c r="BD582" s="40"/>
      <c r="BE582" s="40"/>
      <c r="BF582" s="40"/>
      <c r="BG582" s="40"/>
      <c r="BH582" s="40"/>
      <c r="BI582" s="40"/>
    </row>
    <row r="583" ht="15.75" customHeight="1">
      <c r="A583" s="33"/>
      <c r="B583" s="228"/>
      <c r="C583" s="236"/>
      <c r="D583" s="235"/>
      <c r="E583" s="236"/>
      <c r="F583" s="236"/>
      <c r="G583" s="235"/>
      <c r="H583" s="236"/>
      <c r="I583" s="236"/>
      <c r="J583" s="235"/>
      <c r="K583" s="236"/>
      <c r="L583" s="236"/>
      <c r="M583" s="235"/>
      <c r="N583" s="236"/>
      <c r="O583" s="236"/>
      <c r="P583" s="235"/>
      <c r="Q583" s="236"/>
      <c r="R583" s="236"/>
      <c r="S583" s="235"/>
      <c r="T583" s="236"/>
      <c r="U583" s="236"/>
      <c r="V583" s="235"/>
      <c r="W583" s="236"/>
      <c r="X583" s="236"/>
      <c r="Y583" s="235"/>
      <c r="Z583" s="236"/>
      <c r="AA583" s="236"/>
      <c r="AB583" s="235"/>
      <c r="AC583" s="236"/>
      <c r="AD583" s="236"/>
      <c r="AE583" s="235"/>
      <c r="AF583" s="236"/>
      <c r="AG583" s="236"/>
      <c r="AH583" s="235"/>
      <c r="AI583" s="236"/>
      <c r="AJ583" s="236"/>
      <c r="AK583" s="235"/>
      <c r="AL583" s="236"/>
      <c r="AM583" s="236"/>
      <c r="AN583" s="235"/>
      <c r="AO583" s="236"/>
      <c r="AP583" s="40"/>
      <c r="AQ583" s="40"/>
      <c r="AR583" s="40"/>
      <c r="AS583" s="40"/>
      <c r="AT583" s="40"/>
      <c r="AU583" s="40"/>
      <c r="AV583" s="40"/>
      <c r="AW583" s="40"/>
      <c r="AX583" s="40"/>
      <c r="AY583" s="40"/>
      <c r="AZ583" s="40"/>
      <c r="BA583" s="40"/>
      <c r="BB583" s="40"/>
      <c r="BC583" s="40"/>
      <c r="BD583" s="40"/>
      <c r="BE583" s="40"/>
      <c r="BF583" s="40"/>
      <c r="BG583" s="40"/>
      <c r="BH583" s="40"/>
      <c r="BI583" s="40"/>
    </row>
    <row r="584" ht="15.75" customHeight="1">
      <c r="A584" s="33"/>
      <c r="B584" s="228"/>
      <c r="C584" s="236"/>
      <c r="D584" s="235"/>
      <c r="E584" s="236"/>
      <c r="F584" s="236"/>
      <c r="G584" s="235"/>
      <c r="H584" s="236"/>
      <c r="I584" s="236"/>
      <c r="J584" s="235"/>
      <c r="K584" s="236"/>
      <c r="L584" s="236"/>
      <c r="M584" s="235"/>
      <c r="N584" s="236"/>
      <c r="O584" s="236"/>
      <c r="P584" s="235"/>
      <c r="Q584" s="236"/>
      <c r="R584" s="236"/>
      <c r="S584" s="235"/>
      <c r="T584" s="236"/>
      <c r="U584" s="236"/>
      <c r="V584" s="235"/>
      <c r="W584" s="236"/>
      <c r="X584" s="236"/>
      <c r="Y584" s="235"/>
      <c r="Z584" s="236"/>
      <c r="AA584" s="236"/>
      <c r="AB584" s="235"/>
      <c r="AC584" s="236"/>
      <c r="AD584" s="236"/>
      <c r="AE584" s="235"/>
      <c r="AF584" s="236"/>
      <c r="AG584" s="236"/>
      <c r="AH584" s="235"/>
      <c r="AI584" s="236"/>
      <c r="AJ584" s="236"/>
      <c r="AK584" s="235"/>
      <c r="AL584" s="236"/>
      <c r="AM584" s="236"/>
      <c r="AN584" s="235"/>
      <c r="AO584" s="236"/>
      <c r="AP584" s="40"/>
      <c r="AQ584" s="40"/>
      <c r="AR584" s="40"/>
      <c r="AS584" s="40"/>
      <c r="AT584" s="40"/>
      <c r="AU584" s="40"/>
      <c r="AV584" s="40"/>
      <c r="AW584" s="40"/>
      <c r="AX584" s="40"/>
      <c r="AY584" s="40"/>
      <c r="AZ584" s="40"/>
      <c r="BA584" s="40"/>
      <c r="BB584" s="40"/>
      <c r="BC584" s="40"/>
      <c r="BD584" s="40"/>
      <c r="BE584" s="40"/>
      <c r="BF584" s="40"/>
      <c r="BG584" s="40"/>
      <c r="BH584" s="40"/>
      <c r="BI584" s="40"/>
    </row>
    <row r="585" ht="15.75" customHeight="1">
      <c r="A585" s="33"/>
      <c r="B585" s="228"/>
      <c r="C585" s="236"/>
      <c r="D585" s="235"/>
      <c r="E585" s="236"/>
      <c r="F585" s="236"/>
      <c r="G585" s="235"/>
      <c r="H585" s="236"/>
      <c r="I585" s="236"/>
      <c r="J585" s="235"/>
      <c r="K585" s="236"/>
      <c r="L585" s="236"/>
      <c r="M585" s="235"/>
      <c r="N585" s="236"/>
      <c r="O585" s="236"/>
      <c r="P585" s="235"/>
      <c r="Q585" s="236"/>
      <c r="R585" s="236"/>
      <c r="S585" s="235"/>
      <c r="T585" s="236"/>
      <c r="U585" s="236"/>
      <c r="V585" s="235"/>
      <c r="W585" s="236"/>
      <c r="X585" s="236"/>
      <c r="Y585" s="235"/>
      <c r="Z585" s="236"/>
      <c r="AA585" s="236"/>
      <c r="AB585" s="235"/>
      <c r="AC585" s="236"/>
      <c r="AD585" s="236"/>
      <c r="AE585" s="235"/>
      <c r="AF585" s="236"/>
      <c r="AG585" s="236"/>
      <c r="AH585" s="235"/>
      <c r="AI585" s="236"/>
      <c r="AJ585" s="236"/>
      <c r="AK585" s="235"/>
      <c r="AL585" s="236"/>
      <c r="AM585" s="236"/>
      <c r="AN585" s="235"/>
      <c r="AO585" s="236"/>
      <c r="AP585" s="40"/>
      <c r="AQ585" s="40"/>
      <c r="AR585" s="40"/>
      <c r="AS585" s="40"/>
      <c r="AT585" s="40"/>
      <c r="AU585" s="40"/>
      <c r="AV585" s="40"/>
      <c r="AW585" s="40"/>
      <c r="AX585" s="40"/>
      <c r="AY585" s="40"/>
      <c r="AZ585" s="40"/>
      <c r="BA585" s="40"/>
      <c r="BB585" s="40"/>
      <c r="BC585" s="40"/>
      <c r="BD585" s="40"/>
      <c r="BE585" s="40"/>
      <c r="BF585" s="40"/>
      <c r="BG585" s="40"/>
      <c r="BH585" s="40"/>
      <c r="BI585" s="40"/>
    </row>
    <row r="586" ht="15.75" customHeight="1">
      <c r="A586" s="33"/>
      <c r="B586" s="228"/>
      <c r="C586" s="228"/>
      <c r="D586" s="228"/>
      <c r="E586" s="228"/>
      <c r="F586" s="228"/>
      <c r="G586" s="228"/>
      <c r="H586" s="228"/>
      <c r="I586" s="228"/>
      <c r="J586" s="228"/>
      <c r="K586" s="228"/>
      <c r="L586" s="228"/>
      <c r="M586" s="228"/>
      <c r="N586" s="228"/>
      <c r="O586" s="228"/>
      <c r="P586" s="228"/>
      <c r="Q586" s="228"/>
      <c r="R586" s="228"/>
      <c r="S586" s="228"/>
      <c r="T586" s="228"/>
      <c r="U586" s="228"/>
      <c r="V586" s="228"/>
      <c r="W586" s="228"/>
      <c r="X586" s="228"/>
      <c r="Y586" s="228"/>
      <c r="Z586" s="228"/>
      <c r="AA586" s="228"/>
      <c r="AB586" s="228"/>
      <c r="AC586" s="228"/>
      <c r="AD586" s="228"/>
      <c r="AE586" s="228"/>
      <c r="AF586" s="228"/>
      <c r="AG586" s="228"/>
      <c r="AH586" s="228"/>
      <c r="AI586" s="228"/>
      <c r="AJ586" s="228"/>
      <c r="AK586" s="228"/>
      <c r="AL586" s="228"/>
      <c r="AM586" s="228"/>
      <c r="AN586" s="228"/>
      <c r="AO586" s="228"/>
      <c r="AP586" s="40"/>
      <c r="AQ586" s="40"/>
      <c r="AR586" s="40"/>
      <c r="AS586" s="40"/>
      <c r="AT586" s="40"/>
      <c r="AU586" s="40"/>
      <c r="AV586" s="40"/>
      <c r="AW586" s="40"/>
      <c r="AX586" s="40"/>
      <c r="AY586" s="40"/>
      <c r="AZ586" s="40"/>
      <c r="BA586" s="40"/>
      <c r="BB586" s="40"/>
      <c r="BC586" s="40"/>
      <c r="BD586" s="40"/>
      <c r="BE586" s="40"/>
      <c r="BF586" s="40"/>
      <c r="BG586" s="40"/>
      <c r="BH586" s="40"/>
      <c r="BI586" s="40"/>
    </row>
    <row r="587" ht="15.75" customHeight="1">
      <c r="A587" s="33"/>
      <c r="B587" s="228"/>
      <c r="C587" s="228"/>
      <c r="D587" s="228"/>
      <c r="E587" s="228"/>
      <c r="F587" s="228"/>
      <c r="G587" s="228"/>
      <c r="H587" s="228"/>
      <c r="I587" s="228"/>
      <c r="J587" s="228"/>
      <c r="K587" s="228"/>
      <c r="L587" s="228"/>
      <c r="M587" s="228"/>
      <c r="N587" s="228"/>
      <c r="O587" s="228"/>
      <c r="P587" s="228"/>
      <c r="Q587" s="228"/>
      <c r="R587" s="228"/>
      <c r="S587" s="228"/>
      <c r="T587" s="228"/>
      <c r="U587" s="228"/>
      <c r="V587" s="228"/>
      <c r="W587" s="228"/>
      <c r="X587" s="228"/>
      <c r="Y587" s="228"/>
      <c r="Z587" s="228"/>
      <c r="AA587" s="228"/>
      <c r="AB587" s="228"/>
      <c r="AC587" s="228"/>
      <c r="AD587" s="228"/>
      <c r="AE587" s="228"/>
      <c r="AF587" s="228"/>
      <c r="AG587" s="228"/>
      <c r="AH587" s="228"/>
      <c r="AI587" s="228"/>
      <c r="AJ587" s="228"/>
      <c r="AK587" s="228"/>
      <c r="AL587" s="228"/>
      <c r="AM587" s="228"/>
      <c r="AN587" s="228"/>
      <c r="AO587" s="228"/>
      <c r="AP587" s="40"/>
      <c r="AQ587" s="40"/>
      <c r="AR587" s="40"/>
      <c r="AS587" s="40"/>
      <c r="AT587" s="40"/>
      <c r="AU587" s="40"/>
      <c r="AV587" s="40"/>
      <c r="AW587" s="40"/>
      <c r="AX587" s="40"/>
      <c r="AY587" s="40"/>
      <c r="AZ587" s="40"/>
      <c r="BA587" s="40"/>
      <c r="BB587" s="40"/>
      <c r="BC587" s="40"/>
      <c r="BD587" s="40"/>
      <c r="BE587" s="40"/>
      <c r="BF587" s="40"/>
      <c r="BG587" s="40"/>
      <c r="BH587" s="40"/>
      <c r="BI587" s="40"/>
    </row>
    <row r="588" ht="15.75" customHeight="1">
      <c r="A588" s="33"/>
      <c r="B588" s="228"/>
      <c r="C588" s="228"/>
      <c r="D588" s="228"/>
      <c r="E588" s="228"/>
      <c r="F588" s="228"/>
      <c r="G588" s="228"/>
      <c r="H588" s="228"/>
      <c r="I588" s="228"/>
      <c r="J588" s="228"/>
      <c r="K588" s="228"/>
      <c r="L588" s="228"/>
      <c r="M588" s="228"/>
      <c r="N588" s="228"/>
      <c r="O588" s="228"/>
      <c r="P588" s="228"/>
      <c r="Q588" s="228"/>
      <c r="R588" s="228"/>
      <c r="S588" s="228"/>
      <c r="T588" s="228"/>
      <c r="U588" s="228"/>
      <c r="V588" s="228"/>
      <c r="W588" s="228"/>
      <c r="X588" s="228"/>
      <c r="Y588" s="228"/>
      <c r="Z588" s="228"/>
      <c r="AA588" s="228"/>
      <c r="AB588" s="228"/>
      <c r="AC588" s="228"/>
      <c r="AD588" s="228"/>
      <c r="AE588" s="228"/>
      <c r="AF588" s="228"/>
      <c r="AG588" s="228"/>
      <c r="AH588" s="228"/>
      <c r="AI588" s="228"/>
      <c r="AJ588" s="228"/>
      <c r="AK588" s="228"/>
      <c r="AL588" s="228"/>
      <c r="AM588" s="228"/>
      <c r="AN588" s="228"/>
      <c r="AO588" s="228"/>
      <c r="AP588" s="40"/>
      <c r="AQ588" s="40"/>
      <c r="AR588" s="40"/>
      <c r="AS588" s="40"/>
      <c r="AT588" s="40"/>
      <c r="AU588" s="40"/>
      <c r="AV588" s="40"/>
      <c r="AW588" s="40"/>
      <c r="AX588" s="40"/>
      <c r="AY588" s="40"/>
      <c r="AZ588" s="40"/>
      <c r="BA588" s="40"/>
      <c r="BB588" s="40"/>
      <c r="BC588" s="40"/>
      <c r="BD588" s="40"/>
      <c r="BE588" s="40"/>
      <c r="BF588" s="40"/>
      <c r="BG588" s="40"/>
      <c r="BH588" s="40"/>
      <c r="BI588" s="40"/>
    </row>
    <row r="589" ht="15.75" customHeight="1">
      <c r="A589" s="33"/>
      <c r="B589" s="228"/>
      <c r="C589" s="228"/>
      <c r="D589" s="228"/>
      <c r="E589" s="228"/>
      <c r="F589" s="228"/>
      <c r="G589" s="228"/>
      <c r="H589" s="228"/>
      <c r="I589" s="228"/>
      <c r="J589" s="228"/>
      <c r="K589" s="228"/>
      <c r="L589" s="228"/>
      <c r="M589" s="228"/>
      <c r="N589" s="228"/>
      <c r="O589" s="228"/>
      <c r="P589" s="228"/>
      <c r="Q589" s="228"/>
      <c r="R589" s="228"/>
      <c r="S589" s="228"/>
      <c r="T589" s="228"/>
      <c r="U589" s="228"/>
      <c r="V589" s="228"/>
      <c r="W589" s="228"/>
      <c r="X589" s="228"/>
      <c r="Y589" s="228"/>
      <c r="Z589" s="228"/>
      <c r="AA589" s="228"/>
      <c r="AB589" s="228"/>
      <c r="AC589" s="228"/>
      <c r="AD589" s="228"/>
      <c r="AE589" s="228"/>
      <c r="AF589" s="228"/>
      <c r="AG589" s="228"/>
      <c r="AH589" s="228"/>
      <c r="AI589" s="228"/>
      <c r="AJ589" s="228"/>
      <c r="AK589" s="228"/>
      <c r="AL589" s="228"/>
      <c r="AM589" s="228"/>
      <c r="AN589" s="228"/>
      <c r="AO589" s="228"/>
      <c r="AP589" s="40"/>
      <c r="AQ589" s="40"/>
      <c r="AR589" s="40"/>
      <c r="AS589" s="40"/>
      <c r="AT589" s="40"/>
      <c r="AU589" s="40"/>
      <c r="AV589" s="40"/>
      <c r="AW589" s="40"/>
      <c r="AX589" s="40"/>
      <c r="AY589" s="40"/>
      <c r="AZ589" s="40"/>
      <c r="BA589" s="40"/>
      <c r="BB589" s="40"/>
      <c r="BC589" s="40"/>
      <c r="BD589" s="40"/>
      <c r="BE589" s="40"/>
      <c r="BF589" s="40"/>
      <c r="BG589" s="40"/>
      <c r="BH589" s="40"/>
      <c r="BI589" s="40"/>
    </row>
    <row r="590" ht="15.75" customHeight="1">
      <c r="A590" s="33"/>
      <c r="B590" s="228"/>
      <c r="C590" s="228"/>
      <c r="D590" s="228"/>
      <c r="E590" s="228"/>
      <c r="F590" s="228"/>
      <c r="G590" s="228"/>
      <c r="H590" s="228"/>
      <c r="I590" s="228"/>
      <c r="J590" s="228"/>
      <c r="K590" s="228"/>
      <c r="L590" s="228"/>
      <c r="M590" s="228"/>
      <c r="N590" s="228"/>
      <c r="O590" s="228"/>
      <c r="P590" s="228"/>
      <c r="Q590" s="228"/>
      <c r="R590" s="228"/>
      <c r="S590" s="228"/>
      <c r="T590" s="228"/>
      <c r="U590" s="228"/>
      <c r="V590" s="228"/>
      <c r="W590" s="228"/>
      <c r="X590" s="228"/>
      <c r="Y590" s="228"/>
      <c r="Z590" s="228"/>
      <c r="AA590" s="228"/>
      <c r="AB590" s="228"/>
      <c r="AC590" s="228"/>
      <c r="AD590" s="228"/>
      <c r="AE590" s="228"/>
      <c r="AF590" s="228"/>
      <c r="AG590" s="228"/>
      <c r="AH590" s="228"/>
      <c r="AI590" s="228"/>
      <c r="AJ590" s="228"/>
      <c r="AK590" s="228"/>
      <c r="AL590" s="228"/>
      <c r="AM590" s="228"/>
      <c r="AN590" s="228"/>
      <c r="AO590" s="228"/>
      <c r="AP590" s="40"/>
      <c r="AQ590" s="40"/>
      <c r="AR590" s="40"/>
      <c r="AS590" s="40"/>
      <c r="AT590" s="40"/>
      <c r="AU590" s="40"/>
      <c r="AV590" s="40"/>
      <c r="AW590" s="40"/>
      <c r="AX590" s="40"/>
      <c r="AY590" s="40"/>
      <c r="AZ590" s="40"/>
      <c r="BA590" s="40"/>
      <c r="BB590" s="40"/>
      <c r="BC590" s="40"/>
      <c r="BD590" s="40"/>
      <c r="BE590" s="40"/>
      <c r="BF590" s="40"/>
      <c r="BG590" s="40"/>
      <c r="BH590" s="40"/>
      <c r="BI590" s="40"/>
    </row>
    <row r="591" ht="15.75" customHeight="1">
      <c r="A591" s="33"/>
      <c r="B591" s="228"/>
      <c r="C591" s="228"/>
      <c r="D591" s="228"/>
      <c r="E591" s="228"/>
      <c r="F591" s="228"/>
      <c r="G591" s="228"/>
      <c r="H591" s="228"/>
      <c r="I591" s="228"/>
      <c r="J591" s="228"/>
      <c r="K591" s="228"/>
      <c r="L591" s="228"/>
      <c r="M591" s="228"/>
      <c r="N591" s="228"/>
      <c r="O591" s="228"/>
      <c r="P591" s="228"/>
      <c r="Q591" s="228"/>
      <c r="R591" s="228"/>
      <c r="S591" s="228"/>
      <c r="T591" s="228"/>
      <c r="U591" s="228"/>
      <c r="V591" s="228"/>
      <c r="W591" s="228"/>
      <c r="X591" s="228"/>
      <c r="Y591" s="228"/>
      <c r="Z591" s="228"/>
      <c r="AA591" s="228"/>
      <c r="AB591" s="228"/>
      <c r="AC591" s="228"/>
      <c r="AD591" s="228"/>
      <c r="AE591" s="228"/>
      <c r="AF591" s="228"/>
      <c r="AG591" s="228"/>
      <c r="AH591" s="228"/>
      <c r="AI591" s="228"/>
      <c r="AJ591" s="228"/>
      <c r="AK591" s="228"/>
      <c r="AL591" s="228"/>
      <c r="AM591" s="228"/>
      <c r="AN591" s="228"/>
      <c r="AO591" s="228"/>
      <c r="AP591" s="40"/>
      <c r="AQ591" s="40"/>
      <c r="AR591" s="40"/>
      <c r="AS591" s="40"/>
      <c r="AT591" s="40"/>
      <c r="AU591" s="40"/>
      <c r="AV591" s="40"/>
      <c r="AW591" s="40"/>
      <c r="AX591" s="40"/>
      <c r="AY591" s="40"/>
      <c r="AZ591" s="40"/>
      <c r="BA591" s="40"/>
      <c r="BB591" s="40"/>
      <c r="BC591" s="40"/>
      <c r="BD591" s="40"/>
      <c r="BE591" s="40"/>
      <c r="BF591" s="40"/>
      <c r="BG591" s="40"/>
      <c r="BH591" s="40"/>
      <c r="BI591" s="40"/>
    </row>
    <row r="592" ht="15.75" customHeight="1">
      <c r="A592" s="33"/>
      <c r="B592" s="228"/>
      <c r="C592" s="228"/>
      <c r="D592" s="228"/>
      <c r="E592" s="228"/>
      <c r="F592" s="228"/>
      <c r="G592" s="228"/>
      <c r="H592" s="228"/>
      <c r="I592" s="228"/>
      <c r="J592" s="228"/>
      <c r="K592" s="228"/>
      <c r="L592" s="228"/>
      <c r="M592" s="228"/>
      <c r="N592" s="228"/>
      <c r="O592" s="228"/>
      <c r="P592" s="228"/>
      <c r="Q592" s="228"/>
      <c r="R592" s="228"/>
      <c r="S592" s="228"/>
      <c r="T592" s="228"/>
      <c r="U592" s="228"/>
      <c r="V592" s="228"/>
      <c r="W592" s="228"/>
      <c r="X592" s="228"/>
      <c r="Y592" s="228"/>
      <c r="Z592" s="228"/>
      <c r="AA592" s="228"/>
      <c r="AB592" s="228"/>
      <c r="AC592" s="228"/>
      <c r="AD592" s="228"/>
      <c r="AE592" s="228"/>
      <c r="AF592" s="228"/>
      <c r="AG592" s="228"/>
      <c r="AH592" s="228"/>
      <c r="AI592" s="228"/>
      <c r="AJ592" s="228"/>
      <c r="AK592" s="228"/>
      <c r="AL592" s="228"/>
      <c r="AM592" s="228"/>
      <c r="AN592" s="228"/>
      <c r="AO592" s="228"/>
      <c r="AP592" s="40"/>
      <c r="AQ592" s="40"/>
      <c r="AR592" s="40"/>
      <c r="AS592" s="40"/>
      <c r="AT592" s="40"/>
      <c r="AU592" s="40"/>
      <c r="AV592" s="40"/>
      <c r="AW592" s="40"/>
      <c r="AX592" s="40"/>
      <c r="AY592" s="40"/>
      <c r="AZ592" s="40"/>
      <c r="BA592" s="40"/>
      <c r="BB592" s="40"/>
      <c r="BC592" s="40"/>
      <c r="BD592" s="40"/>
      <c r="BE592" s="40"/>
      <c r="BF592" s="40"/>
      <c r="BG592" s="40"/>
      <c r="BH592" s="40"/>
      <c r="BI592" s="40"/>
    </row>
    <row r="593" ht="15.75" customHeight="1">
      <c r="A593" s="33"/>
      <c r="B593" s="228"/>
      <c r="C593" s="228"/>
      <c r="D593" s="228"/>
      <c r="E593" s="228"/>
      <c r="F593" s="228"/>
      <c r="G593" s="228"/>
      <c r="H593" s="228"/>
      <c r="I593" s="228"/>
      <c r="J593" s="228"/>
      <c r="K593" s="228"/>
      <c r="L593" s="228"/>
      <c r="M593" s="228"/>
      <c r="N593" s="228"/>
      <c r="O593" s="228"/>
      <c r="P593" s="228"/>
      <c r="Q593" s="228"/>
      <c r="R593" s="228"/>
      <c r="S593" s="228"/>
      <c r="T593" s="228"/>
      <c r="U593" s="228"/>
      <c r="V593" s="228"/>
      <c r="W593" s="228"/>
      <c r="X593" s="228"/>
      <c r="Y593" s="228"/>
      <c r="Z593" s="228"/>
      <c r="AA593" s="228"/>
      <c r="AB593" s="228"/>
      <c r="AC593" s="228"/>
      <c r="AD593" s="228"/>
      <c r="AE593" s="228"/>
      <c r="AF593" s="228"/>
      <c r="AG593" s="228"/>
      <c r="AH593" s="228"/>
      <c r="AI593" s="228"/>
      <c r="AJ593" s="228"/>
      <c r="AK593" s="228"/>
      <c r="AL593" s="228"/>
      <c r="AM593" s="228"/>
      <c r="AN593" s="228"/>
      <c r="AO593" s="228"/>
      <c r="AP593" s="40"/>
      <c r="AQ593" s="40"/>
      <c r="AR593" s="40"/>
      <c r="AS593" s="40"/>
      <c r="AT593" s="40"/>
      <c r="AU593" s="40"/>
      <c r="AV593" s="40"/>
      <c r="AW593" s="40"/>
      <c r="AX593" s="40"/>
      <c r="AY593" s="40"/>
      <c r="AZ593" s="40"/>
      <c r="BA593" s="40"/>
      <c r="BB593" s="40"/>
      <c r="BC593" s="40"/>
      <c r="BD593" s="40"/>
      <c r="BE593" s="40"/>
      <c r="BF593" s="40"/>
      <c r="BG593" s="40"/>
      <c r="BH593" s="40"/>
      <c r="BI593" s="40"/>
    </row>
    <row r="594" ht="15.75" customHeight="1">
      <c r="A594" s="33"/>
      <c r="B594" s="228"/>
      <c r="C594" s="228"/>
      <c r="D594" s="228"/>
      <c r="E594" s="228"/>
      <c r="F594" s="228"/>
      <c r="G594" s="228"/>
      <c r="H594" s="228"/>
      <c r="I594" s="228"/>
      <c r="J594" s="228"/>
      <c r="K594" s="228"/>
      <c r="L594" s="228"/>
      <c r="M594" s="228"/>
      <c r="N594" s="228"/>
      <c r="O594" s="228"/>
      <c r="P594" s="228"/>
      <c r="Q594" s="228"/>
      <c r="R594" s="228"/>
      <c r="S594" s="228"/>
      <c r="T594" s="228"/>
      <c r="U594" s="228"/>
      <c r="V594" s="228"/>
      <c r="W594" s="228"/>
      <c r="X594" s="228"/>
      <c r="Y594" s="228"/>
      <c r="Z594" s="228"/>
      <c r="AA594" s="228"/>
      <c r="AB594" s="228"/>
      <c r="AC594" s="228"/>
      <c r="AD594" s="228"/>
      <c r="AE594" s="228"/>
      <c r="AF594" s="228"/>
      <c r="AG594" s="228"/>
      <c r="AH594" s="228"/>
      <c r="AI594" s="228"/>
      <c r="AJ594" s="228"/>
      <c r="AK594" s="228"/>
      <c r="AL594" s="228"/>
      <c r="AM594" s="228"/>
      <c r="AN594" s="228"/>
      <c r="AO594" s="228"/>
      <c r="AP594" s="40"/>
      <c r="AQ594" s="40"/>
      <c r="AR594" s="40"/>
      <c r="AS594" s="40"/>
      <c r="AT594" s="40"/>
      <c r="AU594" s="40"/>
      <c r="AV594" s="40"/>
      <c r="AW594" s="40"/>
      <c r="AX594" s="40"/>
      <c r="AY594" s="40"/>
      <c r="AZ594" s="40"/>
      <c r="BA594" s="40"/>
      <c r="BB594" s="40"/>
      <c r="BC594" s="40"/>
      <c r="BD594" s="40"/>
      <c r="BE594" s="40"/>
      <c r="BF594" s="40"/>
      <c r="BG594" s="40"/>
      <c r="BH594" s="40"/>
      <c r="BI594" s="40"/>
    </row>
    <row r="595" ht="15.75" customHeight="1">
      <c r="A595" s="33"/>
      <c r="B595" s="228"/>
      <c r="C595" s="228"/>
      <c r="D595" s="228"/>
      <c r="E595" s="228"/>
      <c r="F595" s="228"/>
      <c r="G595" s="228"/>
      <c r="H595" s="228"/>
      <c r="I595" s="228"/>
      <c r="J595" s="228"/>
      <c r="K595" s="228"/>
      <c r="L595" s="228"/>
      <c r="M595" s="228"/>
      <c r="N595" s="228"/>
      <c r="O595" s="228"/>
      <c r="P595" s="228"/>
      <c r="Q595" s="228"/>
      <c r="R595" s="228"/>
      <c r="S595" s="228"/>
      <c r="T595" s="228"/>
      <c r="U595" s="228"/>
      <c r="V595" s="228"/>
      <c r="W595" s="228"/>
      <c r="X595" s="228"/>
      <c r="Y595" s="228"/>
      <c r="Z595" s="228"/>
      <c r="AA595" s="228"/>
      <c r="AB595" s="228"/>
      <c r="AC595" s="228"/>
      <c r="AD595" s="228"/>
      <c r="AE595" s="228"/>
      <c r="AF595" s="228"/>
      <c r="AG595" s="228"/>
      <c r="AH595" s="228"/>
      <c r="AI595" s="228"/>
      <c r="AJ595" s="228"/>
      <c r="AK595" s="228"/>
      <c r="AL595" s="228"/>
      <c r="AM595" s="228"/>
      <c r="AN595" s="228"/>
      <c r="AO595" s="228"/>
      <c r="AP595" s="40"/>
      <c r="AQ595" s="40"/>
      <c r="AR595" s="40"/>
      <c r="AS595" s="40"/>
      <c r="AT595" s="40"/>
      <c r="AU595" s="40"/>
      <c r="AV595" s="40"/>
      <c r="AW595" s="40"/>
      <c r="AX595" s="40"/>
      <c r="AY595" s="40"/>
      <c r="AZ595" s="40"/>
      <c r="BA595" s="40"/>
      <c r="BB595" s="40"/>
      <c r="BC595" s="40"/>
      <c r="BD595" s="40"/>
      <c r="BE595" s="40"/>
      <c r="BF595" s="40"/>
      <c r="BG595" s="40"/>
      <c r="BH595" s="40"/>
      <c r="BI595" s="40"/>
    </row>
    <row r="596" ht="15.75" customHeight="1">
      <c r="A596" s="33"/>
      <c r="B596" s="228"/>
      <c r="C596" s="228"/>
      <c r="D596" s="228"/>
      <c r="E596" s="228"/>
      <c r="F596" s="228"/>
      <c r="G596" s="228"/>
      <c r="H596" s="228"/>
      <c r="I596" s="228"/>
      <c r="J596" s="228"/>
      <c r="K596" s="228"/>
      <c r="L596" s="228"/>
      <c r="M596" s="228"/>
      <c r="N596" s="228"/>
      <c r="O596" s="228"/>
      <c r="P596" s="228"/>
      <c r="Q596" s="228"/>
      <c r="R596" s="228"/>
      <c r="S596" s="228"/>
      <c r="T596" s="228"/>
      <c r="U596" s="228"/>
      <c r="V596" s="228"/>
      <c r="W596" s="228"/>
      <c r="X596" s="228"/>
      <c r="Y596" s="228"/>
      <c r="Z596" s="228"/>
      <c r="AA596" s="228"/>
      <c r="AB596" s="228"/>
      <c r="AC596" s="228"/>
      <c r="AD596" s="228"/>
      <c r="AE596" s="228"/>
      <c r="AF596" s="228"/>
      <c r="AG596" s="228"/>
      <c r="AH596" s="228"/>
      <c r="AI596" s="228"/>
      <c r="AJ596" s="228"/>
      <c r="AK596" s="228"/>
      <c r="AL596" s="228"/>
      <c r="AM596" s="228"/>
      <c r="AN596" s="228"/>
      <c r="AO596" s="228"/>
      <c r="AP596" s="40"/>
      <c r="AQ596" s="40"/>
      <c r="AR596" s="40"/>
      <c r="AS596" s="40"/>
      <c r="AT596" s="40"/>
      <c r="AU596" s="40"/>
      <c r="AV596" s="40"/>
      <c r="AW596" s="40"/>
      <c r="AX596" s="40"/>
      <c r="AY596" s="40"/>
      <c r="AZ596" s="40"/>
      <c r="BA596" s="40"/>
      <c r="BB596" s="40"/>
      <c r="BC596" s="40"/>
      <c r="BD596" s="40"/>
      <c r="BE596" s="40"/>
      <c r="BF596" s="40"/>
      <c r="BG596" s="40"/>
      <c r="BH596" s="40"/>
      <c r="BI596" s="40"/>
    </row>
    <row r="597" ht="15.75" customHeight="1">
      <c r="A597" s="33"/>
      <c r="B597" s="228"/>
      <c r="C597" s="228"/>
      <c r="D597" s="228"/>
      <c r="E597" s="228"/>
      <c r="F597" s="228"/>
      <c r="G597" s="228"/>
      <c r="H597" s="228"/>
      <c r="I597" s="228"/>
      <c r="J597" s="228"/>
      <c r="K597" s="228"/>
      <c r="L597" s="228"/>
      <c r="M597" s="228"/>
      <c r="N597" s="228"/>
      <c r="O597" s="228"/>
      <c r="P597" s="228"/>
      <c r="Q597" s="228"/>
      <c r="R597" s="228"/>
      <c r="S597" s="228"/>
      <c r="T597" s="228"/>
      <c r="U597" s="228"/>
      <c r="V597" s="228"/>
      <c r="W597" s="228"/>
      <c r="X597" s="228"/>
      <c r="Y597" s="228"/>
      <c r="Z597" s="228"/>
      <c r="AA597" s="228"/>
      <c r="AB597" s="228"/>
      <c r="AC597" s="228"/>
      <c r="AD597" s="228"/>
      <c r="AE597" s="228"/>
      <c r="AF597" s="228"/>
      <c r="AG597" s="228"/>
      <c r="AH597" s="228"/>
      <c r="AI597" s="228"/>
      <c r="AJ597" s="228"/>
      <c r="AK597" s="228"/>
      <c r="AL597" s="228"/>
      <c r="AM597" s="228"/>
      <c r="AN597" s="228"/>
      <c r="AO597" s="228"/>
      <c r="AP597" s="40"/>
      <c r="AQ597" s="40"/>
      <c r="AR597" s="40"/>
      <c r="AS597" s="40"/>
      <c r="AT597" s="40"/>
      <c r="AU597" s="40"/>
      <c r="AV597" s="40"/>
      <c r="AW597" s="40"/>
      <c r="AX597" s="40"/>
      <c r="AY597" s="40"/>
      <c r="AZ597" s="40"/>
      <c r="BA597" s="40"/>
      <c r="BB597" s="40"/>
      <c r="BC597" s="40"/>
      <c r="BD597" s="40"/>
      <c r="BE597" s="40"/>
      <c r="BF597" s="40"/>
      <c r="BG597" s="40"/>
      <c r="BH597" s="40"/>
      <c r="BI597" s="40"/>
    </row>
    <row r="598" ht="15.75" customHeight="1">
      <c r="A598" s="33"/>
      <c r="B598" s="228"/>
      <c r="C598" s="228"/>
      <c r="D598" s="228"/>
      <c r="E598" s="228"/>
      <c r="F598" s="228"/>
      <c r="G598" s="228"/>
      <c r="H598" s="228"/>
      <c r="I598" s="228"/>
      <c r="J598" s="228"/>
      <c r="K598" s="228"/>
      <c r="L598" s="228"/>
      <c r="M598" s="228"/>
      <c r="N598" s="228"/>
      <c r="O598" s="228"/>
      <c r="P598" s="228"/>
      <c r="Q598" s="228"/>
      <c r="R598" s="228"/>
      <c r="S598" s="228"/>
      <c r="T598" s="228"/>
      <c r="U598" s="228"/>
      <c r="V598" s="228"/>
      <c r="W598" s="228"/>
      <c r="X598" s="228"/>
      <c r="Y598" s="228"/>
      <c r="Z598" s="228"/>
      <c r="AA598" s="228"/>
      <c r="AB598" s="228"/>
      <c r="AC598" s="228"/>
      <c r="AD598" s="228"/>
      <c r="AE598" s="228"/>
      <c r="AF598" s="228"/>
      <c r="AG598" s="228"/>
      <c r="AH598" s="228"/>
      <c r="AI598" s="228"/>
      <c r="AJ598" s="228"/>
      <c r="AK598" s="228"/>
      <c r="AL598" s="228"/>
      <c r="AM598" s="228"/>
      <c r="AN598" s="228"/>
      <c r="AO598" s="228"/>
      <c r="AP598" s="40"/>
      <c r="AQ598" s="40"/>
      <c r="AR598" s="40"/>
      <c r="AS598" s="40"/>
      <c r="AT598" s="40"/>
      <c r="AU598" s="40"/>
      <c r="AV598" s="40"/>
      <c r="AW598" s="40"/>
      <c r="AX598" s="40"/>
      <c r="AY598" s="40"/>
      <c r="AZ598" s="40"/>
      <c r="BA598" s="40"/>
      <c r="BB598" s="40"/>
      <c r="BC598" s="40"/>
      <c r="BD598" s="40"/>
      <c r="BE598" s="40"/>
      <c r="BF598" s="40"/>
      <c r="BG598" s="40"/>
      <c r="BH598" s="40"/>
      <c r="BI598" s="40"/>
    </row>
    <row r="599" ht="15.75" customHeight="1">
      <c r="A599" s="33"/>
      <c r="B599" s="228"/>
      <c r="C599" s="228"/>
      <c r="D599" s="228"/>
      <c r="E599" s="228"/>
      <c r="F599" s="228"/>
      <c r="G599" s="228"/>
      <c r="H599" s="228"/>
      <c r="I599" s="228"/>
      <c r="J599" s="228"/>
      <c r="K599" s="228"/>
      <c r="L599" s="228"/>
      <c r="M599" s="228"/>
      <c r="N599" s="228"/>
      <c r="O599" s="228"/>
      <c r="P599" s="228"/>
      <c r="Q599" s="228"/>
      <c r="R599" s="228"/>
      <c r="S599" s="228"/>
      <c r="T599" s="228"/>
      <c r="U599" s="228"/>
      <c r="V599" s="228"/>
      <c r="W599" s="228"/>
      <c r="X599" s="228"/>
      <c r="Y599" s="228"/>
      <c r="Z599" s="228"/>
      <c r="AA599" s="228"/>
      <c r="AB599" s="228"/>
      <c r="AC599" s="228"/>
      <c r="AD599" s="228"/>
      <c r="AE599" s="228"/>
      <c r="AF599" s="228"/>
      <c r="AG599" s="228"/>
      <c r="AH599" s="228"/>
      <c r="AI599" s="228"/>
      <c r="AJ599" s="228"/>
      <c r="AK599" s="228"/>
      <c r="AL599" s="228"/>
      <c r="AM599" s="228"/>
      <c r="AN599" s="228"/>
      <c r="AO599" s="228"/>
      <c r="AP599" s="40"/>
      <c r="AQ599" s="40"/>
      <c r="AR599" s="40"/>
      <c r="AS599" s="40"/>
      <c r="AT599" s="40"/>
      <c r="AU599" s="40"/>
      <c r="AV599" s="40"/>
      <c r="AW599" s="40"/>
      <c r="AX599" s="40"/>
      <c r="AY599" s="40"/>
      <c r="AZ599" s="40"/>
      <c r="BA599" s="40"/>
      <c r="BB599" s="40"/>
      <c r="BC599" s="40"/>
      <c r="BD599" s="40"/>
      <c r="BE599" s="40"/>
      <c r="BF599" s="40"/>
      <c r="BG599" s="40"/>
      <c r="BH599" s="40"/>
      <c r="BI599" s="40"/>
    </row>
    <row r="600" ht="15.75" customHeight="1">
      <c r="A600" s="33"/>
      <c r="B600" s="228"/>
      <c r="C600" s="228"/>
      <c r="D600" s="228"/>
      <c r="E600" s="228"/>
      <c r="F600" s="228"/>
      <c r="G600" s="228"/>
      <c r="H600" s="228"/>
      <c r="I600" s="228"/>
      <c r="J600" s="228"/>
      <c r="K600" s="228"/>
      <c r="L600" s="228"/>
      <c r="M600" s="228"/>
      <c r="N600" s="228"/>
      <c r="O600" s="228"/>
      <c r="P600" s="228"/>
      <c r="Q600" s="228"/>
      <c r="R600" s="228"/>
      <c r="S600" s="228"/>
      <c r="T600" s="228"/>
      <c r="U600" s="228"/>
      <c r="V600" s="228"/>
      <c r="W600" s="228"/>
      <c r="X600" s="228"/>
      <c r="Y600" s="228"/>
      <c r="Z600" s="228"/>
      <c r="AA600" s="228"/>
      <c r="AB600" s="228"/>
      <c r="AC600" s="228"/>
      <c r="AD600" s="228"/>
      <c r="AE600" s="228"/>
      <c r="AF600" s="228"/>
      <c r="AG600" s="228"/>
      <c r="AH600" s="228"/>
      <c r="AI600" s="228"/>
      <c r="AJ600" s="228"/>
      <c r="AK600" s="228"/>
      <c r="AL600" s="228"/>
      <c r="AM600" s="228"/>
      <c r="AN600" s="228"/>
      <c r="AO600" s="228"/>
      <c r="AP600" s="40"/>
      <c r="AQ600" s="40"/>
      <c r="AR600" s="40"/>
      <c r="AS600" s="40"/>
      <c r="AT600" s="40"/>
      <c r="AU600" s="40"/>
      <c r="AV600" s="40"/>
      <c r="AW600" s="40"/>
      <c r="AX600" s="40"/>
      <c r="AY600" s="40"/>
      <c r="AZ600" s="40"/>
      <c r="BA600" s="40"/>
      <c r="BB600" s="40"/>
      <c r="BC600" s="40"/>
      <c r="BD600" s="40"/>
      <c r="BE600" s="40"/>
      <c r="BF600" s="40"/>
      <c r="BG600" s="40"/>
      <c r="BH600" s="40"/>
      <c r="BI600" s="40"/>
    </row>
    <row r="601" ht="15.75" customHeight="1">
      <c r="A601" s="33"/>
      <c r="B601" s="228"/>
      <c r="C601" s="228"/>
      <c r="D601" s="228"/>
      <c r="E601" s="228"/>
      <c r="F601" s="228"/>
      <c r="G601" s="228"/>
      <c r="H601" s="228"/>
      <c r="I601" s="228"/>
      <c r="J601" s="228"/>
      <c r="K601" s="228"/>
      <c r="L601" s="228"/>
      <c r="M601" s="228"/>
      <c r="N601" s="228"/>
      <c r="O601" s="228"/>
      <c r="P601" s="228"/>
      <c r="Q601" s="228"/>
      <c r="R601" s="228"/>
      <c r="S601" s="228"/>
      <c r="T601" s="228"/>
      <c r="U601" s="228"/>
      <c r="V601" s="228"/>
      <c r="W601" s="228"/>
      <c r="X601" s="228"/>
      <c r="Y601" s="228"/>
      <c r="Z601" s="228"/>
      <c r="AA601" s="228"/>
      <c r="AB601" s="228"/>
      <c r="AC601" s="228"/>
      <c r="AD601" s="228"/>
      <c r="AE601" s="228"/>
      <c r="AF601" s="228"/>
      <c r="AG601" s="228"/>
      <c r="AH601" s="228"/>
      <c r="AI601" s="228"/>
      <c r="AJ601" s="228"/>
      <c r="AK601" s="228"/>
      <c r="AL601" s="228"/>
      <c r="AM601" s="228"/>
      <c r="AN601" s="228"/>
      <c r="AO601" s="228"/>
      <c r="AP601" s="40"/>
      <c r="AQ601" s="40"/>
      <c r="AR601" s="40"/>
      <c r="AS601" s="40"/>
      <c r="AT601" s="40"/>
      <c r="AU601" s="40"/>
      <c r="AV601" s="40"/>
      <c r="AW601" s="40"/>
      <c r="AX601" s="40"/>
      <c r="AY601" s="40"/>
      <c r="AZ601" s="40"/>
      <c r="BA601" s="40"/>
      <c r="BB601" s="40"/>
      <c r="BC601" s="40"/>
      <c r="BD601" s="40"/>
      <c r="BE601" s="40"/>
      <c r="BF601" s="40"/>
      <c r="BG601" s="40"/>
      <c r="BH601" s="40"/>
      <c r="BI601" s="40"/>
    </row>
    <row r="602" ht="15.75" customHeight="1">
      <c r="A602" s="33"/>
      <c r="B602" s="228"/>
      <c r="C602" s="228"/>
      <c r="D602" s="228"/>
      <c r="E602" s="228"/>
      <c r="F602" s="228"/>
      <c r="G602" s="228"/>
      <c r="H602" s="228"/>
      <c r="I602" s="228"/>
      <c r="J602" s="228"/>
      <c r="K602" s="228"/>
      <c r="L602" s="228"/>
      <c r="M602" s="228"/>
      <c r="N602" s="228"/>
      <c r="O602" s="228"/>
      <c r="P602" s="228"/>
      <c r="Q602" s="228"/>
      <c r="R602" s="228"/>
      <c r="S602" s="228"/>
      <c r="T602" s="228"/>
      <c r="U602" s="228"/>
      <c r="V602" s="228"/>
      <c r="W602" s="228"/>
      <c r="X602" s="228"/>
      <c r="Y602" s="228"/>
      <c r="Z602" s="228"/>
      <c r="AA602" s="228"/>
      <c r="AB602" s="228"/>
      <c r="AC602" s="228"/>
      <c r="AD602" s="228"/>
      <c r="AE602" s="228"/>
      <c r="AF602" s="228"/>
      <c r="AG602" s="228"/>
      <c r="AH602" s="228"/>
      <c r="AI602" s="228"/>
      <c r="AJ602" s="228"/>
      <c r="AK602" s="228"/>
      <c r="AL602" s="228"/>
      <c r="AM602" s="228"/>
      <c r="AN602" s="228"/>
      <c r="AO602" s="228"/>
      <c r="AP602" s="40"/>
      <c r="AQ602" s="40"/>
      <c r="AR602" s="40"/>
      <c r="AS602" s="40"/>
      <c r="AT602" s="40"/>
      <c r="AU602" s="40"/>
      <c r="AV602" s="40"/>
      <c r="AW602" s="40"/>
      <c r="AX602" s="40"/>
      <c r="AY602" s="40"/>
      <c r="AZ602" s="40"/>
      <c r="BA602" s="40"/>
      <c r="BB602" s="40"/>
      <c r="BC602" s="40"/>
      <c r="BD602" s="40"/>
      <c r="BE602" s="40"/>
      <c r="BF602" s="40"/>
      <c r="BG602" s="40"/>
      <c r="BH602" s="40"/>
      <c r="BI602" s="40"/>
    </row>
    <row r="603" ht="15.75" customHeight="1">
      <c r="A603" s="33"/>
      <c r="B603" s="228"/>
      <c r="C603" s="228"/>
      <c r="D603" s="228"/>
      <c r="E603" s="228"/>
      <c r="F603" s="228"/>
      <c r="G603" s="228"/>
      <c r="H603" s="228"/>
      <c r="I603" s="228"/>
      <c r="J603" s="228"/>
      <c r="K603" s="228"/>
      <c r="L603" s="228"/>
      <c r="M603" s="228"/>
      <c r="N603" s="228"/>
      <c r="O603" s="228"/>
      <c r="P603" s="228"/>
      <c r="Q603" s="228"/>
      <c r="R603" s="228"/>
      <c r="S603" s="228"/>
      <c r="T603" s="228"/>
      <c r="U603" s="228"/>
      <c r="V603" s="228"/>
      <c r="W603" s="228"/>
      <c r="X603" s="228"/>
      <c r="Y603" s="228"/>
      <c r="Z603" s="228"/>
      <c r="AA603" s="228"/>
      <c r="AB603" s="228"/>
      <c r="AC603" s="228"/>
      <c r="AD603" s="228"/>
      <c r="AE603" s="228"/>
      <c r="AF603" s="228"/>
      <c r="AG603" s="228"/>
      <c r="AH603" s="228"/>
      <c r="AI603" s="228"/>
      <c r="AJ603" s="228"/>
      <c r="AK603" s="228"/>
      <c r="AL603" s="228"/>
      <c r="AM603" s="228"/>
      <c r="AN603" s="228"/>
      <c r="AO603" s="228"/>
      <c r="AP603" s="40"/>
      <c r="AQ603" s="40"/>
      <c r="AR603" s="40"/>
      <c r="AS603" s="40"/>
      <c r="AT603" s="40"/>
      <c r="AU603" s="40"/>
      <c r="AV603" s="40"/>
      <c r="AW603" s="40"/>
      <c r="AX603" s="40"/>
      <c r="AY603" s="40"/>
      <c r="AZ603" s="40"/>
      <c r="BA603" s="40"/>
      <c r="BB603" s="40"/>
      <c r="BC603" s="40"/>
      <c r="BD603" s="40"/>
      <c r="BE603" s="40"/>
      <c r="BF603" s="40"/>
      <c r="BG603" s="40"/>
      <c r="BH603" s="40"/>
      <c r="BI603" s="40"/>
    </row>
    <row r="604" ht="15.75" customHeight="1">
      <c r="A604" s="33"/>
      <c r="B604" s="228"/>
      <c r="C604" s="228"/>
      <c r="D604" s="228"/>
      <c r="E604" s="228"/>
      <c r="F604" s="228"/>
      <c r="G604" s="228"/>
      <c r="H604" s="228"/>
      <c r="I604" s="228"/>
      <c r="J604" s="228"/>
      <c r="K604" s="228"/>
      <c r="L604" s="228"/>
      <c r="M604" s="228"/>
      <c r="N604" s="228"/>
      <c r="O604" s="228"/>
      <c r="P604" s="228"/>
      <c r="Q604" s="228"/>
      <c r="R604" s="228"/>
      <c r="S604" s="228"/>
      <c r="T604" s="228"/>
      <c r="U604" s="228"/>
      <c r="V604" s="228"/>
      <c r="W604" s="228"/>
      <c r="X604" s="228"/>
      <c r="Y604" s="228"/>
      <c r="Z604" s="228"/>
      <c r="AA604" s="228"/>
      <c r="AB604" s="228"/>
      <c r="AC604" s="228"/>
      <c r="AD604" s="228"/>
      <c r="AE604" s="228"/>
      <c r="AF604" s="228"/>
      <c r="AG604" s="228"/>
      <c r="AH604" s="228"/>
      <c r="AI604" s="228"/>
      <c r="AJ604" s="228"/>
      <c r="AK604" s="228"/>
      <c r="AL604" s="228"/>
      <c r="AM604" s="228"/>
      <c r="AN604" s="228"/>
      <c r="AO604" s="228"/>
      <c r="AP604" s="40"/>
      <c r="AQ604" s="40"/>
      <c r="AR604" s="40"/>
      <c r="AS604" s="40"/>
      <c r="AT604" s="40"/>
      <c r="AU604" s="40"/>
      <c r="AV604" s="40"/>
      <c r="AW604" s="40"/>
      <c r="AX604" s="40"/>
      <c r="AY604" s="40"/>
      <c r="AZ604" s="40"/>
      <c r="BA604" s="40"/>
      <c r="BB604" s="40"/>
      <c r="BC604" s="40"/>
      <c r="BD604" s="40"/>
      <c r="BE604" s="40"/>
      <c r="BF604" s="40"/>
      <c r="BG604" s="40"/>
      <c r="BH604" s="40"/>
      <c r="BI604" s="40"/>
    </row>
    <row r="605" ht="15.75" customHeight="1">
      <c r="A605" s="33"/>
      <c r="B605" s="228"/>
      <c r="C605" s="228"/>
      <c r="D605" s="228"/>
      <c r="E605" s="228"/>
      <c r="F605" s="228"/>
      <c r="G605" s="228"/>
      <c r="H605" s="228"/>
      <c r="I605" s="228"/>
      <c r="J605" s="228"/>
      <c r="K605" s="228"/>
      <c r="L605" s="228"/>
      <c r="M605" s="228"/>
      <c r="N605" s="228"/>
      <c r="O605" s="228"/>
      <c r="P605" s="228"/>
      <c r="Q605" s="228"/>
      <c r="R605" s="228"/>
      <c r="S605" s="228"/>
      <c r="T605" s="228"/>
      <c r="U605" s="228"/>
      <c r="V605" s="228"/>
      <c r="W605" s="228"/>
      <c r="X605" s="228"/>
      <c r="Y605" s="228"/>
      <c r="Z605" s="228"/>
      <c r="AA605" s="228"/>
      <c r="AB605" s="228"/>
      <c r="AC605" s="228"/>
      <c r="AD605" s="228"/>
      <c r="AE605" s="228"/>
      <c r="AF605" s="228"/>
      <c r="AG605" s="228"/>
      <c r="AH605" s="228"/>
      <c r="AI605" s="228"/>
      <c r="AJ605" s="228"/>
      <c r="AK605" s="228"/>
      <c r="AL605" s="228"/>
      <c r="AM605" s="228"/>
      <c r="AN605" s="228"/>
      <c r="AO605" s="228"/>
      <c r="AP605" s="40"/>
      <c r="AQ605" s="40"/>
      <c r="AR605" s="40"/>
      <c r="AS605" s="40"/>
      <c r="AT605" s="40"/>
      <c r="AU605" s="40"/>
      <c r="AV605" s="40"/>
      <c r="AW605" s="40"/>
      <c r="AX605" s="40"/>
      <c r="AY605" s="40"/>
      <c r="AZ605" s="40"/>
      <c r="BA605" s="40"/>
      <c r="BB605" s="40"/>
      <c r="BC605" s="40"/>
      <c r="BD605" s="40"/>
      <c r="BE605" s="40"/>
      <c r="BF605" s="40"/>
      <c r="BG605" s="40"/>
      <c r="BH605" s="40"/>
      <c r="BI605" s="40"/>
    </row>
    <row r="606" ht="15.75" customHeight="1">
      <c r="A606" s="33"/>
      <c r="B606" s="228"/>
      <c r="C606" s="228"/>
      <c r="D606" s="228"/>
      <c r="E606" s="228"/>
      <c r="F606" s="228"/>
      <c r="G606" s="228"/>
      <c r="H606" s="228"/>
      <c r="I606" s="228"/>
      <c r="J606" s="228"/>
      <c r="K606" s="228"/>
      <c r="L606" s="228"/>
      <c r="M606" s="228"/>
      <c r="N606" s="228"/>
      <c r="O606" s="228"/>
      <c r="P606" s="228"/>
      <c r="Q606" s="228"/>
      <c r="R606" s="228"/>
      <c r="S606" s="228"/>
      <c r="T606" s="228"/>
      <c r="U606" s="228"/>
      <c r="V606" s="228"/>
      <c r="W606" s="228"/>
      <c r="X606" s="228"/>
      <c r="Y606" s="228"/>
      <c r="Z606" s="228"/>
      <c r="AA606" s="228"/>
      <c r="AB606" s="228"/>
      <c r="AC606" s="228"/>
      <c r="AD606" s="228"/>
      <c r="AE606" s="228"/>
      <c r="AF606" s="228"/>
      <c r="AG606" s="228"/>
      <c r="AH606" s="228"/>
      <c r="AI606" s="228"/>
      <c r="AJ606" s="228"/>
      <c r="AK606" s="228"/>
      <c r="AL606" s="228"/>
      <c r="AM606" s="228"/>
      <c r="AN606" s="228"/>
      <c r="AO606" s="228"/>
      <c r="AP606" s="40"/>
      <c r="AQ606" s="40"/>
      <c r="AR606" s="40"/>
      <c r="AS606" s="40"/>
      <c r="AT606" s="40"/>
      <c r="AU606" s="40"/>
      <c r="AV606" s="40"/>
      <c r="AW606" s="40"/>
      <c r="AX606" s="40"/>
      <c r="AY606" s="40"/>
      <c r="AZ606" s="40"/>
      <c r="BA606" s="40"/>
      <c r="BB606" s="40"/>
      <c r="BC606" s="40"/>
      <c r="BD606" s="40"/>
      <c r="BE606" s="40"/>
      <c r="BF606" s="40"/>
      <c r="BG606" s="40"/>
      <c r="BH606" s="40"/>
      <c r="BI606" s="40"/>
    </row>
    <row r="607" ht="15.75" customHeight="1">
      <c r="A607" s="33"/>
      <c r="B607" s="228"/>
      <c r="C607" s="228"/>
      <c r="D607" s="228"/>
      <c r="E607" s="228"/>
      <c r="F607" s="228"/>
      <c r="G607" s="228"/>
      <c r="H607" s="228"/>
      <c r="I607" s="228"/>
      <c r="J607" s="228"/>
      <c r="K607" s="228"/>
      <c r="L607" s="228"/>
      <c r="M607" s="228"/>
      <c r="N607" s="228"/>
      <c r="O607" s="228"/>
      <c r="P607" s="228"/>
      <c r="Q607" s="228"/>
      <c r="R607" s="228"/>
      <c r="S607" s="228"/>
      <c r="T607" s="228"/>
      <c r="U607" s="228"/>
      <c r="V607" s="228"/>
      <c r="W607" s="228"/>
      <c r="X607" s="228"/>
      <c r="Y607" s="228"/>
      <c r="Z607" s="228"/>
      <c r="AA607" s="228"/>
      <c r="AB607" s="228"/>
      <c r="AC607" s="228"/>
      <c r="AD607" s="228"/>
      <c r="AE607" s="228"/>
      <c r="AF607" s="228"/>
      <c r="AG607" s="228"/>
      <c r="AH607" s="228"/>
      <c r="AI607" s="228"/>
      <c r="AJ607" s="228"/>
      <c r="AK607" s="228"/>
      <c r="AL607" s="228"/>
      <c r="AM607" s="228"/>
      <c r="AN607" s="228"/>
      <c r="AO607" s="228"/>
      <c r="AP607" s="40"/>
      <c r="AQ607" s="40"/>
      <c r="AR607" s="40"/>
      <c r="AS607" s="40"/>
      <c r="AT607" s="40"/>
      <c r="AU607" s="40"/>
      <c r="AV607" s="40"/>
      <c r="AW607" s="40"/>
      <c r="AX607" s="40"/>
      <c r="AY607" s="40"/>
      <c r="AZ607" s="40"/>
      <c r="BA607" s="40"/>
      <c r="BB607" s="40"/>
      <c r="BC607" s="40"/>
      <c r="BD607" s="40"/>
      <c r="BE607" s="40"/>
      <c r="BF607" s="40"/>
      <c r="BG607" s="40"/>
      <c r="BH607" s="40"/>
      <c r="BI607" s="40"/>
    </row>
    <row r="608" ht="15.75" customHeight="1">
      <c r="A608" s="33"/>
      <c r="B608" s="228"/>
      <c r="C608" s="228"/>
      <c r="D608" s="228"/>
      <c r="E608" s="228"/>
      <c r="F608" s="228"/>
      <c r="G608" s="228"/>
      <c r="H608" s="228"/>
      <c r="I608" s="228"/>
      <c r="J608" s="228"/>
      <c r="K608" s="228"/>
      <c r="L608" s="228"/>
      <c r="M608" s="228"/>
      <c r="N608" s="228"/>
      <c r="O608" s="228"/>
      <c r="P608" s="228"/>
      <c r="Q608" s="228"/>
      <c r="R608" s="228"/>
      <c r="S608" s="228"/>
      <c r="T608" s="228"/>
      <c r="U608" s="228"/>
      <c r="V608" s="228"/>
      <c r="W608" s="228"/>
      <c r="X608" s="228"/>
      <c r="Y608" s="228"/>
      <c r="Z608" s="228"/>
      <c r="AA608" s="228"/>
      <c r="AB608" s="228"/>
      <c r="AC608" s="228"/>
      <c r="AD608" s="228"/>
      <c r="AE608" s="228"/>
      <c r="AF608" s="228"/>
      <c r="AG608" s="228"/>
      <c r="AH608" s="228"/>
      <c r="AI608" s="228"/>
      <c r="AJ608" s="228"/>
      <c r="AK608" s="228"/>
      <c r="AL608" s="228"/>
      <c r="AM608" s="228"/>
      <c r="AN608" s="228"/>
      <c r="AO608" s="228"/>
      <c r="AP608" s="40"/>
      <c r="AQ608" s="40"/>
      <c r="AR608" s="40"/>
      <c r="AS608" s="40"/>
      <c r="AT608" s="40"/>
      <c r="AU608" s="40"/>
      <c r="AV608" s="40"/>
      <c r="AW608" s="40"/>
      <c r="AX608" s="40"/>
      <c r="AY608" s="40"/>
      <c r="AZ608" s="40"/>
      <c r="BA608" s="40"/>
      <c r="BB608" s="40"/>
      <c r="BC608" s="40"/>
      <c r="BD608" s="40"/>
      <c r="BE608" s="40"/>
      <c r="BF608" s="40"/>
      <c r="BG608" s="40"/>
      <c r="BH608" s="40"/>
      <c r="BI608" s="40"/>
    </row>
    <row r="609" ht="15.75" customHeight="1">
      <c r="A609" s="33"/>
      <c r="B609" s="228"/>
      <c r="C609" s="228"/>
      <c r="D609" s="228"/>
      <c r="E609" s="228"/>
      <c r="F609" s="228"/>
      <c r="G609" s="228"/>
      <c r="H609" s="228"/>
      <c r="I609" s="228"/>
      <c r="J609" s="228"/>
      <c r="K609" s="228"/>
      <c r="L609" s="228"/>
      <c r="M609" s="228"/>
      <c r="N609" s="228"/>
      <c r="O609" s="228"/>
      <c r="P609" s="228"/>
      <c r="Q609" s="228"/>
      <c r="R609" s="228"/>
      <c r="S609" s="228"/>
      <c r="T609" s="228"/>
      <c r="U609" s="228"/>
      <c r="V609" s="228"/>
      <c r="W609" s="228"/>
      <c r="X609" s="228"/>
      <c r="Y609" s="228"/>
      <c r="Z609" s="228"/>
      <c r="AA609" s="228"/>
      <c r="AB609" s="228"/>
      <c r="AC609" s="228"/>
      <c r="AD609" s="228"/>
      <c r="AE609" s="228"/>
      <c r="AF609" s="228"/>
      <c r="AG609" s="228"/>
      <c r="AH609" s="228"/>
      <c r="AI609" s="228"/>
      <c r="AJ609" s="228"/>
      <c r="AK609" s="228"/>
      <c r="AL609" s="228"/>
      <c r="AM609" s="228"/>
      <c r="AN609" s="228"/>
      <c r="AO609" s="228"/>
      <c r="AP609" s="40"/>
      <c r="AQ609" s="40"/>
      <c r="AR609" s="40"/>
      <c r="AS609" s="40"/>
      <c r="AT609" s="40"/>
      <c r="AU609" s="40"/>
      <c r="AV609" s="40"/>
      <c r="AW609" s="40"/>
      <c r="AX609" s="40"/>
      <c r="AY609" s="40"/>
      <c r="AZ609" s="40"/>
      <c r="BA609" s="40"/>
      <c r="BB609" s="40"/>
      <c r="BC609" s="40"/>
      <c r="BD609" s="40"/>
      <c r="BE609" s="40"/>
      <c r="BF609" s="40"/>
      <c r="BG609" s="40"/>
      <c r="BH609" s="40"/>
      <c r="BI609" s="40"/>
    </row>
    <row r="610" ht="15.75" customHeight="1">
      <c r="A610" s="33"/>
      <c r="B610" s="228"/>
      <c r="C610" s="228"/>
      <c r="D610" s="228"/>
      <c r="E610" s="228"/>
      <c r="F610" s="228"/>
      <c r="G610" s="228"/>
      <c r="H610" s="228"/>
      <c r="I610" s="228"/>
      <c r="J610" s="228"/>
      <c r="K610" s="228"/>
      <c r="L610" s="228"/>
      <c r="M610" s="228"/>
      <c r="N610" s="228"/>
      <c r="O610" s="228"/>
      <c r="P610" s="228"/>
      <c r="Q610" s="228"/>
      <c r="R610" s="228"/>
      <c r="S610" s="228"/>
      <c r="T610" s="228"/>
      <c r="U610" s="228"/>
      <c r="V610" s="228"/>
      <c r="W610" s="228"/>
      <c r="X610" s="228"/>
      <c r="Y610" s="228"/>
      <c r="Z610" s="228"/>
      <c r="AA610" s="228"/>
      <c r="AB610" s="228"/>
      <c r="AC610" s="228"/>
      <c r="AD610" s="228"/>
      <c r="AE610" s="228"/>
      <c r="AF610" s="228"/>
      <c r="AG610" s="228"/>
      <c r="AH610" s="228"/>
      <c r="AI610" s="228"/>
      <c r="AJ610" s="228"/>
      <c r="AK610" s="228"/>
      <c r="AL610" s="228"/>
      <c r="AM610" s="228"/>
      <c r="AN610" s="228"/>
      <c r="AO610" s="228"/>
      <c r="AP610" s="40"/>
      <c r="AQ610" s="40"/>
      <c r="AR610" s="40"/>
      <c r="AS610" s="40"/>
      <c r="AT610" s="40"/>
      <c r="AU610" s="40"/>
      <c r="AV610" s="40"/>
      <c r="AW610" s="40"/>
      <c r="AX610" s="40"/>
      <c r="AY610" s="40"/>
      <c r="AZ610" s="40"/>
      <c r="BA610" s="40"/>
      <c r="BB610" s="40"/>
      <c r="BC610" s="40"/>
      <c r="BD610" s="40"/>
      <c r="BE610" s="40"/>
      <c r="BF610" s="40"/>
      <c r="BG610" s="40"/>
      <c r="BH610" s="40"/>
      <c r="BI610" s="40"/>
    </row>
    <row r="611" ht="15.75" customHeight="1">
      <c r="A611" s="33"/>
      <c r="B611" s="228"/>
      <c r="C611" s="228"/>
      <c r="D611" s="228"/>
      <c r="E611" s="228"/>
      <c r="F611" s="228"/>
      <c r="G611" s="228"/>
      <c r="H611" s="228"/>
      <c r="I611" s="228"/>
      <c r="J611" s="228"/>
      <c r="K611" s="228"/>
      <c r="L611" s="228"/>
      <c r="M611" s="228"/>
      <c r="N611" s="228"/>
      <c r="O611" s="228"/>
      <c r="P611" s="228"/>
      <c r="Q611" s="228"/>
      <c r="R611" s="228"/>
      <c r="S611" s="228"/>
      <c r="T611" s="228"/>
      <c r="U611" s="228"/>
      <c r="V611" s="228"/>
      <c r="W611" s="228"/>
      <c r="X611" s="228"/>
      <c r="Y611" s="228"/>
      <c r="Z611" s="228"/>
      <c r="AA611" s="228"/>
      <c r="AB611" s="228"/>
      <c r="AC611" s="228"/>
      <c r="AD611" s="228"/>
      <c r="AE611" s="228"/>
      <c r="AF611" s="228"/>
      <c r="AG611" s="228"/>
      <c r="AH611" s="228"/>
      <c r="AI611" s="228"/>
      <c r="AJ611" s="228"/>
      <c r="AK611" s="228"/>
      <c r="AL611" s="228"/>
      <c r="AM611" s="228"/>
      <c r="AN611" s="228"/>
      <c r="AO611" s="228"/>
      <c r="AP611" s="40"/>
      <c r="AQ611" s="40"/>
      <c r="AR611" s="40"/>
      <c r="AS611" s="40"/>
      <c r="AT611" s="40"/>
      <c r="AU611" s="40"/>
      <c r="AV611" s="40"/>
      <c r="AW611" s="40"/>
      <c r="AX611" s="40"/>
      <c r="AY611" s="40"/>
      <c r="AZ611" s="40"/>
      <c r="BA611" s="40"/>
      <c r="BB611" s="40"/>
      <c r="BC611" s="40"/>
      <c r="BD611" s="40"/>
      <c r="BE611" s="40"/>
      <c r="BF611" s="40"/>
      <c r="BG611" s="40"/>
      <c r="BH611" s="40"/>
      <c r="BI611" s="40"/>
    </row>
    <row r="612" ht="15.75" customHeight="1">
      <c r="A612" s="33"/>
      <c r="B612" s="228"/>
      <c r="C612" s="228"/>
      <c r="D612" s="228"/>
      <c r="E612" s="228"/>
      <c r="F612" s="228"/>
      <c r="G612" s="228"/>
      <c r="H612" s="228"/>
      <c r="I612" s="228"/>
      <c r="J612" s="228"/>
      <c r="K612" s="228"/>
      <c r="L612" s="228"/>
      <c r="M612" s="228"/>
      <c r="N612" s="228"/>
      <c r="O612" s="228"/>
      <c r="P612" s="228"/>
      <c r="Q612" s="228"/>
      <c r="R612" s="228"/>
      <c r="S612" s="228"/>
      <c r="T612" s="228"/>
      <c r="U612" s="228"/>
      <c r="V612" s="228"/>
      <c r="W612" s="228"/>
      <c r="X612" s="228"/>
      <c r="Y612" s="228"/>
      <c r="Z612" s="228"/>
      <c r="AA612" s="228"/>
      <c r="AB612" s="228"/>
      <c r="AC612" s="228"/>
      <c r="AD612" s="228"/>
      <c r="AE612" s="228"/>
      <c r="AF612" s="228"/>
      <c r="AG612" s="228"/>
      <c r="AH612" s="228"/>
      <c r="AI612" s="228"/>
      <c r="AJ612" s="228"/>
      <c r="AK612" s="228"/>
      <c r="AL612" s="228"/>
      <c r="AM612" s="228"/>
      <c r="AN612" s="228"/>
      <c r="AO612" s="228"/>
      <c r="AP612" s="40"/>
      <c r="AQ612" s="40"/>
      <c r="AR612" s="40"/>
      <c r="AS612" s="40"/>
      <c r="AT612" s="40"/>
      <c r="AU612" s="40"/>
      <c r="AV612" s="40"/>
      <c r="AW612" s="40"/>
      <c r="AX612" s="40"/>
      <c r="AY612" s="40"/>
      <c r="AZ612" s="40"/>
      <c r="BA612" s="40"/>
      <c r="BB612" s="40"/>
      <c r="BC612" s="40"/>
      <c r="BD612" s="40"/>
      <c r="BE612" s="40"/>
      <c r="BF612" s="40"/>
      <c r="BG612" s="40"/>
      <c r="BH612" s="40"/>
      <c r="BI612" s="40"/>
    </row>
    <row r="613" ht="15.75" customHeight="1">
      <c r="A613" s="33"/>
      <c r="B613" s="228"/>
      <c r="C613" s="228"/>
      <c r="D613" s="228"/>
      <c r="E613" s="228"/>
      <c r="F613" s="228"/>
      <c r="G613" s="228"/>
      <c r="H613" s="228"/>
      <c r="I613" s="228"/>
      <c r="J613" s="228"/>
      <c r="K613" s="228"/>
      <c r="L613" s="228"/>
      <c r="M613" s="228"/>
      <c r="N613" s="228"/>
      <c r="O613" s="228"/>
      <c r="P613" s="228"/>
      <c r="Q613" s="228"/>
      <c r="R613" s="228"/>
      <c r="S613" s="228"/>
      <c r="T613" s="228"/>
      <c r="U613" s="228"/>
      <c r="V613" s="228"/>
      <c r="W613" s="228"/>
      <c r="X613" s="228"/>
      <c r="Y613" s="228"/>
      <c r="Z613" s="228"/>
      <c r="AA613" s="228"/>
      <c r="AB613" s="228"/>
      <c r="AC613" s="228"/>
      <c r="AD613" s="228"/>
      <c r="AE613" s="228"/>
      <c r="AF613" s="228"/>
      <c r="AG613" s="228"/>
      <c r="AH613" s="228"/>
      <c r="AI613" s="228"/>
      <c r="AJ613" s="228"/>
      <c r="AK613" s="228"/>
      <c r="AL613" s="228"/>
      <c r="AM613" s="228"/>
      <c r="AN613" s="228"/>
      <c r="AO613" s="228"/>
      <c r="AP613" s="40"/>
      <c r="AQ613" s="40"/>
      <c r="AR613" s="40"/>
      <c r="AS613" s="40"/>
      <c r="AT613" s="40"/>
      <c r="AU613" s="40"/>
      <c r="AV613" s="40"/>
      <c r="AW613" s="40"/>
      <c r="AX613" s="40"/>
      <c r="AY613" s="40"/>
      <c r="AZ613" s="40"/>
      <c r="BA613" s="40"/>
      <c r="BB613" s="40"/>
      <c r="BC613" s="40"/>
      <c r="BD613" s="40"/>
      <c r="BE613" s="40"/>
      <c r="BF613" s="40"/>
      <c r="BG613" s="40"/>
      <c r="BH613" s="40"/>
      <c r="BI613" s="40"/>
    </row>
    <row r="614" ht="15.75" customHeight="1">
      <c r="A614" s="33"/>
      <c r="B614" s="228"/>
      <c r="C614" s="228"/>
      <c r="D614" s="228"/>
      <c r="E614" s="228"/>
      <c r="F614" s="228"/>
      <c r="G614" s="228"/>
      <c r="H614" s="228"/>
      <c r="I614" s="228"/>
      <c r="J614" s="228"/>
      <c r="K614" s="228"/>
      <c r="L614" s="228"/>
      <c r="M614" s="228"/>
      <c r="N614" s="228"/>
      <c r="O614" s="228"/>
      <c r="P614" s="228"/>
      <c r="Q614" s="228"/>
      <c r="R614" s="228"/>
      <c r="S614" s="228"/>
      <c r="T614" s="228"/>
      <c r="U614" s="228"/>
      <c r="V614" s="228"/>
      <c r="W614" s="228"/>
      <c r="X614" s="228"/>
      <c r="Y614" s="228"/>
      <c r="Z614" s="228"/>
      <c r="AA614" s="228"/>
      <c r="AB614" s="228"/>
      <c r="AC614" s="228"/>
      <c r="AD614" s="228"/>
      <c r="AE614" s="228"/>
      <c r="AF614" s="228"/>
      <c r="AG614" s="228"/>
      <c r="AH614" s="228"/>
      <c r="AI614" s="228"/>
      <c r="AJ614" s="228"/>
      <c r="AK614" s="228"/>
      <c r="AL614" s="228"/>
      <c r="AM614" s="228"/>
      <c r="AN614" s="228"/>
      <c r="AO614" s="228"/>
      <c r="AP614" s="40"/>
      <c r="AQ614" s="40"/>
      <c r="AR614" s="40"/>
      <c r="AS614" s="40"/>
      <c r="AT614" s="40"/>
      <c r="AU614" s="40"/>
      <c r="AV614" s="40"/>
      <c r="AW614" s="40"/>
      <c r="AX614" s="40"/>
      <c r="AY614" s="40"/>
      <c r="AZ614" s="40"/>
      <c r="BA614" s="40"/>
      <c r="BB614" s="40"/>
      <c r="BC614" s="40"/>
      <c r="BD614" s="40"/>
      <c r="BE614" s="40"/>
      <c r="BF614" s="40"/>
      <c r="BG614" s="40"/>
      <c r="BH614" s="40"/>
      <c r="BI614" s="40"/>
    </row>
    <row r="615" ht="15.75" customHeight="1">
      <c r="A615" s="33"/>
      <c r="B615" s="228"/>
      <c r="C615" s="228"/>
      <c r="D615" s="228"/>
      <c r="E615" s="228"/>
      <c r="F615" s="228"/>
      <c r="G615" s="228"/>
      <c r="H615" s="228"/>
      <c r="I615" s="228"/>
      <c r="J615" s="228"/>
      <c r="K615" s="228"/>
      <c r="L615" s="228"/>
      <c r="M615" s="228"/>
      <c r="N615" s="228"/>
      <c r="O615" s="228"/>
      <c r="P615" s="228"/>
      <c r="Q615" s="228"/>
      <c r="R615" s="228"/>
      <c r="S615" s="228"/>
      <c r="T615" s="228"/>
      <c r="U615" s="228"/>
      <c r="V615" s="228"/>
      <c r="W615" s="228"/>
      <c r="X615" s="228"/>
      <c r="Y615" s="228"/>
      <c r="Z615" s="228"/>
      <c r="AA615" s="228"/>
      <c r="AB615" s="228"/>
      <c r="AC615" s="228"/>
      <c r="AD615" s="228"/>
      <c r="AE615" s="228"/>
      <c r="AF615" s="228"/>
      <c r="AG615" s="228"/>
      <c r="AH615" s="228"/>
      <c r="AI615" s="228"/>
      <c r="AJ615" s="228"/>
      <c r="AK615" s="228"/>
      <c r="AL615" s="228"/>
      <c r="AM615" s="228"/>
      <c r="AN615" s="228"/>
      <c r="AO615" s="228"/>
      <c r="AP615" s="40"/>
      <c r="AQ615" s="40"/>
      <c r="AR615" s="40"/>
      <c r="AS615" s="40"/>
      <c r="AT615" s="40"/>
      <c r="AU615" s="40"/>
      <c r="AV615" s="40"/>
      <c r="AW615" s="40"/>
      <c r="AX615" s="40"/>
      <c r="AY615" s="40"/>
      <c r="AZ615" s="40"/>
      <c r="BA615" s="40"/>
      <c r="BB615" s="40"/>
      <c r="BC615" s="40"/>
      <c r="BD615" s="40"/>
      <c r="BE615" s="40"/>
      <c r="BF615" s="40"/>
      <c r="BG615" s="40"/>
      <c r="BH615" s="40"/>
      <c r="BI615" s="40"/>
    </row>
    <row r="616" ht="15.75" customHeight="1">
      <c r="A616" s="33"/>
      <c r="B616" s="228"/>
      <c r="C616" s="228"/>
      <c r="D616" s="228"/>
      <c r="E616" s="228"/>
      <c r="F616" s="228"/>
      <c r="G616" s="228"/>
      <c r="H616" s="228"/>
      <c r="I616" s="228"/>
      <c r="J616" s="228"/>
      <c r="K616" s="228"/>
      <c r="L616" s="228"/>
      <c r="M616" s="228"/>
      <c r="N616" s="228"/>
      <c r="O616" s="228"/>
      <c r="P616" s="228"/>
      <c r="Q616" s="228"/>
      <c r="R616" s="228"/>
      <c r="S616" s="228"/>
      <c r="T616" s="228"/>
      <c r="U616" s="228"/>
      <c r="V616" s="228"/>
      <c r="W616" s="228"/>
      <c r="X616" s="228"/>
      <c r="Y616" s="228"/>
      <c r="Z616" s="228"/>
      <c r="AA616" s="228"/>
      <c r="AB616" s="228"/>
      <c r="AC616" s="228"/>
      <c r="AD616" s="228"/>
      <c r="AE616" s="228"/>
      <c r="AF616" s="228"/>
      <c r="AG616" s="228"/>
      <c r="AH616" s="228"/>
      <c r="AI616" s="228"/>
      <c r="AJ616" s="228"/>
      <c r="AK616" s="228"/>
      <c r="AL616" s="228"/>
      <c r="AM616" s="228"/>
      <c r="AN616" s="228"/>
      <c r="AO616" s="228"/>
      <c r="AP616" s="40"/>
      <c r="AQ616" s="40"/>
      <c r="AR616" s="40"/>
      <c r="AS616" s="40"/>
      <c r="AT616" s="40"/>
      <c r="AU616" s="40"/>
      <c r="AV616" s="40"/>
      <c r="AW616" s="40"/>
      <c r="AX616" s="40"/>
      <c r="AY616" s="40"/>
      <c r="AZ616" s="40"/>
      <c r="BA616" s="40"/>
      <c r="BB616" s="40"/>
      <c r="BC616" s="40"/>
      <c r="BD616" s="40"/>
      <c r="BE616" s="40"/>
      <c r="BF616" s="40"/>
      <c r="BG616" s="40"/>
      <c r="BH616" s="40"/>
      <c r="BI616" s="40"/>
    </row>
    <row r="617" ht="15.75" customHeight="1">
      <c r="A617" s="33"/>
      <c r="B617" s="228"/>
      <c r="C617" s="228"/>
      <c r="D617" s="228"/>
      <c r="E617" s="228"/>
      <c r="F617" s="228"/>
      <c r="G617" s="228"/>
      <c r="H617" s="228"/>
      <c r="I617" s="228"/>
      <c r="J617" s="228"/>
      <c r="K617" s="228"/>
      <c r="L617" s="228"/>
      <c r="M617" s="228"/>
      <c r="N617" s="228"/>
      <c r="O617" s="228"/>
      <c r="P617" s="228"/>
      <c r="Q617" s="228"/>
      <c r="R617" s="228"/>
      <c r="S617" s="228"/>
      <c r="T617" s="228"/>
      <c r="U617" s="228"/>
      <c r="V617" s="228"/>
      <c r="W617" s="228"/>
      <c r="X617" s="228"/>
      <c r="Y617" s="228"/>
      <c r="Z617" s="228"/>
      <c r="AA617" s="228"/>
      <c r="AB617" s="228"/>
      <c r="AC617" s="228"/>
      <c r="AD617" s="228"/>
      <c r="AE617" s="228"/>
      <c r="AF617" s="228"/>
      <c r="AG617" s="228"/>
      <c r="AH617" s="228"/>
      <c r="AI617" s="228"/>
      <c r="AJ617" s="228"/>
      <c r="AK617" s="228"/>
      <c r="AL617" s="228"/>
      <c r="AM617" s="228"/>
      <c r="AN617" s="228"/>
      <c r="AO617" s="228"/>
      <c r="AP617" s="40"/>
      <c r="AQ617" s="40"/>
      <c r="AR617" s="40"/>
      <c r="AS617" s="40"/>
      <c r="AT617" s="40"/>
      <c r="AU617" s="40"/>
      <c r="AV617" s="40"/>
      <c r="AW617" s="40"/>
      <c r="AX617" s="40"/>
      <c r="AY617" s="40"/>
      <c r="AZ617" s="40"/>
      <c r="BA617" s="40"/>
      <c r="BB617" s="40"/>
      <c r="BC617" s="40"/>
      <c r="BD617" s="40"/>
      <c r="BE617" s="40"/>
      <c r="BF617" s="40"/>
      <c r="BG617" s="40"/>
      <c r="BH617" s="40"/>
      <c r="BI617" s="40"/>
    </row>
    <row r="618" ht="15.75" customHeight="1">
      <c r="A618" s="33"/>
      <c r="B618" s="228"/>
      <c r="C618" s="228"/>
      <c r="D618" s="228"/>
      <c r="E618" s="228"/>
      <c r="F618" s="228"/>
      <c r="G618" s="228"/>
      <c r="H618" s="228"/>
      <c r="I618" s="228"/>
      <c r="J618" s="228"/>
      <c r="K618" s="228"/>
      <c r="L618" s="228"/>
      <c r="M618" s="228"/>
      <c r="N618" s="228"/>
      <c r="O618" s="228"/>
      <c r="P618" s="228"/>
      <c r="Q618" s="228"/>
      <c r="R618" s="228"/>
      <c r="S618" s="228"/>
      <c r="T618" s="228"/>
      <c r="U618" s="228"/>
      <c r="V618" s="228"/>
      <c r="W618" s="228"/>
      <c r="X618" s="228"/>
      <c r="Y618" s="228"/>
      <c r="Z618" s="228"/>
      <c r="AA618" s="228"/>
      <c r="AB618" s="228"/>
      <c r="AC618" s="228"/>
      <c r="AD618" s="228"/>
      <c r="AE618" s="228"/>
      <c r="AF618" s="228"/>
      <c r="AG618" s="228"/>
      <c r="AH618" s="228"/>
      <c r="AI618" s="228"/>
      <c r="AJ618" s="228"/>
      <c r="AK618" s="228"/>
      <c r="AL618" s="228"/>
      <c r="AM618" s="228"/>
      <c r="AN618" s="228"/>
      <c r="AO618" s="228"/>
      <c r="AP618" s="40"/>
      <c r="AQ618" s="40"/>
      <c r="AR618" s="40"/>
      <c r="AS618" s="40"/>
      <c r="AT618" s="40"/>
      <c r="AU618" s="40"/>
      <c r="AV618" s="40"/>
      <c r="AW618" s="40"/>
      <c r="AX618" s="40"/>
      <c r="AY618" s="40"/>
      <c r="AZ618" s="40"/>
      <c r="BA618" s="40"/>
      <c r="BB618" s="40"/>
      <c r="BC618" s="40"/>
      <c r="BD618" s="40"/>
      <c r="BE618" s="40"/>
      <c r="BF618" s="40"/>
      <c r="BG618" s="40"/>
      <c r="BH618" s="40"/>
      <c r="BI618" s="40"/>
    </row>
    <row r="619" ht="15.75" customHeight="1">
      <c r="A619" s="33"/>
      <c r="B619" s="228"/>
      <c r="C619" s="228"/>
      <c r="D619" s="228"/>
      <c r="E619" s="228"/>
      <c r="F619" s="228"/>
      <c r="G619" s="228"/>
      <c r="H619" s="228"/>
      <c r="I619" s="228"/>
      <c r="J619" s="228"/>
      <c r="K619" s="228"/>
      <c r="L619" s="228"/>
      <c r="M619" s="228"/>
      <c r="N619" s="228"/>
      <c r="O619" s="228"/>
      <c r="P619" s="228"/>
      <c r="Q619" s="228"/>
      <c r="R619" s="228"/>
      <c r="S619" s="228"/>
      <c r="T619" s="228"/>
      <c r="U619" s="228"/>
      <c r="V619" s="228"/>
      <c r="W619" s="228"/>
      <c r="X619" s="228"/>
      <c r="Y619" s="228"/>
      <c r="Z619" s="228"/>
      <c r="AA619" s="228"/>
      <c r="AB619" s="228"/>
      <c r="AC619" s="228"/>
      <c r="AD619" s="228"/>
      <c r="AE619" s="228"/>
      <c r="AF619" s="228"/>
      <c r="AG619" s="228"/>
      <c r="AH619" s="228"/>
      <c r="AI619" s="228"/>
      <c r="AJ619" s="228"/>
      <c r="AK619" s="228"/>
      <c r="AL619" s="228"/>
      <c r="AM619" s="228"/>
      <c r="AN619" s="228"/>
      <c r="AO619" s="228"/>
      <c r="AP619" s="40"/>
      <c r="AQ619" s="40"/>
      <c r="AR619" s="40"/>
      <c r="AS619" s="40"/>
      <c r="AT619" s="40"/>
      <c r="AU619" s="40"/>
      <c r="AV619" s="40"/>
      <c r="AW619" s="40"/>
      <c r="AX619" s="40"/>
      <c r="AY619" s="40"/>
      <c r="AZ619" s="40"/>
      <c r="BA619" s="40"/>
      <c r="BB619" s="40"/>
      <c r="BC619" s="40"/>
      <c r="BD619" s="40"/>
      <c r="BE619" s="40"/>
      <c r="BF619" s="40"/>
      <c r="BG619" s="40"/>
      <c r="BH619" s="40"/>
      <c r="BI619" s="40"/>
    </row>
    <row r="620" ht="15.75" customHeight="1">
      <c r="A620" s="33"/>
      <c r="B620" s="228"/>
      <c r="C620" s="228"/>
      <c r="D620" s="228"/>
      <c r="E620" s="228"/>
      <c r="F620" s="228"/>
      <c r="G620" s="228"/>
      <c r="H620" s="228"/>
      <c r="I620" s="228"/>
      <c r="J620" s="228"/>
      <c r="K620" s="228"/>
      <c r="L620" s="228"/>
      <c r="M620" s="228"/>
      <c r="N620" s="228"/>
      <c r="O620" s="228"/>
      <c r="P620" s="228"/>
      <c r="Q620" s="228"/>
      <c r="R620" s="228"/>
      <c r="S620" s="228"/>
      <c r="T620" s="228"/>
      <c r="U620" s="228"/>
      <c r="V620" s="228"/>
      <c r="W620" s="228"/>
      <c r="X620" s="228"/>
      <c r="Y620" s="228"/>
      <c r="Z620" s="228"/>
      <c r="AA620" s="228"/>
      <c r="AB620" s="228"/>
      <c r="AC620" s="228"/>
      <c r="AD620" s="228"/>
      <c r="AE620" s="228"/>
      <c r="AF620" s="228"/>
      <c r="AG620" s="228"/>
      <c r="AH620" s="228"/>
      <c r="AI620" s="228"/>
      <c r="AJ620" s="228"/>
      <c r="AK620" s="228"/>
      <c r="AL620" s="228"/>
      <c r="AM620" s="228"/>
      <c r="AN620" s="228"/>
      <c r="AO620" s="228"/>
      <c r="AP620" s="40"/>
      <c r="AQ620" s="40"/>
      <c r="AR620" s="40"/>
      <c r="AS620" s="40"/>
      <c r="AT620" s="40"/>
      <c r="AU620" s="40"/>
      <c r="AV620" s="40"/>
      <c r="AW620" s="40"/>
      <c r="AX620" s="40"/>
      <c r="AY620" s="40"/>
      <c r="AZ620" s="40"/>
      <c r="BA620" s="40"/>
      <c r="BB620" s="40"/>
      <c r="BC620" s="40"/>
      <c r="BD620" s="40"/>
      <c r="BE620" s="40"/>
      <c r="BF620" s="40"/>
      <c r="BG620" s="40"/>
      <c r="BH620" s="40"/>
      <c r="BI620" s="40"/>
    </row>
    <row r="621" ht="15.75" customHeight="1">
      <c r="A621" s="33"/>
      <c r="B621" s="228"/>
      <c r="C621" s="228"/>
      <c r="D621" s="228"/>
      <c r="E621" s="228"/>
      <c r="F621" s="228"/>
      <c r="G621" s="228"/>
      <c r="H621" s="228"/>
      <c r="I621" s="228"/>
      <c r="J621" s="228"/>
      <c r="K621" s="228"/>
      <c r="L621" s="228"/>
      <c r="M621" s="228"/>
      <c r="N621" s="228"/>
      <c r="O621" s="228"/>
      <c r="P621" s="228"/>
      <c r="Q621" s="228"/>
      <c r="R621" s="228"/>
      <c r="S621" s="228"/>
      <c r="T621" s="228"/>
      <c r="U621" s="228"/>
      <c r="V621" s="228"/>
      <c r="W621" s="228"/>
      <c r="X621" s="228"/>
      <c r="Y621" s="228"/>
      <c r="Z621" s="228"/>
      <c r="AA621" s="228"/>
      <c r="AB621" s="228"/>
      <c r="AC621" s="228"/>
      <c r="AD621" s="228"/>
      <c r="AE621" s="228"/>
      <c r="AF621" s="228"/>
      <c r="AG621" s="228"/>
      <c r="AH621" s="228"/>
      <c r="AI621" s="228"/>
      <c r="AJ621" s="228"/>
      <c r="AK621" s="228"/>
      <c r="AL621" s="228"/>
      <c r="AM621" s="228"/>
      <c r="AN621" s="228"/>
      <c r="AO621" s="228"/>
      <c r="AP621" s="40"/>
      <c r="AQ621" s="40"/>
      <c r="AR621" s="40"/>
      <c r="AS621" s="40"/>
      <c r="AT621" s="40"/>
      <c r="AU621" s="40"/>
      <c r="AV621" s="40"/>
      <c r="AW621" s="40"/>
      <c r="AX621" s="40"/>
      <c r="AY621" s="40"/>
      <c r="AZ621" s="40"/>
      <c r="BA621" s="40"/>
      <c r="BB621" s="40"/>
      <c r="BC621" s="40"/>
      <c r="BD621" s="40"/>
      <c r="BE621" s="40"/>
      <c r="BF621" s="40"/>
      <c r="BG621" s="40"/>
      <c r="BH621" s="40"/>
      <c r="BI621" s="40"/>
    </row>
    <row r="622" ht="15.75" customHeight="1">
      <c r="A622" s="33"/>
      <c r="B622" s="228"/>
      <c r="C622" s="228"/>
      <c r="D622" s="228"/>
      <c r="E622" s="228"/>
      <c r="F622" s="228"/>
      <c r="G622" s="228"/>
      <c r="H622" s="228"/>
      <c r="I622" s="228"/>
      <c r="J622" s="228"/>
      <c r="K622" s="228"/>
      <c r="L622" s="228"/>
      <c r="M622" s="228"/>
      <c r="N622" s="228"/>
      <c r="O622" s="228"/>
      <c r="P622" s="228"/>
      <c r="Q622" s="228"/>
      <c r="R622" s="228"/>
      <c r="S622" s="228"/>
      <c r="T622" s="228"/>
      <c r="U622" s="228"/>
      <c r="V622" s="228"/>
      <c r="W622" s="228"/>
      <c r="X622" s="228"/>
      <c r="Y622" s="228"/>
      <c r="Z622" s="228"/>
      <c r="AA622" s="228"/>
      <c r="AB622" s="228"/>
      <c r="AC622" s="228"/>
      <c r="AD622" s="228"/>
      <c r="AE622" s="228"/>
      <c r="AF622" s="228"/>
      <c r="AG622" s="228"/>
      <c r="AH622" s="228"/>
      <c r="AI622" s="228"/>
      <c r="AJ622" s="228"/>
      <c r="AK622" s="228"/>
      <c r="AL622" s="228"/>
      <c r="AM622" s="228"/>
      <c r="AN622" s="228"/>
      <c r="AO622" s="228"/>
      <c r="AP622" s="40"/>
      <c r="AQ622" s="40"/>
      <c r="AR622" s="40"/>
      <c r="AS622" s="40"/>
      <c r="AT622" s="40"/>
      <c r="AU622" s="40"/>
      <c r="AV622" s="40"/>
      <c r="AW622" s="40"/>
      <c r="AX622" s="40"/>
      <c r="AY622" s="40"/>
      <c r="AZ622" s="40"/>
      <c r="BA622" s="40"/>
      <c r="BB622" s="40"/>
      <c r="BC622" s="40"/>
      <c r="BD622" s="40"/>
      <c r="BE622" s="40"/>
      <c r="BF622" s="40"/>
      <c r="BG622" s="40"/>
      <c r="BH622" s="40"/>
      <c r="BI622" s="40"/>
    </row>
    <row r="623" ht="15.75" customHeight="1">
      <c r="A623" s="33"/>
      <c r="B623" s="228"/>
      <c r="C623" s="228"/>
      <c r="D623" s="228"/>
      <c r="E623" s="228"/>
      <c r="F623" s="228"/>
      <c r="G623" s="228"/>
      <c r="H623" s="228"/>
      <c r="I623" s="228"/>
      <c r="J623" s="228"/>
      <c r="K623" s="228"/>
      <c r="L623" s="228"/>
      <c r="M623" s="228"/>
      <c r="N623" s="228"/>
      <c r="O623" s="228"/>
      <c r="P623" s="228"/>
      <c r="Q623" s="228"/>
      <c r="R623" s="228"/>
      <c r="S623" s="228"/>
      <c r="T623" s="228"/>
      <c r="U623" s="228"/>
      <c r="V623" s="228"/>
      <c r="W623" s="228"/>
      <c r="X623" s="228"/>
      <c r="Y623" s="228"/>
      <c r="Z623" s="228"/>
      <c r="AA623" s="228"/>
      <c r="AB623" s="228"/>
      <c r="AC623" s="228"/>
      <c r="AD623" s="228"/>
      <c r="AE623" s="228"/>
      <c r="AF623" s="228"/>
      <c r="AG623" s="228"/>
      <c r="AH623" s="228"/>
      <c r="AI623" s="228"/>
      <c r="AJ623" s="228"/>
      <c r="AK623" s="228"/>
      <c r="AL623" s="228"/>
      <c r="AM623" s="228"/>
      <c r="AN623" s="228"/>
      <c r="AO623" s="228"/>
      <c r="AP623" s="40"/>
      <c r="AQ623" s="40"/>
      <c r="AR623" s="40"/>
      <c r="AS623" s="40"/>
      <c r="AT623" s="40"/>
      <c r="AU623" s="40"/>
      <c r="AV623" s="40"/>
      <c r="AW623" s="40"/>
      <c r="AX623" s="40"/>
      <c r="AY623" s="40"/>
      <c r="AZ623" s="40"/>
      <c r="BA623" s="40"/>
      <c r="BB623" s="40"/>
      <c r="BC623" s="40"/>
      <c r="BD623" s="40"/>
      <c r="BE623" s="40"/>
      <c r="BF623" s="40"/>
      <c r="BG623" s="40"/>
      <c r="BH623" s="40"/>
      <c r="BI623" s="40"/>
    </row>
    <row r="624" ht="15.75" customHeight="1">
      <c r="A624" s="33"/>
      <c r="B624" s="228"/>
      <c r="C624" s="228"/>
      <c r="D624" s="228"/>
      <c r="E624" s="228"/>
      <c r="F624" s="228"/>
      <c r="G624" s="228"/>
      <c r="H624" s="228"/>
      <c r="I624" s="228"/>
      <c r="J624" s="228"/>
      <c r="K624" s="228"/>
      <c r="L624" s="228"/>
      <c r="M624" s="228"/>
      <c r="N624" s="228"/>
      <c r="O624" s="228"/>
      <c r="P624" s="228"/>
      <c r="Q624" s="228"/>
      <c r="R624" s="228"/>
      <c r="S624" s="228"/>
      <c r="T624" s="228"/>
      <c r="U624" s="228"/>
      <c r="V624" s="228"/>
      <c r="W624" s="228"/>
      <c r="X624" s="228"/>
      <c r="Y624" s="228"/>
      <c r="Z624" s="228"/>
      <c r="AA624" s="228"/>
      <c r="AB624" s="228"/>
      <c r="AC624" s="228"/>
      <c r="AD624" s="228"/>
      <c r="AE624" s="228"/>
      <c r="AF624" s="228"/>
      <c r="AG624" s="228"/>
      <c r="AH624" s="228"/>
      <c r="AI624" s="228"/>
      <c r="AJ624" s="228"/>
      <c r="AK624" s="228"/>
      <c r="AL624" s="228"/>
      <c r="AM624" s="228"/>
      <c r="AN624" s="228"/>
      <c r="AO624" s="228"/>
      <c r="AP624" s="40"/>
      <c r="AQ624" s="40"/>
      <c r="AR624" s="40"/>
      <c r="AS624" s="40"/>
      <c r="AT624" s="40"/>
      <c r="AU624" s="40"/>
      <c r="AV624" s="40"/>
      <c r="AW624" s="40"/>
      <c r="AX624" s="40"/>
      <c r="AY624" s="40"/>
      <c r="AZ624" s="40"/>
      <c r="BA624" s="40"/>
      <c r="BB624" s="40"/>
      <c r="BC624" s="40"/>
      <c r="BD624" s="40"/>
      <c r="BE624" s="40"/>
      <c r="BF624" s="40"/>
      <c r="BG624" s="40"/>
      <c r="BH624" s="40"/>
      <c r="BI624" s="40"/>
    </row>
    <row r="625" ht="15.75" customHeight="1">
      <c r="A625" s="33"/>
      <c r="B625" s="228"/>
      <c r="C625" s="228"/>
      <c r="D625" s="228"/>
      <c r="E625" s="228"/>
      <c r="F625" s="228"/>
      <c r="G625" s="228"/>
      <c r="H625" s="228"/>
      <c r="I625" s="228"/>
      <c r="J625" s="228"/>
      <c r="K625" s="228"/>
      <c r="L625" s="228"/>
      <c r="M625" s="228"/>
      <c r="N625" s="228"/>
      <c r="O625" s="228"/>
      <c r="P625" s="228"/>
      <c r="Q625" s="228"/>
      <c r="R625" s="228"/>
      <c r="S625" s="228"/>
      <c r="T625" s="228"/>
      <c r="U625" s="228"/>
      <c r="V625" s="228"/>
      <c r="W625" s="228"/>
      <c r="X625" s="228"/>
      <c r="Y625" s="228"/>
      <c r="Z625" s="228"/>
      <c r="AA625" s="228"/>
      <c r="AB625" s="228"/>
      <c r="AC625" s="228"/>
      <c r="AD625" s="228"/>
      <c r="AE625" s="228"/>
      <c r="AF625" s="228"/>
      <c r="AG625" s="228"/>
      <c r="AH625" s="228"/>
      <c r="AI625" s="228"/>
      <c r="AJ625" s="228"/>
      <c r="AK625" s="228"/>
      <c r="AL625" s="228"/>
      <c r="AM625" s="228"/>
      <c r="AN625" s="228"/>
      <c r="AO625" s="228"/>
      <c r="AP625" s="40"/>
      <c r="AQ625" s="40"/>
      <c r="AR625" s="40"/>
      <c r="AS625" s="40"/>
      <c r="AT625" s="40"/>
      <c r="AU625" s="40"/>
      <c r="AV625" s="40"/>
      <c r="AW625" s="40"/>
      <c r="AX625" s="40"/>
      <c r="AY625" s="40"/>
      <c r="AZ625" s="40"/>
      <c r="BA625" s="40"/>
      <c r="BB625" s="40"/>
      <c r="BC625" s="40"/>
      <c r="BD625" s="40"/>
      <c r="BE625" s="40"/>
      <c r="BF625" s="40"/>
      <c r="BG625" s="40"/>
      <c r="BH625" s="40"/>
      <c r="BI625" s="40"/>
    </row>
    <row r="626" ht="15.75" customHeight="1">
      <c r="A626" s="33"/>
      <c r="B626" s="228"/>
      <c r="C626" s="228"/>
      <c r="D626" s="228"/>
      <c r="E626" s="228"/>
      <c r="F626" s="228"/>
      <c r="G626" s="228"/>
      <c r="H626" s="228"/>
      <c r="I626" s="228"/>
      <c r="J626" s="228"/>
      <c r="K626" s="228"/>
      <c r="L626" s="228"/>
      <c r="M626" s="228"/>
      <c r="N626" s="228"/>
      <c r="O626" s="228"/>
      <c r="P626" s="228"/>
      <c r="Q626" s="228"/>
      <c r="R626" s="228"/>
      <c r="S626" s="228"/>
      <c r="T626" s="228"/>
      <c r="U626" s="228"/>
      <c r="V626" s="228"/>
      <c r="W626" s="228"/>
      <c r="X626" s="228"/>
      <c r="Y626" s="228"/>
      <c r="Z626" s="228"/>
      <c r="AA626" s="228"/>
      <c r="AB626" s="228"/>
      <c r="AC626" s="228"/>
      <c r="AD626" s="228"/>
      <c r="AE626" s="228"/>
      <c r="AF626" s="228"/>
      <c r="AG626" s="228"/>
      <c r="AH626" s="228"/>
      <c r="AI626" s="228"/>
      <c r="AJ626" s="228"/>
      <c r="AK626" s="228"/>
      <c r="AL626" s="228"/>
      <c r="AM626" s="228"/>
      <c r="AN626" s="228"/>
      <c r="AO626" s="228"/>
      <c r="AP626" s="40"/>
      <c r="AQ626" s="40"/>
      <c r="AR626" s="40"/>
      <c r="AS626" s="40"/>
      <c r="AT626" s="40"/>
      <c r="AU626" s="40"/>
      <c r="AV626" s="40"/>
      <c r="AW626" s="40"/>
      <c r="AX626" s="40"/>
      <c r="AY626" s="40"/>
      <c r="AZ626" s="40"/>
      <c r="BA626" s="40"/>
      <c r="BB626" s="40"/>
      <c r="BC626" s="40"/>
      <c r="BD626" s="40"/>
      <c r="BE626" s="40"/>
      <c r="BF626" s="40"/>
      <c r="BG626" s="40"/>
      <c r="BH626" s="40"/>
      <c r="BI626" s="40"/>
    </row>
    <row r="627" ht="15.75" customHeight="1">
      <c r="A627" s="33"/>
      <c r="B627" s="228"/>
      <c r="C627" s="228"/>
      <c r="D627" s="228"/>
      <c r="E627" s="228"/>
      <c r="F627" s="228"/>
      <c r="G627" s="228"/>
      <c r="H627" s="228"/>
      <c r="I627" s="228"/>
      <c r="J627" s="228"/>
      <c r="K627" s="228"/>
      <c r="L627" s="228"/>
      <c r="M627" s="228"/>
      <c r="N627" s="228"/>
      <c r="O627" s="228"/>
      <c r="P627" s="228"/>
      <c r="Q627" s="228"/>
      <c r="R627" s="228"/>
      <c r="S627" s="228"/>
      <c r="T627" s="228"/>
      <c r="U627" s="228"/>
      <c r="V627" s="228"/>
      <c r="W627" s="228"/>
      <c r="X627" s="228"/>
      <c r="Y627" s="228"/>
      <c r="Z627" s="228"/>
      <c r="AA627" s="228"/>
      <c r="AB627" s="228"/>
      <c r="AC627" s="228"/>
      <c r="AD627" s="228"/>
      <c r="AE627" s="228"/>
      <c r="AF627" s="228"/>
      <c r="AG627" s="228"/>
      <c r="AH627" s="228"/>
      <c r="AI627" s="228"/>
      <c r="AJ627" s="228"/>
      <c r="AK627" s="228"/>
      <c r="AL627" s="228"/>
      <c r="AM627" s="228"/>
      <c r="AN627" s="228"/>
      <c r="AO627" s="228"/>
      <c r="AP627" s="40"/>
      <c r="AQ627" s="40"/>
      <c r="AR627" s="40"/>
      <c r="AS627" s="40"/>
      <c r="AT627" s="40"/>
      <c r="AU627" s="40"/>
      <c r="AV627" s="40"/>
      <c r="AW627" s="40"/>
      <c r="AX627" s="40"/>
      <c r="AY627" s="40"/>
      <c r="AZ627" s="40"/>
      <c r="BA627" s="40"/>
      <c r="BB627" s="40"/>
      <c r="BC627" s="40"/>
      <c r="BD627" s="40"/>
      <c r="BE627" s="40"/>
      <c r="BF627" s="40"/>
      <c r="BG627" s="40"/>
      <c r="BH627" s="40"/>
      <c r="BI627" s="40"/>
    </row>
    <row r="628" ht="15.75" customHeight="1">
      <c r="A628" s="33"/>
      <c r="B628" s="228"/>
      <c r="C628" s="228"/>
      <c r="D628" s="228"/>
      <c r="E628" s="228"/>
      <c r="F628" s="228"/>
      <c r="G628" s="228"/>
      <c r="H628" s="228"/>
      <c r="I628" s="228"/>
      <c r="J628" s="228"/>
      <c r="K628" s="228"/>
      <c r="L628" s="228"/>
      <c r="M628" s="228"/>
      <c r="N628" s="228"/>
      <c r="O628" s="228"/>
      <c r="P628" s="228"/>
      <c r="Q628" s="228"/>
      <c r="R628" s="228"/>
      <c r="S628" s="228"/>
      <c r="T628" s="228"/>
      <c r="U628" s="228"/>
      <c r="V628" s="228"/>
      <c r="W628" s="228"/>
      <c r="X628" s="228"/>
      <c r="Y628" s="228"/>
      <c r="Z628" s="228"/>
      <c r="AA628" s="228"/>
      <c r="AB628" s="228"/>
      <c r="AC628" s="228"/>
      <c r="AD628" s="228"/>
      <c r="AE628" s="228"/>
      <c r="AF628" s="228"/>
      <c r="AG628" s="228"/>
      <c r="AH628" s="228"/>
      <c r="AI628" s="228"/>
      <c r="AJ628" s="228"/>
      <c r="AK628" s="228"/>
      <c r="AL628" s="228"/>
      <c r="AM628" s="228"/>
      <c r="AN628" s="228"/>
      <c r="AO628" s="228"/>
      <c r="AP628" s="40"/>
      <c r="AQ628" s="40"/>
      <c r="AR628" s="40"/>
      <c r="AS628" s="40"/>
      <c r="AT628" s="40"/>
      <c r="AU628" s="40"/>
      <c r="AV628" s="40"/>
      <c r="AW628" s="40"/>
      <c r="AX628" s="40"/>
      <c r="AY628" s="40"/>
      <c r="AZ628" s="40"/>
      <c r="BA628" s="40"/>
      <c r="BB628" s="40"/>
      <c r="BC628" s="40"/>
      <c r="BD628" s="40"/>
      <c r="BE628" s="40"/>
      <c r="BF628" s="40"/>
      <c r="BG628" s="40"/>
      <c r="BH628" s="40"/>
      <c r="BI628" s="40"/>
    </row>
    <row r="629" ht="15.75" customHeight="1">
      <c r="A629" s="33"/>
      <c r="B629" s="228"/>
      <c r="C629" s="228"/>
      <c r="D629" s="228"/>
      <c r="E629" s="228"/>
      <c r="F629" s="228"/>
      <c r="G629" s="228"/>
      <c r="H629" s="228"/>
      <c r="I629" s="228"/>
      <c r="J629" s="228"/>
      <c r="K629" s="228"/>
      <c r="L629" s="228"/>
      <c r="M629" s="228"/>
      <c r="N629" s="228"/>
      <c r="O629" s="228"/>
      <c r="P629" s="228"/>
      <c r="Q629" s="228"/>
      <c r="R629" s="228"/>
      <c r="S629" s="228"/>
      <c r="T629" s="228"/>
      <c r="U629" s="228"/>
      <c r="V629" s="228"/>
      <c r="W629" s="228"/>
      <c r="X629" s="228"/>
      <c r="Y629" s="228"/>
      <c r="Z629" s="228"/>
      <c r="AA629" s="228"/>
      <c r="AB629" s="228"/>
      <c r="AC629" s="228"/>
      <c r="AD629" s="228"/>
      <c r="AE629" s="228"/>
      <c r="AF629" s="228"/>
      <c r="AG629" s="228"/>
      <c r="AH629" s="228"/>
      <c r="AI629" s="228"/>
      <c r="AJ629" s="228"/>
      <c r="AK629" s="228"/>
      <c r="AL629" s="228"/>
      <c r="AM629" s="228"/>
      <c r="AN629" s="228"/>
      <c r="AO629" s="228"/>
      <c r="AP629" s="40"/>
      <c r="AQ629" s="40"/>
      <c r="AR629" s="40"/>
      <c r="AS629" s="40"/>
      <c r="AT629" s="40"/>
      <c r="AU629" s="40"/>
      <c r="AV629" s="40"/>
      <c r="AW629" s="40"/>
      <c r="AX629" s="40"/>
      <c r="AY629" s="40"/>
      <c r="AZ629" s="40"/>
      <c r="BA629" s="40"/>
      <c r="BB629" s="40"/>
      <c r="BC629" s="40"/>
      <c r="BD629" s="40"/>
      <c r="BE629" s="40"/>
      <c r="BF629" s="40"/>
      <c r="BG629" s="40"/>
      <c r="BH629" s="40"/>
      <c r="BI629" s="40"/>
    </row>
    <row r="630" ht="15.75" customHeight="1">
      <c r="A630" s="33"/>
      <c r="B630" s="228"/>
      <c r="C630" s="228"/>
      <c r="D630" s="228"/>
      <c r="E630" s="228"/>
      <c r="F630" s="228"/>
      <c r="G630" s="228"/>
      <c r="H630" s="228"/>
      <c r="I630" s="228"/>
      <c r="J630" s="228"/>
      <c r="K630" s="228"/>
      <c r="L630" s="228"/>
      <c r="M630" s="228"/>
      <c r="N630" s="228"/>
      <c r="O630" s="228"/>
      <c r="P630" s="228"/>
      <c r="Q630" s="228"/>
      <c r="R630" s="228"/>
      <c r="S630" s="228"/>
      <c r="T630" s="228"/>
      <c r="U630" s="228"/>
      <c r="V630" s="228"/>
      <c r="W630" s="228"/>
      <c r="X630" s="228"/>
      <c r="Y630" s="228"/>
      <c r="Z630" s="228"/>
      <c r="AA630" s="228"/>
      <c r="AB630" s="228"/>
      <c r="AC630" s="228"/>
      <c r="AD630" s="228"/>
      <c r="AE630" s="228"/>
      <c r="AF630" s="228"/>
      <c r="AG630" s="228"/>
      <c r="AH630" s="228"/>
      <c r="AI630" s="228"/>
      <c r="AJ630" s="228"/>
      <c r="AK630" s="228"/>
      <c r="AL630" s="228"/>
      <c r="AM630" s="228"/>
      <c r="AN630" s="228"/>
      <c r="AO630" s="228"/>
      <c r="AP630" s="40"/>
      <c r="AQ630" s="40"/>
      <c r="AR630" s="40"/>
      <c r="AS630" s="40"/>
      <c r="AT630" s="40"/>
      <c r="AU630" s="40"/>
      <c r="AV630" s="40"/>
      <c r="AW630" s="40"/>
      <c r="AX630" s="40"/>
      <c r="AY630" s="40"/>
      <c r="AZ630" s="40"/>
      <c r="BA630" s="40"/>
      <c r="BB630" s="40"/>
      <c r="BC630" s="40"/>
      <c r="BD630" s="40"/>
      <c r="BE630" s="40"/>
      <c r="BF630" s="40"/>
      <c r="BG630" s="40"/>
      <c r="BH630" s="40"/>
      <c r="BI630" s="40"/>
    </row>
    <row r="631" ht="15.75" customHeight="1">
      <c r="A631" s="33"/>
      <c r="B631" s="228"/>
      <c r="C631" s="228"/>
      <c r="D631" s="228"/>
      <c r="E631" s="228"/>
      <c r="F631" s="228"/>
      <c r="G631" s="228"/>
      <c r="H631" s="228"/>
      <c r="I631" s="228"/>
      <c r="J631" s="228"/>
      <c r="K631" s="228"/>
      <c r="L631" s="228"/>
      <c r="M631" s="228"/>
      <c r="N631" s="228"/>
      <c r="O631" s="228"/>
      <c r="P631" s="228"/>
      <c r="Q631" s="228"/>
      <c r="R631" s="228"/>
      <c r="S631" s="228"/>
      <c r="T631" s="228"/>
      <c r="U631" s="228"/>
      <c r="V631" s="228"/>
      <c r="W631" s="228"/>
      <c r="X631" s="228"/>
      <c r="Y631" s="228"/>
      <c r="Z631" s="228"/>
      <c r="AA631" s="228"/>
      <c r="AB631" s="228"/>
      <c r="AC631" s="228"/>
      <c r="AD631" s="228"/>
      <c r="AE631" s="228"/>
      <c r="AF631" s="228"/>
      <c r="AG631" s="228"/>
      <c r="AH631" s="228"/>
      <c r="AI631" s="228"/>
      <c r="AJ631" s="228"/>
      <c r="AK631" s="228"/>
      <c r="AL631" s="228"/>
      <c r="AM631" s="228"/>
      <c r="AN631" s="228"/>
      <c r="AO631" s="228"/>
      <c r="AP631" s="40"/>
      <c r="AQ631" s="40"/>
      <c r="AR631" s="40"/>
      <c r="AS631" s="40"/>
      <c r="AT631" s="40"/>
      <c r="AU631" s="40"/>
      <c r="AV631" s="40"/>
      <c r="AW631" s="40"/>
      <c r="AX631" s="40"/>
      <c r="AY631" s="40"/>
      <c r="AZ631" s="40"/>
      <c r="BA631" s="40"/>
      <c r="BB631" s="40"/>
      <c r="BC631" s="40"/>
      <c r="BD631" s="40"/>
      <c r="BE631" s="40"/>
      <c r="BF631" s="40"/>
      <c r="BG631" s="40"/>
      <c r="BH631" s="40"/>
      <c r="BI631" s="40"/>
    </row>
    <row r="632" ht="15.75" customHeight="1">
      <c r="A632" s="33"/>
      <c r="B632" s="228"/>
      <c r="C632" s="228"/>
      <c r="D632" s="228"/>
      <c r="E632" s="228"/>
      <c r="F632" s="228"/>
      <c r="G632" s="228"/>
      <c r="H632" s="228"/>
      <c r="I632" s="228"/>
      <c r="J632" s="228"/>
      <c r="K632" s="228"/>
      <c r="L632" s="228"/>
      <c r="M632" s="228"/>
      <c r="N632" s="228"/>
      <c r="O632" s="228"/>
      <c r="P632" s="228"/>
      <c r="Q632" s="228"/>
      <c r="R632" s="228"/>
      <c r="S632" s="228"/>
      <c r="T632" s="228"/>
      <c r="U632" s="228"/>
      <c r="V632" s="228"/>
      <c r="W632" s="228"/>
      <c r="X632" s="228"/>
      <c r="Y632" s="228"/>
      <c r="Z632" s="228"/>
      <c r="AA632" s="228"/>
      <c r="AB632" s="228"/>
      <c r="AC632" s="228"/>
      <c r="AD632" s="228"/>
      <c r="AE632" s="228"/>
      <c r="AF632" s="228"/>
      <c r="AG632" s="228"/>
      <c r="AH632" s="228"/>
      <c r="AI632" s="228"/>
      <c r="AJ632" s="228"/>
      <c r="AK632" s="228"/>
      <c r="AL632" s="228"/>
      <c r="AM632" s="228"/>
      <c r="AN632" s="228"/>
      <c r="AO632" s="228"/>
      <c r="AP632" s="40"/>
      <c r="AQ632" s="40"/>
      <c r="AR632" s="40"/>
      <c r="AS632" s="40"/>
      <c r="AT632" s="40"/>
      <c r="AU632" s="40"/>
      <c r="AV632" s="40"/>
      <c r="AW632" s="40"/>
      <c r="AX632" s="40"/>
      <c r="AY632" s="40"/>
      <c r="AZ632" s="40"/>
      <c r="BA632" s="40"/>
      <c r="BB632" s="40"/>
      <c r="BC632" s="40"/>
      <c r="BD632" s="40"/>
      <c r="BE632" s="40"/>
      <c r="BF632" s="40"/>
      <c r="BG632" s="40"/>
      <c r="BH632" s="40"/>
      <c r="BI632" s="40"/>
    </row>
    <row r="633" ht="15.75" customHeight="1">
      <c r="A633" s="33"/>
      <c r="B633" s="228"/>
      <c r="C633" s="228"/>
      <c r="D633" s="228"/>
      <c r="E633" s="228"/>
      <c r="F633" s="228"/>
      <c r="G633" s="228"/>
      <c r="H633" s="228"/>
      <c r="I633" s="228"/>
      <c r="J633" s="228"/>
      <c r="K633" s="228"/>
      <c r="L633" s="228"/>
      <c r="M633" s="228"/>
      <c r="N633" s="228"/>
      <c r="O633" s="228"/>
      <c r="P633" s="228"/>
      <c r="Q633" s="228"/>
      <c r="R633" s="228"/>
      <c r="S633" s="228"/>
      <c r="T633" s="228"/>
      <c r="U633" s="228"/>
      <c r="V633" s="228"/>
      <c r="W633" s="228"/>
      <c r="X633" s="228"/>
      <c r="Y633" s="228"/>
      <c r="Z633" s="228"/>
      <c r="AA633" s="228"/>
      <c r="AB633" s="228"/>
      <c r="AC633" s="228"/>
      <c r="AD633" s="228"/>
      <c r="AE633" s="228"/>
      <c r="AF633" s="228"/>
      <c r="AG633" s="228"/>
      <c r="AH633" s="228"/>
      <c r="AI633" s="228"/>
      <c r="AJ633" s="228"/>
      <c r="AK633" s="228"/>
      <c r="AL633" s="228"/>
      <c r="AM633" s="228"/>
      <c r="AN633" s="228"/>
      <c r="AO633" s="228"/>
      <c r="AP633" s="40"/>
      <c r="AQ633" s="40"/>
      <c r="AR633" s="40"/>
      <c r="AS633" s="40"/>
      <c r="AT633" s="40"/>
      <c r="AU633" s="40"/>
      <c r="AV633" s="40"/>
      <c r="AW633" s="40"/>
      <c r="AX633" s="40"/>
      <c r="AY633" s="40"/>
      <c r="AZ633" s="40"/>
      <c r="BA633" s="40"/>
      <c r="BB633" s="40"/>
      <c r="BC633" s="40"/>
      <c r="BD633" s="40"/>
      <c r="BE633" s="40"/>
      <c r="BF633" s="40"/>
      <c r="BG633" s="40"/>
      <c r="BH633" s="40"/>
      <c r="BI633" s="40"/>
    </row>
    <row r="634" ht="15.75" customHeight="1">
      <c r="A634" s="33"/>
      <c r="B634" s="228"/>
      <c r="C634" s="228"/>
      <c r="D634" s="228"/>
      <c r="E634" s="228"/>
      <c r="F634" s="228"/>
      <c r="G634" s="228"/>
      <c r="H634" s="228"/>
      <c r="I634" s="228"/>
      <c r="J634" s="228"/>
      <c r="K634" s="228"/>
      <c r="L634" s="228"/>
      <c r="M634" s="228"/>
      <c r="N634" s="228"/>
      <c r="O634" s="228"/>
      <c r="P634" s="228"/>
      <c r="Q634" s="228"/>
      <c r="R634" s="228"/>
      <c r="S634" s="228"/>
      <c r="T634" s="228"/>
      <c r="U634" s="228"/>
      <c r="V634" s="228"/>
      <c r="W634" s="228"/>
      <c r="X634" s="228"/>
      <c r="Y634" s="228"/>
      <c r="Z634" s="228"/>
      <c r="AA634" s="228"/>
      <c r="AB634" s="228"/>
      <c r="AC634" s="228"/>
      <c r="AD634" s="228"/>
      <c r="AE634" s="228"/>
      <c r="AF634" s="228"/>
      <c r="AG634" s="228"/>
      <c r="AH634" s="228"/>
      <c r="AI634" s="228"/>
      <c r="AJ634" s="228"/>
      <c r="AK634" s="228"/>
      <c r="AL634" s="228"/>
      <c r="AM634" s="228"/>
      <c r="AN634" s="228"/>
      <c r="AO634" s="228"/>
      <c r="AP634" s="40"/>
      <c r="AQ634" s="40"/>
      <c r="AR634" s="40"/>
      <c r="AS634" s="40"/>
      <c r="AT634" s="40"/>
      <c r="AU634" s="40"/>
      <c r="AV634" s="40"/>
      <c r="AW634" s="40"/>
      <c r="AX634" s="40"/>
      <c r="AY634" s="40"/>
      <c r="AZ634" s="40"/>
      <c r="BA634" s="40"/>
      <c r="BB634" s="40"/>
      <c r="BC634" s="40"/>
      <c r="BD634" s="40"/>
      <c r="BE634" s="40"/>
      <c r="BF634" s="40"/>
      <c r="BG634" s="40"/>
      <c r="BH634" s="40"/>
      <c r="BI634" s="40"/>
    </row>
    <row r="635" ht="15.75" customHeight="1">
      <c r="A635" s="33"/>
      <c r="B635" s="228"/>
      <c r="C635" s="228"/>
      <c r="D635" s="228"/>
      <c r="E635" s="228"/>
      <c r="F635" s="228"/>
      <c r="G635" s="228"/>
      <c r="H635" s="228"/>
      <c r="I635" s="228"/>
      <c r="J635" s="228"/>
      <c r="K635" s="228"/>
      <c r="L635" s="228"/>
      <c r="M635" s="228"/>
      <c r="N635" s="228"/>
      <c r="O635" s="228"/>
      <c r="P635" s="228"/>
      <c r="Q635" s="228"/>
      <c r="R635" s="228"/>
      <c r="S635" s="228"/>
      <c r="T635" s="228"/>
      <c r="U635" s="228"/>
      <c r="V635" s="228"/>
      <c r="W635" s="228"/>
      <c r="X635" s="228"/>
      <c r="Y635" s="228"/>
      <c r="Z635" s="228"/>
      <c r="AA635" s="228"/>
      <c r="AB635" s="228"/>
      <c r="AC635" s="228"/>
      <c r="AD635" s="228"/>
      <c r="AE635" s="228"/>
      <c r="AF635" s="228"/>
      <c r="AG635" s="228"/>
      <c r="AH635" s="228"/>
      <c r="AI635" s="228"/>
      <c r="AJ635" s="228"/>
      <c r="AK635" s="228"/>
      <c r="AL635" s="228"/>
      <c r="AM635" s="228"/>
      <c r="AN635" s="228"/>
      <c r="AO635" s="228"/>
      <c r="AP635" s="40"/>
      <c r="AQ635" s="40"/>
      <c r="AR635" s="40"/>
      <c r="AS635" s="40"/>
      <c r="AT635" s="40"/>
      <c r="AU635" s="40"/>
      <c r="AV635" s="40"/>
      <c r="AW635" s="40"/>
      <c r="AX635" s="40"/>
      <c r="AY635" s="40"/>
      <c r="AZ635" s="40"/>
      <c r="BA635" s="40"/>
      <c r="BB635" s="40"/>
      <c r="BC635" s="40"/>
      <c r="BD635" s="40"/>
      <c r="BE635" s="40"/>
      <c r="BF635" s="40"/>
      <c r="BG635" s="40"/>
      <c r="BH635" s="40"/>
      <c r="BI635" s="40"/>
    </row>
    <row r="636" ht="15.75" customHeight="1">
      <c r="A636" s="33"/>
      <c r="B636" s="228"/>
      <c r="C636" s="228"/>
      <c r="D636" s="228"/>
      <c r="E636" s="228"/>
      <c r="F636" s="228"/>
      <c r="G636" s="228"/>
      <c r="H636" s="228"/>
      <c r="I636" s="228"/>
      <c r="J636" s="228"/>
      <c r="K636" s="228"/>
      <c r="L636" s="228"/>
      <c r="M636" s="228"/>
      <c r="N636" s="228"/>
      <c r="O636" s="228"/>
      <c r="P636" s="228"/>
      <c r="Q636" s="228"/>
      <c r="R636" s="228"/>
      <c r="S636" s="228"/>
      <c r="T636" s="228"/>
      <c r="U636" s="228"/>
      <c r="V636" s="228"/>
      <c r="W636" s="228"/>
      <c r="X636" s="228"/>
      <c r="Y636" s="228"/>
      <c r="Z636" s="228"/>
      <c r="AA636" s="228"/>
      <c r="AB636" s="228"/>
      <c r="AC636" s="228"/>
      <c r="AD636" s="228"/>
      <c r="AE636" s="228"/>
      <c r="AF636" s="228"/>
      <c r="AG636" s="228"/>
      <c r="AH636" s="228"/>
      <c r="AI636" s="228"/>
      <c r="AJ636" s="228"/>
      <c r="AK636" s="228"/>
      <c r="AL636" s="228"/>
      <c r="AM636" s="228"/>
      <c r="AN636" s="228"/>
      <c r="AO636" s="228"/>
      <c r="AP636" s="40"/>
      <c r="AQ636" s="40"/>
      <c r="AR636" s="40"/>
      <c r="AS636" s="40"/>
      <c r="AT636" s="40"/>
      <c r="AU636" s="40"/>
      <c r="AV636" s="40"/>
      <c r="AW636" s="40"/>
      <c r="AX636" s="40"/>
      <c r="AY636" s="40"/>
      <c r="AZ636" s="40"/>
      <c r="BA636" s="40"/>
      <c r="BB636" s="40"/>
      <c r="BC636" s="40"/>
      <c r="BD636" s="40"/>
      <c r="BE636" s="40"/>
      <c r="BF636" s="40"/>
      <c r="BG636" s="40"/>
      <c r="BH636" s="40"/>
      <c r="BI636" s="40"/>
    </row>
    <row r="637" ht="15.75" customHeight="1">
      <c r="A637" s="33"/>
      <c r="B637" s="228"/>
      <c r="C637" s="228"/>
      <c r="D637" s="228"/>
      <c r="E637" s="228"/>
      <c r="F637" s="228"/>
      <c r="G637" s="228"/>
      <c r="H637" s="228"/>
      <c r="I637" s="228"/>
      <c r="J637" s="228"/>
      <c r="K637" s="228"/>
      <c r="L637" s="228"/>
      <c r="M637" s="228"/>
      <c r="N637" s="228"/>
      <c r="O637" s="228"/>
      <c r="P637" s="228"/>
      <c r="Q637" s="228"/>
      <c r="R637" s="228"/>
      <c r="S637" s="228"/>
      <c r="T637" s="228"/>
      <c r="U637" s="228"/>
      <c r="V637" s="228"/>
      <c r="W637" s="228"/>
      <c r="X637" s="228"/>
      <c r="Y637" s="228"/>
      <c r="Z637" s="228"/>
      <c r="AA637" s="228"/>
      <c r="AB637" s="228"/>
      <c r="AC637" s="228"/>
      <c r="AD637" s="228"/>
      <c r="AE637" s="228"/>
      <c r="AF637" s="228"/>
      <c r="AG637" s="228"/>
      <c r="AH637" s="228"/>
      <c r="AI637" s="228"/>
      <c r="AJ637" s="228"/>
      <c r="AK637" s="228"/>
      <c r="AL637" s="228"/>
      <c r="AM637" s="228"/>
      <c r="AN637" s="228"/>
      <c r="AO637" s="228"/>
      <c r="AP637" s="40"/>
      <c r="AQ637" s="40"/>
      <c r="AR637" s="40"/>
      <c r="AS637" s="40"/>
      <c r="AT637" s="40"/>
      <c r="AU637" s="40"/>
      <c r="AV637" s="40"/>
      <c r="AW637" s="40"/>
      <c r="AX637" s="40"/>
      <c r="AY637" s="40"/>
      <c r="AZ637" s="40"/>
      <c r="BA637" s="40"/>
      <c r="BB637" s="40"/>
      <c r="BC637" s="40"/>
      <c r="BD637" s="40"/>
      <c r="BE637" s="40"/>
      <c r="BF637" s="40"/>
      <c r="BG637" s="40"/>
      <c r="BH637" s="40"/>
      <c r="BI637" s="40"/>
    </row>
    <row r="638" ht="15.75" customHeight="1">
      <c r="A638" s="33"/>
      <c r="B638" s="228"/>
      <c r="C638" s="228"/>
      <c r="D638" s="228"/>
      <c r="E638" s="228"/>
      <c r="F638" s="228"/>
      <c r="G638" s="228"/>
      <c r="H638" s="228"/>
      <c r="I638" s="228"/>
      <c r="J638" s="228"/>
      <c r="K638" s="228"/>
      <c r="L638" s="228"/>
      <c r="M638" s="228"/>
      <c r="N638" s="228"/>
      <c r="O638" s="228"/>
      <c r="P638" s="228"/>
      <c r="Q638" s="228"/>
      <c r="R638" s="228"/>
      <c r="S638" s="228"/>
      <c r="T638" s="228"/>
      <c r="U638" s="228"/>
      <c r="V638" s="228"/>
      <c r="W638" s="228"/>
      <c r="X638" s="228"/>
      <c r="Y638" s="228"/>
      <c r="Z638" s="228"/>
      <c r="AA638" s="228"/>
      <c r="AB638" s="228"/>
      <c r="AC638" s="228"/>
      <c r="AD638" s="228"/>
      <c r="AE638" s="228"/>
      <c r="AF638" s="228"/>
      <c r="AG638" s="228"/>
      <c r="AH638" s="228"/>
      <c r="AI638" s="228"/>
      <c r="AJ638" s="228"/>
      <c r="AK638" s="228"/>
      <c r="AL638" s="228"/>
      <c r="AM638" s="228"/>
      <c r="AN638" s="228"/>
      <c r="AO638" s="228"/>
      <c r="AP638" s="40"/>
      <c r="AQ638" s="40"/>
      <c r="AR638" s="40"/>
      <c r="AS638" s="40"/>
      <c r="AT638" s="40"/>
      <c r="AU638" s="40"/>
      <c r="AV638" s="40"/>
      <c r="AW638" s="40"/>
      <c r="AX638" s="40"/>
      <c r="AY638" s="40"/>
      <c r="AZ638" s="40"/>
      <c r="BA638" s="40"/>
      <c r="BB638" s="40"/>
      <c r="BC638" s="40"/>
      <c r="BD638" s="40"/>
      <c r="BE638" s="40"/>
      <c r="BF638" s="40"/>
      <c r="BG638" s="40"/>
      <c r="BH638" s="40"/>
      <c r="BI638" s="40"/>
    </row>
    <row r="639" ht="15.75" customHeight="1">
      <c r="A639" s="33"/>
      <c r="B639" s="228"/>
      <c r="C639" s="228"/>
      <c r="D639" s="228"/>
      <c r="E639" s="228"/>
      <c r="F639" s="228"/>
      <c r="G639" s="228"/>
      <c r="H639" s="228"/>
      <c r="I639" s="228"/>
      <c r="J639" s="228"/>
      <c r="K639" s="228"/>
      <c r="L639" s="228"/>
      <c r="M639" s="228"/>
      <c r="N639" s="228"/>
      <c r="O639" s="228"/>
      <c r="P639" s="228"/>
      <c r="Q639" s="228"/>
      <c r="R639" s="228"/>
      <c r="S639" s="228"/>
      <c r="T639" s="228"/>
      <c r="U639" s="228"/>
      <c r="V639" s="228"/>
      <c r="W639" s="228"/>
      <c r="X639" s="228"/>
      <c r="Y639" s="228"/>
      <c r="Z639" s="228"/>
      <c r="AA639" s="228"/>
      <c r="AB639" s="228"/>
      <c r="AC639" s="228"/>
      <c r="AD639" s="228"/>
      <c r="AE639" s="228"/>
      <c r="AF639" s="228"/>
      <c r="AG639" s="228"/>
      <c r="AH639" s="228"/>
      <c r="AI639" s="228"/>
      <c r="AJ639" s="228"/>
      <c r="AK639" s="228"/>
      <c r="AL639" s="228"/>
      <c r="AM639" s="228"/>
      <c r="AN639" s="228"/>
      <c r="AO639" s="228"/>
      <c r="AP639" s="40"/>
      <c r="AQ639" s="40"/>
      <c r="AR639" s="40"/>
      <c r="AS639" s="40"/>
      <c r="AT639" s="40"/>
      <c r="AU639" s="40"/>
      <c r="AV639" s="40"/>
      <c r="AW639" s="40"/>
      <c r="AX639" s="40"/>
      <c r="AY639" s="40"/>
      <c r="AZ639" s="40"/>
      <c r="BA639" s="40"/>
      <c r="BB639" s="40"/>
      <c r="BC639" s="40"/>
      <c r="BD639" s="40"/>
      <c r="BE639" s="40"/>
      <c r="BF639" s="40"/>
      <c r="BG639" s="40"/>
      <c r="BH639" s="40"/>
      <c r="BI639" s="40"/>
    </row>
    <row r="640" ht="15.75" customHeight="1">
      <c r="A640" s="33"/>
      <c r="B640" s="228"/>
      <c r="C640" s="228"/>
      <c r="D640" s="228"/>
      <c r="E640" s="228"/>
      <c r="F640" s="228"/>
      <c r="G640" s="228"/>
      <c r="H640" s="228"/>
      <c r="I640" s="228"/>
      <c r="J640" s="228"/>
      <c r="K640" s="228"/>
      <c r="L640" s="228"/>
      <c r="M640" s="228"/>
      <c r="N640" s="228"/>
      <c r="O640" s="228"/>
      <c r="P640" s="228"/>
      <c r="Q640" s="228"/>
      <c r="R640" s="228"/>
      <c r="S640" s="228"/>
      <c r="T640" s="228"/>
      <c r="U640" s="228"/>
      <c r="V640" s="228"/>
      <c r="W640" s="228"/>
      <c r="X640" s="228"/>
      <c r="Y640" s="228"/>
      <c r="Z640" s="228"/>
      <c r="AA640" s="228"/>
      <c r="AB640" s="228"/>
      <c r="AC640" s="228"/>
      <c r="AD640" s="228"/>
      <c r="AE640" s="228"/>
      <c r="AF640" s="228"/>
      <c r="AG640" s="228"/>
      <c r="AH640" s="228"/>
      <c r="AI640" s="228"/>
      <c r="AJ640" s="228"/>
      <c r="AK640" s="228"/>
      <c r="AL640" s="228"/>
      <c r="AM640" s="228"/>
      <c r="AN640" s="228"/>
      <c r="AO640" s="228"/>
      <c r="AP640" s="40"/>
      <c r="AQ640" s="40"/>
      <c r="AR640" s="40"/>
      <c r="AS640" s="40"/>
      <c r="AT640" s="40"/>
      <c r="AU640" s="40"/>
      <c r="AV640" s="40"/>
      <c r="AW640" s="40"/>
      <c r="AX640" s="40"/>
      <c r="AY640" s="40"/>
      <c r="AZ640" s="40"/>
      <c r="BA640" s="40"/>
      <c r="BB640" s="40"/>
      <c r="BC640" s="40"/>
      <c r="BD640" s="40"/>
      <c r="BE640" s="40"/>
      <c r="BF640" s="40"/>
      <c r="BG640" s="40"/>
      <c r="BH640" s="40"/>
      <c r="BI640" s="40"/>
    </row>
    <row r="641" ht="15.75" customHeight="1">
      <c r="A641" s="33"/>
      <c r="B641" s="228"/>
      <c r="C641" s="228"/>
      <c r="D641" s="228"/>
      <c r="E641" s="228"/>
      <c r="F641" s="228"/>
      <c r="G641" s="228"/>
      <c r="H641" s="228"/>
      <c r="I641" s="228"/>
      <c r="J641" s="228"/>
      <c r="K641" s="228"/>
      <c r="L641" s="228"/>
      <c r="M641" s="228"/>
      <c r="N641" s="228"/>
      <c r="O641" s="228"/>
      <c r="P641" s="228"/>
      <c r="Q641" s="228"/>
      <c r="R641" s="228"/>
      <c r="S641" s="228"/>
      <c r="T641" s="228"/>
      <c r="U641" s="228"/>
      <c r="V641" s="228"/>
      <c r="W641" s="228"/>
      <c r="X641" s="228"/>
      <c r="Y641" s="228"/>
      <c r="Z641" s="228"/>
      <c r="AA641" s="228"/>
      <c r="AB641" s="228"/>
      <c r="AC641" s="228"/>
      <c r="AD641" s="228"/>
      <c r="AE641" s="228"/>
      <c r="AF641" s="228"/>
      <c r="AG641" s="228"/>
      <c r="AH641" s="228"/>
      <c r="AI641" s="228"/>
      <c r="AJ641" s="228"/>
      <c r="AK641" s="228"/>
      <c r="AL641" s="228"/>
      <c r="AM641" s="228"/>
      <c r="AN641" s="228"/>
      <c r="AO641" s="228"/>
      <c r="AP641" s="40"/>
      <c r="AQ641" s="40"/>
      <c r="AR641" s="40"/>
      <c r="AS641" s="40"/>
      <c r="AT641" s="40"/>
      <c r="AU641" s="40"/>
      <c r="AV641" s="40"/>
      <c r="AW641" s="40"/>
      <c r="AX641" s="40"/>
      <c r="AY641" s="40"/>
      <c r="AZ641" s="40"/>
      <c r="BA641" s="40"/>
      <c r="BB641" s="40"/>
      <c r="BC641" s="40"/>
      <c r="BD641" s="40"/>
      <c r="BE641" s="40"/>
      <c r="BF641" s="40"/>
      <c r="BG641" s="40"/>
      <c r="BH641" s="40"/>
      <c r="BI641" s="40"/>
    </row>
    <row r="642" ht="15.75" customHeight="1">
      <c r="A642" s="33"/>
      <c r="B642" s="228"/>
      <c r="C642" s="228"/>
      <c r="D642" s="228"/>
      <c r="E642" s="228"/>
      <c r="F642" s="228"/>
      <c r="G642" s="228"/>
      <c r="H642" s="228"/>
      <c r="I642" s="228"/>
      <c r="J642" s="228"/>
      <c r="K642" s="228"/>
      <c r="L642" s="228"/>
      <c r="M642" s="228"/>
      <c r="N642" s="228"/>
      <c r="O642" s="228"/>
      <c r="P642" s="228"/>
      <c r="Q642" s="228"/>
      <c r="R642" s="228"/>
      <c r="S642" s="228"/>
      <c r="T642" s="228"/>
      <c r="U642" s="228"/>
      <c r="V642" s="228"/>
      <c r="W642" s="228"/>
      <c r="X642" s="228"/>
      <c r="Y642" s="228"/>
      <c r="Z642" s="228"/>
      <c r="AA642" s="228"/>
      <c r="AB642" s="228"/>
      <c r="AC642" s="228"/>
      <c r="AD642" s="228"/>
      <c r="AE642" s="228"/>
      <c r="AF642" s="228"/>
      <c r="AG642" s="228"/>
      <c r="AH642" s="228"/>
      <c r="AI642" s="228"/>
      <c r="AJ642" s="228"/>
      <c r="AK642" s="228"/>
      <c r="AL642" s="228"/>
      <c r="AM642" s="228"/>
      <c r="AN642" s="228"/>
      <c r="AO642" s="228"/>
      <c r="AP642" s="40"/>
      <c r="AQ642" s="40"/>
      <c r="AR642" s="40"/>
      <c r="AS642" s="40"/>
      <c r="AT642" s="40"/>
      <c r="AU642" s="40"/>
      <c r="AV642" s="40"/>
      <c r="AW642" s="40"/>
      <c r="AX642" s="40"/>
      <c r="AY642" s="40"/>
      <c r="AZ642" s="40"/>
      <c r="BA642" s="40"/>
      <c r="BB642" s="40"/>
      <c r="BC642" s="40"/>
      <c r="BD642" s="40"/>
      <c r="BE642" s="40"/>
      <c r="BF642" s="40"/>
      <c r="BG642" s="40"/>
      <c r="BH642" s="40"/>
      <c r="BI642" s="40"/>
    </row>
    <row r="643" ht="15.75" customHeight="1">
      <c r="A643" s="33"/>
      <c r="B643" s="228"/>
      <c r="C643" s="228"/>
      <c r="D643" s="228"/>
      <c r="E643" s="228"/>
      <c r="F643" s="228"/>
      <c r="G643" s="228"/>
      <c r="H643" s="228"/>
      <c r="I643" s="228"/>
      <c r="J643" s="228"/>
      <c r="K643" s="228"/>
      <c r="L643" s="228"/>
      <c r="M643" s="228"/>
      <c r="N643" s="228"/>
      <c r="O643" s="228"/>
      <c r="P643" s="228"/>
      <c r="Q643" s="228"/>
      <c r="R643" s="228"/>
      <c r="S643" s="228"/>
      <c r="T643" s="228"/>
      <c r="U643" s="228"/>
      <c r="V643" s="228"/>
      <c r="W643" s="228"/>
      <c r="X643" s="228"/>
      <c r="Y643" s="228"/>
      <c r="Z643" s="228"/>
      <c r="AA643" s="228"/>
      <c r="AB643" s="228"/>
      <c r="AC643" s="228"/>
      <c r="AD643" s="228"/>
      <c r="AE643" s="228"/>
      <c r="AF643" s="228"/>
      <c r="AG643" s="228"/>
      <c r="AH643" s="228"/>
      <c r="AI643" s="228"/>
      <c r="AJ643" s="228"/>
      <c r="AK643" s="228"/>
      <c r="AL643" s="228"/>
      <c r="AM643" s="228"/>
      <c r="AN643" s="228"/>
      <c r="AO643" s="228"/>
      <c r="AP643" s="40"/>
      <c r="AQ643" s="40"/>
      <c r="AR643" s="40"/>
      <c r="AS643" s="40"/>
      <c r="AT643" s="40"/>
      <c r="AU643" s="40"/>
      <c r="AV643" s="40"/>
      <c r="AW643" s="40"/>
      <c r="AX643" s="40"/>
      <c r="AY643" s="40"/>
      <c r="AZ643" s="40"/>
      <c r="BA643" s="40"/>
      <c r="BB643" s="40"/>
      <c r="BC643" s="40"/>
      <c r="BD643" s="40"/>
      <c r="BE643" s="40"/>
      <c r="BF643" s="40"/>
      <c r="BG643" s="40"/>
      <c r="BH643" s="40"/>
      <c r="BI643" s="40"/>
    </row>
    <row r="644" ht="15.75" customHeight="1">
      <c r="A644" s="33"/>
      <c r="B644" s="228"/>
      <c r="C644" s="228"/>
      <c r="D644" s="228"/>
      <c r="E644" s="228"/>
      <c r="F644" s="228"/>
      <c r="G644" s="228"/>
      <c r="H644" s="228"/>
      <c r="I644" s="228"/>
      <c r="J644" s="228"/>
      <c r="K644" s="228"/>
      <c r="L644" s="228"/>
      <c r="M644" s="228"/>
      <c r="N644" s="228"/>
      <c r="O644" s="228"/>
      <c r="P644" s="228"/>
      <c r="Q644" s="228"/>
      <c r="R644" s="228"/>
      <c r="S644" s="228"/>
      <c r="T644" s="228"/>
      <c r="U644" s="228"/>
      <c r="V644" s="228"/>
      <c r="W644" s="228"/>
      <c r="X644" s="228"/>
      <c r="Y644" s="228"/>
      <c r="Z644" s="228"/>
      <c r="AA644" s="228"/>
      <c r="AB644" s="228"/>
      <c r="AC644" s="228"/>
      <c r="AD644" s="228"/>
      <c r="AE644" s="228"/>
      <c r="AF644" s="228"/>
      <c r="AG644" s="228"/>
      <c r="AH644" s="228"/>
      <c r="AI644" s="228"/>
      <c r="AJ644" s="228"/>
      <c r="AK644" s="228"/>
      <c r="AL644" s="228"/>
      <c r="AM644" s="228"/>
      <c r="AN644" s="228"/>
      <c r="AO644" s="228"/>
      <c r="AP644" s="40"/>
      <c r="AQ644" s="40"/>
      <c r="AR644" s="40"/>
      <c r="AS644" s="40"/>
      <c r="AT644" s="40"/>
      <c r="AU644" s="40"/>
      <c r="AV644" s="40"/>
      <c r="AW644" s="40"/>
      <c r="AX644" s="40"/>
      <c r="AY644" s="40"/>
      <c r="AZ644" s="40"/>
      <c r="BA644" s="40"/>
      <c r="BB644" s="40"/>
      <c r="BC644" s="40"/>
      <c r="BD644" s="40"/>
      <c r="BE644" s="40"/>
      <c r="BF644" s="40"/>
      <c r="BG644" s="40"/>
      <c r="BH644" s="40"/>
      <c r="BI644" s="40"/>
    </row>
    <row r="645" ht="15.75" customHeight="1">
      <c r="A645" s="33"/>
      <c r="B645" s="228"/>
      <c r="C645" s="228"/>
      <c r="D645" s="228"/>
      <c r="E645" s="228"/>
      <c r="F645" s="228"/>
      <c r="G645" s="228"/>
      <c r="H645" s="228"/>
      <c r="I645" s="228"/>
      <c r="J645" s="228"/>
      <c r="K645" s="228"/>
      <c r="L645" s="228"/>
      <c r="M645" s="228"/>
      <c r="N645" s="228"/>
      <c r="O645" s="228"/>
      <c r="P645" s="228"/>
      <c r="Q645" s="228"/>
      <c r="R645" s="228"/>
      <c r="S645" s="228"/>
      <c r="T645" s="228"/>
      <c r="U645" s="228"/>
      <c r="V645" s="228"/>
      <c r="W645" s="228"/>
      <c r="X645" s="228"/>
      <c r="Y645" s="228"/>
      <c r="Z645" s="228"/>
      <c r="AA645" s="228"/>
      <c r="AB645" s="228"/>
      <c r="AC645" s="228"/>
      <c r="AD645" s="228"/>
      <c r="AE645" s="228"/>
      <c r="AF645" s="228"/>
      <c r="AG645" s="228"/>
      <c r="AH645" s="228"/>
      <c r="AI645" s="228"/>
      <c r="AJ645" s="228"/>
      <c r="AK645" s="228"/>
      <c r="AL645" s="228"/>
      <c r="AM645" s="228"/>
      <c r="AN645" s="228"/>
      <c r="AO645" s="228"/>
      <c r="AP645" s="40"/>
      <c r="AQ645" s="40"/>
      <c r="AR645" s="40"/>
      <c r="AS645" s="40"/>
      <c r="AT645" s="40"/>
      <c r="AU645" s="40"/>
      <c r="AV645" s="40"/>
      <c r="AW645" s="40"/>
      <c r="AX645" s="40"/>
      <c r="AY645" s="40"/>
      <c r="AZ645" s="40"/>
      <c r="BA645" s="40"/>
      <c r="BB645" s="40"/>
      <c r="BC645" s="40"/>
      <c r="BD645" s="40"/>
      <c r="BE645" s="40"/>
      <c r="BF645" s="40"/>
      <c r="BG645" s="40"/>
      <c r="BH645" s="40"/>
      <c r="BI645" s="40"/>
    </row>
    <row r="646" ht="15.75" customHeight="1">
      <c r="A646" s="33"/>
      <c r="B646" s="228"/>
      <c r="C646" s="228"/>
      <c r="D646" s="228"/>
      <c r="E646" s="228"/>
      <c r="F646" s="228"/>
      <c r="G646" s="228"/>
      <c r="H646" s="228"/>
      <c r="I646" s="228"/>
      <c r="J646" s="228"/>
      <c r="K646" s="228"/>
      <c r="L646" s="228"/>
      <c r="M646" s="228"/>
      <c r="N646" s="228"/>
      <c r="O646" s="228"/>
      <c r="P646" s="228"/>
      <c r="Q646" s="228"/>
      <c r="R646" s="228"/>
      <c r="S646" s="228"/>
      <c r="T646" s="228"/>
      <c r="U646" s="228"/>
      <c r="V646" s="228"/>
      <c r="W646" s="228"/>
      <c r="X646" s="228"/>
      <c r="Y646" s="228"/>
      <c r="Z646" s="228"/>
      <c r="AA646" s="228"/>
      <c r="AB646" s="228"/>
      <c r="AC646" s="228"/>
      <c r="AD646" s="228"/>
      <c r="AE646" s="228"/>
      <c r="AF646" s="228"/>
      <c r="AG646" s="228"/>
      <c r="AH646" s="228"/>
      <c r="AI646" s="228"/>
      <c r="AJ646" s="228"/>
      <c r="AK646" s="228"/>
      <c r="AL646" s="228"/>
      <c r="AM646" s="228"/>
      <c r="AN646" s="228"/>
      <c r="AO646" s="228"/>
      <c r="AP646" s="40"/>
      <c r="AQ646" s="40"/>
      <c r="AR646" s="40"/>
      <c r="AS646" s="40"/>
      <c r="AT646" s="40"/>
      <c r="AU646" s="40"/>
      <c r="AV646" s="40"/>
      <c r="AW646" s="40"/>
      <c r="AX646" s="40"/>
      <c r="AY646" s="40"/>
      <c r="AZ646" s="40"/>
      <c r="BA646" s="40"/>
      <c r="BB646" s="40"/>
      <c r="BC646" s="40"/>
      <c r="BD646" s="40"/>
      <c r="BE646" s="40"/>
      <c r="BF646" s="40"/>
      <c r="BG646" s="40"/>
      <c r="BH646" s="40"/>
      <c r="BI646" s="40"/>
    </row>
    <row r="647" ht="15.75" customHeight="1">
      <c r="A647" s="33"/>
      <c r="B647" s="228"/>
      <c r="C647" s="228"/>
      <c r="D647" s="228"/>
      <c r="E647" s="228"/>
      <c r="F647" s="228"/>
      <c r="G647" s="228"/>
      <c r="H647" s="228"/>
      <c r="I647" s="228"/>
      <c r="J647" s="228"/>
      <c r="K647" s="228"/>
      <c r="L647" s="228"/>
      <c r="M647" s="228"/>
      <c r="N647" s="228"/>
      <c r="O647" s="228"/>
      <c r="P647" s="228"/>
      <c r="Q647" s="228"/>
      <c r="R647" s="228"/>
      <c r="S647" s="228"/>
      <c r="T647" s="228"/>
      <c r="U647" s="228"/>
      <c r="V647" s="228"/>
      <c r="W647" s="228"/>
      <c r="X647" s="228"/>
      <c r="Y647" s="228"/>
      <c r="Z647" s="228"/>
      <c r="AA647" s="228"/>
      <c r="AB647" s="228"/>
      <c r="AC647" s="228"/>
      <c r="AD647" s="228"/>
      <c r="AE647" s="228"/>
      <c r="AF647" s="228"/>
      <c r="AG647" s="228"/>
      <c r="AH647" s="228"/>
      <c r="AI647" s="228"/>
      <c r="AJ647" s="228"/>
      <c r="AK647" s="228"/>
      <c r="AL647" s="228"/>
      <c r="AM647" s="228"/>
      <c r="AN647" s="228"/>
      <c r="AO647" s="228"/>
      <c r="AP647" s="40"/>
      <c r="AQ647" s="40"/>
      <c r="AR647" s="40"/>
      <c r="AS647" s="40"/>
      <c r="AT647" s="40"/>
      <c r="AU647" s="40"/>
      <c r="AV647" s="40"/>
      <c r="AW647" s="40"/>
      <c r="AX647" s="40"/>
      <c r="AY647" s="40"/>
      <c r="AZ647" s="40"/>
      <c r="BA647" s="40"/>
      <c r="BB647" s="40"/>
      <c r="BC647" s="40"/>
      <c r="BD647" s="40"/>
      <c r="BE647" s="40"/>
      <c r="BF647" s="40"/>
      <c r="BG647" s="40"/>
      <c r="BH647" s="40"/>
      <c r="BI647" s="40"/>
    </row>
    <row r="648" ht="15.75" customHeight="1">
      <c r="A648" s="33"/>
      <c r="B648" s="228"/>
      <c r="C648" s="228"/>
      <c r="D648" s="228"/>
      <c r="E648" s="228"/>
      <c r="F648" s="228"/>
      <c r="G648" s="228"/>
      <c r="H648" s="228"/>
      <c r="I648" s="228"/>
      <c r="J648" s="228"/>
      <c r="K648" s="228"/>
      <c r="L648" s="228"/>
      <c r="M648" s="228"/>
      <c r="N648" s="228"/>
      <c r="O648" s="228"/>
      <c r="P648" s="228"/>
      <c r="Q648" s="228"/>
      <c r="R648" s="228"/>
      <c r="S648" s="228"/>
      <c r="T648" s="228"/>
      <c r="U648" s="228"/>
      <c r="V648" s="228"/>
      <c r="W648" s="228"/>
      <c r="X648" s="228"/>
      <c r="Y648" s="228"/>
      <c r="Z648" s="228"/>
      <c r="AA648" s="228"/>
      <c r="AB648" s="228"/>
      <c r="AC648" s="228"/>
      <c r="AD648" s="228"/>
      <c r="AE648" s="228"/>
      <c r="AF648" s="228"/>
      <c r="AG648" s="228"/>
      <c r="AH648" s="228"/>
      <c r="AI648" s="228"/>
      <c r="AJ648" s="228"/>
      <c r="AK648" s="228"/>
      <c r="AL648" s="228"/>
      <c r="AM648" s="228"/>
      <c r="AN648" s="228"/>
      <c r="AO648" s="228"/>
      <c r="AP648" s="40"/>
      <c r="AQ648" s="40"/>
      <c r="AR648" s="40"/>
      <c r="AS648" s="40"/>
      <c r="AT648" s="40"/>
      <c r="AU648" s="40"/>
      <c r="AV648" s="40"/>
      <c r="AW648" s="40"/>
      <c r="AX648" s="40"/>
      <c r="AY648" s="40"/>
      <c r="AZ648" s="40"/>
      <c r="BA648" s="40"/>
      <c r="BB648" s="40"/>
      <c r="BC648" s="40"/>
      <c r="BD648" s="40"/>
      <c r="BE648" s="40"/>
      <c r="BF648" s="40"/>
      <c r="BG648" s="40"/>
      <c r="BH648" s="40"/>
      <c r="BI648" s="40"/>
    </row>
    <row r="649" ht="15.75" customHeight="1">
      <c r="A649" s="33"/>
      <c r="B649" s="239"/>
      <c r="C649" s="228"/>
      <c r="D649" s="228"/>
      <c r="E649" s="228"/>
      <c r="F649" s="228"/>
      <c r="G649" s="228"/>
      <c r="H649" s="228"/>
      <c r="I649" s="228"/>
      <c r="J649" s="228"/>
      <c r="K649" s="228"/>
      <c r="L649" s="228"/>
      <c r="M649" s="228"/>
      <c r="N649" s="228"/>
      <c r="O649" s="228"/>
      <c r="P649" s="228"/>
      <c r="Q649" s="228"/>
      <c r="R649" s="228"/>
      <c r="S649" s="228"/>
      <c r="T649" s="228"/>
      <c r="U649" s="228"/>
      <c r="V649" s="228"/>
      <c r="W649" s="228"/>
      <c r="X649" s="228"/>
      <c r="Y649" s="228"/>
      <c r="Z649" s="228"/>
      <c r="AA649" s="228"/>
      <c r="AB649" s="228"/>
      <c r="AC649" s="228"/>
      <c r="AD649" s="228"/>
      <c r="AE649" s="228"/>
      <c r="AF649" s="228"/>
      <c r="AG649" s="228"/>
      <c r="AH649" s="228"/>
      <c r="AI649" s="228"/>
      <c r="AJ649" s="228"/>
      <c r="AK649" s="228"/>
      <c r="AL649" s="228"/>
      <c r="AM649" s="228"/>
      <c r="AN649" s="228"/>
      <c r="AO649" s="228"/>
      <c r="AP649" s="40"/>
      <c r="AQ649" s="40"/>
      <c r="AR649" s="40"/>
      <c r="AS649" s="40"/>
      <c r="AT649" s="40"/>
      <c r="AU649" s="40"/>
      <c r="AV649" s="40"/>
      <c r="AW649" s="40"/>
      <c r="AX649" s="40"/>
      <c r="AY649" s="40"/>
      <c r="AZ649" s="40"/>
      <c r="BA649" s="40"/>
      <c r="BB649" s="40"/>
      <c r="BC649" s="40"/>
      <c r="BD649" s="40"/>
      <c r="BE649" s="40"/>
      <c r="BF649" s="40"/>
      <c r="BG649" s="40"/>
      <c r="BH649" s="40"/>
      <c r="BI649" s="40"/>
    </row>
    <row r="650" ht="15.75" customHeight="1">
      <c r="A650" s="33"/>
      <c r="B650" s="230"/>
      <c r="C650" s="233"/>
      <c r="D650" s="233"/>
      <c r="E650" s="233"/>
      <c r="F650" s="233"/>
      <c r="G650" s="233"/>
      <c r="H650" s="233"/>
      <c r="I650" s="233"/>
      <c r="J650" s="233"/>
      <c r="K650" s="233"/>
      <c r="L650" s="233"/>
      <c r="M650" s="233"/>
      <c r="N650" s="233"/>
      <c r="O650" s="233"/>
      <c r="P650" s="233"/>
      <c r="Q650" s="233"/>
      <c r="R650" s="233"/>
      <c r="S650" s="233"/>
      <c r="T650" s="233"/>
      <c r="U650" s="233"/>
      <c r="V650" s="233"/>
      <c r="W650" s="233"/>
      <c r="X650" s="233"/>
      <c r="Y650" s="233"/>
      <c r="Z650" s="233"/>
      <c r="AA650" s="233"/>
      <c r="AB650" s="233"/>
      <c r="AC650" s="233"/>
      <c r="AD650" s="233"/>
      <c r="AE650" s="233"/>
      <c r="AF650" s="233"/>
      <c r="AG650" s="233"/>
      <c r="AH650" s="233"/>
      <c r="AI650" s="233"/>
      <c r="AJ650" s="233"/>
      <c r="AK650" s="233"/>
      <c r="AL650" s="233"/>
      <c r="AM650" s="233"/>
      <c r="AN650" s="233"/>
      <c r="AO650" s="233"/>
      <c r="AP650" s="40"/>
      <c r="AQ650" s="40"/>
      <c r="AR650" s="40"/>
      <c r="AS650" s="40"/>
      <c r="AT650" s="40"/>
      <c r="AU650" s="40"/>
      <c r="AV650" s="40"/>
      <c r="AW650" s="40"/>
      <c r="AX650" s="40"/>
      <c r="AY650" s="40"/>
      <c r="AZ650" s="40"/>
      <c r="BA650" s="40"/>
      <c r="BB650" s="40"/>
      <c r="BC650" s="40"/>
      <c r="BD650" s="40"/>
      <c r="BE650" s="40"/>
      <c r="BF650" s="40"/>
      <c r="BG650" s="40"/>
      <c r="BH650" s="40"/>
      <c r="BI650" s="40"/>
    </row>
    <row r="651" ht="15.75" customHeight="1">
      <c r="A651" s="33"/>
      <c r="B651" s="228"/>
      <c r="C651" s="234"/>
      <c r="D651" s="234"/>
      <c r="E651" s="240"/>
      <c r="F651" s="234"/>
      <c r="G651" s="234"/>
      <c r="H651" s="240"/>
      <c r="I651" s="234"/>
      <c r="J651" s="234"/>
      <c r="K651" s="240"/>
      <c r="L651" s="234"/>
      <c r="M651" s="234"/>
      <c r="N651" s="240"/>
      <c r="O651" s="234"/>
      <c r="P651" s="234"/>
      <c r="Q651" s="240"/>
      <c r="R651" s="234"/>
      <c r="S651" s="234"/>
      <c r="T651" s="240"/>
      <c r="U651" s="234"/>
      <c r="V651" s="234"/>
      <c r="W651" s="240"/>
      <c r="X651" s="234"/>
      <c r="Y651" s="234"/>
      <c r="Z651" s="240"/>
      <c r="AA651" s="234"/>
      <c r="AB651" s="234"/>
      <c r="AC651" s="240"/>
      <c r="AD651" s="234"/>
      <c r="AE651" s="234"/>
      <c r="AF651" s="240"/>
      <c r="AG651" s="234"/>
      <c r="AH651" s="234"/>
      <c r="AI651" s="240"/>
      <c r="AJ651" s="234"/>
      <c r="AK651" s="234"/>
      <c r="AL651" s="240"/>
      <c r="AM651" s="234"/>
      <c r="AN651" s="234"/>
      <c r="AO651" s="240"/>
      <c r="AP651" s="40"/>
      <c r="AQ651" s="40"/>
      <c r="AR651" s="40"/>
      <c r="AS651" s="40"/>
      <c r="AT651" s="40"/>
      <c r="AU651" s="40"/>
      <c r="AV651" s="40"/>
      <c r="AW651" s="40"/>
      <c r="AX651" s="40"/>
      <c r="AY651" s="40"/>
      <c r="AZ651" s="40"/>
      <c r="BA651" s="40"/>
      <c r="BB651" s="40"/>
      <c r="BC651" s="40"/>
      <c r="BD651" s="40"/>
      <c r="BE651" s="40"/>
      <c r="BF651" s="40"/>
      <c r="BG651" s="40"/>
      <c r="BH651" s="40"/>
      <c r="BI651" s="40"/>
    </row>
    <row r="652" ht="15.75" customHeight="1">
      <c r="A652" s="33"/>
      <c r="B652" s="241"/>
      <c r="C652" s="233"/>
      <c r="D652" s="233"/>
      <c r="E652" s="228"/>
      <c r="F652" s="233"/>
      <c r="G652" s="233"/>
      <c r="H652" s="228"/>
      <c r="I652" s="233"/>
      <c r="J652" s="233"/>
      <c r="K652" s="228"/>
      <c r="L652" s="233"/>
      <c r="M652" s="233"/>
      <c r="N652" s="228"/>
      <c r="O652" s="233"/>
      <c r="P652" s="233"/>
      <c r="Q652" s="228"/>
      <c r="R652" s="233"/>
      <c r="S652" s="233"/>
      <c r="T652" s="228"/>
      <c r="U652" s="233"/>
      <c r="V652" s="233"/>
      <c r="W652" s="228"/>
      <c r="X652" s="233"/>
      <c r="Y652" s="233"/>
      <c r="Z652" s="228"/>
      <c r="AA652" s="233"/>
      <c r="AB652" s="233"/>
      <c r="AC652" s="228"/>
      <c r="AD652" s="233"/>
      <c r="AE652" s="233"/>
      <c r="AF652" s="228"/>
      <c r="AG652" s="233"/>
      <c r="AH652" s="233"/>
      <c r="AI652" s="228"/>
      <c r="AJ652" s="233"/>
      <c r="AK652" s="233"/>
      <c r="AL652" s="228"/>
      <c r="AM652" s="233"/>
      <c r="AN652" s="233"/>
      <c r="AO652" s="228"/>
      <c r="AP652" s="40"/>
      <c r="AQ652" s="40"/>
      <c r="AR652" s="40"/>
      <c r="AS652" s="40"/>
      <c r="AT652" s="40"/>
      <c r="AU652" s="40"/>
      <c r="AV652" s="40"/>
      <c r="AW652" s="40"/>
      <c r="AX652" s="40"/>
      <c r="AY652" s="40"/>
      <c r="AZ652" s="40"/>
      <c r="BA652" s="40"/>
      <c r="BB652" s="40"/>
      <c r="BC652" s="40"/>
      <c r="BD652" s="40"/>
      <c r="BE652" s="40"/>
      <c r="BF652" s="40"/>
      <c r="BG652" s="40"/>
      <c r="BH652" s="40"/>
      <c r="BI652" s="40"/>
    </row>
    <row r="653" ht="15.75" customHeight="1">
      <c r="A653" s="33"/>
      <c r="B653" s="228"/>
      <c r="C653" s="236"/>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c r="AA653" s="236"/>
      <c r="AB653" s="236"/>
      <c r="AC653" s="236"/>
      <c r="AD653" s="236"/>
      <c r="AE653" s="236"/>
      <c r="AF653" s="236"/>
      <c r="AG653" s="236"/>
      <c r="AH653" s="236"/>
      <c r="AI653" s="236"/>
      <c r="AJ653" s="236"/>
      <c r="AK653" s="236"/>
      <c r="AL653" s="236"/>
      <c r="AM653" s="236"/>
      <c r="AN653" s="236"/>
      <c r="AO653" s="236"/>
      <c r="AP653" s="40"/>
      <c r="AQ653" s="40"/>
      <c r="AR653" s="40"/>
      <c r="AS653" s="40"/>
      <c r="AT653" s="40"/>
      <c r="AU653" s="40"/>
      <c r="AV653" s="40"/>
      <c r="AW653" s="40"/>
      <c r="AX653" s="40"/>
      <c r="AY653" s="40"/>
      <c r="AZ653" s="40"/>
      <c r="BA653" s="40"/>
      <c r="BB653" s="40"/>
      <c r="BC653" s="40"/>
      <c r="BD653" s="40"/>
      <c r="BE653" s="40"/>
      <c r="BF653" s="40"/>
      <c r="BG653" s="40"/>
      <c r="BH653" s="40"/>
      <c r="BI653" s="40"/>
    </row>
    <row r="654" ht="15.75" customHeight="1">
      <c r="A654" s="33"/>
      <c r="B654" s="227"/>
      <c r="C654" s="238"/>
      <c r="D654" s="238"/>
      <c r="E654" s="238"/>
      <c r="F654" s="238"/>
      <c r="G654" s="238"/>
      <c r="H654" s="238"/>
      <c r="I654" s="238"/>
      <c r="J654" s="238"/>
      <c r="K654" s="238"/>
      <c r="L654" s="238"/>
      <c r="M654" s="238"/>
      <c r="N654" s="238"/>
      <c r="O654" s="238"/>
      <c r="P654" s="238"/>
      <c r="Q654" s="238"/>
      <c r="R654" s="238"/>
      <c r="S654" s="238"/>
      <c r="T654" s="238"/>
      <c r="U654" s="238"/>
      <c r="V654" s="238"/>
      <c r="W654" s="238"/>
      <c r="X654" s="238"/>
      <c r="Y654" s="238"/>
      <c r="Z654" s="238"/>
      <c r="AA654" s="238"/>
      <c r="AB654" s="238"/>
      <c r="AC654" s="238"/>
      <c r="AD654" s="238"/>
      <c r="AE654" s="238"/>
      <c r="AF654" s="238"/>
      <c r="AG654" s="238"/>
      <c r="AH654" s="238"/>
      <c r="AI654" s="238"/>
      <c r="AJ654" s="238"/>
      <c r="AK654" s="238"/>
      <c r="AL654" s="238"/>
      <c r="AM654" s="238"/>
      <c r="AN654" s="238"/>
      <c r="AO654" s="238"/>
      <c r="AP654" s="40"/>
      <c r="AQ654" s="40"/>
      <c r="AR654" s="40"/>
      <c r="AS654" s="40"/>
      <c r="AT654" s="40"/>
      <c r="AU654" s="40"/>
      <c r="AV654" s="40"/>
      <c r="AW654" s="40"/>
      <c r="AX654" s="40"/>
      <c r="AY654" s="40"/>
      <c r="AZ654" s="40"/>
      <c r="BA654" s="40"/>
      <c r="BB654" s="40"/>
      <c r="BC654" s="40"/>
      <c r="BD654" s="40"/>
      <c r="BE654" s="40"/>
      <c r="BF654" s="40"/>
      <c r="BG654" s="40"/>
      <c r="BH654" s="40"/>
      <c r="BI654" s="40"/>
    </row>
    <row r="655" ht="15.75" customHeight="1">
      <c r="A655" s="33"/>
      <c r="B655" s="228"/>
      <c r="C655" s="236"/>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c r="AA655" s="236"/>
      <c r="AB655" s="236"/>
      <c r="AC655" s="236"/>
      <c r="AD655" s="236"/>
      <c r="AE655" s="236"/>
      <c r="AF655" s="236"/>
      <c r="AG655" s="236"/>
      <c r="AH655" s="236"/>
      <c r="AI655" s="236"/>
      <c r="AJ655" s="236"/>
      <c r="AK655" s="236"/>
      <c r="AL655" s="236"/>
      <c r="AM655" s="236"/>
      <c r="AN655" s="236"/>
      <c r="AO655" s="236"/>
      <c r="AP655" s="40"/>
      <c r="AQ655" s="40"/>
      <c r="AR655" s="40"/>
      <c r="AS655" s="40"/>
      <c r="AT655" s="40"/>
      <c r="AU655" s="40"/>
      <c r="AV655" s="40"/>
      <c r="AW655" s="40"/>
      <c r="AX655" s="40"/>
      <c r="AY655" s="40"/>
      <c r="AZ655" s="40"/>
      <c r="BA655" s="40"/>
      <c r="BB655" s="40"/>
      <c r="BC655" s="40"/>
      <c r="BD655" s="40"/>
      <c r="BE655" s="40"/>
      <c r="BF655" s="40"/>
      <c r="BG655" s="40"/>
      <c r="BH655" s="40"/>
      <c r="BI655" s="40"/>
    </row>
    <row r="656" ht="15.75" customHeight="1">
      <c r="A656" s="33"/>
      <c r="B656" s="228"/>
      <c r="C656" s="228"/>
      <c r="D656" s="236"/>
      <c r="E656" s="236"/>
      <c r="F656" s="228"/>
      <c r="G656" s="236"/>
      <c r="H656" s="236"/>
      <c r="I656" s="228"/>
      <c r="J656" s="236"/>
      <c r="K656" s="236"/>
      <c r="L656" s="228"/>
      <c r="M656" s="236"/>
      <c r="N656" s="236"/>
      <c r="O656" s="228"/>
      <c r="P656" s="236"/>
      <c r="Q656" s="236"/>
      <c r="R656" s="228"/>
      <c r="S656" s="236"/>
      <c r="T656" s="236"/>
      <c r="U656" s="228"/>
      <c r="V656" s="236"/>
      <c r="W656" s="236"/>
      <c r="X656" s="228"/>
      <c r="Y656" s="236"/>
      <c r="Z656" s="236"/>
      <c r="AA656" s="228"/>
      <c r="AB656" s="236"/>
      <c r="AC656" s="236"/>
      <c r="AD656" s="228"/>
      <c r="AE656" s="236"/>
      <c r="AF656" s="236"/>
      <c r="AG656" s="228"/>
      <c r="AH656" s="236"/>
      <c r="AI656" s="236"/>
      <c r="AJ656" s="228"/>
      <c r="AK656" s="236"/>
      <c r="AL656" s="236"/>
      <c r="AM656" s="228"/>
      <c r="AN656" s="236"/>
      <c r="AO656" s="236"/>
      <c r="AP656" s="40"/>
      <c r="AQ656" s="40"/>
      <c r="AR656" s="40"/>
      <c r="AS656" s="40"/>
      <c r="AT656" s="40"/>
      <c r="AU656" s="40"/>
      <c r="AV656" s="40"/>
      <c r="AW656" s="40"/>
      <c r="AX656" s="40"/>
      <c r="AY656" s="40"/>
      <c r="AZ656" s="40"/>
      <c r="BA656" s="40"/>
      <c r="BB656" s="40"/>
      <c r="BC656" s="40"/>
      <c r="BD656" s="40"/>
      <c r="BE656" s="40"/>
      <c r="BF656" s="40"/>
      <c r="BG656" s="40"/>
      <c r="BH656" s="40"/>
      <c r="BI656" s="40"/>
    </row>
    <row r="657" ht="15.75" customHeight="1">
      <c r="A657" s="33"/>
      <c r="B657" s="228"/>
      <c r="C657" s="228"/>
      <c r="D657" s="236"/>
      <c r="E657" s="236"/>
      <c r="F657" s="228"/>
      <c r="G657" s="236"/>
      <c r="H657" s="236"/>
      <c r="I657" s="228"/>
      <c r="J657" s="236"/>
      <c r="K657" s="236"/>
      <c r="L657" s="228"/>
      <c r="M657" s="236"/>
      <c r="N657" s="236"/>
      <c r="O657" s="228"/>
      <c r="P657" s="236"/>
      <c r="Q657" s="236"/>
      <c r="R657" s="228"/>
      <c r="S657" s="236"/>
      <c r="T657" s="236"/>
      <c r="U657" s="228"/>
      <c r="V657" s="236"/>
      <c r="W657" s="236"/>
      <c r="X657" s="228"/>
      <c r="Y657" s="236"/>
      <c r="Z657" s="236"/>
      <c r="AA657" s="228"/>
      <c r="AB657" s="236"/>
      <c r="AC657" s="236"/>
      <c r="AD657" s="228"/>
      <c r="AE657" s="236"/>
      <c r="AF657" s="236"/>
      <c r="AG657" s="228"/>
      <c r="AH657" s="236"/>
      <c r="AI657" s="236"/>
      <c r="AJ657" s="228"/>
      <c r="AK657" s="236"/>
      <c r="AL657" s="236"/>
      <c r="AM657" s="228"/>
      <c r="AN657" s="236"/>
      <c r="AO657" s="236"/>
      <c r="AP657" s="40"/>
      <c r="AQ657" s="40"/>
      <c r="AR657" s="40"/>
      <c r="AS657" s="40"/>
      <c r="AT657" s="40"/>
      <c r="AU657" s="40"/>
      <c r="AV657" s="40"/>
      <c r="AW657" s="40"/>
      <c r="AX657" s="40"/>
      <c r="AY657" s="40"/>
      <c r="AZ657" s="40"/>
      <c r="BA657" s="40"/>
      <c r="BB657" s="40"/>
      <c r="BC657" s="40"/>
      <c r="BD657" s="40"/>
      <c r="BE657" s="40"/>
      <c r="BF657" s="40"/>
      <c r="BG657" s="40"/>
      <c r="BH657" s="40"/>
      <c r="BI657" s="40"/>
    </row>
    <row r="658" ht="15.75" customHeight="1">
      <c r="A658" s="33"/>
      <c r="B658" s="228"/>
      <c r="C658" s="228"/>
      <c r="D658" s="236"/>
      <c r="E658" s="236"/>
      <c r="F658" s="228"/>
      <c r="G658" s="236"/>
      <c r="H658" s="236"/>
      <c r="I658" s="228"/>
      <c r="J658" s="236"/>
      <c r="K658" s="236"/>
      <c r="L658" s="228"/>
      <c r="M658" s="236"/>
      <c r="N658" s="236"/>
      <c r="O658" s="228"/>
      <c r="P658" s="236"/>
      <c r="Q658" s="236"/>
      <c r="R658" s="228"/>
      <c r="S658" s="236"/>
      <c r="T658" s="236"/>
      <c r="U658" s="228"/>
      <c r="V658" s="236"/>
      <c r="W658" s="236"/>
      <c r="X658" s="228"/>
      <c r="Y658" s="236"/>
      <c r="Z658" s="236"/>
      <c r="AA658" s="228"/>
      <c r="AB658" s="236"/>
      <c r="AC658" s="236"/>
      <c r="AD658" s="228"/>
      <c r="AE658" s="236"/>
      <c r="AF658" s="236"/>
      <c r="AG658" s="228"/>
      <c r="AH658" s="236"/>
      <c r="AI658" s="236"/>
      <c r="AJ658" s="228"/>
      <c r="AK658" s="236"/>
      <c r="AL658" s="236"/>
      <c r="AM658" s="228"/>
      <c r="AN658" s="236"/>
      <c r="AO658" s="236"/>
      <c r="AP658" s="40"/>
      <c r="AQ658" s="40"/>
      <c r="AR658" s="40"/>
      <c r="AS658" s="40"/>
      <c r="AT658" s="40"/>
      <c r="AU658" s="40"/>
      <c r="AV658" s="40"/>
      <c r="AW658" s="40"/>
      <c r="AX658" s="40"/>
      <c r="AY658" s="40"/>
      <c r="AZ658" s="40"/>
      <c r="BA658" s="40"/>
      <c r="BB658" s="40"/>
      <c r="BC658" s="40"/>
      <c r="BD658" s="40"/>
      <c r="BE658" s="40"/>
      <c r="BF658" s="40"/>
      <c r="BG658" s="40"/>
      <c r="BH658" s="40"/>
      <c r="BI658" s="40"/>
    </row>
    <row r="659" ht="15.75" customHeight="1">
      <c r="A659" s="33"/>
      <c r="B659" s="228"/>
      <c r="C659" s="228"/>
      <c r="D659" s="236"/>
      <c r="E659" s="236"/>
      <c r="F659" s="228"/>
      <c r="G659" s="236"/>
      <c r="H659" s="236"/>
      <c r="I659" s="228"/>
      <c r="J659" s="236"/>
      <c r="K659" s="236"/>
      <c r="L659" s="228"/>
      <c r="M659" s="236"/>
      <c r="N659" s="236"/>
      <c r="O659" s="228"/>
      <c r="P659" s="236"/>
      <c r="Q659" s="236"/>
      <c r="R659" s="228"/>
      <c r="S659" s="236"/>
      <c r="T659" s="236"/>
      <c r="U659" s="228"/>
      <c r="V659" s="236"/>
      <c r="W659" s="236"/>
      <c r="X659" s="228"/>
      <c r="Y659" s="236"/>
      <c r="Z659" s="236"/>
      <c r="AA659" s="228"/>
      <c r="AB659" s="236"/>
      <c r="AC659" s="236"/>
      <c r="AD659" s="228"/>
      <c r="AE659" s="236"/>
      <c r="AF659" s="236"/>
      <c r="AG659" s="228"/>
      <c r="AH659" s="236"/>
      <c r="AI659" s="236"/>
      <c r="AJ659" s="228"/>
      <c r="AK659" s="236"/>
      <c r="AL659" s="236"/>
      <c r="AM659" s="228"/>
      <c r="AN659" s="236"/>
      <c r="AO659" s="236"/>
      <c r="AP659" s="40"/>
      <c r="AQ659" s="40"/>
      <c r="AR659" s="40"/>
      <c r="AS659" s="40"/>
      <c r="AT659" s="40"/>
      <c r="AU659" s="40"/>
      <c r="AV659" s="40"/>
      <c r="AW659" s="40"/>
      <c r="AX659" s="40"/>
      <c r="AY659" s="40"/>
      <c r="AZ659" s="40"/>
      <c r="BA659" s="40"/>
      <c r="BB659" s="40"/>
      <c r="BC659" s="40"/>
      <c r="BD659" s="40"/>
      <c r="BE659" s="40"/>
      <c r="BF659" s="40"/>
      <c r="BG659" s="40"/>
      <c r="BH659" s="40"/>
      <c r="BI659" s="40"/>
    </row>
    <row r="660" ht="15.75" customHeight="1">
      <c r="A660" s="33"/>
      <c r="B660" s="228"/>
      <c r="C660" s="228"/>
      <c r="D660" s="236"/>
      <c r="E660" s="236"/>
      <c r="F660" s="228"/>
      <c r="G660" s="236"/>
      <c r="H660" s="236"/>
      <c r="I660" s="228"/>
      <c r="J660" s="236"/>
      <c r="K660" s="236"/>
      <c r="L660" s="228"/>
      <c r="M660" s="236"/>
      <c r="N660" s="236"/>
      <c r="O660" s="228"/>
      <c r="P660" s="236"/>
      <c r="Q660" s="236"/>
      <c r="R660" s="228"/>
      <c r="S660" s="236"/>
      <c r="T660" s="236"/>
      <c r="U660" s="228"/>
      <c r="V660" s="236"/>
      <c r="W660" s="236"/>
      <c r="X660" s="228"/>
      <c r="Y660" s="236"/>
      <c r="Z660" s="236"/>
      <c r="AA660" s="228"/>
      <c r="AB660" s="236"/>
      <c r="AC660" s="236"/>
      <c r="AD660" s="228"/>
      <c r="AE660" s="236"/>
      <c r="AF660" s="236"/>
      <c r="AG660" s="228"/>
      <c r="AH660" s="236"/>
      <c r="AI660" s="236"/>
      <c r="AJ660" s="228"/>
      <c r="AK660" s="236"/>
      <c r="AL660" s="236"/>
      <c r="AM660" s="228"/>
      <c r="AN660" s="236"/>
      <c r="AO660" s="236"/>
      <c r="AP660" s="40"/>
      <c r="AQ660" s="40"/>
      <c r="AR660" s="40"/>
      <c r="AS660" s="40"/>
      <c r="AT660" s="40"/>
      <c r="AU660" s="40"/>
      <c r="AV660" s="40"/>
      <c r="AW660" s="40"/>
      <c r="AX660" s="40"/>
      <c r="AY660" s="40"/>
      <c r="AZ660" s="40"/>
      <c r="BA660" s="40"/>
      <c r="BB660" s="40"/>
      <c r="BC660" s="40"/>
      <c r="BD660" s="40"/>
      <c r="BE660" s="40"/>
      <c r="BF660" s="40"/>
      <c r="BG660" s="40"/>
      <c r="BH660" s="40"/>
      <c r="BI660" s="40"/>
    </row>
    <row r="661" ht="15.75" customHeight="1">
      <c r="A661" s="33"/>
      <c r="B661" s="228"/>
      <c r="C661" s="228"/>
      <c r="D661" s="236"/>
      <c r="E661" s="238"/>
      <c r="F661" s="228"/>
      <c r="G661" s="236"/>
      <c r="H661" s="238"/>
      <c r="I661" s="228"/>
      <c r="J661" s="236"/>
      <c r="K661" s="238"/>
      <c r="L661" s="228"/>
      <c r="M661" s="236"/>
      <c r="N661" s="238"/>
      <c r="O661" s="228"/>
      <c r="P661" s="236"/>
      <c r="Q661" s="238"/>
      <c r="R661" s="228"/>
      <c r="S661" s="236"/>
      <c r="T661" s="238"/>
      <c r="U661" s="228"/>
      <c r="V661" s="236"/>
      <c r="W661" s="238"/>
      <c r="X661" s="228"/>
      <c r="Y661" s="236"/>
      <c r="Z661" s="238"/>
      <c r="AA661" s="228"/>
      <c r="AB661" s="236"/>
      <c r="AC661" s="238"/>
      <c r="AD661" s="228"/>
      <c r="AE661" s="236"/>
      <c r="AF661" s="238"/>
      <c r="AG661" s="228"/>
      <c r="AH661" s="236"/>
      <c r="AI661" s="238"/>
      <c r="AJ661" s="228"/>
      <c r="AK661" s="236"/>
      <c r="AL661" s="238"/>
      <c r="AM661" s="228"/>
      <c r="AN661" s="236"/>
      <c r="AO661" s="238"/>
      <c r="AP661" s="40"/>
      <c r="AQ661" s="40"/>
      <c r="AR661" s="40"/>
      <c r="AS661" s="40"/>
      <c r="AT661" s="40"/>
      <c r="AU661" s="40"/>
      <c r="AV661" s="40"/>
      <c r="AW661" s="40"/>
      <c r="AX661" s="40"/>
      <c r="AY661" s="40"/>
      <c r="AZ661" s="40"/>
      <c r="BA661" s="40"/>
      <c r="BB661" s="40"/>
      <c r="BC661" s="40"/>
      <c r="BD661" s="40"/>
      <c r="BE661" s="40"/>
      <c r="BF661" s="40"/>
      <c r="BG661" s="40"/>
      <c r="BH661" s="40"/>
      <c r="BI661" s="40"/>
    </row>
    <row r="662" ht="15.75" customHeight="1">
      <c r="A662" s="33"/>
      <c r="B662" s="228"/>
      <c r="C662" s="228"/>
      <c r="D662" s="236"/>
      <c r="E662" s="236"/>
      <c r="F662" s="228"/>
      <c r="G662" s="236"/>
      <c r="H662" s="236"/>
      <c r="I662" s="228"/>
      <c r="J662" s="236"/>
      <c r="K662" s="236"/>
      <c r="L662" s="228"/>
      <c r="M662" s="236"/>
      <c r="N662" s="236"/>
      <c r="O662" s="228"/>
      <c r="P662" s="236"/>
      <c r="Q662" s="236"/>
      <c r="R662" s="228"/>
      <c r="S662" s="236"/>
      <c r="T662" s="236"/>
      <c r="U662" s="228"/>
      <c r="V662" s="236"/>
      <c r="W662" s="236"/>
      <c r="X662" s="228"/>
      <c r="Y662" s="236"/>
      <c r="Z662" s="236"/>
      <c r="AA662" s="228"/>
      <c r="AB662" s="236"/>
      <c r="AC662" s="236"/>
      <c r="AD662" s="228"/>
      <c r="AE662" s="236"/>
      <c r="AF662" s="236"/>
      <c r="AG662" s="228"/>
      <c r="AH662" s="236"/>
      <c r="AI662" s="236"/>
      <c r="AJ662" s="228"/>
      <c r="AK662" s="236"/>
      <c r="AL662" s="236"/>
      <c r="AM662" s="228"/>
      <c r="AN662" s="236"/>
      <c r="AO662" s="236"/>
      <c r="AP662" s="40"/>
      <c r="AQ662" s="40"/>
      <c r="AR662" s="40"/>
      <c r="AS662" s="40"/>
      <c r="AT662" s="40"/>
      <c r="AU662" s="40"/>
      <c r="AV662" s="40"/>
      <c r="AW662" s="40"/>
      <c r="AX662" s="40"/>
      <c r="AY662" s="40"/>
      <c r="AZ662" s="40"/>
      <c r="BA662" s="40"/>
      <c r="BB662" s="40"/>
      <c r="BC662" s="40"/>
      <c r="BD662" s="40"/>
      <c r="BE662" s="40"/>
      <c r="BF662" s="40"/>
      <c r="BG662" s="40"/>
      <c r="BH662" s="40"/>
      <c r="BI662" s="40"/>
    </row>
    <row r="663" ht="15.75" customHeight="1">
      <c r="A663" s="33"/>
      <c r="B663" s="228"/>
      <c r="C663" s="228"/>
      <c r="D663" s="228"/>
      <c r="E663" s="228"/>
      <c r="F663" s="228"/>
      <c r="G663" s="228"/>
      <c r="H663" s="228"/>
      <c r="I663" s="228"/>
      <c r="J663" s="228"/>
      <c r="K663" s="228"/>
      <c r="L663" s="228"/>
      <c r="M663" s="228"/>
      <c r="N663" s="228"/>
      <c r="O663" s="228"/>
      <c r="P663" s="228"/>
      <c r="Q663" s="228"/>
      <c r="R663" s="228"/>
      <c r="S663" s="228"/>
      <c r="T663" s="228"/>
      <c r="U663" s="228"/>
      <c r="V663" s="228"/>
      <c r="W663" s="228"/>
      <c r="X663" s="228"/>
      <c r="Y663" s="228"/>
      <c r="Z663" s="228"/>
      <c r="AA663" s="228"/>
      <c r="AB663" s="228"/>
      <c r="AC663" s="228"/>
      <c r="AD663" s="228"/>
      <c r="AE663" s="228"/>
      <c r="AF663" s="228"/>
      <c r="AG663" s="228"/>
      <c r="AH663" s="228"/>
      <c r="AI663" s="228"/>
      <c r="AJ663" s="228"/>
      <c r="AK663" s="228"/>
      <c r="AL663" s="228"/>
      <c r="AM663" s="228"/>
      <c r="AN663" s="228"/>
      <c r="AO663" s="228"/>
      <c r="AP663" s="40"/>
      <c r="AQ663" s="40"/>
      <c r="AR663" s="40"/>
      <c r="AS663" s="40"/>
      <c r="AT663" s="40"/>
      <c r="AU663" s="40"/>
      <c r="AV663" s="40"/>
      <c r="AW663" s="40"/>
      <c r="AX663" s="40"/>
      <c r="AY663" s="40"/>
      <c r="AZ663" s="40"/>
      <c r="BA663" s="40"/>
      <c r="BB663" s="40"/>
      <c r="BC663" s="40"/>
      <c r="BD663" s="40"/>
      <c r="BE663" s="40"/>
      <c r="BF663" s="40"/>
      <c r="BG663" s="40"/>
      <c r="BH663" s="40"/>
      <c r="BI663" s="40"/>
    </row>
    <row r="664" ht="15.75" customHeight="1">
      <c r="A664" s="33"/>
      <c r="B664" s="228"/>
      <c r="C664" s="228"/>
      <c r="D664" s="238"/>
      <c r="E664" s="238"/>
      <c r="F664" s="228"/>
      <c r="G664" s="238"/>
      <c r="H664" s="238"/>
      <c r="I664" s="228"/>
      <c r="J664" s="238"/>
      <c r="K664" s="238"/>
      <c r="L664" s="228"/>
      <c r="M664" s="238"/>
      <c r="N664" s="238"/>
      <c r="O664" s="228"/>
      <c r="P664" s="238"/>
      <c r="Q664" s="238"/>
      <c r="R664" s="228"/>
      <c r="S664" s="238"/>
      <c r="T664" s="238"/>
      <c r="U664" s="228"/>
      <c r="V664" s="238"/>
      <c r="W664" s="238"/>
      <c r="X664" s="228"/>
      <c r="Y664" s="238"/>
      <c r="Z664" s="238"/>
      <c r="AA664" s="228"/>
      <c r="AB664" s="238"/>
      <c r="AC664" s="238"/>
      <c r="AD664" s="228"/>
      <c r="AE664" s="238"/>
      <c r="AF664" s="238"/>
      <c r="AG664" s="228"/>
      <c r="AH664" s="238"/>
      <c r="AI664" s="238"/>
      <c r="AJ664" s="228"/>
      <c r="AK664" s="238"/>
      <c r="AL664" s="238"/>
      <c r="AM664" s="228"/>
      <c r="AN664" s="238"/>
      <c r="AO664" s="238"/>
      <c r="AP664" s="40"/>
      <c r="AQ664" s="40"/>
      <c r="AR664" s="40"/>
      <c r="AS664" s="40"/>
      <c r="AT664" s="40"/>
      <c r="AU664" s="40"/>
      <c r="AV664" s="40"/>
      <c r="AW664" s="40"/>
      <c r="AX664" s="40"/>
      <c r="AY664" s="40"/>
      <c r="AZ664" s="40"/>
      <c r="BA664" s="40"/>
      <c r="BB664" s="40"/>
      <c r="BC664" s="40"/>
      <c r="BD664" s="40"/>
      <c r="BE664" s="40"/>
      <c r="BF664" s="40"/>
      <c r="BG664" s="40"/>
      <c r="BH664" s="40"/>
      <c r="BI664" s="40"/>
    </row>
    <row r="665" ht="15.75" customHeight="1">
      <c r="A665" s="33"/>
      <c r="B665" s="228"/>
      <c r="C665" s="228"/>
      <c r="D665" s="236"/>
      <c r="E665" s="236"/>
      <c r="F665" s="228"/>
      <c r="G665" s="236"/>
      <c r="H665" s="236"/>
      <c r="I665" s="228"/>
      <c r="J665" s="236"/>
      <c r="K665" s="236"/>
      <c r="L665" s="228"/>
      <c r="M665" s="236"/>
      <c r="N665" s="236"/>
      <c r="O665" s="228"/>
      <c r="P665" s="236"/>
      <c r="Q665" s="236"/>
      <c r="R665" s="228"/>
      <c r="S665" s="236"/>
      <c r="T665" s="236"/>
      <c r="U665" s="228"/>
      <c r="V665" s="236"/>
      <c r="W665" s="236"/>
      <c r="X665" s="228"/>
      <c r="Y665" s="236"/>
      <c r="Z665" s="236"/>
      <c r="AA665" s="228"/>
      <c r="AB665" s="236"/>
      <c r="AC665" s="236"/>
      <c r="AD665" s="228"/>
      <c r="AE665" s="236"/>
      <c r="AF665" s="236"/>
      <c r="AG665" s="228"/>
      <c r="AH665" s="236"/>
      <c r="AI665" s="236"/>
      <c r="AJ665" s="228"/>
      <c r="AK665" s="236"/>
      <c r="AL665" s="236"/>
      <c r="AM665" s="228"/>
      <c r="AN665" s="236"/>
      <c r="AO665" s="236"/>
      <c r="AP665" s="40"/>
      <c r="AQ665" s="40"/>
      <c r="AR665" s="40"/>
      <c r="AS665" s="40"/>
      <c r="AT665" s="40"/>
      <c r="AU665" s="40"/>
      <c r="AV665" s="40"/>
      <c r="AW665" s="40"/>
      <c r="AX665" s="40"/>
      <c r="AY665" s="40"/>
      <c r="AZ665" s="40"/>
      <c r="BA665" s="40"/>
      <c r="BB665" s="40"/>
      <c r="BC665" s="40"/>
      <c r="BD665" s="40"/>
      <c r="BE665" s="40"/>
      <c r="BF665" s="40"/>
      <c r="BG665" s="40"/>
      <c r="BH665" s="40"/>
      <c r="BI665" s="40"/>
    </row>
    <row r="666" ht="15.75" customHeight="1">
      <c r="A666" s="33"/>
      <c r="B666" s="228"/>
      <c r="C666" s="228"/>
      <c r="D666" s="236"/>
      <c r="E666" s="236"/>
      <c r="F666" s="228"/>
      <c r="G666" s="236"/>
      <c r="H666" s="236"/>
      <c r="I666" s="228"/>
      <c r="J666" s="236"/>
      <c r="K666" s="236"/>
      <c r="L666" s="228"/>
      <c r="M666" s="236"/>
      <c r="N666" s="236"/>
      <c r="O666" s="228"/>
      <c r="P666" s="236"/>
      <c r="Q666" s="236"/>
      <c r="R666" s="228"/>
      <c r="S666" s="236"/>
      <c r="T666" s="236"/>
      <c r="U666" s="228"/>
      <c r="V666" s="236"/>
      <c r="W666" s="236"/>
      <c r="X666" s="228"/>
      <c r="Y666" s="236"/>
      <c r="Z666" s="236"/>
      <c r="AA666" s="228"/>
      <c r="AB666" s="236"/>
      <c r="AC666" s="236"/>
      <c r="AD666" s="228"/>
      <c r="AE666" s="236"/>
      <c r="AF666" s="236"/>
      <c r="AG666" s="228"/>
      <c r="AH666" s="236"/>
      <c r="AI666" s="236"/>
      <c r="AJ666" s="228"/>
      <c r="AK666" s="236"/>
      <c r="AL666" s="236"/>
      <c r="AM666" s="228"/>
      <c r="AN666" s="236"/>
      <c r="AO666" s="236"/>
      <c r="AP666" s="40"/>
      <c r="AQ666" s="40"/>
      <c r="AR666" s="40"/>
      <c r="AS666" s="40"/>
      <c r="AT666" s="40"/>
      <c r="AU666" s="40"/>
      <c r="AV666" s="40"/>
      <c r="AW666" s="40"/>
      <c r="AX666" s="40"/>
      <c r="AY666" s="40"/>
      <c r="AZ666" s="40"/>
      <c r="BA666" s="40"/>
      <c r="BB666" s="40"/>
      <c r="BC666" s="40"/>
      <c r="BD666" s="40"/>
      <c r="BE666" s="40"/>
      <c r="BF666" s="40"/>
      <c r="BG666" s="40"/>
      <c r="BH666" s="40"/>
      <c r="BI666" s="40"/>
    </row>
    <row r="667" ht="15.75" customHeight="1">
      <c r="A667" s="33"/>
      <c r="B667" s="228"/>
      <c r="C667" s="228"/>
      <c r="D667" s="236"/>
      <c r="E667" s="236"/>
      <c r="F667" s="228"/>
      <c r="G667" s="236"/>
      <c r="H667" s="236"/>
      <c r="I667" s="228"/>
      <c r="J667" s="236"/>
      <c r="K667" s="236"/>
      <c r="L667" s="228"/>
      <c r="M667" s="236"/>
      <c r="N667" s="236"/>
      <c r="O667" s="228"/>
      <c r="P667" s="236"/>
      <c r="Q667" s="236"/>
      <c r="R667" s="228"/>
      <c r="S667" s="236"/>
      <c r="T667" s="236"/>
      <c r="U667" s="228"/>
      <c r="V667" s="236"/>
      <c r="W667" s="236"/>
      <c r="X667" s="228"/>
      <c r="Y667" s="236"/>
      <c r="Z667" s="236"/>
      <c r="AA667" s="228"/>
      <c r="AB667" s="236"/>
      <c r="AC667" s="236"/>
      <c r="AD667" s="228"/>
      <c r="AE667" s="236"/>
      <c r="AF667" s="236"/>
      <c r="AG667" s="228"/>
      <c r="AH667" s="236"/>
      <c r="AI667" s="236"/>
      <c r="AJ667" s="228"/>
      <c r="AK667" s="236"/>
      <c r="AL667" s="236"/>
      <c r="AM667" s="228"/>
      <c r="AN667" s="236"/>
      <c r="AO667" s="236"/>
      <c r="AP667" s="40"/>
      <c r="AQ667" s="40"/>
      <c r="AR667" s="40"/>
      <c r="AS667" s="40"/>
      <c r="AT667" s="40"/>
      <c r="AU667" s="40"/>
      <c r="AV667" s="40"/>
      <c r="AW667" s="40"/>
      <c r="AX667" s="40"/>
      <c r="AY667" s="40"/>
      <c r="AZ667" s="40"/>
      <c r="BA667" s="40"/>
      <c r="BB667" s="40"/>
      <c r="BC667" s="40"/>
      <c r="BD667" s="40"/>
      <c r="BE667" s="40"/>
      <c r="BF667" s="40"/>
      <c r="BG667" s="40"/>
      <c r="BH667" s="40"/>
      <c r="BI667" s="40"/>
    </row>
    <row r="668" ht="15.75" customHeight="1">
      <c r="A668" s="33"/>
      <c r="B668" s="228"/>
      <c r="C668" s="228"/>
      <c r="D668" s="236"/>
      <c r="E668" s="236"/>
      <c r="F668" s="228"/>
      <c r="G668" s="236"/>
      <c r="H668" s="236"/>
      <c r="I668" s="228"/>
      <c r="J668" s="236"/>
      <c r="K668" s="236"/>
      <c r="L668" s="228"/>
      <c r="M668" s="236"/>
      <c r="N668" s="236"/>
      <c r="O668" s="228"/>
      <c r="P668" s="236"/>
      <c r="Q668" s="236"/>
      <c r="R668" s="228"/>
      <c r="S668" s="236"/>
      <c r="T668" s="236"/>
      <c r="U668" s="228"/>
      <c r="V668" s="236"/>
      <c r="W668" s="236"/>
      <c r="X668" s="228"/>
      <c r="Y668" s="236"/>
      <c r="Z668" s="236"/>
      <c r="AA668" s="228"/>
      <c r="AB668" s="236"/>
      <c r="AC668" s="236"/>
      <c r="AD668" s="228"/>
      <c r="AE668" s="236"/>
      <c r="AF668" s="236"/>
      <c r="AG668" s="228"/>
      <c r="AH668" s="236"/>
      <c r="AI668" s="236"/>
      <c r="AJ668" s="228"/>
      <c r="AK668" s="236"/>
      <c r="AL668" s="236"/>
      <c r="AM668" s="228"/>
      <c r="AN668" s="236"/>
      <c r="AO668" s="236"/>
      <c r="AP668" s="40"/>
      <c r="AQ668" s="40"/>
      <c r="AR668" s="40"/>
      <c r="AS668" s="40"/>
      <c r="AT668" s="40"/>
      <c r="AU668" s="40"/>
      <c r="AV668" s="40"/>
      <c r="AW668" s="40"/>
      <c r="AX668" s="40"/>
      <c r="AY668" s="40"/>
      <c r="AZ668" s="40"/>
      <c r="BA668" s="40"/>
      <c r="BB668" s="40"/>
      <c r="BC668" s="40"/>
      <c r="BD668" s="40"/>
      <c r="BE668" s="40"/>
      <c r="BF668" s="40"/>
      <c r="BG668" s="40"/>
      <c r="BH668" s="40"/>
      <c r="BI668" s="40"/>
    </row>
    <row r="669" ht="15.75" customHeight="1">
      <c r="A669" s="33"/>
      <c r="B669" s="228"/>
      <c r="C669" s="228"/>
      <c r="D669" s="236"/>
      <c r="E669" s="236"/>
      <c r="F669" s="228"/>
      <c r="G669" s="236"/>
      <c r="H669" s="236"/>
      <c r="I669" s="228"/>
      <c r="J669" s="236"/>
      <c r="K669" s="236"/>
      <c r="L669" s="228"/>
      <c r="M669" s="236"/>
      <c r="N669" s="236"/>
      <c r="O669" s="228"/>
      <c r="P669" s="236"/>
      <c r="Q669" s="236"/>
      <c r="R669" s="228"/>
      <c r="S669" s="236"/>
      <c r="T669" s="236"/>
      <c r="U669" s="228"/>
      <c r="V669" s="236"/>
      <c r="W669" s="236"/>
      <c r="X669" s="228"/>
      <c r="Y669" s="236"/>
      <c r="Z669" s="236"/>
      <c r="AA669" s="228"/>
      <c r="AB669" s="236"/>
      <c r="AC669" s="236"/>
      <c r="AD669" s="228"/>
      <c r="AE669" s="236"/>
      <c r="AF669" s="236"/>
      <c r="AG669" s="228"/>
      <c r="AH669" s="236"/>
      <c r="AI669" s="236"/>
      <c r="AJ669" s="228"/>
      <c r="AK669" s="236"/>
      <c r="AL669" s="236"/>
      <c r="AM669" s="228"/>
      <c r="AN669" s="236"/>
      <c r="AO669" s="236"/>
      <c r="AP669" s="40"/>
      <c r="AQ669" s="40"/>
      <c r="AR669" s="40"/>
      <c r="AS669" s="40"/>
      <c r="AT669" s="40"/>
      <c r="AU669" s="40"/>
      <c r="AV669" s="40"/>
      <c r="AW669" s="40"/>
      <c r="AX669" s="40"/>
      <c r="AY669" s="40"/>
      <c r="AZ669" s="40"/>
      <c r="BA669" s="40"/>
      <c r="BB669" s="40"/>
      <c r="BC669" s="40"/>
      <c r="BD669" s="40"/>
      <c r="BE669" s="40"/>
      <c r="BF669" s="40"/>
      <c r="BG669" s="40"/>
      <c r="BH669" s="40"/>
      <c r="BI669" s="40"/>
    </row>
    <row r="670" ht="15.75" customHeight="1">
      <c r="A670" s="33"/>
      <c r="B670" s="228"/>
      <c r="C670" s="228"/>
      <c r="D670" s="236"/>
      <c r="E670" s="236"/>
      <c r="F670" s="228"/>
      <c r="G670" s="236"/>
      <c r="H670" s="236"/>
      <c r="I670" s="228"/>
      <c r="J670" s="236"/>
      <c r="K670" s="236"/>
      <c r="L670" s="228"/>
      <c r="M670" s="236"/>
      <c r="N670" s="236"/>
      <c r="O670" s="228"/>
      <c r="P670" s="236"/>
      <c r="Q670" s="236"/>
      <c r="R670" s="228"/>
      <c r="S670" s="236"/>
      <c r="T670" s="236"/>
      <c r="U670" s="228"/>
      <c r="V670" s="236"/>
      <c r="W670" s="236"/>
      <c r="X670" s="228"/>
      <c r="Y670" s="236"/>
      <c r="Z670" s="236"/>
      <c r="AA670" s="228"/>
      <c r="AB670" s="236"/>
      <c r="AC670" s="236"/>
      <c r="AD670" s="228"/>
      <c r="AE670" s="236"/>
      <c r="AF670" s="236"/>
      <c r="AG670" s="228"/>
      <c r="AH670" s="236"/>
      <c r="AI670" s="236"/>
      <c r="AJ670" s="228"/>
      <c r="AK670" s="236"/>
      <c r="AL670" s="236"/>
      <c r="AM670" s="228"/>
      <c r="AN670" s="236"/>
      <c r="AO670" s="236"/>
      <c r="AP670" s="40"/>
      <c r="AQ670" s="40"/>
      <c r="AR670" s="40"/>
      <c r="AS670" s="40"/>
      <c r="AT670" s="40"/>
      <c r="AU670" s="40"/>
      <c r="AV670" s="40"/>
      <c r="AW670" s="40"/>
      <c r="AX670" s="40"/>
      <c r="AY670" s="40"/>
      <c r="AZ670" s="40"/>
      <c r="BA670" s="40"/>
      <c r="BB670" s="40"/>
      <c r="BC670" s="40"/>
      <c r="BD670" s="40"/>
      <c r="BE670" s="40"/>
      <c r="BF670" s="40"/>
      <c r="BG670" s="40"/>
      <c r="BH670" s="40"/>
      <c r="BI670" s="40"/>
    </row>
    <row r="671" ht="15.75" customHeight="1">
      <c r="A671" s="33"/>
      <c r="B671" s="228"/>
      <c r="C671" s="228"/>
      <c r="D671" s="236"/>
      <c r="E671" s="236"/>
      <c r="F671" s="228"/>
      <c r="G671" s="236"/>
      <c r="H671" s="236"/>
      <c r="I671" s="228"/>
      <c r="J671" s="236"/>
      <c r="K671" s="236"/>
      <c r="L671" s="228"/>
      <c r="M671" s="236"/>
      <c r="N671" s="236"/>
      <c r="O671" s="228"/>
      <c r="P671" s="236"/>
      <c r="Q671" s="236"/>
      <c r="R671" s="228"/>
      <c r="S671" s="236"/>
      <c r="T671" s="236"/>
      <c r="U671" s="228"/>
      <c r="V671" s="236"/>
      <c r="W671" s="236"/>
      <c r="X671" s="228"/>
      <c r="Y671" s="236"/>
      <c r="Z671" s="236"/>
      <c r="AA671" s="228"/>
      <c r="AB671" s="236"/>
      <c r="AC671" s="236"/>
      <c r="AD671" s="228"/>
      <c r="AE671" s="236"/>
      <c r="AF671" s="236"/>
      <c r="AG671" s="228"/>
      <c r="AH671" s="236"/>
      <c r="AI671" s="236"/>
      <c r="AJ671" s="228"/>
      <c r="AK671" s="236"/>
      <c r="AL671" s="236"/>
      <c r="AM671" s="228"/>
      <c r="AN671" s="236"/>
      <c r="AO671" s="236"/>
      <c r="AP671" s="40"/>
      <c r="AQ671" s="40"/>
      <c r="AR671" s="40"/>
      <c r="AS671" s="40"/>
      <c r="AT671" s="40"/>
      <c r="AU671" s="40"/>
      <c r="AV671" s="40"/>
      <c r="AW671" s="40"/>
      <c r="AX671" s="40"/>
      <c r="AY671" s="40"/>
      <c r="AZ671" s="40"/>
      <c r="BA671" s="40"/>
      <c r="BB671" s="40"/>
      <c r="BC671" s="40"/>
      <c r="BD671" s="40"/>
      <c r="BE671" s="40"/>
      <c r="BF671" s="40"/>
      <c r="BG671" s="40"/>
      <c r="BH671" s="40"/>
      <c r="BI671" s="40"/>
    </row>
    <row r="672" ht="15.75" customHeight="1">
      <c r="A672" s="33"/>
      <c r="B672" s="228"/>
      <c r="C672" s="228"/>
      <c r="D672" s="236"/>
      <c r="E672" s="236"/>
      <c r="F672" s="228"/>
      <c r="G672" s="236"/>
      <c r="H672" s="236"/>
      <c r="I672" s="228"/>
      <c r="J672" s="236"/>
      <c r="K672" s="236"/>
      <c r="L672" s="228"/>
      <c r="M672" s="236"/>
      <c r="N672" s="236"/>
      <c r="O672" s="228"/>
      <c r="P672" s="236"/>
      <c r="Q672" s="236"/>
      <c r="R672" s="228"/>
      <c r="S672" s="236"/>
      <c r="T672" s="236"/>
      <c r="U672" s="228"/>
      <c r="V672" s="236"/>
      <c r="W672" s="236"/>
      <c r="X672" s="228"/>
      <c r="Y672" s="236"/>
      <c r="Z672" s="236"/>
      <c r="AA672" s="228"/>
      <c r="AB672" s="236"/>
      <c r="AC672" s="236"/>
      <c r="AD672" s="228"/>
      <c r="AE672" s="236"/>
      <c r="AF672" s="236"/>
      <c r="AG672" s="228"/>
      <c r="AH672" s="236"/>
      <c r="AI672" s="236"/>
      <c r="AJ672" s="228"/>
      <c r="AK672" s="236"/>
      <c r="AL672" s="236"/>
      <c r="AM672" s="228"/>
      <c r="AN672" s="236"/>
      <c r="AO672" s="236"/>
      <c r="AP672" s="40"/>
      <c r="AQ672" s="40"/>
      <c r="AR672" s="40"/>
      <c r="AS672" s="40"/>
      <c r="AT672" s="40"/>
      <c r="AU672" s="40"/>
      <c r="AV672" s="40"/>
      <c r="AW672" s="40"/>
      <c r="AX672" s="40"/>
      <c r="AY672" s="40"/>
      <c r="AZ672" s="40"/>
      <c r="BA672" s="40"/>
      <c r="BB672" s="40"/>
      <c r="BC672" s="40"/>
      <c r="BD672" s="40"/>
      <c r="BE672" s="40"/>
      <c r="BF672" s="40"/>
      <c r="BG672" s="40"/>
      <c r="BH672" s="40"/>
      <c r="BI672" s="40"/>
    </row>
    <row r="673" ht="15.75" customHeight="1">
      <c r="A673" s="33"/>
      <c r="B673" s="228"/>
      <c r="C673" s="228"/>
      <c r="D673" s="236"/>
      <c r="E673" s="236"/>
      <c r="F673" s="228"/>
      <c r="G673" s="236"/>
      <c r="H673" s="236"/>
      <c r="I673" s="228"/>
      <c r="J673" s="236"/>
      <c r="K673" s="236"/>
      <c r="L673" s="228"/>
      <c r="M673" s="236"/>
      <c r="N673" s="236"/>
      <c r="O673" s="228"/>
      <c r="P673" s="236"/>
      <c r="Q673" s="236"/>
      <c r="R673" s="228"/>
      <c r="S673" s="236"/>
      <c r="T673" s="236"/>
      <c r="U673" s="228"/>
      <c r="V673" s="236"/>
      <c r="W673" s="236"/>
      <c r="X673" s="228"/>
      <c r="Y673" s="236"/>
      <c r="Z673" s="236"/>
      <c r="AA673" s="228"/>
      <c r="AB673" s="236"/>
      <c r="AC673" s="236"/>
      <c r="AD673" s="228"/>
      <c r="AE673" s="236"/>
      <c r="AF673" s="236"/>
      <c r="AG673" s="228"/>
      <c r="AH673" s="236"/>
      <c r="AI673" s="236"/>
      <c r="AJ673" s="228"/>
      <c r="AK673" s="236"/>
      <c r="AL673" s="236"/>
      <c r="AM673" s="228"/>
      <c r="AN673" s="236"/>
      <c r="AO673" s="236"/>
      <c r="AP673" s="40"/>
      <c r="AQ673" s="40"/>
      <c r="AR673" s="40"/>
      <c r="AS673" s="40"/>
      <c r="AT673" s="40"/>
      <c r="AU673" s="40"/>
      <c r="AV673" s="40"/>
      <c r="AW673" s="40"/>
      <c r="AX673" s="40"/>
      <c r="AY673" s="40"/>
      <c r="AZ673" s="40"/>
      <c r="BA673" s="40"/>
      <c r="BB673" s="40"/>
      <c r="BC673" s="40"/>
      <c r="BD673" s="40"/>
      <c r="BE673" s="40"/>
      <c r="BF673" s="40"/>
      <c r="BG673" s="40"/>
      <c r="BH673" s="40"/>
      <c r="BI673" s="40"/>
    </row>
    <row r="674" ht="15.75" customHeight="1">
      <c r="A674" s="33"/>
      <c r="B674" s="228"/>
      <c r="C674" s="228"/>
      <c r="D674" s="238"/>
      <c r="E674" s="238"/>
      <c r="F674" s="228"/>
      <c r="G674" s="238"/>
      <c r="H674" s="238"/>
      <c r="I674" s="228"/>
      <c r="J674" s="238"/>
      <c r="K674" s="238"/>
      <c r="L674" s="228"/>
      <c r="M674" s="238"/>
      <c r="N674" s="238"/>
      <c r="O674" s="228"/>
      <c r="P674" s="238"/>
      <c r="Q674" s="238"/>
      <c r="R674" s="228"/>
      <c r="S674" s="238"/>
      <c r="T674" s="238"/>
      <c r="U674" s="228"/>
      <c r="V674" s="238"/>
      <c r="W674" s="238"/>
      <c r="X674" s="228"/>
      <c r="Y674" s="238"/>
      <c r="Z674" s="238"/>
      <c r="AA674" s="228"/>
      <c r="AB674" s="238"/>
      <c r="AC674" s="238"/>
      <c r="AD674" s="228"/>
      <c r="AE674" s="238"/>
      <c r="AF674" s="238"/>
      <c r="AG674" s="228"/>
      <c r="AH674" s="238"/>
      <c r="AI674" s="238"/>
      <c r="AJ674" s="228"/>
      <c r="AK674" s="238"/>
      <c r="AL674" s="238"/>
      <c r="AM674" s="228"/>
      <c r="AN674" s="238"/>
      <c r="AO674" s="238"/>
      <c r="AP674" s="40"/>
      <c r="AQ674" s="40"/>
      <c r="AR674" s="40"/>
      <c r="AS674" s="40"/>
      <c r="AT674" s="40"/>
      <c r="AU674" s="40"/>
      <c r="AV674" s="40"/>
      <c r="AW674" s="40"/>
      <c r="AX674" s="40"/>
      <c r="AY674" s="40"/>
      <c r="AZ674" s="40"/>
      <c r="BA674" s="40"/>
      <c r="BB674" s="40"/>
      <c r="BC674" s="40"/>
      <c r="BD674" s="40"/>
      <c r="BE674" s="40"/>
      <c r="BF674" s="40"/>
      <c r="BG674" s="40"/>
      <c r="BH674" s="40"/>
      <c r="BI674" s="40"/>
    </row>
    <row r="675" ht="15.75" customHeight="1">
      <c r="A675" s="33"/>
      <c r="B675" s="228"/>
      <c r="C675" s="228"/>
      <c r="D675" s="236"/>
      <c r="E675" s="236"/>
      <c r="F675" s="228"/>
      <c r="G675" s="236"/>
      <c r="H675" s="236"/>
      <c r="I675" s="228"/>
      <c r="J675" s="236"/>
      <c r="K675" s="236"/>
      <c r="L675" s="228"/>
      <c r="M675" s="236"/>
      <c r="N675" s="236"/>
      <c r="O675" s="228"/>
      <c r="P675" s="236"/>
      <c r="Q675" s="236"/>
      <c r="R675" s="228"/>
      <c r="S675" s="236"/>
      <c r="T675" s="236"/>
      <c r="U675" s="228"/>
      <c r="V675" s="236"/>
      <c r="W675" s="236"/>
      <c r="X675" s="228"/>
      <c r="Y675" s="236"/>
      <c r="Z675" s="236"/>
      <c r="AA675" s="228"/>
      <c r="AB675" s="236"/>
      <c r="AC675" s="236"/>
      <c r="AD675" s="228"/>
      <c r="AE675" s="236"/>
      <c r="AF675" s="236"/>
      <c r="AG675" s="228"/>
      <c r="AH675" s="236"/>
      <c r="AI675" s="236"/>
      <c r="AJ675" s="228"/>
      <c r="AK675" s="236"/>
      <c r="AL675" s="236"/>
      <c r="AM675" s="228"/>
      <c r="AN675" s="236"/>
      <c r="AO675" s="236"/>
      <c r="AP675" s="40"/>
      <c r="AQ675" s="40"/>
      <c r="AR675" s="40"/>
      <c r="AS675" s="40"/>
      <c r="AT675" s="40"/>
      <c r="AU675" s="40"/>
      <c r="AV675" s="40"/>
      <c r="AW675" s="40"/>
      <c r="AX675" s="40"/>
      <c r="AY675" s="40"/>
      <c r="AZ675" s="40"/>
      <c r="BA675" s="40"/>
      <c r="BB675" s="40"/>
      <c r="BC675" s="40"/>
      <c r="BD675" s="40"/>
      <c r="BE675" s="40"/>
      <c r="BF675" s="40"/>
      <c r="BG675" s="40"/>
      <c r="BH675" s="40"/>
      <c r="BI675" s="40"/>
    </row>
    <row r="676" ht="15.75" customHeight="1">
      <c r="A676" s="33"/>
      <c r="B676" s="228"/>
      <c r="C676" s="228"/>
      <c r="D676" s="236"/>
      <c r="E676" s="236"/>
      <c r="F676" s="228"/>
      <c r="G676" s="236"/>
      <c r="H676" s="236"/>
      <c r="I676" s="228"/>
      <c r="J676" s="236"/>
      <c r="K676" s="236"/>
      <c r="L676" s="228"/>
      <c r="M676" s="236"/>
      <c r="N676" s="236"/>
      <c r="O676" s="228"/>
      <c r="P676" s="236"/>
      <c r="Q676" s="236"/>
      <c r="R676" s="228"/>
      <c r="S676" s="236"/>
      <c r="T676" s="236"/>
      <c r="U676" s="228"/>
      <c r="V676" s="236"/>
      <c r="W676" s="236"/>
      <c r="X676" s="228"/>
      <c r="Y676" s="236"/>
      <c r="Z676" s="236"/>
      <c r="AA676" s="228"/>
      <c r="AB676" s="236"/>
      <c r="AC676" s="236"/>
      <c r="AD676" s="228"/>
      <c r="AE676" s="236"/>
      <c r="AF676" s="236"/>
      <c r="AG676" s="228"/>
      <c r="AH676" s="236"/>
      <c r="AI676" s="236"/>
      <c r="AJ676" s="228"/>
      <c r="AK676" s="236"/>
      <c r="AL676" s="236"/>
      <c r="AM676" s="228"/>
      <c r="AN676" s="236"/>
      <c r="AO676" s="236"/>
      <c r="AP676" s="40"/>
      <c r="AQ676" s="40"/>
      <c r="AR676" s="40"/>
      <c r="AS676" s="40"/>
      <c r="AT676" s="40"/>
      <c r="AU676" s="40"/>
      <c r="AV676" s="40"/>
      <c r="AW676" s="40"/>
      <c r="AX676" s="40"/>
      <c r="AY676" s="40"/>
      <c r="AZ676" s="40"/>
      <c r="BA676" s="40"/>
      <c r="BB676" s="40"/>
      <c r="BC676" s="40"/>
      <c r="BD676" s="40"/>
      <c r="BE676" s="40"/>
      <c r="BF676" s="40"/>
      <c r="BG676" s="40"/>
      <c r="BH676" s="40"/>
      <c r="BI676" s="40"/>
    </row>
    <row r="677" ht="15.75" customHeight="1">
      <c r="A677" s="33"/>
      <c r="B677" s="228"/>
      <c r="C677" s="228"/>
      <c r="D677" s="236"/>
      <c r="E677" s="236"/>
      <c r="F677" s="228"/>
      <c r="G677" s="236"/>
      <c r="H677" s="236"/>
      <c r="I677" s="228"/>
      <c r="J677" s="236"/>
      <c r="K677" s="236"/>
      <c r="L677" s="228"/>
      <c r="M677" s="236"/>
      <c r="N677" s="236"/>
      <c r="O677" s="228"/>
      <c r="P677" s="236"/>
      <c r="Q677" s="236"/>
      <c r="R677" s="228"/>
      <c r="S677" s="236"/>
      <c r="T677" s="236"/>
      <c r="U677" s="228"/>
      <c r="V677" s="236"/>
      <c r="W677" s="236"/>
      <c r="X677" s="228"/>
      <c r="Y677" s="236"/>
      <c r="Z677" s="236"/>
      <c r="AA677" s="228"/>
      <c r="AB677" s="236"/>
      <c r="AC677" s="236"/>
      <c r="AD677" s="228"/>
      <c r="AE677" s="236"/>
      <c r="AF677" s="236"/>
      <c r="AG677" s="228"/>
      <c r="AH677" s="236"/>
      <c r="AI677" s="236"/>
      <c r="AJ677" s="228"/>
      <c r="AK677" s="236"/>
      <c r="AL677" s="236"/>
      <c r="AM677" s="228"/>
      <c r="AN677" s="236"/>
      <c r="AO677" s="236"/>
      <c r="AP677" s="40"/>
      <c r="AQ677" s="40"/>
      <c r="AR677" s="40"/>
      <c r="AS677" s="40"/>
      <c r="AT677" s="40"/>
      <c r="AU677" s="40"/>
      <c r="AV677" s="40"/>
      <c r="AW677" s="40"/>
      <c r="AX677" s="40"/>
      <c r="AY677" s="40"/>
      <c r="AZ677" s="40"/>
      <c r="BA677" s="40"/>
      <c r="BB677" s="40"/>
      <c r="BC677" s="40"/>
      <c r="BD677" s="40"/>
      <c r="BE677" s="40"/>
      <c r="BF677" s="40"/>
      <c r="BG677" s="40"/>
      <c r="BH677" s="40"/>
      <c r="BI677" s="40"/>
    </row>
    <row r="678" ht="15.75" customHeight="1">
      <c r="A678" s="33"/>
      <c r="B678" s="228"/>
      <c r="C678" s="228"/>
      <c r="D678" s="236"/>
      <c r="E678" s="236"/>
      <c r="F678" s="228"/>
      <c r="G678" s="236"/>
      <c r="H678" s="236"/>
      <c r="I678" s="228"/>
      <c r="J678" s="236"/>
      <c r="K678" s="236"/>
      <c r="L678" s="228"/>
      <c r="M678" s="236"/>
      <c r="N678" s="236"/>
      <c r="O678" s="228"/>
      <c r="P678" s="236"/>
      <c r="Q678" s="236"/>
      <c r="R678" s="228"/>
      <c r="S678" s="236"/>
      <c r="T678" s="236"/>
      <c r="U678" s="228"/>
      <c r="V678" s="236"/>
      <c r="W678" s="236"/>
      <c r="X678" s="228"/>
      <c r="Y678" s="236"/>
      <c r="Z678" s="236"/>
      <c r="AA678" s="228"/>
      <c r="AB678" s="236"/>
      <c r="AC678" s="236"/>
      <c r="AD678" s="228"/>
      <c r="AE678" s="236"/>
      <c r="AF678" s="236"/>
      <c r="AG678" s="228"/>
      <c r="AH678" s="236"/>
      <c r="AI678" s="236"/>
      <c r="AJ678" s="228"/>
      <c r="AK678" s="236"/>
      <c r="AL678" s="236"/>
      <c r="AM678" s="228"/>
      <c r="AN678" s="236"/>
      <c r="AO678" s="236"/>
      <c r="AP678" s="40"/>
      <c r="AQ678" s="40"/>
      <c r="AR678" s="40"/>
      <c r="AS678" s="40"/>
      <c r="AT678" s="40"/>
      <c r="AU678" s="40"/>
      <c r="AV678" s="40"/>
      <c r="AW678" s="40"/>
      <c r="AX678" s="40"/>
      <c r="AY678" s="40"/>
      <c r="AZ678" s="40"/>
      <c r="BA678" s="40"/>
      <c r="BB678" s="40"/>
      <c r="BC678" s="40"/>
      <c r="BD678" s="40"/>
      <c r="BE678" s="40"/>
      <c r="BF678" s="40"/>
      <c r="BG678" s="40"/>
      <c r="BH678" s="40"/>
      <c r="BI678" s="40"/>
    </row>
    <row r="679" ht="15.75" customHeight="1">
      <c r="A679" s="33"/>
      <c r="B679" s="228"/>
      <c r="C679" s="228"/>
      <c r="D679" s="236"/>
      <c r="E679" s="236"/>
      <c r="F679" s="228"/>
      <c r="G679" s="236"/>
      <c r="H679" s="236"/>
      <c r="I679" s="228"/>
      <c r="J679" s="236"/>
      <c r="K679" s="236"/>
      <c r="L679" s="228"/>
      <c r="M679" s="236"/>
      <c r="N679" s="236"/>
      <c r="O679" s="228"/>
      <c r="P679" s="236"/>
      <c r="Q679" s="236"/>
      <c r="R679" s="228"/>
      <c r="S679" s="236"/>
      <c r="T679" s="236"/>
      <c r="U679" s="228"/>
      <c r="V679" s="236"/>
      <c r="W679" s="236"/>
      <c r="X679" s="228"/>
      <c r="Y679" s="236"/>
      <c r="Z679" s="236"/>
      <c r="AA679" s="228"/>
      <c r="AB679" s="236"/>
      <c r="AC679" s="236"/>
      <c r="AD679" s="228"/>
      <c r="AE679" s="236"/>
      <c r="AF679" s="236"/>
      <c r="AG679" s="228"/>
      <c r="AH679" s="236"/>
      <c r="AI679" s="236"/>
      <c r="AJ679" s="228"/>
      <c r="AK679" s="236"/>
      <c r="AL679" s="236"/>
      <c r="AM679" s="228"/>
      <c r="AN679" s="236"/>
      <c r="AO679" s="236"/>
      <c r="AP679" s="40"/>
      <c r="AQ679" s="40"/>
      <c r="AR679" s="40"/>
      <c r="AS679" s="40"/>
      <c r="AT679" s="40"/>
      <c r="AU679" s="40"/>
      <c r="AV679" s="40"/>
      <c r="AW679" s="40"/>
      <c r="AX679" s="40"/>
      <c r="AY679" s="40"/>
      <c r="AZ679" s="40"/>
      <c r="BA679" s="40"/>
      <c r="BB679" s="40"/>
      <c r="BC679" s="40"/>
      <c r="BD679" s="40"/>
      <c r="BE679" s="40"/>
      <c r="BF679" s="40"/>
      <c r="BG679" s="40"/>
      <c r="BH679" s="40"/>
      <c r="BI679" s="40"/>
    </row>
    <row r="680" ht="15.75" customHeight="1">
      <c r="A680" s="33"/>
      <c r="B680" s="228"/>
      <c r="C680" s="228"/>
      <c r="D680" s="236"/>
      <c r="E680" s="236"/>
      <c r="F680" s="228"/>
      <c r="G680" s="236"/>
      <c r="H680" s="236"/>
      <c r="I680" s="228"/>
      <c r="J680" s="236"/>
      <c r="K680" s="236"/>
      <c r="L680" s="228"/>
      <c r="M680" s="236"/>
      <c r="N680" s="236"/>
      <c r="O680" s="228"/>
      <c r="P680" s="236"/>
      <c r="Q680" s="236"/>
      <c r="R680" s="228"/>
      <c r="S680" s="236"/>
      <c r="T680" s="236"/>
      <c r="U680" s="228"/>
      <c r="V680" s="236"/>
      <c r="W680" s="236"/>
      <c r="X680" s="228"/>
      <c r="Y680" s="236"/>
      <c r="Z680" s="236"/>
      <c r="AA680" s="228"/>
      <c r="AB680" s="236"/>
      <c r="AC680" s="236"/>
      <c r="AD680" s="228"/>
      <c r="AE680" s="236"/>
      <c r="AF680" s="236"/>
      <c r="AG680" s="228"/>
      <c r="AH680" s="236"/>
      <c r="AI680" s="236"/>
      <c r="AJ680" s="228"/>
      <c r="AK680" s="236"/>
      <c r="AL680" s="236"/>
      <c r="AM680" s="228"/>
      <c r="AN680" s="236"/>
      <c r="AO680" s="236"/>
      <c r="AP680" s="40"/>
      <c r="AQ680" s="40"/>
      <c r="AR680" s="40"/>
      <c r="AS680" s="40"/>
      <c r="AT680" s="40"/>
      <c r="AU680" s="40"/>
      <c r="AV680" s="40"/>
      <c r="AW680" s="40"/>
      <c r="AX680" s="40"/>
      <c r="AY680" s="40"/>
      <c r="AZ680" s="40"/>
      <c r="BA680" s="40"/>
      <c r="BB680" s="40"/>
      <c r="BC680" s="40"/>
      <c r="BD680" s="40"/>
      <c r="BE680" s="40"/>
      <c r="BF680" s="40"/>
      <c r="BG680" s="40"/>
      <c r="BH680" s="40"/>
      <c r="BI680" s="40"/>
    </row>
    <row r="681" ht="15.75" customHeight="1">
      <c r="A681" s="33"/>
      <c r="B681" s="228"/>
      <c r="C681" s="228"/>
      <c r="D681" s="236"/>
      <c r="E681" s="236"/>
      <c r="F681" s="228"/>
      <c r="G681" s="236"/>
      <c r="H681" s="236"/>
      <c r="I681" s="228"/>
      <c r="J681" s="236"/>
      <c r="K681" s="236"/>
      <c r="L681" s="228"/>
      <c r="M681" s="236"/>
      <c r="N681" s="236"/>
      <c r="O681" s="228"/>
      <c r="P681" s="236"/>
      <c r="Q681" s="236"/>
      <c r="R681" s="228"/>
      <c r="S681" s="236"/>
      <c r="T681" s="236"/>
      <c r="U681" s="228"/>
      <c r="V681" s="236"/>
      <c r="W681" s="236"/>
      <c r="X681" s="228"/>
      <c r="Y681" s="236"/>
      <c r="Z681" s="236"/>
      <c r="AA681" s="228"/>
      <c r="AB681" s="236"/>
      <c r="AC681" s="236"/>
      <c r="AD681" s="228"/>
      <c r="AE681" s="236"/>
      <c r="AF681" s="236"/>
      <c r="AG681" s="228"/>
      <c r="AH681" s="236"/>
      <c r="AI681" s="236"/>
      <c r="AJ681" s="228"/>
      <c r="AK681" s="236"/>
      <c r="AL681" s="236"/>
      <c r="AM681" s="228"/>
      <c r="AN681" s="236"/>
      <c r="AO681" s="236"/>
      <c r="AP681" s="40"/>
      <c r="AQ681" s="40"/>
      <c r="AR681" s="40"/>
      <c r="AS681" s="40"/>
      <c r="AT681" s="40"/>
      <c r="AU681" s="40"/>
      <c r="AV681" s="40"/>
      <c r="AW681" s="40"/>
      <c r="AX681" s="40"/>
      <c r="AY681" s="40"/>
      <c r="AZ681" s="40"/>
      <c r="BA681" s="40"/>
      <c r="BB681" s="40"/>
      <c r="BC681" s="40"/>
      <c r="BD681" s="40"/>
      <c r="BE681" s="40"/>
      <c r="BF681" s="40"/>
      <c r="BG681" s="40"/>
      <c r="BH681" s="40"/>
      <c r="BI681" s="40"/>
    </row>
    <row r="682" ht="15.75" customHeight="1">
      <c r="A682" s="33"/>
      <c r="B682" s="228"/>
      <c r="C682" s="228"/>
      <c r="D682" s="236"/>
      <c r="E682" s="236"/>
      <c r="F682" s="228"/>
      <c r="G682" s="236"/>
      <c r="H682" s="236"/>
      <c r="I682" s="228"/>
      <c r="J682" s="236"/>
      <c r="K682" s="236"/>
      <c r="L682" s="228"/>
      <c r="M682" s="236"/>
      <c r="N682" s="236"/>
      <c r="O682" s="228"/>
      <c r="P682" s="236"/>
      <c r="Q682" s="236"/>
      <c r="R682" s="228"/>
      <c r="S682" s="236"/>
      <c r="T682" s="236"/>
      <c r="U682" s="228"/>
      <c r="V682" s="236"/>
      <c r="W682" s="236"/>
      <c r="X682" s="228"/>
      <c r="Y682" s="236"/>
      <c r="Z682" s="236"/>
      <c r="AA682" s="228"/>
      <c r="AB682" s="236"/>
      <c r="AC682" s="236"/>
      <c r="AD682" s="228"/>
      <c r="AE682" s="236"/>
      <c r="AF682" s="236"/>
      <c r="AG682" s="228"/>
      <c r="AH682" s="236"/>
      <c r="AI682" s="236"/>
      <c r="AJ682" s="228"/>
      <c r="AK682" s="236"/>
      <c r="AL682" s="236"/>
      <c r="AM682" s="228"/>
      <c r="AN682" s="236"/>
      <c r="AO682" s="236"/>
      <c r="AP682" s="40"/>
      <c r="AQ682" s="40"/>
      <c r="AR682" s="40"/>
      <c r="AS682" s="40"/>
      <c r="AT682" s="40"/>
      <c r="AU682" s="40"/>
      <c r="AV682" s="40"/>
      <c r="AW682" s="40"/>
      <c r="AX682" s="40"/>
      <c r="AY682" s="40"/>
      <c r="AZ682" s="40"/>
      <c r="BA682" s="40"/>
      <c r="BB682" s="40"/>
      <c r="BC682" s="40"/>
      <c r="BD682" s="40"/>
      <c r="BE682" s="40"/>
      <c r="BF682" s="40"/>
      <c r="BG682" s="40"/>
      <c r="BH682" s="40"/>
      <c r="BI682" s="40"/>
    </row>
    <row r="683" ht="15.75" customHeight="1">
      <c r="A683" s="33"/>
      <c r="B683" s="228"/>
      <c r="C683" s="228"/>
      <c r="D683" s="236"/>
      <c r="E683" s="236"/>
      <c r="F683" s="228"/>
      <c r="G683" s="236"/>
      <c r="H683" s="236"/>
      <c r="I683" s="228"/>
      <c r="J683" s="236"/>
      <c r="K683" s="236"/>
      <c r="L683" s="228"/>
      <c r="M683" s="236"/>
      <c r="N683" s="236"/>
      <c r="O683" s="228"/>
      <c r="P683" s="236"/>
      <c r="Q683" s="236"/>
      <c r="R683" s="228"/>
      <c r="S683" s="236"/>
      <c r="T683" s="236"/>
      <c r="U683" s="228"/>
      <c r="V683" s="236"/>
      <c r="W683" s="236"/>
      <c r="X683" s="228"/>
      <c r="Y683" s="236"/>
      <c r="Z683" s="236"/>
      <c r="AA683" s="228"/>
      <c r="AB683" s="236"/>
      <c r="AC683" s="236"/>
      <c r="AD683" s="228"/>
      <c r="AE683" s="236"/>
      <c r="AF683" s="236"/>
      <c r="AG683" s="228"/>
      <c r="AH683" s="236"/>
      <c r="AI683" s="236"/>
      <c r="AJ683" s="228"/>
      <c r="AK683" s="236"/>
      <c r="AL683" s="236"/>
      <c r="AM683" s="228"/>
      <c r="AN683" s="236"/>
      <c r="AO683" s="236"/>
      <c r="AP683" s="40"/>
      <c r="AQ683" s="40"/>
      <c r="AR683" s="40"/>
      <c r="AS683" s="40"/>
      <c r="AT683" s="40"/>
      <c r="AU683" s="40"/>
      <c r="AV683" s="40"/>
      <c r="AW683" s="40"/>
      <c r="AX683" s="40"/>
      <c r="AY683" s="40"/>
      <c r="AZ683" s="40"/>
      <c r="BA683" s="40"/>
      <c r="BB683" s="40"/>
      <c r="BC683" s="40"/>
      <c r="BD683" s="40"/>
      <c r="BE683" s="40"/>
      <c r="BF683" s="40"/>
      <c r="BG683" s="40"/>
      <c r="BH683" s="40"/>
      <c r="BI683" s="40"/>
    </row>
    <row r="684" ht="15.75" customHeight="1">
      <c r="A684" s="33"/>
      <c r="B684" s="228"/>
      <c r="C684" s="228"/>
      <c r="D684" s="236"/>
      <c r="E684" s="236"/>
      <c r="F684" s="228"/>
      <c r="G684" s="236"/>
      <c r="H684" s="236"/>
      <c r="I684" s="228"/>
      <c r="J684" s="236"/>
      <c r="K684" s="236"/>
      <c r="L684" s="228"/>
      <c r="M684" s="236"/>
      <c r="N684" s="236"/>
      <c r="O684" s="228"/>
      <c r="P684" s="236"/>
      <c r="Q684" s="236"/>
      <c r="R684" s="228"/>
      <c r="S684" s="236"/>
      <c r="T684" s="236"/>
      <c r="U684" s="228"/>
      <c r="V684" s="236"/>
      <c r="W684" s="236"/>
      <c r="X684" s="228"/>
      <c r="Y684" s="236"/>
      <c r="Z684" s="236"/>
      <c r="AA684" s="228"/>
      <c r="AB684" s="236"/>
      <c r="AC684" s="236"/>
      <c r="AD684" s="228"/>
      <c r="AE684" s="236"/>
      <c r="AF684" s="236"/>
      <c r="AG684" s="228"/>
      <c r="AH684" s="236"/>
      <c r="AI684" s="236"/>
      <c r="AJ684" s="228"/>
      <c r="AK684" s="236"/>
      <c r="AL684" s="236"/>
      <c r="AM684" s="228"/>
      <c r="AN684" s="236"/>
      <c r="AO684" s="236"/>
      <c r="AP684" s="40"/>
      <c r="AQ684" s="40"/>
      <c r="AR684" s="40"/>
      <c r="AS684" s="40"/>
      <c r="AT684" s="40"/>
      <c r="AU684" s="40"/>
      <c r="AV684" s="40"/>
      <c r="AW684" s="40"/>
      <c r="AX684" s="40"/>
      <c r="AY684" s="40"/>
      <c r="AZ684" s="40"/>
      <c r="BA684" s="40"/>
      <c r="BB684" s="40"/>
      <c r="BC684" s="40"/>
      <c r="BD684" s="40"/>
      <c r="BE684" s="40"/>
      <c r="BF684" s="40"/>
      <c r="BG684" s="40"/>
      <c r="BH684" s="40"/>
      <c r="BI684" s="40"/>
    </row>
    <row r="685" ht="15.75" customHeight="1">
      <c r="A685" s="33"/>
      <c r="B685" s="228"/>
      <c r="C685" s="228"/>
      <c r="D685" s="236"/>
      <c r="E685" s="236"/>
      <c r="F685" s="228"/>
      <c r="G685" s="236"/>
      <c r="H685" s="236"/>
      <c r="I685" s="228"/>
      <c r="J685" s="236"/>
      <c r="K685" s="236"/>
      <c r="L685" s="228"/>
      <c r="M685" s="236"/>
      <c r="N685" s="236"/>
      <c r="O685" s="228"/>
      <c r="P685" s="236"/>
      <c r="Q685" s="236"/>
      <c r="R685" s="228"/>
      <c r="S685" s="236"/>
      <c r="T685" s="236"/>
      <c r="U685" s="228"/>
      <c r="V685" s="236"/>
      <c r="W685" s="236"/>
      <c r="X685" s="228"/>
      <c r="Y685" s="236"/>
      <c r="Z685" s="236"/>
      <c r="AA685" s="228"/>
      <c r="AB685" s="236"/>
      <c r="AC685" s="236"/>
      <c r="AD685" s="228"/>
      <c r="AE685" s="236"/>
      <c r="AF685" s="236"/>
      <c r="AG685" s="228"/>
      <c r="AH685" s="236"/>
      <c r="AI685" s="236"/>
      <c r="AJ685" s="228"/>
      <c r="AK685" s="236"/>
      <c r="AL685" s="236"/>
      <c r="AM685" s="228"/>
      <c r="AN685" s="236"/>
      <c r="AO685" s="236"/>
      <c r="AP685" s="40"/>
      <c r="AQ685" s="40"/>
      <c r="AR685" s="40"/>
      <c r="AS685" s="40"/>
      <c r="AT685" s="40"/>
      <c r="AU685" s="40"/>
      <c r="AV685" s="40"/>
      <c r="AW685" s="40"/>
      <c r="AX685" s="40"/>
      <c r="AY685" s="40"/>
      <c r="AZ685" s="40"/>
      <c r="BA685" s="40"/>
      <c r="BB685" s="40"/>
      <c r="BC685" s="40"/>
      <c r="BD685" s="40"/>
      <c r="BE685" s="40"/>
      <c r="BF685" s="40"/>
      <c r="BG685" s="40"/>
      <c r="BH685" s="40"/>
      <c r="BI685" s="40"/>
    </row>
    <row r="686" ht="15.75" customHeight="1">
      <c r="A686" s="33"/>
      <c r="B686" s="228"/>
      <c r="C686" s="228"/>
      <c r="D686" s="236"/>
      <c r="E686" s="236"/>
      <c r="F686" s="228"/>
      <c r="G686" s="236"/>
      <c r="H686" s="236"/>
      <c r="I686" s="228"/>
      <c r="J686" s="236"/>
      <c r="K686" s="236"/>
      <c r="L686" s="228"/>
      <c r="M686" s="236"/>
      <c r="N686" s="236"/>
      <c r="O686" s="228"/>
      <c r="P686" s="236"/>
      <c r="Q686" s="236"/>
      <c r="R686" s="228"/>
      <c r="S686" s="236"/>
      <c r="T686" s="236"/>
      <c r="U686" s="228"/>
      <c r="V686" s="236"/>
      <c r="W686" s="236"/>
      <c r="X686" s="228"/>
      <c r="Y686" s="236"/>
      <c r="Z686" s="236"/>
      <c r="AA686" s="228"/>
      <c r="AB686" s="236"/>
      <c r="AC686" s="236"/>
      <c r="AD686" s="228"/>
      <c r="AE686" s="236"/>
      <c r="AF686" s="236"/>
      <c r="AG686" s="228"/>
      <c r="AH686" s="236"/>
      <c r="AI686" s="236"/>
      <c r="AJ686" s="228"/>
      <c r="AK686" s="236"/>
      <c r="AL686" s="236"/>
      <c r="AM686" s="228"/>
      <c r="AN686" s="236"/>
      <c r="AO686" s="236"/>
      <c r="AP686" s="40"/>
      <c r="AQ686" s="40"/>
      <c r="AR686" s="40"/>
      <c r="AS686" s="40"/>
      <c r="AT686" s="40"/>
      <c r="AU686" s="40"/>
      <c r="AV686" s="40"/>
      <c r="AW686" s="40"/>
      <c r="AX686" s="40"/>
      <c r="AY686" s="40"/>
      <c r="AZ686" s="40"/>
      <c r="BA686" s="40"/>
      <c r="BB686" s="40"/>
      <c r="BC686" s="40"/>
      <c r="BD686" s="40"/>
      <c r="BE686" s="40"/>
      <c r="BF686" s="40"/>
      <c r="BG686" s="40"/>
      <c r="BH686" s="40"/>
      <c r="BI686" s="40"/>
    </row>
    <row r="687" ht="15.75" customHeight="1">
      <c r="A687" s="33"/>
      <c r="B687" s="228"/>
      <c r="C687" s="228"/>
      <c r="D687" s="236"/>
      <c r="E687" s="236"/>
      <c r="F687" s="228"/>
      <c r="G687" s="236"/>
      <c r="H687" s="236"/>
      <c r="I687" s="228"/>
      <c r="J687" s="236"/>
      <c r="K687" s="236"/>
      <c r="L687" s="228"/>
      <c r="M687" s="236"/>
      <c r="N687" s="236"/>
      <c r="O687" s="228"/>
      <c r="P687" s="236"/>
      <c r="Q687" s="236"/>
      <c r="R687" s="228"/>
      <c r="S687" s="236"/>
      <c r="T687" s="236"/>
      <c r="U687" s="228"/>
      <c r="V687" s="236"/>
      <c r="W687" s="236"/>
      <c r="X687" s="228"/>
      <c r="Y687" s="236"/>
      <c r="Z687" s="236"/>
      <c r="AA687" s="228"/>
      <c r="AB687" s="236"/>
      <c r="AC687" s="236"/>
      <c r="AD687" s="228"/>
      <c r="AE687" s="236"/>
      <c r="AF687" s="236"/>
      <c r="AG687" s="228"/>
      <c r="AH687" s="236"/>
      <c r="AI687" s="236"/>
      <c r="AJ687" s="228"/>
      <c r="AK687" s="236"/>
      <c r="AL687" s="236"/>
      <c r="AM687" s="228"/>
      <c r="AN687" s="236"/>
      <c r="AO687" s="236"/>
      <c r="AP687" s="40"/>
      <c r="AQ687" s="40"/>
      <c r="AR687" s="40"/>
      <c r="AS687" s="40"/>
      <c r="AT687" s="40"/>
      <c r="AU687" s="40"/>
      <c r="AV687" s="40"/>
      <c r="AW687" s="40"/>
      <c r="AX687" s="40"/>
      <c r="AY687" s="40"/>
      <c r="AZ687" s="40"/>
      <c r="BA687" s="40"/>
      <c r="BB687" s="40"/>
      <c r="BC687" s="40"/>
      <c r="BD687" s="40"/>
      <c r="BE687" s="40"/>
      <c r="BF687" s="40"/>
      <c r="BG687" s="40"/>
      <c r="BH687" s="40"/>
      <c r="BI687" s="40"/>
    </row>
    <row r="688" ht="15.75" customHeight="1">
      <c r="A688" s="33"/>
      <c r="B688" s="228"/>
      <c r="C688" s="228"/>
      <c r="D688" s="236"/>
      <c r="E688" s="236"/>
      <c r="F688" s="228"/>
      <c r="G688" s="236"/>
      <c r="H688" s="236"/>
      <c r="I688" s="228"/>
      <c r="J688" s="236"/>
      <c r="K688" s="236"/>
      <c r="L688" s="228"/>
      <c r="M688" s="236"/>
      <c r="N688" s="236"/>
      <c r="O688" s="228"/>
      <c r="P688" s="236"/>
      <c r="Q688" s="236"/>
      <c r="R688" s="228"/>
      <c r="S688" s="236"/>
      <c r="T688" s="236"/>
      <c r="U688" s="228"/>
      <c r="V688" s="236"/>
      <c r="W688" s="236"/>
      <c r="X688" s="228"/>
      <c r="Y688" s="236"/>
      <c r="Z688" s="236"/>
      <c r="AA688" s="228"/>
      <c r="AB688" s="236"/>
      <c r="AC688" s="236"/>
      <c r="AD688" s="228"/>
      <c r="AE688" s="236"/>
      <c r="AF688" s="236"/>
      <c r="AG688" s="228"/>
      <c r="AH688" s="236"/>
      <c r="AI688" s="236"/>
      <c r="AJ688" s="228"/>
      <c r="AK688" s="236"/>
      <c r="AL688" s="236"/>
      <c r="AM688" s="228"/>
      <c r="AN688" s="236"/>
      <c r="AO688" s="236"/>
      <c r="AP688" s="40"/>
      <c r="AQ688" s="40"/>
      <c r="AR688" s="40"/>
      <c r="AS688" s="40"/>
      <c r="AT688" s="40"/>
      <c r="AU688" s="40"/>
      <c r="AV688" s="40"/>
      <c r="AW688" s="40"/>
      <c r="AX688" s="40"/>
      <c r="AY688" s="40"/>
      <c r="AZ688" s="40"/>
      <c r="BA688" s="40"/>
      <c r="BB688" s="40"/>
      <c r="BC688" s="40"/>
      <c r="BD688" s="40"/>
      <c r="BE688" s="40"/>
      <c r="BF688" s="40"/>
      <c r="BG688" s="40"/>
      <c r="BH688" s="40"/>
      <c r="BI688" s="40"/>
    </row>
    <row r="689" ht="15.75" customHeight="1">
      <c r="A689" s="33"/>
      <c r="B689" s="228"/>
      <c r="C689" s="228"/>
      <c r="D689" s="236"/>
      <c r="E689" s="236"/>
      <c r="F689" s="228"/>
      <c r="G689" s="236"/>
      <c r="H689" s="236"/>
      <c r="I689" s="228"/>
      <c r="J689" s="236"/>
      <c r="K689" s="236"/>
      <c r="L689" s="228"/>
      <c r="M689" s="236"/>
      <c r="N689" s="236"/>
      <c r="O689" s="228"/>
      <c r="P689" s="236"/>
      <c r="Q689" s="236"/>
      <c r="R689" s="228"/>
      <c r="S689" s="236"/>
      <c r="T689" s="236"/>
      <c r="U689" s="228"/>
      <c r="V689" s="236"/>
      <c r="W689" s="236"/>
      <c r="X689" s="228"/>
      <c r="Y689" s="236"/>
      <c r="Z689" s="236"/>
      <c r="AA689" s="228"/>
      <c r="AB689" s="236"/>
      <c r="AC689" s="236"/>
      <c r="AD689" s="228"/>
      <c r="AE689" s="236"/>
      <c r="AF689" s="236"/>
      <c r="AG689" s="228"/>
      <c r="AH689" s="236"/>
      <c r="AI689" s="236"/>
      <c r="AJ689" s="228"/>
      <c r="AK689" s="236"/>
      <c r="AL689" s="236"/>
      <c r="AM689" s="228"/>
      <c r="AN689" s="236"/>
      <c r="AO689" s="236"/>
      <c r="AP689" s="40"/>
      <c r="AQ689" s="40"/>
      <c r="AR689" s="40"/>
      <c r="AS689" s="40"/>
      <c r="AT689" s="40"/>
      <c r="AU689" s="40"/>
      <c r="AV689" s="40"/>
      <c r="AW689" s="40"/>
      <c r="AX689" s="40"/>
      <c r="AY689" s="40"/>
      <c r="AZ689" s="40"/>
      <c r="BA689" s="40"/>
      <c r="BB689" s="40"/>
      <c r="BC689" s="40"/>
      <c r="BD689" s="40"/>
      <c r="BE689" s="40"/>
      <c r="BF689" s="40"/>
      <c r="BG689" s="40"/>
      <c r="BH689" s="40"/>
      <c r="BI689" s="40"/>
    </row>
    <row r="690" ht="15.75" customHeight="1">
      <c r="A690" s="33"/>
      <c r="B690" s="228"/>
      <c r="C690" s="228"/>
      <c r="D690" s="228"/>
      <c r="E690" s="228"/>
      <c r="F690" s="228"/>
      <c r="G690" s="228"/>
      <c r="H690" s="228"/>
      <c r="I690" s="228"/>
      <c r="J690" s="228"/>
      <c r="K690" s="228"/>
      <c r="L690" s="228"/>
      <c r="M690" s="228"/>
      <c r="N690" s="228"/>
      <c r="O690" s="228"/>
      <c r="P690" s="228"/>
      <c r="Q690" s="228"/>
      <c r="R690" s="228"/>
      <c r="S690" s="228"/>
      <c r="T690" s="228"/>
      <c r="U690" s="228"/>
      <c r="V690" s="228"/>
      <c r="W690" s="228"/>
      <c r="X690" s="228"/>
      <c r="Y690" s="228"/>
      <c r="Z690" s="228"/>
      <c r="AA690" s="228"/>
      <c r="AB690" s="228"/>
      <c r="AC690" s="228"/>
      <c r="AD690" s="228"/>
      <c r="AE690" s="228"/>
      <c r="AF690" s="228"/>
      <c r="AG690" s="228"/>
      <c r="AH690" s="228"/>
      <c r="AI690" s="228"/>
      <c r="AJ690" s="228"/>
      <c r="AK690" s="228"/>
      <c r="AL690" s="228"/>
      <c r="AM690" s="228"/>
      <c r="AN690" s="228"/>
      <c r="AO690" s="228"/>
      <c r="AP690" s="40"/>
      <c r="AQ690" s="40"/>
      <c r="AR690" s="40"/>
      <c r="AS690" s="40"/>
      <c r="AT690" s="40"/>
      <c r="AU690" s="40"/>
      <c r="AV690" s="40"/>
      <c r="AW690" s="40"/>
      <c r="AX690" s="40"/>
      <c r="AY690" s="40"/>
      <c r="AZ690" s="40"/>
      <c r="BA690" s="40"/>
      <c r="BB690" s="40"/>
      <c r="BC690" s="40"/>
      <c r="BD690" s="40"/>
      <c r="BE690" s="40"/>
      <c r="BF690" s="40"/>
      <c r="BG690" s="40"/>
      <c r="BH690" s="40"/>
      <c r="BI690" s="40"/>
    </row>
    <row r="691" ht="15.75" customHeight="1">
      <c r="A691" s="33"/>
      <c r="B691" s="228"/>
      <c r="C691" s="228"/>
      <c r="D691" s="238"/>
      <c r="E691" s="238"/>
      <c r="F691" s="228"/>
      <c r="G691" s="238"/>
      <c r="H691" s="238"/>
      <c r="I691" s="228"/>
      <c r="J691" s="238"/>
      <c r="K691" s="238"/>
      <c r="L691" s="228"/>
      <c r="M691" s="238"/>
      <c r="N691" s="238"/>
      <c r="O691" s="228"/>
      <c r="P691" s="238"/>
      <c r="Q691" s="238"/>
      <c r="R691" s="228"/>
      <c r="S691" s="238"/>
      <c r="T691" s="238"/>
      <c r="U691" s="228"/>
      <c r="V691" s="238"/>
      <c r="W691" s="238"/>
      <c r="X691" s="228"/>
      <c r="Y691" s="238"/>
      <c r="Z691" s="238"/>
      <c r="AA691" s="228"/>
      <c r="AB691" s="238"/>
      <c r="AC691" s="238"/>
      <c r="AD691" s="228"/>
      <c r="AE691" s="238"/>
      <c r="AF691" s="238"/>
      <c r="AG691" s="228"/>
      <c r="AH691" s="238"/>
      <c r="AI691" s="238"/>
      <c r="AJ691" s="228"/>
      <c r="AK691" s="238"/>
      <c r="AL691" s="238"/>
      <c r="AM691" s="228"/>
      <c r="AN691" s="238"/>
      <c r="AO691" s="238"/>
      <c r="AP691" s="40"/>
      <c r="AQ691" s="40"/>
      <c r="AR691" s="40"/>
      <c r="AS691" s="40"/>
      <c r="AT691" s="40"/>
      <c r="AU691" s="40"/>
      <c r="AV691" s="40"/>
      <c r="AW691" s="40"/>
      <c r="AX691" s="40"/>
      <c r="AY691" s="40"/>
      <c r="AZ691" s="40"/>
      <c r="BA691" s="40"/>
      <c r="BB691" s="40"/>
      <c r="BC691" s="40"/>
      <c r="BD691" s="40"/>
      <c r="BE691" s="40"/>
      <c r="BF691" s="40"/>
      <c r="BG691" s="40"/>
      <c r="BH691" s="40"/>
      <c r="BI691" s="40"/>
    </row>
    <row r="692" ht="15.75" customHeight="1">
      <c r="A692" s="33"/>
      <c r="B692" s="228"/>
      <c r="C692" s="228"/>
      <c r="D692" s="236"/>
      <c r="E692" s="236"/>
      <c r="F692" s="228"/>
      <c r="G692" s="236"/>
      <c r="H692" s="236"/>
      <c r="I692" s="228"/>
      <c r="J692" s="236"/>
      <c r="K692" s="236"/>
      <c r="L692" s="228"/>
      <c r="M692" s="236"/>
      <c r="N692" s="236"/>
      <c r="O692" s="228"/>
      <c r="P692" s="236"/>
      <c r="Q692" s="236"/>
      <c r="R692" s="228"/>
      <c r="S692" s="236"/>
      <c r="T692" s="236"/>
      <c r="U692" s="228"/>
      <c r="V692" s="236"/>
      <c r="W692" s="236"/>
      <c r="X692" s="228"/>
      <c r="Y692" s="236"/>
      <c r="Z692" s="236"/>
      <c r="AA692" s="228"/>
      <c r="AB692" s="236"/>
      <c r="AC692" s="236"/>
      <c r="AD692" s="228"/>
      <c r="AE692" s="236"/>
      <c r="AF692" s="236"/>
      <c r="AG692" s="228"/>
      <c r="AH692" s="236"/>
      <c r="AI692" s="236"/>
      <c r="AJ692" s="228"/>
      <c r="AK692" s="236"/>
      <c r="AL692" s="236"/>
      <c r="AM692" s="228"/>
      <c r="AN692" s="236"/>
      <c r="AO692" s="236"/>
      <c r="AP692" s="40"/>
      <c r="AQ692" s="40"/>
      <c r="AR692" s="40"/>
      <c r="AS692" s="40"/>
      <c r="AT692" s="40"/>
      <c r="AU692" s="40"/>
      <c r="AV692" s="40"/>
      <c r="AW692" s="40"/>
      <c r="AX692" s="40"/>
      <c r="AY692" s="40"/>
      <c r="AZ692" s="40"/>
      <c r="BA692" s="40"/>
      <c r="BB692" s="40"/>
      <c r="BC692" s="40"/>
      <c r="BD692" s="40"/>
      <c r="BE692" s="40"/>
      <c r="BF692" s="40"/>
      <c r="BG692" s="40"/>
      <c r="BH692" s="40"/>
      <c r="BI692" s="40"/>
    </row>
    <row r="693" ht="15.75" customHeight="1">
      <c r="A693" s="33"/>
      <c r="B693" s="228"/>
      <c r="C693" s="228"/>
      <c r="D693" s="236"/>
      <c r="E693" s="236"/>
      <c r="F693" s="228"/>
      <c r="G693" s="236"/>
      <c r="H693" s="236"/>
      <c r="I693" s="228"/>
      <c r="J693" s="236"/>
      <c r="K693" s="236"/>
      <c r="L693" s="228"/>
      <c r="M693" s="236"/>
      <c r="N693" s="236"/>
      <c r="O693" s="228"/>
      <c r="P693" s="236"/>
      <c r="Q693" s="236"/>
      <c r="R693" s="228"/>
      <c r="S693" s="236"/>
      <c r="T693" s="236"/>
      <c r="U693" s="228"/>
      <c r="V693" s="236"/>
      <c r="W693" s="236"/>
      <c r="X693" s="228"/>
      <c r="Y693" s="236"/>
      <c r="Z693" s="236"/>
      <c r="AA693" s="228"/>
      <c r="AB693" s="236"/>
      <c r="AC693" s="236"/>
      <c r="AD693" s="228"/>
      <c r="AE693" s="236"/>
      <c r="AF693" s="236"/>
      <c r="AG693" s="228"/>
      <c r="AH693" s="236"/>
      <c r="AI693" s="236"/>
      <c r="AJ693" s="228"/>
      <c r="AK693" s="236"/>
      <c r="AL693" s="236"/>
      <c r="AM693" s="228"/>
      <c r="AN693" s="236"/>
      <c r="AO693" s="236"/>
      <c r="AP693" s="40"/>
      <c r="AQ693" s="40"/>
      <c r="AR693" s="40"/>
      <c r="AS693" s="40"/>
      <c r="AT693" s="40"/>
      <c r="AU693" s="40"/>
      <c r="AV693" s="40"/>
      <c r="AW693" s="40"/>
      <c r="AX693" s="40"/>
      <c r="AY693" s="40"/>
      <c r="AZ693" s="40"/>
      <c r="BA693" s="40"/>
      <c r="BB693" s="40"/>
      <c r="BC693" s="40"/>
      <c r="BD693" s="40"/>
      <c r="BE693" s="40"/>
      <c r="BF693" s="40"/>
      <c r="BG693" s="40"/>
      <c r="BH693" s="40"/>
      <c r="BI693" s="40"/>
    </row>
    <row r="694" ht="15.75" customHeight="1">
      <c r="A694" s="33"/>
      <c r="B694" s="228"/>
      <c r="C694" s="228"/>
      <c r="D694" s="236"/>
      <c r="E694" s="236"/>
      <c r="F694" s="228"/>
      <c r="G694" s="236"/>
      <c r="H694" s="236"/>
      <c r="I694" s="228"/>
      <c r="J694" s="236"/>
      <c r="K694" s="236"/>
      <c r="L694" s="228"/>
      <c r="M694" s="236"/>
      <c r="N694" s="236"/>
      <c r="O694" s="228"/>
      <c r="P694" s="236"/>
      <c r="Q694" s="236"/>
      <c r="R694" s="228"/>
      <c r="S694" s="236"/>
      <c r="T694" s="236"/>
      <c r="U694" s="228"/>
      <c r="V694" s="236"/>
      <c r="W694" s="236"/>
      <c r="X694" s="228"/>
      <c r="Y694" s="236"/>
      <c r="Z694" s="236"/>
      <c r="AA694" s="228"/>
      <c r="AB694" s="236"/>
      <c r="AC694" s="236"/>
      <c r="AD694" s="228"/>
      <c r="AE694" s="236"/>
      <c r="AF694" s="236"/>
      <c r="AG694" s="228"/>
      <c r="AH694" s="236"/>
      <c r="AI694" s="236"/>
      <c r="AJ694" s="228"/>
      <c r="AK694" s="236"/>
      <c r="AL694" s="236"/>
      <c r="AM694" s="228"/>
      <c r="AN694" s="236"/>
      <c r="AO694" s="236"/>
      <c r="AP694" s="40"/>
      <c r="AQ694" s="40"/>
      <c r="AR694" s="40"/>
      <c r="AS694" s="40"/>
      <c r="AT694" s="40"/>
      <c r="AU694" s="40"/>
      <c r="AV694" s="40"/>
      <c r="AW694" s="40"/>
      <c r="AX694" s="40"/>
      <c r="AY694" s="40"/>
      <c r="AZ694" s="40"/>
      <c r="BA694" s="40"/>
      <c r="BB694" s="40"/>
      <c r="BC694" s="40"/>
      <c r="BD694" s="40"/>
      <c r="BE694" s="40"/>
      <c r="BF694" s="40"/>
      <c r="BG694" s="40"/>
      <c r="BH694" s="40"/>
      <c r="BI694" s="40"/>
    </row>
    <row r="695" ht="15.75" customHeight="1">
      <c r="A695" s="33"/>
      <c r="B695" s="228"/>
      <c r="C695" s="228"/>
      <c r="D695" s="236"/>
      <c r="E695" s="236"/>
      <c r="F695" s="228"/>
      <c r="G695" s="236"/>
      <c r="H695" s="236"/>
      <c r="I695" s="228"/>
      <c r="J695" s="236"/>
      <c r="K695" s="236"/>
      <c r="L695" s="228"/>
      <c r="M695" s="236"/>
      <c r="N695" s="236"/>
      <c r="O695" s="228"/>
      <c r="P695" s="236"/>
      <c r="Q695" s="236"/>
      <c r="R695" s="228"/>
      <c r="S695" s="236"/>
      <c r="T695" s="236"/>
      <c r="U695" s="228"/>
      <c r="V695" s="236"/>
      <c r="W695" s="236"/>
      <c r="X695" s="228"/>
      <c r="Y695" s="236"/>
      <c r="Z695" s="236"/>
      <c r="AA695" s="228"/>
      <c r="AB695" s="236"/>
      <c r="AC695" s="236"/>
      <c r="AD695" s="228"/>
      <c r="AE695" s="236"/>
      <c r="AF695" s="236"/>
      <c r="AG695" s="228"/>
      <c r="AH695" s="236"/>
      <c r="AI695" s="236"/>
      <c r="AJ695" s="228"/>
      <c r="AK695" s="236"/>
      <c r="AL695" s="236"/>
      <c r="AM695" s="228"/>
      <c r="AN695" s="236"/>
      <c r="AO695" s="236"/>
      <c r="AP695" s="40"/>
      <c r="AQ695" s="40"/>
      <c r="AR695" s="40"/>
      <c r="AS695" s="40"/>
      <c r="AT695" s="40"/>
      <c r="AU695" s="40"/>
      <c r="AV695" s="40"/>
      <c r="AW695" s="40"/>
      <c r="AX695" s="40"/>
      <c r="AY695" s="40"/>
      <c r="AZ695" s="40"/>
      <c r="BA695" s="40"/>
      <c r="BB695" s="40"/>
      <c r="BC695" s="40"/>
      <c r="BD695" s="40"/>
      <c r="BE695" s="40"/>
      <c r="BF695" s="40"/>
      <c r="BG695" s="40"/>
      <c r="BH695" s="40"/>
      <c r="BI695" s="40"/>
    </row>
    <row r="696" ht="15.75" customHeight="1">
      <c r="A696" s="33"/>
      <c r="B696" s="228"/>
      <c r="C696" s="228"/>
      <c r="D696" s="236"/>
      <c r="E696" s="236"/>
      <c r="F696" s="228"/>
      <c r="G696" s="236"/>
      <c r="H696" s="236"/>
      <c r="I696" s="228"/>
      <c r="J696" s="236"/>
      <c r="K696" s="236"/>
      <c r="L696" s="228"/>
      <c r="M696" s="236"/>
      <c r="N696" s="236"/>
      <c r="O696" s="228"/>
      <c r="P696" s="236"/>
      <c r="Q696" s="236"/>
      <c r="R696" s="228"/>
      <c r="S696" s="236"/>
      <c r="T696" s="236"/>
      <c r="U696" s="228"/>
      <c r="V696" s="236"/>
      <c r="W696" s="236"/>
      <c r="X696" s="228"/>
      <c r="Y696" s="236"/>
      <c r="Z696" s="236"/>
      <c r="AA696" s="228"/>
      <c r="AB696" s="236"/>
      <c r="AC696" s="236"/>
      <c r="AD696" s="228"/>
      <c r="AE696" s="236"/>
      <c r="AF696" s="236"/>
      <c r="AG696" s="228"/>
      <c r="AH696" s="236"/>
      <c r="AI696" s="236"/>
      <c r="AJ696" s="228"/>
      <c r="AK696" s="236"/>
      <c r="AL696" s="236"/>
      <c r="AM696" s="228"/>
      <c r="AN696" s="236"/>
      <c r="AO696" s="236"/>
      <c r="AP696" s="40"/>
      <c r="AQ696" s="40"/>
      <c r="AR696" s="40"/>
      <c r="AS696" s="40"/>
      <c r="AT696" s="40"/>
      <c r="AU696" s="40"/>
      <c r="AV696" s="40"/>
      <c r="AW696" s="40"/>
      <c r="AX696" s="40"/>
      <c r="AY696" s="40"/>
      <c r="AZ696" s="40"/>
      <c r="BA696" s="40"/>
      <c r="BB696" s="40"/>
      <c r="BC696" s="40"/>
      <c r="BD696" s="40"/>
      <c r="BE696" s="40"/>
      <c r="BF696" s="40"/>
      <c r="BG696" s="40"/>
      <c r="BH696" s="40"/>
      <c r="BI696" s="40"/>
    </row>
    <row r="697" ht="15.75" customHeight="1">
      <c r="A697" s="33"/>
      <c r="B697" s="228"/>
      <c r="C697" s="228"/>
      <c r="D697" s="236"/>
      <c r="E697" s="236"/>
      <c r="F697" s="228"/>
      <c r="G697" s="236"/>
      <c r="H697" s="236"/>
      <c r="I697" s="228"/>
      <c r="J697" s="236"/>
      <c r="K697" s="236"/>
      <c r="L697" s="228"/>
      <c r="M697" s="236"/>
      <c r="N697" s="236"/>
      <c r="O697" s="228"/>
      <c r="P697" s="236"/>
      <c r="Q697" s="236"/>
      <c r="R697" s="228"/>
      <c r="S697" s="236"/>
      <c r="T697" s="236"/>
      <c r="U697" s="228"/>
      <c r="V697" s="236"/>
      <c r="W697" s="236"/>
      <c r="X697" s="228"/>
      <c r="Y697" s="236"/>
      <c r="Z697" s="236"/>
      <c r="AA697" s="228"/>
      <c r="AB697" s="236"/>
      <c r="AC697" s="236"/>
      <c r="AD697" s="228"/>
      <c r="AE697" s="236"/>
      <c r="AF697" s="236"/>
      <c r="AG697" s="228"/>
      <c r="AH697" s="236"/>
      <c r="AI697" s="236"/>
      <c r="AJ697" s="228"/>
      <c r="AK697" s="236"/>
      <c r="AL697" s="236"/>
      <c r="AM697" s="228"/>
      <c r="AN697" s="236"/>
      <c r="AO697" s="236"/>
      <c r="AP697" s="40"/>
      <c r="AQ697" s="40"/>
      <c r="AR697" s="40"/>
      <c r="AS697" s="40"/>
      <c r="AT697" s="40"/>
      <c r="AU697" s="40"/>
      <c r="AV697" s="40"/>
      <c r="AW697" s="40"/>
      <c r="AX697" s="40"/>
      <c r="AY697" s="40"/>
      <c r="AZ697" s="40"/>
      <c r="BA697" s="40"/>
      <c r="BB697" s="40"/>
      <c r="BC697" s="40"/>
      <c r="BD697" s="40"/>
      <c r="BE697" s="40"/>
      <c r="BF697" s="40"/>
      <c r="BG697" s="40"/>
      <c r="BH697" s="40"/>
      <c r="BI697" s="40"/>
    </row>
    <row r="698" ht="15.75" customHeight="1">
      <c r="A698" s="33"/>
      <c r="B698" s="228"/>
      <c r="C698" s="228"/>
      <c r="D698" s="236"/>
      <c r="E698" s="238"/>
      <c r="F698" s="228"/>
      <c r="G698" s="236"/>
      <c r="H698" s="238"/>
      <c r="I698" s="228"/>
      <c r="J698" s="236"/>
      <c r="K698" s="238"/>
      <c r="L698" s="228"/>
      <c r="M698" s="236"/>
      <c r="N698" s="238"/>
      <c r="O698" s="228"/>
      <c r="P698" s="236"/>
      <c r="Q698" s="238"/>
      <c r="R698" s="228"/>
      <c r="S698" s="236"/>
      <c r="T698" s="238"/>
      <c r="U698" s="228"/>
      <c r="V698" s="236"/>
      <c r="W698" s="238"/>
      <c r="X698" s="228"/>
      <c r="Y698" s="236"/>
      <c r="Z698" s="238"/>
      <c r="AA698" s="228"/>
      <c r="AB698" s="236"/>
      <c r="AC698" s="238"/>
      <c r="AD698" s="228"/>
      <c r="AE698" s="236"/>
      <c r="AF698" s="238"/>
      <c r="AG698" s="228"/>
      <c r="AH698" s="236"/>
      <c r="AI698" s="238"/>
      <c r="AJ698" s="228"/>
      <c r="AK698" s="236"/>
      <c r="AL698" s="238"/>
      <c r="AM698" s="228"/>
      <c r="AN698" s="236"/>
      <c r="AO698" s="238"/>
      <c r="AP698" s="40"/>
      <c r="AQ698" s="40"/>
      <c r="AR698" s="40"/>
      <c r="AS698" s="40"/>
      <c r="AT698" s="40"/>
      <c r="AU698" s="40"/>
      <c r="AV698" s="40"/>
      <c r="AW698" s="40"/>
      <c r="AX698" s="40"/>
      <c r="AY698" s="40"/>
      <c r="AZ698" s="40"/>
      <c r="BA698" s="40"/>
      <c r="BB698" s="40"/>
      <c r="BC698" s="40"/>
      <c r="BD698" s="40"/>
      <c r="BE698" s="40"/>
      <c r="BF698" s="40"/>
      <c r="BG698" s="40"/>
      <c r="BH698" s="40"/>
      <c r="BI698" s="40"/>
    </row>
    <row r="699" ht="15.75" customHeight="1">
      <c r="A699" s="33"/>
      <c r="B699" s="228"/>
      <c r="C699" s="228"/>
      <c r="D699" s="236"/>
      <c r="E699" s="236"/>
      <c r="F699" s="228"/>
      <c r="G699" s="236"/>
      <c r="H699" s="236"/>
      <c r="I699" s="228"/>
      <c r="J699" s="236"/>
      <c r="K699" s="236"/>
      <c r="L699" s="228"/>
      <c r="M699" s="236"/>
      <c r="N699" s="236"/>
      <c r="O699" s="228"/>
      <c r="P699" s="236"/>
      <c r="Q699" s="236"/>
      <c r="R699" s="228"/>
      <c r="S699" s="236"/>
      <c r="T699" s="236"/>
      <c r="U699" s="228"/>
      <c r="V699" s="236"/>
      <c r="W699" s="236"/>
      <c r="X699" s="228"/>
      <c r="Y699" s="236"/>
      <c r="Z699" s="236"/>
      <c r="AA699" s="228"/>
      <c r="AB699" s="236"/>
      <c r="AC699" s="236"/>
      <c r="AD699" s="228"/>
      <c r="AE699" s="236"/>
      <c r="AF699" s="236"/>
      <c r="AG699" s="228"/>
      <c r="AH699" s="236"/>
      <c r="AI699" s="236"/>
      <c r="AJ699" s="228"/>
      <c r="AK699" s="236"/>
      <c r="AL699" s="236"/>
      <c r="AM699" s="228"/>
      <c r="AN699" s="236"/>
      <c r="AO699" s="236"/>
      <c r="AP699" s="40"/>
      <c r="AQ699" s="40"/>
      <c r="AR699" s="40"/>
      <c r="AS699" s="40"/>
      <c r="AT699" s="40"/>
      <c r="AU699" s="40"/>
      <c r="AV699" s="40"/>
      <c r="AW699" s="40"/>
      <c r="AX699" s="40"/>
      <c r="AY699" s="40"/>
      <c r="AZ699" s="40"/>
      <c r="BA699" s="40"/>
      <c r="BB699" s="40"/>
      <c r="BC699" s="40"/>
      <c r="BD699" s="40"/>
      <c r="BE699" s="40"/>
      <c r="BF699" s="40"/>
      <c r="BG699" s="40"/>
      <c r="BH699" s="40"/>
      <c r="BI699" s="40"/>
    </row>
    <row r="700" ht="15.75" customHeight="1">
      <c r="A700" s="33"/>
      <c r="B700" s="228"/>
      <c r="C700" s="228"/>
      <c r="D700" s="236"/>
      <c r="E700" s="236"/>
      <c r="F700" s="228"/>
      <c r="G700" s="236"/>
      <c r="H700" s="236"/>
      <c r="I700" s="228"/>
      <c r="J700" s="236"/>
      <c r="K700" s="236"/>
      <c r="L700" s="228"/>
      <c r="M700" s="236"/>
      <c r="N700" s="236"/>
      <c r="O700" s="228"/>
      <c r="P700" s="236"/>
      <c r="Q700" s="236"/>
      <c r="R700" s="228"/>
      <c r="S700" s="236"/>
      <c r="T700" s="236"/>
      <c r="U700" s="228"/>
      <c r="V700" s="236"/>
      <c r="W700" s="236"/>
      <c r="X700" s="228"/>
      <c r="Y700" s="236"/>
      <c r="Z700" s="236"/>
      <c r="AA700" s="228"/>
      <c r="AB700" s="236"/>
      <c r="AC700" s="236"/>
      <c r="AD700" s="228"/>
      <c r="AE700" s="236"/>
      <c r="AF700" s="236"/>
      <c r="AG700" s="228"/>
      <c r="AH700" s="236"/>
      <c r="AI700" s="236"/>
      <c r="AJ700" s="228"/>
      <c r="AK700" s="236"/>
      <c r="AL700" s="236"/>
      <c r="AM700" s="228"/>
      <c r="AN700" s="236"/>
      <c r="AO700" s="236"/>
      <c r="AP700" s="40"/>
      <c r="AQ700" s="40"/>
      <c r="AR700" s="40"/>
      <c r="AS700" s="40"/>
      <c r="AT700" s="40"/>
      <c r="AU700" s="40"/>
      <c r="AV700" s="40"/>
      <c r="AW700" s="40"/>
      <c r="AX700" s="40"/>
      <c r="AY700" s="40"/>
      <c r="AZ700" s="40"/>
      <c r="BA700" s="40"/>
      <c r="BB700" s="40"/>
      <c r="BC700" s="40"/>
      <c r="BD700" s="40"/>
      <c r="BE700" s="40"/>
      <c r="BF700" s="40"/>
      <c r="BG700" s="40"/>
      <c r="BH700" s="40"/>
      <c r="BI700" s="40"/>
    </row>
    <row r="701" ht="15.75" customHeight="1">
      <c r="A701" s="33"/>
      <c r="B701" s="228"/>
      <c r="C701" s="228"/>
      <c r="D701" s="236"/>
      <c r="E701" s="236"/>
      <c r="F701" s="228"/>
      <c r="G701" s="236"/>
      <c r="H701" s="236"/>
      <c r="I701" s="228"/>
      <c r="J701" s="236"/>
      <c r="K701" s="236"/>
      <c r="L701" s="228"/>
      <c r="M701" s="236"/>
      <c r="N701" s="236"/>
      <c r="O701" s="228"/>
      <c r="P701" s="236"/>
      <c r="Q701" s="236"/>
      <c r="R701" s="228"/>
      <c r="S701" s="236"/>
      <c r="T701" s="236"/>
      <c r="U701" s="228"/>
      <c r="V701" s="236"/>
      <c r="W701" s="236"/>
      <c r="X701" s="228"/>
      <c r="Y701" s="236"/>
      <c r="Z701" s="236"/>
      <c r="AA701" s="228"/>
      <c r="AB701" s="236"/>
      <c r="AC701" s="236"/>
      <c r="AD701" s="228"/>
      <c r="AE701" s="236"/>
      <c r="AF701" s="236"/>
      <c r="AG701" s="228"/>
      <c r="AH701" s="236"/>
      <c r="AI701" s="236"/>
      <c r="AJ701" s="228"/>
      <c r="AK701" s="236"/>
      <c r="AL701" s="236"/>
      <c r="AM701" s="228"/>
      <c r="AN701" s="236"/>
      <c r="AO701" s="236"/>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6:E6"/>
    <mergeCell ref="C94:E94"/>
    <mergeCell ref="C173:E173"/>
    <mergeCell ref="C241:E241"/>
    <mergeCell ref="C296:E296"/>
    <mergeCell ref="C361:E361"/>
    <mergeCell ref="C407:E407"/>
  </mergeCells>
  <conditionalFormatting sqref="C6 C9 C11:C17 C19:C27 C168:D170 C213:D213 C232:D232 C236:D238 C269:D269 C292:D293 C333:D333 C356:D358 C403:D403 D122:E124 E9:F9 E11:F17 E19:F27 E169:E170 E237:E238 E293">
    <cfRule type="expression" dxfId="0" priority="1" stopIfTrue="1">
      <formula>"esterreur(reference)"</formula>
    </cfRule>
  </conditionalFormatting>
  <conditionalFormatting sqref="C94">
    <cfRule type="expression" dxfId="0" priority="2" stopIfTrue="1">
      <formula>"esterreur(reference)"</formula>
    </cfRule>
  </conditionalFormatting>
  <conditionalFormatting sqref="C173">
    <cfRule type="expression" dxfId="0" priority="3" stopIfTrue="1">
      <formula>"esterreur(reference)"</formula>
    </cfRule>
  </conditionalFormatting>
  <conditionalFormatting sqref="C241">
    <cfRule type="expression" dxfId="0" priority="4" stopIfTrue="1">
      <formula>"esterreur(reference)"</formula>
    </cfRule>
  </conditionalFormatting>
  <conditionalFormatting sqref="C296">
    <cfRule type="expression" dxfId="0" priority="5" stopIfTrue="1">
      <formula>"esterreur(reference)"</formula>
    </cfRule>
  </conditionalFormatting>
  <conditionalFormatting sqref="C361">
    <cfRule type="expression" dxfId="0" priority="6" stopIfTrue="1">
      <formula>"esterreur(reference)"</formula>
    </cfRule>
  </conditionalFormatting>
  <conditionalFormatting sqref="C407">
    <cfRule type="expression" dxfId="0" priority="7" stopIfTrue="1">
      <formula>"esterreur(reference)"</formula>
    </cfRule>
  </conditionalFormatting>
  <conditionalFormatting sqref="C253:D257 F253:G257">
    <cfRule type="expression" dxfId="0" priority="8" stopIfTrue="1">
      <formula>"esterreur(reference)"</formula>
    </cfRule>
  </conditionalFormatting>
  <conditionalFormatting sqref="C28:AO75 C86:AO91 C93:AO93 C97:AO121 C159:AO160 C167:AO167 C172:AO172 C214:AO231 C235:AO235 C240:AO240 C291:AO291 C295:AO295 C355:AO355 C399:AO402 AM168:AN170 AM213:AN213 AM232:AN232 AM236:AN238 AM269:AN269 AM292:AN293 AM333:AN333 AM356:AN358 AM403:AN403 AN122:AO124 AO169:AO170 AO237:AO238 AO293">
    <cfRule type="expression" dxfId="0" priority="9" stopIfTrue="1">
      <formula>"esterreur(reference)"</formula>
    </cfRule>
  </conditionalFormatting>
  <conditionalFormatting sqref="C125:AO156">
    <cfRule type="expression" dxfId="0" priority="10" stopIfTrue="1">
      <formula>"esterreur(reference)"</formula>
    </cfRule>
  </conditionalFormatting>
  <conditionalFormatting sqref="C174:AO212">
    <cfRule type="expression" dxfId="0" priority="11" stopIfTrue="1">
      <formula>"esterreur(reference)"</formula>
    </cfRule>
  </conditionalFormatting>
  <conditionalFormatting sqref="C242:AO243 C246:AO246">
    <cfRule type="expression" dxfId="0" priority="12" stopIfTrue="1">
      <formula>"esterreur(reference)"</formula>
    </cfRule>
  </conditionalFormatting>
  <conditionalFormatting sqref="C252:AO252">
    <cfRule type="expression" dxfId="0" priority="13" stopIfTrue="1">
      <formula>"esterreur(reference)"</formula>
    </cfRule>
  </conditionalFormatting>
  <conditionalFormatting sqref="C255:AO268">
    <cfRule type="expression" dxfId="0" priority="14" stopIfTrue="1">
      <formula>"esterreur(reference)"</formula>
    </cfRule>
  </conditionalFormatting>
  <conditionalFormatting sqref="C270:AO288">
    <cfRule type="expression" dxfId="0" priority="15" stopIfTrue="1">
      <formula>"esterreur(reference)"</formula>
    </cfRule>
  </conditionalFormatting>
  <conditionalFormatting sqref="C297:AO332">
    <cfRule type="expression" dxfId="0" priority="16" stopIfTrue="1">
      <formula>"esterreur(reference)"</formula>
    </cfRule>
  </conditionalFormatting>
  <conditionalFormatting sqref="C334:AO352">
    <cfRule type="expression" dxfId="0" priority="17" stopIfTrue="1">
      <formula>"esterreur(reference)"</formula>
    </cfRule>
  </conditionalFormatting>
  <conditionalFormatting sqref="C360:AO360">
    <cfRule type="expression" dxfId="0" priority="18" stopIfTrue="1">
      <formula>"esterreur(reference)"</formula>
    </cfRule>
  </conditionalFormatting>
  <conditionalFormatting sqref="C362:AO397">
    <cfRule type="expression" dxfId="0" priority="19" stopIfTrue="1">
      <formula>"esterreur(reference)"</formula>
    </cfRule>
  </conditionalFormatting>
  <conditionalFormatting sqref="D398">
    <cfRule type="expression" dxfId="0" priority="20" stopIfTrue="1">
      <formula>"esterreur(reference)"</formula>
    </cfRule>
  </conditionalFormatting>
  <conditionalFormatting sqref="E253:E254">
    <cfRule type="expression" dxfId="0" priority="21" stopIfTrue="1">
      <formula>"esterreur(reference)"</formula>
    </cfRule>
  </conditionalFormatting>
  <conditionalFormatting sqref="E256">
    <cfRule type="expression" dxfId="0" priority="22" stopIfTrue="1">
      <formula>"esterreur(reference)"</formula>
    </cfRule>
  </conditionalFormatting>
  <conditionalFormatting sqref="F6 F168:G170 F213:G213 F232:G232 F236:G238 F269:G269 F292:G293 F333:G333 F356:G358 F403:G403 G122:H124 H169:H170 H237:H238 H253:H254 H293 I6 L6 O6 R6 U6 X6 AA6 AD6 AG6 AJ6 AM6">
    <cfRule type="expression" dxfId="0" priority="23" stopIfTrue="1">
      <formula>"esterreur(reference)"</formula>
    </cfRule>
  </conditionalFormatting>
  <conditionalFormatting sqref="F94 I94 L94 O94 R94 U94 X94 AA94 AD94 AG94 AJ94 AM94">
    <cfRule type="expression" dxfId="0" priority="24" stopIfTrue="1">
      <formula>"esterreur(reference)"</formula>
    </cfRule>
  </conditionalFormatting>
  <conditionalFormatting sqref="F173 I173 L173 O173 R173 U173 X173 AA173 AD173 AG173 AJ173 AM173">
    <cfRule type="expression" dxfId="0" priority="25" stopIfTrue="1">
      <formula>"esterreur(reference)"</formula>
    </cfRule>
  </conditionalFormatting>
  <conditionalFormatting sqref="F241 I241 L241 O241 R241 U241 X241 AA241 AD241 AG241 AJ241 AM241">
    <cfRule type="expression" dxfId="0" priority="26" stopIfTrue="1">
      <formula>"esterreur(reference)"</formula>
    </cfRule>
  </conditionalFormatting>
  <conditionalFormatting sqref="F296 I296 L296 O296 R296 U296 X296 AA296 AD296 AG296 AJ296 AM296">
    <cfRule type="expression" dxfId="0" priority="27" stopIfTrue="1">
      <formula>"esterreur(reference)"</formula>
    </cfRule>
  </conditionalFormatting>
  <conditionalFormatting sqref="F361 I361 L361 O361 R361 U361 X361 AA361 AD361 AG361 AJ361 AM361">
    <cfRule type="expression" dxfId="0" priority="28" stopIfTrue="1">
      <formula>"esterreur(reference)"</formula>
    </cfRule>
  </conditionalFormatting>
  <conditionalFormatting sqref="F407 I407 L407 O407 R407 U407 X407 AA407 AD407 AG407 AJ407 AM407">
    <cfRule type="expression" dxfId="0" priority="29" stopIfTrue="1">
      <formula>"esterreur(reference)"</formula>
    </cfRule>
  </conditionalFormatting>
  <conditionalFormatting sqref="G398">
    <cfRule type="expression" dxfId="0" priority="30" stopIfTrue="1">
      <formula>"esterreur(reference)"</formula>
    </cfRule>
  </conditionalFormatting>
  <conditionalFormatting sqref="H9:I9 H11:I17 H19:I27">
    <cfRule type="expression" dxfId="0" priority="31" stopIfTrue="1">
      <formula>"esterreur(reference)"</formula>
    </cfRule>
  </conditionalFormatting>
  <conditionalFormatting sqref="I253:J257">
    <cfRule type="expression" dxfId="0" priority="32" stopIfTrue="1">
      <formula>"esterreur(reference)"</formula>
    </cfRule>
  </conditionalFormatting>
  <conditionalFormatting sqref="J398">
    <cfRule type="expression" dxfId="0" priority="33" stopIfTrue="1">
      <formula>"esterreur(reference)"</formula>
    </cfRule>
  </conditionalFormatting>
  <conditionalFormatting sqref="I168:J170 I213:J213 I232:J232 I236:J238 I269:J269 I292:J293 I333:J333 I356:J358 I403:J403 J122:K124 K169:K170 K237:K238 K293">
    <cfRule type="expression" dxfId="0" priority="34" stopIfTrue="1">
      <formula>"esterreur(reference)"</formula>
    </cfRule>
  </conditionalFormatting>
  <conditionalFormatting sqref="K253:K254">
    <cfRule type="expression" dxfId="0" priority="35" stopIfTrue="1">
      <formula>"esterreur(reference)"</formula>
    </cfRule>
  </conditionalFormatting>
  <conditionalFormatting sqref="K256">
    <cfRule type="expression" dxfId="0" priority="36" stopIfTrue="1">
      <formula>"esterreur(reference)"</formula>
    </cfRule>
  </conditionalFormatting>
  <conditionalFormatting sqref="K9:L9 K11:L17 K19:L27">
    <cfRule type="expression" dxfId="0" priority="37" stopIfTrue="1">
      <formula>"esterreur(reference)"</formula>
    </cfRule>
  </conditionalFormatting>
  <conditionalFormatting sqref="L253:M257">
    <cfRule type="expression" dxfId="0" priority="38" stopIfTrue="1">
      <formula>"esterreur(reference)"</formula>
    </cfRule>
  </conditionalFormatting>
  <conditionalFormatting sqref="M398">
    <cfRule type="expression" dxfId="0" priority="39" stopIfTrue="1">
      <formula>"esterreur(reference)"</formula>
    </cfRule>
  </conditionalFormatting>
  <conditionalFormatting sqref="L168:M170 L213:M213 L232:M232 L236:M238 L269:M269 L292:M293 L333:M333 L356:M358 L403:M403 M122:N124 N169:N170 N237:N238 N293">
    <cfRule type="expression" dxfId="0" priority="40" stopIfTrue="1">
      <formula>"esterreur(reference)"</formula>
    </cfRule>
  </conditionalFormatting>
  <conditionalFormatting sqref="N253:N254">
    <cfRule type="expression" dxfId="0" priority="41" stopIfTrue="1">
      <formula>"esterreur(reference)"</formula>
    </cfRule>
  </conditionalFormatting>
  <conditionalFormatting sqref="N256">
    <cfRule type="expression" dxfId="0" priority="42" stopIfTrue="1">
      <formula>"esterreur(reference)"</formula>
    </cfRule>
  </conditionalFormatting>
  <conditionalFormatting sqref="N9:O9 N11:O17 N19:O27">
    <cfRule type="expression" dxfId="0" priority="43" stopIfTrue="1">
      <formula>"esterreur(reference)"</formula>
    </cfRule>
  </conditionalFormatting>
  <conditionalFormatting sqref="O253:P257">
    <cfRule type="expression" dxfId="0" priority="44" stopIfTrue="1">
      <formula>"esterreur(reference)"</formula>
    </cfRule>
  </conditionalFormatting>
  <conditionalFormatting sqref="P398">
    <cfRule type="expression" dxfId="0" priority="45" stopIfTrue="1">
      <formula>"esterreur(reference)"</formula>
    </cfRule>
  </conditionalFormatting>
  <conditionalFormatting sqref="O168:P170 O213:P213 O232:P232 O236:P238 O269:P269 O292:P293 O333:P333 O356:P358 O403:P403 P122:Q124 Q169:Q170 Q237:Q238 Q293">
    <cfRule type="expression" dxfId="0" priority="46" stopIfTrue="1">
      <formula>"esterreur(reference)"</formula>
    </cfRule>
  </conditionalFormatting>
  <conditionalFormatting sqref="Q253:Q254">
    <cfRule type="expression" dxfId="0" priority="47" stopIfTrue="1">
      <formula>"esterreur(reference)"</formula>
    </cfRule>
  </conditionalFormatting>
  <conditionalFormatting sqref="Q256">
    <cfRule type="expression" dxfId="0" priority="48" stopIfTrue="1">
      <formula>"esterreur(reference)"</formula>
    </cfRule>
  </conditionalFormatting>
  <conditionalFormatting sqref="Q9:R9 Q11:R17 Q19:R27">
    <cfRule type="expression" dxfId="0" priority="49" stopIfTrue="1">
      <formula>"esterreur(reference)"</formula>
    </cfRule>
  </conditionalFormatting>
  <conditionalFormatting sqref="R253:S257">
    <cfRule type="expression" dxfId="0" priority="50" stopIfTrue="1">
      <formula>"esterreur(reference)"</formula>
    </cfRule>
  </conditionalFormatting>
  <conditionalFormatting sqref="S398">
    <cfRule type="expression" dxfId="0" priority="51" stopIfTrue="1">
      <formula>"esterreur(reference)"</formula>
    </cfRule>
  </conditionalFormatting>
  <conditionalFormatting sqref="R168:S170 R213:S213 R232:S232 R236:S238 R269:S269 R292:S293 R333:S333 R356:S358 R403:S403 S122:T124 T169:T170 T237:T238 T293">
    <cfRule type="expression" dxfId="0" priority="52" stopIfTrue="1">
      <formula>"esterreur(reference)"</formula>
    </cfRule>
  </conditionalFormatting>
  <conditionalFormatting sqref="T253:T254">
    <cfRule type="expression" dxfId="0" priority="53" stopIfTrue="1">
      <formula>"esterreur(reference)"</formula>
    </cfRule>
  </conditionalFormatting>
  <conditionalFormatting sqref="T256">
    <cfRule type="expression" dxfId="0" priority="54" stopIfTrue="1">
      <formula>"esterreur(reference)"</formula>
    </cfRule>
  </conditionalFormatting>
  <conditionalFormatting sqref="T9:U9 T11:U17 T19:U27">
    <cfRule type="expression" dxfId="0" priority="55" stopIfTrue="1">
      <formula>"esterreur(reference)"</formula>
    </cfRule>
  </conditionalFormatting>
  <conditionalFormatting sqref="U253:V257">
    <cfRule type="expression" dxfId="0" priority="56" stopIfTrue="1">
      <formula>"esterreur(reference)"</formula>
    </cfRule>
  </conditionalFormatting>
  <conditionalFormatting sqref="V398">
    <cfRule type="expression" dxfId="0" priority="57" stopIfTrue="1">
      <formula>"esterreur(reference)"</formula>
    </cfRule>
  </conditionalFormatting>
  <conditionalFormatting sqref="U168:V170 U213:V213 U232:V232 U236:V238 U269:V269 U292:V293 U333:V333 U356:V358 U403:V403 V122:W124 W169:W170 W237:W238 W293">
    <cfRule type="expression" dxfId="0" priority="58" stopIfTrue="1">
      <formula>"esterreur(reference)"</formula>
    </cfRule>
  </conditionalFormatting>
  <conditionalFormatting sqref="W253:W254">
    <cfRule type="expression" dxfId="0" priority="59" stopIfTrue="1">
      <formula>"esterreur(reference)"</formula>
    </cfRule>
  </conditionalFormatting>
  <conditionalFormatting sqref="W256">
    <cfRule type="expression" dxfId="0" priority="60" stopIfTrue="1">
      <formula>"esterreur(reference)"</formula>
    </cfRule>
  </conditionalFormatting>
  <conditionalFormatting sqref="W9:X9 W11:X17 W19:X27">
    <cfRule type="expression" dxfId="0" priority="61" stopIfTrue="1">
      <formula>"esterreur(reference)"</formula>
    </cfRule>
  </conditionalFormatting>
  <conditionalFormatting sqref="X253:Y257">
    <cfRule type="expression" dxfId="0" priority="62" stopIfTrue="1">
      <formula>"esterreur(reference)"</formula>
    </cfRule>
  </conditionalFormatting>
  <conditionalFormatting sqref="Y398">
    <cfRule type="expression" dxfId="0" priority="63" stopIfTrue="1">
      <formula>"esterreur(reference)"</formula>
    </cfRule>
  </conditionalFormatting>
  <conditionalFormatting sqref="X168:Y170 X213:Y213 X232:Y232 X236:Y238 X269:Y269 X292:Y293 X333:Y333 X356:Y358 X403:Y403 Y122:Z124 Z169:Z170 Z237:Z238 Z293">
    <cfRule type="expression" dxfId="0" priority="64" stopIfTrue="1">
      <formula>"esterreur(reference)"</formula>
    </cfRule>
  </conditionalFormatting>
  <conditionalFormatting sqref="Z253:Z254">
    <cfRule type="expression" dxfId="0" priority="65" stopIfTrue="1">
      <formula>"esterreur(reference)"</formula>
    </cfRule>
  </conditionalFormatting>
  <conditionalFormatting sqref="Z256">
    <cfRule type="expression" dxfId="0" priority="66" stopIfTrue="1">
      <formula>"esterreur(reference)"</formula>
    </cfRule>
  </conditionalFormatting>
  <conditionalFormatting sqref="Z9:AA9 Z11:AA17 Z19:AA27">
    <cfRule type="expression" dxfId="0" priority="67" stopIfTrue="1">
      <formula>"esterreur(reference)"</formula>
    </cfRule>
  </conditionalFormatting>
  <conditionalFormatting sqref="AA253:AB257">
    <cfRule type="expression" dxfId="0" priority="68" stopIfTrue="1">
      <formula>"esterreur(reference)"</formula>
    </cfRule>
  </conditionalFormatting>
  <conditionalFormatting sqref="AB398">
    <cfRule type="expression" dxfId="0" priority="69" stopIfTrue="1">
      <formula>"esterreur(reference)"</formula>
    </cfRule>
  </conditionalFormatting>
  <conditionalFormatting sqref="AA168:AB170 AA213:AB213 AA232:AB232 AA236:AB238 AA269:AB269 AA292:AB293 AA333:AB333 AA356:AB358 AA403:AB403 AB122:AC124 AC169:AC170 AC237:AC238 AC293">
    <cfRule type="expression" dxfId="0" priority="70" stopIfTrue="1">
      <formula>"esterreur(reference)"</formula>
    </cfRule>
  </conditionalFormatting>
  <conditionalFormatting sqref="AC253:AC254">
    <cfRule type="expression" dxfId="0" priority="71" stopIfTrue="1">
      <formula>"esterreur(reference)"</formula>
    </cfRule>
  </conditionalFormatting>
  <conditionalFormatting sqref="AC256">
    <cfRule type="expression" dxfId="0" priority="72" stopIfTrue="1">
      <formula>"esterreur(reference)"</formula>
    </cfRule>
  </conditionalFormatting>
  <conditionalFormatting sqref="AC9:AD9 AC11:AD17 AC19:AD27">
    <cfRule type="expression" dxfId="0" priority="73" stopIfTrue="1">
      <formula>"esterreur(reference)"</formula>
    </cfRule>
  </conditionalFormatting>
  <conditionalFormatting sqref="AD253:AE257">
    <cfRule type="expression" dxfId="0" priority="74" stopIfTrue="1">
      <formula>"esterreur(reference)"</formula>
    </cfRule>
  </conditionalFormatting>
  <conditionalFormatting sqref="AE398">
    <cfRule type="expression" dxfId="0" priority="75" stopIfTrue="1">
      <formula>"esterreur(reference)"</formula>
    </cfRule>
  </conditionalFormatting>
  <conditionalFormatting sqref="AD168:AE170 AD213:AE213 AD232:AE232 AD236:AE238 AD269:AE269 AD292:AE293 AD333:AE333 AD356:AE358 AD403:AE403 AE122:AF124 AF169:AF170 AF237:AF238 AF293">
    <cfRule type="expression" dxfId="0" priority="76" stopIfTrue="1">
      <formula>"esterreur(reference)"</formula>
    </cfRule>
  </conditionalFormatting>
  <conditionalFormatting sqref="AF253:AF254">
    <cfRule type="expression" dxfId="0" priority="77" stopIfTrue="1">
      <formula>"esterreur(reference)"</formula>
    </cfRule>
  </conditionalFormatting>
  <conditionalFormatting sqref="AF256">
    <cfRule type="expression" dxfId="0" priority="78" stopIfTrue="1">
      <formula>"esterreur(reference)"</formula>
    </cfRule>
  </conditionalFormatting>
  <conditionalFormatting sqref="AF9:AG9 AF11:AG17 AF19:AG27">
    <cfRule type="expression" dxfId="0" priority="79" stopIfTrue="1">
      <formula>"esterreur(reference)"</formula>
    </cfRule>
  </conditionalFormatting>
  <conditionalFormatting sqref="AG253:AH257">
    <cfRule type="expression" dxfId="0" priority="80" stopIfTrue="1">
      <formula>"esterreur(reference)"</formula>
    </cfRule>
  </conditionalFormatting>
  <conditionalFormatting sqref="AH398">
    <cfRule type="expression" dxfId="0" priority="81" stopIfTrue="1">
      <formula>"esterreur(reference)"</formula>
    </cfRule>
  </conditionalFormatting>
  <conditionalFormatting sqref="AG168:AH170 AG213:AH213 AG232:AH232 AG236:AH238 AG269:AH269 AG292:AH293 AG333:AH333 AG356:AH358 AG403:AH403 AH122:AI124 AI169:AI170 AI237:AI238 AI293">
    <cfRule type="expression" dxfId="0" priority="82" stopIfTrue="1">
      <formula>"esterreur(reference)"</formula>
    </cfRule>
  </conditionalFormatting>
  <conditionalFormatting sqref="AI253:AI254">
    <cfRule type="expression" dxfId="0" priority="83" stopIfTrue="1">
      <formula>"esterreur(reference)"</formula>
    </cfRule>
  </conditionalFormatting>
  <conditionalFormatting sqref="AI256">
    <cfRule type="expression" dxfId="0" priority="84" stopIfTrue="1">
      <formula>"esterreur(reference)"</formula>
    </cfRule>
  </conditionalFormatting>
  <conditionalFormatting sqref="AI9:AJ9 AI11:AJ17 AI19:AJ27">
    <cfRule type="expression" dxfId="0" priority="85" stopIfTrue="1">
      <formula>"esterreur(reference)"</formula>
    </cfRule>
  </conditionalFormatting>
  <conditionalFormatting sqref="AJ253:AK257">
    <cfRule type="expression" dxfId="0" priority="86" stopIfTrue="1">
      <formula>"esterreur(reference)"</formula>
    </cfRule>
  </conditionalFormatting>
  <conditionalFormatting sqref="AK398">
    <cfRule type="expression" dxfId="0" priority="87" stopIfTrue="1">
      <formula>"esterreur(reference)"</formula>
    </cfRule>
  </conditionalFormatting>
  <conditionalFormatting sqref="AJ168:AK170 AJ213:AK213 AJ232:AK232 AJ236:AK238 AJ269:AK269 AJ292:AK293 AJ333:AK333 AJ356:AK358 AJ403:AK403 AK122:AL124 AL169:AL170 AL237:AL238 AL293">
    <cfRule type="expression" dxfId="0" priority="88" stopIfTrue="1">
      <formula>"esterreur(reference)"</formula>
    </cfRule>
  </conditionalFormatting>
  <conditionalFormatting sqref="AL253:AL254">
    <cfRule type="expression" dxfId="0" priority="89" stopIfTrue="1">
      <formula>"esterreur(reference)"</formula>
    </cfRule>
  </conditionalFormatting>
  <conditionalFormatting sqref="AL256">
    <cfRule type="expression" dxfId="0" priority="90" stopIfTrue="1">
      <formula>"esterreur(reference)"</formula>
    </cfRule>
  </conditionalFormatting>
  <conditionalFormatting sqref="AL9:AM9 AL11:AM17 AL19:AM27">
    <cfRule type="expression" dxfId="0" priority="91" stopIfTrue="1">
      <formula>"esterreur(reference)"</formula>
    </cfRule>
  </conditionalFormatting>
  <conditionalFormatting sqref="AM253:AN257">
    <cfRule type="expression" dxfId="0" priority="92" stopIfTrue="1">
      <formula>"esterreur(reference)"</formula>
    </cfRule>
  </conditionalFormatting>
  <conditionalFormatting sqref="AN398">
    <cfRule type="expression" dxfId="0" priority="93" stopIfTrue="1">
      <formula>"esterreur(reference)"</formula>
    </cfRule>
  </conditionalFormatting>
  <conditionalFormatting sqref="AO9 AO11:AO17 AO19:AO27">
    <cfRule type="expression" dxfId="0" priority="94" stopIfTrue="1">
      <formula>"esterreur(reference)"</formula>
    </cfRule>
  </conditionalFormatting>
  <conditionalFormatting sqref="AO253:AO254">
    <cfRule type="expression" dxfId="0" priority="95" stopIfTrue="1">
      <formula>"esterreur(reference)"</formula>
    </cfRule>
  </conditionalFormatting>
  <conditionalFormatting sqref="AO256">
    <cfRule type="expression" dxfId="0" priority="96" stopIfTrue="1">
      <formula>"esterreur(reference)"</formula>
    </cfRule>
  </conditionalFormatting>
  <printOptions horizontalCentered="1"/>
  <pageMargins bottom="0.0" footer="0.0" header="0.0" left="0.0" right="0.0" top="0.0"/>
  <pageSetup paperSize="5" orientation="landscape"/>
  <rowBreaks count="6" manualBreakCount="6">
    <brk id="402" man="1"/>
    <brk id="356" man="1"/>
    <brk id="292" man="1"/>
    <brk id="168" man="1"/>
    <brk id="88" man="1"/>
    <brk id="236" man="1"/>
  </rowBrea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25"/>
    <col customWidth="1" min="2" max="2" width="34.63"/>
    <col customWidth="1" min="3" max="3" width="16.75"/>
    <col customWidth="1" min="4" max="4" width="14.5"/>
    <col customWidth="1" min="5" max="5" width="17.38"/>
    <col customWidth="1" min="6" max="6" width="16.75"/>
    <col customWidth="1" min="7" max="7" width="14.5"/>
    <col customWidth="1" min="8" max="8" width="15.88"/>
    <col customWidth="1" min="9" max="9" width="16.75"/>
    <col customWidth="1" min="10" max="10" width="14.5"/>
    <col customWidth="1" min="11" max="11" width="15.88"/>
    <col customWidth="1" min="12" max="12" width="16.75"/>
    <col customWidth="1" min="13" max="13" width="14.5"/>
    <col customWidth="1" min="14" max="14" width="15.88"/>
    <col customWidth="1" min="15" max="15" width="16.75"/>
    <col customWidth="1" min="16" max="16" width="14.5"/>
    <col customWidth="1" min="17" max="17" width="15.88"/>
    <col customWidth="1" min="18" max="18" width="16.75"/>
    <col customWidth="1" min="19" max="19" width="14.5"/>
    <col customWidth="1" min="20" max="20" width="15.88"/>
    <col customWidth="1" min="21" max="21" width="16.75"/>
    <col customWidth="1" min="22" max="22" width="14.5"/>
    <col customWidth="1" min="23" max="23" width="15.88"/>
    <col customWidth="1" min="24" max="24" width="16.75"/>
    <col customWidth="1" min="25" max="25" width="14.5"/>
    <col customWidth="1" min="26" max="26" width="15.88"/>
    <col customWidth="1" min="27" max="27" width="16.75"/>
    <col customWidth="1" min="28" max="28" width="14.5"/>
    <col customWidth="1" min="29" max="29" width="15.88"/>
    <col customWidth="1" min="30" max="30" width="16.75"/>
    <col customWidth="1" min="31" max="31" width="14.5"/>
    <col customWidth="1" min="32" max="32" width="15.88"/>
    <col customWidth="1" min="33" max="33" width="16.75"/>
    <col customWidth="1" min="34" max="34" width="14.5"/>
    <col customWidth="1" min="35" max="35" width="15.88"/>
    <col customWidth="1" min="36" max="36" width="16.75"/>
    <col customWidth="1" min="37" max="37" width="14.5"/>
    <col customWidth="1" min="38" max="38" width="15.88"/>
    <col customWidth="1" min="39" max="39" width="16.75"/>
    <col customWidth="1" min="40" max="40" width="14.5"/>
    <col customWidth="1" min="41" max="41" width="15.88"/>
    <col customWidth="1" min="42" max="61" width="11.0"/>
  </cols>
  <sheetData>
    <row r="1" ht="41.25" customHeight="1">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ht="41.25" customHeight="1">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ht="45.0" customHeight="1">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str">
        <f>+IF(VLOOKUP(AA$6,Parametres!$K$3:$N$14,4,0)="X","X","")</f>
        <v>#N/A</v>
      </c>
      <c r="AB3" s="9" t="str">
        <f>+IF(VLOOKUP(AA$6,Parametres!$K$3:$N$14,4,0)="X","O","")</f>
        <v>#N/A</v>
      </c>
      <c r="AC3" s="9" t="str">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ht="15.0" customHeight="1">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c r="A6" s="41"/>
      <c r="B6" s="42" t="s">
        <v>2</v>
      </c>
      <c r="C6" s="42">
        <v>2024.0</v>
      </c>
      <c r="D6" s="46"/>
      <c r="E6" s="47"/>
      <c r="F6" s="114" t="s">
        <v>6</v>
      </c>
      <c r="G6" s="115"/>
      <c r="H6" s="116"/>
      <c r="I6" s="114" t="s">
        <v>8</v>
      </c>
      <c r="J6" s="115"/>
      <c r="K6" s="116"/>
      <c r="L6" s="114" t="s">
        <v>9</v>
      </c>
      <c r="M6" s="115"/>
      <c r="N6" s="116"/>
      <c r="O6" s="114" t="s">
        <v>10</v>
      </c>
      <c r="P6" s="115"/>
      <c r="Q6" s="116"/>
      <c r="R6" s="114" t="s">
        <v>11</v>
      </c>
      <c r="S6" s="115"/>
      <c r="T6" s="116"/>
      <c r="U6" s="114" t="s">
        <v>12</v>
      </c>
      <c r="V6" s="115"/>
      <c r="W6" s="116"/>
      <c r="X6" s="114" t="s">
        <v>14</v>
      </c>
      <c r="Y6" s="115"/>
      <c r="Z6" s="116"/>
      <c r="AA6" s="114" t="s">
        <v>92</v>
      </c>
      <c r="AB6" s="115"/>
      <c r="AC6" s="116"/>
      <c r="AD6" s="114" t="s">
        <v>5</v>
      </c>
      <c r="AE6" s="115"/>
      <c r="AF6" s="116"/>
      <c r="AG6" s="114" t="s">
        <v>18</v>
      </c>
      <c r="AH6" s="115"/>
      <c r="AI6" s="116"/>
      <c r="AJ6" s="114" t="s">
        <v>19</v>
      </c>
      <c r="AK6" s="115"/>
      <c r="AL6" s="116"/>
      <c r="AM6" s="114" t="s">
        <v>20</v>
      </c>
      <c r="AN6" s="115"/>
      <c r="AO6" s="116"/>
      <c r="AP6" s="48"/>
      <c r="AQ6" s="48"/>
      <c r="AR6" s="48"/>
      <c r="AS6" s="48"/>
      <c r="AT6" s="48"/>
      <c r="AU6" s="48"/>
      <c r="AV6" s="48"/>
      <c r="AW6" s="48"/>
      <c r="AX6" s="48"/>
      <c r="AY6" s="48"/>
      <c r="AZ6" s="48"/>
      <c r="BA6" s="48"/>
      <c r="BB6" s="48"/>
      <c r="BC6" s="48"/>
      <c r="BD6" s="48"/>
      <c r="BE6" s="48"/>
      <c r="BF6" s="48"/>
      <c r="BG6" s="48"/>
      <c r="BH6" s="48"/>
      <c r="BI6" s="48"/>
    </row>
    <row r="7">
      <c r="A7" s="41"/>
      <c r="B7" s="49"/>
      <c r="C7" s="50" t="s">
        <v>93</v>
      </c>
      <c r="D7" s="51" t="s">
        <v>94</v>
      </c>
      <c r="E7" s="52" t="s">
        <v>95</v>
      </c>
      <c r="F7" s="50" t="s">
        <v>93</v>
      </c>
      <c r="G7" s="51" t="s">
        <v>94</v>
      </c>
      <c r="H7" s="52" t="s">
        <v>95</v>
      </c>
      <c r="I7" s="50" t="s">
        <v>93</v>
      </c>
      <c r="J7" s="51" t="s">
        <v>94</v>
      </c>
      <c r="K7" s="52" t="s">
        <v>95</v>
      </c>
      <c r="L7" s="50" t="s">
        <v>93</v>
      </c>
      <c r="M7" s="51" t="s">
        <v>94</v>
      </c>
      <c r="N7" s="52" t="s">
        <v>95</v>
      </c>
      <c r="O7" s="50" t="s">
        <v>93</v>
      </c>
      <c r="P7" s="51" t="s">
        <v>94</v>
      </c>
      <c r="Q7" s="52" t="s">
        <v>95</v>
      </c>
      <c r="R7" s="50" t="s">
        <v>93</v>
      </c>
      <c r="S7" s="51" t="s">
        <v>94</v>
      </c>
      <c r="T7" s="52" t="s">
        <v>95</v>
      </c>
      <c r="U7" s="50" t="s">
        <v>93</v>
      </c>
      <c r="V7" s="51" t="s">
        <v>94</v>
      </c>
      <c r="W7" s="52" t="s">
        <v>95</v>
      </c>
      <c r="X7" s="50" t="s">
        <v>93</v>
      </c>
      <c r="Y7" s="51" t="s">
        <v>94</v>
      </c>
      <c r="Z7" s="52" t="s">
        <v>95</v>
      </c>
      <c r="AA7" s="50" t="s">
        <v>93</v>
      </c>
      <c r="AB7" s="51" t="s">
        <v>94</v>
      </c>
      <c r="AC7" s="52" t="s">
        <v>95</v>
      </c>
      <c r="AD7" s="50" t="s">
        <v>93</v>
      </c>
      <c r="AE7" s="51" t="s">
        <v>94</v>
      </c>
      <c r="AF7" s="52" t="s">
        <v>95</v>
      </c>
      <c r="AG7" s="50" t="s">
        <v>93</v>
      </c>
      <c r="AH7" s="51" t="s">
        <v>94</v>
      </c>
      <c r="AI7" s="52" t="s">
        <v>95</v>
      </c>
      <c r="AJ7" s="50" t="s">
        <v>93</v>
      </c>
      <c r="AK7" s="51" t="s">
        <v>94</v>
      </c>
      <c r="AL7" s="52" t="s">
        <v>95</v>
      </c>
      <c r="AM7" s="50" t="s">
        <v>93</v>
      </c>
      <c r="AN7" s="51" t="s">
        <v>94</v>
      </c>
      <c r="AO7" s="52" t="s">
        <v>95</v>
      </c>
      <c r="AP7" s="48"/>
      <c r="AQ7" s="48"/>
      <c r="AR7" s="48"/>
      <c r="AS7" s="48"/>
      <c r="AT7" s="48"/>
      <c r="AU7" s="48"/>
      <c r="AV7" s="48"/>
      <c r="AW7" s="48"/>
      <c r="AX7" s="48"/>
      <c r="AY7" s="48"/>
      <c r="AZ7" s="48"/>
      <c r="BA7" s="48"/>
      <c r="BB7" s="48"/>
      <c r="BC7" s="48"/>
      <c r="BD7" s="48"/>
      <c r="BE7" s="48"/>
      <c r="BF7" s="48"/>
      <c r="BG7" s="48"/>
      <c r="BH7" s="48"/>
      <c r="BI7" s="48"/>
    </row>
    <row r="8">
      <c r="A8" s="41" t="str">
        <f t="shared" ref="A8:A88" si="1">+$C$4&amp;B8</f>
        <v>Véhicules neufsVentes nettes</v>
      </c>
      <c r="B8" s="53" t="s">
        <v>96</v>
      </c>
      <c r="C8" s="54"/>
      <c r="D8" s="55"/>
      <c r="E8" s="56"/>
      <c r="F8" s="54"/>
      <c r="G8" s="55"/>
      <c r="H8" s="56"/>
      <c r="I8" s="54"/>
      <c r="J8" s="55"/>
      <c r="K8" s="56"/>
      <c r="L8" s="54"/>
      <c r="M8" s="55"/>
      <c r="N8" s="56"/>
      <c r="O8" s="54"/>
      <c r="P8" s="55"/>
      <c r="Q8" s="56"/>
      <c r="R8" s="54"/>
      <c r="S8" s="55"/>
      <c r="T8" s="56"/>
      <c r="U8" s="54"/>
      <c r="V8" s="55"/>
      <c r="W8" s="56"/>
      <c r="X8" s="54"/>
      <c r="Y8" s="55"/>
      <c r="Z8" s="56"/>
      <c r="AA8" s="54"/>
      <c r="AB8" s="55"/>
      <c r="AC8" s="56"/>
      <c r="AD8" s="54"/>
      <c r="AE8" s="55"/>
      <c r="AF8" s="56"/>
      <c r="AG8" s="54"/>
      <c r="AH8" s="55"/>
      <c r="AI8" s="56"/>
      <c r="AJ8" s="54"/>
      <c r="AK8" s="55"/>
      <c r="AL8" s="56"/>
      <c r="AM8" s="54"/>
      <c r="AN8" s="55"/>
      <c r="AO8" s="56"/>
      <c r="AP8" s="48"/>
      <c r="AQ8" s="48"/>
      <c r="AR8" s="48"/>
      <c r="AS8" s="48"/>
      <c r="AT8" s="48"/>
      <c r="AU8" s="48"/>
      <c r="AV8" s="48"/>
      <c r="AW8" s="48"/>
      <c r="AX8" s="48"/>
      <c r="AY8" s="48"/>
      <c r="AZ8" s="48"/>
      <c r="BA8" s="48"/>
      <c r="BB8" s="48"/>
      <c r="BC8" s="48"/>
      <c r="BD8" s="48"/>
      <c r="BE8" s="48"/>
      <c r="BF8" s="48"/>
      <c r="BG8" s="48"/>
      <c r="BH8" s="48"/>
      <c r="BI8" s="48"/>
    </row>
    <row r="9">
      <c r="A9" s="41" t="str">
        <f t="shared" si="1"/>
        <v>Véhicules neufsAutos détail</v>
      </c>
      <c r="B9" s="57" t="s">
        <v>97</v>
      </c>
      <c r="C9" s="58"/>
      <c r="D9" s="59"/>
      <c r="E9" s="60"/>
      <c r="F9" s="58"/>
      <c r="G9" s="59"/>
      <c r="H9" s="60"/>
      <c r="I9" s="58"/>
      <c r="J9" s="59"/>
      <c r="K9" s="60"/>
      <c r="L9" s="58"/>
      <c r="M9" s="59"/>
      <c r="N9" s="60"/>
      <c r="O9" s="58"/>
      <c r="P9" s="59"/>
      <c r="Q9" s="60"/>
      <c r="R9" s="58"/>
      <c r="S9" s="59"/>
      <c r="T9" s="60"/>
      <c r="U9" s="58"/>
      <c r="V9" s="59"/>
      <c r="W9" s="60"/>
      <c r="X9" s="58"/>
      <c r="Y9" s="59"/>
      <c r="Z9" s="60"/>
      <c r="AA9" s="58"/>
      <c r="AB9" s="59"/>
      <c r="AC9" s="60"/>
      <c r="AD9" s="58"/>
      <c r="AE9" s="59"/>
      <c r="AF9" s="60"/>
      <c r="AG9" s="58"/>
      <c r="AH9" s="59"/>
      <c r="AI9" s="60"/>
      <c r="AJ9" s="58"/>
      <c r="AK9" s="59"/>
      <c r="AL9" s="60"/>
      <c r="AM9" s="58"/>
      <c r="AN9" s="59"/>
      <c r="AO9" s="60"/>
      <c r="AP9" s="48"/>
      <c r="AQ9" s="48"/>
      <c r="AR9" s="48"/>
      <c r="AS9" s="48"/>
      <c r="AT9" s="48"/>
      <c r="AU9" s="48"/>
      <c r="AV9" s="48"/>
      <c r="AW9" s="48"/>
      <c r="AX9" s="48"/>
      <c r="AY9" s="48"/>
      <c r="AZ9" s="48"/>
      <c r="BA9" s="48"/>
      <c r="BB9" s="48"/>
      <c r="BC9" s="48"/>
      <c r="BD9" s="48"/>
      <c r="BE9" s="48"/>
      <c r="BF9" s="48"/>
      <c r="BG9" s="48"/>
      <c r="BH9" s="48"/>
      <c r="BI9" s="48"/>
    </row>
    <row r="10">
      <c r="A10" s="41" t="str">
        <f t="shared" si="1"/>
        <v>Véhicules neufsCamions détail</v>
      </c>
      <c r="B10" s="57" t="s">
        <v>98</v>
      </c>
      <c r="C10" s="58"/>
      <c r="D10" s="59"/>
      <c r="E10" s="60"/>
      <c r="F10" s="58"/>
      <c r="G10" s="59"/>
      <c r="H10" s="60"/>
      <c r="I10" s="58"/>
      <c r="J10" s="59"/>
      <c r="K10" s="60"/>
      <c r="L10" s="58"/>
      <c r="M10" s="59"/>
      <c r="N10" s="60"/>
      <c r="O10" s="58"/>
      <c r="P10" s="59"/>
      <c r="Q10" s="60"/>
      <c r="R10" s="58"/>
      <c r="S10" s="59"/>
      <c r="T10" s="60"/>
      <c r="U10" s="58"/>
      <c r="V10" s="59"/>
      <c r="W10" s="60"/>
      <c r="X10" s="58"/>
      <c r="Y10" s="59"/>
      <c r="Z10" s="60"/>
      <c r="AA10" s="58"/>
      <c r="AB10" s="59"/>
      <c r="AC10" s="60"/>
      <c r="AD10" s="58"/>
      <c r="AE10" s="59"/>
      <c r="AF10" s="60"/>
      <c r="AG10" s="58"/>
      <c r="AH10" s="59"/>
      <c r="AI10" s="60"/>
      <c r="AJ10" s="58"/>
      <c r="AK10" s="59"/>
      <c r="AL10" s="60"/>
      <c r="AM10" s="58"/>
      <c r="AN10" s="59"/>
      <c r="AO10" s="60"/>
      <c r="AP10" s="48"/>
      <c r="AQ10" s="48"/>
      <c r="AR10" s="48"/>
      <c r="AS10" s="48"/>
      <c r="AT10" s="48"/>
      <c r="AU10" s="48"/>
      <c r="AV10" s="48"/>
      <c r="AW10" s="48"/>
      <c r="AX10" s="48"/>
      <c r="AY10" s="48"/>
      <c r="AZ10" s="48"/>
      <c r="BA10" s="48"/>
      <c r="BB10" s="48"/>
      <c r="BC10" s="48"/>
      <c r="BD10" s="48"/>
      <c r="BE10" s="48"/>
      <c r="BF10" s="48"/>
      <c r="BG10" s="48"/>
      <c r="BH10" s="48"/>
      <c r="BI10" s="48"/>
    </row>
    <row r="11">
      <c r="A11" s="41" t="str">
        <f t="shared" si="1"/>
        <v>Véhicules neufsSprinter</v>
      </c>
      <c r="B11" s="57" t="s">
        <v>99</v>
      </c>
      <c r="C11" s="58"/>
      <c r="D11" s="59"/>
      <c r="E11" s="60"/>
      <c r="F11" s="58"/>
      <c r="G11" s="59"/>
      <c r="H11" s="60"/>
      <c r="I11" s="58"/>
      <c r="J11" s="59"/>
      <c r="K11" s="60"/>
      <c r="L11" s="58"/>
      <c r="M11" s="59"/>
      <c r="N11" s="60"/>
      <c r="O11" s="58"/>
      <c r="P11" s="59"/>
      <c r="Q11" s="60"/>
      <c r="R11" s="58"/>
      <c r="S11" s="59"/>
      <c r="T11" s="60"/>
      <c r="U11" s="58"/>
      <c r="V11" s="59"/>
      <c r="W11" s="60"/>
      <c r="X11" s="58"/>
      <c r="Y11" s="59"/>
      <c r="Z11" s="60"/>
      <c r="AA11" s="58"/>
      <c r="AB11" s="59"/>
      <c r="AC11" s="60"/>
      <c r="AD11" s="58"/>
      <c r="AE11" s="59"/>
      <c r="AF11" s="60"/>
      <c r="AG11" s="58"/>
      <c r="AH11" s="59"/>
      <c r="AI11" s="60"/>
      <c r="AJ11" s="58"/>
      <c r="AK11" s="59"/>
      <c r="AL11" s="60"/>
      <c r="AM11" s="58"/>
      <c r="AN11" s="59"/>
      <c r="AO11" s="60"/>
      <c r="AP11" s="48"/>
      <c r="AQ11" s="48"/>
      <c r="AR11" s="48"/>
      <c r="AS11" s="48"/>
      <c r="AT11" s="48"/>
      <c r="AU11" s="48"/>
      <c r="AV11" s="48"/>
      <c r="AW11" s="48"/>
      <c r="AX11" s="48"/>
      <c r="AY11" s="48"/>
      <c r="AZ11" s="48"/>
      <c r="BA11" s="48"/>
      <c r="BB11" s="48"/>
      <c r="BC11" s="48"/>
      <c r="BD11" s="48"/>
      <c r="BE11" s="48"/>
      <c r="BF11" s="48"/>
      <c r="BG11" s="48"/>
      <c r="BH11" s="48"/>
      <c r="BI11" s="48"/>
    </row>
    <row r="12">
      <c r="A12" s="41" t="str">
        <f t="shared" si="1"/>
        <v>Véhicules neufsMoto détail</v>
      </c>
      <c r="B12" s="57" t="s">
        <v>100</v>
      </c>
      <c r="C12" s="58"/>
      <c r="D12" s="59"/>
      <c r="E12" s="60"/>
      <c r="F12" s="58"/>
      <c r="G12" s="59"/>
      <c r="H12" s="60"/>
      <c r="I12" s="58"/>
      <c r="J12" s="59"/>
      <c r="K12" s="60"/>
      <c r="L12" s="58"/>
      <c r="M12" s="59"/>
      <c r="N12" s="60"/>
      <c r="O12" s="58"/>
      <c r="P12" s="59"/>
      <c r="Q12" s="60"/>
      <c r="R12" s="58"/>
      <c r="S12" s="59"/>
      <c r="T12" s="60"/>
      <c r="U12" s="58"/>
      <c r="V12" s="59"/>
      <c r="W12" s="60"/>
      <c r="X12" s="58"/>
      <c r="Y12" s="59"/>
      <c r="Z12" s="60"/>
      <c r="AA12" s="58"/>
      <c r="AB12" s="59"/>
      <c r="AC12" s="60"/>
      <c r="AD12" s="58"/>
      <c r="AE12" s="59"/>
      <c r="AF12" s="60"/>
      <c r="AG12" s="58"/>
      <c r="AH12" s="59"/>
      <c r="AI12" s="60"/>
      <c r="AJ12" s="58"/>
      <c r="AK12" s="59"/>
      <c r="AL12" s="60"/>
      <c r="AM12" s="58"/>
      <c r="AN12" s="59"/>
      <c r="AO12" s="60"/>
      <c r="AP12" s="48"/>
      <c r="AQ12" s="48"/>
      <c r="AR12" s="48"/>
      <c r="AS12" s="48"/>
      <c r="AT12" s="48"/>
      <c r="AU12" s="48"/>
      <c r="AV12" s="48"/>
      <c r="AW12" s="48"/>
      <c r="AX12" s="48"/>
      <c r="AY12" s="48"/>
      <c r="AZ12" s="48"/>
      <c r="BA12" s="48"/>
      <c r="BB12" s="48"/>
      <c r="BC12" s="48"/>
      <c r="BD12" s="48"/>
      <c r="BE12" s="48"/>
      <c r="BF12" s="48"/>
      <c r="BG12" s="48"/>
      <c r="BH12" s="48"/>
      <c r="BI12" s="48"/>
    </row>
    <row r="13">
      <c r="A13" s="41" t="str">
        <f t="shared" si="1"/>
        <v>Véhicules neufs[...]</v>
      </c>
      <c r="B13" s="57" t="s">
        <v>56</v>
      </c>
      <c r="C13" s="58"/>
      <c r="D13" s="59"/>
      <c r="E13" s="60"/>
      <c r="F13" s="58"/>
      <c r="G13" s="59"/>
      <c r="H13" s="60"/>
      <c r="I13" s="58"/>
      <c r="J13" s="59"/>
      <c r="K13" s="60"/>
      <c r="L13" s="58"/>
      <c r="M13" s="59"/>
      <c r="N13" s="60"/>
      <c r="O13" s="58"/>
      <c r="P13" s="59"/>
      <c r="Q13" s="60"/>
      <c r="R13" s="58"/>
      <c r="S13" s="59"/>
      <c r="T13" s="60"/>
      <c r="U13" s="58"/>
      <c r="V13" s="59"/>
      <c r="W13" s="60"/>
      <c r="X13" s="58"/>
      <c r="Y13" s="59"/>
      <c r="Z13" s="60"/>
      <c r="AA13" s="58"/>
      <c r="AB13" s="59"/>
      <c r="AC13" s="60"/>
      <c r="AD13" s="58"/>
      <c r="AE13" s="59"/>
      <c r="AF13" s="60"/>
      <c r="AG13" s="58"/>
      <c r="AH13" s="59"/>
      <c r="AI13" s="60"/>
      <c r="AJ13" s="58"/>
      <c r="AK13" s="59"/>
      <c r="AL13" s="60"/>
      <c r="AM13" s="58"/>
      <c r="AN13" s="59"/>
      <c r="AO13" s="60"/>
      <c r="AP13" s="48"/>
      <c r="AQ13" s="48"/>
      <c r="AR13" s="48"/>
      <c r="AS13" s="48"/>
      <c r="AT13" s="48"/>
      <c r="AU13" s="48"/>
      <c r="AV13" s="48"/>
      <c r="AW13" s="48"/>
      <c r="AX13" s="48"/>
      <c r="AY13" s="48"/>
      <c r="AZ13" s="48"/>
      <c r="BA13" s="48"/>
      <c r="BB13" s="48"/>
      <c r="BC13" s="48"/>
      <c r="BD13" s="48"/>
      <c r="BE13" s="48"/>
      <c r="BF13" s="48"/>
      <c r="BG13" s="48"/>
      <c r="BH13" s="48"/>
      <c r="BI13" s="48"/>
    </row>
    <row r="14">
      <c r="A14" s="41" t="str">
        <f t="shared" si="1"/>
        <v>Véhicules neufs[...]</v>
      </c>
      <c r="B14" s="57" t="s">
        <v>56</v>
      </c>
      <c r="C14" s="58"/>
      <c r="D14" s="59"/>
      <c r="E14" s="60"/>
      <c r="F14" s="58"/>
      <c r="G14" s="59"/>
      <c r="H14" s="60"/>
      <c r="I14" s="58"/>
      <c r="J14" s="59"/>
      <c r="K14" s="60"/>
      <c r="L14" s="58"/>
      <c r="M14" s="59"/>
      <c r="N14" s="60"/>
      <c r="O14" s="58"/>
      <c r="P14" s="59"/>
      <c r="Q14" s="60"/>
      <c r="R14" s="58"/>
      <c r="S14" s="59"/>
      <c r="T14" s="60"/>
      <c r="U14" s="58"/>
      <c r="V14" s="59"/>
      <c r="W14" s="60"/>
      <c r="X14" s="58"/>
      <c r="Y14" s="59"/>
      <c r="Z14" s="60"/>
      <c r="AA14" s="58"/>
      <c r="AB14" s="59"/>
      <c r="AC14" s="60"/>
      <c r="AD14" s="58"/>
      <c r="AE14" s="59"/>
      <c r="AF14" s="60"/>
      <c r="AG14" s="58"/>
      <c r="AH14" s="59"/>
      <c r="AI14" s="60"/>
      <c r="AJ14" s="58"/>
      <c r="AK14" s="59"/>
      <c r="AL14" s="60"/>
      <c r="AM14" s="58"/>
      <c r="AN14" s="59"/>
      <c r="AO14" s="60"/>
      <c r="AP14" s="48"/>
      <c r="AQ14" s="48"/>
      <c r="AR14" s="48"/>
      <c r="AS14" s="48"/>
      <c r="AT14" s="48"/>
      <c r="AU14" s="48"/>
      <c r="AV14" s="48"/>
      <c r="AW14" s="48"/>
      <c r="AX14" s="48"/>
      <c r="AY14" s="48"/>
      <c r="AZ14" s="48"/>
      <c r="BA14" s="48"/>
      <c r="BB14" s="48"/>
      <c r="BC14" s="48"/>
      <c r="BD14" s="48"/>
      <c r="BE14" s="48"/>
      <c r="BF14" s="48"/>
      <c r="BG14" s="48"/>
      <c r="BH14" s="48"/>
      <c r="BI14" s="48"/>
    </row>
    <row r="15">
      <c r="A15" s="41" t="str">
        <f t="shared" si="1"/>
        <v>Véhicules neufs[...]</v>
      </c>
      <c r="B15" s="57" t="s">
        <v>56</v>
      </c>
      <c r="C15" s="58"/>
      <c r="D15" s="59"/>
      <c r="E15" s="60"/>
      <c r="F15" s="58"/>
      <c r="G15" s="59"/>
      <c r="H15" s="60"/>
      <c r="I15" s="58"/>
      <c r="J15" s="59"/>
      <c r="K15" s="60"/>
      <c r="L15" s="58"/>
      <c r="M15" s="59"/>
      <c r="N15" s="60"/>
      <c r="O15" s="58"/>
      <c r="P15" s="59"/>
      <c r="Q15" s="60"/>
      <c r="R15" s="58"/>
      <c r="S15" s="59"/>
      <c r="T15" s="60"/>
      <c r="U15" s="58"/>
      <c r="V15" s="59"/>
      <c r="W15" s="60"/>
      <c r="X15" s="58"/>
      <c r="Y15" s="59"/>
      <c r="Z15" s="60"/>
      <c r="AA15" s="58"/>
      <c r="AB15" s="59"/>
      <c r="AC15" s="60"/>
      <c r="AD15" s="58"/>
      <c r="AE15" s="59"/>
      <c r="AF15" s="60"/>
      <c r="AG15" s="58"/>
      <c r="AH15" s="59"/>
      <c r="AI15" s="60"/>
      <c r="AJ15" s="58"/>
      <c r="AK15" s="59"/>
      <c r="AL15" s="60"/>
      <c r="AM15" s="58"/>
      <c r="AN15" s="59"/>
      <c r="AO15" s="60"/>
      <c r="AP15" s="48"/>
      <c r="AQ15" s="48"/>
      <c r="AR15" s="48"/>
      <c r="AS15" s="48"/>
      <c r="AT15" s="48"/>
      <c r="AU15" s="48"/>
      <c r="AV15" s="48"/>
      <c r="AW15" s="48"/>
      <c r="AX15" s="48"/>
      <c r="AY15" s="48"/>
      <c r="AZ15" s="48"/>
      <c r="BA15" s="48"/>
      <c r="BB15" s="48"/>
      <c r="BC15" s="48"/>
      <c r="BD15" s="48"/>
      <c r="BE15" s="48"/>
      <c r="BF15" s="48"/>
      <c r="BG15" s="48"/>
      <c r="BH15" s="48"/>
      <c r="BI15" s="48"/>
    </row>
    <row r="16">
      <c r="A16" s="41" t="str">
        <f t="shared" si="1"/>
        <v>Véhicules neufsTotal Neufs</v>
      </c>
      <c r="B16" s="61" t="s">
        <v>101</v>
      </c>
      <c r="C16" s="62"/>
      <c r="D16" s="63"/>
      <c r="E16" s="64"/>
      <c r="F16" s="62"/>
      <c r="G16" s="63"/>
      <c r="H16" s="64"/>
      <c r="I16" s="62"/>
      <c r="J16" s="63"/>
      <c r="K16" s="64"/>
      <c r="L16" s="62"/>
      <c r="M16" s="63"/>
      <c r="N16" s="64"/>
      <c r="O16" s="62"/>
      <c r="P16" s="63"/>
      <c r="Q16" s="64"/>
      <c r="R16" s="62"/>
      <c r="S16" s="63"/>
      <c r="T16" s="64"/>
      <c r="U16" s="62"/>
      <c r="V16" s="63"/>
      <c r="W16" s="64"/>
      <c r="X16" s="62"/>
      <c r="Y16" s="63"/>
      <c r="Z16" s="64"/>
      <c r="AA16" s="62"/>
      <c r="AB16" s="63"/>
      <c r="AC16" s="64"/>
      <c r="AD16" s="62"/>
      <c r="AE16" s="63"/>
      <c r="AF16" s="64"/>
      <c r="AG16" s="62"/>
      <c r="AH16" s="63"/>
      <c r="AI16" s="64"/>
      <c r="AJ16" s="62"/>
      <c r="AK16" s="63"/>
      <c r="AL16" s="64"/>
      <c r="AM16" s="62"/>
      <c r="AN16" s="63"/>
      <c r="AO16" s="64"/>
      <c r="AP16" s="48"/>
      <c r="AQ16" s="48"/>
      <c r="AR16" s="48"/>
      <c r="AS16" s="48"/>
      <c r="AT16" s="48"/>
      <c r="AU16" s="48"/>
      <c r="AV16" s="48"/>
      <c r="AW16" s="48"/>
      <c r="AX16" s="48"/>
      <c r="AY16" s="48"/>
      <c r="AZ16" s="48"/>
      <c r="BA16" s="48"/>
      <c r="BB16" s="48"/>
      <c r="BC16" s="48"/>
      <c r="BD16" s="48"/>
      <c r="BE16" s="48"/>
      <c r="BF16" s="48"/>
      <c r="BG16" s="48"/>
      <c r="BH16" s="48"/>
      <c r="BI16" s="48"/>
    </row>
    <row r="17">
      <c r="A17" s="41" t="str">
        <f t="shared" si="1"/>
        <v>Véhicules neufs</v>
      </c>
      <c r="B17" s="57"/>
      <c r="C17" s="57"/>
      <c r="D17" s="59"/>
      <c r="E17" s="65"/>
      <c r="F17" s="57"/>
      <c r="G17" s="59"/>
      <c r="H17" s="65"/>
      <c r="I17" s="57"/>
      <c r="J17" s="59"/>
      <c r="K17" s="65"/>
      <c r="L17" s="57"/>
      <c r="M17" s="59"/>
      <c r="N17" s="65"/>
      <c r="O17" s="57"/>
      <c r="P17" s="59"/>
      <c r="Q17" s="65"/>
      <c r="R17" s="57"/>
      <c r="S17" s="59"/>
      <c r="T17" s="65"/>
      <c r="U17" s="57"/>
      <c r="V17" s="59"/>
      <c r="W17" s="65"/>
      <c r="X17" s="57"/>
      <c r="Y17" s="59"/>
      <c r="Z17" s="65"/>
      <c r="AA17" s="57"/>
      <c r="AB17" s="59"/>
      <c r="AC17" s="65"/>
      <c r="AD17" s="57"/>
      <c r="AE17" s="59"/>
      <c r="AF17" s="65"/>
      <c r="AG17" s="57"/>
      <c r="AH17" s="59"/>
      <c r="AI17" s="65"/>
      <c r="AJ17" s="57"/>
      <c r="AK17" s="59"/>
      <c r="AL17" s="65"/>
      <c r="AM17" s="57"/>
      <c r="AN17" s="59"/>
      <c r="AO17" s="65"/>
      <c r="AP17" s="48"/>
      <c r="AQ17" s="48"/>
      <c r="AR17" s="48"/>
      <c r="AS17" s="48"/>
      <c r="AT17" s="48"/>
      <c r="AU17" s="48"/>
      <c r="AV17" s="48"/>
      <c r="AW17" s="48"/>
      <c r="AX17" s="48"/>
      <c r="AY17" s="48"/>
      <c r="AZ17" s="48"/>
      <c r="BA17" s="48"/>
      <c r="BB17" s="48"/>
      <c r="BC17" s="48"/>
      <c r="BD17" s="48"/>
      <c r="BE17" s="48"/>
      <c r="BF17" s="48"/>
      <c r="BG17" s="48"/>
      <c r="BH17" s="48"/>
      <c r="BI17" s="48"/>
    </row>
    <row r="18">
      <c r="A18" s="41" t="str">
        <f t="shared" si="1"/>
        <v>Véhicules neufsEx-Démos et courtoisies</v>
      </c>
      <c r="B18" s="66" t="s">
        <v>102</v>
      </c>
      <c r="C18" s="67"/>
      <c r="D18" s="68"/>
      <c r="E18" s="69"/>
      <c r="F18" s="67"/>
      <c r="G18" s="68"/>
      <c r="H18" s="69"/>
      <c r="I18" s="67"/>
      <c r="J18" s="68"/>
      <c r="K18" s="69"/>
      <c r="L18" s="67"/>
      <c r="M18" s="68"/>
      <c r="N18" s="69"/>
      <c r="O18" s="67"/>
      <c r="P18" s="68"/>
      <c r="Q18" s="69"/>
      <c r="R18" s="67"/>
      <c r="S18" s="68"/>
      <c r="T18" s="69"/>
      <c r="U18" s="67"/>
      <c r="V18" s="68"/>
      <c r="W18" s="69"/>
      <c r="X18" s="67"/>
      <c r="Y18" s="68"/>
      <c r="Z18" s="69"/>
      <c r="AA18" s="67"/>
      <c r="AB18" s="68"/>
      <c r="AC18" s="69"/>
      <c r="AD18" s="67"/>
      <c r="AE18" s="68"/>
      <c r="AF18" s="69"/>
      <c r="AG18" s="67"/>
      <c r="AH18" s="68"/>
      <c r="AI18" s="69"/>
      <c r="AJ18" s="67"/>
      <c r="AK18" s="68"/>
      <c r="AL18" s="69"/>
      <c r="AM18" s="67"/>
      <c r="AN18" s="68"/>
      <c r="AO18" s="69"/>
      <c r="AP18" s="48"/>
      <c r="AQ18" s="48"/>
      <c r="AR18" s="48"/>
      <c r="AS18" s="48"/>
      <c r="AT18" s="48"/>
      <c r="AU18" s="48"/>
      <c r="AV18" s="48"/>
      <c r="AW18" s="48"/>
      <c r="AX18" s="48"/>
      <c r="AY18" s="48"/>
      <c r="AZ18" s="48"/>
      <c r="BA18" s="48"/>
      <c r="BB18" s="48"/>
      <c r="BC18" s="48"/>
      <c r="BD18" s="48"/>
      <c r="BE18" s="48"/>
      <c r="BF18" s="48"/>
      <c r="BG18" s="48"/>
      <c r="BH18" s="48"/>
      <c r="BI18" s="48"/>
    </row>
    <row r="19">
      <c r="A19" s="41" t="str">
        <f t="shared" si="1"/>
        <v>Véhicules neufs</v>
      </c>
      <c r="B19" s="57"/>
      <c r="C19" s="57"/>
      <c r="D19" s="59"/>
      <c r="E19" s="65"/>
      <c r="F19" s="57"/>
      <c r="G19" s="59"/>
      <c r="H19" s="65"/>
      <c r="I19" s="57"/>
      <c r="J19" s="59"/>
      <c r="K19" s="65"/>
      <c r="L19" s="57"/>
      <c r="M19" s="59"/>
      <c r="N19" s="65"/>
      <c r="O19" s="57"/>
      <c r="P19" s="59"/>
      <c r="Q19" s="65"/>
      <c r="R19" s="57"/>
      <c r="S19" s="59"/>
      <c r="T19" s="65"/>
      <c r="U19" s="57"/>
      <c r="V19" s="59"/>
      <c r="W19" s="65"/>
      <c r="X19" s="57"/>
      <c r="Y19" s="59"/>
      <c r="Z19" s="65"/>
      <c r="AA19" s="57"/>
      <c r="AB19" s="59"/>
      <c r="AC19" s="65"/>
      <c r="AD19" s="57"/>
      <c r="AE19" s="59"/>
      <c r="AF19" s="65"/>
      <c r="AG19" s="57"/>
      <c r="AH19" s="59"/>
      <c r="AI19" s="65"/>
      <c r="AJ19" s="57"/>
      <c r="AK19" s="59"/>
      <c r="AL19" s="65"/>
      <c r="AM19" s="57"/>
      <c r="AN19" s="59"/>
      <c r="AO19" s="65"/>
      <c r="AP19" s="48"/>
      <c r="AQ19" s="48"/>
      <c r="AR19" s="48"/>
      <c r="AS19" s="48"/>
      <c r="AT19" s="48"/>
      <c r="AU19" s="48"/>
      <c r="AV19" s="48"/>
      <c r="AW19" s="48"/>
      <c r="AX19" s="48"/>
      <c r="AY19" s="48"/>
      <c r="AZ19" s="48"/>
      <c r="BA19" s="48"/>
      <c r="BB19" s="48"/>
      <c r="BC19" s="48"/>
      <c r="BD19" s="48"/>
      <c r="BE19" s="48"/>
      <c r="BF19" s="48"/>
      <c r="BG19" s="48"/>
      <c r="BH19" s="48"/>
      <c r="BI19" s="48"/>
    </row>
    <row r="20">
      <c r="A20" s="41" t="str">
        <f t="shared" si="1"/>
        <v>Véhicules neufsFlottes</v>
      </c>
      <c r="B20" s="70" t="s">
        <v>103</v>
      </c>
      <c r="C20" s="58"/>
      <c r="D20" s="59"/>
      <c r="E20" s="60"/>
      <c r="F20" s="58"/>
      <c r="G20" s="59"/>
      <c r="H20" s="60"/>
      <c r="I20" s="58"/>
      <c r="J20" s="59"/>
      <c r="K20" s="60"/>
      <c r="L20" s="58"/>
      <c r="M20" s="59"/>
      <c r="N20" s="60"/>
      <c r="O20" s="58"/>
      <c r="P20" s="59"/>
      <c r="Q20" s="60"/>
      <c r="R20" s="58"/>
      <c r="S20" s="59"/>
      <c r="T20" s="60"/>
      <c r="U20" s="58"/>
      <c r="V20" s="59"/>
      <c r="W20" s="60"/>
      <c r="X20" s="58"/>
      <c r="Y20" s="59"/>
      <c r="Z20" s="60"/>
      <c r="AA20" s="58"/>
      <c r="AB20" s="59"/>
      <c r="AC20" s="60"/>
      <c r="AD20" s="58"/>
      <c r="AE20" s="59"/>
      <c r="AF20" s="60"/>
      <c r="AG20" s="58"/>
      <c r="AH20" s="68"/>
      <c r="AI20" s="60"/>
      <c r="AJ20" s="58"/>
      <c r="AK20" s="68"/>
      <c r="AL20" s="60"/>
      <c r="AM20" s="58"/>
      <c r="AN20" s="68"/>
      <c r="AO20" s="60"/>
      <c r="AP20" s="48"/>
      <c r="AQ20" s="48"/>
      <c r="AR20" s="48"/>
      <c r="AS20" s="48"/>
      <c r="AT20" s="48"/>
      <c r="AU20" s="48"/>
      <c r="AV20" s="48"/>
      <c r="AW20" s="48"/>
      <c r="AX20" s="48"/>
      <c r="AY20" s="48"/>
      <c r="AZ20" s="48"/>
      <c r="BA20" s="48"/>
      <c r="BB20" s="48"/>
      <c r="BC20" s="48"/>
      <c r="BD20" s="48"/>
      <c r="BE20" s="48"/>
      <c r="BF20" s="48"/>
      <c r="BG20" s="48"/>
      <c r="BH20" s="48"/>
      <c r="BI20" s="48"/>
    </row>
    <row r="21" ht="15.75" customHeight="1">
      <c r="A21" s="41" t="str">
        <f t="shared" si="1"/>
        <v>Véhicules neufs</v>
      </c>
      <c r="B21" s="61"/>
      <c r="C21" s="71"/>
      <c r="D21" s="72"/>
      <c r="E21" s="73"/>
      <c r="F21" s="71"/>
      <c r="G21" s="72"/>
      <c r="H21" s="73"/>
      <c r="I21" s="71"/>
      <c r="J21" s="72"/>
      <c r="K21" s="73"/>
      <c r="L21" s="71"/>
      <c r="M21" s="72"/>
      <c r="N21" s="73"/>
      <c r="O21" s="71"/>
      <c r="P21" s="72"/>
      <c r="Q21" s="73"/>
      <c r="R21" s="71"/>
      <c r="S21" s="72"/>
      <c r="T21" s="73"/>
      <c r="U21" s="71"/>
      <c r="V21" s="72"/>
      <c r="W21" s="73"/>
      <c r="X21" s="71"/>
      <c r="Y21" s="72"/>
      <c r="Z21" s="73"/>
      <c r="AA21" s="71"/>
      <c r="AB21" s="72"/>
      <c r="AC21" s="73"/>
      <c r="AD21" s="71"/>
      <c r="AE21" s="72"/>
      <c r="AF21" s="73"/>
      <c r="AG21" s="71"/>
      <c r="AH21" s="72"/>
      <c r="AI21" s="73"/>
      <c r="AJ21" s="71"/>
      <c r="AK21" s="72"/>
      <c r="AL21" s="73"/>
      <c r="AM21" s="71"/>
      <c r="AN21" s="72"/>
      <c r="AO21" s="73"/>
      <c r="AP21" s="48"/>
      <c r="AQ21" s="48"/>
      <c r="AR21" s="48"/>
      <c r="AS21" s="48"/>
      <c r="AT21" s="48"/>
      <c r="AU21" s="48"/>
      <c r="AV21" s="48"/>
      <c r="AW21" s="48"/>
      <c r="AX21" s="48"/>
      <c r="AY21" s="48"/>
      <c r="AZ21" s="48"/>
      <c r="BA21" s="48"/>
      <c r="BB21" s="48"/>
      <c r="BC21" s="48"/>
      <c r="BD21" s="48"/>
      <c r="BE21" s="48"/>
      <c r="BF21" s="48"/>
      <c r="BG21" s="48"/>
      <c r="BH21" s="48"/>
      <c r="BI21" s="48"/>
    </row>
    <row r="22" ht="15.75" customHeight="1">
      <c r="A22" s="41" t="str">
        <f t="shared" si="1"/>
        <v>Véhicules neufsRachat bail</v>
      </c>
      <c r="B22" s="66" t="s">
        <v>104</v>
      </c>
      <c r="C22" s="58"/>
      <c r="D22" s="59"/>
      <c r="E22" s="60"/>
      <c r="F22" s="58"/>
      <c r="G22" s="59"/>
      <c r="H22" s="60"/>
      <c r="I22" s="58"/>
      <c r="J22" s="59"/>
      <c r="K22" s="60"/>
      <c r="L22" s="58"/>
      <c r="M22" s="59"/>
      <c r="N22" s="60"/>
      <c r="O22" s="58"/>
      <c r="P22" s="59"/>
      <c r="Q22" s="60"/>
      <c r="R22" s="58"/>
      <c r="S22" s="59"/>
      <c r="T22" s="60"/>
      <c r="U22" s="58"/>
      <c r="V22" s="59"/>
      <c r="W22" s="60"/>
      <c r="X22" s="58"/>
      <c r="Y22" s="59"/>
      <c r="Z22" s="60"/>
      <c r="AA22" s="58"/>
      <c r="AB22" s="59"/>
      <c r="AC22" s="60"/>
      <c r="AD22" s="58"/>
      <c r="AE22" s="59"/>
      <c r="AF22" s="60"/>
      <c r="AG22" s="58"/>
      <c r="AH22" s="59"/>
      <c r="AI22" s="60"/>
      <c r="AJ22" s="58"/>
      <c r="AK22" s="59"/>
      <c r="AL22" s="60"/>
      <c r="AM22" s="58"/>
      <c r="AN22" s="59"/>
      <c r="AO22" s="60"/>
      <c r="AP22" s="48"/>
      <c r="AQ22" s="48"/>
      <c r="AR22" s="48"/>
      <c r="AS22" s="48"/>
      <c r="AT22" s="48"/>
      <c r="AU22" s="48"/>
      <c r="AV22" s="48"/>
      <c r="AW22" s="48"/>
      <c r="AX22" s="48"/>
      <c r="AY22" s="48"/>
      <c r="AZ22" s="48"/>
      <c r="BA22" s="48"/>
      <c r="BB22" s="48"/>
      <c r="BC22" s="48"/>
      <c r="BD22" s="48"/>
      <c r="BE22" s="48"/>
      <c r="BF22" s="48"/>
      <c r="BG22" s="48"/>
      <c r="BH22" s="48"/>
      <c r="BI22" s="48"/>
    </row>
    <row r="23" ht="15.75" customHeight="1">
      <c r="A23" s="41" t="str">
        <f t="shared" si="1"/>
        <v>Véhicules neufs</v>
      </c>
      <c r="B23" s="61"/>
      <c r="C23" s="71"/>
      <c r="D23" s="72"/>
      <c r="E23" s="73"/>
      <c r="F23" s="71"/>
      <c r="G23" s="72"/>
      <c r="H23" s="73"/>
      <c r="I23" s="71"/>
      <c r="J23" s="72"/>
      <c r="K23" s="73"/>
      <c r="L23" s="71"/>
      <c r="M23" s="72"/>
      <c r="N23" s="73"/>
      <c r="O23" s="71"/>
      <c r="P23" s="72"/>
      <c r="Q23" s="73"/>
      <c r="R23" s="71"/>
      <c r="S23" s="72"/>
      <c r="T23" s="73"/>
      <c r="U23" s="71"/>
      <c r="V23" s="72"/>
      <c r="W23" s="73"/>
      <c r="X23" s="71"/>
      <c r="Y23" s="72"/>
      <c r="Z23" s="73"/>
      <c r="AA23" s="71"/>
      <c r="AB23" s="72"/>
      <c r="AC23" s="73"/>
      <c r="AD23" s="71"/>
      <c r="AE23" s="72"/>
      <c r="AF23" s="73"/>
      <c r="AG23" s="71"/>
      <c r="AH23" s="72"/>
      <c r="AI23" s="73"/>
      <c r="AJ23" s="71"/>
      <c r="AK23" s="72"/>
      <c r="AL23" s="73"/>
      <c r="AM23" s="71"/>
      <c r="AN23" s="72"/>
      <c r="AO23" s="73"/>
      <c r="AP23" s="48"/>
      <c r="AQ23" s="48"/>
      <c r="AR23" s="48"/>
      <c r="AS23" s="48"/>
      <c r="AT23" s="48"/>
      <c r="AU23" s="48"/>
      <c r="AV23" s="48"/>
      <c r="AW23" s="48"/>
      <c r="AX23" s="48"/>
      <c r="AY23" s="48"/>
      <c r="AZ23" s="48"/>
      <c r="BA23" s="48"/>
      <c r="BB23" s="48"/>
      <c r="BC23" s="48"/>
      <c r="BD23" s="48"/>
      <c r="BE23" s="48"/>
      <c r="BF23" s="48"/>
      <c r="BG23" s="48"/>
      <c r="BH23" s="48"/>
      <c r="BI23" s="48"/>
    </row>
    <row r="24" ht="15.75" customHeight="1">
      <c r="A24" s="41" t="str">
        <f t="shared" si="1"/>
        <v>Véhicules neufsRev. Finances</v>
      </c>
      <c r="B24" s="57" t="s">
        <v>105</v>
      </c>
      <c r="C24" s="58"/>
      <c r="D24" s="59"/>
      <c r="E24" s="60"/>
      <c r="F24" s="58"/>
      <c r="G24" s="59"/>
      <c r="H24" s="60"/>
      <c r="I24" s="58"/>
      <c r="J24" s="59"/>
      <c r="K24" s="60"/>
      <c r="L24" s="58"/>
      <c r="M24" s="59"/>
      <c r="N24" s="60"/>
      <c r="O24" s="58"/>
      <c r="P24" s="59"/>
      <c r="Q24" s="60"/>
      <c r="R24" s="58"/>
      <c r="S24" s="59"/>
      <c r="T24" s="60"/>
      <c r="U24" s="58"/>
      <c r="V24" s="59"/>
      <c r="W24" s="60"/>
      <c r="X24" s="58"/>
      <c r="Y24" s="59"/>
      <c r="Z24" s="60"/>
      <c r="AA24" s="58"/>
      <c r="AB24" s="59"/>
      <c r="AC24" s="60"/>
      <c r="AD24" s="58"/>
      <c r="AE24" s="59"/>
      <c r="AF24" s="60"/>
      <c r="AG24" s="58"/>
      <c r="AH24" s="59"/>
      <c r="AI24" s="60"/>
      <c r="AJ24" s="58"/>
      <c r="AK24" s="59"/>
      <c r="AL24" s="60"/>
      <c r="AM24" s="58"/>
      <c r="AN24" s="59"/>
      <c r="AO24" s="60"/>
      <c r="AP24" s="48"/>
      <c r="AQ24" s="48"/>
      <c r="AR24" s="48"/>
      <c r="AS24" s="48"/>
      <c r="AT24" s="48"/>
      <c r="AU24" s="48"/>
      <c r="AV24" s="48"/>
      <c r="AW24" s="48"/>
      <c r="AX24" s="48"/>
      <c r="AY24" s="48"/>
      <c r="AZ24" s="48"/>
      <c r="BA24" s="48"/>
      <c r="BB24" s="48"/>
      <c r="BC24" s="48"/>
      <c r="BD24" s="48"/>
      <c r="BE24" s="48"/>
      <c r="BF24" s="48"/>
      <c r="BG24" s="48"/>
      <c r="BH24" s="48"/>
      <c r="BI24" s="48"/>
    </row>
    <row r="25" ht="15.75" customHeight="1">
      <c r="A25" s="41" t="str">
        <f t="shared" si="1"/>
        <v>Véhicules neufsRev. Protections</v>
      </c>
      <c r="B25" s="57" t="s">
        <v>106</v>
      </c>
      <c r="C25" s="58"/>
      <c r="D25" s="59"/>
      <c r="E25" s="60"/>
      <c r="F25" s="58"/>
      <c r="G25" s="59"/>
      <c r="H25" s="60"/>
      <c r="I25" s="58"/>
      <c r="J25" s="59"/>
      <c r="K25" s="60"/>
      <c r="L25" s="58"/>
      <c r="M25" s="59"/>
      <c r="N25" s="60"/>
      <c r="O25" s="58"/>
      <c r="P25" s="59"/>
      <c r="Q25" s="60"/>
      <c r="R25" s="58"/>
      <c r="S25" s="59"/>
      <c r="T25" s="60"/>
      <c r="U25" s="58"/>
      <c r="V25" s="59"/>
      <c r="W25" s="60"/>
      <c r="X25" s="58"/>
      <c r="Y25" s="59"/>
      <c r="Z25" s="60"/>
      <c r="AA25" s="58"/>
      <c r="AB25" s="59"/>
      <c r="AC25" s="60"/>
      <c r="AD25" s="58"/>
      <c r="AE25" s="59"/>
      <c r="AF25" s="60"/>
      <c r="AG25" s="58"/>
      <c r="AH25" s="59"/>
      <c r="AI25" s="60"/>
      <c r="AJ25" s="58"/>
      <c r="AK25" s="59"/>
      <c r="AL25" s="60"/>
      <c r="AM25" s="58"/>
      <c r="AN25" s="59"/>
      <c r="AO25" s="60"/>
      <c r="AP25" s="48"/>
      <c r="AQ25" s="48"/>
      <c r="AR25" s="48"/>
      <c r="AS25" s="48"/>
      <c r="AT25" s="48"/>
      <c r="AU25" s="48"/>
      <c r="AV25" s="48"/>
      <c r="AW25" s="48"/>
      <c r="AX25" s="48"/>
      <c r="AY25" s="48"/>
      <c r="AZ25" s="48"/>
      <c r="BA25" s="48"/>
      <c r="BB25" s="48"/>
      <c r="BC25" s="48"/>
      <c r="BD25" s="48"/>
      <c r="BE25" s="48"/>
      <c r="BF25" s="48"/>
      <c r="BG25" s="48"/>
      <c r="BH25" s="48"/>
      <c r="BI25" s="48"/>
    </row>
    <row r="26" ht="15.75" customHeight="1">
      <c r="A26" s="41" t="str">
        <f t="shared" si="1"/>
        <v>Véhicules neufsRev. Autres</v>
      </c>
      <c r="B26" s="57" t="s">
        <v>107</v>
      </c>
      <c r="C26" s="58"/>
      <c r="D26" s="59"/>
      <c r="E26" s="60"/>
      <c r="F26" s="58"/>
      <c r="G26" s="59"/>
      <c r="H26" s="60"/>
      <c r="I26" s="58"/>
      <c r="J26" s="59"/>
      <c r="K26" s="60"/>
      <c r="L26" s="58"/>
      <c r="M26" s="59"/>
      <c r="N26" s="60"/>
      <c r="O26" s="58"/>
      <c r="P26" s="59"/>
      <c r="Q26" s="60"/>
      <c r="R26" s="58"/>
      <c r="S26" s="59"/>
      <c r="T26" s="60"/>
      <c r="U26" s="58"/>
      <c r="V26" s="59"/>
      <c r="W26" s="60"/>
      <c r="X26" s="58"/>
      <c r="Y26" s="59"/>
      <c r="Z26" s="60"/>
      <c r="AA26" s="58"/>
      <c r="AB26" s="59"/>
      <c r="AC26" s="60"/>
      <c r="AD26" s="58"/>
      <c r="AE26" s="59"/>
      <c r="AF26" s="60"/>
      <c r="AG26" s="58"/>
      <c r="AH26" s="59"/>
      <c r="AI26" s="60"/>
      <c r="AJ26" s="58"/>
      <c r="AK26" s="59"/>
      <c r="AL26" s="60"/>
      <c r="AM26" s="58"/>
      <c r="AN26" s="59"/>
      <c r="AO26" s="60"/>
      <c r="AP26" s="48"/>
      <c r="AQ26" s="48"/>
      <c r="AR26" s="48"/>
      <c r="AS26" s="48"/>
      <c r="AT26" s="48"/>
      <c r="AU26" s="48"/>
      <c r="AV26" s="48"/>
      <c r="AW26" s="48"/>
      <c r="AX26" s="48"/>
      <c r="AY26" s="48"/>
      <c r="AZ26" s="48"/>
      <c r="BA26" s="48"/>
      <c r="BB26" s="48"/>
      <c r="BC26" s="48"/>
      <c r="BD26" s="48"/>
      <c r="BE26" s="48"/>
      <c r="BF26" s="48"/>
      <c r="BG26" s="48"/>
      <c r="BH26" s="48"/>
      <c r="BI26" s="48"/>
    </row>
    <row r="27" ht="15.75" customHeight="1">
      <c r="A27" s="41" t="str">
        <f t="shared" si="1"/>
        <v>Véhicules neufsTotal F&amp;I</v>
      </c>
      <c r="B27" s="61" t="s">
        <v>108</v>
      </c>
      <c r="C27" s="62"/>
      <c r="D27" s="63"/>
      <c r="E27" s="64"/>
      <c r="F27" s="62"/>
      <c r="G27" s="63"/>
      <c r="H27" s="64"/>
      <c r="I27" s="62"/>
      <c r="J27" s="63"/>
      <c r="K27" s="64"/>
      <c r="L27" s="62"/>
      <c r="M27" s="63"/>
      <c r="N27" s="64"/>
      <c r="O27" s="62"/>
      <c r="P27" s="63"/>
      <c r="Q27" s="64"/>
      <c r="R27" s="62"/>
      <c r="S27" s="63"/>
      <c r="T27" s="64"/>
      <c r="U27" s="62"/>
      <c r="V27" s="63"/>
      <c r="W27" s="64"/>
      <c r="X27" s="62"/>
      <c r="Y27" s="63"/>
      <c r="Z27" s="64"/>
      <c r="AA27" s="62"/>
      <c r="AB27" s="63"/>
      <c r="AC27" s="64"/>
      <c r="AD27" s="62"/>
      <c r="AE27" s="63"/>
      <c r="AF27" s="64"/>
      <c r="AG27" s="62"/>
      <c r="AH27" s="63"/>
      <c r="AI27" s="64"/>
      <c r="AJ27" s="62"/>
      <c r="AK27" s="63"/>
      <c r="AL27" s="64"/>
      <c r="AM27" s="62"/>
      <c r="AN27" s="63"/>
      <c r="AO27" s="64"/>
      <c r="AP27" s="48"/>
      <c r="AQ27" s="48"/>
      <c r="AR27" s="48"/>
      <c r="AS27" s="48"/>
      <c r="AT27" s="48"/>
      <c r="AU27" s="48"/>
      <c r="AV27" s="48"/>
      <c r="AW27" s="48"/>
      <c r="AX27" s="48"/>
      <c r="AY27" s="48"/>
      <c r="AZ27" s="48"/>
      <c r="BA27" s="48"/>
      <c r="BB27" s="48"/>
      <c r="BC27" s="48"/>
      <c r="BD27" s="48"/>
      <c r="BE27" s="48"/>
      <c r="BF27" s="48"/>
      <c r="BG27" s="48"/>
      <c r="BH27" s="48"/>
      <c r="BI27" s="48"/>
    </row>
    <row r="28" ht="15.75" customHeight="1">
      <c r="A28" s="41" t="str">
        <f t="shared" si="1"/>
        <v>Véhicules neufs</v>
      </c>
      <c r="B28" s="57"/>
      <c r="C28" s="57"/>
      <c r="D28" s="74"/>
      <c r="E28" s="75"/>
      <c r="F28" s="57"/>
      <c r="G28" s="74"/>
      <c r="H28" s="75"/>
      <c r="I28" s="57"/>
      <c r="J28" s="74"/>
      <c r="K28" s="75"/>
      <c r="L28" s="57"/>
      <c r="M28" s="74"/>
      <c r="N28" s="75"/>
      <c r="O28" s="57"/>
      <c r="P28" s="74"/>
      <c r="Q28" s="75"/>
      <c r="R28" s="57"/>
      <c r="S28" s="74"/>
      <c r="T28" s="75"/>
      <c r="U28" s="57"/>
      <c r="V28" s="74"/>
      <c r="W28" s="75"/>
      <c r="X28" s="57"/>
      <c r="Y28" s="74"/>
      <c r="Z28" s="75"/>
      <c r="AA28" s="57"/>
      <c r="AB28" s="74"/>
      <c r="AC28" s="75"/>
      <c r="AD28" s="57"/>
      <c r="AE28" s="74"/>
      <c r="AF28" s="75"/>
      <c r="AG28" s="57"/>
      <c r="AH28" s="74"/>
      <c r="AI28" s="75"/>
      <c r="AJ28" s="57"/>
      <c r="AK28" s="74"/>
      <c r="AL28" s="75"/>
      <c r="AM28" s="57"/>
      <c r="AN28" s="74"/>
      <c r="AO28" s="75"/>
      <c r="AP28" s="48"/>
      <c r="AQ28" s="48"/>
      <c r="AR28" s="48"/>
      <c r="AS28" s="48"/>
      <c r="AT28" s="48"/>
      <c r="AU28" s="48"/>
      <c r="AV28" s="48"/>
      <c r="AW28" s="48"/>
      <c r="AX28" s="48"/>
      <c r="AY28" s="48"/>
      <c r="AZ28" s="48"/>
      <c r="BA28" s="48"/>
      <c r="BB28" s="48"/>
      <c r="BC28" s="48"/>
      <c r="BD28" s="48"/>
      <c r="BE28" s="48"/>
      <c r="BF28" s="48"/>
      <c r="BG28" s="48"/>
      <c r="BH28" s="48"/>
      <c r="BI28" s="48"/>
    </row>
    <row r="29" ht="15.75" customHeight="1">
      <c r="A29" s="41" t="str">
        <f t="shared" si="1"/>
        <v>Véhicules neufs</v>
      </c>
      <c r="B29" s="57"/>
      <c r="C29" s="57"/>
      <c r="D29" s="74"/>
      <c r="E29" s="65"/>
      <c r="F29" s="57"/>
      <c r="G29" s="74"/>
      <c r="H29" s="65"/>
      <c r="I29" s="57"/>
      <c r="J29" s="74"/>
      <c r="K29" s="65"/>
      <c r="L29" s="57"/>
      <c r="M29" s="74"/>
      <c r="N29" s="65"/>
      <c r="O29" s="57"/>
      <c r="P29" s="74"/>
      <c r="Q29" s="65"/>
      <c r="R29" s="57"/>
      <c r="S29" s="74"/>
      <c r="T29" s="65"/>
      <c r="U29" s="57"/>
      <c r="V29" s="74"/>
      <c r="W29" s="65"/>
      <c r="X29" s="57"/>
      <c r="Y29" s="74"/>
      <c r="Z29" s="65"/>
      <c r="AA29" s="57"/>
      <c r="AB29" s="74"/>
      <c r="AC29" s="65"/>
      <c r="AD29" s="57"/>
      <c r="AE29" s="74"/>
      <c r="AF29" s="65"/>
      <c r="AG29" s="57"/>
      <c r="AH29" s="74"/>
      <c r="AI29" s="65"/>
      <c r="AJ29" s="57"/>
      <c r="AK29" s="74"/>
      <c r="AL29" s="65"/>
      <c r="AM29" s="57"/>
      <c r="AN29" s="74"/>
      <c r="AO29" s="65"/>
      <c r="AP29" s="48"/>
      <c r="AQ29" s="48"/>
      <c r="AR29" s="48"/>
      <c r="AS29" s="48"/>
      <c r="AT29" s="48"/>
      <c r="AU29" s="48"/>
      <c r="AV29" s="48"/>
      <c r="AW29" s="48"/>
      <c r="AX29" s="48"/>
      <c r="AY29" s="48"/>
      <c r="AZ29" s="48"/>
      <c r="BA29" s="48"/>
      <c r="BB29" s="48"/>
      <c r="BC29" s="48"/>
      <c r="BD29" s="48"/>
      <c r="BE29" s="48"/>
      <c r="BF29" s="48"/>
      <c r="BG29" s="48"/>
      <c r="BH29" s="48"/>
      <c r="BI29" s="48"/>
    </row>
    <row r="30" ht="15.75" customHeight="1">
      <c r="A30" s="41" t="str">
        <f t="shared" si="1"/>
        <v>Véhicules neufsTotal Dépt. Neufs</v>
      </c>
      <c r="B30" s="76" t="s">
        <v>109</v>
      </c>
      <c r="C30" s="77"/>
      <c r="D30" s="78"/>
      <c r="E30" s="79"/>
      <c r="F30" s="77"/>
      <c r="G30" s="78"/>
      <c r="H30" s="79"/>
      <c r="I30" s="77"/>
      <c r="J30" s="78"/>
      <c r="K30" s="79"/>
      <c r="L30" s="77"/>
      <c r="M30" s="78"/>
      <c r="N30" s="79"/>
      <c r="O30" s="77"/>
      <c r="P30" s="78"/>
      <c r="Q30" s="79"/>
      <c r="R30" s="77"/>
      <c r="S30" s="78"/>
      <c r="T30" s="79"/>
      <c r="U30" s="77"/>
      <c r="V30" s="78"/>
      <c r="W30" s="79"/>
      <c r="X30" s="77"/>
      <c r="Y30" s="78"/>
      <c r="Z30" s="79"/>
      <c r="AA30" s="77"/>
      <c r="AB30" s="78"/>
      <c r="AC30" s="79"/>
      <c r="AD30" s="77"/>
      <c r="AE30" s="78"/>
      <c r="AF30" s="79"/>
      <c r="AG30" s="77"/>
      <c r="AH30" s="78"/>
      <c r="AI30" s="79"/>
      <c r="AJ30" s="77"/>
      <c r="AK30" s="78"/>
      <c r="AL30" s="79"/>
      <c r="AM30" s="77"/>
      <c r="AN30" s="78"/>
      <c r="AO30" s="79"/>
      <c r="AP30" s="48"/>
      <c r="AQ30" s="48"/>
      <c r="AR30" s="48"/>
      <c r="AS30" s="48"/>
      <c r="AT30" s="48"/>
      <c r="AU30" s="48"/>
      <c r="AV30" s="48"/>
      <c r="AW30" s="48"/>
      <c r="AX30" s="48"/>
      <c r="AY30" s="48"/>
      <c r="AZ30" s="48"/>
      <c r="BA30" s="48"/>
      <c r="BB30" s="48"/>
      <c r="BC30" s="48"/>
      <c r="BD30" s="48"/>
      <c r="BE30" s="48"/>
      <c r="BF30" s="48"/>
      <c r="BG30" s="48"/>
      <c r="BH30" s="48"/>
      <c r="BI30" s="48"/>
    </row>
    <row r="31" ht="15.75" customHeight="1">
      <c r="A31" s="41" t="str">
        <f t="shared" si="1"/>
        <v>Véhicules neufs</v>
      </c>
      <c r="B31" s="80"/>
      <c r="C31" s="80"/>
      <c r="D31" s="81"/>
      <c r="E31" s="82"/>
      <c r="F31" s="80"/>
      <c r="G31" s="81"/>
      <c r="H31" s="82"/>
      <c r="I31" s="80"/>
      <c r="J31" s="81"/>
      <c r="K31" s="82"/>
      <c r="L31" s="80"/>
      <c r="M31" s="81"/>
      <c r="N31" s="82"/>
      <c r="O31" s="80"/>
      <c r="P31" s="81"/>
      <c r="Q31" s="82"/>
      <c r="R31" s="80"/>
      <c r="S31" s="81"/>
      <c r="T31" s="82"/>
      <c r="U31" s="80"/>
      <c r="V31" s="81"/>
      <c r="W31" s="82"/>
      <c r="X31" s="80"/>
      <c r="Y31" s="81"/>
      <c r="Z31" s="82"/>
      <c r="AA31" s="80"/>
      <c r="AB31" s="81"/>
      <c r="AC31" s="82"/>
      <c r="AD31" s="80"/>
      <c r="AE31" s="81"/>
      <c r="AF31" s="82"/>
      <c r="AG31" s="80"/>
      <c r="AH31" s="81"/>
      <c r="AI31" s="82"/>
      <c r="AJ31" s="80"/>
      <c r="AK31" s="81"/>
      <c r="AL31" s="82"/>
      <c r="AM31" s="80"/>
      <c r="AN31" s="81"/>
      <c r="AO31" s="82"/>
      <c r="AP31" s="48"/>
      <c r="AQ31" s="48"/>
      <c r="AR31" s="48"/>
      <c r="AS31" s="48"/>
      <c r="AT31" s="48"/>
      <c r="AU31" s="48"/>
      <c r="AV31" s="48"/>
      <c r="AW31" s="48"/>
      <c r="AX31" s="48"/>
      <c r="AY31" s="48"/>
      <c r="AZ31" s="48"/>
      <c r="BA31" s="48"/>
      <c r="BB31" s="48"/>
      <c r="BC31" s="48"/>
      <c r="BD31" s="48"/>
      <c r="BE31" s="48"/>
      <c r="BF31" s="48"/>
      <c r="BG31" s="48"/>
      <c r="BH31" s="48"/>
      <c r="BI31" s="48"/>
    </row>
    <row r="32" ht="15.75" customHeight="1">
      <c r="A32" s="41" t="str">
        <f t="shared" si="1"/>
        <v>Véhicules neufs</v>
      </c>
      <c r="B32" s="70"/>
      <c r="C32" s="70"/>
      <c r="D32" s="83"/>
      <c r="E32" s="84"/>
      <c r="F32" s="70"/>
      <c r="G32" s="83"/>
      <c r="H32" s="84"/>
      <c r="I32" s="70"/>
      <c r="J32" s="83"/>
      <c r="K32" s="84"/>
      <c r="L32" s="70"/>
      <c r="M32" s="83"/>
      <c r="N32" s="84"/>
      <c r="O32" s="70"/>
      <c r="P32" s="83"/>
      <c r="Q32" s="84"/>
      <c r="R32" s="70"/>
      <c r="S32" s="83"/>
      <c r="T32" s="84"/>
      <c r="U32" s="70"/>
      <c r="V32" s="83"/>
      <c r="W32" s="84"/>
      <c r="X32" s="70"/>
      <c r="Y32" s="83"/>
      <c r="Z32" s="84"/>
      <c r="AA32" s="70"/>
      <c r="AB32" s="83"/>
      <c r="AC32" s="84"/>
      <c r="AD32" s="70"/>
      <c r="AE32" s="83"/>
      <c r="AF32" s="84"/>
      <c r="AG32" s="70"/>
      <c r="AH32" s="83"/>
      <c r="AI32" s="84"/>
      <c r="AJ32" s="70"/>
      <c r="AK32" s="83"/>
      <c r="AL32" s="84"/>
      <c r="AM32" s="70"/>
      <c r="AN32" s="83"/>
      <c r="AO32" s="84"/>
      <c r="AP32" s="48"/>
      <c r="AQ32" s="48"/>
      <c r="AR32" s="48"/>
      <c r="AS32" s="48"/>
      <c r="AT32" s="48"/>
      <c r="AU32" s="48"/>
      <c r="AV32" s="48"/>
      <c r="AW32" s="48"/>
      <c r="AX32" s="48"/>
      <c r="AY32" s="48"/>
      <c r="AZ32" s="48"/>
      <c r="BA32" s="48"/>
      <c r="BB32" s="48"/>
      <c r="BC32" s="48"/>
      <c r="BD32" s="48"/>
      <c r="BE32" s="48"/>
      <c r="BF32" s="48"/>
      <c r="BG32" s="48"/>
      <c r="BH32" s="48"/>
      <c r="BI32" s="48"/>
    </row>
    <row r="33" ht="15.75" customHeight="1">
      <c r="A33" s="41" t="str">
        <f t="shared" si="1"/>
        <v>Véhicules neufsDEPENSES</v>
      </c>
      <c r="B33" s="85" t="s">
        <v>110</v>
      </c>
      <c r="C33" s="57"/>
      <c r="D33" s="86"/>
      <c r="E33" s="65"/>
      <c r="F33" s="57"/>
      <c r="G33" s="86"/>
      <c r="H33" s="65"/>
      <c r="I33" s="57"/>
      <c r="J33" s="86"/>
      <c r="K33" s="65"/>
      <c r="L33" s="57"/>
      <c r="M33" s="86"/>
      <c r="N33" s="65"/>
      <c r="O33" s="57"/>
      <c r="P33" s="86"/>
      <c r="Q33" s="65"/>
      <c r="R33" s="57"/>
      <c r="S33" s="86"/>
      <c r="T33" s="65"/>
      <c r="U33" s="57"/>
      <c r="V33" s="86"/>
      <c r="W33" s="65"/>
      <c r="X33" s="57"/>
      <c r="Y33" s="86"/>
      <c r="Z33" s="65"/>
      <c r="AA33" s="57"/>
      <c r="AB33" s="86"/>
      <c r="AC33" s="65"/>
      <c r="AD33" s="57"/>
      <c r="AE33" s="86"/>
      <c r="AF33" s="65"/>
      <c r="AG33" s="57"/>
      <c r="AH33" s="86"/>
      <c r="AI33" s="65"/>
      <c r="AJ33" s="57"/>
      <c r="AK33" s="86"/>
      <c r="AL33" s="65"/>
      <c r="AM33" s="57"/>
      <c r="AN33" s="86"/>
      <c r="AO33" s="65"/>
      <c r="AP33" s="48"/>
      <c r="AQ33" s="48"/>
      <c r="AR33" s="48"/>
      <c r="AS33" s="48"/>
      <c r="AT33" s="48"/>
      <c r="AU33" s="48"/>
      <c r="AV33" s="48"/>
      <c r="AW33" s="48"/>
      <c r="AX33" s="48"/>
      <c r="AY33" s="48"/>
      <c r="AZ33" s="48"/>
      <c r="BA33" s="48"/>
      <c r="BB33" s="48"/>
      <c r="BC33" s="48"/>
      <c r="BD33" s="48"/>
      <c r="BE33" s="48"/>
      <c r="BF33" s="48"/>
      <c r="BG33" s="48"/>
      <c r="BH33" s="48"/>
      <c r="BI33" s="48"/>
    </row>
    <row r="34" ht="15.75" customHeight="1">
      <c r="A34" s="41" t="str">
        <f t="shared" si="1"/>
        <v>Véhicules neufsComm. vendeurs</v>
      </c>
      <c r="B34" s="57" t="s">
        <v>111</v>
      </c>
      <c r="C34" s="87"/>
      <c r="D34" s="88"/>
      <c r="E34" s="75"/>
      <c r="F34" s="87"/>
      <c r="G34" s="88"/>
      <c r="H34" s="75"/>
      <c r="I34" s="87"/>
      <c r="J34" s="88"/>
      <c r="K34" s="75"/>
      <c r="L34" s="87"/>
      <c r="M34" s="88"/>
      <c r="N34" s="75"/>
      <c r="O34" s="87"/>
      <c r="P34" s="88"/>
      <c r="Q34" s="75"/>
      <c r="R34" s="87"/>
      <c r="S34" s="88"/>
      <c r="T34" s="75"/>
      <c r="U34" s="87"/>
      <c r="V34" s="88"/>
      <c r="W34" s="75"/>
      <c r="X34" s="87"/>
      <c r="Y34" s="88"/>
      <c r="Z34" s="75"/>
      <c r="AA34" s="87"/>
      <c r="AB34" s="88"/>
      <c r="AC34" s="75"/>
      <c r="AD34" s="87"/>
      <c r="AE34" s="88"/>
      <c r="AF34" s="75"/>
      <c r="AG34" s="87"/>
      <c r="AH34" s="88"/>
      <c r="AI34" s="75"/>
      <c r="AJ34" s="87"/>
      <c r="AK34" s="88"/>
      <c r="AL34" s="75"/>
      <c r="AM34" s="87"/>
      <c r="AN34" s="88"/>
      <c r="AO34" s="242"/>
      <c r="AP34" s="48"/>
      <c r="AQ34" s="48"/>
      <c r="AR34" s="48"/>
      <c r="AS34" s="48"/>
      <c r="AT34" s="48"/>
      <c r="AU34" s="48"/>
      <c r="AV34" s="48"/>
      <c r="AW34" s="48"/>
      <c r="AX34" s="48"/>
      <c r="AY34" s="48"/>
      <c r="AZ34" s="48"/>
      <c r="BA34" s="48"/>
      <c r="BB34" s="48"/>
      <c r="BC34" s="48"/>
      <c r="BD34" s="48"/>
      <c r="BE34" s="48"/>
      <c r="BF34" s="48"/>
      <c r="BG34" s="48"/>
      <c r="BH34" s="48"/>
      <c r="BI34" s="48"/>
    </row>
    <row r="35" ht="15.75" customHeight="1">
      <c r="A35" s="41" t="str">
        <f t="shared" si="1"/>
        <v>Véhicules neufsComm. F&amp;I</v>
      </c>
      <c r="B35" s="53" t="s">
        <v>112</v>
      </c>
      <c r="C35" s="89"/>
      <c r="D35" s="90"/>
      <c r="E35" s="91"/>
      <c r="F35" s="89"/>
      <c r="G35" s="90"/>
      <c r="H35" s="91"/>
      <c r="I35" s="89"/>
      <c r="J35" s="90"/>
      <c r="K35" s="91"/>
      <c r="L35" s="89"/>
      <c r="M35" s="90"/>
      <c r="N35" s="91"/>
      <c r="O35" s="89"/>
      <c r="P35" s="90"/>
      <c r="Q35" s="91"/>
      <c r="R35" s="89"/>
      <c r="S35" s="90"/>
      <c r="T35" s="91"/>
      <c r="U35" s="89"/>
      <c r="V35" s="90"/>
      <c r="W35" s="91"/>
      <c r="X35" s="89"/>
      <c r="Y35" s="90"/>
      <c r="Z35" s="91"/>
      <c r="AA35" s="89"/>
      <c r="AB35" s="90"/>
      <c r="AC35" s="91"/>
      <c r="AD35" s="89"/>
      <c r="AE35" s="90"/>
      <c r="AF35" s="91"/>
      <c r="AG35" s="89"/>
      <c r="AH35" s="90"/>
      <c r="AI35" s="91"/>
      <c r="AJ35" s="89"/>
      <c r="AK35" s="90"/>
      <c r="AL35" s="91"/>
      <c r="AM35" s="89"/>
      <c r="AN35" s="90"/>
      <c r="AO35" s="243"/>
      <c r="AP35" s="48"/>
      <c r="AQ35" s="48"/>
      <c r="AR35" s="48"/>
      <c r="AS35" s="48"/>
      <c r="AT35" s="48"/>
      <c r="AU35" s="48"/>
      <c r="AV35" s="48"/>
      <c r="AW35" s="48"/>
      <c r="AX35" s="48"/>
      <c r="AY35" s="48"/>
      <c r="AZ35" s="48"/>
      <c r="BA35" s="48"/>
      <c r="BB35" s="48"/>
      <c r="BC35" s="48"/>
      <c r="BD35" s="48"/>
      <c r="BE35" s="48"/>
      <c r="BF35" s="48"/>
      <c r="BG35" s="48"/>
      <c r="BH35" s="48"/>
      <c r="BI35" s="48"/>
    </row>
    <row r="36" ht="15.75" customHeight="1">
      <c r="A36" s="41" t="str">
        <f t="shared" si="1"/>
        <v>Véhicules neufsFrais de livraison</v>
      </c>
      <c r="B36" s="57" t="s">
        <v>113</v>
      </c>
      <c r="C36" s="57"/>
      <c r="D36" s="88"/>
      <c r="E36" s="75"/>
      <c r="F36" s="57"/>
      <c r="G36" s="88"/>
      <c r="H36" s="75"/>
      <c r="I36" s="57"/>
      <c r="J36" s="88"/>
      <c r="K36" s="75"/>
      <c r="L36" s="57"/>
      <c r="M36" s="88"/>
      <c r="N36" s="75"/>
      <c r="O36" s="57"/>
      <c r="P36" s="88"/>
      <c r="Q36" s="75"/>
      <c r="R36" s="57"/>
      <c r="S36" s="88"/>
      <c r="T36" s="75"/>
      <c r="U36" s="57"/>
      <c r="V36" s="88"/>
      <c r="W36" s="75"/>
      <c r="X36" s="57"/>
      <c r="Y36" s="88"/>
      <c r="Z36" s="75"/>
      <c r="AA36" s="57"/>
      <c r="AB36" s="88"/>
      <c r="AC36" s="75"/>
      <c r="AD36" s="57"/>
      <c r="AE36" s="88"/>
      <c r="AF36" s="75"/>
      <c r="AG36" s="57"/>
      <c r="AH36" s="88"/>
      <c r="AI36" s="75"/>
      <c r="AJ36" s="57"/>
      <c r="AK36" s="88"/>
      <c r="AL36" s="75"/>
      <c r="AM36" s="57"/>
      <c r="AN36" s="88"/>
      <c r="AO36" s="242"/>
      <c r="AP36" s="48"/>
      <c r="AQ36" s="48"/>
      <c r="AR36" s="48"/>
      <c r="AS36" s="48"/>
      <c r="AT36" s="48"/>
      <c r="AU36" s="48"/>
      <c r="AV36" s="48"/>
      <c r="AW36" s="48"/>
      <c r="AX36" s="48"/>
      <c r="AY36" s="48"/>
      <c r="AZ36" s="48"/>
      <c r="BA36" s="48"/>
      <c r="BB36" s="48"/>
      <c r="BC36" s="48"/>
      <c r="BD36" s="48"/>
      <c r="BE36" s="48"/>
      <c r="BF36" s="48"/>
      <c r="BG36" s="48"/>
      <c r="BH36" s="48"/>
      <c r="BI36" s="48"/>
    </row>
    <row r="37" ht="15.75" customHeight="1">
      <c r="A37" s="41" t="str">
        <f t="shared" si="1"/>
        <v>Véhicules neufsService gratuit 1</v>
      </c>
      <c r="B37" s="57" t="s">
        <v>114</v>
      </c>
      <c r="C37" s="57"/>
      <c r="D37" s="88"/>
      <c r="E37" s="75"/>
      <c r="F37" s="57"/>
      <c r="G37" s="88"/>
      <c r="H37" s="75"/>
      <c r="I37" s="57"/>
      <c r="J37" s="88"/>
      <c r="K37" s="75"/>
      <c r="L37" s="57"/>
      <c r="M37" s="88"/>
      <c r="N37" s="75"/>
      <c r="O37" s="57"/>
      <c r="P37" s="88"/>
      <c r="Q37" s="75"/>
      <c r="R37" s="57"/>
      <c r="S37" s="88"/>
      <c r="T37" s="75"/>
      <c r="U37" s="57"/>
      <c r="V37" s="88"/>
      <c r="W37" s="75"/>
      <c r="X37" s="57"/>
      <c r="Y37" s="88"/>
      <c r="Z37" s="75"/>
      <c r="AA37" s="57"/>
      <c r="AB37" s="88"/>
      <c r="AC37" s="75"/>
      <c r="AD37" s="57"/>
      <c r="AE37" s="88"/>
      <c r="AF37" s="75"/>
      <c r="AG37" s="57"/>
      <c r="AH37" s="88"/>
      <c r="AI37" s="75"/>
      <c r="AJ37" s="57"/>
      <c r="AK37" s="88"/>
      <c r="AL37" s="75"/>
      <c r="AM37" s="57"/>
      <c r="AN37" s="88"/>
      <c r="AO37" s="242"/>
      <c r="AP37" s="48"/>
      <c r="AQ37" s="48"/>
      <c r="AR37" s="48"/>
      <c r="AS37" s="48"/>
      <c r="AT37" s="48"/>
      <c r="AU37" s="48"/>
      <c r="AV37" s="48"/>
      <c r="AW37" s="48"/>
      <c r="AX37" s="48"/>
      <c r="AY37" s="48"/>
      <c r="AZ37" s="48"/>
      <c r="BA37" s="48"/>
      <c r="BB37" s="48"/>
      <c r="BC37" s="48"/>
      <c r="BD37" s="48"/>
      <c r="BE37" s="48"/>
      <c r="BF37" s="48"/>
      <c r="BG37" s="48"/>
      <c r="BH37" s="48"/>
      <c r="BI37" s="48"/>
    </row>
    <row r="38" ht="15.75" customHeight="1">
      <c r="A38" s="41" t="str">
        <f t="shared" si="1"/>
        <v>Véhicules neufsEntretien stock</v>
      </c>
      <c r="B38" s="53" t="s">
        <v>115</v>
      </c>
      <c r="C38" s="53"/>
      <c r="D38" s="90"/>
      <c r="E38" s="91"/>
      <c r="F38" s="53"/>
      <c r="G38" s="90"/>
      <c r="H38" s="91"/>
      <c r="I38" s="53"/>
      <c r="J38" s="90"/>
      <c r="K38" s="91"/>
      <c r="L38" s="53"/>
      <c r="M38" s="90"/>
      <c r="N38" s="91"/>
      <c r="O38" s="53"/>
      <c r="P38" s="90"/>
      <c r="Q38" s="91"/>
      <c r="R38" s="53"/>
      <c r="S38" s="90"/>
      <c r="T38" s="91"/>
      <c r="U38" s="53"/>
      <c r="V38" s="90"/>
      <c r="W38" s="91"/>
      <c r="X38" s="53"/>
      <c r="Y38" s="90"/>
      <c r="Z38" s="91"/>
      <c r="AA38" s="53"/>
      <c r="AB38" s="90"/>
      <c r="AC38" s="91"/>
      <c r="AD38" s="53"/>
      <c r="AE38" s="90"/>
      <c r="AF38" s="91"/>
      <c r="AG38" s="53"/>
      <c r="AH38" s="90"/>
      <c r="AI38" s="91"/>
      <c r="AJ38" s="53"/>
      <c r="AK38" s="90"/>
      <c r="AL38" s="91"/>
      <c r="AM38" s="53"/>
      <c r="AN38" s="90"/>
      <c r="AO38" s="243"/>
      <c r="AP38" s="48"/>
      <c r="AQ38" s="48"/>
      <c r="AR38" s="48"/>
      <c r="AS38" s="48"/>
      <c r="AT38" s="48"/>
      <c r="AU38" s="48"/>
      <c r="AV38" s="48"/>
      <c r="AW38" s="48"/>
      <c r="AX38" s="48"/>
      <c r="AY38" s="48"/>
      <c r="AZ38" s="48"/>
      <c r="BA38" s="48"/>
      <c r="BB38" s="48"/>
      <c r="BC38" s="48"/>
      <c r="BD38" s="48"/>
      <c r="BE38" s="48"/>
      <c r="BF38" s="48"/>
      <c r="BG38" s="48"/>
      <c r="BH38" s="48"/>
      <c r="BI38" s="48"/>
    </row>
    <row r="39" ht="15.75" customHeight="1">
      <c r="A39" s="41" t="str">
        <f t="shared" si="1"/>
        <v>Véhicules neufsPublicité 1</v>
      </c>
      <c r="B39" s="57" t="s">
        <v>116</v>
      </c>
      <c r="C39" s="57"/>
      <c r="D39" s="88"/>
      <c r="E39" s="75"/>
      <c r="F39" s="57"/>
      <c r="G39" s="88"/>
      <c r="H39" s="75"/>
      <c r="I39" s="57"/>
      <c r="J39" s="88"/>
      <c r="K39" s="75"/>
      <c r="L39" s="57"/>
      <c r="M39" s="88"/>
      <c r="N39" s="75"/>
      <c r="O39" s="57"/>
      <c r="P39" s="88"/>
      <c r="Q39" s="75"/>
      <c r="R39" s="57"/>
      <c r="S39" s="88"/>
      <c r="T39" s="75"/>
      <c r="U39" s="57"/>
      <c r="V39" s="88"/>
      <c r="W39" s="75"/>
      <c r="X39" s="57"/>
      <c r="Y39" s="88"/>
      <c r="Z39" s="75"/>
      <c r="AA39" s="57"/>
      <c r="AB39" s="88"/>
      <c r="AC39" s="75"/>
      <c r="AD39" s="57"/>
      <c r="AE39" s="88"/>
      <c r="AF39" s="75"/>
      <c r="AG39" s="57"/>
      <c r="AH39" s="88"/>
      <c r="AI39" s="75"/>
      <c r="AJ39" s="57"/>
      <c r="AK39" s="88"/>
      <c r="AL39" s="75"/>
      <c r="AM39" s="57"/>
      <c r="AN39" s="88"/>
      <c r="AO39" s="242"/>
      <c r="AP39" s="48"/>
      <c r="AQ39" s="48"/>
      <c r="AR39" s="48"/>
      <c r="AS39" s="48"/>
      <c r="AT39" s="48"/>
      <c r="AU39" s="48"/>
      <c r="AV39" s="48"/>
      <c r="AW39" s="48"/>
      <c r="AX39" s="48"/>
      <c r="AY39" s="48"/>
      <c r="AZ39" s="48"/>
      <c r="BA39" s="48"/>
      <c r="BB39" s="48"/>
      <c r="BC39" s="48"/>
      <c r="BD39" s="48"/>
      <c r="BE39" s="48"/>
      <c r="BF39" s="48"/>
      <c r="BG39" s="48"/>
      <c r="BH39" s="48"/>
      <c r="BI39" s="48"/>
    </row>
    <row r="40" ht="15.75" customHeight="1">
      <c r="A40" s="41" t="str">
        <f t="shared" si="1"/>
        <v>Véhicules neufsIntérêt de gros</v>
      </c>
      <c r="B40" s="57" t="s">
        <v>117</v>
      </c>
      <c r="C40" s="57"/>
      <c r="D40" s="88"/>
      <c r="E40" s="75"/>
      <c r="F40" s="57"/>
      <c r="G40" s="88"/>
      <c r="H40" s="75"/>
      <c r="I40" s="57"/>
      <c r="J40" s="88"/>
      <c r="K40" s="75"/>
      <c r="L40" s="57"/>
      <c r="M40" s="88"/>
      <c r="N40" s="75"/>
      <c r="O40" s="57"/>
      <c r="P40" s="88"/>
      <c r="Q40" s="75"/>
      <c r="R40" s="57"/>
      <c r="S40" s="88"/>
      <c r="T40" s="75"/>
      <c r="U40" s="57"/>
      <c r="V40" s="88"/>
      <c r="W40" s="75"/>
      <c r="X40" s="57"/>
      <c r="Y40" s="88"/>
      <c r="Z40" s="75"/>
      <c r="AA40" s="57"/>
      <c r="AB40" s="88"/>
      <c r="AC40" s="75"/>
      <c r="AD40" s="57"/>
      <c r="AE40" s="88"/>
      <c r="AF40" s="75"/>
      <c r="AG40" s="57"/>
      <c r="AH40" s="88"/>
      <c r="AI40" s="75"/>
      <c r="AJ40" s="57"/>
      <c r="AK40" s="88"/>
      <c r="AL40" s="75"/>
      <c r="AM40" s="57"/>
      <c r="AN40" s="88"/>
      <c r="AO40" s="242"/>
      <c r="AP40" s="48"/>
      <c r="AQ40" s="48"/>
      <c r="AR40" s="48"/>
      <c r="AS40" s="48"/>
      <c r="AT40" s="48"/>
      <c r="AU40" s="48"/>
      <c r="AV40" s="48"/>
      <c r="AW40" s="48"/>
      <c r="AX40" s="48"/>
      <c r="AY40" s="48"/>
      <c r="AZ40" s="48"/>
      <c r="BA40" s="48"/>
      <c r="BB40" s="48"/>
      <c r="BC40" s="48"/>
      <c r="BD40" s="48"/>
      <c r="BE40" s="48"/>
      <c r="BF40" s="48"/>
      <c r="BG40" s="48"/>
      <c r="BH40" s="48"/>
      <c r="BI40" s="48"/>
    </row>
    <row r="41" ht="15.75" customHeight="1">
      <c r="A41" s="41" t="str">
        <f t="shared" si="1"/>
        <v>Véhicules neufs[...]</v>
      </c>
      <c r="B41" s="57" t="s">
        <v>56</v>
      </c>
      <c r="C41" s="57"/>
      <c r="D41" s="88"/>
      <c r="E41" s="75"/>
      <c r="F41" s="57"/>
      <c r="G41" s="88"/>
      <c r="H41" s="75"/>
      <c r="I41" s="57"/>
      <c r="J41" s="88"/>
      <c r="K41" s="75"/>
      <c r="L41" s="57"/>
      <c r="M41" s="88"/>
      <c r="N41" s="75"/>
      <c r="O41" s="57"/>
      <c r="P41" s="88"/>
      <c r="Q41" s="75"/>
      <c r="R41" s="57"/>
      <c r="S41" s="88"/>
      <c r="T41" s="75"/>
      <c r="U41" s="57"/>
      <c r="V41" s="88"/>
      <c r="W41" s="75"/>
      <c r="X41" s="57"/>
      <c r="Y41" s="88"/>
      <c r="Z41" s="75"/>
      <c r="AA41" s="57"/>
      <c r="AB41" s="88"/>
      <c r="AC41" s="75"/>
      <c r="AD41" s="57"/>
      <c r="AE41" s="88"/>
      <c r="AF41" s="75"/>
      <c r="AG41" s="57"/>
      <c r="AH41" s="88"/>
      <c r="AI41" s="75"/>
      <c r="AJ41" s="57"/>
      <c r="AK41" s="88"/>
      <c r="AL41" s="75"/>
      <c r="AM41" s="57"/>
      <c r="AN41" s="88"/>
      <c r="AO41" s="75"/>
      <c r="AP41" s="48"/>
      <c r="AQ41" s="48"/>
      <c r="AR41" s="48"/>
      <c r="AS41" s="48"/>
      <c r="AT41" s="48"/>
      <c r="AU41" s="48"/>
      <c r="AV41" s="48"/>
      <c r="AW41" s="48"/>
      <c r="AX41" s="48"/>
      <c r="AY41" s="48"/>
      <c r="AZ41" s="48"/>
      <c r="BA41" s="48"/>
      <c r="BB41" s="48"/>
      <c r="BC41" s="48"/>
      <c r="BD41" s="48"/>
      <c r="BE41" s="48"/>
      <c r="BF41" s="48"/>
      <c r="BG41" s="48"/>
      <c r="BH41" s="48"/>
      <c r="BI41" s="48"/>
    </row>
    <row r="42" ht="15.75" customHeight="1">
      <c r="A42" s="41" t="str">
        <f t="shared" si="1"/>
        <v>Véhicules neufs[...]</v>
      </c>
      <c r="B42" s="57" t="s">
        <v>56</v>
      </c>
      <c r="C42" s="57"/>
      <c r="D42" s="88"/>
      <c r="E42" s="75"/>
      <c r="F42" s="57"/>
      <c r="G42" s="88"/>
      <c r="H42" s="75"/>
      <c r="I42" s="57"/>
      <c r="J42" s="88"/>
      <c r="K42" s="75"/>
      <c r="L42" s="57"/>
      <c r="M42" s="88"/>
      <c r="N42" s="75"/>
      <c r="O42" s="57"/>
      <c r="P42" s="88"/>
      <c r="Q42" s="75"/>
      <c r="R42" s="57"/>
      <c r="S42" s="88"/>
      <c r="T42" s="75"/>
      <c r="U42" s="57"/>
      <c r="V42" s="88"/>
      <c r="W42" s="75"/>
      <c r="X42" s="57"/>
      <c r="Y42" s="88"/>
      <c r="Z42" s="75"/>
      <c r="AA42" s="57"/>
      <c r="AB42" s="88"/>
      <c r="AC42" s="75"/>
      <c r="AD42" s="57"/>
      <c r="AE42" s="88"/>
      <c r="AF42" s="75"/>
      <c r="AG42" s="57"/>
      <c r="AH42" s="88"/>
      <c r="AI42" s="75"/>
      <c r="AJ42" s="57"/>
      <c r="AK42" s="88"/>
      <c r="AL42" s="75"/>
      <c r="AM42" s="57"/>
      <c r="AN42" s="88"/>
      <c r="AO42" s="75"/>
      <c r="AP42" s="48"/>
      <c r="AQ42" s="48"/>
      <c r="AR42" s="48"/>
      <c r="AS42" s="48"/>
      <c r="AT42" s="48"/>
      <c r="AU42" s="48"/>
      <c r="AV42" s="48"/>
      <c r="AW42" s="48"/>
      <c r="AX42" s="48"/>
      <c r="AY42" s="48"/>
      <c r="AZ42" s="48"/>
      <c r="BA42" s="48"/>
      <c r="BB42" s="48"/>
      <c r="BC42" s="48"/>
      <c r="BD42" s="48"/>
      <c r="BE42" s="48"/>
      <c r="BF42" s="48"/>
      <c r="BG42" s="48"/>
      <c r="BH42" s="48"/>
      <c r="BI42" s="48"/>
    </row>
    <row r="43" ht="15.75" customHeight="1">
      <c r="A43" s="41" t="str">
        <f t="shared" si="1"/>
        <v>Véhicules neufs[...]</v>
      </c>
      <c r="B43" s="57" t="s">
        <v>56</v>
      </c>
      <c r="C43" s="53"/>
      <c r="D43" s="88"/>
      <c r="E43" s="75"/>
      <c r="F43" s="53"/>
      <c r="G43" s="88"/>
      <c r="H43" s="75"/>
      <c r="I43" s="53"/>
      <c r="J43" s="88"/>
      <c r="K43" s="75"/>
      <c r="L43" s="53"/>
      <c r="M43" s="88"/>
      <c r="N43" s="75"/>
      <c r="O43" s="53"/>
      <c r="P43" s="88"/>
      <c r="Q43" s="75"/>
      <c r="R43" s="53"/>
      <c r="S43" s="88"/>
      <c r="T43" s="75"/>
      <c r="U43" s="53"/>
      <c r="V43" s="88"/>
      <c r="W43" s="75"/>
      <c r="X43" s="53"/>
      <c r="Y43" s="88"/>
      <c r="Z43" s="75"/>
      <c r="AA43" s="53"/>
      <c r="AB43" s="88"/>
      <c r="AC43" s="75"/>
      <c r="AD43" s="53"/>
      <c r="AE43" s="88"/>
      <c r="AF43" s="75"/>
      <c r="AG43" s="53"/>
      <c r="AH43" s="88"/>
      <c r="AI43" s="75"/>
      <c r="AJ43" s="53"/>
      <c r="AK43" s="88"/>
      <c r="AL43" s="75"/>
      <c r="AM43" s="53"/>
      <c r="AN43" s="88"/>
      <c r="AO43" s="75"/>
      <c r="AP43" s="48"/>
      <c r="AQ43" s="48"/>
      <c r="AR43" s="48"/>
      <c r="AS43" s="48"/>
      <c r="AT43" s="48"/>
      <c r="AU43" s="48"/>
      <c r="AV43" s="48"/>
      <c r="AW43" s="48"/>
      <c r="AX43" s="48"/>
      <c r="AY43" s="48"/>
      <c r="AZ43" s="48"/>
      <c r="BA43" s="48"/>
      <c r="BB43" s="48"/>
      <c r="BC43" s="48"/>
      <c r="BD43" s="48"/>
      <c r="BE43" s="48"/>
      <c r="BF43" s="48"/>
      <c r="BG43" s="48"/>
      <c r="BH43" s="48"/>
      <c r="BI43" s="48"/>
    </row>
    <row r="44" ht="15.75" customHeight="1">
      <c r="A44" s="41" t="str">
        <f t="shared" si="1"/>
        <v>Véhicules neufsTOTAL VARIABLES</v>
      </c>
      <c r="B44" s="92" t="s">
        <v>118</v>
      </c>
      <c r="C44" s="93"/>
      <c r="D44" s="94"/>
      <c r="E44" s="95"/>
      <c r="F44" s="93"/>
      <c r="G44" s="94"/>
      <c r="H44" s="95"/>
      <c r="I44" s="93"/>
      <c r="J44" s="94"/>
      <c r="K44" s="95"/>
      <c r="L44" s="93"/>
      <c r="M44" s="94"/>
      <c r="N44" s="95"/>
      <c r="O44" s="93"/>
      <c r="P44" s="94"/>
      <c r="Q44" s="95"/>
      <c r="R44" s="93"/>
      <c r="S44" s="94"/>
      <c r="T44" s="95"/>
      <c r="U44" s="93"/>
      <c r="V44" s="94"/>
      <c r="W44" s="95"/>
      <c r="X44" s="93"/>
      <c r="Y44" s="94"/>
      <c r="Z44" s="95"/>
      <c r="AA44" s="93"/>
      <c r="AB44" s="94"/>
      <c r="AC44" s="95"/>
      <c r="AD44" s="93"/>
      <c r="AE44" s="94"/>
      <c r="AF44" s="95"/>
      <c r="AG44" s="93"/>
      <c r="AH44" s="94"/>
      <c r="AI44" s="95"/>
      <c r="AJ44" s="93"/>
      <c r="AK44" s="94"/>
      <c r="AL44" s="95"/>
      <c r="AM44" s="93"/>
      <c r="AN44" s="94"/>
      <c r="AO44" s="95"/>
      <c r="AP44" s="48"/>
      <c r="AQ44" s="48"/>
      <c r="AR44" s="48"/>
      <c r="AS44" s="48"/>
      <c r="AT44" s="48"/>
      <c r="AU44" s="48"/>
      <c r="AV44" s="48"/>
      <c r="AW44" s="48"/>
      <c r="AX44" s="48"/>
      <c r="AY44" s="48"/>
      <c r="AZ44" s="48"/>
      <c r="BA44" s="48"/>
      <c r="BB44" s="48"/>
      <c r="BC44" s="48"/>
      <c r="BD44" s="48"/>
      <c r="BE44" s="48"/>
      <c r="BF44" s="48"/>
      <c r="BG44" s="48"/>
      <c r="BH44" s="48"/>
      <c r="BI44" s="48"/>
    </row>
    <row r="45" ht="15.75" customHeight="1">
      <c r="A45" s="41" t="str">
        <f t="shared" si="1"/>
        <v>Véhicules neufsSalaires cadres</v>
      </c>
      <c r="B45" s="96" t="s">
        <v>119</v>
      </c>
      <c r="C45" s="57"/>
      <c r="D45" s="74"/>
      <c r="E45" s="75"/>
      <c r="F45" s="57"/>
      <c r="G45" s="74"/>
      <c r="H45" s="75"/>
      <c r="I45" s="57"/>
      <c r="J45" s="74"/>
      <c r="K45" s="75"/>
      <c r="L45" s="57"/>
      <c r="M45" s="74"/>
      <c r="N45" s="75"/>
      <c r="O45" s="57"/>
      <c r="P45" s="74"/>
      <c r="Q45" s="75"/>
      <c r="R45" s="57"/>
      <c r="S45" s="74"/>
      <c r="T45" s="75"/>
      <c r="U45" s="57"/>
      <c r="V45" s="74"/>
      <c r="W45" s="75"/>
      <c r="X45" s="57"/>
      <c r="Y45" s="74"/>
      <c r="Z45" s="75"/>
      <c r="AA45" s="57"/>
      <c r="AB45" s="74"/>
      <c r="AC45" s="75"/>
      <c r="AD45" s="57"/>
      <c r="AE45" s="74"/>
      <c r="AF45" s="75"/>
      <c r="AG45" s="57"/>
      <c r="AH45" s="74"/>
      <c r="AI45" s="75"/>
      <c r="AJ45" s="57"/>
      <c r="AK45" s="74"/>
      <c r="AL45" s="75"/>
      <c r="AM45" s="57"/>
      <c r="AN45" s="74"/>
      <c r="AO45" s="242"/>
      <c r="AP45" s="48"/>
      <c r="AQ45" s="48"/>
      <c r="AR45" s="48"/>
      <c r="AS45" s="48"/>
      <c r="AT45" s="48"/>
      <c r="AU45" s="48"/>
      <c r="AV45" s="48"/>
      <c r="AW45" s="48"/>
      <c r="AX45" s="48"/>
      <c r="AY45" s="48"/>
      <c r="AZ45" s="48"/>
      <c r="BA45" s="48"/>
      <c r="BB45" s="48"/>
      <c r="BC45" s="48"/>
      <c r="BD45" s="48"/>
      <c r="BE45" s="48"/>
      <c r="BF45" s="48"/>
      <c r="BG45" s="48"/>
      <c r="BH45" s="48"/>
      <c r="BI45" s="48"/>
    </row>
    <row r="46" ht="15.75" customHeight="1">
      <c r="A46" s="41" t="str">
        <f t="shared" si="1"/>
        <v>Véhicules neufsSalaires commis</v>
      </c>
      <c r="B46" s="97" t="s">
        <v>120</v>
      </c>
      <c r="C46" s="57"/>
      <c r="D46" s="74"/>
      <c r="E46" s="75"/>
      <c r="F46" s="57"/>
      <c r="G46" s="74"/>
      <c r="H46" s="75"/>
      <c r="I46" s="57"/>
      <c r="J46" s="74"/>
      <c r="K46" s="75"/>
      <c r="L46" s="57"/>
      <c r="M46" s="74"/>
      <c r="N46" s="75"/>
      <c r="O46" s="57"/>
      <c r="P46" s="74"/>
      <c r="Q46" s="75"/>
      <c r="R46" s="57"/>
      <c r="S46" s="74"/>
      <c r="T46" s="75"/>
      <c r="U46" s="57"/>
      <c r="V46" s="74"/>
      <c r="W46" s="75"/>
      <c r="X46" s="57"/>
      <c r="Y46" s="74"/>
      <c r="Z46" s="75"/>
      <c r="AA46" s="57"/>
      <c r="AB46" s="74"/>
      <c r="AC46" s="75"/>
      <c r="AD46" s="57"/>
      <c r="AE46" s="74"/>
      <c r="AF46" s="75"/>
      <c r="AG46" s="57"/>
      <c r="AH46" s="74"/>
      <c r="AI46" s="75"/>
      <c r="AJ46" s="57"/>
      <c r="AK46" s="74"/>
      <c r="AL46" s="75"/>
      <c r="AM46" s="57"/>
      <c r="AN46" s="74"/>
      <c r="AO46" s="242"/>
      <c r="AP46" s="48"/>
      <c r="AQ46" s="48"/>
      <c r="AR46" s="48"/>
      <c r="AS46" s="48"/>
      <c r="AT46" s="48"/>
      <c r="AU46" s="48"/>
      <c r="AV46" s="48"/>
      <c r="AW46" s="48"/>
      <c r="AX46" s="48"/>
      <c r="AY46" s="48"/>
      <c r="AZ46" s="48"/>
      <c r="BA46" s="48"/>
      <c r="BB46" s="48"/>
      <c r="BC46" s="48"/>
      <c r="BD46" s="48"/>
      <c r="BE46" s="48"/>
      <c r="BF46" s="48"/>
      <c r="BG46" s="48"/>
      <c r="BH46" s="48"/>
      <c r="BI46" s="48"/>
    </row>
    <row r="47" ht="15.75" customHeight="1">
      <c r="A47" s="41" t="str">
        <f t="shared" si="1"/>
        <v>Véhicules neufsSalaires autres</v>
      </c>
      <c r="B47" s="96" t="s">
        <v>121</v>
      </c>
      <c r="C47" s="49"/>
      <c r="D47" s="98"/>
      <c r="E47" s="99"/>
      <c r="F47" s="49"/>
      <c r="G47" s="98"/>
      <c r="H47" s="99"/>
      <c r="I47" s="49"/>
      <c r="J47" s="98"/>
      <c r="K47" s="99"/>
      <c r="L47" s="49"/>
      <c r="M47" s="98"/>
      <c r="N47" s="99"/>
      <c r="O47" s="49"/>
      <c r="P47" s="98"/>
      <c r="Q47" s="99"/>
      <c r="R47" s="49"/>
      <c r="S47" s="98"/>
      <c r="T47" s="99"/>
      <c r="U47" s="49"/>
      <c r="V47" s="98"/>
      <c r="W47" s="99"/>
      <c r="X47" s="49"/>
      <c r="Y47" s="98"/>
      <c r="Z47" s="99"/>
      <c r="AA47" s="49"/>
      <c r="AB47" s="98"/>
      <c r="AC47" s="99"/>
      <c r="AD47" s="49"/>
      <c r="AE47" s="98"/>
      <c r="AF47" s="99"/>
      <c r="AG47" s="49"/>
      <c r="AH47" s="98"/>
      <c r="AI47" s="99"/>
      <c r="AJ47" s="49"/>
      <c r="AK47" s="98"/>
      <c r="AL47" s="99"/>
      <c r="AM47" s="49"/>
      <c r="AN47" s="98"/>
      <c r="AO47" s="244"/>
      <c r="AP47" s="48"/>
      <c r="AQ47" s="48"/>
      <c r="AR47" s="48"/>
      <c r="AS47" s="48"/>
      <c r="AT47" s="48"/>
      <c r="AU47" s="48"/>
      <c r="AV47" s="48"/>
      <c r="AW47" s="48"/>
      <c r="AX47" s="48"/>
      <c r="AY47" s="48"/>
      <c r="AZ47" s="48"/>
      <c r="BA47" s="48"/>
      <c r="BB47" s="48"/>
      <c r="BC47" s="48"/>
      <c r="BD47" s="48"/>
      <c r="BE47" s="48"/>
      <c r="BF47" s="48"/>
      <c r="BG47" s="48"/>
      <c r="BH47" s="48"/>
      <c r="BI47" s="48"/>
    </row>
    <row r="48" ht="15.75" customHeight="1">
      <c r="A48" s="41" t="str">
        <f t="shared" si="1"/>
        <v>Véhicules neufsSalaires spécialistes</v>
      </c>
      <c r="B48" s="96" t="s">
        <v>122</v>
      </c>
      <c r="C48" s="57"/>
      <c r="D48" s="74"/>
      <c r="E48" s="75"/>
      <c r="F48" s="57"/>
      <c r="G48" s="74"/>
      <c r="H48" s="75"/>
      <c r="I48" s="57"/>
      <c r="J48" s="74"/>
      <c r="K48" s="75"/>
      <c r="L48" s="57"/>
      <c r="M48" s="74"/>
      <c r="N48" s="75"/>
      <c r="O48" s="57"/>
      <c r="P48" s="74"/>
      <c r="Q48" s="75"/>
      <c r="R48" s="57"/>
      <c r="S48" s="74"/>
      <c r="T48" s="75"/>
      <c r="U48" s="57"/>
      <c r="V48" s="74"/>
      <c r="W48" s="75"/>
      <c r="X48" s="57"/>
      <c r="Y48" s="74"/>
      <c r="Z48" s="75"/>
      <c r="AA48" s="57"/>
      <c r="AB48" s="74"/>
      <c r="AC48" s="75"/>
      <c r="AD48" s="57"/>
      <c r="AE48" s="74"/>
      <c r="AF48" s="75"/>
      <c r="AG48" s="57"/>
      <c r="AH48" s="74"/>
      <c r="AI48" s="75"/>
      <c r="AJ48" s="57"/>
      <c r="AK48" s="74"/>
      <c r="AL48" s="75"/>
      <c r="AM48" s="57"/>
      <c r="AN48" s="74"/>
      <c r="AO48" s="242"/>
      <c r="AP48" s="48"/>
      <c r="AQ48" s="48"/>
      <c r="AR48" s="48"/>
      <c r="AS48" s="48"/>
      <c r="AT48" s="48"/>
      <c r="AU48" s="48"/>
      <c r="AV48" s="48"/>
      <c r="AW48" s="48"/>
      <c r="AX48" s="48"/>
      <c r="AY48" s="48"/>
      <c r="AZ48" s="48"/>
      <c r="BA48" s="48"/>
      <c r="BB48" s="48"/>
      <c r="BC48" s="48"/>
      <c r="BD48" s="48"/>
      <c r="BE48" s="48"/>
      <c r="BF48" s="48"/>
      <c r="BG48" s="48"/>
      <c r="BH48" s="48"/>
      <c r="BI48" s="48"/>
    </row>
    <row r="49" ht="15.75" customHeight="1">
      <c r="A49" s="41" t="str">
        <f t="shared" si="1"/>
        <v>Véhicules neufs[...]</v>
      </c>
      <c r="B49" s="57" t="s">
        <v>56</v>
      </c>
      <c r="C49" s="57"/>
      <c r="D49" s="74"/>
      <c r="E49" s="75"/>
      <c r="F49" s="57"/>
      <c r="G49" s="74"/>
      <c r="H49" s="75"/>
      <c r="I49" s="57"/>
      <c r="J49" s="74"/>
      <c r="K49" s="75"/>
      <c r="L49" s="57"/>
      <c r="M49" s="74"/>
      <c r="N49" s="75"/>
      <c r="O49" s="57"/>
      <c r="P49" s="74"/>
      <c r="Q49" s="75"/>
      <c r="R49" s="57"/>
      <c r="S49" s="74"/>
      <c r="T49" s="75"/>
      <c r="U49" s="57"/>
      <c r="V49" s="74"/>
      <c r="W49" s="75"/>
      <c r="X49" s="57"/>
      <c r="Y49" s="74"/>
      <c r="Z49" s="75"/>
      <c r="AA49" s="57"/>
      <c r="AB49" s="74"/>
      <c r="AC49" s="75"/>
      <c r="AD49" s="57"/>
      <c r="AE49" s="74"/>
      <c r="AF49" s="75"/>
      <c r="AG49" s="57"/>
      <c r="AH49" s="74"/>
      <c r="AI49" s="75"/>
      <c r="AJ49" s="57"/>
      <c r="AK49" s="74"/>
      <c r="AL49" s="75"/>
      <c r="AM49" s="57"/>
      <c r="AN49" s="74"/>
      <c r="AO49" s="242"/>
      <c r="AP49" s="48"/>
      <c r="AQ49" s="48"/>
      <c r="AR49" s="48"/>
      <c r="AS49" s="48"/>
      <c r="AT49" s="48"/>
      <c r="AU49" s="48"/>
      <c r="AV49" s="48"/>
      <c r="AW49" s="48"/>
      <c r="AX49" s="48"/>
      <c r="AY49" s="48"/>
      <c r="AZ49" s="48"/>
      <c r="BA49" s="48"/>
      <c r="BB49" s="48"/>
      <c r="BC49" s="48"/>
      <c r="BD49" s="48"/>
      <c r="BE49" s="48"/>
      <c r="BF49" s="48"/>
      <c r="BG49" s="48"/>
      <c r="BH49" s="48"/>
      <c r="BI49" s="48"/>
    </row>
    <row r="50" ht="15.75" customHeight="1">
      <c r="A50" s="41" t="str">
        <f t="shared" si="1"/>
        <v>Véhicules neufs[...]</v>
      </c>
      <c r="B50" s="57" t="s">
        <v>56</v>
      </c>
      <c r="C50" s="57"/>
      <c r="D50" s="74"/>
      <c r="E50" s="75"/>
      <c r="F50" s="57"/>
      <c r="G50" s="74"/>
      <c r="H50" s="75"/>
      <c r="I50" s="57"/>
      <c r="J50" s="74"/>
      <c r="K50" s="75"/>
      <c r="L50" s="57"/>
      <c r="M50" s="74"/>
      <c r="N50" s="75"/>
      <c r="O50" s="57"/>
      <c r="P50" s="74"/>
      <c r="Q50" s="75"/>
      <c r="R50" s="57"/>
      <c r="S50" s="74"/>
      <c r="T50" s="75"/>
      <c r="U50" s="57"/>
      <c r="V50" s="74"/>
      <c r="W50" s="75"/>
      <c r="X50" s="57"/>
      <c r="Y50" s="74"/>
      <c r="Z50" s="75"/>
      <c r="AA50" s="57"/>
      <c r="AB50" s="74"/>
      <c r="AC50" s="75"/>
      <c r="AD50" s="57"/>
      <c r="AE50" s="74"/>
      <c r="AF50" s="75"/>
      <c r="AG50" s="57"/>
      <c r="AH50" s="74"/>
      <c r="AI50" s="75"/>
      <c r="AJ50" s="57"/>
      <c r="AK50" s="74"/>
      <c r="AL50" s="75"/>
      <c r="AM50" s="57"/>
      <c r="AN50" s="74"/>
      <c r="AO50" s="242"/>
      <c r="AP50" s="48"/>
      <c r="AQ50" s="48"/>
      <c r="AR50" s="48"/>
      <c r="AS50" s="48"/>
      <c r="AT50" s="48"/>
      <c r="AU50" s="48"/>
      <c r="AV50" s="48"/>
      <c r="AW50" s="48"/>
      <c r="AX50" s="48"/>
      <c r="AY50" s="48"/>
      <c r="AZ50" s="48"/>
      <c r="BA50" s="48"/>
      <c r="BB50" s="48"/>
      <c r="BC50" s="48"/>
      <c r="BD50" s="48"/>
      <c r="BE50" s="48"/>
      <c r="BF50" s="48"/>
      <c r="BG50" s="48"/>
      <c r="BH50" s="48"/>
      <c r="BI50" s="48"/>
    </row>
    <row r="51" ht="15.75" customHeight="1">
      <c r="A51" s="41" t="str">
        <f t="shared" si="1"/>
        <v>Véhicules neufs[...]</v>
      </c>
      <c r="B51" s="57" t="s">
        <v>56</v>
      </c>
      <c r="C51" s="57"/>
      <c r="D51" s="74"/>
      <c r="E51" s="75"/>
      <c r="F51" s="57"/>
      <c r="G51" s="74"/>
      <c r="H51" s="75"/>
      <c r="I51" s="57"/>
      <c r="J51" s="74"/>
      <c r="K51" s="75"/>
      <c r="L51" s="57"/>
      <c r="M51" s="74"/>
      <c r="N51" s="75"/>
      <c r="O51" s="57"/>
      <c r="P51" s="74"/>
      <c r="Q51" s="75"/>
      <c r="R51" s="57"/>
      <c r="S51" s="74"/>
      <c r="T51" s="75"/>
      <c r="U51" s="57"/>
      <c r="V51" s="74"/>
      <c r="W51" s="75"/>
      <c r="X51" s="57"/>
      <c r="Y51" s="74"/>
      <c r="Z51" s="75"/>
      <c r="AA51" s="57"/>
      <c r="AB51" s="74"/>
      <c r="AC51" s="75"/>
      <c r="AD51" s="57"/>
      <c r="AE51" s="74"/>
      <c r="AF51" s="75"/>
      <c r="AG51" s="57"/>
      <c r="AH51" s="74"/>
      <c r="AI51" s="75"/>
      <c r="AJ51" s="57"/>
      <c r="AK51" s="74"/>
      <c r="AL51" s="75"/>
      <c r="AM51" s="57"/>
      <c r="AN51" s="74"/>
      <c r="AO51" s="242"/>
      <c r="AP51" s="48"/>
      <c r="AQ51" s="48"/>
      <c r="AR51" s="48"/>
      <c r="AS51" s="48"/>
      <c r="AT51" s="48"/>
      <c r="AU51" s="48"/>
      <c r="AV51" s="48"/>
      <c r="AW51" s="48"/>
      <c r="AX51" s="48"/>
      <c r="AY51" s="48"/>
      <c r="AZ51" s="48"/>
      <c r="BA51" s="48"/>
      <c r="BB51" s="48"/>
      <c r="BC51" s="48"/>
      <c r="BD51" s="48"/>
      <c r="BE51" s="48"/>
      <c r="BF51" s="48"/>
      <c r="BG51" s="48"/>
      <c r="BH51" s="48"/>
      <c r="BI51" s="48"/>
    </row>
    <row r="52" ht="15.75" customHeight="1">
      <c r="A52" s="41" t="str">
        <f t="shared" si="1"/>
        <v>Véhicules neufsSalaires en absences</v>
      </c>
      <c r="B52" s="97" t="s">
        <v>123</v>
      </c>
      <c r="C52" s="57"/>
      <c r="D52" s="74"/>
      <c r="E52" s="75"/>
      <c r="F52" s="57"/>
      <c r="G52" s="74"/>
      <c r="H52" s="75"/>
      <c r="I52" s="57"/>
      <c r="J52" s="74"/>
      <c r="K52" s="75"/>
      <c r="L52" s="57"/>
      <c r="M52" s="74"/>
      <c r="N52" s="75"/>
      <c r="O52" s="57"/>
      <c r="P52" s="74"/>
      <c r="Q52" s="75"/>
      <c r="R52" s="57"/>
      <c r="S52" s="74"/>
      <c r="T52" s="75"/>
      <c r="U52" s="57"/>
      <c r="V52" s="74"/>
      <c r="W52" s="75"/>
      <c r="X52" s="57"/>
      <c r="Y52" s="74"/>
      <c r="Z52" s="75"/>
      <c r="AA52" s="57"/>
      <c r="AB52" s="74"/>
      <c r="AC52" s="75"/>
      <c r="AD52" s="57"/>
      <c r="AE52" s="74"/>
      <c r="AF52" s="75"/>
      <c r="AG52" s="57"/>
      <c r="AH52" s="74"/>
      <c r="AI52" s="75"/>
      <c r="AJ52" s="57"/>
      <c r="AK52" s="74"/>
      <c r="AL52" s="75"/>
      <c r="AM52" s="57"/>
      <c r="AN52" s="74"/>
      <c r="AO52" s="242"/>
      <c r="AP52" s="48"/>
      <c r="AQ52" s="48"/>
      <c r="AR52" s="48"/>
      <c r="AS52" s="48"/>
      <c r="AT52" s="48"/>
      <c r="AU52" s="48"/>
      <c r="AV52" s="48"/>
      <c r="AW52" s="48"/>
      <c r="AX52" s="48"/>
      <c r="AY52" s="48"/>
      <c r="AZ52" s="48"/>
      <c r="BA52" s="48"/>
      <c r="BB52" s="48"/>
      <c r="BC52" s="48"/>
      <c r="BD52" s="48"/>
      <c r="BE52" s="48"/>
      <c r="BF52" s="48"/>
      <c r="BG52" s="48"/>
      <c r="BH52" s="48"/>
      <c r="BI52" s="48"/>
    </row>
    <row r="53" ht="15.75" customHeight="1">
      <c r="A53" s="41" t="str">
        <f t="shared" si="1"/>
        <v>Véhicules neufsDéduction à la source</v>
      </c>
      <c r="B53" s="96" t="s">
        <v>124</v>
      </c>
      <c r="C53" s="49"/>
      <c r="D53" s="98"/>
      <c r="E53" s="99"/>
      <c r="F53" s="49"/>
      <c r="G53" s="98"/>
      <c r="H53" s="99"/>
      <c r="I53" s="49"/>
      <c r="J53" s="98"/>
      <c r="K53" s="99"/>
      <c r="L53" s="49"/>
      <c r="M53" s="98"/>
      <c r="N53" s="99"/>
      <c r="O53" s="49"/>
      <c r="P53" s="98"/>
      <c r="Q53" s="99"/>
      <c r="R53" s="49"/>
      <c r="S53" s="98"/>
      <c r="T53" s="99"/>
      <c r="U53" s="49"/>
      <c r="V53" s="98"/>
      <c r="W53" s="99"/>
      <c r="X53" s="49"/>
      <c r="Y53" s="98"/>
      <c r="Z53" s="99"/>
      <c r="AA53" s="49"/>
      <c r="AB53" s="98"/>
      <c r="AC53" s="99"/>
      <c r="AD53" s="49"/>
      <c r="AE53" s="98"/>
      <c r="AF53" s="99"/>
      <c r="AG53" s="49"/>
      <c r="AH53" s="98"/>
      <c r="AI53" s="99"/>
      <c r="AJ53" s="49"/>
      <c r="AK53" s="98"/>
      <c r="AL53" s="99"/>
      <c r="AM53" s="49"/>
      <c r="AN53" s="98"/>
      <c r="AO53" s="244"/>
      <c r="AP53" s="48"/>
      <c r="AQ53" s="48"/>
      <c r="AR53" s="48"/>
      <c r="AS53" s="48"/>
      <c r="AT53" s="48"/>
      <c r="AU53" s="48"/>
      <c r="AV53" s="48"/>
      <c r="AW53" s="48"/>
      <c r="AX53" s="48"/>
      <c r="AY53" s="48"/>
      <c r="AZ53" s="48"/>
      <c r="BA53" s="48"/>
      <c r="BB53" s="48"/>
      <c r="BC53" s="48"/>
      <c r="BD53" s="48"/>
      <c r="BE53" s="48"/>
      <c r="BF53" s="48"/>
      <c r="BG53" s="48"/>
      <c r="BH53" s="48"/>
      <c r="BI53" s="48"/>
    </row>
    <row r="54" ht="15.75" customHeight="1">
      <c r="A54" s="41" t="str">
        <f t="shared" si="1"/>
        <v>Véhicules neufsBénéfices marginaux</v>
      </c>
      <c r="B54" s="96" t="s">
        <v>125</v>
      </c>
      <c r="C54" s="57"/>
      <c r="D54" s="74"/>
      <c r="E54" s="75"/>
      <c r="F54" s="57"/>
      <c r="G54" s="74"/>
      <c r="H54" s="75"/>
      <c r="I54" s="57"/>
      <c r="J54" s="74"/>
      <c r="K54" s="75"/>
      <c r="L54" s="57"/>
      <c r="M54" s="74"/>
      <c r="N54" s="75"/>
      <c r="O54" s="57"/>
      <c r="P54" s="74"/>
      <c r="Q54" s="75"/>
      <c r="R54" s="57"/>
      <c r="S54" s="74"/>
      <c r="T54" s="75"/>
      <c r="U54" s="57"/>
      <c r="V54" s="74"/>
      <c r="W54" s="75"/>
      <c r="X54" s="57"/>
      <c r="Y54" s="74"/>
      <c r="Z54" s="75"/>
      <c r="AA54" s="57"/>
      <c r="AB54" s="74"/>
      <c r="AC54" s="75"/>
      <c r="AD54" s="57"/>
      <c r="AE54" s="74"/>
      <c r="AF54" s="75"/>
      <c r="AG54" s="57"/>
      <c r="AH54" s="74"/>
      <c r="AI54" s="75"/>
      <c r="AJ54" s="57"/>
      <c r="AK54" s="74"/>
      <c r="AL54" s="75"/>
      <c r="AM54" s="57"/>
      <c r="AN54" s="74"/>
      <c r="AO54" s="242"/>
      <c r="AP54" s="48"/>
      <c r="AQ54" s="48"/>
      <c r="AR54" s="48"/>
      <c r="AS54" s="48"/>
      <c r="AT54" s="48"/>
      <c r="AU54" s="48"/>
      <c r="AV54" s="48"/>
      <c r="AW54" s="48"/>
      <c r="AX54" s="48"/>
      <c r="AY54" s="48"/>
      <c r="AZ54" s="48"/>
      <c r="BA54" s="48"/>
      <c r="BB54" s="48"/>
      <c r="BC54" s="48"/>
      <c r="BD54" s="48"/>
      <c r="BE54" s="48"/>
      <c r="BF54" s="48"/>
      <c r="BG54" s="48"/>
      <c r="BH54" s="48"/>
      <c r="BI54" s="48"/>
    </row>
    <row r="55" ht="15.75" customHeight="1">
      <c r="A55" s="41" t="str">
        <f t="shared" si="1"/>
        <v>Véhicules neufsCsst</v>
      </c>
      <c r="B55" s="96" t="s">
        <v>126</v>
      </c>
      <c r="C55" s="57"/>
      <c r="D55" s="74"/>
      <c r="E55" s="75"/>
      <c r="F55" s="57"/>
      <c r="G55" s="74"/>
      <c r="H55" s="75"/>
      <c r="I55" s="57"/>
      <c r="J55" s="74"/>
      <c r="K55" s="75"/>
      <c r="L55" s="57"/>
      <c r="M55" s="74"/>
      <c r="N55" s="75"/>
      <c r="O55" s="57"/>
      <c r="P55" s="74"/>
      <c r="Q55" s="75"/>
      <c r="R55" s="57"/>
      <c r="S55" s="74"/>
      <c r="T55" s="75"/>
      <c r="U55" s="57"/>
      <c r="V55" s="74"/>
      <c r="W55" s="75"/>
      <c r="X55" s="57"/>
      <c r="Y55" s="74"/>
      <c r="Z55" s="75"/>
      <c r="AA55" s="57"/>
      <c r="AB55" s="74"/>
      <c r="AC55" s="75"/>
      <c r="AD55" s="57"/>
      <c r="AE55" s="74"/>
      <c r="AF55" s="75"/>
      <c r="AG55" s="57"/>
      <c r="AH55" s="74"/>
      <c r="AI55" s="75"/>
      <c r="AJ55" s="57"/>
      <c r="AK55" s="74"/>
      <c r="AL55" s="75"/>
      <c r="AM55" s="57"/>
      <c r="AN55" s="74"/>
      <c r="AO55" s="242"/>
      <c r="AP55" s="48"/>
      <c r="AQ55" s="48"/>
      <c r="AR55" s="48"/>
      <c r="AS55" s="48"/>
      <c r="AT55" s="48"/>
      <c r="AU55" s="48"/>
      <c r="AV55" s="48"/>
      <c r="AW55" s="48"/>
      <c r="AX55" s="48"/>
      <c r="AY55" s="48"/>
      <c r="AZ55" s="48"/>
      <c r="BA55" s="48"/>
      <c r="BB55" s="48"/>
      <c r="BC55" s="48"/>
      <c r="BD55" s="48"/>
      <c r="BE55" s="48"/>
      <c r="BF55" s="48"/>
      <c r="BG55" s="48"/>
      <c r="BH55" s="48"/>
      <c r="BI55" s="48"/>
    </row>
    <row r="56" ht="15.75" customHeight="1">
      <c r="A56" s="41" t="str">
        <f t="shared" si="1"/>
        <v>Véhicules neufs[...]</v>
      </c>
      <c r="B56" s="57" t="s">
        <v>56</v>
      </c>
      <c r="C56" s="53"/>
      <c r="D56" s="100"/>
      <c r="E56" s="91"/>
      <c r="F56" s="53"/>
      <c r="G56" s="100"/>
      <c r="H56" s="91"/>
      <c r="I56" s="53"/>
      <c r="J56" s="100"/>
      <c r="K56" s="91"/>
      <c r="L56" s="53"/>
      <c r="M56" s="100"/>
      <c r="N56" s="91"/>
      <c r="O56" s="53"/>
      <c r="P56" s="100"/>
      <c r="Q56" s="91"/>
      <c r="R56" s="53"/>
      <c r="S56" s="100"/>
      <c r="T56" s="91"/>
      <c r="U56" s="53"/>
      <c r="V56" s="100"/>
      <c r="W56" s="91"/>
      <c r="X56" s="53"/>
      <c r="Y56" s="100"/>
      <c r="Z56" s="91"/>
      <c r="AA56" s="53"/>
      <c r="AB56" s="100"/>
      <c r="AC56" s="91"/>
      <c r="AD56" s="53"/>
      <c r="AE56" s="100"/>
      <c r="AF56" s="91"/>
      <c r="AG56" s="53"/>
      <c r="AH56" s="100"/>
      <c r="AI56" s="91"/>
      <c r="AJ56" s="53"/>
      <c r="AK56" s="100"/>
      <c r="AL56" s="91"/>
      <c r="AM56" s="53"/>
      <c r="AN56" s="100"/>
      <c r="AO56" s="91"/>
      <c r="AP56" s="48"/>
      <c r="AQ56" s="48"/>
      <c r="AR56" s="48"/>
      <c r="AS56" s="48"/>
      <c r="AT56" s="48"/>
      <c r="AU56" s="48"/>
      <c r="AV56" s="48"/>
      <c r="AW56" s="48"/>
      <c r="AX56" s="48"/>
      <c r="AY56" s="48"/>
      <c r="AZ56" s="48"/>
      <c r="BA56" s="48"/>
      <c r="BB56" s="48"/>
      <c r="BC56" s="48"/>
      <c r="BD56" s="48"/>
      <c r="BE56" s="48"/>
      <c r="BF56" s="48"/>
      <c r="BG56" s="48"/>
      <c r="BH56" s="48"/>
      <c r="BI56" s="48"/>
    </row>
    <row r="57" ht="15.75" customHeight="1">
      <c r="A57" s="41" t="str">
        <f t="shared" si="1"/>
        <v>Véhicules neufsTOTAL PERSONNEL</v>
      </c>
      <c r="B57" s="92" t="s">
        <v>127</v>
      </c>
      <c r="C57" s="93"/>
      <c r="D57" s="94"/>
      <c r="E57" s="95"/>
      <c r="F57" s="93"/>
      <c r="G57" s="94"/>
      <c r="H57" s="95"/>
      <c r="I57" s="93"/>
      <c r="J57" s="94"/>
      <c r="K57" s="95"/>
      <c r="L57" s="93"/>
      <c r="M57" s="94"/>
      <c r="N57" s="95"/>
      <c r="O57" s="93"/>
      <c r="P57" s="94"/>
      <c r="Q57" s="95"/>
      <c r="R57" s="93"/>
      <c r="S57" s="94"/>
      <c r="T57" s="95"/>
      <c r="U57" s="93"/>
      <c r="V57" s="94"/>
      <c r="W57" s="95"/>
      <c r="X57" s="93"/>
      <c r="Y57" s="94"/>
      <c r="Z57" s="95"/>
      <c r="AA57" s="93"/>
      <c r="AB57" s="94"/>
      <c r="AC57" s="95"/>
      <c r="AD57" s="93"/>
      <c r="AE57" s="94"/>
      <c r="AF57" s="95"/>
      <c r="AG57" s="93"/>
      <c r="AH57" s="94"/>
      <c r="AI57" s="95"/>
      <c r="AJ57" s="93"/>
      <c r="AK57" s="94"/>
      <c r="AL57" s="95"/>
      <c r="AM57" s="93"/>
      <c r="AN57" s="94"/>
      <c r="AO57" s="95"/>
      <c r="AP57" s="48"/>
      <c r="AQ57" s="48"/>
      <c r="AR57" s="48"/>
      <c r="AS57" s="48"/>
      <c r="AT57" s="48"/>
      <c r="AU57" s="48"/>
      <c r="AV57" s="48"/>
      <c r="AW57" s="48"/>
      <c r="AX57" s="48"/>
      <c r="AY57" s="48"/>
      <c r="AZ57" s="48"/>
      <c r="BA57" s="48"/>
      <c r="BB57" s="48"/>
      <c r="BC57" s="48"/>
      <c r="BD57" s="48"/>
      <c r="BE57" s="48"/>
      <c r="BF57" s="48"/>
      <c r="BG57" s="48"/>
      <c r="BH57" s="48"/>
      <c r="BI57" s="48"/>
    </row>
    <row r="58" ht="15.75" customHeight="1">
      <c r="A58" s="41" t="str">
        <f t="shared" si="1"/>
        <v>Véhicules neufsPublicité 2</v>
      </c>
      <c r="B58" s="57" t="s">
        <v>128</v>
      </c>
      <c r="C58" s="57"/>
      <c r="D58" s="74"/>
      <c r="E58" s="75"/>
      <c r="F58" s="57"/>
      <c r="G58" s="74"/>
      <c r="H58" s="75"/>
      <c r="I58" s="57"/>
      <c r="J58" s="74"/>
      <c r="K58" s="75"/>
      <c r="L58" s="57"/>
      <c r="M58" s="74"/>
      <c r="N58" s="75"/>
      <c r="O58" s="57"/>
      <c r="P58" s="74"/>
      <c r="Q58" s="75"/>
      <c r="R58" s="57"/>
      <c r="S58" s="74"/>
      <c r="T58" s="75"/>
      <c r="U58" s="57"/>
      <c r="V58" s="74"/>
      <c r="W58" s="75"/>
      <c r="X58" s="57"/>
      <c r="Y58" s="74"/>
      <c r="Z58" s="75"/>
      <c r="AA58" s="57"/>
      <c r="AB58" s="74"/>
      <c r="AC58" s="75"/>
      <c r="AD58" s="57"/>
      <c r="AE58" s="74"/>
      <c r="AF58" s="75"/>
      <c r="AG58" s="57"/>
      <c r="AH58" s="74"/>
      <c r="AI58" s="75"/>
      <c r="AJ58" s="57"/>
      <c r="AK58" s="74"/>
      <c r="AL58" s="75"/>
      <c r="AM58" s="57"/>
      <c r="AN58" s="74"/>
      <c r="AO58" s="242"/>
      <c r="AP58" s="48"/>
      <c r="AQ58" s="48"/>
      <c r="AR58" s="48"/>
      <c r="AS58" s="48"/>
      <c r="AT58" s="48"/>
      <c r="AU58" s="48"/>
      <c r="AV58" s="48"/>
      <c r="AW58" s="48"/>
      <c r="AX58" s="48"/>
      <c r="AY58" s="48"/>
      <c r="AZ58" s="48"/>
      <c r="BA58" s="48"/>
      <c r="BB58" s="48"/>
      <c r="BC58" s="48"/>
      <c r="BD58" s="48"/>
      <c r="BE58" s="48"/>
      <c r="BF58" s="48"/>
      <c r="BG58" s="48"/>
      <c r="BH58" s="48"/>
      <c r="BI58" s="48"/>
    </row>
    <row r="59" ht="15.75" customHeight="1">
      <c r="A59" s="41" t="str">
        <f t="shared" si="1"/>
        <v>Véhicules neufsService gratuit 2</v>
      </c>
      <c r="B59" s="57" t="s">
        <v>129</v>
      </c>
      <c r="C59" s="57"/>
      <c r="D59" s="74"/>
      <c r="E59" s="75"/>
      <c r="F59" s="57"/>
      <c r="G59" s="74"/>
      <c r="H59" s="75"/>
      <c r="I59" s="57"/>
      <c r="J59" s="74"/>
      <c r="K59" s="75"/>
      <c r="L59" s="57"/>
      <c r="M59" s="74"/>
      <c r="N59" s="75"/>
      <c r="O59" s="57"/>
      <c r="P59" s="74"/>
      <c r="Q59" s="75"/>
      <c r="R59" s="57"/>
      <c r="S59" s="74"/>
      <c r="T59" s="75"/>
      <c r="U59" s="57"/>
      <c r="V59" s="74"/>
      <c r="W59" s="75"/>
      <c r="X59" s="57"/>
      <c r="Y59" s="74"/>
      <c r="Z59" s="75"/>
      <c r="AA59" s="57"/>
      <c r="AB59" s="74"/>
      <c r="AC59" s="75"/>
      <c r="AD59" s="57"/>
      <c r="AE59" s="74"/>
      <c r="AF59" s="75"/>
      <c r="AG59" s="57"/>
      <c r="AH59" s="74"/>
      <c r="AI59" s="75"/>
      <c r="AJ59" s="57"/>
      <c r="AK59" s="74"/>
      <c r="AL59" s="75"/>
      <c r="AM59" s="57"/>
      <c r="AN59" s="74"/>
      <c r="AO59" s="242"/>
      <c r="AP59" s="48"/>
      <c r="AQ59" s="48"/>
      <c r="AR59" s="48"/>
      <c r="AS59" s="48"/>
      <c r="AT59" s="48"/>
      <c r="AU59" s="48"/>
      <c r="AV59" s="48"/>
      <c r="AW59" s="48"/>
      <c r="AX59" s="48"/>
      <c r="AY59" s="48"/>
      <c r="AZ59" s="48"/>
      <c r="BA59" s="48"/>
      <c r="BB59" s="48"/>
      <c r="BC59" s="48"/>
      <c r="BD59" s="48"/>
      <c r="BE59" s="48"/>
      <c r="BF59" s="48"/>
      <c r="BG59" s="48"/>
      <c r="BH59" s="48"/>
      <c r="BI59" s="48"/>
    </row>
    <row r="60" ht="15.75" customHeight="1">
      <c r="A60" s="41" t="str">
        <f t="shared" si="1"/>
        <v>Véhicules neufsFrais véhicules de cie</v>
      </c>
      <c r="B60" s="53" t="s">
        <v>130</v>
      </c>
      <c r="C60" s="53"/>
      <c r="D60" s="100"/>
      <c r="E60" s="91"/>
      <c r="F60" s="53"/>
      <c r="G60" s="100"/>
      <c r="H60" s="91"/>
      <c r="I60" s="53"/>
      <c r="J60" s="100"/>
      <c r="K60" s="91"/>
      <c r="L60" s="53"/>
      <c r="M60" s="100"/>
      <c r="N60" s="91"/>
      <c r="O60" s="53"/>
      <c r="P60" s="100"/>
      <c r="Q60" s="91"/>
      <c r="R60" s="53"/>
      <c r="S60" s="100"/>
      <c r="T60" s="91"/>
      <c r="U60" s="53"/>
      <c r="V60" s="100"/>
      <c r="W60" s="91"/>
      <c r="X60" s="53"/>
      <c r="Y60" s="100"/>
      <c r="Z60" s="91"/>
      <c r="AA60" s="53"/>
      <c r="AB60" s="100"/>
      <c r="AC60" s="91"/>
      <c r="AD60" s="53"/>
      <c r="AE60" s="100"/>
      <c r="AF60" s="91"/>
      <c r="AG60" s="53"/>
      <c r="AH60" s="100"/>
      <c r="AI60" s="91"/>
      <c r="AJ60" s="53"/>
      <c r="AK60" s="100"/>
      <c r="AL60" s="91"/>
      <c r="AM60" s="53"/>
      <c r="AN60" s="100"/>
      <c r="AO60" s="243"/>
      <c r="AP60" s="48"/>
      <c r="AQ60" s="48"/>
      <c r="AR60" s="48"/>
      <c r="AS60" s="48"/>
      <c r="AT60" s="48"/>
      <c r="AU60" s="48"/>
      <c r="AV60" s="48"/>
      <c r="AW60" s="48"/>
      <c r="AX60" s="48"/>
      <c r="AY60" s="48"/>
      <c r="AZ60" s="48"/>
      <c r="BA60" s="48"/>
      <c r="BB60" s="48"/>
      <c r="BC60" s="48"/>
      <c r="BD60" s="48"/>
      <c r="BE60" s="48"/>
      <c r="BF60" s="48"/>
      <c r="BG60" s="48"/>
      <c r="BH60" s="48"/>
      <c r="BI60" s="48"/>
    </row>
    <row r="61" ht="15.75" customHeight="1">
      <c r="A61" s="41" t="str">
        <f t="shared" si="1"/>
        <v>Véhicules neufsInformatique</v>
      </c>
      <c r="B61" s="57" t="s">
        <v>131</v>
      </c>
      <c r="C61" s="57"/>
      <c r="D61" s="74"/>
      <c r="E61" s="75"/>
      <c r="F61" s="57"/>
      <c r="G61" s="74"/>
      <c r="H61" s="75"/>
      <c r="I61" s="57"/>
      <c r="J61" s="74"/>
      <c r="K61" s="75"/>
      <c r="L61" s="57"/>
      <c r="M61" s="74"/>
      <c r="N61" s="75"/>
      <c r="O61" s="57"/>
      <c r="P61" s="74"/>
      <c r="Q61" s="75"/>
      <c r="R61" s="57"/>
      <c r="S61" s="74"/>
      <c r="T61" s="75"/>
      <c r="U61" s="57"/>
      <c r="V61" s="74"/>
      <c r="W61" s="75"/>
      <c r="X61" s="57"/>
      <c r="Y61" s="74"/>
      <c r="Z61" s="75"/>
      <c r="AA61" s="57"/>
      <c r="AB61" s="74"/>
      <c r="AC61" s="75"/>
      <c r="AD61" s="57"/>
      <c r="AE61" s="74"/>
      <c r="AF61" s="75"/>
      <c r="AG61" s="57"/>
      <c r="AH61" s="74"/>
      <c r="AI61" s="75"/>
      <c r="AJ61" s="57"/>
      <c r="AK61" s="74"/>
      <c r="AL61" s="75"/>
      <c r="AM61" s="57"/>
      <c r="AN61" s="74"/>
      <c r="AO61" s="242"/>
      <c r="AP61" s="48"/>
      <c r="AQ61" s="48"/>
      <c r="AR61" s="48"/>
      <c r="AS61" s="48"/>
      <c r="AT61" s="48"/>
      <c r="AU61" s="48"/>
      <c r="AV61" s="48"/>
      <c r="AW61" s="48"/>
      <c r="AX61" s="48"/>
      <c r="AY61" s="48"/>
      <c r="AZ61" s="48"/>
      <c r="BA61" s="48"/>
      <c r="BB61" s="48"/>
      <c r="BC61" s="48"/>
      <c r="BD61" s="48"/>
      <c r="BE61" s="48"/>
      <c r="BF61" s="48"/>
      <c r="BG61" s="48"/>
      <c r="BH61" s="48"/>
      <c r="BI61" s="48"/>
    </row>
    <row r="62" ht="15.75" customHeight="1">
      <c r="A62" s="41" t="str">
        <f t="shared" si="1"/>
        <v>Véhicules neufsFrais de déplacement</v>
      </c>
      <c r="B62" s="57" t="s">
        <v>132</v>
      </c>
      <c r="C62" s="57"/>
      <c r="D62" s="74"/>
      <c r="E62" s="75"/>
      <c r="F62" s="57"/>
      <c r="G62" s="74"/>
      <c r="H62" s="75"/>
      <c r="I62" s="57"/>
      <c r="J62" s="74"/>
      <c r="K62" s="75"/>
      <c r="L62" s="57"/>
      <c r="M62" s="74"/>
      <c r="N62" s="75"/>
      <c r="O62" s="57"/>
      <c r="P62" s="74"/>
      <c r="Q62" s="75"/>
      <c r="R62" s="57"/>
      <c r="S62" s="74"/>
      <c r="T62" s="75"/>
      <c r="U62" s="57"/>
      <c r="V62" s="74"/>
      <c r="W62" s="75"/>
      <c r="X62" s="57"/>
      <c r="Y62" s="74"/>
      <c r="Z62" s="75"/>
      <c r="AA62" s="57"/>
      <c r="AB62" s="74"/>
      <c r="AC62" s="75"/>
      <c r="AD62" s="57"/>
      <c r="AE62" s="74"/>
      <c r="AF62" s="75"/>
      <c r="AG62" s="57"/>
      <c r="AH62" s="74"/>
      <c r="AI62" s="75"/>
      <c r="AJ62" s="57"/>
      <c r="AK62" s="74"/>
      <c r="AL62" s="75"/>
      <c r="AM62" s="57"/>
      <c r="AN62" s="74"/>
      <c r="AO62" s="242"/>
      <c r="AP62" s="48"/>
      <c r="AQ62" s="48"/>
      <c r="AR62" s="48"/>
      <c r="AS62" s="48"/>
      <c r="AT62" s="48"/>
      <c r="AU62" s="48"/>
      <c r="AV62" s="48"/>
      <c r="AW62" s="48"/>
      <c r="AX62" s="48"/>
      <c r="AY62" s="48"/>
      <c r="AZ62" s="48"/>
      <c r="BA62" s="48"/>
      <c r="BB62" s="48"/>
      <c r="BC62" s="48"/>
      <c r="BD62" s="48"/>
      <c r="BE62" s="48"/>
      <c r="BF62" s="48"/>
      <c r="BG62" s="48"/>
      <c r="BH62" s="48"/>
      <c r="BI62" s="48"/>
    </row>
    <row r="63" ht="15.75" customHeight="1">
      <c r="A63" s="41" t="str">
        <f t="shared" si="1"/>
        <v>Véhicules neufsServices extérieurs</v>
      </c>
      <c r="B63" s="53" t="s">
        <v>133</v>
      </c>
      <c r="C63" s="53"/>
      <c r="D63" s="100"/>
      <c r="E63" s="91"/>
      <c r="F63" s="53"/>
      <c r="G63" s="100"/>
      <c r="H63" s="91"/>
      <c r="I63" s="53"/>
      <c r="J63" s="100"/>
      <c r="K63" s="91"/>
      <c r="L63" s="53"/>
      <c r="M63" s="100"/>
      <c r="N63" s="91"/>
      <c r="O63" s="53"/>
      <c r="P63" s="100"/>
      <c r="Q63" s="91"/>
      <c r="R63" s="53"/>
      <c r="S63" s="100"/>
      <c r="T63" s="91"/>
      <c r="U63" s="53"/>
      <c r="V63" s="100"/>
      <c r="W63" s="91"/>
      <c r="X63" s="53"/>
      <c r="Y63" s="100"/>
      <c r="Z63" s="91"/>
      <c r="AA63" s="53"/>
      <c r="AB63" s="100"/>
      <c r="AC63" s="91"/>
      <c r="AD63" s="53"/>
      <c r="AE63" s="100"/>
      <c r="AF63" s="91"/>
      <c r="AG63" s="53"/>
      <c r="AH63" s="100"/>
      <c r="AI63" s="91"/>
      <c r="AJ63" s="53"/>
      <c r="AK63" s="100"/>
      <c r="AL63" s="91"/>
      <c r="AM63" s="53"/>
      <c r="AN63" s="100"/>
      <c r="AO63" s="243"/>
      <c r="AP63" s="48"/>
      <c r="AQ63" s="48"/>
      <c r="AR63" s="48"/>
      <c r="AS63" s="48"/>
      <c r="AT63" s="48"/>
      <c r="AU63" s="48"/>
      <c r="AV63" s="48"/>
      <c r="AW63" s="48"/>
      <c r="AX63" s="48"/>
      <c r="AY63" s="48"/>
      <c r="AZ63" s="48"/>
      <c r="BA63" s="48"/>
      <c r="BB63" s="48"/>
      <c r="BC63" s="48"/>
      <c r="BD63" s="48"/>
      <c r="BE63" s="48"/>
      <c r="BF63" s="48"/>
      <c r="BG63" s="48"/>
      <c r="BH63" s="48"/>
      <c r="BI63" s="48"/>
    </row>
    <row r="64" ht="15.75" customHeight="1">
      <c r="A64" s="41" t="str">
        <f t="shared" si="1"/>
        <v>Véhicules neufsFournitures autres</v>
      </c>
      <c r="B64" s="57" t="s">
        <v>134</v>
      </c>
      <c r="C64" s="57"/>
      <c r="D64" s="74"/>
      <c r="E64" s="75"/>
      <c r="F64" s="57"/>
      <c r="G64" s="74"/>
      <c r="H64" s="75"/>
      <c r="I64" s="57"/>
      <c r="J64" s="74"/>
      <c r="K64" s="75"/>
      <c r="L64" s="57"/>
      <c r="M64" s="74"/>
      <c r="N64" s="75"/>
      <c r="O64" s="57"/>
      <c r="P64" s="74"/>
      <c r="Q64" s="75"/>
      <c r="R64" s="57"/>
      <c r="S64" s="74"/>
      <c r="T64" s="75"/>
      <c r="U64" s="57"/>
      <c r="V64" s="74"/>
      <c r="W64" s="75"/>
      <c r="X64" s="57"/>
      <c r="Y64" s="74"/>
      <c r="Z64" s="75"/>
      <c r="AA64" s="57"/>
      <c r="AB64" s="74"/>
      <c r="AC64" s="75"/>
      <c r="AD64" s="57"/>
      <c r="AE64" s="74"/>
      <c r="AF64" s="75"/>
      <c r="AG64" s="57"/>
      <c r="AH64" s="74"/>
      <c r="AI64" s="75"/>
      <c r="AJ64" s="57"/>
      <c r="AK64" s="74"/>
      <c r="AL64" s="75"/>
      <c r="AM64" s="57"/>
      <c r="AN64" s="74"/>
      <c r="AO64" s="242"/>
      <c r="AP64" s="48"/>
      <c r="AQ64" s="48"/>
      <c r="AR64" s="48"/>
      <c r="AS64" s="48"/>
      <c r="AT64" s="48"/>
      <c r="AU64" s="48"/>
      <c r="AV64" s="48"/>
      <c r="AW64" s="48"/>
      <c r="AX64" s="48"/>
      <c r="AY64" s="48"/>
      <c r="AZ64" s="48"/>
      <c r="BA64" s="48"/>
      <c r="BB64" s="48"/>
      <c r="BC64" s="48"/>
      <c r="BD64" s="48"/>
      <c r="BE64" s="48"/>
      <c r="BF64" s="48"/>
      <c r="BG64" s="48"/>
      <c r="BH64" s="48"/>
      <c r="BI64" s="48"/>
    </row>
    <row r="65" ht="15.75" customHeight="1">
      <c r="A65" s="41" t="str">
        <f t="shared" si="1"/>
        <v>Véhicules neufsUniformes</v>
      </c>
      <c r="B65" s="57" t="s">
        <v>135</v>
      </c>
      <c r="C65" s="57"/>
      <c r="D65" s="74"/>
      <c r="E65" s="75"/>
      <c r="F65" s="57"/>
      <c r="G65" s="74"/>
      <c r="H65" s="75"/>
      <c r="I65" s="57"/>
      <c r="J65" s="74"/>
      <c r="K65" s="75"/>
      <c r="L65" s="57"/>
      <c r="M65" s="74"/>
      <c r="N65" s="75"/>
      <c r="O65" s="57"/>
      <c r="P65" s="74"/>
      <c r="Q65" s="75"/>
      <c r="R65" s="57"/>
      <c r="S65" s="74"/>
      <c r="T65" s="75"/>
      <c r="U65" s="57"/>
      <c r="V65" s="74"/>
      <c r="W65" s="75"/>
      <c r="X65" s="57"/>
      <c r="Y65" s="74"/>
      <c r="Z65" s="75"/>
      <c r="AA65" s="57"/>
      <c r="AB65" s="74"/>
      <c r="AC65" s="75"/>
      <c r="AD65" s="57"/>
      <c r="AE65" s="74"/>
      <c r="AF65" s="75"/>
      <c r="AG65" s="57"/>
      <c r="AH65" s="74"/>
      <c r="AI65" s="75"/>
      <c r="AJ65" s="57"/>
      <c r="AK65" s="74"/>
      <c r="AL65" s="75"/>
      <c r="AM65" s="57"/>
      <c r="AN65" s="74"/>
      <c r="AO65" s="242"/>
      <c r="AP65" s="48"/>
      <c r="AQ65" s="48"/>
      <c r="AR65" s="48"/>
      <c r="AS65" s="48"/>
      <c r="AT65" s="48"/>
      <c r="AU65" s="48"/>
      <c r="AV65" s="48"/>
      <c r="AW65" s="48"/>
      <c r="AX65" s="48"/>
      <c r="AY65" s="48"/>
      <c r="AZ65" s="48"/>
      <c r="BA65" s="48"/>
      <c r="BB65" s="48"/>
      <c r="BC65" s="48"/>
      <c r="BD65" s="48"/>
      <c r="BE65" s="48"/>
      <c r="BF65" s="48"/>
      <c r="BG65" s="48"/>
      <c r="BH65" s="48"/>
      <c r="BI65" s="48"/>
    </row>
    <row r="66" ht="15.75" customHeight="1">
      <c r="A66" s="41" t="str">
        <f t="shared" si="1"/>
        <v>Véhicules neufsPapeterie</v>
      </c>
      <c r="B66" s="57" t="s">
        <v>136</v>
      </c>
      <c r="C66" s="57"/>
      <c r="D66" s="74"/>
      <c r="E66" s="75"/>
      <c r="F66" s="57"/>
      <c r="G66" s="74"/>
      <c r="H66" s="75"/>
      <c r="I66" s="57"/>
      <c r="J66" s="74"/>
      <c r="K66" s="75"/>
      <c r="L66" s="57"/>
      <c r="M66" s="74"/>
      <c r="N66" s="75"/>
      <c r="O66" s="57"/>
      <c r="P66" s="74"/>
      <c r="Q66" s="75"/>
      <c r="R66" s="57"/>
      <c r="S66" s="74"/>
      <c r="T66" s="75"/>
      <c r="U66" s="57"/>
      <c r="V66" s="74"/>
      <c r="W66" s="75"/>
      <c r="X66" s="57"/>
      <c r="Y66" s="74"/>
      <c r="Z66" s="75"/>
      <c r="AA66" s="57"/>
      <c r="AB66" s="74"/>
      <c r="AC66" s="75"/>
      <c r="AD66" s="57"/>
      <c r="AE66" s="74"/>
      <c r="AF66" s="75"/>
      <c r="AG66" s="57"/>
      <c r="AH66" s="74"/>
      <c r="AI66" s="75"/>
      <c r="AJ66" s="57"/>
      <c r="AK66" s="74"/>
      <c r="AL66" s="75"/>
      <c r="AM66" s="57"/>
      <c r="AN66" s="74"/>
      <c r="AO66" s="242"/>
      <c r="AP66" s="48"/>
      <c r="AQ66" s="48"/>
      <c r="AR66" s="48"/>
      <c r="AS66" s="48"/>
      <c r="AT66" s="48"/>
      <c r="AU66" s="48"/>
      <c r="AV66" s="48"/>
      <c r="AW66" s="48"/>
      <c r="AX66" s="48"/>
      <c r="AY66" s="48"/>
      <c r="AZ66" s="48"/>
      <c r="BA66" s="48"/>
      <c r="BB66" s="48"/>
      <c r="BC66" s="48"/>
      <c r="BD66" s="48"/>
      <c r="BE66" s="48"/>
      <c r="BF66" s="48"/>
      <c r="BG66" s="48"/>
      <c r="BH66" s="48"/>
      <c r="BI66" s="48"/>
    </row>
    <row r="67" ht="15.75" customHeight="1">
      <c r="A67" s="41" t="str">
        <f t="shared" si="1"/>
        <v>Véhicules neufsTéléphone</v>
      </c>
      <c r="B67" s="57" t="s">
        <v>137</v>
      </c>
      <c r="C67" s="57"/>
      <c r="D67" s="74"/>
      <c r="E67" s="75"/>
      <c r="F67" s="57"/>
      <c r="G67" s="74"/>
      <c r="H67" s="75"/>
      <c r="I67" s="57"/>
      <c r="J67" s="74"/>
      <c r="K67" s="75"/>
      <c r="L67" s="57"/>
      <c r="M67" s="74"/>
      <c r="N67" s="75"/>
      <c r="O67" s="57"/>
      <c r="P67" s="74"/>
      <c r="Q67" s="75"/>
      <c r="R67" s="57"/>
      <c r="S67" s="74"/>
      <c r="T67" s="75"/>
      <c r="U67" s="57"/>
      <c r="V67" s="74"/>
      <c r="W67" s="75"/>
      <c r="X67" s="57"/>
      <c r="Y67" s="74"/>
      <c r="Z67" s="75"/>
      <c r="AA67" s="57"/>
      <c r="AB67" s="74"/>
      <c r="AC67" s="75"/>
      <c r="AD67" s="57"/>
      <c r="AE67" s="74"/>
      <c r="AF67" s="75"/>
      <c r="AG67" s="57"/>
      <c r="AH67" s="74"/>
      <c r="AI67" s="75"/>
      <c r="AJ67" s="57"/>
      <c r="AK67" s="74"/>
      <c r="AL67" s="75"/>
      <c r="AM67" s="57"/>
      <c r="AN67" s="74"/>
      <c r="AO67" s="242"/>
      <c r="AP67" s="48"/>
      <c r="AQ67" s="48"/>
      <c r="AR67" s="48"/>
      <c r="AS67" s="48"/>
      <c r="AT67" s="48"/>
      <c r="AU67" s="48"/>
      <c r="AV67" s="48"/>
      <c r="AW67" s="48"/>
      <c r="AX67" s="48"/>
      <c r="AY67" s="48"/>
      <c r="AZ67" s="48"/>
      <c r="BA67" s="48"/>
      <c r="BB67" s="48"/>
      <c r="BC67" s="48"/>
      <c r="BD67" s="48"/>
      <c r="BE67" s="48"/>
      <c r="BF67" s="48"/>
      <c r="BG67" s="48"/>
      <c r="BH67" s="48"/>
      <c r="BI67" s="48"/>
    </row>
    <row r="68" ht="15.75" customHeight="1">
      <c r="A68" s="41" t="str">
        <f t="shared" si="1"/>
        <v>Véhicules neufsFrais postaux</v>
      </c>
      <c r="B68" s="57" t="s">
        <v>138</v>
      </c>
      <c r="C68" s="57"/>
      <c r="D68" s="74"/>
      <c r="E68" s="75"/>
      <c r="F68" s="57"/>
      <c r="G68" s="74"/>
      <c r="H68" s="75"/>
      <c r="I68" s="57"/>
      <c r="J68" s="74"/>
      <c r="K68" s="75"/>
      <c r="L68" s="57"/>
      <c r="M68" s="74"/>
      <c r="N68" s="75"/>
      <c r="O68" s="57"/>
      <c r="P68" s="74"/>
      <c r="Q68" s="75"/>
      <c r="R68" s="57"/>
      <c r="S68" s="74"/>
      <c r="T68" s="75"/>
      <c r="U68" s="57"/>
      <c r="V68" s="74"/>
      <c r="W68" s="75"/>
      <c r="X68" s="57"/>
      <c r="Y68" s="74"/>
      <c r="Z68" s="75"/>
      <c r="AA68" s="57"/>
      <c r="AB68" s="74"/>
      <c r="AC68" s="75"/>
      <c r="AD68" s="57"/>
      <c r="AE68" s="74"/>
      <c r="AF68" s="75"/>
      <c r="AG68" s="57"/>
      <c r="AH68" s="74"/>
      <c r="AI68" s="75"/>
      <c r="AJ68" s="57"/>
      <c r="AK68" s="74"/>
      <c r="AL68" s="75"/>
      <c r="AM68" s="57"/>
      <c r="AN68" s="74"/>
      <c r="AO68" s="242"/>
      <c r="AP68" s="48"/>
      <c r="AQ68" s="48"/>
      <c r="AR68" s="48"/>
      <c r="AS68" s="48"/>
      <c r="AT68" s="48"/>
      <c r="AU68" s="48"/>
      <c r="AV68" s="48"/>
      <c r="AW68" s="48"/>
      <c r="AX68" s="48"/>
      <c r="AY68" s="48"/>
      <c r="AZ68" s="48"/>
      <c r="BA68" s="48"/>
      <c r="BB68" s="48"/>
      <c r="BC68" s="48"/>
      <c r="BD68" s="48"/>
      <c r="BE68" s="48"/>
      <c r="BF68" s="48"/>
      <c r="BG68" s="48"/>
      <c r="BH68" s="48"/>
      <c r="BI68" s="48"/>
    </row>
    <row r="69" ht="15.75" customHeight="1">
      <c r="A69" s="41" t="str">
        <f t="shared" si="1"/>
        <v>Véhicules neufsDivers</v>
      </c>
      <c r="B69" s="57" t="s">
        <v>139</v>
      </c>
      <c r="C69" s="57"/>
      <c r="D69" s="74"/>
      <c r="E69" s="75"/>
      <c r="F69" s="57"/>
      <c r="G69" s="74"/>
      <c r="H69" s="75"/>
      <c r="I69" s="57"/>
      <c r="J69" s="74"/>
      <c r="K69" s="75"/>
      <c r="L69" s="57"/>
      <c r="M69" s="74"/>
      <c r="N69" s="75"/>
      <c r="O69" s="57"/>
      <c r="P69" s="74"/>
      <c r="Q69" s="75"/>
      <c r="R69" s="57"/>
      <c r="S69" s="74"/>
      <c r="T69" s="75"/>
      <c r="U69" s="57"/>
      <c r="V69" s="74"/>
      <c r="W69" s="75"/>
      <c r="X69" s="57"/>
      <c r="Y69" s="74"/>
      <c r="Z69" s="75"/>
      <c r="AA69" s="57"/>
      <c r="AB69" s="74"/>
      <c r="AC69" s="75"/>
      <c r="AD69" s="57"/>
      <c r="AE69" s="74"/>
      <c r="AF69" s="75"/>
      <c r="AG69" s="57"/>
      <c r="AH69" s="74"/>
      <c r="AI69" s="75"/>
      <c r="AJ69" s="57"/>
      <c r="AK69" s="74"/>
      <c r="AL69" s="75"/>
      <c r="AM69" s="57"/>
      <c r="AN69" s="74"/>
      <c r="AO69" s="242"/>
      <c r="AP69" s="48"/>
      <c r="AQ69" s="48"/>
      <c r="AR69" s="48"/>
      <c r="AS69" s="48"/>
      <c r="AT69" s="48"/>
      <c r="AU69" s="48"/>
      <c r="AV69" s="48"/>
      <c r="AW69" s="48"/>
      <c r="AX69" s="48"/>
      <c r="AY69" s="48"/>
      <c r="AZ69" s="48"/>
      <c r="BA69" s="48"/>
      <c r="BB69" s="48"/>
      <c r="BC69" s="48"/>
      <c r="BD69" s="48"/>
      <c r="BE69" s="48"/>
      <c r="BF69" s="48"/>
      <c r="BG69" s="48"/>
      <c r="BH69" s="48"/>
      <c r="BI69" s="48"/>
    </row>
    <row r="70" ht="15.75" customHeight="1">
      <c r="A70" s="41" t="str">
        <f t="shared" si="1"/>
        <v>Véhicules neufsFormation</v>
      </c>
      <c r="B70" s="57" t="s">
        <v>140</v>
      </c>
      <c r="C70" s="57"/>
      <c r="D70" s="74"/>
      <c r="E70" s="75"/>
      <c r="F70" s="57"/>
      <c r="G70" s="74"/>
      <c r="H70" s="75"/>
      <c r="I70" s="57"/>
      <c r="J70" s="74"/>
      <c r="K70" s="75"/>
      <c r="L70" s="57"/>
      <c r="M70" s="74"/>
      <c r="N70" s="75"/>
      <c r="O70" s="57"/>
      <c r="P70" s="74"/>
      <c r="Q70" s="75"/>
      <c r="R70" s="57"/>
      <c r="S70" s="74"/>
      <c r="T70" s="75"/>
      <c r="U70" s="57"/>
      <c r="V70" s="74"/>
      <c r="W70" s="75"/>
      <c r="X70" s="57"/>
      <c r="Y70" s="74"/>
      <c r="Z70" s="75"/>
      <c r="AA70" s="57"/>
      <c r="AB70" s="74"/>
      <c r="AC70" s="75"/>
      <c r="AD70" s="57"/>
      <c r="AE70" s="74"/>
      <c r="AF70" s="75"/>
      <c r="AG70" s="57"/>
      <c r="AH70" s="74"/>
      <c r="AI70" s="75"/>
      <c r="AJ70" s="57"/>
      <c r="AK70" s="74"/>
      <c r="AL70" s="75"/>
      <c r="AM70" s="57"/>
      <c r="AN70" s="74"/>
      <c r="AO70" s="242"/>
      <c r="AP70" s="48"/>
      <c r="AQ70" s="48"/>
      <c r="AR70" s="48"/>
      <c r="AS70" s="48"/>
      <c r="AT70" s="48"/>
      <c r="AU70" s="48"/>
      <c r="AV70" s="48"/>
      <c r="AW70" s="48"/>
      <c r="AX70" s="48"/>
      <c r="AY70" s="48"/>
      <c r="AZ70" s="48"/>
      <c r="BA70" s="48"/>
      <c r="BB70" s="48"/>
      <c r="BC70" s="48"/>
      <c r="BD70" s="48"/>
      <c r="BE70" s="48"/>
      <c r="BF70" s="48"/>
      <c r="BG70" s="48"/>
      <c r="BH70" s="48"/>
      <c r="BI70" s="48"/>
    </row>
    <row r="71" ht="15.75" customHeight="1">
      <c r="A71" s="41" t="str">
        <f t="shared" si="1"/>
        <v>Véhicules neufsFrais bancaires</v>
      </c>
      <c r="B71" s="57" t="s">
        <v>141</v>
      </c>
      <c r="C71" s="57"/>
      <c r="D71" s="74"/>
      <c r="E71" s="75"/>
      <c r="F71" s="57"/>
      <c r="G71" s="74"/>
      <c r="H71" s="75"/>
      <c r="I71" s="57"/>
      <c r="J71" s="74"/>
      <c r="K71" s="75"/>
      <c r="L71" s="57"/>
      <c r="M71" s="74"/>
      <c r="N71" s="75"/>
      <c r="O71" s="57"/>
      <c r="P71" s="74"/>
      <c r="Q71" s="75"/>
      <c r="R71" s="57"/>
      <c r="S71" s="74"/>
      <c r="T71" s="75"/>
      <c r="U71" s="57"/>
      <c r="V71" s="74"/>
      <c r="W71" s="75"/>
      <c r="X71" s="57"/>
      <c r="Y71" s="74"/>
      <c r="Z71" s="75"/>
      <c r="AA71" s="57"/>
      <c r="AB71" s="74"/>
      <c r="AC71" s="75"/>
      <c r="AD71" s="57"/>
      <c r="AE71" s="74"/>
      <c r="AF71" s="75"/>
      <c r="AG71" s="57"/>
      <c r="AH71" s="74"/>
      <c r="AI71" s="75"/>
      <c r="AJ71" s="57"/>
      <c r="AK71" s="74"/>
      <c r="AL71" s="75"/>
      <c r="AM71" s="57"/>
      <c r="AN71" s="74"/>
      <c r="AO71" s="242"/>
      <c r="AP71" s="48"/>
      <c r="AQ71" s="48"/>
      <c r="AR71" s="48"/>
      <c r="AS71" s="48"/>
      <c r="AT71" s="48"/>
      <c r="AU71" s="48"/>
      <c r="AV71" s="48"/>
      <c r="AW71" s="48"/>
      <c r="AX71" s="48"/>
      <c r="AY71" s="48"/>
      <c r="AZ71" s="48"/>
      <c r="BA71" s="48"/>
      <c r="BB71" s="48"/>
      <c r="BC71" s="48"/>
      <c r="BD71" s="48"/>
      <c r="BE71" s="48"/>
      <c r="BF71" s="48"/>
      <c r="BG71" s="48"/>
      <c r="BH71" s="48"/>
      <c r="BI71" s="48"/>
    </row>
    <row r="72" ht="15.75" customHeight="1">
      <c r="A72" s="41" t="str">
        <f t="shared" si="1"/>
        <v>Véhicules neufs[...]</v>
      </c>
      <c r="B72" s="57" t="s">
        <v>56</v>
      </c>
      <c r="C72" s="57"/>
      <c r="D72" s="74"/>
      <c r="E72" s="75"/>
      <c r="F72" s="57"/>
      <c r="G72" s="74"/>
      <c r="H72" s="75"/>
      <c r="I72" s="57"/>
      <c r="J72" s="74"/>
      <c r="K72" s="75"/>
      <c r="L72" s="57"/>
      <c r="M72" s="74"/>
      <c r="N72" s="75"/>
      <c r="O72" s="57"/>
      <c r="P72" s="74"/>
      <c r="Q72" s="75"/>
      <c r="R72" s="57"/>
      <c r="S72" s="74"/>
      <c r="T72" s="75"/>
      <c r="U72" s="57"/>
      <c r="V72" s="74"/>
      <c r="W72" s="75"/>
      <c r="X72" s="57"/>
      <c r="Y72" s="74"/>
      <c r="Z72" s="75"/>
      <c r="AA72" s="57"/>
      <c r="AB72" s="74"/>
      <c r="AC72" s="75"/>
      <c r="AD72" s="57"/>
      <c r="AE72" s="74"/>
      <c r="AF72" s="75"/>
      <c r="AG72" s="57"/>
      <c r="AH72" s="74"/>
      <c r="AI72" s="75"/>
      <c r="AJ72" s="57"/>
      <c r="AK72" s="74"/>
      <c r="AL72" s="75"/>
      <c r="AM72" s="57"/>
      <c r="AN72" s="74"/>
      <c r="AO72" s="75"/>
      <c r="AP72" s="48"/>
      <c r="AQ72" s="48"/>
      <c r="AR72" s="48"/>
      <c r="AS72" s="48"/>
      <c r="AT72" s="48"/>
      <c r="AU72" s="48"/>
      <c r="AV72" s="48"/>
      <c r="AW72" s="48"/>
      <c r="AX72" s="48"/>
      <c r="AY72" s="48"/>
      <c r="AZ72" s="48"/>
      <c r="BA72" s="48"/>
      <c r="BB72" s="48"/>
      <c r="BC72" s="48"/>
      <c r="BD72" s="48"/>
      <c r="BE72" s="48"/>
      <c r="BF72" s="48"/>
      <c r="BG72" s="48"/>
      <c r="BH72" s="48"/>
      <c r="BI72" s="48"/>
    </row>
    <row r="73" ht="15.75" customHeight="1">
      <c r="A73" s="41" t="str">
        <f t="shared" si="1"/>
        <v>Véhicules neufs[...]</v>
      </c>
      <c r="B73" s="57" t="s">
        <v>56</v>
      </c>
      <c r="C73" s="57"/>
      <c r="D73" s="74"/>
      <c r="E73" s="75"/>
      <c r="F73" s="57"/>
      <c r="G73" s="74"/>
      <c r="H73" s="75"/>
      <c r="I73" s="57"/>
      <c r="J73" s="74"/>
      <c r="K73" s="75"/>
      <c r="L73" s="57"/>
      <c r="M73" s="74"/>
      <c r="N73" s="75"/>
      <c r="O73" s="57"/>
      <c r="P73" s="74"/>
      <c r="Q73" s="75"/>
      <c r="R73" s="57"/>
      <c r="S73" s="74"/>
      <c r="T73" s="75"/>
      <c r="U73" s="57"/>
      <c r="V73" s="74"/>
      <c r="W73" s="75"/>
      <c r="X73" s="57"/>
      <c r="Y73" s="74"/>
      <c r="Z73" s="75"/>
      <c r="AA73" s="57"/>
      <c r="AB73" s="74"/>
      <c r="AC73" s="75"/>
      <c r="AD73" s="57"/>
      <c r="AE73" s="74"/>
      <c r="AF73" s="75"/>
      <c r="AG73" s="57"/>
      <c r="AH73" s="74"/>
      <c r="AI73" s="75"/>
      <c r="AJ73" s="57"/>
      <c r="AK73" s="74"/>
      <c r="AL73" s="75"/>
      <c r="AM73" s="57"/>
      <c r="AN73" s="74"/>
      <c r="AO73" s="75"/>
      <c r="AP73" s="48"/>
      <c r="AQ73" s="48"/>
      <c r="AR73" s="48"/>
      <c r="AS73" s="48"/>
      <c r="AT73" s="48"/>
      <c r="AU73" s="48"/>
      <c r="AV73" s="48"/>
      <c r="AW73" s="48"/>
      <c r="AX73" s="48"/>
      <c r="AY73" s="48"/>
      <c r="AZ73" s="48"/>
      <c r="BA73" s="48"/>
      <c r="BB73" s="48"/>
      <c r="BC73" s="48"/>
      <c r="BD73" s="48"/>
      <c r="BE73" s="48"/>
      <c r="BF73" s="48"/>
      <c r="BG73" s="48"/>
      <c r="BH73" s="48"/>
      <c r="BI73" s="48"/>
    </row>
    <row r="74" ht="15.75" customHeight="1">
      <c r="A74" s="41" t="str">
        <f t="shared" si="1"/>
        <v>Véhicules neufs[...]</v>
      </c>
      <c r="B74" s="57" t="s">
        <v>56</v>
      </c>
      <c r="C74" s="53"/>
      <c r="D74" s="100"/>
      <c r="E74" s="75"/>
      <c r="F74" s="53"/>
      <c r="G74" s="100"/>
      <c r="H74" s="75"/>
      <c r="I74" s="53"/>
      <c r="J74" s="100"/>
      <c r="K74" s="75"/>
      <c r="L74" s="53"/>
      <c r="M74" s="100"/>
      <c r="N74" s="75"/>
      <c r="O74" s="53"/>
      <c r="P74" s="100"/>
      <c r="Q74" s="75"/>
      <c r="R74" s="53"/>
      <c r="S74" s="100"/>
      <c r="T74" s="75"/>
      <c r="U74" s="53"/>
      <c r="V74" s="100"/>
      <c r="W74" s="75"/>
      <c r="X74" s="53"/>
      <c r="Y74" s="100"/>
      <c r="Z74" s="75"/>
      <c r="AA74" s="53"/>
      <c r="AB74" s="100"/>
      <c r="AC74" s="75"/>
      <c r="AD74" s="53"/>
      <c r="AE74" s="100"/>
      <c r="AF74" s="75"/>
      <c r="AG74" s="53"/>
      <c r="AH74" s="100"/>
      <c r="AI74" s="75"/>
      <c r="AJ74" s="53"/>
      <c r="AK74" s="100"/>
      <c r="AL74" s="75"/>
      <c r="AM74" s="53"/>
      <c r="AN74" s="100"/>
      <c r="AO74" s="75"/>
      <c r="AP74" s="48"/>
      <c r="AQ74" s="48"/>
      <c r="AR74" s="48"/>
      <c r="AS74" s="48"/>
      <c r="AT74" s="48"/>
      <c r="AU74" s="48"/>
      <c r="AV74" s="48"/>
      <c r="AW74" s="48"/>
      <c r="AX74" s="48"/>
      <c r="AY74" s="48"/>
      <c r="AZ74" s="48"/>
      <c r="BA74" s="48"/>
      <c r="BB74" s="48"/>
      <c r="BC74" s="48"/>
      <c r="BD74" s="48"/>
      <c r="BE74" s="48"/>
      <c r="BF74" s="48"/>
      <c r="BG74" s="48"/>
      <c r="BH74" s="48"/>
      <c r="BI74" s="48"/>
    </row>
    <row r="75" ht="15.75" customHeight="1">
      <c r="A75" s="41" t="str">
        <f t="shared" si="1"/>
        <v>Véhicules neufsTOTAL SEMI-FIXES</v>
      </c>
      <c r="B75" s="92" t="s">
        <v>142</v>
      </c>
      <c r="C75" s="93"/>
      <c r="D75" s="94"/>
      <c r="E75" s="95"/>
      <c r="F75" s="93"/>
      <c r="G75" s="94"/>
      <c r="H75" s="95"/>
      <c r="I75" s="93"/>
      <c r="J75" s="94"/>
      <c r="K75" s="95"/>
      <c r="L75" s="93"/>
      <c r="M75" s="94"/>
      <c r="N75" s="95"/>
      <c r="O75" s="93"/>
      <c r="P75" s="94"/>
      <c r="Q75" s="95"/>
      <c r="R75" s="93"/>
      <c r="S75" s="94"/>
      <c r="T75" s="95"/>
      <c r="U75" s="93"/>
      <c r="V75" s="94"/>
      <c r="W75" s="95"/>
      <c r="X75" s="93"/>
      <c r="Y75" s="94"/>
      <c r="Z75" s="95"/>
      <c r="AA75" s="93"/>
      <c r="AB75" s="94"/>
      <c r="AC75" s="95"/>
      <c r="AD75" s="93"/>
      <c r="AE75" s="94"/>
      <c r="AF75" s="95"/>
      <c r="AG75" s="93"/>
      <c r="AH75" s="94"/>
      <c r="AI75" s="95"/>
      <c r="AJ75" s="93"/>
      <c r="AK75" s="94"/>
      <c r="AL75" s="95"/>
      <c r="AM75" s="93"/>
      <c r="AN75" s="94"/>
      <c r="AO75" s="95"/>
      <c r="AP75" s="48"/>
      <c r="AQ75" s="48"/>
      <c r="AR75" s="48"/>
      <c r="AS75" s="48"/>
      <c r="AT75" s="48"/>
      <c r="AU75" s="48"/>
      <c r="AV75" s="48"/>
      <c r="AW75" s="48"/>
      <c r="AX75" s="48"/>
      <c r="AY75" s="48"/>
      <c r="AZ75" s="48"/>
      <c r="BA75" s="48"/>
      <c r="BB75" s="48"/>
      <c r="BC75" s="48"/>
      <c r="BD75" s="48"/>
      <c r="BE75" s="48"/>
      <c r="BF75" s="48"/>
      <c r="BG75" s="48"/>
      <c r="BH75" s="48"/>
      <c r="BI75" s="48"/>
    </row>
    <row r="76" ht="15.75" customHeight="1">
      <c r="A76" s="41" t="str">
        <f t="shared" si="1"/>
        <v>Véhicules neufs</v>
      </c>
      <c r="B76" s="53"/>
      <c r="C76" s="53"/>
      <c r="D76" s="100"/>
      <c r="E76" s="91"/>
      <c r="F76" s="53"/>
      <c r="G76" s="100"/>
      <c r="H76" s="91"/>
      <c r="I76" s="53"/>
      <c r="J76" s="100"/>
      <c r="K76" s="91"/>
      <c r="L76" s="53"/>
      <c r="M76" s="100"/>
      <c r="N76" s="91"/>
      <c r="O76" s="53"/>
      <c r="P76" s="100"/>
      <c r="Q76" s="91"/>
      <c r="R76" s="53"/>
      <c r="S76" s="100"/>
      <c r="T76" s="91"/>
      <c r="U76" s="53"/>
      <c r="V76" s="100"/>
      <c r="W76" s="91"/>
      <c r="X76" s="53"/>
      <c r="Y76" s="100"/>
      <c r="Z76" s="91"/>
      <c r="AA76" s="53"/>
      <c r="AB76" s="100"/>
      <c r="AC76" s="91"/>
      <c r="AD76" s="53"/>
      <c r="AE76" s="100"/>
      <c r="AF76" s="91"/>
      <c r="AG76" s="53"/>
      <c r="AH76" s="100"/>
      <c r="AI76" s="91"/>
      <c r="AJ76" s="53"/>
      <c r="AK76" s="100"/>
      <c r="AL76" s="91"/>
      <c r="AM76" s="53"/>
      <c r="AN76" s="100"/>
      <c r="AO76" s="91"/>
      <c r="AP76" s="48"/>
      <c r="AQ76" s="48"/>
      <c r="AR76" s="48"/>
      <c r="AS76" s="48"/>
      <c r="AT76" s="48"/>
      <c r="AU76" s="48"/>
      <c r="AV76" s="48"/>
      <c r="AW76" s="48"/>
      <c r="AX76" s="48"/>
      <c r="AY76" s="48"/>
      <c r="AZ76" s="48"/>
      <c r="BA76" s="48"/>
      <c r="BB76" s="48"/>
      <c r="BC76" s="48"/>
      <c r="BD76" s="48"/>
      <c r="BE76" s="48"/>
      <c r="BF76" s="48"/>
      <c r="BG76" s="48"/>
      <c r="BH76" s="48"/>
      <c r="BI76" s="48"/>
    </row>
    <row r="77" ht="15.75" customHeight="1">
      <c r="A77" s="41" t="str">
        <f t="shared" si="1"/>
        <v>Véhicules neufsTOTAL DES DÉPENSES</v>
      </c>
      <c r="B77" s="92" t="s">
        <v>143</v>
      </c>
      <c r="C77" s="93"/>
      <c r="D77" s="94"/>
      <c r="E77" s="95"/>
      <c r="F77" s="93"/>
      <c r="G77" s="94"/>
      <c r="H77" s="95"/>
      <c r="I77" s="93"/>
      <c r="J77" s="94"/>
      <c r="K77" s="95"/>
      <c r="L77" s="93"/>
      <c r="M77" s="94"/>
      <c r="N77" s="95"/>
      <c r="O77" s="93"/>
      <c r="P77" s="94"/>
      <c r="Q77" s="95"/>
      <c r="R77" s="93"/>
      <c r="S77" s="94"/>
      <c r="T77" s="95"/>
      <c r="U77" s="93"/>
      <c r="V77" s="94"/>
      <c r="W77" s="95"/>
      <c r="X77" s="93"/>
      <c r="Y77" s="94"/>
      <c r="Z77" s="95"/>
      <c r="AA77" s="93"/>
      <c r="AB77" s="94"/>
      <c r="AC77" s="95"/>
      <c r="AD77" s="93"/>
      <c r="AE77" s="94"/>
      <c r="AF77" s="95"/>
      <c r="AG77" s="93"/>
      <c r="AH77" s="94"/>
      <c r="AI77" s="95"/>
      <c r="AJ77" s="93"/>
      <c r="AK77" s="94"/>
      <c r="AL77" s="95"/>
      <c r="AM77" s="93"/>
      <c r="AN77" s="94"/>
      <c r="AO77" s="95"/>
      <c r="AP77" s="48"/>
      <c r="AQ77" s="48"/>
      <c r="AR77" s="48"/>
      <c r="AS77" s="48"/>
      <c r="AT77" s="48"/>
      <c r="AU77" s="48"/>
      <c r="AV77" s="48"/>
      <c r="AW77" s="48"/>
      <c r="AX77" s="48"/>
      <c r="AY77" s="48"/>
      <c r="AZ77" s="48"/>
      <c r="BA77" s="48"/>
      <c r="BB77" s="48"/>
      <c r="BC77" s="48"/>
      <c r="BD77" s="48"/>
      <c r="BE77" s="48"/>
      <c r="BF77" s="48"/>
      <c r="BG77" s="48"/>
      <c r="BH77" s="48"/>
      <c r="BI77" s="48"/>
    </row>
    <row r="78" ht="15.75" customHeight="1">
      <c r="A78" s="41" t="str">
        <f t="shared" si="1"/>
        <v>Véhicules neufsProgramme neuf 1</v>
      </c>
      <c r="B78" s="57" t="s">
        <v>144</v>
      </c>
      <c r="C78" s="57"/>
      <c r="D78" s="74"/>
      <c r="E78" s="75"/>
      <c r="F78" s="57"/>
      <c r="G78" s="74"/>
      <c r="H78" s="75"/>
      <c r="I78" s="57"/>
      <c r="J78" s="74"/>
      <c r="K78" s="75"/>
      <c r="L78" s="57"/>
      <c r="M78" s="74"/>
      <c r="N78" s="75"/>
      <c r="O78" s="57"/>
      <c r="P78" s="74"/>
      <c r="Q78" s="75"/>
      <c r="R78" s="57"/>
      <c r="S78" s="74"/>
      <c r="T78" s="75"/>
      <c r="U78" s="57"/>
      <c r="V78" s="74"/>
      <c r="W78" s="75"/>
      <c r="X78" s="57"/>
      <c r="Y78" s="74"/>
      <c r="Z78" s="75"/>
      <c r="AA78" s="57"/>
      <c r="AB78" s="74"/>
      <c r="AC78" s="75"/>
      <c r="AD78" s="57"/>
      <c r="AE78" s="74"/>
      <c r="AF78" s="75"/>
      <c r="AG78" s="57"/>
      <c r="AH78" s="74"/>
      <c r="AI78" s="75"/>
      <c r="AJ78" s="57"/>
      <c r="AK78" s="74"/>
      <c r="AL78" s="75"/>
      <c r="AM78" s="57"/>
      <c r="AN78" s="74"/>
      <c r="AO78" s="75"/>
      <c r="AP78" s="48"/>
      <c r="AQ78" s="48"/>
      <c r="AR78" s="48"/>
      <c r="AS78" s="48"/>
      <c r="AT78" s="48"/>
      <c r="AU78" s="48"/>
      <c r="AV78" s="48"/>
      <c r="AW78" s="48"/>
      <c r="AX78" s="48"/>
      <c r="AY78" s="48"/>
      <c r="AZ78" s="48"/>
      <c r="BA78" s="48"/>
      <c r="BB78" s="48"/>
      <c r="BC78" s="48"/>
      <c r="BD78" s="48"/>
      <c r="BE78" s="48"/>
      <c r="BF78" s="48"/>
      <c r="BG78" s="48"/>
      <c r="BH78" s="48"/>
      <c r="BI78" s="48"/>
    </row>
    <row r="79" ht="15.75" customHeight="1">
      <c r="A79" s="41" t="str">
        <f t="shared" si="1"/>
        <v>Véhicules neufsProgramme neuf 2</v>
      </c>
      <c r="B79" s="57" t="s">
        <v>145</v>
      </c>
      <c r="C79" s="57"/>
      <c r="D79" s="74"/>
      <c r="E79" s="75"/>
      <c r="F79" s="57"/>
      <c r="G79" s="74"/>
      <c r="H79" s="75"/>
      <c r="I79" s="57"/>
      <c r="J79" s="74"/>
      <c r="K79" s="75"/>
      <c r="L79" s="57"/>
      <c r="M79" s="74"/>
      <c r="N79" s="75"/>
      <c r="O79" s="57"/>
      <c r="P79" s="74"/>
      <c r="Q79" s="75"/>
      <c r="R79" s="57"/>
      <c r="S79" s="74"/>
      <c r="T79" s="75"/>
      <c r="U79" s="57"/>
      <c r="V79" s="74"/>
      <c r="W79" s="75"/>
      <c r="X79" s="57"/>
      <c r="Y79" s="74"/>
      <c r="Z79" s="75"/>
      <c r="AA79" s="57"/>
      <c r="AB79" s="74"/>
      <c r="AC79" s="75"/>
      <c r="AD79" s="57"/>
      <c r="AE79" s="74"/>
      <c r="AF79" s="75"/>
      <c r="AG79" s="57"/>
      <c r="AH79" s="74"/>
      <c r="AI79" s="75"/>
      <c r="AJ79" s="57"/>
      <c r="AK79" s="74"/>
      <c r="AL79" s="75"/>
      <c r="AM79" s="57"/>
      <c r="AN79" s="74"/>
      <c r="AO79" s="75"/>
      <c r="AP79" s="48"/>
      <c r="AQ79" s="48"/>
      <c r="AR79" s="48"/>
      <c r="AS79" s="48"/>
      <c r="AT79" s="48"/>
      <c r="AU79" s="48"/>
      <c r="AV79" s="48"/>
      <c r="AW79" s="48"/>
      <c r="AX79" s="48"/>
      <c r="AY79" s="48"/>
      <c r="AZ79" s="48"/>
      <c r="BA79" s="48"/>
      <c r="BB79" s="48"/>
      <c r="BC79" s="48"/>
      <c r="BD79" s="48"/>
      <c r="BE79" s="48"/>
      <c r="BF79" s="48"/>
      <c r="BG79" s="48"/>
      <c r="BH79" s="48"/>
      <c r="BI79" s="48"/>
    </row>
    <row r="80" ht="15.75" customHeight="1">
      <c r="A80" s="41" t="str">
        <f t="shared" si="1"/>
        <v>Véhicules neufsProgramme neuf 3</v>
      </c>
      <c r="B80" s="57" t="s">
        <v>146</v>
      </c>
      <c r="C80" s="57"/>
      <c r="D80" s="74"/>
      <c r="E80" s="75"/>
      <c r="F80" s="57"/>
      <c r="G80" s="74"/>
      <c r="H80" s="75"/>
      <c r="I80" s="57"/>
      <c r="J80" s="74"/>
      <c r="K80" s="75"/>
      <c r="L80" s="57"/>
      <c r="M80" s="74"/>
      <c r="N80" s="75"/>
      <c r="O80" s="57"/>
      <c r="P80" s="74"/>
      <c r="Q80" s="75"/>
      <c r="R80" s="57"/>
      <c r="S80" s="74"/>
      <c r="T80" s="75"/>
      <c r="U80" s="57"/>
      <c r="V80" s="74"/>
      <c r="W80" s="75"/>
      <c r="X80" s="57"/>
      <c r="Y80" s="74"/>
      <c r="Z80" s="75"/>
      <c r="AA80" s="57"/>
      <c r="AB80" s="74"/>
      <c r="AC80" s="75"/>
      <c r="AD80" s="57"/>
      <c r="AE80" s="74"/>
      <c r="AF80" s="75"/>
      <c r="AG80" s="57"/>
      <c r="AH80" s="74"/>
      <c r="AI80" s="75"/>
      <c r="AJ80" s="57"/>
      <c r="AK80" s="74"/>
      <c r="AL80" s="75"/>
      <c r="AM80" s="57"/>
      <c r="AN80" s="74"/>
      <c r="AO80" s="75"/>
      <c r="AP80" s="48"/>
      <c r="AQ80" s="48"/>
      <c r="AR80" s="48"/>
      <c r="AS80" s="48"/>
      <c r="AT80" s="48"/>
      <c r="AU80" s="48"/>
      <c r="AV80" s="48"/>
      <c r="AW80" s="48"/>
      <c r="AX80" s="48"/>
      <c r="AY80" s="48"/>
      <c r="AZ80" s="48"/>
      <c r="BA80" s="48"/>
      <c r="BB80" s="48"/>
      <c r="BC80" s="48"/>
      <c r="BD80" s="48"/>
      <c r="BE80" s="48"/>
      <c r="BF80" s="48"/>
      <c r="BG80" s="48"/>
      <c r="BH80" s="48"/>
      <c r="BI80" s="48"/>
    </row>
    <row r="81" ht="15.75" customHeight="1">
      <c r="A81" s="41" t="str">
        <f t="shared" si="1"/>
        <v>Véhicules neufsHoldbacks</v>
      </c>
      <c r="B81" s="57" t="s">
        <v>147</v>
      </c>
      <c r="C81" s="57"/>
      <c r="D81" s="74"/>
      <c r="E81" s="75"/>
      <c r="F81" s="57"/>
      <c r="G81" s="74"/>
      <c r="H81" s="75"/>
      <c r="I81" s="57"/>
      <c r="J81" s="74"/>
      <c r="K81" s="75"/>
      <c r="L81" s="57"/>
      <c r="M81" s="74"/>
      <c r="N81" s="75"/>
      <c r="O81" s="57"/>
      <c r="P81" s="74"/>
      <c r="Q81" s="75"/>
      <c r="R81" s="57"/>
      <c r="S81" s="74"/>
      <c r="T81" s="75"/>
      <c r="U81" s="57"/>
      <c r="V81" s="74"/>
      <c r="W81" s="75"/>
      <c r="X81" s="57"/>
      <c r="Y81" s="74"/>
      <c r="Z81" s="75"/>
      <c r="AA81" s="57"/>
      <c r="AB81" s="74"/>
      <c r="AC81" s="75"/>
      <c r="AD81" s="57"/>
      <c r="AE81" s="74"/>
      <c r="AF81" s="75"/>
      <c r="AG81" s="57"/>
      <c r="AH81" s="74"/>
      <c r="AI81" s="75"/>
      <c r="AJ81" s="57"/>
      <c r="AK81" s="74"/>
      <c r="AL81" s="75"/>
      <c r="AM81" s="57"/>
      <c r="AN81" s="74"/>
      <c r="AO81" s="75"/>
      <c r="AP81" s="48"/>
      <c r="AQ81" s="48"/>
      <c r="AR81" s="48"/>
      <c r="AS81" s="48"/>
      <c r="AT81" s="48"/>
      <c r="AU81" s="48"/>
      <c r="AV81" s="48"/>
      <c r="AW81" s="48"/>
      <c r="AX81" s="48"/>
      <c r="AY81" s="48"/>
      <c r="AZ81" s="48"/>
      <c r="BA81" s="48"/>
      <c r="BB81" s="48"/>
      <c r="BC81" s="48"/>
      <c r="BD81" s="48"/>
      <c r="BE81" s="48"/>
      <c r="BF81" s="48"/>
      <c r="BG81" s="48"/>
      <c r="BH81" s="48"/>
      <c r="BI81" s="48"/>
    </row>
    <row r="82" ht="15.75" customHeight="1">
      <c r="A82" s="41" t="str">
        <f t="shared" si="1"/>
        <v>Véhicules neufs[...]</v>
      </c>
      <c r="B82" s="57" t="s">
        <v>56</v>
      </c>
      <c r="C82" s="57"/>
      <c r="D82" s="74"/>
      <c r="E82" s="75"/>
      <c r="F82" s="57"/>
      <c r="G82" s="74"/>
      <c r="H82" s="75"/>
      <c r="I82" s="57"/>
      <c r="J82" s="74"/>
      <c r="K82" s="75"/>
      <c r="L82" s="57"/>
      <c r="M82" s="74"/>
      <c r="N82" s="75"/>
      <c r="O82" s="57"/>
      <c r="P82" s="74"/>
      <c r="Q82" s="75"/>
      <c r="R82" s="57"/>
      <c r="S82" s="74"/>
      <c r="T82" s="75"/>
      <c r="U82" s="57"/>
      <c r="V82" s="74"/>
      <c r="W82" s="75"/>
      <c r="X82" s="57"/>
      <c r="Y82" s="74"/>
      <c r="Z82" s="75"/>
      <c r="AA82" s="57"/>
      <c r="AB82" s="74"/>
      <c r="AC82" s="75"/>
      <c r="AD82" s="57"/>
      <c r="AE82" s="74"/>
      <c r="AF82" s="75"/>
      <c r="AG82" s="57"/>
      <c r="AH82" s="74"/>
      <c r="AI82" s="75"/>
      <c r="AJ82" s="57"/>
      <c r="AK82" s="74"/>
      <c r="AL82" s="75"/>
      <c r="AM82" s="57"/>
      <c r="AN82" s="74"/>
      <c r="AO82" s="75"/>
      <c r="AP82" s="48"/>
      <c r="AQ82" s="48"/>
      <c r="AR82" s="48"/>
      <c r="AS82" s="48"/>
      <c r="AT82" s="48"/>
      <c r="AU82" s="48"/>
      <c r="AV82" s="48"/>
      <c r="AW82" s="48"/>
      <c r="AX82" s="48"/>
      <c r="AY82" s="48"/>
      <c r="AZ82" s="48"/>
      <c r="BA82" s="48"/>
      <c r="BB82" s="48"/>
      <c r="BC82" s="48"/>
      <c r="BD82" s="48"/>
      <c r="BE82" s="48"/>
      <c r="BF82" s="48"/>
      <c r="BG82" s="48"/>
      <c r="BH82" s="48"/>
      <c r="BI82" s="48"/>
    </row>
    <row r="83" ht="15.75" customHeight="1">
      <c r="A83" s="41" t="str">
        <f t="shared" si="1"/>
        <v>Véhicules neufs[...]</v>
      </c>
      <c r="B83" s="57" t="s">
        <v>56</v>
      </c>
      <c r="C83" s="57"/>
      <c r="D83" s="74"/>
      <c r="E83" s="75"/>
      <c r="F83" s="57"/>
      <c r="G83" s="74"/>
      <c r="H83" s="75"/>
      <c r="I83" s="57"/>
      <c r="J83" s="74"/>
      <c r="K83" s="75"/>
      <c r="L83" s="57"/>
      <c r="M83" s="74"/>
      <c r="N83" s="75"/>
      <c r="O83" s="57"/>
      <c r="P83" s="74"/>
      <c r="Q83" s="75"/>
      <c r="R83" s="57"/>
      <c r="S83" s="74"/>
      <c r="T83" s="75"/>
      <c r="U83" s="57"/>
      <c r="V83" s="74"/>
      <c r="W83" s="75"/>
      <c r="X83" s="57"/>
      <c r="Y83" s="74"/>
      <c r="Z83" s="75"/>
      <c r="AA83" s="57"/>
      <c r="AB83" s="74"/>
      <c r="AC83" s="75"/>
      <c r="AD83" s="57"/>
      <c r="AE83" s="74"/>
      <c r="AF83" s="75"/>
      <c r="AG83" s="57"/>
      <c r="AH83" s="74"/>
      <c r="AI83" s="75"/>
      <c r="AJ83" s="57"/>
      <c r="AK83" s="74"/>
      <c r="AL83" s="75"/>
      <c r="AM83" s="57"/>
      <c r="AN83" s="74"/>
      <c r="AO83" s="75"/>
      <c r="AP83" s="48"/>
      <c r="AQ83" s="48"/>
      <c r="AR83" s="48"/>
      <c r="AS83" s="48"/>
      <c r="AT83" s="48"/>
      <c r="AU83" s="48"/>
      <c r="AV83" s="48"/>
      <c r="AW83" s="48"/>
      <c r="AX83" s="48"/>
      <c r="AY83" s="48"/>
      <c r="AZ83" s="48"/>
      <c r="BA83" s="48"/>
      <c r="BB83" s="48"/>
      <c r="BC83" s="48"/>
      <c r="BD83" s="48"/>
      <c r="BE83" s="48"/>
      <c r="BF83" s="48"/>
      <c r="BG83" s="48"/>
      <c r="BH83" s="48"/>
      <c r="BI83" s="48"/>
    </row>
    <row r="84" ht="15.75" customHeight="1">
      <c r="A84" s="41" t="str">
        <f t="shared" si="1"/>
        <v>Véhicules neufs[...]</v>
      </c>
      <c r="B84" s="57" t="s">
        <v>56</v>
      </c>
      <c r="C84" s="57"/>
      <c r="D84" s="74"/>
      <c r="E84" s="75"/>
      <c r="F84" s="57"/>
      <c r="G84" s="74"/>
      <c r="H84" s="75"/>
      <c r="I84" s="57"/>
      <c r="J84" s="74"/>
      <c r="K84" s="75"/>
      <c r="L84" s="57"/>
      <c r="M84" s="74"/>
      <c r="N84" s="75"/>
      <c r="O84" s="57"/>
      <c r="P84" s="74"/>
      <c r="Q84" s="75"/>
      <c r="R84" s="57"/>
      <c r="S84" s="74"/>
      <c r="T84" s="75"/>
      <c r="U84" s="57"/>
      <c r="V84" s="74"/>
      <c r="W84" s="75"/>
      <c r="X84" s="57"/>
      <c r="Y84" s="74"/>
      <c r="Z84" s="75"/>
      <c r="AA84" s="57"/>
      <c r="AB84" s="74"/>
      <c r="AC84" s="75"/>
      <c r="AD84" s="57"/>
      <c r="AE84" s="74"/>
      <c r="AF84" s="75"/>
      <c r="AG84" s="57"/>
      <c r="AH84" s="74"/>
      <c r="AI84" s="75"/>
      <c r="AJ84" s="57"/>
      <c r="AK84" s="74"/>
      <c r="AL84" s="75"/>
      <c r="AM84" s="57"/>
      <c r="AN84" s="74"/>
      <c r="AO84" s="75"/>
      <c r="AP84" s="48"/>
      <c r="AQ84" s="48"/>
      <c r="AR84" s="48"/>
      <c r="AS84" s="48"/>
      <c r="AT84" s="48"/>
      <c r="AU84" s="48"/>
      <c r="AV84" s="48"/>
      <c r="AW84" s="48"/>
      <c r="AX84" s="48"/>
      <c r="AY84" s="48"/>
      <c r="AZ84" s="48"/>
      <c r="BA84" s="48"/>
      <c r="BB84" s="48"/>
      <c r="BC84" s="48"/>
      <c r="BD84" s="48"/>
      <c r="BE84" s="48"/>
      <c r="BF84" s="48"/>
      <c r="BG84" s="48"/>
      <c r="BH84" s="48"/>
      <c r="BI84" s="48"/>
    </row>
    <row r="85" ht="15.75" customHeight="1">
      <c r="A85" s="41" t="str">
        <f t="shared" si="1"/>
        <v>Véhicules neufsFrais administration</v>
      </c>
      <c r="B85" s="57" t="s">
        <v>148</v>
      </c>
      <c r="C85" s="57"/>
      <c r="D85" s="74"/>
      <c r="E85" s="75"/>
      <c r="F85" s="57"/>
      <c r="G85" s="74"/>
      <c r="H85" s="75"/>
      <c r="I85" s="57"/>
      <c r="J85" s="74"/>
      <c r="K85" s="75"/>
      <c r="L85" s="57"/>
      <c r="M85" s="74"/>
      <c r="N85" s="75"/>
      <c r="O85" s="57"/>
      <c r="P85" s="74"/>
      <c r="Q85" s="75"/>
      <c r="R85" s="57"/>
      <c r="S85" s="74"/>
      <c r="T85" s="75"/>
      <c r="U85" s="57"/>
      <c r="V85" s="74"/>
      <c r="W85" s="75"/>
      <c r="X85" s="57"/>
      <c r="Y85" s="74"/>
      <c r="Z85" s="75"/>
      <c r="AA85" s="57"/>
      <c r="AB85" s="74"/>
      <c r="AC85" s="75"/>
      <c r="AD85" s="57"/>
      <c r="AE85" s="74"/>
      <c r="AF85" s="75"/>
      <c r="AG85" s="57"/>
      <c r="AH85" s="74"/>
      <c r="AI85" s="75"/>
      <c r="AJ85" s="57"/>
      <c r="AK85" s="74"/>
      <c r="AL85" s="75"/>
      <c r="AM85" s="57"/>
      <c r="AN85" s="74"/>
      <c r="AO85" s="75"/>
      <c r="AP85" s="48"/>
      <c r="AQ85" s="48"/>
      <c r="AR85" s="48"/>
      <c r="AS85" s="48"/>
      <c r="AT85" s="48"/>
      <c r="AU85" s="48"/>
      <c r="AV85" s="48"/>
      <c r="AW85" s="48"/>
      <c r="AX85" s="48"/>
      <c r="AY85" s="48"/>
      <c r="AZ85" s="48"/>
      <c r="BA85" s="48"/>
      <c r="BB85" s="48"/>
      <c r="BC85" s="48"/>
      <c r="BD85" s="48"/>
      <c r="BE85" s="48"/>
      <c r="BF85" s="48"/>
      <c r="BG85" s="48"/>
      <c r="BH85" s="48"/>
      <c r="BI85" s="48"/>
    </row>
    <row r="86" ht="15.75" customHeight="1">
      <c r="A86" s="41" t="str">
        <f t="shared" si="1"/>
        <v>Véhicules neufsAUTRES REVENUS</v>
      </c>
      <c r="B86" s="101" t="s">
        <v>149</v>
      </c>
      <c r="C86" s="93"/>
      <c r="D86" s="94"/>
      <c r="E86" s="95"/>
      <c r="F86" s="93"/>
      <c r="G86" s="94"/>
      <c r="H86" s="95"/>
      <c r="I86" s="93"/>
      <c r="J86" s="94"/>
      <c r="K86" s="95"/>
      <c r="L86" s="93"/>
      <c r="M86" s="94"/>
      <c r="N86" s="95"/>
      <c r="O86" s="93"/>
      <c r="P86" s="94"/>
      <c r="Q86" s="95"/>
      <c r="R86" s="93"/>
      <c r="S86" s="94"/>
      <c r="T86" s="95"/>
      <c r="U86" s="93"/>
      <c r="V86" s="94"/>
      <c r="W86" s="95"/>
      <c r="X86" s="93"/>
      <c r="Y86" s="94"/>
      <c r="Z86" s="95"/>
      <c r="AA86" s="93"/>
      <c r="AB86" s="94"/>
      <c r="AC86" s="95"/>
      <c r="AD86" s="93"/>
      <c r="AE86" s="94"/>
      <c r="AF86" s="95"/>
      <c r="AG86" s="93"/>
      <c r="AH86" s="94"/>
      <c r="AI86" s="95"/>
      <c r="AJ86" s="93"/>
      <c r="AK86" s="94"/>
      <c r="AL86" s="95"/>
      <c r="AM86" s="93"/>
      <c r="AN86" s="94"/>
      <c r="AO86" s="95"/>
      <c r="AP86" s="48"/>
      <c r="AQ86" s="48"/>
      <c r="AR86" s="48"/>
      <c r="AS86" s="48"/>
      <c r="AT86" s="48"/>
      <c r="AU86" s="48"/>
      <c r="AV86" s="48"/>
      <c r="AW86" s="48"/>
      <c r="AX86" s="48"/>
      <c r="AY86" s="48"/>
      <c r="AZ86" s="48"/>
      <c r="BA86" s="48"/>
      <c r="BB86" s="48"/>
      <c r="BC86" s="48"/>
      <c r="BD86" s="48"/>
      <c r="BE86" s="48"/>
      <c r="BF86" s="48"/>
      <c r="BG86" s="48"/>
      <c r="BH86" s="48"/>
      <c r="BI86" s="48"/>
    </row>
    <row r="87" ht="15.75" customHeight="1">
      <c r="A87" s="41" t="str">
        <f t="shared" si="1"/>
        <v>Véhicules neufs</v>
      </c>
      <c r="B87" s="70"/>
      <c r="C87" s="53"/>
      <c r="D87" s="100"/>
      <c r="E87" s="102"/>
      <c r="F87" s="53"/>
      <c r="G87" s="100"/>
      <c r="H87" s="102"/>
      <c r="I87" s="53"/>
      <c r="J87" s="100"/>
      <c r="K87" s="102"/>
      <c r="L87" s="53"/>
      <c r="M87" s="100"/>
      <c r="N87" s="102"/>
      <c r="O87" s="53"/>
      <c r="P87" s="100"/>
      <c r="Q87" s="102"/>
      <c r="R87" s="53"/>
      <c r="S87" s="100"/>
      <c r="T87" s="102"/>
      <c r="U87" s="53"/>
      <c r="V87" s="100"/>
      <c r="W87" s="102"/>
      <c r="X87" s="53"/>
      <c r="Y87" s="100"/>
      <c r="Z87" s="102"/>
      <c r="AA87" s="53"/>
      <c r="AB87" s="100"/>
      <c r="AC87" s="102"/>
      <c r="AD87" s="53"/>
      <c r="AE87" s="100"/>
      <c r="AF87" s="102"/>
      <c r="AG87" s="53"/>
      <c r="AH87" s="100"/>
      <c r="AI87" s="102"/>
      <c r="AJ87" s="53"/>
      <c r="AK87" s="100"/>
      <c r="AL87" s="102"/>
      <c r="AM87" s="53"/>
      <c r="AN87" s="100"/>
      <c r="AO87" s="102"/>
      <c r="AP87" s="48"/>
      <c r="AQ87" s="48"/>
      <c r="AR87" s="48"/>
      <c r="AS87" s="48"/>
      <c r="AT87" s="48"/>
      <c r="AU87" s="48"/>
      <c r="AV87" s="48"/>
      <c r="AW87" s="48"/>
      <c r="AX87" s="48"/>
      <c r="AY87" s="48"/>
      <c r="AZ87" s="48"/>
      <c r="BA87" s="48"/>
      <c r="BB87" s="48"/>
      <c r="BC87" s="48"/>
      <c r="BD87" s="48"/>
      <c r="BE87" s="48"/>
      <c r="BF87" s="48"/>
      <c r="BG87" s="48"/>
      <c r="BH87" s="48"/>
      <c r="BI87" s="48"/>
    </row>
    <row r="88" ht="15.75" customHeight="1">
      <c r="A88" s="41" t="str">
        <f t="shared" si="1"/>
        <v>Véhicules neufsPROFIT DÉPARTEMENTAL</v>
      </c>
      <c r="B88" s="103" t="s">
        <v>150</v>
      </c>
      <c r="C88" s="104"/>
      <c r="D88" s="107"/>
      <c r="E88" s="106"/>
      <c r="F88" s="104"/>
      <c r="G88" s="107"/>
      <c r="H88" s="106"/>
      <c r="I88" s="104"/>
      <c r="J88" s="107"/>
      <c r="K88" s="106"/>
      <c r="L88" s="104"/>
      <c r="M88" s="107"/>
      <c r="N88" s="106"/>
      <c r="O88" s="104"/>
      <c r="P88" s="107"/>
      <c r="Q88" s="106"/>
      <c r="R88" s="104"/>
      <c r="S88" s="107"/>
      <c r="T88" s="106"/>
      <c r="U88" s="104"/>
      <c r="V88" s="107"/>
      <c r="W88" s="106"/>
      <c r="X88" s="104"/>
      <c r="Y88" s="107"/>
      <c r="Z88" s="106"/>
      <c r="AA88" s="104"/>
      <c r="AB88" s="107"/>
      <c r="AC88" s="106"/>
      <c r="AD88" s="104"/>
      <c r="AE88" s="107"/>
      <c r="AF88" s="106"/>
      <c r="AG88" s="104"/>
      <c r="AH88" s="107"/>
      <c r="AI88" s="106"/>
      <c r="AJ88" s="104"/>
      <c r="AK88" s="107"/>
      <c r="AL88" s="106"/>
      <c r="AM88" s="104"/>
      <c r="AN88" s="107"/>
      <c r="AO88" s="106"/>
      <c r="AP88" s="48"/>
      <c r="AQ88" s="48"/>
      <c r="AR88" s="48"/>
      <c r="AS88" s="48"/>
      <c r="AT88" s="48"/>
      <c r="AU88" s="48"/>
      <c r="AV88" s="48"/>
      <c r="AW88" s="48"/>
      <c r="AX88" s="48"/>
      <c r="AY88" s="48"/>
      <c r="AZ88" s="48"/>
      <c r="BA88" s="48"/>
      <c r="BB88" s="48"/>
      <c r="BC88" s="48"/>
      <c r="BD88" s="48"/>
      <c r="BE88" s="48"/>
      <c r="BF88" s="48"/>
      <c r="BG88" s="48"/>
      <c r="BH88" s="48"/>
      <c r="BI88" s="48"/>
    </row>
    <row r="89" ht="15.75" customHeight="1">
      <c r="A89" s="41"/>
      <c r="B89" s="108"/>
      <c r="C89" s="108"/>
      <c r="D89" s="108"/>
      <c r="E89" s="109"/>
      <c r="F89" s="108"/>
      <c r="G89" s="108"/>
      <c r="H89" s="109"/>
      <c r="I89" s="108"/>
      <c r="J89" s="108"/>
      <c r="K89" s="109"/>
      <c r="L89" s="108"/>
      <c r="M89" s="108"/>
      <c r="N89" s="109"/>
      <c r="O89" s="108"/>
      <c r="P89" s="108"/>
      <c r="Q89" s="109"/>
      <c r="R89" s="108"/>
      <c r="S89" s="108"/>
      <c r="T89" s="109"/>
      <c r="U89" s="108"/>
      <c r="V89" s="108"/>
      <c r="W89" s="109"/>
      <c r="X89" s="108"/>
      <c r="Y89" s="108"/>
      <c r="Z89" s="109"/>
      <c r="AA89" s="108"/>
      <c r="AB89" s="108"/>
      <c r="AC89" s="109"/>
      <c r="AD89" s="108"/>
      <c r="AE89" s="108"/>
      <c r="AF89" s="109"/>
      <c r="AG89" s="108"/>
      <c r="AH89" s="108"/>
      <c r="AI89" s="109"/>
      <c r="AJ89" s="108"/>
      <c r="AK89" s="108"/>
      <c r="AL89" s="109"/>
      <c r="AM89" s="108"/>
      <c r="AN89" s="108"/>
      <c r="AO89" s="109"/>
      <c r="AP89" s="110"/>
      <c r="AQ89" s="110"/>
      <c r="AR89" s="110"/>
      <c r="AS89" s="110"/>
      <c r="AT89" s="110"/>
      <c r="AU89" s="110"/>
      <c r="AV89" s="110"/>
      <c r="AW89" s="110"/>
      <c r="AX89" s="110"/>
      <c r="AY89" s="110"/>
      <c r="AZ89" s="110"/>
      <c r="BA89" s="110"/>
      <c r="BB89" s="110"/>
      <c r="BC89" s="110"/>
      <c r="BD89" s="110"/>
      <c r="BE89" s="110"/>
      <c r="BF89" s="110"/>
      <c r="BG89" s="110"/>
      <c r="BH89" s="110"/>
      <c r="BI89" s="110"/>
    </row>
    <row r="90" ht="15.75" customHeight="1">
      <c r="A90" s="41"/>
      <c r="B90" s="108"/>
      <c r="C90" s="108"/>
      <c r="D90" s="108"/>
      <c r="E90" s="108"/>
      <c r="F90" s="108"/>
      <c r="G90" s="108"/>
      <c r="H90" s="108"/>
      <c r="I90" s="10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10"/>
      <c r="AQ90" s="110"/>
      <c r="AR90" s="110"/>
      <c r="AS90" s="110"/>
      <c r="AT90" s="110"/>
      <c r="AU90" s="110"/>
      <c r="AV90" s="110"/>
      <c r="AW90" s="110"/>
      <c r="AX90" s="110"/>
      <c r="AY90" s="110"/>
      <c r="AZ90" s="110"/>
      <c r="BA90" s="110"/>
      <c r="BB90" s="110"/>
      <c r="BC90" s="110"/>
      <c r="BD90" s="110"/>
      <c r="BE90" s="110"/>
      <c r="BF90" s="110"/>
      <c r="BG90" s="110"/>
      <c r="BH90" s="110"/>
      <c r="BI90" s="110"/>
    </row>
    <row r="91" ht="15.75" customHeight="1">
      <c r="A91" s="41"/>
      <c r="B91" s="111"/>
      <c r="C91" s="111"/>
      <c r="D91" s="111"/>
      <c r="E91" s="111"/>
      <c r="F91" s="111"/>
      <c r="G91" s="111"/>
      <c r="H91" s="111"/>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40"/>
      <c r="AQ91" s="40"/>
      <c r="AR91" s="40"/>
      <c r="AS91" s="40"/>
      <c r="AT91" s="40"/>
      <c r="AU91" s="40"/>
      <c r="AV91" s="40"/>
      <c r="AW91" s="40"/>
      <c r="AX91" s="40"/>
      <c r="AY91" s="40"/>
      <c r="AZ91" s="40"/>
      <c r="BA91" s="40"/>
      <c r="BB91" s="40"/>
      <c r="BC91" s="40"/>
      <c r="BD91" s="40"/>
      <c r="BE91" s="40"/>
      <c r="BF91" s="40"/>
      <c r="BG91" s="40"/>
      <c r="BH91" s="40"/>
      <c r="BI91" s="40"/>
    </row>
    <row r="92" ht="15.75" customHeight="1">
      <c r="A92" s="41"/>
      <c r="B92" s="112" t="s">
        <v>220</v>
      </c>
      <c r="C92" s="112" t="s">
        <v>151</v>
      </c>
      <c r="D92" s="112"/>
      <c r="E92" s="112"/>
      <c r="F92" s="112"/>
      <c r="G92" s="112"/>
      <c r="H92" s="112"/>
      <c r="I92" s="112"/>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38"/>
      <c r="AQ92" s="38"/>
      <c r="AR92" s="38"/>
      <c r="AS92" s="38"/>
      <c r="AT92" s="38"/>
      <c r="AU92" s="38"/>
      <c r="AV92" s="38"/>
      <c r="AW92" s="38"/>
      <c r="AX92" s="38"/>
      <c r="AY92" s="38"/>
      <c r="AZ92" s="38"/>
      <c r="BA92" s="38"/>
      <c r="BB92" s="38"/>
      <c r="BC92" s="38"/>
      <c r="BD92" s="38"/>
      <c r="BE92" s="38"/>
      <c r="BF92" s="38"/>
      <c r="BG92" s="38"/>
      <c r="BH92" s="38"/>
      <c r="BI92" s="38"/>
    </row>
    <row r="93" ht="15.75" customHeight="1">
      <c r="A93" s="41"/>
      <c r="B93" s="113"/>
      <c r="C93" s="111"/>
      <c r="D93" s="111"/>
      <c r="E93" s="111"/>
      <c r="F93" s="111"/>
      <c r="G93" s="111"/>
      <c r="H93" s="111"/>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40"/>
      <c r="AQ93" s="40"/>
      <c r="AR93" s="40"/>
      <c r="AS93" s="40"/>
      <c r="AT93" s="40"/>
      <c r="AU93" s="40"/>
      <c r="AV93" s="40"/>
      <c r="AW93" s="40"/>
      <c r="AX93" s="40"/>
      <c r="AY93" s="40"/>
      <c r="AZ93" s="40"/>
      <c r="BA93" s="40"/>
      <c r="BB93" s="40"/>
      <c r="BC93" s="40"/>
      <c r="BD93" s="40"/>
      <c r="BE93" s="40"/>
      <c r="BF93" s="40"/>
      <c r="BG93" s="40"/>
      <c r="BH93" s="40"/>
      <c r="BI93" s="40"/>
    </row>
    <row r="94" ht="15.75" customHeight="1">
      <c r="A94" s="41"/>
      <c r="B94" s="42" t="s">
        <v>2</v>
      </c>
      <c r="C94" s="114">
        <v>2025.0</v>
      </c>
      <c r="D94" s="115"/>
      <c r="E94" s="116"/>
      <c r="F94" s="114" t="s">
        <v>6</v>
      </c>
      <c r="G94" s="115"/>
      <c r="H94" s="116"/>
      <c r="I94" s="114" t="s">
        <v>8</v>
      </c>
      <c r="J94" s="115"/>
      <c r="K94" s="116"/>
      <c r="L94" s="114" t="s">
        <v>9</v>
      </c>
      <c r="M94" s="115"/>
      <c r="N94" s="116"/>
      <c r="O94" s="114" t="s">
        <v>10</v>
      </c>
      <c r="P94" s="115"/>
      <c r="Q94" s="116"/>
      <c r="R94" s="114" t="s">
        <v>11</v>
      </c>
      <c r="S94" s="115"/>
      <c r="T94" s="116"/>
      <c r="U94" s="114" t="s">
        <v>12</v>
      </c>
      <c r="V94" s="115"/>
      <c r="W94" s="116"/>
      <c r="X94" s="114" t="s">
        <v>14</v>
      </c>
      <c r="Y94" s="115"/>
      <c r="Z94" s="116"/>
      <c r="AA94" s="114" t="s">
        <v>92</v>
      </c>
      <c r="AB94" s="115"/>
      <c r="AC94" s="116"/>
      <c r="AD94" s="114" t="s">
        <v>5</v>
      </c>
      <c r="AE94" s="115"/>
      <c r="AF94" s="116"/>
      <c r="AG94" s="114" t="s">
        <v>18</v>
      </c>
      <c r="AH94" s="115"/>
      <c r="AI94" s="116"/>
      <c r="AJ94" s="114" t="s">
        <v>19</v>
      </c>
      <c r="AK94" s="115"/>
      <c r="AL94" s="116"/>
      <c r="AM94" s="114" t="s">
        <v>20</v>
      </c>
      <c r="AN94" s="115"/>
      <c r="AO94" s="116"/>
      <c r="AP94" s="48"/>
      <c r="AQ94" s="48"/>
      <c r="AR94" s="48"/>
      <c r="AS94" s="48"/>
      <c r="AT94" s="48"/>
      <c r="AU94" s="48"/>
      <c r="AV94" s="48"/>
      <c r="AW94" s="48"/>
      <c r="AX94" s="48"/>
      <c r="AY94" s="48"/>
      <c r="AZ94" s="48"/>
      <c r="BA94" s="48"/>
      <c r="BB94" s="48"/>
      <c r="BC94" s="48"/>
      <c r="BD94" s="48"/>
      <c r="BE94" s="48"/>
      <c r="BF94" s="48"/>
      <c r="BG94" s="48"/>
      <c r="BH94" s="48"/>
      <c r="BI94" s="48"/>
    </row>
    <row r="95" ht="15.75" customHeight="1">
      <c r="A95" s="41"/>
      <c r="B95" s="57"/>
      <c r="C95" s="117" t="s">
        <v>93</v>
      </c>
      <c r="D95" s="86" t="s">
        <v>94</v>
      </c>
      <c r="E95" s="118" t="s">
        <v>95</v>
      </c>
      <c r="F95" s="117" t="s">
        <v>93</v>
      </c>
      <c r="G95" s="86" t="s">
        <v>94</v>
      </c>
      <c r="H95" s="118" t="s">
        <v>95</v>
      </c>
      <c r="I95" s="117" t="s">
        <v>93</v>
      </c>
      <c r="J95" s="86" t="s">
        <v>94</v>
      </c>
      <c r="K95" s="118" t="s">
        <v>95</v>
      </c>
      <c r="L95" s="117" t="s">
        <v>93</v>
      </c>
      <c r="M95" s="86" t="s">
        <v>94</v>
      </c>
      <c r="N95" s="118" t="s">
        <v>95</v>
      </c>
      <c r="O95" s="117" t="s">
        <v>93</v>
      </c>
      <c r="P95" s="86" t="s">
        <v>94</v>
      </c>
      <c r="Q95" s="118" t="s">
        <v>95</v>
      </c>
      <c r="R95" s="117" t="s">
        <v>93</v>
      </c>
      <c r="S95" s="86" t="s">
        <v>94</v>
      </c>
      <c r="T95" s="118" t="s">
        <v>95</v>
      </c>
      <c r="U95" s="117" t="s">
        <v>93</v>
      </c>
      <c r="V95" s="86" t="s">
        <v>94</v>
      </c>
      <c r="W95" s="118" t="s">
        <v>95</v>
      </c>
      <c r="X95" s="117" t="s">
        <v>93</v>
      </c>
      <c r="Y95" s="86" t="s">
        <v>94</v>
      </c>
      <c r="Z95" s="118" t="s">
        <v>95</v>
      </c>
      <c r="AA95" s="117" t="s">
        <v>93</v>
      </c>
      <c r="AB95" s="86" t="s">
        <v>94</v>
      </c>
      <c r="AC95" s="118" t="s">
        <v>95</v>
      </c>
      <c r="AD95" s="117" t="s">
        <v>93</v>
      </c>
      <c r="AE95" s="86" t="s">
        <v>94</v>
      </c>
      <c r="AF95" s="118" t="s">
        <v>95</v>
      </c>
      <c r="AG95" s="117" t="s">
        <v>93</v>
      </c>
      <c r="AH95" s="86" t="s">
        <v>94</v>
      </c>
      <c r="AI95" s="118" t="s">
        <v>95</v>
      </c>
      <c r="AJ95" s="117" t="s">
        <v>93</v>
      </c>
      <c r="AK95" s="86" t="s">
        <v>94</v>
      </c>
      <c r="AL95" s="118" t="s">
        <v>95</v>
      </c>
      <c r="AM95" s="117" t="s">
        <v>93</v>
      </c>
      <c r="AN95" s="86" t="s">
        <v>94</v>
      </c>
      <c r="AO95" s="118" t="s">
        <v>95</v>
      </c>
      <c r="AP95" s="48"/>
      <c r="AQ95" s="48"/>
      <c r="AR95" s="48"/>
      <c r="AS95" s="48"/>
      <c r="AT95" s="48"/>
      <c r="AU95" s="48"/>
      <c r="AV95" s="48"/>
      <c r="AW95" s="48"/>
      <c r="AX95" s="48"/>
      <c r="AY95" s="48"/>
      <c r="AZ95" s="48"/>
      <c r="BA95" s="48"/>
      <c r="BB95" s="48"/>
      <c r="BC95" s="48"/>
      <c r="BD95" s="48"/>
      <c r="BE95" s="48"/>
      <c r="BF95" s="48"/>
      <c r="BG95" s="48"/>
      <c r="BH95" s="48"/>
      <c r="BI95" s="48"/>
    </row>
    <row r="96" ht="15.75" customHeight="1">
      <c r="A96" s="41" t="str">
        <f t="shared" ref="A96:A136" si="2">+$C$92&amp;B96</f>
        <v>Véhicules usagésVentes nettes</v>
      </c>
      <c r="B96" s="53" t="s">
        <v>96</v>
      </c>
      <c r="C96" s="54"/>
      <c r="D96" s="55"/>
      <c r="E96" s="119"/>
      <c r="F96" s="54"/>
      <c r="G96" s="55"/>
      <c r="H96" s="119"/>
      <c r="I96" s="54"/>
      <c r="J96" s="55"/>
      <c r="K96" s="119"/>
      <c r="L96" s="54"/>
      <c r="M96" s="55"/>
      <c r="N96" s="119"/>
      <c r="O96" s="54"/>
      <c r="P96" s="55"/>
      <c r="Q96" s="119"/>
      <c r="R96" s="54"/>
      <c r="S96" s="55"/>
      <c r="T96" s="119"/>
      <c r="U96" s="54"/>
      <c r="V96" s="55"/>
      <c r="W96" s="119"/>
      <c r="X96" s="54"/>
      <c r="Y96" s="55"/>
      <c r="Z96" s="119"/>
      <c r="AA96" s="54"/>
      <c r="AB96" s="55"/>
      <c r="AC96" s="119"/>
      <c r="AD96" s="54"/>
      <c r="AE96" s="55"/>
      <c r="AF96" s="119"/>
      <c r="AG96" s="54"/>
      <c r="AH96" s="55"/>
      <c r="AI96" s="119"/>
      <c r="AJ96" s="54"/>
      <c r="AK96" s="55"/>
      <c r="AL96" s="119"/>
      <c r="AM96" s="54"/>
      <c r="AN96" s="55"/>
      <c r="AO96" s="119"/>
      <c r="AP96" s="48"/>
      <c r="AQ96" s="48"/>
      <c r="AR96" s="48"/>
      <c r="AS96" s="48"/>
      <c r="AT96" s="48"/>
      <c r="AU96" s="48"/>
      <c r="AV96" s="48"/>
      <c r="AW96" s="48"/>
      <c r="AX96" s="48"/>
      <c r="AY96" s="48"/>
      <c r="AZ96" s="48"/>
      <c r="BA96" s="48"/>
      <c r="BB96" s="48"/>
      <c r="BC96" s="48"/>
      <c r="BD96" s="48"/>
      <c r="BE96" s="48"/>
      <c r="BF96" s="48"/>
      <c r="BG96" s="48"/>
      <c r="BH96" s="48"/>
      <c r="BI96" s="48"/>
    </row>
    <row r="97" ht="15.75" customHeight="1">
      <c r="A97" s="41" t="str">
        <f t="shared" si="2"/>
        <v>Véhicules usagésCertifié</v>
      </c>
      <c r="B97" s="57" t="s">
        <v>152</v>
      </c>
      <c r="C97" s="58"/>
      <c r="D97" s="59"/>
      <c r="E97" s="60"/>
      <c r="F97" s="58"/>
      <c r="G97" s="59"/>
      <c r="H97" s="60"/>
      <c r="I97" s="58"/>
      <c r="J97" s="59"/>
      <c r="K97" s="60"/>
      <c r="L97" s="58"/>
      <c r="M97" s="59"/>
      <c r="N97" s="60"/>
      <c r="O97" s="58"/>
      <c r="P97" s="59"/>
      <c r="Q97" s="60"/>
      <c r="R97" s="58"/>
      <c r="S97" s="59"/>
      <c r="T97" s="60"/>
      <c r="U97" s="58"/>
      <c r="V97" s="59"/>
      <c r="W97" s="60"/>
      <c r="X97" s="58"/>
      <c r="Y97" s="59"/>
      <c r="Z97" s="60"/>
      <c r="AA97" s="58"/>
      <c r="AB97" s="59"/>
      <c r="AC97" s="60"/>
      <c r="AD97" s="58"/>
      <c r="AE97" s="59"/>
      <c r="AF97" s="60"/>
      <c r="AG97" s="58"/>
      <c r="AH97" s="59"/>
      <c r="AI97" s="60"/>
      <c r="AJ97" s="58"/>
      <c r="AK97" s="59"/>
      <c r="AL97" s="60"/>
      <c r="AM97" s="58"/>
      <c r="AN97" s="59"/>
      <c r="AO97" s="60"/>
      <c r="AP97" s="48"/>
      <c r="AQ97" s="48"/>
      <c r="AR97" s="48"/>
      <c r="AS97" s="48"/>
      <c r="AT97" s="48"/>
      <c r="AU97" s="48"/>
      <c r="AV97" s="48"/>
      <c r="AW97" s="48"/>
      <c r="AX97" s="48"/>
      <c r="AY97" s="48"/>
      <c r="AZ97" s="48"/>
      <c r="BA97" s="48"/>
      <c r="BB97" s="48"/>
      <c r="BC97" s="48"/>
      <c r="BD97" s="48"/>
      <c r="BE97" s="48"/>
      <c r="BF97" s="48"/>
      <c r="BG97" s="48"/>
      <c r="BH97" s="48"/>
      <c r="BI97" s="48"/>
    </row>
    <row r="98" ht="15.75" customHeight="1">
      <c r="A98" s="41" t="str">
        <f t="shared" si="2"/>
        <v>Véhicules usagésNon Certifié</v>
      </c>
      <c r="B98" s="57" t="s">
        <v>153</v>
      </c>
      <c r="C98" s="58"/>
      <c r="D98" s="59"/>
      <c r="E98" s="60"/>
      <c r="F98" s="58"/>
      <c r="G98" s="59"/>
      <c r="H98" s="60"/>
      <c r="I98" s="58"/>
      <c r="J98" s="59"/>
      <c r="K98" s="60"/>
      <c r="L98" s="58"/>
      <c r="M98" s="59"/>
      <c r="N98" s="60"/>
      <c r="O98" s="58"/>
      <c r="P98" s="59"/>
      <c r="Q98" s="60"/>
      <c r="R98" s="58"/>
      <c r="S98" s="59"/>
      <c r="T98" s="60"/>
      <c r="U98" s="58"/>
      <c r="V98" s="59"/>
      <c r="W98" s="60"/>
      <c r="X98" s="58"/>
      <c r="Y98" s="59"/>
      <c r="Z98" s="60"/>
      <c r="AA98" s="58"/>
      <c r="AB98" s="59"/>
      <c r="AC98" s="60"/>
      <c r="AD98" s="58"/>
      <c r="AE98" s="59"/>
      <c r="AF98" s="60"/>
      <c r="AG98" s="58"/>
      <c r="AH98" s="59"/>
      <c r="AI98" s="60"/>
      <c r="AJ98" s="58"/>
      <c r="AK98" s="59"/>
      <c r="AL98" s="60"/>
      <c r="AM98" s="58"/>
      <c r="AN98" s="59"/>
      <c r="AO98" s="60"/>
      <c r="AP98" s="48"/>
      <c r="AQ98" s="48"/>
      <c r="AR98" s="48"/>
      <c r="AS98" s="48"/>
      <c r="AT98" s="48"/>
      <c r="AU98" s="48"/>
      <c r="AV98" s="48"/>
      <c r="AW98" s="48"/>
      <c r="AX98" s="48"/>
      <c r="AY98" s="48"/>
      <c r="AZ98" s="48"/>
      <c r="BA98" s="48"/>
      <c r="BB98" s="48"/>
      <c r="BC98" s="48"/>
      <c r="BD98" s="48"/>
      <c r="BE98" s="48"/>
      <c r="BF98" s="48"/>
      <c r="BG98" s="48"/>
      <c r="BH98" s="48"/>
      <c r="BI98" s="48"/>
    </row>
    <row r="99" ht="15.75" customHeight="1">
      <c r="A99" s="41" t="str">
        <f t="shared" si="2"/>
        <v>Véhicules usagésAutres Marques</v>
      </c>
      <c r="B99" s="57" t="s">
        <v>154</v>
      </c>
      <c r="C99" s="58"/>
      <c r="D99" s="59"/>
      <c r="E99" s="60"/>
      <c r="F99" s="58"/>
      <c r="G99" s="59"/>
      <c r="H99" s="60"/>
      <c r="I99" s="58"/>
      <c r="J99" s="59"/>
      <c r="K99" s="60"/>
      <c r="L99" s="58"/>
      <c r="M99" s="59"/>
      <c r="N99" s="60"/>
      <c r="O99" s="58"/>
      <c r="P99" s="59"/>
      <c r="Q99" s="60"/>
      <c r="R99" s="58"/>
      <c r="S99" s="59"/>
      <c r="T99" s="60"/>
      <c r="U99" s="58"/>
      <c r="V99" s="59"/>
      <c r="W99" s="60"/>
      <c r="X99" s="58"/>
      <c r="Y99" s="59"/>
      <c r="Z99" s="60"/>
      <c r="AA99" s="58"/>
      <c r="AB99" s="59"/>
      <c r="AC99" s="60"/>
      <c r="AD99" s="58"/>
      <c r="AE99" s="59"/>
      <c r="AF99" s="60"/>
      <c r="AG99" s="58"/>
      <c r="AH99" s="59"/>
      <c r="AI99" s="60"/>
      <c r="AJ99" s="58"/>
      <c r="AK99" s="59"/>
      <c r="AL99" s="60"/>
      <c r="AM99" s="58"/>
      <c r="AN99" s="59"/>
      <c r="AO99" s="60"/>
      <c r="AP99" s="48"/>
      <c r="AQ99" s="48"/>
      <c r="AR99" s="48"/>
      <c r="AS99" s="48"/>
      <c r="AT99" s="48"/>
      <c r="AU99" s="48"/>
      <c r="AV99" s="48"/>
      <c r="AW99" s="48"/>
      <c r="AX99" s="48"/>
      <c r="AY99" s="48"/>
      <c r="AZ99" s="48"/>
      <c r="BA99" s="48"/>
      <c r="BB99" s="48"/>
      <c r="BC99" s="48"/>
      <c r="BD99" s="48"/>
      <c r="BE99" s="48"/>
      <c r="BF99" s="48"/>
      <c r="BG99" s="48"/>
      <c r="BH99" s="48"/>
      <c r="BI99" s="48"/>
    </row>
    <row r="100" ht="15.75" customHeight="1">
      <c r="A100" s="41" t="str">
        <f t="shared" si="2"/>
        <v>Véhicules usagésTotal Usagés</v>
      </c>
      <c r="B100" s="61" t="s">
        <v>155</v>
      </c>
      <c r="C100" s="62"/>
      <c r="D100" s="63"/>
      <c r="E100" s="64"/>
      <c r="F100" s="62"/>
      <c r="G100" s="63"/>
      <c r="H100" s="64"/>
      <c r="I100" s="62"/>
      <c r="J100" s="63"/>
      <c r="K100" s="64"/>
      <c r="L100" s="62"/>
      <c r="M100" s="63"/>
      <c r="N100" s="64"/>
      <c r="O100" s="62"/>
      <c r="P100" s="63"/>
      <c r="Q100" s="64"/>
      <c r="R100" s="62"/>
      <c r="S100" s="63"/>
      <c r="T100" s="64"/>
      <c r="U100" s="62"/>
      <c r="V100" s="63"/>
      <c r="W100" s="64"/>
      <c r="X100" s="62"/>
      <c r="Y100" s="63"/>
      <c r="Z100" s="64"/>
      <c r="AA100" s="62"/>
      <c r="AB100" s="63"/>
      <c r="AC100" s="64"/>
      <c r="AD100" s="62"/>
      <c r="AE100" s="63"/>
      <c r="AF100" s="64"/>
      <c r="AG100" s="62"/>
      <c r="AH100" s="63"/>
      <c r="AI100" s="64"/>
      <c r="AJ100" s="62"/>
      <c r="AK100" s="63"/>
      <c r="AL100" s="64"/>
      <c r="AM100" s="62"/>
      <c r="AN100" s="63"/>
      <c r="AO100" s="64"/>
      <c r="AP100" s="48"/>
      <c r="AQ100" s="48"/>
      <c r="AR100" s="48"/>
      <c r="AS100" s="48"/>
      <c r="AT100" s="48"/>
      <c r="AU100" s="48"/>
      <c r="AV100" s="48"/>
      <c r="AW100" s="48"/>
      <c r="AX100" s="48"/>
      <c r="AY100" s="48"/>
      <c r="AZ100" s="48"/>
      <c r="BA100" s="48"/>
      <c r="BB100" s="48"/>
      <c r="BC100" s="48"/>
      <c r="BD100" s="48"/>
      <c r="BE100" s="48"/>
      <c r="BF100" s="48"/>
      <c r="BG100" s="48"/>
      <c r="BH100" s="48"/>
      <c r="BI100" s="48"/>
    </row>
    <row r="101" ht="15.75" customHeight="1">
      <c r="A101" s="41" t="str">
        <f t="shared" si="2"/>
        <v>Véhicules usagés</v>
      </c>
      <c r="B101" s="57"/>
      <c r="C101" s="245"/>
      <c r="D101" s="246"/>
      <c r="E101" s="247"/>
      <c r="F101" s="245"/>
      <c r="G101" s="246"/>
      <c r="H101" s="247"/>
      <c r="I101" s="245"/>
      <c r="J101" s="246"/>
      <c r="K101" s="247"/>
      <c r="L101" s="245"/>
      <c r="M101" s="246"/>
      <c r="N101" s="247"/>
      <c r="O101" s="245"/>
      <c r="P101" s="246"/>
      <c r="Q101" s="247"/>
      <c r="R101" s="245"/>
      <c r="S101" s="246"/>
      <c r="T101" s="247"/>
      <c r="U101" s="245"/>
      <c r="V101" s="246"/>
      <c r="W101" s="247"/>
      <c r="X101" s="245"/>
      <c r="Y101" s="246"/>
      <c r="Z101" s="247"/>
      <c r="AA101" s="245"/>
      <c r="AB101" s="246"/>
      <c r="AC101" s="247"/>
      <c r="AD101" s="245"/>
      <c r="AE101" s="246"/>
      <c r="AF101" s="247"/>
      <c r="AG101" s="245"/>
      <c r="AH101" s="246"/>
      <c r="AI101" s="247"/>
      <c r="AJ101" s="245"/>
      <c r="AK101" s="246"/>
      <c r="AL101" s="247"/>
      <c r="AM101" s="245"/>
      <c r="AN101" s="246"/>
      <c r="AO101" s="247"/>
      <c r="AP101" s="48"/>
      <c r="AQ101" s="48"/>
      <c r="AR101" s="48"/>
      <c r="AS101" s="48"/>
      <c r="AT101" s="48"/>
      <c r="AU101" s="48"/>
      <c r="AV101" s="48"/>
      <c r="AW101" s="48"/>
      <c r="AX101" s="48"/>
      <c r="AY101" s="48"/>
      <c r="AZ101" s="48"/>
      <c r="BA101" s="48"/>
      <c r="BB101" s="48"/>
      <c r="BC101" s="48"/>
      <c r="BD101" s="48"/>
      <c r="BE101" s="48"/>
      <c r="BF101" s="48"/>
      <c r="BG101" s="48"/>
      <c r="BH101" s="48"/>
      <c r="BI101" s="48"/>
    </row>
    <row r="102" ht="15.75" customHeight="1">
      <c r="A102" s="41" t="str">
        <f t="shared" si="2"/>
        <v>Véhicules usagés</v>
      </c>
      <c r="B102" s="57"/>
      <c r="C102" s="57"/>
      <c r="D102" s="74"/>
      <c r="E102" s="65"/>
      <c r="F102" s="58"/>
      <c r="G102" s="74"/>
      <c r="H102" s="60"/>
      <c r="I102" s="58"/>
      <c r="J102" s="74"/>
      <c r="K102" s="60"/>
      <c r="L102" s="58"/>
      <c r="M102" s="74"/>
      <c r="N102" s="60"/>
      <c r="O102" s="58"/>
      <c r="P102" s="74"/>
      <c r="Q102" s="60"/>
      <c r="R102" s="58"/>
      <c r="S102" s="74"/>
      <c r="T102" s="60"/>
      <c r="U102" s="58"/>
      <c r="V102" s="74"/>
      <c r="W102" s="60"/>
      <c r="X102" s="58"/>
      <c r="Y102" s="74"/>
      <c r="Z102" s="60"/>
      <c r="AA102" s="58"/>
      <c r="AB102" s="74"/>
      <c r="AC102" s="60"/>
      <c r="AD102" s="58"/>
      <c r="AE102" s="74"/>
      <c r="AF102" s="60"/>
      <c r="AG102" s="58"/>
      <c r="AH102" s="74"/>
      <c r="AI102" s="60"/>
      <c r="AJ102" s="58"/>
      <c r="AK102" s="74"/>
      <c r="AL102" s="60"/>
      <c r="AM102" s="58"/>
      <c r="AN102" s="74"/>
      <c r="AO102" s="60"/>
      <c r="AP102" s="48"/>
      <c r="AQ102" s="48"/>
      <c r="AR102" s="48"/>
      <c r="AS102" s="48"/>
      <c r="AT102" s="48"/>
      <c r="AU102" s="48"/>
      <c r="AV102" s="48"/>
      <c r="AW102" s="48"/>
      <c r="AX102" s="48"/>
      <c r="AY102" s="48"/>
      <c r="AZ102" s="48"/>
      <c r="BA102" s="48"/>
      <c r="BB102" s="48"/>
      <c r="BC102" s="48"/>
      <c r="BD102" s="48"/>
      <c r="BE102" s="48"/>
      <c r="BF102" s="48"/>
      <c r="BG102" s="48"/>
      <c r="BH102" s="48"/>
      <c r="BI102" s="48"/>
    </row>
    <row r="103" ht="15.75" customHeight="1">
      <c r="A103" s="41" t="str">
        <f t="shared" si="2"/>
        <v>Véhicules usagésVentes au Gros</v>
      </c>
      <c r="B103" s="57" t="s">
        <v>156</v>
      </c>
      <c r="C103" s="58"/>
      <c r="D103" s="59"/>
      <c r="E103" s="60"/>
      <c r="F103" s="58"/>
      <c r="G103" s="59"/>
      <c r="H103" s="60"/>
      <c r="I103" s="58"/>
      <c r="J103" s="59"/>
      <c r="K103" s="60"/>
      <c r="L103" s="58"/>
      <c r="M103" s="59"/>
      <c r="N103" s="60"/>
      <c r="O103" s="58"/>
      <c r="P103" s="59"/>
      <c r="Q103" s="60"/>
      <c r="R103" s="58"/>
      <c r="S103" s="59"/>
      <c r="T103" s="60"/>
      <c r="U103" s="58"/>
      <c r="V103" s="59"/>
      <c r="W103" s="60"/>
      <c r="X103" s="58"/>
      <c r="Y103" s="59"/>
      <c r="Z103" s="60"/>
      <c r="AA103" s="58"/>
      <c r="AB103" s="59"/>
      <c r="AC103" s="60"/>
      <c r="AD103" s="58"/>
      <c r="AE103" s="59"/>
      <c r="AF103" s="60"/>
      <c r="AG103" s="58"/>
      <c r="AH103" s="59"/>
      <c r="AI103" s="60"/>
      <c r="AJ103" s="58"/>
      <c r="AK103" s="59"/>
      <c r="AL103" s="60"/>
      <c r="AM103" s="58"/>
      <c r="AN103" s="59"/>
      <c r="AO103" s="60"/>
      <c r="AP103" s="48"/>
      <c r="AQ103" s="48"/>
      <c r="AR103" s="48"/>
      <c r="AS103" s="48"/>
      <c r="AT103" s="48"/>
      <c r="AU103" s="48"/>
      <c r="AV103" s="48"/>
      <c r="AW103" s="48"/>
      <c r="AX103" s="48"/>
      <c r="AY103" s="48"/>
      <c r="AZ103" s="48"/>
      <c r="BA103" s="48"/>
      <c r="BB103" s="48"/>
      <c r="BC103" s="48"/>
      <c r="BD103" s="48"/>
      <c r="BE103" s="48"/>
      <c r="BF103" s="48"/>
      <c r="BG103" s="48"/>
      <c r="BH103" s="48"/>
      <c r="BI103" s="48"/>
    </row>
    <row r="104" ht="15.75" customHeight="1">
      <c r="A104" s="41" t="str">
        <f t="shared" si="2"/>
        <v>Véhicules usagés</v>
      </c>
      <c r="B104" s="53"/>
      <c r="C104" s="67"/>
      <c r="D104" s="68"/>
      <c r="E104" s="69"/>
      <c r="F104" s="67"/>
      <c r="G104" s="68"/>
      <c r="H104" s="69"/>
      <c r="I104" s="67"/>
      <c r="J104" s="68"/>
      <c r="K104" s="69"/>
      <c r="L104" s="67"/>
      <c r="M104" s="68"/>
      <c r="N104" s="69"/>
      <c r="O104" s="67"/>
      <c r="P104" s="68"/>
      <c r="Q104" s="69"/>
      <c r="R104" s="67"/>
      <c r="S104" s="68"/>
      <c r="T104" s="69"/>
      <c r="U104" s="67"/>
      <c r="V104" s="68"/>
      <c r="W104" s="69"/>
      <c r="X104" s="67"/>
      <c r="Y104" s="68"/>
      <c r="Z104" s="69"/>
      <c r="AA104" s="67"/>
      <c r="AB104" s="68"/>
      <c r="AC104" s="69"/>
      <c r="AD104" s="67"/>
      <c r="AE104" s="68"/>
      <c r="AF104" s="69"/>
      <c r="AG104" s="67"/>
      <c r="AH104" s="68"/>
      <c r="AI104" s="69"/>
      <c r="AJ104" s="67"/>
      <c r="AK104" s="68"/>
      <c r="AL104" s="69"/>
      <c r="AM104" s="67"/>
      <c r="AN104" s="68"/>
      <c r="AO104" s="69"/>
      <c r="AP104" s="48"/>
      <c r="AQ104" s="48"/>
      <c r="AR104" s="48"/>
      <c r="AS104" s="48"/>
      <c r="AT104" s="48"/>
      <c r="AU104" s="48"/>
      <c r="AV104" s="48"/>
      <c r="AW104" s="48"/>
      <c r="AX104" s="48"/>
      <c r="AY104" s="48"/>
      <c r="AZ104" s="48"/>
      <c r="BA104" s="48"/>
      <c r="BB104" s="48"/>
      <c r="BC104" s="48"/>
      <c r="BD104" s="48"/>
      <c r="BE104" s="48"/>
      <c r="BF104" s="48"/>
      <c r="BG104" s="48"/>
      <c r="BH104" s="48"/>
      <c r="BI104" s="48"/>
    </row>
    <row r="105" ht="15.75" customHeight="1">
      <c r="A105" s="41" t="str">
        <f t="shared" si="2"/>
        <v>Véhicules usagésRev. Finances</v>
      </c>
      <c r="B105" s="57" t="s">
        <v>105</v>
      </c>
      <c r="C105" s="58"/>
      <c r="D105" s="59"/>
      <c r="E105" s="60"/>
      <c r="F105" s="58"/>
      <c r="G105" s="59"/>
      <c r="H105" s="60"/>
      <c r="I105" s="58"/>
      <c r="J105" s="59"/>
      <c r="K105" s="60"/>
      <c r="L105" s="58"/>
      <c r="M105" s="59"/>
      <c r="N105" s="60"/>
      <c r="O105" s="58"/>
      <c r="P105" s="59"/>
      <c r="Q105" s="60"/>
      <c r="R105" s="58"/>
      <c r="S105" s="59"/>
      <c r="T105" s="60"/>
      <c r="U105" s="58"/>
      <c r="V105" s="59"/>
      <c r="W105" s="60"/>
      <c r="X105" s="58"/>
      <c r="Y105" s="59"/>
      <c r="Z105" s="60"/>
      <c r="AA105" s="58"/>
      <c r="AB105" s="59"/>
      <c r="AC105" s="60"/>
      <c r="AD105" s="58"/>
      <c r="AE105" s="59"/>
      <c r="AF105" s="60"/>
      <c r="AG105" s="58"/>
      <c r="AH105" s="59"/>
      <c r="AI105" s="60"/>
      <c r="AJ105" s="58"/>
      <c r="AK105" s="59"/>
      <c r="AL105" s="60"/>
      <c r="AM105" s="58"/>
      <c r="AN105" s="59"/>
      <c r="AO105" s="60"/>
      <c r="AP105" s="48"/>
      <c r="AQ105" s="48"/>
      <c r="AR105" s="48"/>
      <c r="AS105" s="48"/>
      <c r="AT105" s="48"/>
      <c r="AU105" s="48"/>
      <c r="AV105" s="48"/>
      <c r="AW105" s="48"/>
      <c r="AX105" s="48"/>
      <c r="AY105" s="48"/>
      <c r="AZ105" s="48"/>
      <c r="BA105" s="48"/>
      <c r="BB105" s="48"/>
      <c r="BC105" s="48"/>
      <c r="BD105" s="48"/>
      <c r="BE105" s="48"/>
      <c r="BF105" s="48"/>
      <c r="BG105" s="48"/>
      <c r="BH105" s="48"/>
      <c r="BI105" s="48"/>
    </row>
    <row r="106" ht="15.75" customHeight="1">
      <c r="A106" s="41" t="str">
        <f t="shared" si="2"/>
        <v>Véhicules usagésRev. Protections</v>
      </c>
      <c r="B106" s="57" t="s">
        <v>106</v>
      </c>
      <c r="C106" s="58"/>
      <c r="D106" s="59"/>
      <c r="E106" s="60"/>
      <c r="F106" s="58"/>
      <c r="G106" s="59"/>
      <c r="H106" s="60"/>
      <c r="I106" s="58"/>
      <c r="J106" s="59"/>
      <c r="K106" s="60"/>
      <c r="L106" s="58"/>
      <c r="M106" s="59"/>
      <c r="N106" s="60"/>
      <c r="O106" s="58"/>
      <c r="P106" s="59"/>
      <c r="Q106" s="60"/>
      <c r="R106" s="58"/>
      <c r="S106" s="59"/>
      <c r="T106" s="60"/>
      <c r="U106" s="58"/>
      <c r="V106" s="59"/>
      <c r="W106" s="60"/>
      <c r="X106" s="58"/>
      <c r="Y106" s="59"/>
      <c r="Z106" s="60"/>
      <c r="AA106" s="58"/>
      <c r="AB106" s="59"/>
      <c r="AC106" s="60"/>
      <c r="AD106" s="58"/>
      <c r="AE106" s="59"/>
      <c r="AF106" s="60"/>
      <c r="AG106" s="58"/>
      <c r="AH106" s="59"/>
      <c r="AI106" s="60"/>
      <c r="AJ106" s="58"/>
      <c r="AK106" s="59"/>
      <c r="AL106" s="60"/>
      <c r="AM106" s="58"/>
      <c r="AN106" s="59"/>
      <c r="AO106" s="60"/>
      <c r="AP106" s="48"/>
      <c r="AQ106" s="48"/>
      <c r="AR106" s="48"/>
      <c r="AS106" s="48"/>
      <c r="AT106" s="48"/>
      <c r="AU106" s="48"/>
      <c r="AV106" s="48"/>
      <c r="AW106" s="48"/>
      <c r="AX106" s="48"/>
      <c r="AY106" s="48"/>
      <c r="AZ106" s="48"/>
      <c r="BA106" s="48"/>
      <c r="BB106" s="48"/>
      <c r="BC106" s="48"/>
      <c r="BD106" s="48"/>
      <c r="BE106" s="48"/>
      <c r="BF106" s="48"/>
      <c r="BG106" s="48"/>
      <c r="BH106" s="48"/>
      <c r="BI106" s="48"/>
    </row>
    <row r="107" ht="15.75" customHeight="1">
      <c r="A107" s="41" t="str">
        <f t="shared" si="2"/>
        <v>Véhicules usagésRev. Autres</v>
      </c>
      <c r="B107" s="57" t="s">
        <v>107</v>
      </c>
      <c r="C107" s="58"/>
      <c r="D107" s="68"/>
      <c r="E107" s="60"/>
      <c r="F107" s="58"/>
      <c r="G107" s="68"/>
      <c r="H107" s="60"/>
      <c r="I107" s="58"/>
      <c r="J107" s="68"/>
      <c r="K107" s="60"/>
      <c r="L107" s="58"/>
      <c r="M107" s="68"/>
      <c r="N107" s="60"/>
      <c r="O107" s="58"/>
      <c r="P107" s="68"/>
      <c r="Q107" s="60"/>
      <c r="R107" s="58"/>
      <c r="S107" s="68"/>
      <c r="T107" s="60"/>
      <c r="U107" s="58"/>
      <c r="V107" s="68"/>
      <c r="W107" s="60"/>
      <c r="X107" s="58"/>
      <c r="Y107" s="68"/>
      <c r="Z107" s="60"/>
      <c r="AA107" s="58"/>
      <c r="AB107" s="68"/>
      <c r="AC107" s="60"/>
      <c r="AD107" s="58"/>
      <c r="AE107" s="68"/>
      <c r="AF107" s="60"/>
      <c r="AG107" s="58"/>
      <c r="AH107" s="68"/>
      <c r="AI107" s="60"/>
      <c r="AJ107" s="58"/>
      <c r="AK107" s="68"/>
      <c r="AL107" s="60"/>
      <c r="AM107" s="58"/>
      <c r="AN107" s="68"/>
      <c r="AO107" s="60"/>
      <c r="AP107" s="48"/>
      <c r="AQ107" s="48"/>
      <c r="AR107" s="48"/>
      <c r="AS107" s="48"/>
      <c r="AT107" s="48"/>
      <c r="AU107" s="48"/>
      <c r="AV107" s="48"/>
      <c r="AW107" s="48"/>
      <c r="AX107" s="48"/>
      <c r="AY107" s="48"/>
      <c r="AZ107" s="48"/>
      <c r="BA107" s="48"/>
      <c r="BB107" s="48"/>
      <c r="BC107" s="48"/>
      <c r="BD107" s="48"/>
      <c r="BE107" s="48"/>
      <c r="BF107" s="48"/>
      <c r="BG107" s="48"/>
      <c r="BH107" s="48"/>
      <c r="BI107" s="48"/>
    </row>
    <row r="108" ht="15.75" customHeight="1">
      <c r="A108" s="41" t="str">
        <f t="shared" si="2"/>
        <v>Véhicules usagésTotal F&amp;I</v>
      </c>
      <c r="B108" s="61" t="s">
        <v>108</v>
      </c>
      <c r="C108" s="62"/>
      <c r="D108" s="63"/>
      <c r="E108" s="64"/>
      <c r="F108" s="62"/>
      <c r="G108" s="63"/>
      <c r="H108" s="64"/>
      <c r="I108" s="62"/>
      <c r="J108" s="63"/>
      <c r="K108" s="64"/>
      <c r="L108" s="62"/>
      <c r="M108" s="63"/>
      <c r="N108" s="64"/>
      <c r="O108" s="62"/>
      <c r="P108" s="63"/>
      <c r="Q108" s="64"/>
      <c r="R108" s="62"/>
      <c r="S108" s="63"/>
      <c r="T108" s="64"/>
      <c r="U108" s="62"/>
      <c r="V108" s="63"/>
      <c r="W108" s="64"/>
      <c r="X108" s="62"/>
      <c r="Y108" s="63"/>
      <c r="Z108" s="64"/>
      <c r="AA108" s="62"/>
      <c r="AB108" s="63"/>
      <c r="AC108" s="64"/>
      <c r="AD108" s="62"/>
      <c r="AE108" s="63"/>
      <c r="AF108" s="64"/>
      <c r="AG108" s="62"/>
      <c r="AH108" s="63"/>
      <c r="AI108" s="64"/>
      <c r="AJ108" s="62"/>
      <c r="AK108" s="63"/>
      <c r="AL108" s="64"/>
      <c r="AM108" s="62"/>
      <c r="AN108" s="63"/>
      <c r="AO108" s="64"/>
      <c r="AP108" s="48"/>
      <c r="AQ108" s="48"/>
      <c r="AR108" s="48"/>
      <c r="AS108" s="48"/>
      <c r="AT108" s="48"/>
      <c r="AU108" s="48"/>
      <c r="AV108" s="48"/>
      <c r="AW108" s="48"/>
      <c r="AX108" s="48"/>
      <c r="AY108" s="48"/>
      <c r="AZ108" s="48"/>
      <c r="BA108" s="48"/>
      <c r="BB108" s="48"/>
      <c r="BC108" s="48"/>
      <c r="BD108" s="48"/>
      <c r="BE108" s="48"/>
      <c r="BF108" s="48"/>
      <c r="BG108" s="48"/>
      <c r="BH108" s="48"/>
      <c r="BI108" s="48"/>
    </row>
    <row r="109" ht="15.75" customHeight="1">
      <c r="A109" s="41" t="str">
        <f t="shared" si="2"/>
        <v>Véhicules usagés</v>
      </c>
      <c r="B109" s="57"/>
      <c r="C109" s="57"/>
      <c r="D109" s="74"/>
      <c r="E109" s="75"/>
      <c r="F109" s="57"/>
      <c r="G109" s="74"/>
      <c r="H109" s="75"/>
      <c r="I109" s="57"/>
      <c r="J109" s="74"/>
      <c r="K109" s="75"/>
      <c r="L109" s="57"/>
      <c r="M109" s="74"/>
      <c r="N109" s="75"/>
      <c r="O109" s="57"/>
      <c r="P109" s="74"/>
      <c r="Q109" s="75"/>
      <c r="R109" s="57"/>
      <c r="S109" s="74"/>
      <c r="T109" s="75"/>
      <c r="U109" s="57"/>
      <c r="V109" s="74"/>
      <c r="W109" s="75"/>
      <c r="X109" s="57"/>
      <c r="Y109" s="74"/>
      <c r="Z109" s="75"/>
      <c r="AA109" s="57"/>
      <c r="AB109" s="74"/>
      <c r="AC109" s="75"/>
      <c r="AD109" s="57"/>
      <c r="AE109" s="74"/>
      <c r="AF109" s="75"/>
      <c r="AG109" s="57"/>
      <c r="AH109" s="74"/>
      <c r="AI109" s="75"/>
      <c r="AJ109" s="57"/>
      <c r="AK109" s="74"/>
      <c r="AL109" s="75"/>
      <c r="AM109" s="57"/>
      <c r="AN109" s="74"/>
      <c r="AO109" s="75"/>
      <c r="AP109" s="48"/>
      <c r="AQ109" s="48"/>
      <c r="AR109" s="48"/>
      <c r="AS109" s="48"/>
      <c r="AT109" s="48"/>
      <c r="AU109" s="48"/>
      <c r="AV109" s="48"/>
      <c r="AW109" s="48"/>
      <c r="AX109" s="48"/>
      <c r="AY109" s="48"/>
      <c r="AZ109" s="48"/>
      <c r="BA109" s="48"/>
      <c r="BB109" s="48"/>
      <c r="BC109" s="48"/>
      <c r="BD109" s="48"/>
      <c r="BE109" s="48"/>
      <c r="BF109" s="48"/>
      <c r="BG109" s="48"/>
      <c r="BH109" s="48"/>
      <c r="BI109" s="48"/>
    </row>
    <row r="110" ht="15.75" customHeight="1">
      <c r="A110" s="41" t="str">
        <f t="shared" si="2"/>
        <v>Véhicules usagés</v>
      </c>
      <c r="B110" s="57"/>
      <c r="C110" s="57"/>
      <c r="D110" s="74"/>
      <c r="E110" s="75"/>
      <c r="F110" s="57"/>
      <c r="G110" s="74"/>
      <c r="H110" s="75"/>
      <c r="I110" s="57"/>
      <c r="J110" s="74"/>
      <c r="K110" s="75"/>
      <c r="L110" s="57"/>
      <c r="M110" s="74"/>
      <c r="N110" s="75"/>
      <c r="O110" s="57"/>
      <c r="P110" s="74"/>
      <c r="Q110" s="75"/>
      <c r="R110" s="57"/>
      <c r="S110" s="74"/>
      <c r="T110" s="75"/>
      <c r="U110" s="57"/>
      <c r="V110" s="74"/>
      <c r="W110" s="75"/>
      <c r="X110" s="57"/>
      <c r="Y110" s="74"/>
      <c r="Z110" s="75"/>
      <c r="AA110" s="57"/>
      <c r="AB110" s="74"/>
      <c r="AC110" s="75"/>
      <c r="AD110" s="57"/>
      <c r="AE110" s="74"/>
      <c r="AF110" s="75"/>
      <c r="AG110" s="57"/>
      <c r="AH110" s="74"/>
      <c r="AI110" s="75"/>
      <c r="AJ110" s="57"/>
      <c r="AK110" s="74"/>
      <c r="AL110" s="75"/>
      <c r="AM110" s="57"/>
      <c r="AN110" s="74"/>
      <c r="AO110" s="75"/>
      <c r="AP110" s="48"/>
      <c r="AQ110" s="48"/>
      <c r="AR110" s="48"/>
      <c r="AS110" s="48"/>
      <c r="AT110" s="48"/>
      <c r="AU110" s="48"/>
      <c r="AV110" s="48"/>
      <c r="AW110" s="48"/>
      <c r="AX110" s="48"/>
      <c r="AY110" s="48"/>
      <c r="AZ110" s="48"/>
      <c r="BA110" s="48"/>
      <c r="BB110" s="48"/>
      <c r="BC110" s="48"/>
      <c r="BD110" s="48"/>
      <c r="BE110" s="48"/>
      <c r="BF110" s="48"/>
      <c r="BG110" s="48"/>
      <c r="BH110" s="48"/>
      <c r="BI110" s="48"/>
    </row>
    <row r="111" ht="15.75" customHeight="1">
      <c r="A111" s="41" t="str">
        <f t="shared" si="2"/>
        <v>Véhicules usagésTotal Dépt. Usagés</v>
      </c>
      <c r="B111" s="76" t="s">
        <v>157</v>
      </c>
      <c r="C111" s="77"/>
      <c r="D111" s="78"/>
      <c r="E111" s="79"/>
      <c r="F111" s="77"/>
      <c r="G111" s="78"/>
      <c r="H111" s="79"/>
      <c r="I111" s="77"/>
      <c r="J111" s="78"/>
      <c r="K111" s="79"/>
      <c r="L111" s="77"/>
      <c r="M111" s="78"/>
      <c r="N111" s="79"/>
      <c r="O111" s="77"/>
      <c r="P111" s="78"/>
      <c r="Q111" s="79"/>
      <c r="R111" s="77"/>
      <c r="S111" s="78"/>
      <c r="T111" s="79"/>
      <c r="U111" s="77"/>
      <c r="V111" s="78"/>
      <c r="W111" s="79"/>
      <c r="X111" s="77"/>
      <c r="Y111" s="78"/>
      <c r="Z111" s="79"/>
      <c r="AA111" s="77"/>
      <c r="AB111" s="78"/>
      <c r="AC111" s="79"/>
      <c r="AD111" s="77"/>
      <c r="AE111" s="78"/>
      <c r="AF111" s="79"/>
      <c r="AG111" s="77"/>
      <c r="AH111" s="78"/>
      <c r="AI111" s="79"/>
      <c r="AJ111" s="77"/>
      <c r="AK111" s="78"/>
      <c r="AL111" s="79"/>
      <c r="AM111" s="77"/>
      <c r="AN111" s="78"/>
      <c r="AO111" s="79"/>
      <c r="AP111" s="48"/>
      <c r="AQ111" s="48"/>
      <c r="AR111" s="48"/>
      <c r="AS111" s="48"/>
      <c r="AT111" s="48"/>
      <c r="AU111" s="48"/>
      <c r="AV111" s="48"/>
      <c r="AW111" s="48"/>
      <c r="AX111" s="48"/>
      <c r="AY111" s="48"/>
      <c r="AZ111" s="48"/>
      <c r="BA111" s="48"/>
      <c r="BB111" s="48"/>
      <c r="BC111" s="48"/>
      <c r="BD111" s="48"/>
      <c r="BE111" s="48"/>
      <c r="BF111" s="48"/>
      <c r="BG111" s="48"/>
      <c r="BH111" s="48"/>
      <c r="BI111" s="48"/>
    </row>
    <row r="112" ht="15.75" customHeight="1">
      <c r="A112" s="41" t="str">
        <f t="shared" si="2"/>
        <v>Véhicules usagés</v>
      </c>
      <c r="B112" s="80"/>
      <c r="C112" s="80"/>
      <c r="D112" s="81"/>
      <c r="E112" s="82"/>
      <c r="F112" s="80"/>
      <c r="G112" s="81"/>
      <c r="H112" s="82"/>
      <c r="I112" s="80"/>
      <c r="J112" s="81"/>
      <c r="K112" s="82"/>
      <c r="L112" s="80"/>
      <c r="M112" s="81"/>
      <c r="N112" s="82"/>
      <c r="O112" s="80"/>
      <c r="P112" s="81"/>
      <c r="Q112" s="82"/>
      <c r="R112" s="80"/>
      <c r="S112" s="81"/>
      <c r="T112" s="82"/>
      <c r="U112" s="80"/>
      <c r="V112" s="81"/>
      <c r="W112" s="82"/>
      <c r="X112" s="80"/>
      <c r="Y112" s="81"/>
      <c r="Z112" s="82"/>
      <c r="AA112" s="80"/>
      <c r="AB112" s="81"/>
      <c r="AC112" s="82"/>
      <c r="AD112" s="80"/>
      <c r="AE112" s="81"/>
      <c r="AF112" s="82"/>
      <c r="AG112" s="80"/>
      <c r="AH112" s="81"/>
      <c r="AI112" s="82"/>
      <c r="AJ112" s="80"/>
      <c r="AK112" s="81"/>
      <c r="AL112" s="82"/>
      <c r="AM112" s="80"/>
      <c r="AN112" s="81"/>
      <c r="AO112" s="82"/>
      <c r="AP112" s="48"/>
      <c r="AQ112" s="48"/>
      <c r="AR112" s="48"/>
      <c r="AS112" s="48"/>
      <c r="AT112" s="48"/>
      <c r="AU112" s="48"/>
      <c r="AV112" s="48"/>
      <c r="AW112" s="48"/>
      <c r="AX112" s="48"/>
      <c r="AY112" s="48"/>
      <c r="AZ112" s="48"/>
      <c r="BA112" s="48"/>
      <c r="BB112" s="48"/>
      <c r="BC112" s="48"/>
      <c r="BD112" s="48"/>
      <c r="BE112" s="48"/>
      <c r="BF112" s="48"/>
      <c r="BG112" s="48"/>
      <c r="BH112" s="48"/>
      <c r="BI112" s="48"/>
    </row>
    <row r="113" ht="15.75" customHeight="1">
      <c r="A113" s="41" t="str">
        <f t="shared" si="2"/>
        <v>Véhicules usagés</v>
      </c>
      <c r="B113" s="70"/>
      <c r="C113" s="70"/>
      <c r="D113" s="83"/>
      <c r="E113" s="84"/>
      <c r="F113" s="70"/>
      <c r="G113" s="83"/>
      <c r="H113" s="84"/>
      <c r="I113" s="70"/>
      <c r="J113" s="83"/>
      <c r="K113" s="84"/>
      <c r="L113" s="70"/>
      <c r="M113" s="83"/>
      <c r="N113" s="84"/>
      <c r="O113" s="70"/>
      <c r="P113" s="83"/>
      <c r="Q113" s="84"/>
      <c r="R113" s="70"/>
      <c r="S113" s="83"/>
      <c r="T113" s="84"/>
      <c r="U113" s="70"/>
      <c r="V113" s="83"/>
      <c r="W113" s="84"/>
      <c r="X113" s="70"/>
      <c r="Y113" s="83"/>
      <c r="Z113" s="84"/>
      <c r="AA113" s="70"/>
      <c r="AB113" s="83"/>
      <c r="AC113" s="84"/>
      <c r="AD113" s="70"/>
      <c r="AE113" s="83"/>
      <c r="AF113" s="84"/>
      <c r="AG113" s="70"/>
      <c r="AH113" s="83"/>
      <c r="AI113" s="84"/>
      <c r="AJ113" s="70"/>
      <c r="AK113" s="83"/>
      <c r="AL113" s="84"/>
      <c r="AM113" s="70"/>
      <c r="AN113" s="83"/>
      <c r="AO113" s="84"/>
      <c r="AP113" s="48"/>
      <c r="AQ113" s="48"/>
      <c r="AR113" s="48"/>
      <c r="AS113" s="48"/>
      <c r="AT113" s="48"/>
      <c r="AU113" s="48"/>
      <c r="AV113" s="48"/>
      <c r="AW113" s="48"/>
      <c r="AX113" s="48"/>
      <c r="AY113" s="48"/>
      <c r="AZ113" s="48"/>
      <c r="BA113" s="48"/>
      <c r="BB113" s="48"/>
      <c r="BC113" s="48"/>
      <c r="BD113" s="48"/>
      <c r="BE113" s="48"/>
      <c r="BF113" s="48"/>
      <c r="BG113" s="48"/>
      <c r="BH113" s="48"/>
      <c r="BI113" s="48"/>
    </row>
    <row r="114" ht="15.75" customHeight="1">
      <c r="A114" s="41" t="str">
        <f t="shared" si="2"/>
        <v>Véhicules usagésDEPENSES</v>
      </c>
      <c r="B114" s="85" t="s">
        <v>110</v>
      </c>
      <c r="C114" s="57"/>
      <c r="D114" s="86"/>
      <c r="E114" s="65"/>
      <c r="F114" s="57"/>
      <c r="G114" s="86"/>
      <c r="H114" s="60"/>
      <c r="I114" s="57"/>
      <c r="J114" s="86"/>
      <c r="K114" s="60"/>
      <c r="L114" s="57"/>
      <c r="M114" s="86"/>
      <c r="N114" s="65"/>
      <c r="O114" s="57"/>
      <c r="P114" s="86"/>
      <c r="Q114" s="65"/>
      <c r="R114" s="57"/>
      <c r="S114" s="86"/>
      <c r="T114" s="65"/>
      <c r="U114" s="57"/>
      <c r="V114" s="86"/>
      <c r="W114" s="65"/>
      <c r="X114" s="57"/>
      <c r="Y114" s="86"/>
      <c r="Z114" s="65"/>
      <c r="AA114" s="57"/>
      <c r="AB114" s="86"/>
      <c r="AC114" s="65"/>
      <c r="AD114" s="57"/>
      <c r="AE114" s="86"/>
      <c r="AF114" s="65"/>
      <c r="AG114" s="57"/>
      <c r="AH114" s="86"/>
      <c r="AI114" s="65"/>
      <c r="AJ114" s="57"/>
      <c r="AK114" s="86"/>
      <c r="AL114" s="65"/>
      <c r="AM114" s="57"/>
      <c r="AN114" s="86"/>
      <c r="AO114" s="65"/>
      <c r="AP114" s="48"/>
      <c r="AQ114" s="48"/>
      <c r="AR114" s="48"/>
      <c r="AS114" s="48"/>
      <c r="AT114" s="48"/>
      <c r="AU114" s="48"/>
      <c r="AV114" s="48"/>
      <c r="AW114" s="48"/>
      <c r="AX114" s="48"/>
      <c r="AY114" s="48"/>
      <c r="AZ114" s="48"/>
      <c r="BA114" s="48"/>
      <c r="BB114" s="48"/>
      <c r="BC114" s="48"/>
      <c r="BD114" s="48"/>
      <c r="BE114" s="48"/>
      <c r="BF114" s="48"/>
      <c r="BG114" s="48"/>
      <c r="BH114" s="48"/>
      <c r="BI114" s="48"/>
    </row>
    <row r="115" ht="15.75" customHeight="1">
      <c r="A115" s="41" t="str">
        <f t="shared" si="2"/>
        <v>Véhicules usagésComm. vendeurs</v>
      </c>
      <c r="B115" s="57" t="s">
        <v>111</v>
      </c>
      <c r="C115" s="87"/>
      <c r="D115" s="88"/>
      <c r="E115" s="75"/>
      <c r="F115" s="87"/>
      <c r="G115" s="88"/>
      <c r="H115" s="75"/>
      <c r="I115" s="87"/>
      <c r="J115" s="88"/>
      <c r="K115" s="75"/>
      <c r="L115" s="87"/>
      <c r="M115" s="88"/>
      <c r="N115" s="75"/>
      <c r="O115" s="87"/>
      <c r="P115" s="88"/>
      <c r="Q115" s="75"/>
      <c r="R115" s="87"/>
      <c r="S115" s="88"/>
      <c r="T115" s="75"/>
      <c r="U115" s="87"/>
      <c r="V115" s="88"/>
      <c r="W115" s="75"/>
      <c r="X115" s="87"/>
      <c r="Y115" s="88"/>
      <c r="Z115" s="75"/>
      <c r="AA115" s="87"/>
      <c r="AB115" s="88"/>
      <c r="AC115" s="75"/>
      <c r="AD115" s="87"/>
      <c r="AE115" s="88"/>
      <c r="AF115" s="75"/>
      <c r="AG115" s="87"/>
      <c r="AH115" s="88"/>
      <c r="AI115" s="75"/>
      <c r="AJ115" s="87"/>
      <c r="AK115" s="88"/>
      <c r="AL115" s="75"/>
      <c r="AM115" s="87"/>
      <c r="AN115" s="88"/>
      <c r="AO115" s="242"/>
      <c r="AP115" s="48"/>
      <c r="AQ115" s="48"/>
      <c r="AR115" s="48"/>
      <c r="AS115" s="48"/>
      <c r="AT115" s="48"/>
      <c r="AU115" s="48"/>
      <c r="AV115" s="48"/>
      <c r="AW115" s="48"/>
      <c r="AX115" s="48"/>
      <c r="AY115" s="48"/>
      <c r="AZ115" s="48"/>
      <c r="BA115" s="48"/>
      <c r="BB115" s="48"/>
      <c r="BC115" s="48"/>
      <c r="BD115" s="48"/>
      <c r="BE115" s="48"/>
      <c r="BF115" s="48"/>
      <c r="BG115" s="48"/>
      <c r="BH115" s="48"/>
      <c r="BI115" s="48"/>
    </row>
    <row r="116" ht="15.75" customHeight="1">
      <c r="A116" s="41" t="str">
        <f t="shared" si="2"/>
        <v>Véhicules usagésComm. F&amp;I</v>
      </c>
      <c r="B116" s="53" t="s">
        <v>112</v>
      </c>
      <c r="C116" s="89"/>
      <c r="D116" s="90"/>
      <c r="E116" s="91"/>
      <c r="F116" s="89"/>
      <c r="G116" s="90"/>
      <c r="H116" s="91"/>
      <c r="I116" s="89"/>
      <c r="J116" s="90"/>
      <c r="K116" s="91"/>
      <c r="L116" s="89"/>
      <c r="M116" s="90"/>
      <c r="N116" s="91"/>
      <c r="O116" s="89"/>
      <c r="P116" s="90"/>
      <c r="Q116" s="91"/>
      <c r="R116" s="89"/>
      <c r="S116" s="90"/>
      <c r="T116" s="91"/>
      <c r="U116" s="89"/>
      <c r="V116" s="90"/>
      <c r="W116" s="91"/>
      <c r="X116" s="89"/>
      <c r="Y116" s="90"/>
      <c r="Z116" s="91"/>
      <c r="AA116" s="89"/>
      <c r="AB116" s="90"/>
      <c r="AC116" s="91"/>
      <c r="AD116" s="89"/>
      <c r="AE116" s="90"/>
      <c r="AF116" s="91"/>
      <c r="AG116" s="89"/>
      <c r="AH116" s="90"/>
      <c r="AI116" s="91"/>
      <c r="AJ116" s="89"/>
      <c r="AK116" s="90"/>
      <c r="AL116" s="91"/>
      <c r="AM116" s="89"/>
      <c r="AN116" s="90"/>
      <c r="AO116" s="243"/>
      <c r="AP116" s="48"/>
      <c r="AQ116" s="48"/>
      <c r="AR116" s="48"/>
      <c r="AS116" s="48"/>
      <c r="AT116" s="48"/>
      <c r="AU116" s="48"/>
      <c r="AV116" s="48"/>
      <c r="AW116" s="48"/>
      <c r="AX116" s="48"/>
      <c r="AY116" s="48"/>
      <c r="AZ116" s="48"/>
      <c r="BA116" s="48"/>
      <c r="BB116" s="48"/>
      <c r="BC116" s="48"/>
      <c r="BD116" s="48"/>
      <c r="BE116" s="48"/>
      <c r="BF116" s="48"/>
      <c r="BG116" s="48"/>
      <c r="BH116" s="48"/>
      <c r="BI116" s="48"/>
    </row>
    <row r="117" ht="15.75" customHeight="1">
      <c r="A117" s="41" t="str">
        <f t="shared" si="2"/>
        <v>Véhicules usagésFrais de livraison</v>
      </c>
      <c r="B117" s="57" t="s">
        <v>113</v>
      </c>
      <c r="C117" s="57"/>
      <c r="D117" s="88"/>
      <c r="E117" s="75"/>
      <c r="F117" s="57"/>
      <c r="G117" s="88"/>
      <c r="H117" s="75"/>
      <c r="I117" s="57"/>
      <c r="J117" s="88"/>
      <c r="K117" s="75"/>
      <c r="L117" s="57"/>
      <c r="M117" s="88"/>
      <c r="N117" s="75"/>
      <c r="O117" s="57"/>
      <c r="P117" s="88"/>
      <c r="Q117" s="75"/>
      <c r="R117" s="57"/>
      <c r="S117" s="88"/>
      <c r="T117" s="75"/>
      <c r="U117" s="57"/>
      <c r="V117" s="88"/>
      <c r="W117" s="75"/>
      <c r="X117" s="57"/>
      <c r="Y117" s="88"/>
      <c r="Z117" s="75"/>
      <c r="AA117" s="57"/>
      <c r="AB117" s="88"/>
      <c r="AC117" s="75"/>
      <c r="AD117" s="57"/>
      <c r="AE117" s="88"/>
      <c r="AF117" s="75"/>
      <c r="AG117" s="57"/>
      <c r="AH117" s="88"/>
      <c r="AI117" s="75"/>
      <c r="AJ117" s="57"/>
      <c r="AK117" s="88"/>
      <c r="AL117" s="75"/>
      <c r="AM117" s="57"/>
      <c r="AN117" s="88"/>
      <c r="AO117" s="242"/>
      <c r="AP117" s="48"/>
      <c r="AQ117" s="48"/>
      <c r="AR117" s="48"/>
      <c r="AS117" s="48"/>
      <c r="AT117" s="48"/>
      <c r="AU117" s="48"/>
      <c r="AV117" s="48"/>
      <c r="AW117" s="48"/>
      <c r="AX117" s="48"/>
      <c r="AY117" s="48"/>
      <c r="AZ117" s="48"/>
      <c r="BA117" s="48"/>
      <c r="BB117" s="48"/>
      <c r="BC117" s="48"/>
      <c r="BD117" s="48"/>
      <c r="BE117" s="48"/>
      <c r="BF117" s="48"/>
      <c r="BG117" s="48"/>
      <c r="BH117" s="48"/>
      <c r="BI117" s="48"/>
    </row>
    <row r="118" ht="15.75" customHeight="1">
      <c r="A118" s="41" t="str">
        <f t="shared" si="2"/>
        <v>Véhicules usagésService gratuit 1</v>
      </c>
      <c r="B118" s="57" t="s">
        <v>114</v>
      </c>
      <c r="C118" s="57"/>
      <c r="D118" s="88"/>
      <c r="E118" s="75"/>
      <c r="F118" s="57"/>
      <c r="G118" s="88"/>
      <c r="H118" s="75"/>
      <c r="I118" s="57"/>
      <c r="J118" s="88"/>
      <c r="K118" s="75"/>
      <c r="L118" s="57"/>
      <c r="M118" s="88"/>
      <c r="N118" s="75"/>
      <c r="O118" s="57"/>
      <c r="P118" s="88"/>
      <c r="Q118" s="75"/>
      <c r="R118" s="57"/>
      <c r="S118" s="88"/>
      <c r="T118" s="75"/>
      <c r="U118" s="57"/>
      <c r="V118" s="88"/>
      <c r="W118" s="75"/>
      <c r="X118" s="57"/>
      <c r="Y118" s="88"/>
      <c r="Z118" s="75"/>
      <c r="AA118" s="57"/>
      <c r="AB118" s="88"/>
      <c r="AC118" s="75"/>
      <c r="AD118" s="57"/>
      <c r="AE118" s="88"/>
      <c r="AF118" s="75"/>
      <c r="AG118" s="57"/>
      <c r="AH118" s="88"/>
      <c r="AI118" s="75"/>
      <c r="AJ118" s="57"/>
      <c r="AK118" s="88"/>
      <c r="AL118" s="75"/>
      <c r="AM118" s="57"/>
      <c r="AN118" s="88"/>
      <c r="AO118" s="242"/>
      <c r="AP118" s="48"/>
      <c r="AQ118" s="48"/>
      <c r="AR118" s="48"/>
      <c r="AS118" s="48"/>
      <c r="AT118" s="48"/>
      <c r="AU118" s="48"/>
      <c r="AV118" s="48"/>
      <c r="AW118" s="48"/>
      <c r="AX118" s="48"/>
      <c r="AY118" s="48"/>
      <c r="AZ118" s="48"/>
      <c r="BA118" s="48"/>
      <c r="BB118" s="48"/>
      <c r="BC118" s="48"/>
      <c r="BD118" s="48"/>
      <c r="BE118" s="48"/>
      <c r="BF118" s="48"/>
      <c r="BG118" s="48"/>
      <c r="BH118" s="48"/>
      <c r="BI118" s="48"/>
    </row>
    <row r="119" ht="15.75" customHeight="1">
      <c r="A119" s="41" t="str">
        <f t="shared" si="2"/>
        <v>Véhicules usagésEntretien stock</v>
      </c>
      <c r="B119" s="53" t="s">
        <v>115</v>
      </c>
      <c r="C119" s="53"/>
      <c r="D119" s="90"/>
      <c r="E119" s="91"/>
      <c r="F119" s="53"/>
      <c r="G119" s="90"/>
      <c r="H119" s="91"/>
      <c r="I119" s="53"/>
      <c r="J119" s="90"/>
      <c r="K119" s="91"/>
      <c r="L119" s="53"/>
      <c r="M119" s="90"/>
      <c r="N119" s="91"/>
      <c r="O119" s="53"/>
      <c r="P119" s="90"/>
      <c r="Q119" s="91"/>
      <c r="R119" s="53"/>
      <c r="S119" s="90"/>
      <c r="T119" s="91"/>
      <c r="U119" s="53"/>
      <c r="V119" s="90"/>
      <c r="W119" s="91"/>
      <c r="X119" s="53"/>
      <c r="Y119" s="90"/>
      <c r="Z119" s="91"/>
      <c r="AA119" s="53"/>
      <c r="AB119" s="90"/>
      <c r="AC119" s="91"/>
      <c r="AD119" s="53"/>
      <c r="AE119" s="90"/>
      <c r="AF119" s="91"/>
      <c r="AG119" s="53"/>
      <c r="AH119" s="90"/>
      <c r="AI119" s="91"/>
      <c r="AJ119" s="53"/>
      <c r="AK119" s="90"/>
      <c r="AL119" s="91"/>
      <c r="AM119" s="53"/>
      <c r="AN119" s="90"/>
      <c r="AO119" s="243"/>
      <c r="AP119" s="48"/>
      <c r="AQ119" s="48"/>
      <c r="AR119" s="48"/>
      <c r="AS119" s="48"/>
      <c r="AT119" s="48"/>
      <c r="AU119" s="48"/>
      <c r="AV119" s="48"/>
      <c r="AW119" s="48"/>
      <c r="AX119" s="48"/>
      <c r="AY119" s="48"/>
      <c r="AZ119" s="48"/>
      <c r="BA119" s="48"/>
      <c r="BB119" s="48"/>
      <c r="BC119" s="48"/>
      <c r="BD119" s="48"/>
      <c r="BE119" s="48"/>
      <c r="BF119" s="48"/>
      <c r="BG119" s="48"/>
      <c r="BH119" s="48"/>
      <c r="BI119" s="48"/>
    </row>
    <row r="120" ht="15.75" customHeight="1">
      <c r="A120" s="41" t="str">
        <f t="shared" si="2"/>
        <v>Véhicules usagésPublicité 1</v>
      </c>
      <c r="B120" s="57" t="s">
        <v>116</v>
      </c>
      <c r="C120" s="57"/>
      <c r="D120" s="88"/>
      <c r="E120" s="75"/>
      <c r="F120" s="57"/>
      <c r="G120" s="88"/>
      <c r="H120" s="75"/>
      <c r="I120" s="57"/>
      <c r="J120" s="88"/>
      <c r="K120" s="75"/>
      <c r="L120" s="57"/>
      <c r="M120" s="88"/>
      <c r="N120" s="75"/>
      <c r="O120" s="57"/>
      <c r="P120" s="88"/>
      <c r="Q120" s="75"/>
      <c r="R120" s="57"/>
      <c r="S120" s="88"/>
      <c r="T120" s="75"/>
      <c r="U120" s="57"/>
      <c r="V120" s="88"/>
      <c r="W120" s="75"/>
      <c r="X120" s="57"/>
      <c r="Y120" s="88"/>
      <c r="Z120" s="75"/>
      <c r="AA120" s="57"/>
      <c r="AB120" s="88"/>
      <c r="AC120" s="75"/>
      <c r="AD120" s="57"/>
      <c r="AE120" s="88"/>
      <c r="AF120" s="75"/>
      <c r="AG120" s="57"/>
      <c r="AH120" s="88"/>
      <c r="AI120" s="75"/>
      <c r="AJ120" s="57"/>
      <c r="AK120" s="88"/>
      <c r="AL120" s="75"/>
      <c r="AM120" s="57"/>
      <c r="AN120" s="88"/>
      <c r="AO120" s="242"/>
      <c r="AP120" s="48"/>
      <c r="AQ120" s="48"/>
      <c r="AR120" s="48"/>
      <c r="AS120" s="48"/>
      <c r="AT120" s="48"/>
      <c r="AU120" s="48"/>
      <c r="AV120" s="48"/>
      <c r="AW120" s="48"/>
      <c r="AX120" s="48"/>
      <c r="AY120" s="48"/>
      <c r="AZ120" s="48"/>
      <c r="BA120" s="48"/>
      <c r="BB120" s="48"/>
      <c r="BC120" s="48"/>
      <c r="BD120" s="48"/>
      <c r="BE120" s="48"/>
      <c r="BF120" s="48"/>
      <c r="BG120" s="48"/>
      <c r="BH120" s="48"/>
      <c r="BI120" s="48"/>
    </row>
    <row r="121" ht="15.75" customHeight="1">
      <c r="A121" s="41" t="str">
        <f t="shared" si="2"/>
        <v>Véhicules usagésIntérêt de gros</v>
      </c>
      <c r="B121" s="57" t="s">
        <v>117</v>
      </c>
      <c r="C121" s="57"/>
      <c r="D121" s="88"/>
      <c r="E121" s="75"/>
      <c r="F121" s="57"/>
      <c r="G121" s="88"/>
      <c r="H121" s="75"/>
      <c r="I121" s="57"/>
      <c r="J121" s="88"/>
      <c r="K121" s="75"/>
      <c r="L121" s="57"/>
      <c r="M121" s="88"/>
      <c r="N121" s="75"/>
      <c r="O121" s="57"/>
      <c r="P121" s="88"/>
      <c r="Q121" s="75"/>
      <c r="R121" s="57"/>
      <c r="S121" s="88"/>
      <c r="T121" s="75"/>
      <c r="U121" s="57"/>
      <c r="V121" s="88"/>
      <c r="W121" s="75"/>
      <c r="X121" s="57"/>
      <c r="Y121" s="88"/>
      <c r="Z121" s="75"/>
      <c r="AA121" s="57"/>
      <c r="AB121" s="88"/>
      <c r="AC121" s="75"/>
      <c r="AD121" s="57"/>
      <c r="AE121" s="88"/>
      <c r="AF121" s="75"/>
      <c r="AG121" s="57"/>
      <c r="AH121" s="88"/>
      <c r="AI121" s="75"/>
      <c r="AJ121" s="57"/>
      <c r="AK121" s="88"/>
      <c r="AL121" s="75"/>
      <c r="AM121" s="57"/>
      <c r="AN121" s="88"/>
      <c r="AO121" s="242"/>
      <c r="AP121" s="48"/>
      <c r="AQ121" s="48"/>
      <c r="AR121" s="48"/>
      <c r="AS121" s="48"/>
      <c r="AT121" s="48"/>
      <c r="AU121" s="48"/>
      <c r="AV121" s="48"/>
      <c r="AW121" s="48"/>
      <c r="AX121" s="48"/>
      <c r="AY121" s="48"/>
      <c r="AZ121" s="48"/>
      <c r="BA121" s="48"/>
      <c r="BB121" s="48"/>
      <c r="BC121" s="48"/>
      <c r="BD121" s="48"/>
      <c r="BE121" s="48"/>
      <c r="BF121" s="48"/>
      <c r="BG121" s="48"/>
      <c r="BH121" s="48"/>
      <c r="BI121" s="48"/>
    </row>
    <row r="122" ht="15.75" customHeight="1">
      <c r="A122" s="41" t="str">
        <f t="shared" si="2"/>
        <v>Véhicules usagés[...]</v>
      </c>
      <c r="B122" s="57" t="s">
        <v>56</v>
      </c>
      <c r="C122" s="121"/>
      <c r="D122" s="88"/>
      <c r="E122" s="75"/>
      <c r="F122" s="121"/>
      <c r="G122" s="88"/>
      <c r="H122" s="75"/>
      <c r="I122" s="121"/>
      <c r="J122" s="88"/>
      <c r="K122" s="75"/>
      <c r="L122" s="121"/>
      <c r="M122" s="88"/>
      <c r="N122" s="75"/>
      <c r="O122" s="121"/>
      <c r="P122" s="88"/>
      <c r="Q122" s="75"/>
      <c r="R122" s="121"/>
      <c r="S122" s="88"/>
      <c r="T122" s="75"/>
      <c r="U122" s="121"/>
      <c r="V122" s="88"/>
      <c r="W122" s="75"/>
      <c r="X122" s="121"/>
      <c r="Y122" s="88"/>
      <c r="Z122" s="75"/>
      <c r="AA122" s="121"/>
      <c r="AB122" s="88"/>
      <c r="AC122" s="75"/>
      <c r="AD122" s="121"/>
      <c r="AE122" s="88"/>
      <c r="AF122" s="75"/>
      <c r="AG122" s="121"/>
      <c r="AH122" s="88"/>
      <c r="AI122" s="75"/>
      <c r="AJ122" s="121"/>
      <c r="AK122" s="88"/>
      <c r="AL122" s="75"/>
      <c r="AM122" s="121"/>
      <c r="AN122" s="88"/>
      <c r="AO122" s="75"/>
      <c r="AP122" s="48"/>
      <c r="AQ122" s="48"/>
      <c r="AR122" s="48"/>
      <c r="AS122" s="48"/>
      <c r="AT122" s="48"/>
      <c r="AU122" s="48"/>
      <c r="AV122" s="48"/>
      <c r="AW122" s="48"/>
      <c r="AX122" s="48"/>
      <c r="AY122" s="48"/>
      <c r="AZ122" s="48"/>
      <c r="BA122" s="48"/>
      <c r="BB122" s="48"/>
      <c r="BC122" s="48"/>
      <c r="BD122" s="48"/>
      <c r="BE122" s="48"/>
      <c r="BF122" s="48"/>
      <c r="BG122" s="48"/>
      <c r="BH122" s="48"/>
      <c r="BI122" s="48"/>
    </row>
    <row r="123" ht="15.75" customHeight="1">
      <c r="A123" s="41" t="str">
        <f t="shared" si="2"/>
        <v>Véhicules usagés[...]</v>
      </c>
      <c r="B123" s="57" t="s">
        <v>56</v>
      </c>
      <c r="C123" s="121"/>
      <c r="D123" s="88"/>
      <c r="E123" s="75"/>
      <c r="F123" s="121"/>
      <c r="G123" s="88"/>
      <c r="H123" s="75"/>
      <c r="I123" s="121"/>
      <c r="J123" s="88"/>
      <c r="K123" s="75"/>
      <c r="L123" s="121"/>
      <c r="M123" s="88"/>
      <c r="N123" s="75"/>
      <c r="O123" s="121"/>
      <c r="P123" s="88"/>
      <c r="Q123" s="75"/>
      <c r="R123" s="121"/>
      <c r="S123" s="88"/>
      <c r="T123" s="75"/>
      <c r="U123" s="121"/>
      <c r="V123" s="88"/>
      <c r="W123" s="75"/>
      <c r="X123" s="121"/>
      <c r="Y123" s="88"/>
      <c r="Z123" s="75"/>
      <c r="AA123" s="121"/>
      <c r="AB123" s="88"/>
      <c r="AC123" s="75"/>
      <c r="AD123" s="121"/>
      <c r="AE123" s="88"/>
      <c r="AF123" s="75"/>
      <c r="AG123" s="121"/>
      <c r="AH123" s="88"/>
      <c r="AI123" s="75"/>
      <c r="AJ123" s="121"/>
      <c r="AK123" s="88"/>
      <c r="AL123" s="75"/>
      <c r="AM123" s="121"/>
      <c r="AN123" s="88"/>
      <c r="AO123" s="75"/>
      <c r="AP123" s="48"/>
      <c r="AQ123" s="48"/>
      <c r="AR123" s="48"/>
      <c r="AS123" s="48"/>
      <c r="AT123" s="48"/>
      <c r="AU123" s="48"/>
      <c r="AV123" s="48"/>
      <c r="AW123" s="48"/>
      <c r="AX123" s="48"/>
      <c r="AY123" s="48"/>
      <c r="AZ123" s="48"/>
      <c r="BA123" s="48"/>
      <c r="BB123" s="48"/>
      <c r="BC123" s="48"/>
      <c r="BD123" s="48"/>
      <c r="BE123" s="48"/>
      <c r="BF123" s="48"/>
      <c r="BG123" s="48"/>
      <c r="BH123" s="48"/>
      <c r="BI123" s="48"/>
    </row>
    <row r="124" ht="15.75" customHeight="1">
      <c r="A124" s="41" t="str">
        <f t="shared" si="2"/>
        <v>Véhicules usagés[...]</v>
      </c>
      <c r="B124" s="57" t="s">
        <v>56</v>
      </c>
      <c r="C124" s="121"/>
      <c r="D124" s="88"/>
      <c r="E124" s="75"/>
      <c r="F124" s="121"/>
      <c r="G124" s="88"/>
      <c r="H124" s="75"/>
      <c r="I124" s="121"/>
      <c r="J124" s="88"/>
      <c r="K124" s="75"/>
      <c r="L124" s="121"/>
      <c r="M124" s="88"/>
      <c r="N124" s="75"/>
      <c r="O124" s="121"/>
      <c r="P124" s="88"/>
      <c r="Q124" s="75"/>
      <c r="R124" s="121"/>
      <c r="S124" s="88"/>
      <c r="T124" s="75"/>
      <c r="U124" s="121"/>
      <c r="V124" s="88"/>
      <c r="W124" s="75"/>
      <c r="X124" s="121"/>
      <c r="Y124" s="88"/>
      <c r="Z124" s="75"/>
      <c r="AA124" s="121"/>
      <c r="AB124" s="88"/>
      <c r="AC124" s="75"/>
      <c r="AD124" s="121"/>
      <c r="AE124" s="88"/>
      <c r="AF124" s="75"/>
      <c r="AG124" s="121"/>
      <c r="AH124" s="88"/>
      <c r="AI124" s="75"/>
      <c r="AJ124" s="121"/>
      <c r="AK124" s="88"/>
      <c r="AL124" s="75"/>
      <c r="AM124" s="121"/>
      <c r="AN124" s="88"/>
      <c r="AO124" s="75"/>
      <c r="AP124" s="48"/>
      <c r="AQ124" s="48"/>
      <c r="AR124" s="48"/>
      <c r="AS124" s="48"/>
      <c r="AT124" s="48"/>
      <c r="AU124" s="48"/>
      <c r="AV124" s="48"/>
      <c r="AW124" s="48"/>
      <c r="AX124" s="48"/>
      <c r="AY124" s="48"/>
      <c r="AZ124" s="48"/>
      <c r="BA124" s="48"/>
      <c r="BB124" s="48"/>
      <c r="BC124" s="48"/>
      <c r="BD124" s="48"/>
      <c r="BE124" s="48"/>
      <c r="BF124" s="48"/>
      <c r="BG124" s="48"/>
      <c r="BH124" s="48"/>
      <c r="BI124" s="48"/>
    </row>
    <row r="125" ht="15.75" customHeight="1">
      <c r="A125" s="41" t="str">
        <f t="shared" si="2"/>
        <v>Véhicules usagésTOTAL VARIABLES</v>
      </c>
      <c r="B125" s="92" t="s">
        <v>118</v>
      </c>
      <c r="C125" s="93"/>
      <c r="D125" s="94"/>
      <c r="E125" s="95"/>
      <c r="F125" s="93"/>
      <c r="G125" s="94"/>
      <c r="H125" s="95"/>
      <c r="I125" s="93"/>
      <c r="J125" s="94"/>
      <c r="K125" s="95"/>
      <c r="L125" s="93"/>
      <c r="M125" s="94"/>
      <c r="N125" s="95"/>
      <c r="O125" s="93"/>
      <c r="P125" s="94"/>
      <c r="Q125" s="95"/>
      <c r="R125" s="248"/>
      <c r="S125" s="94"/>
      <c r="T125" s="95"/>
      <c r="U125" s="248"/>
      <c r="V125" s="94"/>
      <c r="W125" s="95"/>
      <c r="X125" s="248"/>
      <c r="Y125" s="94"/>
      <c r="Z125" s="95"/>
      <c r="AA125" s="248"/>
      <c r="AB125" s="94"/>
      <c r="AC125" s="95"/>
      <c r="AD125" s="248"/>
      <c r="AE125" s="94"/>
      <c r="AF125" s="95"/>
      <c r="AG125" s="93"/>
      <c r="AH125" s="94"/>
      <c r="AI125" s="95"/>
      <c r="AJ125" s="93"/>
      <c r="AK125" s="94"/>
      <c r="AL125" s="95"/>
      <c r="AM125" s="93"/>
      <c r="AN125" s="94"/>
      <c r="AO125" s="95"/>
      <c r="AP125" s="48"/>
      <c r="AQ125" s="48"/>
      <c r="AR125" s="48"/>
      <c r="AS125" s="48"/>
      <c r="AT125" s="48"/>
      <c r="AU125" s="48"/>
      <c r="AV125" s="48"/>
      <c r="AW125" s="48"/>
      <c r="AX125" s="48"/>
      <c r="AY125" s="48"/>
      <c r="AZ125" s="48"/>
      <c r="BA125" s="48"/>
      <c r="BB125" s="48"/>
      <c r="BC125" s="48"/>
      <c r="BD125" s="48"/>
      <c r="BE125" s="48"/>
      <c r="BF125" s="48"/>
      <c r="BG125" s="48"/>
      <c r="BH125" s="48"/>
      <c r="BI125" s="48"/>
    </row>
    <row r="126" ht="15.75" customHeight="1">
      <c r="A126" s="41" t="str">
        <f t="shared" si="2"/>
        <v>Véhicules usagésSalaires cadres</v>
      </c>
      <c r="B126" s="96" t="s">
        <v>119</v>
      </c>
      <c r="C126" s="57"/>
      <c r="D126" s="74"/>
      <c r="E126" s="75"/>
      <c r="F126" s="57"/>
      <c r="G126" s="74"/>
      <c r="H126" s="75"/>
      <c r="I126" s="57"/>
      <c r="J126" s="74"/>
      <c r="K126" s="75"/>
      <c r="L126" s="57"/>
      <c r="M126" s="74"/>
      <c r="N126" s="75"/>
      <c r="O126" s="57"/>
      <c r="P126" s="74"/>
      <c r="Q126" s="75"/>
      <c r="R126" s="57"/>
      <c r="S126" s="74"/>
      <c r="T126" s="75"/>
      <c r="U126" s="57"/>
      <c r="V126" s="74"/>
      <c r="W126" s="75"/>
      <c r="X126" s="57"/>
      <c r="Y126" s="74"/>
      <c r="Z126" s="75"/>
      <c r="AA126" s="57"/>
      <c r="AB126" s="74"/>
      <c r="AC126" s="75"/>
      <c r="AD126" s="57"/>
      <c r="AE126" s="74"/>
      <c r="AF126" s="75"/>
      <c r="AG126" s="57"/>
      <c r="AH126" s="74"/>
      <c r="AI126" s="75"/>
      <c r="AJ126" s="57"/>
      <c r="AK126" s="74"/>
      <c r="AL126" s="75"/>
      <c r="AM126" s="57"/>
      <c r="AN126" s="74"/>
      <c r="AO126" s="242"/>
      <c r="AP126" s="48"/>
      <c r="AQ126" s="48"/>
      <c r="AR126" s="48"/>
      <c r="AS126" s="48"/>
      <c r="AT126" s="48"/>
      <c r="AU126" s="48"/>
      <c r="AV126" s="48"/>
      <c r="AW126" s="48"/>
      <c r="AX126" s="48"/>
      <c r="AY126" s="48"/>
      <c r="AZ126" s="48"/>
      <c r="BA126" s="48"/>
      <c r="BB126" s="48"/>
      <c r="BC126" s="48"/>
      <c r="BD126" s="48"/>
      <c r="BE126" s="48"/>
      <c r="BF126" s="48"/>
      <c r="BG126" s="48"/>
      <c r="BH126" s="48"/>
      <c r="BI126" s="48"/>
    </row>
    <row r="127" ht="15.75" customHeight="1">
      <c r="A127" s="41" t="str">
        <f t="shared" si="2"/>
        <v>Véhicules usagésSalaires commis</v>
      </c>
      <c r="B127" s="97" t="s">
        <v>120</v>
      </c>
      <c r="C127" s="57"/>
      <c r="D127" s="74"/>
      <c r="E127" s="75"/>
      <c r="F127" s="57"/>
      <c r="G127" s="74"/>
      <c r="H127" s="75"/>
      <c r="I127" s="57"/>
      <c r="J127" s="74"/>
      <c r="K127" s="75"/>
      <c r="L127" s="57"/>
      <c r="M127" s="74"/>
      <c r="N127" s="75"/>
      <c r="O127" s="57"/>
      <c r="P127" s="74"/>
      <c r="Q127" s="75"/>
      <c r="R127" s="57"/>
      <c r="S127" s="74"/>
      <c r="T127" s="75"/>
      <c r="U127" s="57"/>
      <c r="V127" s="74"/>
      <c r="W127" s="75"/>
      <c r="X127" s="57"/>
      <c r="Y127" s="74"/>
      <c r="Z127" s="75"/>
      <c r="AA127" s="57"/>
      <c r="AB127" s="74"/>
      <c r="AC127" s="75"/>
      <c r="AD127" s="57"/>
      <c r="AE127" s="74"/>
      <c r="AF127" s="75"/>
      <c r="AG127" s="57"/>
      <c r="AH127" s="74"/>
      <c r="AI127" s="75"/>
      <c r="AJ127" s="57"/>
      <c r="AK127" s="74"/>
      <c r="AL127" s="75"/>
      <c r="AM127" s="57"/>
      <c r="AN127" s="74"/>
      <c r="AO127" s="242"/>
      <c r="AP127" s="48"/>
      <c r="AQ127" s="48"/>
      <c r="AR127" s="48"/>
      <c r="AS127" s="48"/>
      <c r="AT127" s="48"/>
      <c r="AU127" s="48"/>
      <c r="AV127" s="48"/>
      <c r="AW127" s="48"/>
      <c r="AX127" s="48"/>
      <c r="AY127" s="48"/>
      <c r="AZ127" s="48"/>
      <c r="BA127" s="48"/>
      <c r="BB127" s="48"/>
      <c r="BC127" s="48"/>
      <c r="BD127" s="48"/>
      <c r="BE127" s="48"/>
      <c r="BF127" s="48"/>
      <c r="BG127" s="48"/>
      <c r="BH127" s="48"/>
      <c r="BI127" s="48"/>
    </row>
    <row r="128" ht="15.75" customHeight="1">
      <c r="A128" s="41" t="str">
        <f t="shared" si="2"/>
        <v>Véhicules usagésSalaires autres</v>
      </c>
      <c r="B128" s="96" t="s">
        <v>121</v>
      </c>
      <c r="C128" s="49"/>
      <c r="D128" s="98"/>
      <c r="E128" s="99"/>
      <c r="F128" s="49"/>
      <c r="G128" s="98"/>
      <c r="H128" s="99"/>
      <c r="I128" s="49"/>
      <c r="J128" s="98"/>
      <c r="K128" s="99"/>
      <c r="L128" s="49"/>
      <c r="M128" s="98"/>
      <c r="N128" s="99"/>
      <c r="O128" s="49"/>
      <c r="P128" s="98"/>
      <c r="Q128" s="99"/>
      <c r="R128" s="49"/>
      <c r="S128" s="98"/>
      <c r="T128" s="99"/>
      <c r="U128" s="49"/>
      <c r="V128" s="98"/>
      <c r="W128" s="99"/>
      <c r="X128" s="49"/>
      <c r="Y128" s="98"/>
      <c r="Z128" s="99"/>
      <c r="AA128" s="49"/>
      <c r="AB128" s="98"/>
      <c r="AC128" s="99"/>
      <c r="AD128" s="49"/>
      <c r="AE128" s="98"/>
      <c r="AF128" s="99"/>
      <c r="AG128" s="49"/>
      <c r="AH128" s="98"/>
      <c r="AI128" s="99"/>
      <c r="AJ128" s="49"/>
      <c r="AK128" s="98"/>
      <c r="AL128" s="99"/>
      <c r="AM128" s="49"/>
      <c r="AN128" s="98"/>
      <c r="AO128" s="244"/>
      <c r="AP128" s="48"/>
      <c r="AQ128" s="48"/>
      <c r="AR128" s="48"/>
      <c r="AS128" s="48"/>
      <c r="AT128" s="48"/>
      <c r="AU128" s="48"/>
      <c r="AV128" s="48"/>
      <c r="AW128" s="48"/>
      <c r="AX128" s="48"/>
      <c r="AY128" s="48"/>
      <c r="AZ128" s="48"/>
      <c r="BA128" s="48"/>
      <c r="BB128" s="48"/>
      <c r="BC128" s="48"/>
      <c r="BD128" s="48"/>
      <c r="BE128" s="48"/>
      <c r="BF128" s="48"/>
      <c r="BG128" s="48"/>
      <c r="BH128" s="48"/>
      <c r="BI128" s="48"/>
    </row>
    <row r="129" ht="15.75" customHeight="1">
      <c r="A129" s="41" t="str">
        <f t="shared" si="2"/>
        <v>Véhicules usagésSalaires spécialistes</v>
      </c>
      <c r="B129" s="96" t="s">
        <v>122</v>
      </c>
      <c r="C129" s="57"/>
      <c r="D129" s="74"/>
      <c r="E129" s="75"/>
      <c r="F129" s="57"/>
      <c r="G129" s="74"/>
      <c r="H129" s="75"/>
      <c r="I129" s="57"/>
      <c r="J129" s="74"/>
      <c r="K129" s="75"/>
      <c r="L129" s="57"/>
      <c r="M129" s="74"/>
      <c r="N129" s="75"/>
      <c r="O129" s="57"/>
      <c r="P129" s="74"/>
      <c r="Q129" s="75"/>
      <c r="R129" s="57"/>
      <c r="S129" s="74"/>
      <c r="T129" s="75"/>
      <c r="U129" s="57"/>
      <c r="V129" s="74"/>
      <c r="W129" s="75"/>
      <c r="X129" s="57"/>
      <c r="Y129" s="74"/>
      <c r="Z129" s="75"/>
      <c r="AA129" s="57"/>
      <c r="AB129" s="74"/>
      <c r="AC129" s="75"/>
      <c r="AD129" s="57"/>
      <c r="AE129" s="74"/>
      <c r="AF129" s="75"/>
      <c r="AG129" s="57"/>
      <c r="AH129" s="74"/>
      <c r="AI129" s="75"/>
      <c r="AJ129" s="57"/>
      <c r="AK129" s="74"/>
      <c r="AL129" s="75"/>
      <c r="AM129" s="57"/>
      <c r="AN129" s="74"/>
      <c r="AO129" s="242"/>
      <c r="AP129" s="48"/>
      <c r="AQ129" s="48"/>
      <c r="AR129" s="48"/>
      <c r="AS129" s="48"/>
      <c r="AT129" s="48"/>
      <c r="AU129" s="48"/>
      <c r="AV129" s="48"/>
      <c r="AW129" s="48"/>
      <c r="AX129" s="48"/>
      <c r="AY129" s="48"/>
      <c r="AZ129" s="48"/>
      <c r="BA129" s="48"/>
      <c r="BB129" s="48"/>
      <c r="BC129" s="48"/>
      <c r="BD129" s="48"/>
      <c r="BE129" s="48"/>
      <c r="BF129" s="48"/>
      <c r="BG129" s="48"/>
      <c r="BH129" s="48"/>
      <c r="BI129" s="48"/>
    </row>
    <row r="130" ht="15.75" customHeight="1">
      <c r="A130" s="41" t="str">
        <f t="shared" si="2"/>
        <v>Véhicules usagés[...]</v>
      </c>
      <c r="B130" s="57" t="s">
        <v>56</v>
      </c>
      <c r="C130" s="57"/>
      <c r="D130" s="74"/>
      <c r="E130" s="75"/>
      <c r="F130" s="57"/>
      <c r="G130" s="74"/>
      <c r="H130" s="75"/>
      <c r="I130" s="57"/>
      <c r="J130" s="74"/>
      <c r="K130" s="75"/>
      <c r="L130" s="57"/>
      <c r="M130" s="74"/>
      <c r="N130" s="75"/>
      <c r="O130" s="57"/>
      <c r="P130" s="74"/>
      <c r="Q130" s="75"/>
      <c r="R130" s="57"/>
      <c r="S130" s="74"/>
      <c r="T130" s="75"/>
      <c r="U130" s="57"/>
      <c r="V130" s="74"/>
      <c r="W130" s="75"/>
      <c r="X130" s="57"/>
      <c r="Y130" s="74"/>
      <c r="Z130" s="75"/>
      <c r="AA130" s="57"/>
      <c r="AB130" s="74"/>
      <c r="AC130" s="75"/>
      <c r="AD130" s="57"/>
      <c r="AE130" s="74"/>
      <c r="AF130" s="75"/>
      <c r="AG130" s="57"/>
      <c r="AH130" s="74"/>
      <c r="AI130" s="75"/>
      <c r="AJ130" s="57"/>
      <c r="AK130" s="74"/>
      <c r="AL130" s="75"/>
      <c r="AM130" s="57"/>
      <c r="AN130" s="74"/>
      <c r="AO130" s="242"/>
      <c r="AP130" s="48"/>
      <c r="AQ130" s="48"/>
      <c r="AR130" s="48"/>
      <c r="AS130" s="48"/>
      <c r="AT130" s="48"/>
      <c r="AU130" s="48"/>
      <c r="AV130" s="48"/>
      <c r="AW130" s="48"/>
      <c r="AX130" s="48"/>
      <c r="AY130" s="48"/>
      <c r="AZ130" s="48"/>
      <c r="BA130" s="48"/>
      <c r="BB130" s="48"/>
      <c r="BC130" s="48"/>
      <c r="BD130" s="48"/>
      <c r="BE130" s="48"/>
      <c r="BF130" s="48"/>
      <c r="BG130" s="48"/>
      <c r="BH130" s="48"/>
      <c r="BI130" s="48"/>
    </row>
    <row r="131" ht="15.75" customHeight="1">
      <c r="A131" s="41" t="str">
        <f t="shared" si="2"/>
        <v>Véhicules usagés[...]</v>
      </c>
      <c r="B131" s="57" t="s">
        <v>56</v>
      </c>
      <c r="C131" s="57"/>
      <c r="D131" s="74"/>
      <c r="E131" s="75"/>
      <c r="F131" s="57"/>
      <c r="G131" s="74"/>
      <c r="H131" s="75"/>
      <c r="I131" s="57"/>
      <c r="J131" s="74"/>
      <c r="K131" s="75"/>
      <c r="L131" s="57"/>
      <c r="M131" s="74"/>
      <c r="N131" s="75"/>
      <c r="O131" s="57"/>
      <c r="P131" s="74"/>
      <c r="Q131" s="75"/>
      <c r="R131" s="57"/>
      <c r="S131" s="74"/>
      <c r="T131" s="75"/>
      <c r="U131" s="57"/>
      <c r="V131" s="74"/>
      <c r="W131" s="75"/>
      <c r="X131" s="57"/>
      <c r="Y131" s="74"/>
      <c r="Z131" s="75"/>
      <c r="AA131" s="57"/>
      <c r="AB131" s="74"/>
      <c r="AC131" s="75"/>
      <c r="AD131" s="57"/>
      <c r="AE131" s="74"/>
      <c r="AF131" s="75"/>
      <c r="AG131" s="57"/>
      <c r="AH131" s="74"/>
      <c r="AI131" s="75"/>
      <c r="AJ131" s="57"/>
      <c r="AK131" s="74"/>
      <c r="AL131" s="75"/>
      <c r="AM131" s="57"/>
      <c r="AN131" s="74"/>
      <c r="AO131" s="242"/>
      <c r="AP131" s="48"/>
      <c r="AQ131" s="48"/>
      <c r="AR131" s="48"/>
      <c r="AS131" s="48"/>
      <c r="AT131" s="48"/>
      <c r="AU131" s="48"/>
      <c r="AV131" s="48"/>
      <c r="AW131" s="48"/>
      <c r="AX131" s="48"/>
      <c r="AY131" s="48"/>
      <c r="AZ131" s="48"/>
      <c r="BA131" s="48"/>
      <c r="BB131" s="48"/>
      <c r="BC131" s="48"/>
      <c r="BD131" s="48"/>
      <c r="BE131" s="48"/>
      <c r="BF131" s="48"/>
      <c r="BG131" s="48"/>
      <c r="BH131" s="48"/>
      <c r="BI131" s="48"/>
    </row>
    <row r="132" ht="15.75" customHeight="1">
      <c r="A132" s="41" t="str">
        <f t="shared" si="2"/>
        <v>Véhicules usagés[...]</v>
      </c>
      <c r="B132" s="57" t="s">
        <v>56</v>
      </c>
      <c r="C132" s="57"/>
      <c r="D132" s="74"/>
      <c r="E132" s="75"/>
      <c r="F132" s="57"/>
      <c r="G132" s="74"/>
      <c r="H132" s="75"/>
      <c r="I132" s="57"/>
      <c r="J132" s="74"/>
      <c r="K132" s="75"/>
      <c r="L132" s="57"/>
      <c r="M132" s="74"/>
      <c r="N132" s="75"/>
      <c r="O132" s="57"/>
      <c r="P132" s="74"/>
      <c r="Q132" s="75"/>
      <c r="R132" s="57"/>
      <c r="S132" s="74"/>
      <c r="T132" s="75"/>
      <c r="U132" s="57"/>
      <c r="V132" s="74"/>
      <c r="W132" s="75"/>
      <c r="X132" s="57"/>
      <c r="Y132" s="74"/>
      <c r="Z132" s="75"/>
      <c r="AA132" s="57"/>
      <c r="AB132" s="74"/>
      <c r="AC132" s="75"/>
      <c r="AD132" s="57"/>
      <c r="AE132" s="74"/>
      <c r="AF132" s="75"/>
      <c r="AG132" s="57"/>
      <c r="AH132" s="74"/>
      <c r="AI132" s="75"/>
      <c r="AJ132" s="57"/>
      <c r="AK132" s="74"/>
      <c r="AL132" s="75"/>
      <c r="AM132" s="57"/>
      <c r="AN132" s="74"/>
      <c r="AO132" s="242"/>
      <c r="AP132" s="48"/>
      <c r="AQ132" s="48"/>
      <c r="AR132" s="48"/>
      <c r="AS132" s="48"/>
      <c r="AT132" s="48"/>
      <c r="AU132" s="48"/>
      <c r="AV132" s="48"/>
      <c r="AW132" s="48"/>
      <c r="AX132" s="48"/>
      <c r="AY132" s="48"/>
      <c r="AZ132" s="48"/>
      <c r="BA132" s="48"/>
      <c r="BB132" s="48"/>
      <c r="BC132" s="48"/>
      <c r="BD132" s="48"/>
      <c r="BE132" s="48"/>
      <c r="BF132" s="48"/>
      <c r="BG132" s="48"/>
      <c r="BH132" s="48"/>
      <c r="BI132" s="48"/>
    </row>
    <row r="133" ht="15.75" customHeight="1">
      <c r="A133" s="41" t="str">
        <f t="shared" si="2"/>
        <v>Véhicules usagésSalaires en absences</v>
      </c>
      <c r="B133" s="97" t="s">
        <v>123</v>
      </c>
      <c r="C133" s="57"/>
      <c r="D133" s="74"/>
      <c r="E133" s="75"/>
      <c r="F133" s="57"/>
      <c r="G133" s="74"/>
      <c r="H133" s="75"/>
      <c r="I133" s="57"/>
      <c r="J133" s="74"/>
      <c r="K133" s="75"/>
      <c r="L133" s="57"/>
      <c r="M133" s="74"/>
      <c r="N133" s="75"/>
      <c r="O133" s="57"/>
      <c r="P133" s="74"/>
      <c r="Q133" s="75"/>
      <c r="R133" s="57"/>
      <c r="S133" s="74"/>
      <c r="T133" s="75"/>
      <c r="U133" s="57"/>
      <c r="V133" s="74"/>
      <c r="W133" s="75"/>
      <c r="X133" s="57"/>
      <c r="Y133" s="74"/>
      <c r="Z133" s="75"/>
      <c r="AA133" s="57"/>
      <c r="AB133" s="74"/>
      <c r="AC133" s="75"/>
      <c r="AD133" s="57"/>
      <c r="AE133" s="74"/>
      <c r="AF133" s="75"/>
      <c r="AG133" s="57"/>
      <c r="AH133" s="74"/>
      <c r="AI133" s="75"/>
      <c r="AJ133" s="57"/>
      <c r="AK133" s="74"/>
      <c r="AL133" s="75"/>
      <c r="AM133" s="57"/>
      <c r="AN133" s="74"/>
      <c r="AO133" s="242"/>
      <c r="AP133" s="48"/>
      <c r="AQ133" s="48"/>
      <c r="AR133" s="48"/>
      <c r="AS133" s="48"/>
      <c r="AT133" s="48"/>
      <c r="AU133" s="48"/>
      <c r="AV133" s="48"/>
      <c r="AW133" s="48"/>
      <c r="AX133" s="48"/>
      <c r="AY133" s="48"/>
      <c r="AZ133" s="48"/>
      <c r="BA133" s="48"/>
      <c r="BB133" s="48"/>
      <c r="BC133" s="48"/>
      <c r="BD133" s="48"/>
      <c r="BE133" s="48"/>
      <c r="BF133" s="48"/>
      <c r="BG133" s="48"/>
      <c r="BH133" s="48"/>
      <c r="BI133" s="48"/>
    </row>
    <row r="134" ht="15.75" customHeight="1">
      <c r="A134" s="41" t="str">
        <f t="shared" si="2"/>
        <v>Véhicules usagésDéduction à la source</v>
      </c>
      <c r="B134" s="96" t="s">
        <v>124</v>
      </c>
      <c r="C134" s="49"/>
      <c r="D134" s="98"/>
      <c r="E134" s="99"/>
      <c r="F134" s="49"/>
      <c r="G134" s="98"/>
      <c r="H134" s="99"/>
      <c r="I134" s="49"/>
      <c r="J134" s="98"/>
      <c r="K134" s="99"/>
      <c r="L134" s="49"/>
      <c r="M134" s="98"/>
      <c r="N134" s="99"/>
      <c r="O134" s="49"/>
      <c r="P134" s="98"/>
      <c r="Q134" s="99"/>
      <c r="R134" s="49"/>
      <c r="S134" s="98"/>
      <c r="T134" s="99"/>
      <c r="U134" s="49"/>
      <c r="V134" s="98"/>
      <c r="W134" s="99"/>
      <c r="X134" s="49"/>
      <c r="Y134" s="98"/>
      <c r="Z134" s="99"/>
      <c r="AA134" s="49"/>
      <c r="AB134" s="98"/>
      <c r="AC134" s="99"/>
      <c r="AD134" s="49"/>
      <c r="AE134" s="98"/>
      <c r="AF134" s="99"/>
      <c r="AG134" s="49"/>
      <c r="AH134" s="98"/>
      <c r="AI134" s="99"/>
      <c r="AJ134" s="49"/>
      <c r="AK134" s="98"/>
      <c r="AL134" s="99"/>
      <c r="AM134" s="49"/>
      <c r="AN134" s="98"/>
      <c r="AO134" s="244"/>
      <c r="AP134" s="48"/>
      <c r="AQ134" s="48"/>
      <c r="AR134" s="48"/>
      <c r="AS134" s="48"/>
      <c r="AT134" s="48"/>
      <c r="AU134" s="48"/>
      <c r="AV134" s="48"/>
      <c r="AW134" s="48"/>
      <c r="AX134" s="48"/>
      <c r="AY134" s="48"/>
      <c r="AZ134" s="48"/>
      <c r="BA134" s="48"/>
      <c r="BB134" s="48"/>
      <c r="BC134" s="48"/>
      <c r="BD134" s="48"/>
      <c r="BE134" s="48"/>
      <c r="BF134" s="48"/>
      <c r="BG134" s="48"/>
      <c r="BH134" s="48"/>
      <c r="BI134" s="48"/>
    </row>
    <row r="135" ht="15.75" customHeight="1">
      <c r="A135" s="41" t="str">
        <f t="shared" si="2"/>
        <v>Véhicules usagésBénéfices marginaux</v>
      </c>
      <c r="B135" s="96" t="s">
        <v>125</v>
      </c>
      <c r="C135" s="57"/>
      <c r="D135" s="74"/>
      <c r="E135" s="75"/>
      <c r="F135" s="57"/>
      <c r="G135" s="74"/>
      <c r="H135" s="75"/>
      <c r="I135" s="57"/>
      <c r="J135" s="74"/>
      <c r="K135" s="75"/>
      <c r="L135" s="57"/>
      <c r="M135" s="74"/>
      <c r="N135" s="75"/>
      <c r="O135" s="57"/>
      <c r="P135" s="74"/>
      <c r="Q135" s="75"/>
      <c r="R135" s="57"/>
      <c r="S135" s="74"/>
      <c r="T135" s="75"/>
      <c r="U135" s="57"/>
      <c r="V135" s="74"/>
      <c r="W135" s="75"/>
      <c r="X135" s="57"/>
      <c r="Y135" s="74"/>
      <c r="Z135" s="75"/>
      <c r="AA135" s="57"/>
      <c r="AB135" s="74"/>
      <c r="AC135" s="75"/>
      <c r="AD135" s="57"/>
      <c r="AE135" s="74"/>
      <c r="AF135" s="75"/>
      <c r="AG135" s="57"/>
      <c r="AH135" s="74"/>
      <c r="AI135" s="75"/>
      <c r="AJ135" s="57"/>
      <c r="AK135" s="74"/>
      <c r="AL135" s="75"/>
      <c r="AM135" s="57"/>
      <c r="AN135" s="74"/>
      <c r="AO135" s="242"/>
      <c r="AP135" s="48"/>
      <c r="AQ135" s="48"/>
      <c r="AR135" s="48"/>
      <c r="AS135" s="48"/>
      <c r="AT135" s="48"/>
      <c r="AU135" s="48"/>
      <c r="AV135" s="48"/>
      <c r="AW135" s="48"/>
      <c r="AX135" s="48"/>
      <c r="AY135" s="48"/>
      <c r="AZ135" s="48"/>
      <c r="BA135" s="48"/>
      <c r="BB135" s="48"/>
      <c r="BC135" s="48"/>
      <c r="BD135" s="48"/>
      <c r="BE135" s="48"/>
      <c r="BF135" s="48"/>
      <c r="BG135" s="48"/>
      <c r="BH135" s="48"/>
      <c r="BI135" s="48"/>
    </row>
    <row r="136" ht="15.75" customHeight="1">
      <c r="A136" s="41" t="str">
        <f t="shared" si="2"/>
        <v>Véhicules usagésCsst</v>
      </c>
      <c r="B136" s="96" t="s">
        <v>126</v>
      </c>
      <c r="C136" s="57"/>
      <c r="D136" s="74"/>
      <c r="E136" s="75"/>
      <c r="F136" s="57"/>
      <c r="G136" s="74"/>
      <c r="H136" s="75"/>
      <c r="I136" s="57"/>
      <c r="J136" s="74"/>
      <c r="K136" s="75"/>
      <c r="L136" s="57"/>
      <c r="M136" s="74"/>
      <c r="N136" s="75"/>
      <c r="O136" s="57"/>
      <c r="P136" s="74"/>
      <c r="Q136" s="75"/>
      <c r="R136" s="57"/>
      <c r="S136" s="74"/>
      <c r="T136" s="75"/>
      <c r="U136" s="57"/>
      <c r="V136" s="74"/>
      <c r="W136" s="75"/>
      <c r="X136" s="57"/>
      <c r="Y136" s="74"/>
      <c r="Z136" s="75"/>
      <c r="AA136" s="57"/>
      <c r="AB136" s="74"/>
      <c r="AC136" s="75"/>
      <c r="AD136" s="57"/>
      <c r="AE136" s="74"/>
      <c r="AF136" s="75"/>
      <c r="AG136" s="57"/>
      <c r="AH136" s="74"/>
      <c r="AI136" s="75"/>
      <c r="AJ136" s="57"/>
      <c r="AK136" s="74"/>
      <c r="AL136" s="75"/>
      <c r="AM136" s="57"/>
      <c r="AN136" s="74"/>
      <c r="AO136" s="242"/>
      <c r="AP136" s="48"/>
      <c r="AQ136" s="48"/>
      <c r="AR136" s="48"/>
      <c r="AS136" s="48"/>
      <c r="AT136" s="48"/>
      <c r="AU136" s="48"/>
      <c r="AV136" s="48"/>
      <c r="AW136" s="48"/>
      <c r="AX136" s="48"/>
      <c r="AY136" s="48"/>
      <c r="AZ136" s="48"/>
      <c r="BA136" s="48"/>
      <c r="BB136" s="48"/>
      <c r="BC136" s="48"/>
      <c r="BD136" s="48"/>
      <c r="BE136" s="48"/>
      <c r="BF136" s="48"/>
      <c r="BG136" s="48"/>
      <c r="BH136" s="48"/>
      <c r="BI136" s="48"/>
    </row>
    <row r="137" ht="15.75" customHeight="1">
      <c r="A137" s="41"/>
      <c r="B137" s="57"/>
      <c r="C137" s="53"/>
      <c r="D137" s="100"/>
      <c r="E137" s="91"/>
      <c r="F137" s="53"/>
      <c r="G137" s="100"/>
      <c r="H137" s="91"/>
      <c r="I137" s="53"/>
      <c r="J137" s="100"/>
      <c r="K137" s="91"/>
      <c r="L137" s="53"/>
      <c r="M137" s="100"/>
      <c r="N137" s="91"/>
      <c r="O137" s="53"/>
      <c r="P137" s="100"/>
      <c r="Q137" s="91"/>
      <c r="R137" s="53"/>
      <c r="S137" s="100"/>
      <c r="T137" s="91"/>
      <c r="U137" s="53"/>
      <c r="V137" s="100"/>
      <c r="W137" s="91"/>
      <c r="X137" s="53"/>
      <c r="Y137" s="100"/>
      <c r="Z137" s="91"/>
      <c r="AA137" s="53"/>
      <c r="AB137" s="100"/>
      <c r="AC137" s="91"/>
      <c r="AD137" s="53"/>
      <c r="AE137" s="100"/>
      <c r="AF137" s="91"/>
      <c r="AG137" s="53"/>
      <c r="AH137" s="100"/>
      <c r="AI137" s="91"/>
      <c r="AJ137" s="53"/>
      <c r="AK137" s="100"/>
      <c r="AL137" s="91"/>
      <c r="AM137" s="53"/>
      <c r="AN137" s="100"/>
      <c r="AO137" s="91"/>
      <c r="AP137" s="48"/>
      <c r="AQ137" s="48"/>
      <c r="AR137" s="48"/>
      <c r="AS137" s="48"/>
      <c r="AT137" s="48"/>
      <c r="AU137" s="48"/>
      <c r="AV137" s="48"/>
      <c r="AW137" s="48"/>
      <c r="AX137" s="48"/>
      <c r="AY137" s="48"/>
      <c r="AZ137" s="48"/>
      <c r="BA137" s="48"/>
      <c r="BB137" s="48"/>
      <c r="BC137" s="48"/>
      <c r="BD137" s="48"/>
      <c r="BE137" s="48"/>
      <c r="BF137" s="48"/>
      <c r="BG137" s="48"/>
      <c r="BH137" s="48"/>
      <c r="BI137" s="48"/>
    </row>
    <row r="138" ht="15.75" customHeight="1">
      <c r="A138" s="41" t="str">
        <f t="shared" ref="A138:A168" si="3">+$C$92&amp;B138</f>
        <v>Véhicules usagésTOTAL PERSONNEL</v>
      </c>
      <c r="B138" s="92" t="s">
        <v>127</v>
      </c>
      <c r="C138" s="93"/>
      <c r="D138" s="94"/>
      <c r="E138" s="95"/>
      <c r="F138" s="93"/>
      <c r="G138" s="94"/>
      <c r="H138" s="95"/>
      <c r="I138" s="93"/>
      <c r="J138" s="94"/>
      <c r="K138" s="95"/>
      <c r="L138" s="93"/>
      <c r="M138" s="94"/>
      <c r="N138" s="95"/>
      <c r="O138" s="93"/>
      <c r="P138" s="94"/>
      <c r="Q138" s="95"/>
      <c r="R138" s="93"/>
      <c r="S138" s="94"/>
      <c r="T138" s="95"/>
      <c r="U138" s="93"/>
      <c r="V138" s="94"/>
      <c r="W138" s="95"/>
      <c r="X138" s="93"/>
      <c r="Y138" s="94"/>
      <c r="Z138" s="95"/>
      <c r="AA138" s="93"/>
      <c r="AB138" s="94"/>
      <c r="AC138" s="95"/>
      <c r="AD138" s="93"/>
      <c r="AE138" s="94"/>
      <c r="AF138" s="95"/>
      <c r="AG138" s="93"/>
      <c r="AH138" s="94"/>
      <c r="AI138" s="95"/>
      <c r="AJ138" s="93"/>
      <c r="AK138" s="94"/>
      <c r="AL138" s="95"/>
      <c r="AM138" s="93"/>
      <c r="AN138" s="94"/>
      <c r="AO138" s="95"/>
      <c r="AP138" s="48"/>
      <c r="AQ138" s="48"/>
      <c r="AR138" s="48"/>
      <c r="AS138" s="48"/>
      <c r="AT138" s="48"/>
      <c r="AU138" s="48"/>
      <c r="AV138" s="48"/>
      <c r="AW138" s="48"/>
      <c r="AX138" s="48"/>
      <c r="AY138" s="48"/>
      <c r="AZ138" s="48"/>
      <c r="BA138" s="48"/>
      <c r="BB138" s="48"/>
      <c r="BC138" s="48"/>
      <c r="BD138" s="48"/>
      <c r="BE138" s="48"/>
      <c r="BF138" s="48"/>
      <c r="BG138" s="48"/>
      <c r="BH138" s="48"/>
      <c r="BI138" s="48"/>
    </row>
    <row r="139" ht="15.75" customHeight="1">
      <c r="A139" s="41" t="str">
        <f t="shared" si="3"/>
        <v>Véhicules usagésPublicité 2</v>
      </c>
      <c r="B139" s="57" t="s">
        <v>128</v>
      </c>
      <c r="C139" s="57"/>
      <c r="D139" s="74"/>
      <c r="E139" s="75"/>
      <c r="F139" s="57"/>
      <c r="G139" s="74"/>
      <c r="H139" s="75"/>
      <c r="I139" s="57"/>
      <c r="J139" s="74"/>
      <c r="K139" s="75"/>
      <c r="L139" s="57"/>
      <c r="M139" s="74"/>
      <c r="N139" s="75"/>
      <c r="O139" s="57"/>
      <c r="P139" s="74"/>
      <c r="Q139" s="75"/>
      <c r="R139" s="57"/>
      <c r="S139" s="74"/>
      <c r="T139" s="75"/>
      <c r="U139" s="57"/>
      <c r="V139" s="74"/>
      <c r="W139" s="75"/>
      <c r="X139" s="57"/>
      <c r="Y139" s="74"/>
      <c r="Z139" s="75"/>
      <c r="AA139" s="57"/>
      <c r="AB139" s="74"/>
      <c r="AC139" s="75"/>
      <c r="AD139" s="57"/>
      <c r="AE139" s="74"/>
      <c r="AF139" s="75"/>
      <c r="AG139" s="57"/>
      <c r="AH139" s="74"/>
      <c r="AI139" s="75"/>
      <c r="AJ139" s="57"/>
      <c r="AK139" s="74"/>
      <c r="AL139" s="75"/>
      <c r="AM139" s="57"/>
      <c r="AN139" s="74"/>
      <c r="AO139" s="242"/>
      <c r="AP139" s="48"/>
      <c r="AQ139" s="48"/>
      <c r="AR139" s="48"/>
      <c r="AS139" s="48"/>
      <c r="AT139" s="48"/>
      <c r="AU139" s="48"/>
      <c r="AV139" s="48"/>
      <c r="AW139" s="48"/>
      <c r="AX139" s="48"/>
      <c r="AY139" s="48"/>
      <c r="AZ139" s="48"/>
      <c r="BA139" s="48"/>
      <c r="BB139" s="48"/>
      <c r="BC139" s="48"/>
      <c r="BD139" s="48"/>
      <c r="BE139" s="48"/>
      <c r="BF139" s="48"/>
      <c r="BG139" s="48"/>
      <c r="BH139" s="48"/>
      <c r="BI139" s="48"/>
    </row>
    <row r="140" ht="15.75" customHeight="1">
      <c r="A140" s="41" t="str">
        <f t="shared" si="3"/>
        <v>Véhicules usagésService gratuit 2</v>
      </c>
      <c r="B140" s="57" t="s">
        <v>129</v>
      </c>
      <c r="C140" s="57"/>
      <c r="D140" s="74"/>
      <c r="E140" s="75"/>
      <c r="F140" s="57"/>
      <c r="G140" s="74"/>
      <c r="H140" s="75"/>
      <c r="I140" s="57"/>
      <c r="J140" s="74"/>
      <c r="K140" s="75"/>
      <c r="L140" s="57"/>
      <c r="M140" s="74"/>
      <c r="N140" s="75"/>
      <c r="O140" s="57"/>
      <c r="P140" s="74"/>
      <c r="Q140" s="75"/>
      <c r="R140" s="57"/>
      <c r="S140" s="74"/>
      <c r="T140" s="75"/>
      <c r="U140" s="57"/>
      <c r="V140" s="74"/>
      <c r="W140" s="75"/>
      <c r="X140" s="57"/>
      <c r="Y140" s="74"/>
      <c r="Z140" s="75"/>
      <c r="AA140" s="57"/>
      <c r="AB140" s="74"/>
      <c r="AC140" s="75"/>
      <c r="AD140" s="57"/>
      <c r="AE140" s="74"/>
      <c r="AF140" s="75"/>
      <c r="AG140" s="57"/>
      <c r="AH140" s="74"/>
      <c r="AI140" s="75"/>
      <c r="AJ140" s="57"/>
      <c r="AK140" s="74"/>
      <c r="AL140" s="75"/>
      <c r="AM140" s="57"/>
      <c r="AN140" s="74"/>
      <c r="AO140" s="242"/>
      <c r="AP140" s="48"/>
      <c r="AQ140" s="48"/>
      <c r="AR140" s="48"/>
      <c r="AS140" s="48"/>
      <c r="AT140" s="48"/>
      <c r="AU140" s="48"/>
      <c r="AV140" s="48"/>
      <c r="AW140" s="48"/>
      <c r="AX140" s="48"/>
      <c r="AY140" s="48"/>
      <c r="AZ140" s="48"/>
      <c r="BA140" s="48"/>
      <c r="BB140" s="48"/>
      <c r="BC140" s="48"/>
      <c r="BD140" s="48"/>
      <c r="BE140" s="48"/>
      <c r="BF140" s="48"/>
      <c r="BG140" s="48"/>
      <c r="BH140" s="48"/>
      <c r="BI140" s="48"/>
    </row>
    <row r="141" ht="15.75" customHeight="1">
      <c r="A141" s="41" t="str">
        <f t="shared" si="3"/>
        <v>Véhicules usagésFrais véhicules de cie</v>
      </c>
      <c r="B141" s="53" t="s">
        <v>130</v>
      </c>
      <c r="C141" s="53"/>
      <c r="D141" s="100"/>
      <c r="E141" s="91"/>
      <c r="F141" s="53"/>
      <c r="G141" s="100"/>
      <c r="H141" s="91"/>
      <c r="I141" s="53"/>
      <c r="J141" s="100"/>
      <c r="K141" s="91"/>
      <c r="L141" s="53"/>
      <c r="M141" s="100"/>
      <c r="N141" s="91"/>
      <c r="O141" s="53"/>
      <c r="P141" s="100"/>
      <c r="Q141" s="91"/>
      <c r="R141" s="53"/>
      <c r="S141" s="100"/>
      <c r="T141" s="91"/>
      <c r="U141" s="53"/>
      <c r="V141" s="100"/>
      <c r="W141" s="91"/>
      <c r="X141" s="53"/>
      <c r="Y141" s="100"/>
      <c r="Z141" s="91"/>
      <c r="AA141" s="53"/>
      <c r="AB141" s="100"/>
      <c r="AC141" s="91"/>
      <c r="AD141" s="53"/>
      <c r="AE141" s="100"/>
      <c r="AF141" s="91"/>
      <c r="AG141" s="53"/>
      <c r="AH141" s="100"/>
      <c r="AI141" s="91"/>
      <c r="AJ141" s="53"/>
      <c r="AK141" s="100"/>
      <c r="AL141" s="91"/>
      <c r="AM141" s="53"/>
      <c r="AN141" s="100"/>
      <c r="AO141" s="243"/>
      <c r="AP141" s="48"/>
      <c r="AQ141" s="48"/>
      <c r="AR141" s="48"/>
      <c r="AS141" s="48"/>
      <c r="AT141" s="48"/>
      <c r="AU141" s="48"/>
      <c r="AV141" s="48"/>
      <c r="AW141" s="48"/>
      <c r="AX141" s="48"/>
      <c r="AY141" s="48"/>
      <c r="AZ141" s="48"/>
      <c r="BA141" s="48"/>
      <c r="BB141" s="48"/>
      <c r="BC141" s="48"/>
      <c r="BD141" s="48"/>
      <c r="BE141" s="48"/>
      <c r="BF141" s="48"/>
      <c r="BG141" s="48"/>
      <c r="BH141" s="48"/>
      <c r="BI141" s="48"/>
    </row>
    <row r="142" ht="15.75" customHeight="1">
      <c r="A142" s="41" t="str">
        <f t="shared" si="3"/>
        <v>Véhicules usagésInformatique</v>
      </c>
      <c r="B142" s="57" t="s">
        <v>131</v>
      </c>
      <c r="C142" s="57"/>
      <c r="D142" s="74"/>
      <c r="E142" s="75"/>
      <c r="F142" s="57"/>
      <c r="G142" s="74"/>
      <c r="H142" s="75"/>
      <c r="I142" s="57"/>
      <c r="J142" s="74"/>
      <c r="K142" s="75"/>
      <c r="L142" s="57"/>
      <c r="M142" s="74"/>
      <c r="N142" s="75"/>
      <c r="O142" s="57"/>
      <c r="P142" s="74"/>
      <c r="Q142" s="75"/>
      <c r="R142" s="57"/>
      <c r="S142" s="74"/>
      <c r="T142" s="75"/>
      <c r="U142" s="57"/>
      <c r="V142" s="74"/>
      <c r="W142" s="75"/>
      <c r="X142" s="57"/>
      <c r="Y142" s="74"/>
      <c r="Z142" s="75"/>
      <c r="AA142" s="57"/>
      <c r="AB142" s="74"/>
      <c r="AC142" s="75"/>
      <c r="AD142" s="57"/>
      <c r="AE142" s="74"/>
      <c r="AF142" s="75"/>
      <c r="AG142" s="57"/>
      <c r="AH142" s="74"/>
      <c r="AI142" s="75"/>
      <c r="AJ142" s="57"/>
      <c r="AK142" s="74"/>
      <c r="AL142" s="75"/>
      <c r="AM142" s="57"/>
      <c r="AN142" s="74"/>
      <c r="AO142" s="242"/>
      <c r="AP142" s="48"/>
      <c r="AQ142" s="48"/>
      <c r="AR142" s="48"/>
      <c r="AS142" s="48"/>
      <c r="AT142" s="48"/>
      <c r="AU142" s="48"/>
      <c r="AV142" s="48"/>
      <c r="AW142" s="48"/>
      <c r="AX142" s="48"/>
      <c r="AY142" s="48"/>
      <c r="AZ142" s="48"/>
      <c r="BA142" s="48"/>
      <c r="BB142" s="48"/>
      <c r="BC142" s="48"/>
      <c r="BD142" s="48"/>
      <c r="BE142" s="48"/>
      <c r="BF142" s="48"/>
      <c r="BG142" s="48"/>
      <c r="BH142" s="48"/>
      <c r="BI142" s="48"/>
    </row>
    <row r="143" ht="15.75" customHeight="1">
      <c r="A143" s="41" t="str">
        <f t="shared" si="3"/>
        <v>Véhicules usagésFrais de déplacement</v>
      </c>
      <c r="B143" s="57" t="s">
        <v>132</v>
      </c>
      <c r="C143" s="57"/>
      <c r="D143" s="74"/>
      <c r="E143" s="75"/>
      <c r="F143" s="57"/>
      <c r="G143" s="74"/>
      <c r="H143" s="75"/>
      <c r="I143" s="57"/>
      <c r="J143" s="74"/>
      <c r="K143" s="75"/>
      <c r="L143" s="57"/>
      <c r="M143" s="74"/>
      <c r="N143" s="75"/>
      <c r="O143" s="57"/>
      <c r="P143" s="74"/>
      <c r="Q143" s="75"/>
      <c r="R143" s="57"/>
      <c r="S143" s="74"/>
      <c r="T143" s="75"/>
      <c r="U143" s="57"/>
      <c r="V143" s="74"/>
      <c r="W143" s="75"/>
      <c r="X143" s="57"/>
      <c r="Y143" s="74"/>
      <c r="Z143" s="75"/>
      <c r="AA143" s="57"/>
      <c r="AB143" s="74"/>
      <c r="AC143" s="75"/>
      <c r="AD143" s="57"/>
      <c r="AE143" s="74"/>
      <c r="AF143" s="75"/>
      <c r="AG143" s="57"/>
      <c r="AH143" s="74"/>
      <c r="AI143" s="75"/>
      <c r="AJ143" s="57"/>
      <c r="AK143" s="74"/>
      <c r="AL143" s="75"/>
      <c r="AM143" s="57"/>
      <c r="AN143" s="74"/>
      <c r="AO143" s="242"/>
      <c r="AP143" s="48"/>
      <c r="AQ143" s="48"/>
      <c r="AR143" s="48"/>
      <c r="AS143" s="48"/>
      <c r="AT143" s="48"/>
      <c r="AU143" s="48"/>
      <c r="AV143" s="48"/>
      <c r="AW143" s="48"/>
      <c r="AX143" s="48"/>
      <c r="AY143" s="48"/>
      <c r="AZ143" s="48"/>
      <c r="BA143" s="48"/>
      <c r="BB143" s="48"/>
      <c r="BC143" s="48"/>
      <c r="BD143" s="48"/>
      <c r="BE143" s="48"/>
      <c r="BF143" s="48"/>
      <c r="BG143" s="48"/>
      <c r="BH143" s="48"/>
      <c r="BI143" s="48"/>
    </row>
    <row r="144" ht="15.75" customHeight="1">
      <c r="A144" s="41" t="str">
        <f t="shared" si="3"/>
        <v>Véhicules usagésServices extérieurs</v>
      </c>
      <c r="B144" s="53" t="s">
        <v>133</v>
      </c>
      <c r="C144" s="53"/>
      <c r="D144" s="100"/>
      <c r="E144" s="91"/>
      <c r="F144" s="53"/>
      <c r="G144" s="100"/>
      <c r="H144" s="91"/>
      <c r="I144" s="53"/>
      <c r="J144" s="100"/>
      <c r="K144" s="91"/>
      <c r="L144" s="53"/>
      <c r="M144" s="100"/>
      <c r="N144" s="91"/>
      <c r="O144" s="53"/>
      <c r="P144" s="100"/>
      <c r="Q144" s="91"/>
      <c r="R144" s="53"/>
      <c r="S144" s="100"/>
      <c r="T144" s="91"/>
      <c r="U144" s="53"/>
      <c r="V144" s="100"/>
      <c r="W144" s="91"/>
      <c r="X144" s="53"/>
      <c r="Y144" s="100"/>
      <c r="Z144" s="91"/>
      <c r="AA144" s="53"/>
      <c r="AB144" s="100"/>
      <c r="AC144" s="91"/>
      <c r="AD144" s="53"/>
      <c r="AE144" s="100"/>
      <c r="AF144" s="91"/>
      <c r="AG144" s="53"/>
      <c r="AH144" s="100"/>
      <c r="AI144" s="91"/>
      <c r="AJ144" s="53"/>
      <c r="AK144" s="100"/>
      <c r="AL144" s="91"/>
      <c r="AM144" s="53"/>
      <c r="AN144" s="100"/>
      <c r="AO144" s="243"/>
      <c r="AP144" s="48"/>
      <c r="AQ144" s="48"/>
      <c r="AR144" s="48"/>
      <c r="AS144" s="48"/>
      <c r="AT144" s="48"/>
      <c r="AU144" s="48"/>
      <c r="AV144" s="48"/>
      <c r="AW144" s="48"/>
      <c r="AX144" s="48"/>
      <c r="AY144" s="48"/>
      <c r="AZ144" s="48"/>
      <c r="BA144" s="48"/>
      <c r="BB144" s="48"/>
      <c r="BC144" s="48"/>
      <c r="BD144" s="48"/>
      <c r="BE144" s="48"/>
      <c r="BF144" s="48"/>
      <c r="BG144" s="48"/>
      <c r="BH144" s="48"/>
      <c r="BI144" s="48"/>
    </row>
    <row r="145" ht="15.75" customHeight="1">
      <c r="A145" s="41" t="str">
        <f t="shared" si="3"/>
        <v>Véhicules usagésFournitures autres</v>
      </c>
      <c r="B145" s="57" t="s">
        <v>134</v>
      </c>
      <c r="C145" s="57"/>
      <c r="D145" s="74"/>
      <c r="E145" s="75"/>
      <c r="F145" s="57"/>
      <c r="G145" s="74"/>
      <c r="H145" s="75"/>
      <c r="I145" s="57"/>
      <c r="J145" s="74"/>
      <c r="K145" s="75"/>
      <c r="L145" s="57"/>
      <c r="M145" s="74"/>
      <c r="N145" s="75"/>
      <c r="O145" s="57"/>
      <c r="P145" s="74"/>
      <c r="Q145" s="75"/>
      <c r="R145" s="57"/>
      <c r="S145" s="74"/>
      <c r="T145" s="75"/>
      <c r="U145" s="57"/>
      <c r="V145" s="74"/>
      <c r="W145" s="75"/>
      <c r="X145" s="57"/>
      <c r="Y145" s="74"/>
      <c r="Z145" s="75"/>
      <c r="AA145" s="57"/>
      <c r="AB145" s="74"/>
      <c r="AC145" s="75"/>
      <c r="AD145" s="57"/>
      <c r="AE145" s="74"/>
      <c r="AF145" s="75"/>
      <c r="AG145" s="57"/>
      <c r="AH145" s="74"/>
      <c r="AI145" s="75"/>
      <c r="AJ145" s="57"/>
      <c r="AK145" s="74"/>
      <c r="AL145" s="75"/>
      <c r="AM145" s="57"/>
      <c r="AN145" s="74"/>
      <c r="AO145" s="242"/>
      <c r="AP145" s="48"/>
      <c r="AQ145" s="48"/>
      <c r="AR145" s="48"/>
      <c r="AS145" s="48"/>
      <c r="AT145" s="48"/>
      <c r="AU145" s="48"/>
      <c r="AV145" s="48"/>
      <c r="AW145" s="48"/>
      <c r="AX145" s="48"/>
      <c r="AY145" s="48"/>
      <c r="AZ145" s="48"/>
      <c r="BA145" s="48"/>
      <c r="BB145" s="48"/>
      <c r="BC145" s="48"/>
      <c r="BD145" s="48"/>
      <c r="BE145" s="48"/>
      <c r="BF145" s="48"/>
      <c r="BG145" s="48"/>
      <c r="BH145" s="48"/>
      <c r="BI145" s="48"/>
    </row>
    <row r="146" ht="15.75" customHeight="1">
      <c r="A146" s="41" t="str">
        <f t="shared" si="3"/>
        <v>Véhicules usagésUniformes</v>
      </c>
      <c r="B146" s="57" t="s">
        <v>135</v>
      </c>
      <c r="C146" s="57"/>
      <c r="D146" s="74"/>
      <c r="E146" s="75"/>
      <c r="F146" s="57"/>
      <c r="G146" s="74"/>
      <c r="H146" s="75"/>
      <c r="I146" s="57"/>
      <c r="J146" s="74"/>
      <c r="K146" s="75"/>
      <c r="L146" s="57"/>
      <c r="M146" s="74"/>
      <c r="N146" s="75"/>
      <c r="O146" s="57"/>
      <c r="P146" s="74"/>
      <c r="Q146" s="75"/>
      <c r="R146" s="57"/>
      <c r="S146" s="74"/>
      <c r="T146" s="75"/>
      <c r="U146" s="57"/>
      <c r="V146" s="74"/>
      <c r="W146" s="75"/>
      <c r="X146" s="57"/>
      <c r="Y146" s="74"/>
      <c r="Z146" s="75"/>
      <c r="AA146" s="57"/>
      <c r="AB146" s="74"/>
      <c r="AC146" s="75"/>
      <c r="AD146" s="57"/>
      <c r="AE146" s="74"/>
      <c r="AF146" s="75"/>
      <c r="AG146" s="57"/>
      <c r="AH146" s="74"/>
      <c r="AI146" s="75"/>
      <c r="AJ146" s="57"/>
      <c r="AK146" s="74"/>
      <c r="AL146" s="75"/>
      <c r="AM146" s="57"/>
      <c r="AN146" s="74"/>
      <c r="AO146" s="242"/>
      <c r="AP146" s="48"/>
      <c r="AQ146" s="48"/>
      <c r="AR146" s="48"/>
      <c r="AS146" s="48"/>
      <c r="AT146" s="48"/>
      <c r="AU146" s="48"/>
      <c r="AV146" s="48"/>
      <c r="AW146" s="48"/>
      <c r="AX146" s="48"/>
      <c r="AY146" s="48"/>
      <c r="AZ146" s="48"/>
      <c r="BA146" s="48"/>
      <c r="BB146" s="48"/>
      <c r="BC146" s="48"/>
      <c r="BD146" s="48"/>
      <c r="BE146" s="48"/>
      <c r="BF146" s="48"/>
      <c r="BG146" s="48"/>
      <c r="BH146" s="48"/>
      <c r="BI146" s="48"/>
    </row>
    <row r="147" ht="15.75" customHeight="1">
      <c r="A147" s="41" t="str">
        <f t="shared" si="3"/>
        <v>Véhicules usagésPapeterie</v>
      </c>
      <c r="B147" s="57" t="s">
        <v>136</v>
      </c>
      <c r="C147" s="57"/>
      <c r="D147" s="74"/>
      <c r="E147" s="75"/>
      <c r="F147" s="57"/>
      <c r="G147" s="74"/>
      <c r="H147" s="75"/>
      <c r="I147" s="57"/>
      <c r="J147" s="74"/>
      <c r="K147" s="75"/>
      <c r="L147" s="57"/>
      <c r="M147" s="74"/>
      <c r="N147" s="75"/>
      <c r="O147" s="57"/>
      <c r="P147" s="74"/>
      <c r="Q147" s="75"/>
      <c r="R147" s="57"/>
      <c r="S147" s="74"/>
      <c r="T147" s="75"/>
      <c r="U147" s="57"/>
      <c r="V147" s="74"/>
      <c r="W147" s="75"/>
      <c r="X147" s="57"/>
      <c r="Y147" s="74"/>
      <c r="Z147" s="75"/>
      <c r="AA147" s="57"/>
      <c r="AB147" s="74"/>
      <c r="AC147" s="75"/>
      <c r="AD147" s="57"/>
      <c r="AE147" s="74"/>
      <c r="AF147" s="75"/>
      <c r="AG147" s="57"/>
      <c r="AH147" s="74"/>
      <c r="AI147" s="75"/>
      <c r="AJ147" s="57"/>
      <c r="AK147" s="74"/>
      <c r="AL147" s="75"/>
      <c r="AM147" s="57"/>
      <c r="AN147" s="74"/>
      <c r="AO147" s="242"/>
      <c r="AP147" s="48"/>
      <c r="AQ147" s="48"/>
      <c r="AR147" s="48"/>
      <c r="AS147" s="48"/>
      <c r="AT147" s="48"/>
      <c r="AU147" s="48"/>
      <c r="AV147" s="48"/>
      <c r="AW147" s="48"/>
      <c r="AX147" s="48"/>
      <c r="AY147" s="48"/>
      <c r="AZ147" s="48"/>
      <c r="BA147" s="48"/>
      <c r="BB147" s="48"/>
      <c r="BC147" s="48"/>
      <c r="BD147" s="48"/>
      <c r="BE147" s="48"/>
      <c r="BF147" s="48"/>
      <c r="BG147" s="48"/>
      <c r="BH147" s="48"/>
      <c r="BI147" s="48"/>
    </row>
    <row r="148" ht="15.75" customHeight="1">
      <c r="A148" s="41" t="str">
        <f t="shared" si="3"/>
        <v>Véhicules usagésTéléphone</v>
      </c>
      <c r="B148" s="57" t="s">
        <v>137</v>
      </c>
      <c r="C148" s="57"/>
      <c r="D148" s="74"/>
      <c r="E148" s="75"/>
      <c r="F148" s="57"/>
      <c r="G148" s="74"/>
      <c r="H148" s="75"/>
      <c r="I148" s="57"/>
      <c r="J148" s="74"/>
      <c r="K148" s="75"/>
      <c r="L148" s="57"/>
      <c r="M148" s="74"/>
      <c r="N148" s="75"/>
      <c r="O148" s="57"/>
      <c r="P148" s="74"/>
      <c r="Q148" s="75"/>
      <c r="R148" s="57"/>
      <c r="S148" s="74"/>
      <c r="T148" s="75"/>
      <c r="U148" s="57"/>
      <c r="V148" s="74"/>
      <c r="W148" s="75"/>
      <c r="X148" s="57"/>
      <c r="Y148" s="74"/>
      <c r="Z148" s="75"/>
      <c r="AA148" s="57"/>
      <c r="AB148" s="74"/>
      <c r="AC148" s="75"/>
      <c r="AD148" s="57"/>
      <c r="AE148" s="74"/>
      <c r="AF148" s="75"/>
      <c r="AG148" s="57"/>
      <c r="AH148" s="74"/>
      <c r="AI148" s="75"/>
      <c r="AJ148" s="57"/>
      <c r="AK148" s="74"/>
      <c r="AL148" s="75"/>
      <c r="AM148" s="57"/>
      <c r="AN148" s="74"/>
      <c r="AO148" s="242"/>
      <c r="AP148" s="48"/>
      <c r="AQ148" s="48"/>
      <c r="AR148" s="48"/>
      <c r="AS148" s="48"/>
      <c r="AT148" s="48"/>
      <c r="AU148" s="48"/>
      <c r="AV148" s="48"/>
      <c r="AW148" s="48"/>
      <c r="AX148" s="48"/>
      <c r="AY148" s="48"/>
      <c r="AZ148" s="48"/>
      <c r="BA148" s="48"/>
      <c r="BB148" s="48"/>
      <c r="BC148" s="48"/>
      <c r="BD148" s="48"/>
      <c r="BE148" s="48"/>
      <c r="BF148" s="48"/>
      <c r="BG148" s="48"/>
      <c r="BH148" s="48"/>
      <c r="BI148" s="48"/>
    </row>
    <row r="149" ht="15.75" customHeight="1">
      <c r="A149" s="41" t="str">
        <f t="shared" si="3"/>
        <v>Véhicules usagésFrais postaux</v>
      </c>
      <c r="B149" s="57" t="s">
        <v>138</v>
      </c>
      <c r="C149" s="57"/>
      <c r="D149" s="74"/>
      <c r="E149" s="75"/>
      <c r="F149" s="57"/>
      <c r="G149" s="74"/>
      <c r="H149" s="75"/>
      <c r="I149" s="57"/>
      <c r="J149" s="74"/>
      <c r="K149" s="75"/>
      <c r="L149" s="57"/>
      <c r="M149" s="74"/>
      <c r="N149" s="75"/>
      <c r="O149" s="57"/>
      <c r="P149" s="74"/>
      <c r="Q149" s="75"/>
      <c r="R149" s="57"/>
      <c r="S149" s="74"/>
      <c r="T149" s="75"/>
      <c r="U149" s="57"/>
      <c r="V149" s="74"/>
      <c r="W149" s="75"/>
      <c r="X149" s="57"/>
      <c r="Y149" s="74"/>
      <c r="Z149" s="75"/>
      <c r="AA149" s="57"/>
      <c r="AB149" s="74"/>
      <c r="AC149" s="75"/>
      <c r="AD149" s="57"/>
      <c r="AE149" s="74"/>
      <c r="AF149" s="75"/>
      <c r="AG149" s="57"/>
      <c r="AH149" s="74"/>
      <c r="AI149" s="75"/>
      <c r="AJ149" s="57"/>
      <c r="AK149" s="74"/>
      <c r="AL149" s="75"/>
      <c r="AM149" s="57"/>
      <c r="AN149" s="74"/>
      <c r="AO149" s="242"/>
      <c r="AP149" s="48"/>
      <c r="AQ149" s="48"/>
      <c r="AR149" s="48"/>
      <c r="AS149" s="48"/>
      <c r="AT149" s="48"/>
      <c r="AU149" s="48"/>
      <c r="AV149" s="48"/>
      <c r="AW149" s="48"/>
      <c r="AX149" s="48"/>
      <c r="AY149" s="48"/>
      <c r="AZ149" s="48"/>
      <c r="BA149" s="48"/>
      <c r="BB149" s="48"/>
      <c r="BC149" s="48"/>
      <c r="BD149" s="48"/>
      <c r="BE149" s="48"/>
      <c r="BF149" s="48"/>
      <c r="BG149" s="48"/>
      <c r="BH149" s="48"/>
      <c r="BI149" s="48"/>
    </row>
    <row r="150" ht="15.75" customHeight="1">
      <c r="A150" s="41" t="str">
        <f t="shared" si="3"/>
        <v>Véhicules usagésDivers</v>
      </c>
      <c r="B150" s="57" t="s">
        <v>139</v>
      </c>
      <c r="C150" s="57"/>
      <c r="D150" s="74"/>
      <c r="E150" s="75"/>
      <c r="F150" s="57"/>
      <c r="G150" s="74"/>
      <c r="H150" s="75"/>
      <c r="I150" s="57"/>
      <c r="J150" s="74"/>
      <c r="K150" s="75"/>
      <c r="L150" s="57"/>
      <c r="M150" s="74"/>
      <c r="N150" s="75"/>
      <c r="O150" s="57"/>
      <c r="P150" s="74"/>
      <c r="Q150" s="75"/>
      <c r="R150" s="57"/>
      <c r="S150" s="74"/>
      <c r="T150" s="75"/>
      <c r="U150" s="57"/>
      <c r="V150" s="74"/>
      <c r="W150" s="75"/>
      <c r="X150" s="57"/>
      <c r="Y150" s="74"/>
      <c r="Z150" s="75"/>
      <c r="AA150" s="57"/>
      <c r="AB150" s="74"/>
      <c r="AC150" s="75"/>
      <c r="AD150" s="57"/>
      <c r="AE150" s="74"/>
      <c r="AF150" s="75"/>
      <c r="AG150" s="57"/>
      <c r="AH150" s="74"/>
      <c r="AI150" s="75"/>
      <c r="AJ150" s="57"/>
      <c r="AK150" s="74"/>
      <c r="AL150" s="75"/>
      <c r="AM150" s="57"/>
      <c r="AN150" s="74"/>
      <c r="AO150" s="242"/>
      <c r="AP150" s="48"/>
      <c r="AQ150" s="48"/>
      <c r="AR150" s="48"/>
      <c r="AS150" s="48"/>
      <c r="AT150" s="48"/>
      <c r="AU150" s="48"/>
      <c r="AV150" s="48"/>
      <c r="AW150" s="48"/>
      <c r="AX150" s="48"/>
      <c r="AY150" s="48"/>
      <c r="AZ150" s="48"/>
      <c r="BA150" s="48"/>
      <c r="BB150" s="48"/>
      <c r="BC150" s="48"/>
      <c r="BD150" s="48"/>
      <c r="BE150" s="48"/>
      <c r="BF150" s="48"/>
      <c r="BG150" s="48"/>
      <c r="BH150" s="48"/>
      <c r="BI150" s="48"/>
    </row>
    <row r="151" ht="15.75" customHeight="1">
      <c r="A151" s="41" t="str">
        <f t="shared" si="3"/>
        <v>Véhicules usagésFormation</v>
      </c>
      <c r="B151" s="57" t="s">
        <v>140</v>
      </c>
      <c r="C151" s="57"/>
      <c r="D151" s="74"/>
      <c r="E151" s="75"/>
      <c r="F151" s="57"/>
      <c r="G151" s="74"/>
      <c r="H151" s="75"/>
      <c r="I151" s="57"/>
      <c r="J151" s="74"/>
      <c r="K151" s="75"/>
      <c r="L151" s="57"/>
      <c r="M151" s="74"/>
      <c r="N151" s="75"/>
      <c r="O151" s="57"/>
      <c r="P151" s="74"/>
      <c r="Q151" s="75"/>
      <c r="R151" s="57"/>
      <c r="S151" s="74"/>
      <c r="T151" s="75"/>
      <c r="U151" s="57"/>
      <c r="V151" s="74"/>
      <c r="W151" s="75"/>
      <c r="X151" s="57"/>
      <c r="Y151" s="74"/>
      <c r="Z151" s="75"/>
      <c r="AA151" s="57"/>
      <c r="AB151" s="74"/>
      <c r="AC151" s="75"/>
      <c r="AD151" s="57"/>
      <c r="AE151" s="74"/>
      <c r="AF151" s="75"/>
      <c r="AG151" s="57"/>
      <c r="AH151" s="74"/>
      <c r="AI151" s="75"/>
      <c r="AJ151" s="57"/>
      <c r="AK151" s="74"/>
      <c r="AL151" s="75"/>
      <c r="AM151" s="57"/>
      <c r="AN151" s="74"/>
      <c r="AO151" s="242"/>
      <c r="AP151" s="48"/>
      <c r="AQ151" s="48"/>
      <c r="AR151" s="48"/>
      <c r="AS151" s="48"/>
      <c r="AT151" s="48"/>
      <c r="AU151" s="48"/>
      <c r="AV151" s="48"/>
      <c r="AW151" s="48"/>
      <c r="AX151" s="48"/>
      <c r="AY151" s="48"/>
      <c r="AZ151" s="48"/>
      <c r="BA151" s="48"/>
      <c r="BB151" s="48"/>
      <c r="BC151" s="48"/>
      <c r="BD151" s="48"/>
      <c r="BE151" s="48"/>
      <c r="BF151" s="48"/>
      <c r="BG151" s="48"/>
      <c r="BH151" s="48"/>
      <c r="BI151" s="48"/>
    </row>
    <row r="152" ht="15.75" customHeight="1">
      <c r="A152" s="41" t="str">
        <f t="shared" si="3"/>
        <v>Véhicules usagésFrais bancaires</v>
      </c>
      <c r="B152" s="57" t="s">
        <v>141</v>
      </c>
      <c r="C152" s="57"/>
      <c r="D152" s="74"/>
      <c r="E152" s="75"/>
      <c r="F152" s="57"/>
      <c r="G152" s="74"/>
      <c r="H152" s="75"/>
      <c r="I152" s="57"/>
      <c r="J152" s="74"/>
      <c r="K152" s="75"/>
      <c r="L152" s="57"/>
      <c r="M152" s="74"/>
      <c r="N152" s="75"/>
      <c r="O152" s="57"/>
      <c r="P152" s="74"/>
      <c r="Q152" s="75"/>
      <c r="R152" s="57"/>
      <c r="S152" s="74"/>
      <c r="T152" s="75"/>
      <c r="U152" s="57"/>
      <c r="V152" s="74"/>
      <c r="W152" s="75"/>
      <c r="X152" s="57"/>
      <c r="Y152" s="74"/>
      <c r="Z152" s="75"/>
      <c r="AA152" s="57"/>
      <c r="AB152" s="74"/>
      <c r="AC152" s="75"/>
      <c r="AD152" s="57"/>
      <c r="AE152" s="74"/>
      <c r="AF152" s="75"/>
      <c r="AG152" s="57"/>
      <c r="AH152" s="74"/>
      <c r="AI152" s="75"/>
      <c r="AJ152" s="57"/>
      <c r="AK152" s="74"/>
      <c r="AL152" s="75"/>
      <c r="AM152" s="57"/>
      <c r="AN152" s="74"/>
      <c r="AO152" s="242"/>
      <c r="AP152" s="48"/>
      <c r="AQ152" s="48"/>
      <c r="AR152" s="48"/>
      <c r="AS152" s="48"/>
      <c r="AT152" s="48"/>
      <c r="AU152" s="48"/>
      <c r="AV152" s="48"/>
      <c r="AW152" s="48"/>
      <c r="AX152" s="48"/>
      <c r="AY152" s="48"/>
      <c r="AZ152" s="48"/>
      <c r="BA152" s="48"/>
      <c r="BB152" s="48"/>
      <c r="BC152" s="48"/>
      <c r="BD152" s="48"/>
      <c r="BE152" s="48"/>
      <c r="BF152" s="48"/>
      <c r="BG152" s="48"/>
      <c r="BH152" s="48"/>
      <c r="BI152" s="48"/>
    </row>
    <row r="153" ht="15.75" customHeight="1">
      <c r="A153" s="41" t="str">
        <f t="shared" si="3"/>
        <v>Véhicules usagés[...]</v>
      </c>
      <c r="B153" s="57" t="s">
        <v>56</v>
      </c>
      <c r="C153" s="57"/>
      <c r="D153" s="74"/>
      <c r="E153" s="75"/>
      <c r="F153" s="57"/>
      <c r="G153" s="74"/>
      <c r="H153" s="75"/>
      <c r="I153" s="57"/>
      <c r="J153" s="74"/>
      <c r="K153" s="75"/>
      <c r="L153" s="57"/>
      <c r="M153" s="74"/>
      <c r="N153" s="75"/>
      <c r="O153" s="57"/>
      <c r="P153" s="74"/>
      <c r="Q153" s="75"/>
      <c r="R153" s="57"/>
      <c r="S153" s="74"/>
      <c r="T153" s="75"/>
      <c r="U153" s="57"/>
      <c r="V153" s="74"/>
      <c r="W153" s="75"/>
      <c r="X153" s="57"/>
      <c r="Y153" s="74"/>
      <c r="Z153" s="75"/>
      <c r="AA153" s="57"/>
      <c r="AB153" s="74"/>
      <c r="AC153" s="75"/>
      <c r="AD153" s="57"/>
      <c r="AE153" s="74"/>
      <c r="AF153" s="75"/>
      <c r="AG153" s="57"/>
      <c r="AH153" s="74"/>
      <c r="AI153" s="75"/>
      <c r="AJ153" s="57"/>
      <c r="AK153" s="74"/>
      <c r="AL153" s="75"/>
      <c r="AM153" s="57"/>
      <c r="AN153" s="74"/>
      <c r="AO153" s="75"/>
      <c r="AP153" s="48"/>
      <c r="AQ153" s="48"/>
      <c r="AR153" s="48"/>
      <c r="AS153" s="48"/>
      <c r="AT153" s="48"/>
      <c r="AU153" s="48"/>
      <c r="AV153" s="48"/>
      <c r="AW153" s="48"/>
      <c r="AX153" s="48"/>
      <c r="AY153" s="48"/>
      <c r="AZ153" s="48"/>
      <c r="BA153" s="48"/>
      <c r="BB153" s="48"/>
      <c r="BC153" s="48"/>
      <c r="BD153" s="48"/>
      <c r="BE153" s="48"/>
      <c r="BF153" s="48"/>
      <c r="BG153" s="48"/>
      <c r="BH153" s="48"/>
      <c r="BI153" s="48"/>
    </row>
    <row r="154" ht="15.75" customHeight="1">
      <c r="A154" s="41" t="str">
        <f t="shared" si="3"/>
        <v>Véhicules usagés[...]</v>
      </c>
      <c r="B154" s="57" t="s">
        <v>56</v>
      </c>
      <c r="C154" s="57"/>
      <c r="D154" s="74"/>
      <c r="E154" s="75"/>
      <c r="F154" s="57"/>
      <c r="G154" s="74"/>
      <c r="H154" s="75"/>
      <c r="I154" s="57"/>
      <c r="J154" s="74"/>
      <c r="K154" s="75"/>
      <c r="L154" s="57"/>
      <c r="M154" s="74"/>
      <c r="N154" s="75"/>
      <c r="O154" s="57"/>
      <c r="P154" s="74"/>
      <c r="Q154" s="75"/>
      <c r="R154" s="57"/>
      <c r="S154" s="74"/>
      <c r="T154" s="75"/>
      <c r="U154" s="57"/>
      <c r="V154" s="74"/>
      <c r="W154" s="75"/>
      <c r="X154" s="57"/>
      <c r="Y154" s="74"/>
      <c r="Z154" s="75"/>
      <c r="AA154" s="57"/>
      <c r="AB154" s="74"/>
      <c r="AC154" s="75"/>
      <c r="AD154" s="57"/>
      <c r="AE154" s="74"/>
      <c r="AF154" s="75"/>
      <c r="AG154" s="57"/>
      <c r="AH154" s="74"/>
      <c r="AI154" s="75"/>
      <c r="AJ154" s="57"/>
      <c r="AK154" s="74"/>
      <c r="AL154" s="75"/>
      <c r="AM154" s="57"/>
      <c r="AN154" s="74"/>
      <c r="AO154" s="75"/>
      <c r="AP154" s="48"/>
      <c r="AQ154" s="48"/>
      <c r="AR154" s="48"/>
      <c r="AS154" s="48"/>
      <c r="AT154" s="48"/>
      <c r="AU154" s="48"/>
      <c r="AV154" s="48"/>
      <c r="AW154" s="48"/>
      <c r="AX154" s="48"/>
      <c r="AY154" s="48"/>
      <c r="AZ154" s="48"/>
      <c r="BA154" s="48"/>
      <c r="BB154" s="48"/>
      <c r="BC154" s="48"/>
      <c r="BD154" s="48"/>
      <c r="BE154" s="48"/>
      <c r="BF154" s="48"/>
      <c r="BG154" s="48"/>
      <c r="BH154" s="48"/>
      <c r="BI154" s="48"/>
    </row>
    <row r="155" ht="15.75" customHeight="1">
      <c r="A155" s="41" t="str">
        <f t="shared" si="3"/>
        <v>Véhicules usagés[...]</v>
      </c>
      <c r="B155" s="57" t="s">
        <v>56</v>
      </c>
      <c r="C155" s="53"/>
      <c r="D155" s="100"/>
      <c r="E155" s="75"/>
      <c r="F155" s="53"/>
      <c r="G155" s="100"/>
      <c r="H155" s="75"/>
      <c r="I155" s="53"/>
      <c r="J155" s="100"/>
      <c r="K155" s="75"/>
      <c r="L155" s="53"/>
      <c r="M155" s="100"/>
      <c r="N155" s="75"/>
      <c r="O155" s="53"/>
      <c r="P155" s="100"/>
      <c r="Q155" s="75"/>
      <c r="R155" s="53"/>
      <c r="S155" s="100"/>
      <c r="T155" s="75"/>
      <c r="U155" s="53"/>
      <c r="V155" s="100"/>
      <c r="W155" s="75"/>
      <c r="X155" s="53"/>
      <c r="Y155" s="100"/>
      <c r="Z155" s="75"/>
      <c r="AA155" s="53"/>
      <c r="AB155" s="100"/>
      <c r="AC155" s="75"/>
      <c r="AD155" s="53"/>
      <c r="AE155" s="100"/>
      <c r="AF155" s="75"/>
      <c r="AG155" s="53"/>
      <c r="AH155" s="100"/>
      <c r="AI155" s="75"/>
      <c r="AJ155" s="53"/>
      <c r="AK155" s="100"/>
      <c r="AL155" s="75"/>
      <c r="AM155" s="53"/>
      <c r="AN155" s="100"/>
      <c r="AO155" s="75"/>
      <c r="AP155" s="48"/>
      <c r="AQ155" s="48"/>
      <c r="AR155" s="48"/>
      <c r="AS155" s="48"/>
      <c r="AT155" s="48"/>
      <c r="AU155" s="48"/>
      <c r="AV155" s="48"/>
      <c r="AW155" s="48"/>
      <c r="AX155" s="48"/>
      <c r="AY155" s="48"/>
      <c r="AZ155" s="48"/>
      <c r="BA155" s="48"/>
      <c r="BB155" s="48"/>
      <c r="BC155" s="48"/>
      <c r="BD155" s="48"/>
      <c r="BE155" s="48"/>
      <c r="BF155" s="48"/>
      <c r="BG155" s="48"/>
      <c r="BH155" s="48"/>
      <c r="BI155" s="48"/>
    </row>
    <row r="156" ht="15.75" customHeight="1">
      <c r="A156" s="41" t="str">
        <f t="shared" si="3"/>
        <v>Véhicules usagésTOTAL SEMI-FIXES</v>
      </c>
      <c r="B156" s="92" t="s">
        <v>142</v>
      </c>
      <c r="C156" s="93"/>
      <c r="D156" s="94"/>
      <c r="E156" s="95"/>
      <c r="F156" s="93"/>
      <c r="G156" s="94"/>
      <c r="H156" s="95"/>
      <c r="I156" s="93"/>
      <c r="J156" s="94"/>
      <c r="K156" s="95"/>
      <c r="L156" s="93"/>
      <c r="M156" s="94"/>
      <c r="N156" s="95"/>
      <c r="O156" s="93"/>
      <c r="P156" s="94"/>
      <c r="Q156" s="95"/>
      <c r="R156" s="93"/>
      <c r="S156" s="94"/>
      <c r="T156" s="95"/>
      <c r="U156" s="93"/>
      <c r="V156" s="94"/>
      <c r="W156" s="95"/>
      <c r="X156" s="93"/>
      <c r="Y156" s="94"/>
      <c r="Z156" s="95"/>
      <c r="AA156" s="93"/>
      <c r="AB156" s="94"/>
      <c r="AC156" s="95"/>
      <c r="AD156" s="93"/>
      <c r="AE156" s="94"/>
      <c r="AF156" s="95"/>
      <c r="AG156" s="93"/>
      <c r="AH156" s="94"/>
      <c r="AI156" s="95"/>
      <c r="AJ156" s="93"/>
      <c r="AK156" s="94"/>
      <c r="AL156" s="95"/>
      <c r="AM156" s="93"/>
      <c r="AN156" s="94"/>
      <c r="AO156" s="95"/>
      <c r="AP156" s="48"/>
      <c r="AQ156" s="48"/>
      <c r="AR156" s="48"/>
      <c r="AS156" s="48"/>
      <c r="AT156" s="48"/>
      <c r="AU156" s="48"/>
      <c r="AV156" s="48"/>
      <c r="AW156" s="48"/>
      <c r="AX156" s="48"/>
      <c r="AY156" s="48"/>
      <c r="AZ156" s="48"/>
      <c r="BA156" s="48"/>
      <c r="BB156" s="48"/>
      <c r="BC156" s="48"/>
      <c r="BD156" s="48"/>
      <c r="BE156" s="48"/>
      <c r="BF156" s="48"/>
      <c r="BG156" s="48"/>
      <c r="BH156" s="48"/>
      <c r="BI156" s="48"/>
    </row>
    <row r="157" ht="15.75" customHeight="1">
      <c r="A157" s="41" t="str">
        <f t="shared" si="3"/>
        <v>Véhicules usagés</v>
      </c>
      <c r="B157" s="53"/>
      <c r="C157" s="53"/>
      <c r="D157" s="100"/>
      <c r="E157" s="91"/>
      <c r="F157" s="53"/>
      <c r="G157" s="100"/>
      <c r="H157" s="91"/>
      <c r="I157" s="53"/>
      <c r="J157" s="100"/>
      <c r="K157" s="91"/>
      <c r="L157" s="53"/>
      <c r="M157" s="100"/>
      <c r="N157" s="91"/>
      <c r="O157" s="53"/>
      <c r="P157" s="100"/>
      <c r="Q157" s="91"/>
      <c r="R157" s="53"/>
      <c r="S157" s="100"/>
      <c r="T157" s="91"/>
      <c r="U157" s="53"/>
      <c r="V157" s="100"/>
      <c r="W157" s="91"/>
      <c r="X157" s="53"/>
      <c r="Y157" s="100"/>
      <c r="Z157" s="91"/>
      <c r="AA157" s="53"/>
      <c r="AB157" s="100"/>
      <c r="AC157" s="91"/>
      <c r="AD157" s="53"/>
      <c r="AE157" s="100"/>
      <c r="AF157" s="91"/>
      <c r="AG157" s="53"/>
      <c r="AH157" s="100"/>
      <c r="AI157" s="91"/>
      <c r="AJ157" s="53"/>
      <c r="AK157" s="100"/>
      <c r="AL157" s="91"/>
      <c r="AM157" s="53"/>
      <c r="AN157" s="100"/>
      <c r="AO157" s="91"/>
      <c r="AP157" s="48"/>
      <c r="AQ157" s="48"/>
      <c r="AR157" s="48"/>
      <c r="AS157" s="48"/>
      <c r="AT157" s="48"/>
      <c r="AU157" s="48"/>
      <c r="AV157" s="48"/>
      <c r="AW157" s="48"/>
      <c r="AX157" s="48"/>
      <c r="AY157" s="48"/>
      <c r="AZ157" s="48"/>
      <c r="BA157" s="48"/>
      <c r="BB157" s="48"/>
      <c r="BC157" s="48"/>
      <c r="BD157" s="48"/>
      <c r="BE157" s="48"/>
      <c r="BF157" s="48"/>
      <c r="BG157" s="48"/>
      <c r="BH157" s="48"/>
      <c r="BI157" s="48"/>
    </row>
    <row r="158" ht="15.75" customHeight="1">
      <c r="A158" s="41" t="str">
        <f t="shared" si="3"/>
        <v>Véhicules usagésTOTAL DES DÉPENSES</v>
      </c>
      <c r="B158" s="92" t="s">
        <v>143</v>
      </c>
      <c r="C158" s="93"/>
      <c r="D158" s="94"/>
      <c r="E158" s="95"/>
      <c r="F158" s="93"/>
      <c r="G158" s="94"/>
      <c r="H158" s="95"/>
      <c r="I158" s="93"/>
      <c r="J158" s="94"/>
      <c r="K158" s="95"/>
      <c r="L158" s="93"/>
      <c r="M158" s="94"/>
      <c r="N158" s="95"/>
      <c r="O158" s="93"/>
      <c r="P158" s="94"/>
      <c r="Q158" s="95"/>
      <c r="R158" s="93"/>
      <c r="S158" s="94"/>
      <c r="T158" s="95"/>
      <c r="U158" s="93"/>
      <c r="V158" s="94"/>
      <c r="W158" s="95"/>
      <c r="X158" s="93"/>
      <c r="Y158" s="94"/>
      <c r="Z158" s="95"/>
      <c r="AA158" s="93"/>
      <c r="AB158" s="94"/>
      <c r="AC158" s="95"/>
      <c r="AD158" s="93"/>
      <c r="AE158" s="94"/>
      <c r="AF158" s="95"/>
      <c r="AG158" s="93"/>
      <c r="AH158" s="94"/>
      <c r="AI158" s="95"/>
      <c r="AJ158" s="93"/>
      <c r="AK158" s="94"/>
      <c r="AL158" s="95"/>
      <c r="AM158" s="93"/>
      <c r="AN158" s="94"/>
      <c r="AO158" s="95"/>
      <c r="AP158" s="48"/>
      <c r="AQ158" s="48"/>
      <c r="AR158" s="48"/>
      <c r="AS158" s="48"/>
      <c r="AT158" s="48"/>
      <c r="AU158" s="48"/>
      <c r="AV158" s="48"/>
      <c r="AW158" s="48"/>
      <c r="AX158" s="48"/>
      <c r="AY158" s="48"/>
      <c r="AZ158" s="48"/>
      <c r="BA158" s="48"/>
      <c r="BB158" s="48"/>
      <c r="BC158" s="48"/>
      <c r="BD158" s="48"/>
      <c r="BE158" s="48"/>
      <c r="BF158" s="48"/>
      <c r="BG158" s="48"/>
      <c r="BH158" s="48"/>
      <c r="BI158" s="48"/>
    </row>
    <row r="159" ht="15.75" customHeight="1">
      <c r="A159" s="41" t="str">
        <f t="shared" si="3"/>
        <v>Véhicules usagésProgramme used 1</v>
      </c>
      <c r="B159" s="57" t="s">
        <v>158</v>
      </c>
      <c r="C159" s="117"/>
      <c r="D159" s="122"/>
      <c r="E159" s="75"/>
      <c r="F159" s="117"/>
      <c r="G159" s="122"/>
      <c r="H159" s="75"/>
      <c r="I159" s="117"/>
      <c r="J159" s="122"/>
      <c r="K159" s="75"/>
      <c r="L159" s="117"/>
      <c r="M159" s="122"/>
      <c r="N159" s="75"/>
      <c r="O159" s="117"/>
      <c r="P159" s="122"/>
      <c r="Q159" s="75"/>
      <c r="R159" s="117"/>
      <c r="S159" s="122"/>
      <c r="T159" s="75"/>
      <c r="U159" s="117"/>
      <c r="V159" s="122"/>
      <c r="W159" s="75"/>
      <c r="X159" s="117"/>
      <c r="Y159" s="122"/>
      <c r="Z159" s="75"/>
      <c r="AA159" s="117"/>
      <c r="AB159" s="122"/>
      <c r="AC159" s="75"/>
      <c r="AD159" s="117"/>
      <c r="AE159" s="122"/>
      <c r="AF159" s="75"/>
      <c r="AG159" s="117"/>
      <c r="AH159" s="122"/>
      <c r="AI159" s="75"/>
      <c r="AJ159" s="117"/>
      <c r="AK159" s="122"/>
      <c r="AL159" s="75"/>
      <c r="AM159" s="117"/>
      <c r="AN159" s="122"/>
      <c r="AO159" s="75"/>
      <c r="AP159" s="48"/>
      <c r="AQ159" s="48"/>
      <c r="AR159" s="48"/>
      <c r="AS159" s="48"/>
      <c r="AT159" s="48"/>
      <c r="AU159" s="48"/>
      <c r="AV159" s="48"/>
      <c r="AW159" s="48"/>
      <c r="AX159" s="48"/>
      <c r="AY159" s="48"/>
      <c r="AZ159" s="48"/>
      <c r="BA159" s="48"/>
      <c r="BB159" s="48"/>
      <c r="BC159" s="48"/>
      <c r="BD159" s="48"/>
      <c r="BE159" s="48"/>
      <c r="BF159" s="48"/>
      <c r="BG159" s="48"/>
      <c r="BH159" s="48"/>
      <c r="BI159" s="48"/>
    </row>
    <row r="160" ht="15.75" customHeight="1">
      <c r="A160" s="41" t="str">
        <f t="shared" si="3"/>
        <v>Véhicules usagésProgramme used 2</v>
      </c>
      <c r="B160" s="57" t="s">
        <v>159</v>
      </c>
      <c r="C160" s="117"/>
      <c r="D160" s="122"/>
      <c r="E160" s="75"/>
      <c r="F160" s="117"/>
      <c r="G160" s="122"/>
      <c r="H160" s="75"/>
      <c r="I160" s="117"/>
      <c r="J160" s="122"/>
      <c r="K160" s="75"/>
      <c r="L160" s="117"/>
      <c r="M160" s="122"/>
      <c r="N160" s="75"/>
      <c r="O160" s="117"/>
      <c r="P160" s="122"/>
      <c r="Q160" s="75"/>
      <c r="R160" s="117"/>
      <c r="S160" s="122"/>
      <c r="T160" s="75"/>
      <c r="U160" s="117"/>
      <c r="V160" s="122"/>
      <c r="W160" s="75"/>
      <c r="X160" s="117"/>
      <c r="Y160" s="122"/>
      <c r="Z160" s="75"/>
      <c r="AA160" s="117"/>
      <c r="AB160" s="122"/>
      <c r="AC160" s="75"/>
      <c r="AD160" s="117"/>
      <c r="AE160" s="122"/>
      <c r="AF160" s="75"/>
      <c r="AG160" s="117"/>
      <c r="AH160" s="122"/>
      <c r="AI160" s="75"/>
      <c r="AJ160" s="117"/>
      <c r="AK160" s="122"/>
      <c r="AL160" s="75"/>
      <c r="AM160" s="117"/>
      <c r="AN160" s="122"/>
      <c r="AO160" s="75"/>
      <c r="AP160" s="48"/>
      <c r="AQ160" s="48"/>
      <c r="AR160" s="48"/>
      <c r="AS160" s="48"/>
      <c r="AT160" s="48"/>
      <c r="AU160" s="48"/>
      <c r="AV160" s="48"/>
      <c r="AW160" s="48"/>
      <c r="AX160" s="48"/>
      <c r="AY160" s="48"/>
      <c r="AZ160" s="48"/>
      <c r="BA160" s="48"/>
      <c r="BB160" s="48"/>
      <c r="BC160" s="48"/>
      <c r="BD160" s="48"/>
      <c r="BE160" s="48"/>
      <c r="BF160" s="48"/>
      <c r="BG160" s="48"/>
      <c r="BH160" s="48"/>
      <c r="BI160" s="48"/>
    </row>
    <row r="161" ht="15.75" customHeight="1">
      <c r="A161" s="41" t="str">
        <f t="shared" si="3"/>
        <v>Véhicules usagésProgramme used 3</v>
      </c>
      <c r="B161" s="57" t="s">
        <v>160</v>
      </c>
      <c r="C161" s="57"/>
      <c r="D161" s="74"/>
      <c r="E161" s="75"/>
      <c r="F161" s="57"/>
      <c r="G161" s="74"/>
      <c r="H161" s="75"/>
      <c r="I161" s="57"/>
      <c r="J161" s="74"/>
      <c r="K161" s="75"/>
      <c r="L161" s="57"/>
      <c r="M161" s="74"/>
      <c r="N161" s="75"/>
      <c r="O161" s="57"/>
      <c r="P161" s="74"/>
      <c r="Q161" s="75"/>
      <c r="R161" s="57"/>
      <c r="S161" s="74"/>
      <c r="T161" s="75"/>
      <c r="U161" s="57"/>
      <c r="V161" s="74"/>
      <c r="W161" s="75"/>
      <c r="X161" s="57"/>
      <c r="Y161" s="74"/>
      <c r="Z161" s="75"/>
      <c r="AA161" s="57"/>
      <c r="AB161" s="74"/>
      <c r="AC161" s="75"/>
      <c r="AD161" s="57"/>
      <c r="AE161" s="74"/>
      <c r="AF161" s="75"/>
      <c r="AG161" s="57"/>
      <c r="AH161" s="74"/>
      <c r="AI161" s="75"/>
      <c r="AJ161" s="57"/>
      <c r="AK161" s="74"/>
      <c r="AL161" s="75"/>
      <c r="AM161" s="57"/>
      <c r="AN161" s="74"/>
      <c r="AO161" s="75"/>
      <c r="AP161" s="48"/>
      <c r="AQ161" s="48"/>
      <c r="AR161" s="48"/>
      <c r="AS161" s="48"/>
      <c r="AT161" s="48"/>
      <c r="AU161" s="48"/>
      <c r="AV161" s="48"/>
      <c r="AW161" s="48"/>
      <c r="AX161" s="48"/>
      <c r="AY161" s="48"/>
      <c r="AZ161" s="48"/>
      <c r="BA161" s="48"/>
      <c r="BB161" s="48"/>
      <c r="BC161" s="48"/>
      <c r="BD161" s="48"/>
      <c r="BE161" s="48"/>
      <c r="BF161" s="48"/>
      <c r="BG161" s="48"/>
      <c r="BH161" s="48"/>
      <c r="BI161" s="48"/>
    </row>
    <row r="162" ht="15.75" customHeight="1">
      <c r="A162" s="41" t="str">
        <f t="shared" si="3"/>
        <v>Véhicules usagés</v>
      </c>
      <c r="B162" s="57"/>
      <c r="C162" s="57"/>
      <c r="D162" s="74"/>
      <c r="E162" s="75"/>
      <c r="F162" s="57"/>
      <c r="G162" s="74"/>
      <c r="H162" s="75"/>
      <c r="I162" s="57"/>
      <c r="J162" s="74"/>
      <c r="K162" s="75"/>
      <c r="L162" s="57"/>
      <c r="M162" s="74"/>
      <c r="N162" s="75"/>
      <c r="O162" s="57"/>
      <c r="P162" s="74"/>
      <c r="Q162" s="75"/>
      <c r="R162" s="57"/>
      <c r="S162" s="74"/>
      <c r="T162" s="75"/>
      <c r="U162" s="57"/>
      <c r="V162" s="74"/>
      <c r="W162" s="75"/>
      <c r="X162" s="57"/>
      <c r="Y162" s="74"/>
      <c r="Z162" s="75"/>
      <c r="AA162" s="57"/>
      <c r="AB162" s="74"/>
      <c r="AC162" s="75"/>
      <c r="AD162" s="57"/>
      <c r="AE162" s="74"/>
      <c r="AF162" s="75"/>
      <c r="AG162" s="57"/>
      <c r="AH162" s="74"/>
      <c r="AI162" s="75"/>
      <c r="AJ162" s="57"/>
      <c r="AK162" s="74"/>
      <c r="AL162" s="75"/>
      <c r="AM162" s="57"/>
      <c r="AN162" s="74"/>
      <c r="AO162" s="75"/>
      <c r="AP162" s="48"/>
      <c r="AQ162" s="48"/>
      <c r="AR162" s="48"/>
      <c r="AS162" s="48"/>
      <c r="AT162" s="48"/>
      <c r="AU162" s="48"/>
      <c r="AV162" s="48"/>
      <c r="AW162" s="48"/>
      <c r="AX162" s="48"/>
      <c r="AY162" s="48"/>
      <c r="AZ162" s="48"/>
      <c r="BA162" s="48"/>
      <c r="BB162" s="48"/>
      <c r="BC162" s="48"/>
      <c r="BD162" s="48"/>
      <c r="BE162" s="48"/>
      <c r="BF162" s="48"/>
      <c r="BG162" s="48"/>
      <c r="BH162" s="48"/>
      <c r="BI162" s="48"/>
    </row>
    <row r="163" ht="15.75" customHeight="1">
      <c r="A163" s="41" t="str">
        <f t="shared" si="3"/>
        <v>Véhicules usagés[...]</v>
      </c>
      <c r="B163" s="57" t="s">
        <v>56</v>
      </c>
      <c r="C163" s="57"/>
      <c r="D163" s="74"/>
      <c r="E163" s="75"/>
      <c r="F163" s="57"/>
      <c r="G163" s="74"/>
      <c r="H163" s="75"/>
      <c r="I163" s="57"/>
      <c r="J163" s="74"/>
      <c r="K163" s="75"/>
      <c r="L163" s="57"/>
      <c r="M163" s="74"/>
      <c r="N163" s="75"/>
      <c r="O163" s="57"/>
      <c r="P163" s="74"/>
      <c r="Q163" s="75"/>
      <c r="R163" s="57"/>
      <c r="S163" s="74"/>
      <c r="T163" s="75"/>
      <c r="U163" s="57"/>
      <c r="V163" s="74"/>
      <c r="W163" s="75"/>
      <c r="X163" s="57"/>
      <c r="Y163" s="74"/>
      <c r="Z163" s="75"/>
      <c r="AA163" s="57"/>
      <c r="AB163" s="74"/>
      <c r="AC163" s="75"/>
      <c r="AD163" s="57"/>
      <c r="AE163" s="74"/>
      <c r="AF163" s="75"/>
      <c r="AG163" s="57"/>
      <c r="AH163" s="74"/>
      <c r="AI163" s="75"/>
      <c r="AJ163" s="57"/>
      <c r="AK163" s="74"/>
      <c r="AL163" s="75"/>
      <c r="AM163" s="57"/>
      <c r="AN163" s="74"/>
      <c r="AO163" s="75"/>
      <c r="AP163" s="48"/>
      <c r="AQ163" s="48"/>
      <c r="AR163" s="48"/>
      <c r="AS163" s="48"/>
      <c r="AT163" s="48"/>
      <c r="AU163" s="48"/>
      <c r="AV163" s="48"/>
      <c r="AW163" s="48"/>
      <c r="AX163" s="48"/>
      <c r="AY163" s="48"/>
      <c r="AZ163" s="48"/>
      <c r="BA163" s="48"/>
      <c r="BB163" s="48"/>
      <c r="BC163" s="48"/>
      <c r="BD163" s="48"/>
      <c r="BE163" s="48"/>
      <c r="BF163" s="48"/>
      <c r="BG163" s="48"/>
      <c r="BH163" s="48"/>
      <c r="BI163" s="48"/>
    </row>
    <row r="164" ht="15.75" customHeight="1">
      <c r="A164" s="41" t="str">
        <f t="shared" si="3"/>
        <v>Véhicules usagés[...]</v>
      </c>
      <c r="B164" s="57" t="s">
        <v>56</v>
      </c>
      <c r="C164" s="57"/>
      <c r="D164" s="74"/>
      <c r="E164" s="75"/>
      <c r="F164" s="57"/>
      <c r="G164" s="74"/>
      <c r="H164" s="75"/>
      <c r="I164" s="57"/>
      <c r="J164" s="74"/>
      <c r="K164" s="75"/>
      <c r="L164" s="57"/>
      <c r="M164" s="74"/>
      <c r="N164" s="75"/>
      <c r="O164" s="57"/>
      <c r="P164" s="74"/>
      <c r="Q164" s="75"/>
      <c r="R164" s="57"/>
      <c r="S164" s="74"/>
      <c r="T164" s="75"/>
      <c r="U164" s="57"/>
      <c r="V164" s="74"/>
      <c r="W164" s="75"/>
      <c r="X164" s="57"/>
      <c r="Y164" s="74"/>
      <c r="Z164" s="75"/>
      <c r="AA164" s="57"/>
      <c r="AB164" s="74"/>
      <c r="AC164" s="75"/>
      <c r="AD164" s="57"/>
      <c r="AE164" s="74"/>
      <c r="AF164" s="75"/>
      <c r="AG164" s="57"/>
      <c r="AH164" s="74"/>
      <c r="AI164" s="75"/>
      <c r="AJ164" s="57"/>
      <c r="AK164" s="74"/>
      <c r="AL164" s="75"/>
      <c r="AM164" s="57"/>
      <c r="AN164" s="74"/>
      <c r="AO164" s="75"/>
      <c r="AP164" s="48"/>
      <c r="AQ164" s="48"/>
      <c r="AR164" s="48"/>
      <c r="AS164" s="48"/>
      <c r="AT164" s="48"/>
      <c r="AU164" s="48"/>
      <c r="AV164" s="48"/>
      <c r="AW164" s="48"/>
      <c r="AX164" s="48"/>
      <c r="AY164" s="48"/>
      <c r="AZ164" s="48"/>
      <c r="BA164" s="48"/>
      <c r="BB164" s="48"/>
      <c r="BC164" s="48"/>
      <c r="BD164" s="48"/>
      <c r="BE164" s="48"/>
      <c r="BF164" s="48"/>
      <c r="BG164" s="48"/>
      <c r="BH164" s="48"/>
      <c r="BI164" s="48"/>
    </row>
    <row r="165" ht="15.75" customHeight="1">
      <c r="A165" s="41" t="str">
        <f t="shared" si="3"/>
        <v>Véhicules usagésFrais administration</v>
      </c>
      <c r="B165" s="53" t="s">
        <v>148</v>
      </c>
      <c r="C165" s="57"/>
      <c r="D165" s="74"/>
      <c r="E165" s="75"/>
      <c r="F165" s="57"/>
      <c r="G165" s="74"/>
      <c r="H165" s="75"/>
      <c r="I165" s="57"/>
      <c r="J165" s="74"/>
      <c r="K165" s="75"/>
      <c r="L165" s="57"/>
      <c r="M165" s="74"/>
      <c r="N165" s="75"/>
      <c r="O165" s="57"/>
      <c r="P165" s="74"/>
      <c r="Q165" s="75"/>
      <c r="R165" s="57"/>
      <c r="S165" s="74"/>
      <c r="T165" s="75"/>
      <c r="U165" s="57"/>
      <c r="V165" s="74"/>
      <c r="W165" s="75"/>
      <c r="X165" s="57"/>
      <c r="Y165" s="74"/>
      <c r="Z165" s="75"/>
      <c r="AA165" s="57"/>
      <c r="AB165" s="74"/>
      <c r="AC165" s="75"/>
      <c r="AD165" s="57"/>
      <c r="AE165" s="74"/>
      <c r="AF165" s="75"/>
      <c r="AG165" s="57"/>
      <c r="AH165" s="74"/>
      <c r="AI165" s="75"/>
      <c r="AJ165" s="57"/>
      <c r="AK165" s="74"/>
      <c r="AL165" s="75"/>
      <c r="AM165" s="57"/>
      <c r="AN165" s="74"/>
      <c r="AO165" s="75"/>
      <c r="AP165" s="48"/>
      <c r="AQ165" s="48"/>
      <c r="AR165" s="48"/>
      <c r="AS165" s="48"/>
      <c r="AT165" s="48"/>
      <c r="AU165" s="48"/>
      <c r="AV165" s="48"/>
      <c r="AW165" s="48"/>
      <c r="AX165" s="48"/>
      <c r="AY165" s="48"/>
      <c r="AZ165" s="48"/>
      <c r="BA165" s="48"/>
      <c r="BB165" s="48"/>
      <c r="BC165" s="48"/>
      <c r="BD165" s="48"/>
      <c r="BE165" s="48"/>
      <c r="BF165" s="48"/>
      <c r="BG165" s="48"/>
      <c r="BH165" s="48"/>
      <c r="BI165" s="48"/>
    </row>
    <row r="166" ht="15.75" customHeight="1">
      <c r="A166" s="41" t="str">
        <f t="shared" si="3"/>
        <v>Véhicules usagésAUTRES REVENUS</v>
      </c>
      <c r="B166" s="92" t="s">
        <v>149</v>
      </c>
      <c r="C166" s="93"/>
      <c r="D166" s="94"/>
      <c r="E166" s="95"/>
      <c r="F166" s="93"/>
      <c r="G166" s="94"/>
      <c r="H166" s="95"/>
      <c r="I166" s="93"/>
      <c r="J166" s="94"/>
      <c r="K166" s="95"/>
      <c r="L166" s="93"/>
      <c r="M166" s="94"/>
      <c r="N166" s="95"/>
      <c r="O166" s="93"/>
      <c r="P166" s="94"/>
      <c r="Q166" s="95"/>
      <c r="R166" s="93"/>
      <c r="S166" s="94"/>
      <c r="T166" s="95"/>
      <c r="U166" s="93"/>
      <c r="V166" s="94"/>
      <c r="W166" s="95"/>
      <c r="X166" s="93"/>
      <c r="Y166" s="94"/>
      <c r="Z166" s="95"/>
      <c r="AA166" s="93"/>
      <c r="AB166" s="94"/>
      <c r="AC166" s="95"/>
      <c r="AD166" s="93"/>
      <c r="AE166" s="94"/>
      <c r="AF166" s="95"/>
      <c r="AG166" s="93"/>
      <c r="AH166" s="94"/>
      <c r="AI166" s="95"/>
      <c r="AJ166" s="93"/>
      <c r="AK166" s="94"/>
      <c r="AL166" s="95"/>
      <c r="AM166" s="93"/>
      <c r="AN166" s="94"/>
      <c r="AO166" s="95"/>
      <c r="AP166" s="48"/>
      <c r="AQ166" s="48"/>
      <c r="AR166" s="48"/>
      <c r="AS166" s="48"/>
      <c r="AT166" s="48"/>
      <c r="AU166" s="48"/>
      <c r="AV166" s="48"/>
      <c r="AW166" s="48"/>
      <c r="AX166" s="48"/>
      <c r="AY166" s="48"/>
      <c r="AZ166" s="48"/>
      <c r="BA166" s="48"/>
      <c r="BB166" s="48"/>
      <c r="BC166" s="48"/>
      <c r="BD166" s="48"/>
      <c r="BE166" s="48"/>
      <c r="BF166" s="48"/>
      <c r="BG166" s="48"/>
      <c r="BH166" s="48"/>
      <c r="BI166" s="48"/>
    </row>
    <row r="167" ht="15.75" customHeight="1">
      <c r="A167" s="41" t="str">
        <f t="shared" si="3"/>
        <v>Véhicules usagés</v>
      </c>
      <c r="B167" s="57"/>
      <c r="C167" s="57"/>
      <c r="D167" s="74"/>
      <c r="E167" s="75"/>
      <c r="F167" s="57"/>
      <c r="G167" s="74"/>
      <c r="H167" s="75"/>
      <c r="I167" s="57"/>
      <c r="J167" s="74"/>
      <c r="K167" s="75"/>
      <c r="L167" s="57"/>
      <c r="M167" s="74"/>
      <c r="N167" s="75"/>
      <c r="O167" s="57"/>
      <c r="P167" s="74"/>
      <c r="Q167" s="75"/>
      <c r="R167" s="57"/>
      <c r="S167" s="74"/>
      <c r="T167" s="75"/>
      <c r="U167" s="57"/>
      <c r="V167" s="74"/>
      <c r="W167" s="75"/>
      <c r="X167" s="57"/>
      <c r="Y167" s="74"/>
      <c r="Z167" s="75"/>
      <c r="AA167" s="57"/>
      <c r="AB167" s="74"/>
      <c r="AC167" s="75"/>
      <c r="AD167" s="57"/>
      <c r="AE167" s="74"/>
      <c r="AF167" s="75"/>
      <c r="AG167" s="57"/>
      <c r="AH167" s="74"/>
      <c r="AI167" s="75"/>
      <c r="AJ167" s="57"/>
      <c r="AK167" s="74"/>
      <c r="AL167" s="75"/>
      <c r="AM167" s="57"/>
      <c r="AN167" s="74"/>
      <c r="AO167" s="75"/>
      <c r="AP167" s="48"/>
      <c r="AQ167" s="48"/>
      <c r="AR167" s="48"/>
      <c r="AS167" s="48"/>
      <c r="AT167" s="48"/>
      <c r="AU167" s="48"/>
      <c r="AV167" s="48"/>
      <c r="AW167" s="48"/>
      <c r="AX167" s="48"/>
      <c r="AY167" s="48"/>
      <c r="AZ167" s="48"/>
      <c r="BA167" s="48"/>
      <c r="BB167" s="48"/>
      <c r="BC167" s="48"/>
      <c r="BD167" s="48"/>
      <c r="BE167" s="48"/>
      <c r="BF167" s="48"/>
      <c r="BG167" s="48"/>
      <c r="BH167" s="48"/>
      <c r="BI167" s="48"/>
    </row>
    <row r="168" ht="15.75" customHeight="1">
      <c r="A168" s="41" t="str">
        <f t="shared" si="3"/>
        <v>Véhicules usagésPROFIT DÉPARTEMENTAL</v>
      </c>
      <c r="B168" s="103" t="s">
        <v>150</v>
      </c>
      <c r="C168" s="103"/>
      <c r="D168" s="124"/>
      <c r="E168" s="106"/>
      <c r="F168" s="103"/>
      <c r="G168" s="124"/>
      <c r="H168" s="106"/>
      <c r="I168" s="103"/>
      <c r="J168" s="124"/>
      <c r="K168" s="106"/>
      <c r="L168" s="103"/>
      <c r="M168" s="124"/>
      <c r="N168" s="106"/>
      <c r="O168" s="103"/>
      <c r="P168" s="124"/>
      <c r="Q168" s="106"/>
      <c r="R168" s="103"/>
      <c r="S168" s="124"/>
      <c r="T168" s="106"/>
      <c r="U168" s="103"/>
      <c r="V168" s="124"/>
      <c r="W168" s="106"/>
      <c r="X168" s="103"/>
      <c r="Y168" s="124"/>
      <c r="Z168" s="106"/>
      <c r="AA168" s="103"/>
      <c r="AB168" s="124"/>
      <c r="AC168" s="106"/>
      <c r="AD168" s="103"/>
      <c r="AE168" s="124"/>
      <c r="AF168" s="106"/>
      <c r="AG168" s="103"/>
      <c r="AH168" s="124"/>
      <c r="AI168" s="106"/>
      <c r="AJ168" s="103"/>
      <c r="AK168" s="124"/>
      <c r="AL168" s="106"/>
      <c r="AM168" s="103"/>
      <c r="AN168" s="124"/>
      <c r="AO168" s="106"/>
      <c r="AP168" s="48"/>
      <c r="AQ168" s="48"/>
      <c r="AR168" s="48"/>
      <c r="AS168" s="48"/>
      <c r="AT168" s="48"/>
      <c r="AU168" s="48"/>
      <c r="AV168" s="48"/>
      <c r="AW168" s="48"/>
      <c r="AX168" s="48"/>
      <c r="AY168" s="48"/>
      <c r="AZ168" s="48"/>
      <c r="BA168" s="48"/>
      <c r="BB168" s="48"/>
      <c r="BC168" s="48"/>
      <c r="BD168" s="48"/>
      <c r="BE168" s="48"/>
      <c r="BF168" s="48"/>
      <c r="BG168" s="48"/>
      <c r="BH168" s="48"/>
      <c r="BI168" s="48"/>
    </row>
    <row r="169" ht="15.75" customHeight="1">
      <c r="A169" s="41"/>
      <c r="B169" s="111"/>
      <c r="C169" s="111"/>
      <c r="D169" s="111"/>
      <c r="E169" s="125"/>
      <c r="F169" s="111"/>
      <c r="G169" s="111"/>
      <c r="H169" s="125"/>
      <c r="I169" s="111"/>
      <c r="J169" s="111"/>
      <c r="K169" s="125"/>
      <c r="L169" s="111"/>
      <c r="M169" s="111"/>
      <c r="N169" s="125"/>
      <c r="O169" s="111"/>
      <c r="P169" s="111"/>
      <c r="Q169" s="125"/>
      <c r="R169" s="111"/>
      <c r="S169" s="111"/>
      <c r="T169" s="125"/>
      <c r="U169" s="111"/>
      <c r="V169" s="111"/>
      <c r="W169" s="125"/>
      <c r="X169" s="111"/>
      <c r="Y169" s="111"/>
      <c r="Z169" s="125"/>
      <c r="AA169" s="111"/>
      <c r="AB169" s="111"/>
      <c r="AC169" s="125"/>
      <c r="AD169" s="111"/>
      <c r="AE169" s="111"/>
      <c r="AF169" s="125"/>
      <c r="AG169" s="111"/>
      <c r="AH169" s="111"/>
      <c r="AI169" s="125"/>
      <c r="AJ169" s="111"/>
      <c r="AK169" s="111"/>
      <c r="AL169" s="125"/>
      <c r="AM169" s="111"/>
      <c r="AN169" s="111"/>
      <c r="AO169" s="125"/>
      <c r="AP169" s="40"/>
      <c r="AQ169" s="40"/>
      <c r="AR169" s="40"/>
      <c r="AS169" s="40"/>
      <c r="AT169" s="40"/>
      <c r="AU169" s="40"/>
      <c r="AV169" s="40"/>
      <c r="AW169" s="40"/>
      <c r="AX169" s="40"/>
      <c r="AY169" s="40"/>
      <c r="AZ169" s="40"/>
      <c r="BA169" s="40"/>
      <c r="BB169" s="40"/>
      <c r="BC169" s="40"/>
      <c r="BD169" s="40"/>
      <c r="BE169" s="40"/>
      <c r="BF169" s="40"/>
      <c r="BG169" s="40"/>
      <c r="BH169" s="40"/>
      <c r="BI169" s="40"/>
    </row>
    <row r="170" ht="15.75" customHeight="1">
      <c r="A170" s="41"/>
      <c r="B170" s="111"/>
      <c r="C170" s="111"/>
      <c r="D170" s="111"/>
      <c r="E170" s="111"/>
      <c r="F170" s="111"/>
      <c r="G170" s="111"/>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40"/>
      <c r="AQ170" s="40"/>
      <c r="AR170" s="40"/>
      <c r="AS170" s="40"/>
      <c r="AT170" s="40"/>
      <c r="AU170" s="40"/>
      <c r="AV170" s="40"/>
      <c r="AW170" s="40"/>
      <c r="AX170" s="40"/>
      <c r="AY170" s="40"/>
      <c r="AZ170" s="40"/>
      <c r="BA170" s="40"/>
      <c r="BB170" s="40"/>
      <c r="BC170" s="40"/>
      <c r="BD170" s="40"/>
      <c r="BE170" s="40"/>
      <c r="BF170" s="40"/>
      <c r="BG170" s="40"/>
      <c r="BH170" s="40"/>
      <c r="BI170" s="40"/>
    </row>
    <row r="171" ht="15.75" customHeight="1">
      <c r="A171" s="41"/>
      <c r="B171" s="112" t="s">
        <v>220</v>
      </c>
      <c r="C171" s="112" t="s">
        <v>161</v>
      </c>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38"/>
      <c r="AQ171" s="38"/>
      <c r="AR171" s="38"/>
      <c r="AS171" s="38"/>
      <c r="AT171" s="38"/>
      <c r="AU171" s="38"/>
      <c r="AV171" s="38"/>
      <c r="AW171" s="38"/>
      <c r="AX171" s="38"/>
      <c r="AY171" s="38"/>
      <c r="AZ171" s="38"/>
      <c r="BA171" s="38"/>
      <c r="BB171" s="38"/>
      <c r="BC171" s="38"/>
      <c r="BD171" s="38"/>
      <c r="BE171" s="38"/>
      <c r="BF171" s="38"/>
      <c r="BG171" s="38"/>
      <c r="BH171" s="38"/>
      <c r="BI171" s="38"/>
    </row>
    <row r="172" ht="15.75" customHeight="1">
      <c r="A172" s="41"/>
      <c r="B172" s="113"/>
      <c r="C172" s="111"/>
      <c r="D172" s="111"/>
      <c r="E172" s="111"/>
      <c r="F172" s="111"/>
      <c r="G172" s="111"/>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40"/>
      <c r="AQ172" s="40"/>
      <c r="AR172" s="40"/>
      <c r="AS172" s="40"/>
      <c r="AT172" s="40"/>
      <c r="AU172" s="40"/>
      <c r="AV172" s="40"/>
      <c r="AW172" s="40"/>
      <c r="AX172" s="40"/>
      <c r="AY172" s="40"/>
      <c r="AZ172" s="40"/>
      <c r="BA172" s="40"/>
      <c r="BB172" s="40"/>
      <c r="BC172" s="40"/>
      <c r="BD172" s="40"/>
      <c r="BE172" s="40"/>
      <c r="BF172" s="40"/>
      <c r="BG172" s="40"/>
      <c r="BH172" s="40"/>
      <c r="BI172" s="40"/>
    </row>
    <row r="173" ht="15.75" customHeight="1">
      <c r="A173" s="41"/>
      <c r="B173" s="42" t="s">
        <v>2</v>
      </c>
      <c r="C173" s="114">
        <v>2025.0</v>
      </c>
      <c r="D173" s="115"/>
      <c r="E173" s="116"/>
      <c r="F173" s="114" t="s">
        <v>6</v>
      </c>
      <c r="G173" s="115"/>
      <c r="H173" s="116"/>
      <c r="I173" s="114" t="s">
        <v>8</v>
      </c>
      <c r="J173" s="115"/>
      <c r="K173" s="116"/>
      <c r="L173" s="114" t="s">
        <v>9</v>
      </c>
      <c r="M173" s="115"/>
      <c r="N173" s="116"/>
      <c r="O173" s="114" t="s">
        <v>10</v>
      </c>
      <c r="P173" s="115"/>
      <c r="Q173" s="116"/>
      <c r="R173" s="114" t="s">
        <v>11</v>
      </c>
      <c r="S173" s="115"/>
      <c r="T173" s="116"/>
      <c r="U173" s="114" t="s">
        <v>12</v>
      </c>
      <c r="V173" s="115"/>
      <c r="W173" s="116"/>
      <c r="X173" s="114" t="s">
        <v>14</v>
      </c>
      <c r="Y173" s="115"/>
      <c r="Z173" s="116"/>
      <c r="AA173" s="114" t="s">
        <v>92</v>
      </c>
      <c r="AB173" s="115"/>
      <c r="AC173" s="116"/>
      <c r="AD173" s="114" t="s">
        <v>5</v>
      </c>
      <c r="AE173" s="115"/>
      <c r="AF173" s="116"/>
      <c r="AG173" s="114" t="s">
        <v>18</v>
      </c>
      <c r="AH173" s="115"/>
      <c r="AI173" s="116"/>
      <c r="AJ173" s="114" t="s">
        <v>19</v>
      </c>
      <c r="AK173" s="115"/>
      <c r="AL173" s="116"/>
      <c r="AM173" s="114" t="s">
        <v>20</v>
      </c>
      <c r="AN173" s="115"/>
      <c r="AO173" s="116"/>
      <c r="AP173" s="48"/>
      <c r="AQ173" s="48"/>
      <c r="AR173" s="48"/>
      <c r="AS173" s="48"/>
      <c r="AT173" s="48"/>
      <c r="AU173" s="48"/>
      <c r="AV173" s="48"/>
      <c r="AW173" s="48"/>
      <c r="AX173" s="48"/>
      <c r="AY173" s="48"/>
      <c r="AZ173" s="48"/>
      <c r="BA173" s="48"/>
      <c r="BB173" s="48"/>
      <c r="BC173" s="48"/>
      <c r="BD173" s="48"/>
      <c r="BE173" s="48"/>
      <c r="BF173" s="48"/>
      <c r="BG173" s="48"/>
      <c r="BH173" s="48"/>
      <c r="BI173" s="48"/>
    </row>
    <row r="174" ht="15.75" customHeight="1">
      <c r="A174" s="41" t="str">
        <f t="shared" ref="A174:A236" si="4">+$C$171&amp;B174</f>
        <v>Service</v>
      </c>
      <c r="B174" s="57"/>
      <c r="C174" s="117" t="s">
        <v>221</v>
      </c>
      <c r="D174" s="86" t="s">
        <v>222</v>
      </c>
      <c r="E174" s="118" t="s">
        <v>95</v>
      </c>
      <c r="F174" s="117" t="s">
        <v>221</v>
      </c>
      <c r="G174" s="86" t="s">
        <v>222</v>
      </c>
      <c r="H174" s="118" t="s">
        <v>95</v>
      </c>
      <c r="I174" s="117" t="s">
        <v>221</v>
      </c>
      <c r="J174" s="86" t="s">
        <v>222</v>
      </c>
      <c r="K174" s="118" t="s">
        <v>95</v>
      </c>
      <c r="L174" s="117" t="s">
        <v>221</v>
      </c>
      <c r="M174" s="86" t="s">
        <v>222</v>
      </c>
      <c r="N174" s="118" t="s">
        <v>95</v>
      </c>
      <c r="O174" s="117" t="s">
        <v>221</v>
      </c>
      <c r="P174" s="86" t="s">
        <v>222</v>
      </c>
      <c r="Q174" s="118" t="s">
        <v>95</v>
      </c>
      <c r="R174" s="117" t="s">
        <v>221</v>
      </c>
      <c r="S174" s="86" t="s">
        <v>222</v>
      </c>
      <c r="T174" s="118" t="s">
        <v>95</v>
      </c>
      <c r="U174" s="117" t="s">
        <v>221</v>
      </c>
      <c r="V174" s="86" t="s">
        <v>222</v>
      </c>
      <c r="W174" s="118" t="s">
        <v>95</v>
      </c>
      <c r="X174" s="117" t="s">
        <v>221</v>
      </c>
      <c r="Y174" s="86" t="s">
        <v>222</v>
      </c>
      <c r="Z174" s="118" t="s">
        <v>95</v>
      </c>
      <c r="AA174" s="117" t="s">
        <v>221</v>
      </c>
      <c r="AB174" s="86" t="s">
        <v>222</v>
      </c>
      <c r="AC174" s="118" t="s">
        <v>95</v>
      </c>
      <c r="AD174" s="117" t="s">
        <v>221</v>
      </c>
      <c r="AE174" s="86" t="s">
        <v>222</v>
      </c>
      <c r="AF174" s="118" t="s">
        <v>95</v>
      </c>
      <c r="AG174" s="117" t="s">
        <v>221</v>
      </c>
      <c r="AH174" s="86" t="s">
        <v>222</v>
      </c>
      <c r="AI174" s="118" t="s">
        <v>95</v>
      </c>
      <c r="AJ174" s="117" t="s">
        <v>221</v>
      </c>
      <c r="AK174" s="86" t="s">
        <v>222</v>
      </c>
      <c r="AL174" s="118" t="s">
        <v>95</v>
      </c>
      <c r="AM174" s="117" t="s">
        <v>221</v>
      </c>
      <c r="AN174" s="86" t="s">
        <v>222</v>
      </c>
      <c r="AO174" s="118" t="s">
        <v>95</v>
      </c>
      <c r="AP174" s="48"/>
      <c r="AQ174" s="48"/>
      <c r="AR174" s="48"/>
      <c r="AS174" s="48"/>
      <c r="AT174" s="48"/>
      <c r="AU174" s="48"/>
      <c r="AV174" s="48"/>
      <c r="AW174" s="48"/>
      <c r="AX174" s="48"/>
      <c r="AY174" s="48"/>
      <c r="AZ174" s="48"/>
      <c r="BA174" s="48"/>
      <c r="BB174" s="48"/>
      <c r="BC174" s="48"/>
      <c r="BD174" s="48"/>
      <c r="BE174" s="48"/>
      <c r="BF174" s="48"/>
      <c r="BG174" s="48"/>
      <c r="BH174" s="48"/>
      <c r="BI174" s="48"/>
    </row>
    <row r="175" ht="15.75" customHeight="1">
      <c r="A175" s="41" t="str">
        <f t="shared" si="4"/>
        <v>ServiceM/O Client</v>
      </c>
      <c r="B175" s="57" t="s">
        <v>162</v>
      </c>
      <c r="C175" s="126"/>
      <c r="D175" s="88"/>
      <c r="E175" s="75"/>
      <c r="F175" s="126"/>
      <c r="G175" s="88"/>
      <c r="H175" s="75"/>
      <c r="I175" s="126"/>
      <c r="J175" s="88"/>
      <c r="K175" s="75"/>
      <c r="L175" s="126"/>
      <c r="M175" s="88"/>
      <c r="N175" s="75"/>
      <c r="O175" s="126"/>
      <c r="P175" s="88"/>
      <c r="Q175" s="75"/>
      <c r="R175" s="126"/>
      <c r="S175" s="88"/>
      <c r="T175" s="75"/>
      <c r="U175" s="126"/>
      <c r="V175" s="88"/>
      <c r="W175" s="75"/>
      <c r="X175" s="126"/>
      <c r="Y175" s="88"/>
      <c r="Z175" s="75"/>
      <c r="AA175" s="126"/>
      <c r="AB175" s="88"/>
      <c r="AC175" s="75"/>
      <c r="AD175" s="126"/>
      <c r="AE175" s="88"/>
      <c r="AF175" s="75"/>
      <c r="AG175" s="126"/>
      <c r="AH175" s="88"/>
      <c r="AI175" s="75"/>
      <c r="AJ175" s="126"/>
      <c r="AK175" s="88"/>
      <c r="AL175" s="75"/>
      <c r="AM175" s="126"/>
      <c r="AN175" s="88"/>
      <c r="AO175" s="75"/>
      <c r="AP175" s="48"/>
      <c r="AQ175" s="48"/>
      <c r="AR175" s="48"/>
      <c r="AS175" s="48"/>
      <c r="AT175" s="48"/>
      <c r="AU175" s="48"/>
      <c r="AV175" s="48"/>
      <c r="AW175" s="48"/>
      <c r="AX175" s="48"/>
      <c r="AY175" s="48"/>
      <c r="AZ175" s="48"/>
      <c r="BA175" s="48"/>
      <c r="BB175" s="48"/>
      <c r="BC175" s="48"/>
      <c r="BD175" s="48"/>
      <c r="BE175" s="48"/>
      <c r="BF175" s="48"/>
      <c r="BG175" s="48"/>
      <c r="BH175" s="48"/>
      <c r="BI175" s="48"/>
    </row>
    <row r="176" ht="15.75" customHeight="1">
      <c r="A176" s="41" t="str">
        <f t="shared" si="4"/>
        <v>Service% profit / ventes</v>
      </c>
      <c r="B176" s="57" t="s">
        <v>163</v>
      </c>
      <c r="C176" s="126"/>
      <c r="D176" s="74"/>
      <c r="E176" s="127"/>
      <c r="F176" s="126"/>
      <c r="G176" s="74"/>
      <c r="H176" s="127"/>
      <c r="I176" s="126"/>
      <c r="J176" s="74"/>
      <c r="K176" s="127"/>
      <c r="L176" s="126"/>
      <c r="M176" s="74"/>
      <c r="N176" s="127"/>
      <c r="O176" s="126"/>
      <c r="P176" s="74"/>
      <c r="Q176" s="127"/>
      <c r="R176" s="126"/>
      <c r="S176" s="74"/>
      <c r="T176" s="127"/>
      <c r="U176" s="126"/>
      <c r="V176" s="74"/>
      <c r="W176" s="127"/>
      <c r="X176" s="126"/>
      <c r="Y176" s="74"/>
      <c r="Z176" s="127"/>
      <c r="AA176" s="126"/>
      <c r="AB176" s="74"/>
      <c r="AC176" s="127"/>
      <c r="AD176" s="126"/>
      <c r="AE176" s="74"/>
      <c r="AF176" s="127"/>
      <c r="AG176" s="126"/>
      <c r="AH176" s="74"/>
      <c r="AI176" s="127"/>
      <c r="AJ176" s="126"/>
      <c r="AK176" s="74"/>
      <c r="AL176" s="127"/>
      <c r="AM176" s="126"/>
      <c r="AN176" s="74"/>
      <c r="AO176" s="127"/>
      <c r="AP176" s="48"/>
      <c r="AQ176" s="48"/>
      <c r="AR176" s="48"/>
      <c r="AS176" s="48"/>
      <c r="AT176" s="48"/>
      <c r="AU176" s="48"/>
      <c r="AV176" s="48"/>
      <c r="AW176" s="48"/>
      <c r="AX176" s="48"/>
      <c r="AY176" s="48"/>
      <c r="AZ176" s="48"/>
      <c r="BA176" s="48"/>
      <c r="BB176" s="48"/>
      <c r="BC176" s="48"/>
      <c r="BD176" s="48"/>
      <c r="BE176" s="48"/>
      <c r="BF176" s="48"/>
      <c r="BG176" s="48"/>
      <c r="BH176" s="48"/>
      <c r="BI176" s="48"/>
    </row>
    <row r="177" ht="15.75" customHeight="1">
      <c r="A177" s="41" t="str">
        <f t="shared" si="4"/>
        <v>Service</v>
      </c>
      <c r="B177" s="53"/>
      <c r="C177" s="128"/>
      <c r="D177" s="129"/>
      <c r="E177" s="130"/>
      <c r="F177" s="128"/>
      <c r="G177" s="129"/>
      <c r="H177" s="130"/>
      <c r="I177" s="128"/>
      <c r="J177" s="129"/>
      <c r="K177" s="130"/>
      <c r="L177" s="128"/>
      <c r="M177" s="129"/>
      <c r="N177" s="130"/>
      <c r="O177" s="128"/>
      <c r="P177" s="129"/>
      <c r="Q177" s="130"/>
      <c r="R177" s="128"/>
      <c r="S177" s="129"/>
      <c r="T177" s="130"/>
      <c r="U177" s="128"/>
      <c r="V177" s="129"/>
      <c r="W177" s="130"/>
      <c r="X177" s="128"/>
      <c r="Y177" s="129"/>
      <c r="Z177" s="130"/>
      <c r="AA177" s="128"/>
      <c r="AB177" s="129"/>
      <c r="AC177" s="130"/>
      <c r="AD177" s="128"/>
      <c r="AE177" s="129"/>
      <c r="AF177" s="130"/>
      <c r="AG177" s="128"/>
      <c r="AH177" s="129"/>
      <c r="AI177" s="130"/>
      <c r="AJ177" s="128"/>
      <c r="AK177" s="129"/>
      <c r="AL177" s="130"/>
      <c r="AM177" s="128"/>
      <c r="AN177" s="129"/>
      <c r="AO177" s="130"/>
      <c r="AP177" s="48"/>
      <c r="AQ177" s="48"/>
      <c r="AR177" s="48"/>
      <c r="AS177" s="48"/>
      <c r="AT177" s="48"/>
      <c r="AU177" s="48"/>
      <c r="AV177" s="48"/>
      <c r="AW177" s="48"/>
      <c r="AX177" s="48"/>
      <c r="AY177" s="48"/>
      <c r="AZ177" s="48"/>
      <c r="BA177" s="48"/>
      <c r="BB177" s="48"/>
      <c r="BC177" s="48"/>
      <c r="BD177" s="48"/>
      <c r="BE177" s="48"/>
      <c r="BF177" s="48"/>
      <c r="BG177" s="48"/>
      <c r="BH177" s="48"/>
      <c r="BI177" s="48"/>
    </row>
    <row r="178" ht="15.75" customHeight="1">
      <c r="A178" s="41" t="str">
        <f t="shared" si="4"/>
        <v>ServiceM/O Garantie</v>
      </c>
      <c r="B178" s="49" t="s">
        <v>164</v>
      </c>
      <c r="C178" s="131"/>
      <c r="D178" s="132"/>
      <c r="E178" s="99"/>
      <c r="F178" s="131"/>
      <c r="G178" s="132"/>
      <c r="H178" s="99"/>
      <c r="I178" s="131"/>
      <c r="J178" s="132"/>
      <c r="K178" s="99"/>
      <c r="L178" s="131"/>
      <c r="M178" s="132"/>
      <c r="N178" s="99"/>
      <c r="O178" s="131"/>
      <c r="P178" s="132"/>
      <c r="Q178" s="99"/>
      <c r="R178" s="131"/>
      <c r="S178" s="132"/>
      <c r="T178" s="99"/>
      <c r="U178" s="131"/>
      <c r="V178" s="132"/>
      <c r="W178" s="99"/>
      <c r="X178" s="131"/>
      <c r="Y178" s="132"/>
      <c r="Z178" s="99"/>
      <c r="AA178" s="131"/>
      <c r="AB178" s="132"/>
      <c r="AC178" s="99"/>
      <c r="AD178" s="131"/>
      <c r="AE178" s="132"/>
      <c r="AF178" s="99"/>
      <c r="AG178" s="131"/>
      <c r="AH178" s="132"/>
      <c r="AI178" s="99"/>
      <c r="AJ178" s="131"/>
      <c r="AK178" s="132"/>
      <c r="AL178" s="99"/>
      <c r="AM178" s="131"/>
      <c r="AN178" s="132"/>
      <c r="AO178" s="99"/>
      <c r="AP178" s="48"/>
      <c r="AQ178" s="48"/>
      <c r="AR178" s="48"/>
      <c r="AS178" s="48"/>
      <c r="AT178" s="48"/>
      <c r="AU178" s="48"/>
      <c r="AV178" s="48"/>
      <c r="AW178" s="48"/>
      <c r="AX178" s="48"/>
      <c r="AY178" s="48"/>
      <c r="AZ178" s="48"/>
      <c r="BA178" s="48"/>
      <c r="BB178" s="48"/>
      <c r="BC178" s="48"/>
      <c r="BD178" s="48"/>
      <c r="BE178" s="48"/>
      <c r="BF178" s="48"/>
      <c r="BG178" s="48"/>
      <c r="BH178" s="48"/>
      <c r="BI178" s="48"/>
    </row>
    <row r="179" ht="15.75" customHeight="1">
      <c r="A179" s="41" t="str">
        <f t="shared" si="4"/>
        <v>Service% profit / ventes</v>
      </c>
      <c r="B179" s="57" t="s">
        <v>163</v>
      </c>
      <c r="C179" s="57"/>
      <c r="D179" s="74"/>
      <c r="E179" s="127"/>
      <c r="F179" s="57"/>
      <c r="G179" s="74"/>
      <c r="H179" s="127"/>
      <c r="I179" s="57"/>
      <c r="J179" s="74"/>
      <c r="K179" s="127"/>
      <c r="L179" s="57"/>
      <c r="M179" s="74"/>
      <c r="N179" s="127"/>
      <c r="O179" s="57"/>
      <c r="P179" s="74"/>
      <c r="Q179" s="127"/>
      <c r="R179" s="57"/>
      <c r="S179" s="74"/>
      <c r="T179" s="127"/>
      <c r="U179" s="57"/>
      <c r="V179" s="74"/>
      <c r="W179" s="127"/>
      <c r="X179" s="57"/>
      <c r="Y179" s="74"/>
      <c r="Z179" s="127"/>
      <c r="AA179" s="57"/>
      <c r="AB179" s="74"/>
      <c r="AC179" s="127"/>
      <c r="AD179" s="57"/>
      <c r="AE179" s="74"/>
      <c r="AF179" s="127"/>
      <c r="AG179" s="57"/>
      <c r="AH179" s="74"/>
      <c r="AI179" s="127"/>
      <c r="AJ179" s="57"/>
      <c r="AK179" s="74"/>
      <c r="AL179" s="127"/>
      <c r="AM179" s="57"/>
      <c r="AN179" s="74"/>
      <c r="AO179" s="127"/>
      <c r="AP179" s="48"/>
      <c r="AQ179" s="48"/>
      <c r="AR179" s="48"/>
      <c r="AS179" s="48"/>
      <c r="AT179" s="48"/>
      <c r="AU179" s="48"/>
      <c r="AV179" s="48"/>
      <c r="AW179" s="48"/>
      <c r="AX179" s="48"/>
      <c r="AY179" s="48"/>
      <c r="AZ179" s="48"/>
      <c r="BA179" s="48"/>
      <c r="BB179" s="48"/>
      <c r="BC179" s="48"/>
      <c r="BD179" s="48"/>
      <c r="BE179" s="48"/>
      <c r="BF179" s="48"/>
      <c r="BG179" s="48"/>
      <c r="BH179" s="48"/>
      <c r="BI179" s="48"/>
    </row>
    <row r="180" ht="15.75" customHeight="1">
      <c r="A180" s="41" t="str">
        <f t="shared" si="4"/>
        <v>Service</v>
      </c>
      <c r="B180" s="53"/>
      <c r="C180" s="53"/>
      <c r="D180" s="129"/>
      <c r="E180" s="130"/>
      <c r="F180" s="53"/>
      <c r="G180" s="129"/>
      <c r="H180" s="130"/>
      <c r="I180" s="53"/>
      <c r="J180" s="129"/>
      <c r="K180" s="130"/>
      <c r="L180" s="53"/>
      <c r="M180" s="129"/>
      <c r="N180" s="130"/>
      <c r="O180" s="53"/>
      <c r="P180" s="129"/>
      <c r="Q180" s="130"/>
      <c r="R180" s="53"/>
      <c r="S180" s="129"/>
      <c r="T180" s="130"/>
      <c r="U180" s="53"/>
      <c r="V180" s="129"/>
      <c r="W180" s="130"/>
      <c r="X180" s="53"/>
      <c r="Y180" s="129"/>
      <c r="Z180" s="130"/>
      <c r="AA180" s="53"/>
      <c r="AB180" s="129"/>
      <c r="AC180" s="130"/>
      <c r="AD180" s="53"/>
      <c r="AE180" s="129"/>
      <c r="AF180" s="130"/>
      <c r="AG180" s="53"/>
      <c r="AH180" s="129"/>
      <c r="AI180" s="130"/>
      <c r="AJ180" s="53"/>
      <c r="AK180" s="129"/>
      <c r="AL180" s="130"/>
      <c r="AM180" s="53"/>
      <c r="AN180" s="129"/>
      <c r="AO180" s="130"/>
      <c r="AP180" s="48"/>
      <c r="AQ180" s="48"/>
      <c r="AR180" s="48"/>
      <c r="AS180" s="48"/>
      <c r="AT180" s="48"/>
      <c r="AU180" s="48"/>
      <c r="AV180" s="48"/>
      <c r="AW180" s="48"/>
      <c r="AX180" s="48"/>
      <c r="AY180" s="48"/>
      <c r="AZ180" s="48"/>
      <c r="BA180" s="48"/>
      <c r="BB180" s="48"/>
      <c r="BC180" s="48"/>
      <c r="BD180" s="48"/>
      <c r="BE180" s="48"/>
      <c r="BF180" s="48"/>
      <c r="BG180" s="48"/>
      <c r="BH180" s="48"/>
      <c r="BI180" s="48"/>
    </row>
    <row r="181" ht="15.75" customHeight="1">
      <c r="A181" s="41" t="str">
        <f t="shared" si="4"/>
        <v>ServiceM/O Interne</v>
      </c>
      <c r="B181" s="57" t="s">
        <v>165</v>
      </c>
      <c r="C181" s="126"/>
      <c r="D181" s="88"/>
      <c r="E181" s="75"/>
      <c r="F181" s="126"/>
      <c r="G181" s="88"/>
      <c r="H181" s="75"/>
      <c r="I181" s="126"/>
      <c r="J181" s="88"/>
      <c r="K181" s="75"/>
      <c r="L181" s="126"/>
      <c r="M181" s="88"/>
      <c r="N181" s="75"/>
      <c r="O181" s="126"/>
      <c r="P181" s="88"/>
      <c r="Q181" s="75"/>
      <c r="R181" s="126"/>
      <c r="S181" s="249"/>
      <c r="T181" s="250"/>
      <c r="U181" s="126"/>
      <c r="V181" s="249"/>
      <c r="W181" s="75"/>
      <c r="X181" s="126"/>
      <c r="Y181" s="249"/>
      <c r="Z181" s="75"/>
      <c r="AA181" s="126"/>
      <c r="AB181" s="249"/>
      <c r="AC181" s="75"/>
      <c r="AD181" s="126"/>
      <c r="AE181" s="249"/>
      <c r="AF181" s="75"/>
      <c r="AG181" s="126"/>
      <c r="AH181" s="88"/>
      <c r="AI181" s="75"/>
      <c r="AJ181" s="126"/>
      <c r="AK181" s="88"/>
      <c r="AL181" s="75"/>
      <c r="AM181" s="126"/>
      <c r="AN181" s="88"/>
      <c r="AO181" s="75"/>
      <c r="AP181" s="48"/>
      <c r="AQ181" s="48"/>
      <c r="AR181" s="48"/>
      <c r="AS181" s="48"/>
      <c r="AT181" s="48"/>
      <c r="AU181" s="48"/>
      <c r="AV181" s="48"/>
      <c r="AW181" s="48"/>
      <c r="AX181" s="48"/>
      <c r="AY181" s="48"/>
      <c r="AZ181" s="48"/>
      <c r="BA181" s="48"/>
      <c r="BB181" s="48"/>
      <c r="BC181" s="48"/>
      <c r="BD181" s="48"/>
      <c r="BE181" s="48"/>
      <c r="BF181" s="48"/>
      <c r="BG181" s="48"/>
      <c r="BH181" s="48"/>
      <c r="BI181" s="48"/>
    </row>
    <row r="182" ht="15.75" customHeight="1">
      <c r="A182" s="41" t="str">
        <f t="shared" si="4"/>
        <v>Service% profit / ventes</v>
      </c>
      <c r="B182" s="57" t="s">
        <v>163</v>
      </c>
      <c r="C182" s="126"/>
      <c r="D182" s="133"/>
      <c r="E182" s="127"/>
      <c r="F182" s="126"/>
      <c r="G182" s="133"/>
      <c r="H182" s="127"/>
      <c r="I182" s="126"/>
      <c r="J182" s="133"/>
      <c r="K182" s="127"/>
      <c r="L182" s="126"/>
      <c r="M182" s="133"/>
      <c r="N182" s="127"/>
      <c r="O182" s="126"/>
      <c r="P182" s="133"/>
      <c r="Q182" s="127"/>
      <c r="R182" s="126"/>
      <c r="S182" s="133"/>
      <c r="T182" s="127"/>
      <c r="U182" s="126"/>
      <c r="V182" s="133"/>
      <c r="W182" s="127"/>
      <c r="X182" s="126"/>
      <c r="Y182" s="133"/>
      <c r="Z182" s="127"/>
      <c r="AA182" s="126"/>
      <c r="AB182" s="133"/>
      <c r="AC182" s="127"/>
      <c r="AD182" s="126"/>
      <c r="AE182" s="133"/>
      <c r="AF182" s="127"/>
      <c r="AG182" s="126"/>
      <c r="AH182" s="133"/>
      <c r="AI182" s="127"/>
      <c r="AJ182" s="126"/>
      <c r="AK182" s="133"/>
      <c r="AL182" s="127"/>
      <c r="AM182" s="126"/>
      <c r="AN182" s="133"/>
      <c r="AO182" s="127"/>
      <c r="AP182" s="48"/>
      <c r="AQ182" s="48"/>
      <c r="AR182" s="48"/>
      <c r="AS182" s="48"/>
      <c r="AT182" s="48"/>
      <c r="AU182" s="48"/>
      <c r="AV182" s="48"/>
      <c r="AW182" s="48"/>
      <c r="AX182" s="48"/>
      <c r="AY182" s="48"/>
      <c r="AZ182" s="48"/>
      <c r="BA182" s="48"/>
      <c r="BB182" s="48"/>
      <c r="BC182" s="48"/>
      <c r="BD182" s="48"/>
      <c r="BE182" s="48"/>
      <c r="BF182" s="48"/>
      <c r="BG182" s="48"/>
      <c r="BH182" s="48"/>
      <c r="BI182" s="48"/>
    </row>
    <row r="183" ht="15.75" customHeight="1">
      <c r="A183" s="41" t="str">
        <f t="shared" si="4"/>
        <v>Service</v>
      </c>
      <c r="B183" s="57"/>
      <c r="C183" s="126"/>
      <c r="D183" s="134"/>
      <c r="E183" s="127"/>
      <c r="F183" s="126"/>
      <c r="G183" s="134"/>
      <c r="H183" s="127"/>
      <c r="I183" s="126"/>
      <c r="J183" s="134"/>
      <c r="K183" s="127"/>
      <c r="L183" s="126"/>
      <c r="M183" s="134"/>
      <c r="N183" s="127"/>
      <c r="O183" s="126"/>
      <c r="P183" s="134"/>
      <c r="Q183" s="127"/>
      <c r="R183" s="126"/>
      <c r="S183" s="134"/>
      <c r="T183" s="127"/>
      <c r="U183" s="126"/>
      <c r="V183" s="134"/>
      <c r="W183" s="127"/>
      <c r="X183" s="126"/>
      <c r="Y183" s="134"/>
      <c r="Z183" s="127"/>
      <c r="AA183" s="126"/>
      <c r="AB183" s="134"/>
      <c r="AC183" s="127"/>
      <c r="AD183" s="126"/>
      <c r="AE183" s="134"/>
      <c r="AF183" s="127"/>
      <c r="AG183" s="126"/>
      <c r="AH183" s="134"/>
      <c r="AI183" s="127"/>
      <c r="AJ183" s="126"/>
      <c r="AK183" s="134"/>
      <c r="AL183" s="127"/>
      <c r="AM183" s="126"/>
      <c r="AN183" s="134"/>
      <c r="AO183" s="127"/>
      <c r="AP183" s="48"/>
      <c r="AQ183" s="48"/>
      <c r="AR183" s="48"/>
      <c r="AS183" s="48"/>
      <c r="AT183" s="48"/>
      <c r="AU183" s="48"/>
      <c r="AV183" s="48"/>
      <c r="AW183" s="48"/>
      <c r="AX183" s="48"/>
      <c r="AY183" s="48"/>
      <c r="AZ183" s="48"/>
      <c r="BA183" s="48"/>
      <c r="BB183" s="48"/>
      <c r="BC183" s="48"/>
      <c r="BD183" s="48"/>
      <c r="BE183" s="48"/>
      <c r="BF183" s="48"/>
      <c r="BG183" s="48"/>
      <c r="BH183" s="48"/>
      <c r="BI183" s="48"/>
    </row>
    <row r="184" ht="15.75" customHeight="1">
      <c r="A184" s="41" t="str">
        <f t="shared" si="4"/>
        <v>ServiceM/O Esthétique</v>
      </c>
      <c r="B184" s="49" t="s">
        <v>166</v>
      </c>
      <c r="C184" s="131"/>
      <c r="D184" s="132"/>
      <c r="E184" s="99"/>
      <c r="F184" s="131"/>
      <c r="G184" s="132"/>
      <c r="H184" s="99"/>
      <c r="I184" s="131"/>
      <c r="J184" s="132"/>
      <c r="K184" s="99"/>
      <c r="L184" s="131"/>
      <c r="M184" s="132"/>
      <c r="N184" s="99"/>
      <c r="O184" s="131"/>
      <c r="P184" s="132"/>
      <c r="Q184" s="99"/>
      <c r="R184" s="131"/>
      <c r="S184" s="132"/>
      <c r="T184" s="99"/>
      <c r="U184" s="131"/>
      <c r="V184" s="132"/>
      <c r="W184" s="99"/>
      <c r="X184" s="131"/>
      <c r="Y184" s="132"/>
      <c r="Z184" s="99"/>
      <c r="AA184" s="131"/>
      <c r="AB184" s="132"/>
      <c r="AC184" s="99"/>
      <c r="AD184" s="131"/>
      <c r="AE184" s="132"/>
      <c r="AF184" s="99"/>
      <c r="AG184" s="131"/>
      <c r="AH184" s="132"/>
      <c r="AI184" s="99"/>
      <c r="AJ184" s="131"/>
      <c r="AK184" s="132"/>
      <c r="AL184" s="99"/>
      <c r="AM184" s="131"/>
      <c r="AN184" s="132"/>
      <c r="AO184" s="99"/>
      <c r="AP184" s="48"/>
      <c r="AQ184" s="48"/>
      <c r="AR184" s="48"/>
      <c r="AS184" s="48"/>
      <c r="AT184" s="48"/>
      <c r="AU184" s="48"/>
      <c r="AV184" s="48"/>
      <c r="AW184" s="48"/>
      <c r="AX184" s="48"/>
      <c r="AY184" s="48"/>
      <c r="AZ184" s="48"/>
      <c r="BA184" s="48"/>
      <c r="BB184" s="48"/>
      <c r="BC184" s="48"/>
      <c r="BD184" s="48"/>
      <c r="BE184" s="48"/>
      <c r="BF184" s="48"/>
      <c r="BG184" s="48"/>
      <c r="BH184" s="48"/>
      <c r="BI184" s="48"/>
    </row>
    <row r="185" ht="15.75" customHeight="1">
      <c r="A185" s="41" t="str">
        <f t="shared" si="4"/>
        <v>Service% profit / ventes</v>
      </c>
      <c r="B185" s="57" t="s">
        <v>163</v>
      </c>
      <c r="C185" s="135"/>
      <c r="D185" s="136"/>
      <c r="E185" s="127"/>
      <c r="F185" s="135"/>
      <c r="G185" s="136"/>
      <c r="H185" s="127"/>
      <c r="I185" s="135"/>
      <c r="J185" s="136"/>
      <c r="K185" s="127"/>
      <c r="L185" s="135"/>
      <c r="M185" s="136"/>
      <c r="N185" s="127"/>
      <c r="O185" s="135"/>
      <c r="P185" s="136"/>
      <c r="Q185" s="127"/>
      <c r="R185" s="135"/>
      <c r="S185" s="136"/>
      <c r="T185" s="127"/>
      <c r="U185" s="135"/>
      <c r="V185" s="136"/>
      <c r="W185" s="127"/>
      <c r="X185" s="135"/>
      <c r="Y185" s="136"/>
      <c r="Z185" s="127"/>
      <c r="AA185" s="135"/>
      <c r="AB185" s="136"/>
      <c r="AC185" s="127"/>
      <c r="AD185" s="135"/>
      <c r="AE185" s="136"/>
      <c r="AF185" s="127"/>
      <c r="AG185" s="135"/>
      <c r="AH185" s="136"/>
      <c r="AI185" s="127"/>
      <c r="AJ185" s="135"/>
      <c r="AK185" s="136"/>
      <c r="AL185" s="127"/>
      <c r="AM185" s="135"/>
      <c r="AN185" s="136"/>
      <c r="AO185" s="127"/>
      <c r="AP185" s="48"/>
      <c r="AQ185" s="48"/>
      <c r="AR185" s="48"/>
      <c r="AS185" s="48"/>
      <c r="AT185" s="48"/>
      <c r="AU185" s="48"/>
      <c r="AV185" s="48"/>
      <c r="AW185" s="48"/>
      <c r="AX185" s="48"/>
      <c r="AY185" s="48"/>
      <c r="AZ185" s="48"/>
      <c r="BA185" s="48"/>
      <c r="BB185" s="48"/>
      <c r="BC185" s="48"/>
      <c r="BD185" s="48"/>
      <c r="BE185" s="48"/>
      <c r="BF185" s="48"/>
      <c r="BG185" s="48"/>
      <c r="BH185" s="48"/>
      <c r="BI185" s="48"/>
    </row>
    <row r="186" ht="15.75" customHeight="1">
      <c r="A186" s="41" t="str">
        <f t="shared" si="4"/>
        <v>Service</v>
      </c>
      <c r="B186" s="53"/>
      <c r="C186" s="137"/>
      <c r="D186" s="138"/>
      <c r="E186" s="130"/>
      <c r="F186" s="137"/>
      <c r="G186" s="138"/>
      <c r="H186" s="130"/>
      <c r="I186" s="137"/>
      <c r="J186" s="138"/>
      <c r="K186" s="130"/>
      <c r="L186" s="137"/>
      <c r="M186" s="138"/>
      <c r="N186" s="130"/>
      <c r="O186" s="137"/>
      <c r="P186" s="138"/>
      <c r="Q186" s="130"/>
      <c r="R186" s="137"/>
      <c r="S186" s="138"/>
      <c r="T186" s="130"/>
      <c r="U186" s="137"/>
      <c r="V186" s="138"/>
      <c r="W186" s="130"/>
      <c r="X186" s="137"/>
      <c r="Y186" s="138"/>
      <c r="Z186" s="130"/>
      <c r="AA186" s="137"/>
      <c r="AB186" s="138"/>
      <c r="AC186" s="130"/>
      <c r="AD186" s="137"/>
      <c r="AE186" s="138"/>
      <c r="AF186" s="130"/>
      <c r="AG186" s="137"/>
      <c r="AH186" s="138"/>
      <c r="AI186" s="130"/>
      <c r="AJ186" s="137"/>
      <c r="AK186" s="138"/>
      <c r="AL186" s="130"/>
      <c r="AM186" s="137"/>
      <c r="AN186" s="138"/>
      <c r="AO186" s="130"/>
      <c r="AP186" s="48"/>
      <c r="AQ186" s="48"/>
      <c r="AR186" s="48"/>
      <c r="AS186" s="48"/>
      <c r="AT186" s="48"/>
      <c r="AU186" s="48"/>
      <c r="AV186" s="48"/>
      <c r="AW186" s="48"/>
      <c r="AX186" s="48"/>
      <c r="AY186" s="48"/>
      <c r="AZ186" s="48"/>
      <c r="BA186" s="48"/>
      <c r="BB186" s="48"/>
      <c r="BC186" s="48"/>
      <c r="BD186" s="48"/>
      <c r="BE186" s="48"/>
      <c r="BF186" s="48"/>
      <c r="BG186" s="48"/>
      <c r="BH186" s="48"/>
      <c r="BI186" s="48"/>
    </row>
    <row r="187" ht="15.75" customHeight="1">
      <c r="A187" s="41" t="str">
        <f t="shared" si="4"/>
        <v>ServiceAjustement M/O</v>
      </c>
      <c r="B187" s="57" t="s">
        <v>167</v>
      </c>
      <c r="C187" s="126"/>
      <c r="D187" s="88"/>
      <c r="E187" s="75"/>
      <c r="F187" s="126"/>
      <c r="G187" s="88"/>
      <c r="H187" s="75"/>
      <c r="I187" s="126"/>
      <c r="J187" s="88"/>
      <c r="K187" s="75"/>
      <c r="L187" s="126"/>
      <c r="M187" s="88"/>
      <c r="N187" s="75"/>
      <c r="O187" s="126"/>
      <c r="P187" s="88"/>
      <c r="Q187" s="75"/>
      <c r="R187" s="126"/>
      <c r="S187" s="88"/>
      <c r="T187" s="75"/>
      <c r="U187" s="126"/>
      <c r="V187" s="88"/>
      <c r="W187" s="75"/>
      <c r="X187" s="126"/>
      <c r="Y187" s="88"/>
      <c r="Z187" s="75"/>
      <c r="AA187" s="126"/>
      <c r="AB187" s="88"/>
      <c r="AC187" s="75"/>
      <c r="AD187" s="126"/>
      <c r="AE187" s="88"/>
      <c r="AF187" s="75"/>
      <c r="AG187" s="126"/>
      <c r="AH187" s="88"/>
      <c r="AI187" s="75"/>
      <c r="AJ187" s="126"/>
      <c r="AK187" s="88"/>
      <c r="AL187" s="75"/>
      <c r="AM187" s="126"/>
      <c r="AN187" s="88"/>
      <c r="AO187" s="75"/>
      <c r="AP187" s="48"/>
      <c r="AQ187" s="48"/>
      <c r="AR187" s="48"/>
      <c r="AS187" s="48"/>
      <c r="AT187" s="48"/>
      <c r="AU187" s="48"/>
      <c r="AV187" s="48"/>
      <c r="AW187" s="48"/>
      <c r="AX187" s="48"/>
      <c r="AY187" s="48"/>
      <c r="AZ187" s="48"/>
      <c r="BA187" s="48"/>
      <c r="BB187" s="48"/>
      <c r="BC187" s="48"/>
      <c r="BD187" s="48"/>
      <c r="BE187" s="48"/>
      <c r="BF187" s="48"/>
      <c r="BG187" s="48"/>
      <c r="BH187" s="48"/>
      <c r="BI187" s="48"/>
    </row>
    <row r="188" ht="15.75" customHeight="1">
      <c r="A188" s="41" t="str">
        <f t="shared" si="4"/>
        <v>ServiceSous-total M/O</v>
      </c>
      <c r="B188" s="76" t="s">
        <v>168</v>
      </c>
      <c r="C188" s="77"/>
      <c r="D188" s="139"/>
      <c r="E188" s="79"/>
      <c r="F188" s="77"/>
      <c r="G188" s="139"/>
      <c r="H188" s="79"/>
      <c r="I188" s="77"/>
      <c r="J188" s="139"/>
      <c r="K188" s="79"/>
      <c r="L188" s="77"/>
      <c r="M188" s="139"/>
      <c r="N188" s="79"/>
      <c r="O188" s="77"/>
      <c r="P188" s="139"/>
      <c r="Q188" s="79"/>
      <c r="R188" s="77"/>
      <c r="S188" s="139"/>
      <c r="T188" s="79"/>
      <c r="U188" s="77"/>
      <c r="V188" s="139"/>
      <c r="W188" s="79"/>
      <c r="X188" s="77"/>
      <c r="Y188" s="139"/>
      <c r="Z188" s="79"/>
      <c r="AA188" s="77"/>
      <c r="AB188" s="139"/>
      <c r="AC188" s="79"/>
      <c r="AD188" s="77"/>
      <c r="AE188" s="139"/>
      <c r="AF188" s="79"/>
      <c r="AG188" s="77"/>
      <c r="AH188" s="139"/>
      <c r="AI188" s="79"/>
      <c r="AJ188" s="77"/>
      <c r="AK188" s="139"/>
      <c r="AL188" s="79"/>
      <c r="AM188" s="77"/>
      <c r="AN188" s="139"/>
      <c r="AO188" s="79"/>
      <c r="AP188" s="48"/>
      <c r="AQ188" s="48"/>
      <c r="AR188" s="48"/>
      <c r="AS188" s="48"/>
      <c r="AT188" s="48"/>
      <c r="AU188" s="48"/>
      <c r="AV188" s="48"/>
      <c r="AW188" s="48"/>
      <c r="AX188" s="48"/>
      <c r="AY188" s="48"/>
      <c r="AZ188" s="48"/>
      <c r="BA188" s="48"/>
      <c r="BB188" s="48"/>
      <c r="BC188" s="48"/>
      <c r="BD188" s="48"/>
      <c r="BE188" s="48"/>
      <c r="BF188" s="48"/>
      <c r="BG188" s="48"/>
      <c r="BH188" s="48"/>
      <c r="BI188" s="48"/>
    </row>
    <row r="189" ht="15.75" customHeight="1">
      <c r="A189" s="41" t="str">
        <f t="shared" si="4"/>
        <v>Service% protit / ventes</v>
      </c>
      <c r="B189" s="66" t="s">
        <v>169</v>
      </c>
      <c r="C189" s="137"/>
      <c r="D189" s="140"/>
      <c r="E189" s="141"/>
      <c r="F189" s="137"/>
      <c r="G189" s="140"/>
      <c r="H189" s="141"/>
      <c r="I189" s="137"/>
      <c r="J189" s="140"/>
      <c r="K189" s="141"/>
      <c r="L189" s="137"/>
      <c r="M189" s="140"/>
      <c r="N189" s="141"/>
      <c r="O189" s="137"/>
      <c r="P189" s="140"/>
      <c r="Q189" s="141"/>
      <c r="R189" s="137"/>
      <c r="S189" s="140"/>
      <c r="T189" s="141"/>
      <c r="U189" s="137"/>
      <c r="V189" s="140"/>
      <c r="W189" s="141"/>
      <c r="X189" s="137"/>
      <c r="Y189" s="140"/>
      <c r="Z189" s="141"/>
      <c r="AA189" s="137"/>
      <c r="AB189" s="140"/>
      <c r="AC189" s="141"/>
      <c r="AD189" s="137"/>
      <c r="AE189" s="140"/>
      <c r="AF189" s="141"/>
      <c r="AG189" s="137"/>
      <c r="AH189" s="140"/>
      <c r="AI189" s="141"/>
      <c r="AJ189" s="137"/>
      <c r="AK189" s="140"/>
      <c r="AL189" s="141"/>
      <c r="AM189" s="137"/>
      <c r="AN189" s="140"/>
      <c r="AO189" s="141"/>
      <c r="AP189" s="48"/>
      <c r="AQ189" s="48"/>
      <c r="AR189" s="48"/>
      <c r="AS189" s="48"/>
      <c r="AT189" s="48"/>
      <c r="AU189" s="48"/>
      <c r="AV189" s="48"/>
      <c r="AW189" s="48"/>
      <c r="AX189" s="48"/>
      <c r="AY189" s="48"/>
      <c r="AZ189" s="48"/>
      <c r="BA189" s="48"/>
      <c r="BB189" s="48"/>
      <c r="BC189" s="48"/>
      <c r="BD189" s="48"/>
      <c r="BE189" s="48"/>
      <c r="BF189" s="48"/>
      <c r="BG189" s="48"/>
      <c r="BH189" s="48"/>
      <c r="BI189" s="48"/>
    </row>
    <row r="190" ht="15.75" customHeight="1">
      <c r="A190" s="41" t="str">
        <f t="shared" si="4"/>
        <v>Service</v>
      </c>
      <c r="B190" s="61"/>
      <c r="C190" s="126"/>
      <c r="D190" s="88"/>
      <c r="E190" s="99"/>
      <c r="F190" s="126"/>
      <c r="G190" s="88"/>
      <c r="H190" s="99"/>
      <c r="I190" s="126"/>
      <c r="J190" s="88"/>
      <c r="K190" s="99"/>
      <c r="L190" s="126"/>
      <c r="M190" s="88"/>
      <c r="N190" s="99"/>
      <c r="O190" s="126"/>
      <c r="P190" s="88"/>
      <c r="Q190" s="99"/>
      <c r="R190" s="126"/>
      <c r="S190" s="88"/>
      <c r="T190" s="99"/>
      <c r="U190" s="126"/>
      <c r="V190" s="88"/>
      <c r="W190" s="99"/>
      <c r="X190" s="126"/>
      <c r="Y190" s="88"/>
      <c r="Z190" s="99"/>
      <c r="AA190" s="126"/>
      <c r="AB190" s="88"/>
      <c r="AC190" s="99"/>
      <c r="AD190" s="126"/>
      <c r="AE190" s="88"/>
      <c r="AF190" s="99"/>
      <c r="AG190" s="126"/>
      <c r="AH190" s="88"/>
      <c r="AI190" s="99"/>
      <c r="AJ190" s="126"/>
      <c r="AK190" s="88"/>
      <c r="AL190" s="99"/>
      <c r="AM190" s="126"/>
      <c r="AN190" s="88"/>
      <c r="AO190" s="99"/>
      <c r="AP190" s="48"/>
      <c r="AQ190" s="48"/>
      <c r="AR190" s="48"/>
      <c r="AS190" s="48"/>
      <c r="AT190" s="48"/>
      <c r="AU190" s="48"/>
      <c r="AV190" s="48"/>
      <c r="AW190" s="48"/>
      <c r="AX190" s="48"/>
      <c r="AY190" s="48"/>
      <c r="AZ190" s="48"/>
      <c r="BA190" s="48"/>
      <c r="BB190" s="48"/>
      <c r="BC190" s="48"/>
      <c r="BD190" s="48"/>
      <c r="BE190" s="48"/>
      <c r="BF190" s="48"/>
      <c r="BG190" s="48"/>
      <c r="BH190" s="48"/>
      <c r="BI190" s="48"/>
    </row>
    <row r="191" ht="15.75" customHeight="1">
      <c r="A191" s="41" t="str">
        <f t="shared" si="4"/>
        <v>ServiceSous-traitement</v>
      </c>
      <c r="B191" s="57" t="s">
        <v>170</v>
      </c>
      <c r="C191" s="126"/>
      <c r="D191" s="133"/>
      <c r="E191" s="75"/>
      <c r="F191" s="126"/>
      <c r="G191" s="133"/>
      <c r="H191" s="75"/>
      <c r="I191" s="126"/>
      <c r="J191" s="133"/>
      <c r="K191" s="75"/>
      <c r="L191" s="126"/>
      <c r="M191" s="133"/>
      <c r="N191" s="75"/>
      <c r="O191" s="126"/>
      <c r="P191" s="133"/>
      <c r="Q191" s="75"/>
      <c r="R191" s="126"/>
      <c r="S191" s="133"/>
      <c r="T191" s="75"/>
      <c r="U191" s="126"/>
      <c r="V191" s="133"/>
      <c r="W191" s="75"/>
      <c r="X191" s="126"/>
      <c r="Y191" s="133"/>
      <c r="Z191" s="75"/>
      <c r="AA191" s="126"/>
      <c r="AB191" s="133"/>
      <c r="AC191" s="75"/>
      <c r="AD191" s="126"/>
      <c r="AE191" s="133"/>
      <c r="AF191" s="75"/>
      <c r="AG191" s="126"/>
      <c r="AH191" s="133"/>
      <c r="AI191" s="75"/>
      <c r="AJ191" s="126"/>
      <c r="AK191" s="133"/>
      <c r="AL191" s="75"/>
      <c r="AM191" s="126"/>
      <c r="AN191" s="133"/>
      <c r="AO191" s="75"/>
      <c r="AP191" s="48"/>
      <c r="AQ191" s="48"/>
      <c r="AR191" s="48"/>
      <c r="AS191" s="48"/>
      <c r="AT191" s="48"/>
      <c r="AU191" s="48"/>
      <c r="AV191" s="48"/>
      <c r="AW191" s="48"/>
      <c r="AX191" s="48"/>
      <c r="AY191" s="48"/>
      <c r="AZ191" s="48"/>
      <c r="BA191" s="48"/>
      <c r="BB191" s="48"/>
      <c r="BC191" s="48"/>
      <c r="BD191" s="48"/>
      <c r="BE191" s="48"/>
      <c r="BF191" s="48"/>
      <c r="BG191" s="48"/>
      <c r="BH191" s="48"/>
      <c r="BI191" s="48"/>
    </row>
    <row r="192" ht="15.75" customHeight="1">
      <c r="A192" s="41" t="str">
        <f t="shared" si="4"/>
        <v>Service% profit / ventes</v>
      </c>
      <c r="B192" s="57" t="s">
        <v>163</v>
      </c>
      <c r="C192" s="126"/>
      <c r="D192" s="133"/>
      <c r="E192" s="127"/>
      <c r="F192" s="126"/>
      <c r="G192" s="133"/>
      <c r="H192" s="127"/>
      <c r="I192" s="126"/>
      <c r="J192" s="133"/>
      <c r="K192" s="127"/>
      <c r="L192" s="126"/>
      <c r="M192" s="133"/>
      <c r="N192" s="127"/>
      <c r="O192" s="126"/>
      <c r="P192" s="133"/>
      <c r="Q192" s="127"/>
      <c r="R192" s="126"/>
      <c r="S192" s="133"/>
      <c r="T192" s="127"/>
      <c r="U192" s="126"/>
      <c r="V192" s="133"/>
      <c r="W192" s="127"/>
      <c r="X192" s="126"/>
      <c r="Y192" s="133"/>
      <c r="Z192" s="127"/>
      <c r="AA192" s="126"/>
      <c r="AB192" s="133"/>
      <c r="AC192" s="127"/>
      <c r="AD192" s="126"/>
      <c r="AE192" s="133"/>
      <c r="AF192" s="127"/>
      <c r="AG192" s="126"/>
      <c r="AH192" s="133"/>
      <c r="AI192" s="127"/>
      <c r="AJ192" s="126"/>
      <c r="AK192" s="133"/>
      <c r="AL192" s="127"/>
      <c r="AM192" s="126"/>
      <c r="AN192" s="133"/>
      <c r="AO192" s="127"/>
      <c r="AP192" s="48"/>
      <c r="AQ192" s="48"/>
      <c r="AR192" s="48"/>
      <c r="AS192" s="48"/>
      <c r="AT192" s="48"/>
      <c r="AU192" s="48"/>
      <c r="AV192" s="48"/>
      <c r="AW192" s="48"/>
      <c r="AX192" s="48"/>
      <c r="AY192" s="48"/>
      <c r="AZ192" s="48"/>
      <c r="BA192" s="48"/>
      <c r="BB192" s="48"/>
      <c r="BC192" s="48"/>
      <c r="BD192" s="48"/>
      <c r="BE192" s="48"/>
      <c r="BF192" s="48"/>
      <c r="BG192" s="48"/>
      <c r="BH192" s="48"/>
      <c r="BI192" s="48"/>
    </row>
    <row r="193" ht="15.75" customHeight="1">
      <c r="A193" s="41" t="str">
        <f t="shared" si="4"/>
        <v>Service</v>
      </c>
      <c r="B193" s="57"/>
      <c r="C193" s="126"/>
      <c r="D193" s="133"/>
      <c r="E193" s="127"/>
      <c r="F193" s="126"/>
      <c r="G193" s="133"/>
      <c r="H193" s="127"/>
      <c r="I193" s="126"/>
      <c r="J193" s="133"/>
      <c r="K193" s="127"/>
      <c r="L193" s="126"/>
      <c r="M193" s="133"/>
      <c r="N193" s="127"/>
      <c r="O193" s="126"/>
      <c r="P193" s="133"/>
      <c r="Q193" s="127"/>
      <c r="R193" s="126"/>
      <c r="S193" s="133"/>
      <c r="T193" s="127"/>
      <c r="U193" s="126"/>
      <c r="V193" s="133"/>
      <c r="W193" s="127"/>
      <c r="X193" s="126"/>
      <c r="Y193" s="133"/>
      <c r="Z193" s="127"/>
      <c r="AA193" s="126"/>
      <c r="AB193" s="133"/>
      <c r="AC193" s="127"/>
      <c r="AD193" s="126"/>
      <c r="AE193" s="133"/>
      <c r="AF193" s="127"/>
      <c r="AG193" s="126"/>
      <c r="AH193" s="133"/>
      <c r="AI193" s="127"/>
      <c r="AJ193" s="126"/>
      <c r="AK193" s="133"/>
      <c r="AL193" s="127"/>
      <c r="AM193" s="126"/>
      <c r="AN193" s="133"/>
      <c r="AO193" s="127"/>
      <c r="AP193" s="48"/>
      <c r="AQ193" s="48"/>
      <c r="AR193" s="48"/>
      <c r="AS193" s="48"/>
      <c r="AT193" s="48"/>
      <c r="AU193" s="48"/>
      <c r="AV193" s="48"/>
      <c r="AW193" s="48"/>
      <c r="AX193" s="48"/>
      <c r="AY193" s="48"/>
      <c r="AZ193" s="48"/>
      <c r="BA193" s="48"/>
      <c r="BB193" s="48"/>
      <c r="BC193" s="48"/>
      <c r="BD193" s="48"/>
      <c r="BE193" s="48"/>
      <c r="BF193" s="48"/>
      <c r="BG193" s="48"/>
      <c r="BH193" s="48"/>
      <c r="BI193" s="48"/>
    </row>
    <row r="194" ht="15.75" customHeight="1">
      <c r="A194" s="41" t="str">
        <f t="shared" si="4"/>
        <v>ServiceM.O. Recond. MCPA</v>
      </c>
      <c r="B194" s="49" t="s">
        <v>171</v>
      </c>
      <c r="C194" s="131"/>
      <c r="D194" s="251"/>
      <c r="E194" s="99"/>
      <c r="F194" s="131"/>
      <c r="G194" s="251"/>
      <c r="H194" s="99"/>
      <c r="I194" s="131"/>
      <c r="J194" s="251"/>
      <c r="K194" s="99"/>
      <c r="L194" s="131"/>
      <c r="M194" s="251"/>
      <c r="N194" s="99"/>
      <c r="O194" s="131"/>
      <c r="P194" s="251"/>
      <c r="Q194" s="99"/>
      <c r="R194" s="252"/>
      <c r="S194" s="251"/>
      <c r="T194" s="99"/>
      <c r="U194" s="252"/>
      <c r="V194" s="251"/>
      <c r="W194" s="99"/>
      <c r="X194" s="252"/>
      <c r="Y194" s="251"/>
      <c r="Z194" s="99"/>
      <c r="AA194" s="252"/>
      <c r="AB194" s="251"/>
      <c r="AC194" s="99"/>
      <c r="AD194" s="252"/>
      <c r="AE194" s="251"/>
      <c r="AF194" s="99"/>
      <c r="AG194" s="131"/>
      <c r="AH194" s="251"/>
      <c r="AI194" s="99"/>
      <c r="AJ194" s="131"/>
      <c r="AK194" s="251"/>
      <c r="AL194" s="99"/>
      <c r="AM194" s="131"/>
      <c r="AN194" s="251"/>
      <c r="AO194" s="99"/>
      <c r="AP194" s="48"/>
      <c r="AQ194" s="48"/>
      <c r="AR194" s="48"/>
      <c r="AS194" s="48"/>
      <c r="AT194" s="48"/>
      <c r="AU194" s="48"/>
      <c r="AV194" s="48"/>
      <c r="AW194" s="48"/>
      <c r="AX194" s="48"/>
      <c r="AY194" s="48"/>
      <c r="AZ194" s="48"/>
      <c r="BA194" s="48"/>
      <c r="BB194" s="48"/>
      <c r="BC194" s="48"/>
      <c r="BD194" s="48"/>
      <c r="BE194" s="48"/>
      <c r="BF194" s="48"/>
      <c r="BG194" s="48"/>
      <c r="BH194" s="48"/>
      <c r="BI194" s="48"/>
    </row>
    <row r="195" ht="15.75" customHeight="1">
      <c r="A195" s="41" t="str">
        <f t="shared" si="4"/>
        <v>Service% profit / ventes</v>
      </c>
      <c r="B195" s="53" t="s">
        <v>163</v>
      </c>
      <c r="C195" s="128"/>
      <c r="D195" s="144"/>
      <c r="E195" s="130"/>
      <c r="F195" s="128"/>
      <c r="G195" s="144"/>
      <c r="H195" s="130"/>
      <c r="I195" s="128"/>
      <c r="J195" s="144"/>
      <c r="K195" s="130"/>
      <c r="L195" s="128"/>
      <c r="M195" s="144"/>
      <c r="N195" s="130"/>
      <c r="O195" s="128"/>
      <c r="P195" s="144"/>
      <c r="Q195" s="130"/>
      <c r="R195" s="128"/>
      <c r="S195" s="144"/>
      <c r="T195" s="130"/>
      <c r="U195" s="128"/>
      <c r="V195" s="144"/>
      <c r="W195" s="130"/>
      <c r="X195" s="128"/>
      <c r="Y195" s="144"/>
      <c r="Z195" s="130"/>
      <c r="AA195" s="128"/>
      <c r="AB195" s="144"/>
      <c r="AC195" s="130"/>
      <c r="AD195" s="128"/>
      <c r="AE195" s="144"/>
      <c r="AF195" s="130"/>
      <c r="AG195" s="128"/>
      <c r="AH195" s="144"/>
      <c r="AI195" s="130"/>
      <c r="AJ195" s="128"/>
      <c r="AK195" s="144"/>
      <c r="AL195" s="130"/>
      <c r="AM195" s="128"/>
      <c r="AN195" s="144"/>
      <c r="AO195" s="130"/>
      <c r="AP195" s="48"/>
      <c r="AQ195" s="48"/>
      <c r="AR195" s="48"/>
      <c r="AS195" s="48"/>
      <c r="AT195" s="48"/>
      <c r="AU195" s="48"/>
      <c r="AV195" s="48"/>
      <c r="AW195" s="48"/>
      <c r="AX195" s="48"/>
      <c r="AY195" s="48"/>
      <c r="AZ195" s="48"/>
      <c r="BA195" s="48"/>
      <c r="BB195" s="48"/>
      <c r="BC195" s="48"/>
      <c r="BD195" s="48"/>
      <c r="BE195" s="48"/>
      <c r="BF195" s="48"/>
      <c r="BG195" s="48"/>
      <c r="BH195" s="48"/>
      <c r="BI195" s="48"/>
    </row>
    <row r="196" ht="15.75" customHeight="1">
      <c r="A196" s="41" t="str">
        <f t="shared" si="4"/>
        <v>Service</v>
      </c>
      <c r="B196" s="61"/>
      <c r="C196" s="145"/>
      <c r="D196" s="146"/>
      <c r="E196" s="147"/>
      <c r="F196" s="145"/>
      <c r="G196" s="146"/>
      <c r="H196" s="147"/>
      <c r="I196" s="145"/>
      <c r="J196" s="146"/>
      <c r="K196" s="147"/>
      <c r="L196" s="145"/>
      <c r="M196" s="146"/>
      <c r="N196" s="147"/>
      <c r="O196" s="145"/>
      <c r="P196" s="146"/>
      <c r="Q196" s="147"/>
      <c r="R196" s="145"/>
      <c r="S196" s="146"/>
      <c r="T196" s="147"/>
      <c r="U196" s="145"/>
      <c r="V196" s="146"/>
      <c r="W196" s="147"/>
      <c r="X196" s="145"/>
      <c r="Y196" s="146"/>
      <c r="Z196" s="147"/>
      <c r="AA196" s="145"/>
      <c r="AB196" s="146"/>
      <c r="AC196" s="147"/>
      <c r="AD196" s="145"/>
      <c r="AE196" s="146"/>
      <c r="AF196" s="147"/>
      <c r="AG196" s="145"/>
      <c r="AH196" s="146"/>
      <c r="AI196" s="147"/>
      <c r="AJ196" s="145"/>
      <c r="AK196" s="146"/>
      <c r="AL196" s="147"/>
      <c r="AM196" s="145"/>
      <c r="AN196" s="146"/>
      <c r="AO196" s="147"/>
      <c r="AP196" s="48"/>
      <c r="AQ196" s="48"/>
      <c r="AR196" s="48"/>
      <c r="AS196" s="48"/>
      <c r="AT196" s="48"/>
      <c r="AU196" s="48"/>
      <c r="AV196" s="48"/>
      <c r="AW196" s="48"/>
      <c r="AX196" s="48"/>
      <c r="AY196" s="48"/>
      <c r="AZ196" s="48"/>
      <c r="BA196" s="48"/>
      <c r="BB196" s="48"/>
      <c r="BC196" s="48"/>
      <c r="BD196" s="48"/>
      <c r="BE196" s="48"/>
      <c r="BF196" s="48"/>
      <c r="BG196" s="48"/>
      <c r="BH196" s="48"/>
      <c r="BI196" s="48"/>
    </row>
    <row r="197" ht="15.75" customHeight="1">
      <c r="A197" s="41" t="str">
        <f t="shared" si="4"/>
        <v>ServiceTotal Mécanique</v>
      </c>
      <c r="B197" s="76" t="s">
        <v>172</v>
      </c>
      <c r="C197" s="77"/>
      <c r="D197" s="139"/>
      <c r="E197" s="79"/>
      <c r="F197" s="77"/>
      <c r="G197" s="139"/>
      <c r="H197" s="79"/>
      <c r="I197" s="77"/>
      <c r="J197" s="139"/>
      <c r="K197" s="79"/>
      <c r="L197" s="77"/>
      <c r="M197" s="139"/>
      <c r="N197" s="79"/>
      <c r="O197" s="77"/>
      <c r="P197" s="139"/>
      <c r="Q197" s="79"/>
      <c r="R197" s="77"/>
      <c r="S197" s="139"/>
      <c r="T197" s="79"/>
      <c r="U197" s="77"/>
      <c r="V197" s="139"/>
      <c r="W197" s="79"/>
      <c r="X197" s="77"/>
      <c r="Y197" s="139"/>
      <c r="Z197" s="79"/>
      <c r="AA197" s="77"/>
      <c r="AB197" s="139"/>
      <c r="AC197" s="79"/>
      <c r="AD197" s="77"/>
      <c r="AE197" s="139"/>
      <c r="AF197" s="79"/>
      <c r="AG197" s="77"/>
      <c r="AH197" s="139"/>
      <c r="AI197" s="79"/>
      <c r="AJ197" s="77"/>
      <c r="AK197" s="139"/>
      <c r="AL197" s="79"/>
      <c r="AM197" s="77"/>
      <c r="AN197" s="139"/>
      <c r="AO197" s="79"/>
      <c r="AP197" s="48"/>
      <c r="AQ197" s="48"/>
      <c r="AR197" s="48"/>
      <c r="AS197" s="48"/>
      <c r="AT197" s="48"/>
      <c r="AU197" s="48"/>
      <c r="AV197" s="48"/>
      <c r="AW197" s="48"/>
      <c r="AX197" s="48"/>
      <c r="AY197" s="48"/>
      <c r="AZ197" s="48"/>
      <c r="BA197" s="48"/>
      <c r="BB197" s="48"/>
      <c r="BC197" s="48"/>
      <c r="BD197" s="48"/>
      <c r="BE197" s="48"/>
      <c r="BF197" s="48"/>
      <c r="BG197" s="48"/>
      <c r="BH197" s="48"/>
      <c r="BI197" s="48"/>
    </row>
    <row r="198" ht="15.75" customHeight="1">
      <c r="A198" s="41" t="str">
        <f t="shared" si="4"/>
        <v>Service</v>
      </c>
      <c r="B198" s="80"/>
      <c r="C198" s="80"/>
      <c r="D198" s="81"/>
      <c r="E198" s="148"/>
      <c r="F198" s="80"/>
      <c r="G198" s="81"/>
      <c r="H198" s="148"/>
      <c r="I198" s="80"/>
      <c r="J198" s="81"/>
      <c r="K198" s="148"/>
      <c r="L198" s="80"/>
      <c r="M198" s="81"/>
      <c r="N198" s="148"/>
      <c r="O198" s="80"/>
      <c r="P198" s="81"/>
      <c r="Q198" s="148"/>
      <c r="R198" s="80"/>
      <c r="S198" s="81"/>
      <c r="T198" s="148"/>
      <c r="U198" s="80"/>
      <c r="V198" s="81"/>
      <c r="W198" s="148"/>
      <c r="X198" s="80"/>
      <c r="Y198" s="81"/>
      <c r="Z198" s="148"/>
      <c r="AA198" s="80"/>
      <c r="AB198" s="81"/>
      <c r="AC198" s="148"/>
      <c r="AD198" s="80"/>
      <c r="AE198" s="81"/>
      <c r="AF198" s="148"/>
      <c r="AG198" s="80"/>
      <c r="AH198" s="81"/>
      <c r="AI198" s="148"/>
      <c r="AJ198" s="80"/>
      <c r="AK198" s="81"/>
      <c r="AL198" s="148"/>
      <c r="AM198" s="80"/>
      <c r="AN198" s="81"/>
      <c r="AO198" s="148"/>
      <c r="AP198" s="48"/>
      <c r="AQ198" s="48"/>
      <c r="AR198" s="48"/>
      <c r="AS198" s="48"/>
      <c r="AT198" s="48"/>
      <c r="AU198" s="48"/>
      <c r="AV198" s="48"/>
      <c r="AW198" s="48"/>
      <c r="AX198" s="48"/>
      <c r="AY198" s="48"/>
      <c r="AZ198" s="48"/>
      <c r="BA198" s="48"/>
      <c r="BB198" s="48"/>
      <c r="BC198" s="48"/>
      <c r="BD198" s="48"/>
      <c r="BE198" s="48"/>
      <c r="BF198" s="48"/>
      <c r="BG198" s="48"/>
      <c r="BH198" s="48"/>
      <c r="BI198" s="48"/>
    </row>
    <row r="199" ht="15.75" customHeight="1">
      <c r="A199" s="41" t="str">
        <f t="shared" si="4"/>
        <v>Service</v>
      </c>
      <c r="B199" s="70"/>
      <c r="C199" s="70"/>
      <c r="D199" s="83"/>
      <c r="E199" s="141"/>
      <c r="F199" s="70"/>
      <c r="G199" s="83"/>
      <c r="H199" s="141"/>
      <c r="I199" s="70"/>
      <c r="J199" s="83"/>
      <c r="K199" s="141"/>
      <c r="L199" s="70"/>
      <c r="M199" s="83"/>
      <c r="N199" s="141"/>
      <c r="O199" s="70"/>
      <c r="P199" s="83"/>
      <c r="Q199" s="141"/>
      <c r="R199" s="70"/>
      <c r="S199" s="83"/>
      <c r="T199" s="141"/>
      <c r="U199" s="70"/>
      <c r="V199" s="83"/>
      <c r="W199" s="141"/>
      <c r="X199" s="70"/>
      <c r="Y199" s="83"/>
      <c r="Z199" s="141"/>
      <c r="AA199" s="70"/>
      <c r="AB199" s="83"/>
      <c r="AC199" s="141"/>
      <c r="AD199" s="70"/>
      <c r="AE199" s="83"/>
      <c r="AF199" s="141"/>
      <c r="AG199" s="70"/>
      <c r="AH199" s="83"/>
      <c r="AI199" s="141"/>
      <c r="AJ199" s="70"/>
      <c r="AK199" s="83"/>
      <c r="AL199" s="141"/>
      <c r="AM199" s="70"/>
      <c r="AN199" s="83"/>
      <c r="AO199" s="141"/>
      <c r="AP199" s="48"/>
      <c r="AQ199" s="48"/>
      <c r="AR199" s="48"/>
      <c r="AS199" s="48"/>
      <c r="AT199" s="48"/>
      <c r="AU199" s="48"/>
      <c r="AV199" s="48"/>
      <c r="AW199" s="48"/>
      <c r="AX199" s="48"/>
      <c r="AY199" s="48"/>
      <c r="AZ199" s="48"/>
      <c r="BA199" s="48"/>
      <c r="BB199" s="48"/>
      <c r="BC199" s="48"/>
      <c r="BD199" s="48"/>
      <c r="BE199" s="48"/>
      <c r="BF199" s="48"/>
      <c r="BG199" s="48"/>
      <c r="BH199" s="48"/>
      <c r="BI199" s="48"/>
    </row>
    <row r="200" ht="15.75" customHeight="1">
      <c r="A200" s="41" t="str">
        <f t="shared" si="4"/>
        <v>ServiceDEPENSES</v>
      </c>
      <c r="B200" s="85" t="s">
        <v>110</v>
      </c>
      <c r="C200" s="57"/>
      <c r="D200" s="74"/>
      <c r="E200" s="65"/>
      <c r="F200" s="57"/>
      <c r="G200" s="74"/>
      <c r="H200" s="65"/>
      <c r="I200" s="57"/>
      <c r="J200" s="74"/>
      <c r="K200" s="65"/>
      <c r="L200" s="57"/>
      <c r="M200" s="74"/>
      <c r="N200" s="65"/>
      <c r="O200" s="57"/>
      <c r="P200" s="74"/>
      <c r="Q200" s="65"/>
      <c r="R200" s="57"/>
      <c r="S200" s="74"/>
      <c r="T200" s="65"/>
      <c r="U200" s="57"/>
      <c r="V200" s="74"/>
      <c r="W200" s="65"/>
      <c r="X200" s="57"/>
      <c r="Y200" s="74"/>
      <c r="Z200" s="65"/>
      <c r="AA200" s="57"/>
      <c r="AB200" s="74"/>
      <c r="AC200" s="65"/>
      <c r="AD200" s="57"/>
      <c r="AE200" s="74"/>
      <c r="AF200" s="65"/>
      <c r="AG200" s="57"/>
      <c r="AH200" s="74"/>
      <c r="AI200" s="65"/>
      <c r="AJ200" s="57"/>
      <c r="AK200" s="74"/>
      <c r="AL200" s="65"/>
      <c r="AM200" s="57"/>
      <c r="AN200" s="74"/>
      <c r="AO200" s="65"/>
      <c r="AP200" s="48"/>
      <c r="AQ200" s="48"/>
      <c r="AR200" s="48"/>
      <c r="AS200" s="48"/>
      <c r="AT200" s="48"/>
      <c r="AU200" s="48"/>
      <c r="AV200" s="48"/>
      <c r="AW200" s="48"/>
      <c r="AX200" s="48"/>
      <c r="AY200" s="48"/>
      <c r="AZ200" s="48"/>
      <c r="BA200" s="48"/>
      <c r="BB200" s="48"/>
      <c r="BC200" s="48"/>
      <c r="BD200" s="48"/>
      <c r="BE200" s="48"/>
      <c r="BF200" s="48"/>
      <c r="BG200" s="48"/>
      <c r="BH200" s="48"/>
      <c r="BI200" s="48"/>
    </row>
    <row r="201" ht="15.75" customHeight="1">
      <c r="A201" s="41" t="str">
        <f t="shared" si="4"/>
        <v>ServiceSalaires cadres</v>
      </c>
      <c r="B201" s="96" t="s">
        <v>119</v>
      </c>
      <c r="C201" s="57"/>
      <c r="D201" s="74"/>
      <c r="E201" s="75"/>
      <c r="F201" s="57"/>
      <c r="G201" s="74"/>
      <c r="H201" s="75"/>
      <c r="I201" s="57"/>
      <c r="J201" s="74"/>
      <c r="K201" s="75"/>
      <c r="L201" s="57"/>
      <c r="M201" s="74"/>
      <c r="N201" s="75"/>
      <c r="O201" s="57"/>
      <c r="P201" s="74"/>
      <c r="Q201" s="75"/>
      <c r="R201" s="57"/>
      <c r="S201" s="74"/>
      <c r="T201" s="75"/>
      <c r="U201" s="57"/>
      <c r="V201" s="74"/>
      <c r="W201" s="75"/>
      <c r="X201" s="57"/>
      <c r="Y201" s="74"/>
      <c r="Z201" s="75"/>
      <c r="AA201" s="57"/>
      <c r="AB201" s="74"/>
      <c r="AC201" s="75"/>
      <c r="AD201" s="57"/>
      <c r="AE201" s="74"/>
      <c r="AF201" s="75"/>
      <c r="AG201" s="57"/>
      <c r="AH201" s="74"/>
      <c r="AI201" s="75"/>
      <c r="AJ201" s="57"/>
      <c r="AK201" s="74"/>
      <c r="AL201" s="75"/>
      <c r="AM201" s="57"/>
      <c r="AN201" s="74"/>
      <c r="AO201" s="242"/>
      <c r="AP201" s="48"/>
      <c r="AQ201" s="48"/>
      <c r="AR201" s="48"/>
      <c r="AS201" s="48"/>
      <c r="AT201" s="48"/>
      <c r="AU201" s="48"/>
      <c r="AV201" s="48"/>
      <c r="AW201" s="48"/>
      <c r="AX201" s="48"/>
      <c r="AY201" s="48"/>
      <c r="AZ201" s="48"/>
      <c r="BA201" s="48"/>
      <c r="BB201" s="48"/>
      <c r="BC201" s="48"/>
      <c r="BD201" s="48"/>
      <c r="BE201" s="48"/>
      <c r="BF201" s="48"/>
      <c r="BG201" s="48"/>
      <c r="BH201" s="48"/>
      <c r="BI201" s="48"/>
    </row>
    <row r="202" ht="15.75" customHeight="1">
      <c r="A202" s="41" t="str">
        <f t="shared" si="4"/>
        <v>ServiceSalaires commis</v>
      </c>
      <c r="B202" s="97" t="s">
        <v>120</v>
      </c>
      <c r="C202" s="57"/>
      <c r="D202" s="74"/>
      <c r="E202" s="75"/>
      <c r="F202" s="57"/>
      <c r="G202" s="74"/>
      <c r="H202" s="75"/>
      <c r="I202" s="57"/>
      <c r="J202" s="74"/>
      <c r="K202" s="75"/>
      <c r="L202" s="57"/>
      <c r="M202" s="74"/>
      <c r="N202" s="75"/>
      <c r="O202" s="57"/>
      <c r="P202" s="74"/>
      <c r="Q202" s="75"/>
      <c r="R202" s="57"/>
      <c r="S202" s="74"/>
      <c r="T202" s="75"/>
      <c r="U202" s="57"/>
      <c r="V202" s="74"/>
      <c r="W202" s="75"/>
      <c r="X202" s="57"/>
      <c r="Y202" s="74"/>
      <c r="Z202" s="75"/>
      <c r="AA202" s="57"/>
      <c r="AB202" s="74"/>
      <c r="AC202" s="75"/>
      <c r="AD202" s="57"/>
      <c r="AE202" s="74"/>
      <c r="AF202" s="75"/>
      <c r="AG202" s="57"/>
      <c r="AH202" s="74"/>
      <c r="AI202" s="75"/>
      <c r="AJ202" s="57"/>
      <c r="AK202" s="74"/>
      <c r="AL202" s="75"/>
      <c r="AM202" s="57"/>
      <c r="AN202" s="74"/>
      <c r="AO202" s="242"/>
      <c r="AP202" s="48"/>
      <c r="AQ202" s="48"/>
      <c r="AR202" s="48"/>
      <c r="AS202" s="48"/>
      <c r="AT202" s="48"/>
      <c r="AU202" s="48"/>
      <c r="AV202" s="48"/>
      <c r="AW202" s="48"/>
      <c r="AX202" s="48"/>
      <c r="AY202" s="48"/>
      <c r="AZ202" s="48"/>
      <c r="BA202" s="48"/>
      <c r="BB202" s="48"/>
      <c r="BC202" s="48"/>
      <c r="BD202" s="48"/>
      <c r="BE202" s="48"/>
      <c r="BF202" s="48"/>
      <c r="BG202" s="48"/>
      <c r="BH202" s="48"/>
      <c r="BI202" s="48"/>
    </row>
    <row r="203" ht="15.75" customHeight="1">
      <c r="A203" s="41" t="str">
        <f t="shared" si="4"/>
        <v>ServiceSalaires autres</v>
      </c>
      <c r="B203" s="96" t="s">
        <v>121</v>
      </c>
      <c r="C203" s="49"/>
      <c r="D203" s="98"/>
      <c r="E203" s="99"/>
      <c r="F203" s="49"/>
      <c r="G203" s="98"/>
      <c r="H203" s="99"/>
      <c r="I203" s="49"/>
      <c r="J203" s="98"/>
      <c r="K203" s="99"/>
      <c r="L203" s="49"/>
      <c r="M203" s="98"/>
      <c r="N203" s="99"/>
      <c r="O203" s="49"/>
      <c r="P203" s="98"/>
      <c r="Q203" s="99"/>
      <c r="R203" s="49"/>
      <c r="S203" s="98"/>
      <c r="T203" s="99"/>
      <c r="U203" s="49"/>
      <c r="V203" s="98"/>
      <c r="W203" s="99"/>
      <c r="X203" s="49"/>
      <c r="Y203" s="98"/>
      <c r="Z203" s="99"/>
      <c r="AA203" s="49"/>
      <c r="AB203" s="98"/>
      <c r="AC203" s="99"/>
      <c r="AD203" s="49"/>
      <c r="AE203" s="98"/>
      <c r="AF203" s="99"/>
      <c r="AG203" s="49"/>
      <c r="AH203" s="98"/>
      <c r="AI203" s="99"/>
      <c r="AJ203" s="49"/>
      <c r="AK203" s="98"/>
      <c r="AL203" s="99"/>
      <c r="AM203" s="49"/>
      <c r="AN203" s="98"/>
      <c r="AO203" s="244"/>
      <c r="AP203" s="48"/>
      <c r="AQ203" s="48"/>
      <c r="AR203" s="48"/>
      <c r="AS203" s="48"/>
      <c r="AT203" s="48"/>
      <c r="AU203" s="48"/>
      <c r="AV203" s="48"/>
      <c r="AW203" s="48"/>
      <c r="AX203" s="48"/>
      <c r="AY203" s="48"/>
      <c r="AZ203" s="48"/>
      <c r="BA203" s="48"/>
      <c r="BB203" s="48"/>
      <c r="BC203" s="48"/>
      <c r="BD203" s="48"/>
      <c r="BE203" s="48"/>
      <c r="BF203" s="48"/>
      <c r="BG203" s="48"/>
      <c r="BH203" s="48"/>
      <c r="BI203" s="48"/>
    </row>
    <row r="204" ht="15.75" customHeight="1">
      <c r="A204" s="41" t="str">
        <f t="shared" si="4"/>
        <v>ServiceSalaires spécialistes</v>
      </c>
      <c r="B204" s="96" t="s">
        <v>122</v>
      </c>
      <c r="C204" s="57"/>
      <c r="D204" s="74"/>
      <c r="E204" s="75"/>
      <c r="F204" s="57"/>
      <c r="G204" s="74"/>
      <c r="H204" s="75"/>
      <c r="I204" s="57"/>
      <c r="J204" s="74"/>
      <c r="K204" s="75"/>
      <c r="L204" s="57"/>
      <c r="M204" s="74"/>
      <c r="N204" s="75"/>
      <c r="O204" s="57"/>
      <c r="P204" s="74"/>
      <c r="Q204" s="75"/>
      <c r="R204" s="57"/>
      <c r="S204" s="74"/>
      <c r="T204" s="75"/>
      <c r="U204" s="57"/>
      <c r="V204" s="74"/>
      <c r="W204" s="75"/>
      <c r="X204" s="57"/>
      <c r="Y204" s="74"/>
      <c r="Z204" s="75"/>
      <c r="AA204" s="57"/>
      <c r="AB204" s="74"/>
      <c r="AC204" s="75"/>
      <c r="AD204" s="57"/>
      <c r="AE204" s="74"/>
      <c r="AF204" s="75"/>
      <c r="AG204" s="57"/>
      <c r="AH204" s="74"/>
      <c r="AI204" s="75"/>
      <c r="AJ204" s="57"/>
      <c r="AK204" s="74"/>
      <c r="AL204" s="75"/>
      <c r="AM204" s="57"/>
      <c r="AN204" s="74"/>
      <c r="AO204" s="242"/>
      <c r="AP204" s="48"/>
      <c r="AQ204" s="48"/>
      <c r="AR204" s="48"/>
      <c r="AS204" s="48"/>
      <c r="AT204" s="48"/>
      <c r="AU204" s="48"/>
      <c r="AV204" s="48"/>
      <c r="AW204" s="48"/>
      <c r="AX204" s="48"/>
      <c r="AY204" s="48"/>
      <c r="AZ204" s="48"/>
      <c r="BA204" s="48"/>
      <c r="BB204" s="48"/>
      <c r="BC204" s="48"/>
      <c r="BD204" s="48"/>
      <c r="BE204" s="48"/>
      <c r="BF204" s="48"/>
      <c r="BG204" s="48"/>
      <c r="BH204" s="48"/>
      <c r="BI204" s="48"/>
    </row>
    <row r="205" ht="20.25" customHeight="1">
      <c r="A205" s="41" t="str">
        <f t="shared" si="4"/>
        <v>Service[...]</v>
      </c>
      <c r="B205" s="57" t="s">
        <v>56</v>
      </c>
      <c r="C205" s="57"/>
      <c r="D205" s="74"/>
      <c r="E205" s="75"/>
      <c r="F205" s="57"/>
      <c r="G205" s="74"/>
      <c r="H205" s="75"/>
      <c r="I205" s="57"/>
      <c r="J205" s="74"/>
      <c r="K205" s="75"/>
      <c r="L205" s="57"/>
      <c r="M205" s="74"/>
      <c r="N205" s="75"/>
      <c r="O205" s="57"/>
      <c r="P205" s="74"/>
      <c r="Q205" s="75"/>
      <c r="R205" s="57"/>
      <c r="S205" s="74"/>
      <c r="T205" s="75"/>
      <c r="U205" s="57"/>
      <c r="V205" s="74"/>
      <c r="W205" s="75"/>
      <c r="X205" s="57"/>
      <c r="Y205" s="74"/>
      <c r="Z205" s="75"/>
      <c r="AA205" s="57"/>
      <c r="AB205" s="74"/>
      <c r="AC205" s="75"/>
      <c r="AD205" s="57"/>
      <c r="AE205" s="74"/>
      <c r="AF205" s="75"/>
      <c r="AG205" s="57"/>
      <c r="AH205" s="74"/>
      <c r="AI205" s="75"/>
      <c r="AJ205" s="57"/>
      <c r="AK205" s="74"/>
      <c r="AL205" s="75"/>
      <c r="AM205" s="57"/>
      <c r="AN205" s="74"/>
      <c r="AO205" s="242"/>
      <c r="AP205" s="48"/>
      <c r="AQ205" s="48"/>
      <c r="AR205" s="48"/>
      <c r="AS205" s="48"/>
      <c r="AT205" s="48"/>
      <c r="AU205" s="48"/>
      <c r="AV205" s="48"/>
      <c r="AW205" s="48"/>
      <c r="AX205" s="48"/>
      <c r="AY205" s="48"/>
      <c r="AZ205" s="48"/>
      <c r="BA205" s="48"/>
      <c r="BB205" s="48"/>
      <c r="BC205" s="48"/>
      <c r="BD205" s="48"/>
      <c r="BE205" s="48"/>
      <c r="BF205" s="48"/>
      <c r="BG205" s="48"/>
      <c r="BH205" s="48"/>
      <c r="BI205" s="48"/>
    </row>
    <row r="206" ht="20.25" customHeight="1">
      <c r="A206" s="41" t="str">
        <f t="shared" si="4"/>
        <v>Service[...]</v>
      </c>
      <c r="B206" s="57" t="s">
        <v>56</v>
      </c>
      <c r="C206" s="57"/>
      <c r="D206" s="74"/>
      <c r="E206" s="75"/>
      <c r="F206" s="57"/>
      <c r="G206" s="74"/>
      <c r="H206" s="75"/>
      <c r="I206" s="57"/>
      <c r="J206" s="74"/>
      <c r="K206" s="75"/>
      <c r="L206" s="57"/>
      <c r="M206" s="74"/>
      <c r="N206" s="75"/>
      <c r="O206" s="57"/>
      <c r="P206" s="74"/>
      <c r="Q206" s="75"/>
      <c r="R206" s="57"/>
      <c r="S206" s="74"/>
      <c r="T206" s="75"/>
      <c r="U206" s="57"/>
      <c r="V206" s="74"/>
      <c r="W206" s="75"/>
      <c r="X206" s="57"/>
      <c r="Y206" s="74"/>
      <c r="Z206" s="75"/>
      <c r="AA206" s="57"/>
      <c r="AB206" s="74"/>
      <c r="AC206" s="75"/>
      <c r="AD206" s="57"/>
      <c r="AE206" s="74"/>
      <c r="AF206" s="75"/>
      <c r="AG206" s="57"/>
      <c r="AH206" s="74"/>
      <c r="AI206" s="75"/>
      <c r="AJ206" s="57"/>
      <c r="AK206" s="74"/>
      <c r="AL206" s="75"/>
      <c r="AM206" s="57"/>
      <c r="AN206" s="74"/>
      <c r="AO206" s="242"/>
      <c r="AP206" s="48"/>
      <c r="AQ206" s="48"/>
      <c r="AR206" s="48"/>
      <c r="AS206" s="48"/>
      <c r="AT206" s="48"/>
      <c r="AU206" s="48"/>
      <c r="AV206" s="48"/>
      <c r="AW206" s="48"/>
      <c r="AX206" s="48"/>
      <c r="AY206" s="48"/>
      <c r="AZ206" s="48"/>
      <c r="BA206" s="48"/>
      <c r="BB206" s="48"/>
      <c r="BC206" s="48"/>
      <c r="BD206" s="48"/>
      <c r="BE206" s="48"/>
      <c r="BF206" s="48"/>
      <c r="BG206" s="48"/>
      <c r="BH206" s="48"/>
      <c r="BI206" s="48"/>
    </row>
    <row r="207" ht="20.25" customHeight="1">
      <c r="A207" s="41" t="str">
        <f t="shared" si="4"/>
        <v>Service[...]</v>
      </c>
      <c r="B207" s="57" t="s">
        <v>56</v>
      </c>
      <c r="C207" s="57"/>
      <c r="D207" s="74"/>
      <c r="E207" s="75"/>
      <c r="F207" s="57"/>
      <c r="G207" s="74"/>
      <c r="H207" s="75"/>
      <c r="I207" s="57"/>
      <c r="J207" s="74"/>
      <c r="K207" s="75"/>
      <c r="L207" s="57"/>
      <c r="M207" s="74"/>
      <c r="N207" s="75"/>
      <c r="O207" s="57"/>
      <c r="P207" s="74"/>
      <c r="Q207" s="75"/>
      <c r="R207" s="57"/>
      <c r="S207" s="74"/>
      <c r="T207" s="75"/>
      <c r="U207" s="57"/>
      <c r="V207" s="74"/>
      <c r="W207" s="75"/>
      <c r="X207" s="57"/>
      <c r="Y207" s="74"/>
      <c r="Z207" s="75"/>
      <c r="AA207" s="57"/>
      <c r="AB207" s="74"/>
      <c r="AC207" s="75"/>
      <c r="AD207" s="57"/>
      <c r="AE207" s="74"/>
      <c r="AF207" s="75"/>
      <c r="AG207" s="57"/>
      <c r="AH207" s="74"/>
      <c r="AI207" s="75"/>
      <c r="AJ207" s="57"/>
      <c r="AK207" s="74"/>
      <c r="AL207" s="75"/>
      <c r="AM207" s="57"/>
      <c r="AN207" s="74"/>
      <c r="AO207" s="242"/>
      <c r="AP207" s="48"/>
      <c r="AQ207" s="48"/>
      <c r="AR207" s="48"/>
      <c r="AS207" s="48"/>
      <c r="AT207" s="48"/>
      <c r="AU207" s="48"/>
      <c r="AV207" s="48"/>
      <c r="AW207" s="48"/>
      <c r="AX207" s="48"/>
      <c r="AY207" s="48"/>
      <c r="AZ207" s="48"/>
      <c r="BA207" s="48"/>
      <c r="BB207" s="48"/>
      <c r="BC207" s="48"/>
      <c r="BD207" s="48"/>
      <c r="BE207" s="48"/>
      <c r="BF207" s="48"/>
      <c r="BG207" s="48"/>
      <c r="BH207" s="48"/>
      <c r="BI207" s="48"/>
    </row>
    <row r="208" ht="15.75" customHeight="1">
      <c r="A208" s="41" t="str">
        <f t="shared" si="4"/>
        <v>ServiceSalaires en absences</v>
      </c>
      <c r="B208" s="97" t="s">
        <v>123</v>
      </c>
      <c r="C208" s="57"/>
      <c r="D208" s="74"/>
      <c r="E208" s="75"/>
      <c r="F208" s="57"/>
      <c r="G208" s="74"/>
      <c r="H208" s="75"/>
      <c r="I208" s="57"/>
      <c r="J208" s="74"/>
      <c r="K208" s="75"/>
      <c r="L208" s="57"/>
      <c r="M208" s="74"/>
      <c r="N208" s="75"/>
      <c r="O208" s="57"/>
      <c r="P208" s="74"/>
      <c r="Q208" s="75"/>
      <c r="R208" s="57"/>
      <c r="S208" s="74"/>
      <c r="T208" s="75"/>
      <c r="U208" s="57"/>
      <c r="V208" s="74"/>
      <c r="W208" s="75"/>
      <c r="X208" s="57"/>
      <c r="Y208" s="74"/>
      <c r="Z208" s="75"/>
      <c r="AA208" s="57"/>
      <c r="AB208" s="74"/>
      <c r="AC208" s="75"/>
      <c r="AD208" s="57"/>
      <c r="AE208" s="74"/>
      <c r="AF208" s="75"/>
      <c r="AG208" s="57"/>
      <c r="AH208" s="74"/>
      <c r="AI208" s="75"/>
      <c r="AJ208" s="57"/>
      <c r="AK208" s="74"/>
      <c r="AL208" s="75"/>
      <c r="AM208" s="57"/>
      <c r="AN208" s="74"/>
      <c r="AO208" s="242"/>
      <c r="AP208" s="48"/>
      <c r="AQ208" s="48"/>
      <c r="AR208" s="48"/>
      <c r="AS208" s="48"/>
      <c r="AT208" s="48"/>
      <c r="AU208" s="48"/>
      <c r="AV208" s="48"/>
      <c r="AW208" s="48"/>
      <c r="AX208" s="48"/>
      <c r="AY208" s="48"/>
      <c r="AZ208" s="48"/>
      <c r="BA208" s="48"/>
      <c r="BB208" s="48"/>
      <c r="BC208" s="48"/>
      <c r="BD208" s="48"/>
      <c r="BE208" s="48"/>
      <c r="BF208" s="48"/>
      <c r="BG208" s="48"/>
      <c r="BH208" s="48"/>
      <c r="BI208" s="48"/>
    </row>
    <row r="209" ht="15.75" customHeight="1">
      <c r="A209" s="41" t="str">
        <f t="shared" si="4"/>
        <v>ServiceDéduction à la source</v>
      </c>
      <c r="B209" s="96" t="s">
        <v>124</v>
      </c>
      <c r="C209" s="49"/>
      <c r="D209" s="98"/>
      <c r="E209" s="99"/>
      <c r="F209" s="49"/>
      <c r="G209" s="98"/>
      <c r="H209" s="99"/>
      <c r="I209" s="49"/>
      <c r="J209" s="98"/>
      <c r="K209" s="99"/>
      <c r="L209" s="49"/>
      <c r="M209" s="98"/>
      <c r="N209" s="99"/>
      <c r="O209" s="49"/>
      <c r="P209" s="98"/>
      <c r="Q209" s="99"/>
      <c r="R209" s="49"/>
      <c r="S209" s="98"/>
      <c r="T209" s="99"/>
      <c r="U209" s="49"/>
      <c r="V209" s="98"/>
      <c r="W209" s="99"/>
      <c r="X209" s="49"/>
      <c r="Y209" s="98"/>
      <c r="Z209" s="99"/>
      <c r="AA209" s="49"/>
      <c r="AB209" s="98"/>
      <c r="AC209" s="99"/>
      <c r="AD209" s="49"/>
      <c r="AE209" s="98"/>
      <c r="AF209" s="99"/>
      <c r="AG209" s="49"/>
      <c r="AH209" s="98"/>
      <c r="AI209" s="99"/>
      <c r="AJ209" s="49"/>
      <c r="AK209" s="98"/>
      <c r="AL209" s="99"/>
      <c r="AM209" s="49"/>
      <c r="AN209" s="98"/>
      <c r="AO209" s="244"/>
      <c r="AP209" s="48"/>
      <c r="AQ209" s="48"/>
      <c r="AR209" s="48"/>
      <c r="AS209" s="48"/>
      <c r="AT209" s="48"/>
      <c r="AU209" s="48"/>
      <c r="AV209" s="48"/>
      <c r="AW209" s="48"/>
      <c r="AX209" s="48"/>
      <c r="AY209" s="48"/>
      <c r="AZ209" s="48"/>
      <c r="BA209" s="48"/>
      <c r="BB209" s="48"/>
      <c r="BC209" s="48"/>
      <c r="BD209" s="48"/>
      <c r="BE209" s="48"/>
      <c r="BF209" s="48"/>
      <c r="BG209" s="48"/>
      <c r="BH209" s="48"/>
      <c r="BI209" s="48"/>
    </row>
    <row r="210" ht="15.75" customHeight="1">
      <c r="A210" s="41" t="str">
        <f t="shared" si="4"/>
        <v>ServiceBénéfices marginaux</v>
      </c>
      <c r="B210" s="96" t="s">
        <v>125</v>
      </c>
      <c r="C210" s="57"/>
      <c r="D210" s="74"/>
      <c r="E210" s="75"/>
      <c r="F210" s="57"/>
      <c r="G210" s="74"/>
      <c r="H210" s="75"/>
      <c r="I210" s="57"/>
      <c r="J210" s="74"/>
      <c r="K210" s="75"/>
      <c r="L210" s="57"/>
      <c r="M210" s="74"/>
      <c r="N210" s="75"/>
      <c r="O210" s="57"/>
      <c r="P210" s="74"/>
      <c r="Q210" s="75"/>
      <c r="R210" s="57"/>
      <c r="S210" s="74"/>
      <c r="T210" s="75"/>
      <c r="U210" s="57"/>
      <c r="V210" s="74"/>
      <c r="W210" s="75"/>
      <c r="X210" s="57"/>
      <c r="Y210" s="74"/>
      <c r="Z210" s="75"/>
      <c r="AA210" s="57"/>
      <c r="AB210" s="74"/>
      <c r="AC210" s="75"/>
      <c r="AD210" s="57"/>
      <c r="AE210" s="74"/>
      <c r="AF210" s="75"/>
      <c r="AG210" s="57"/>
      <c r="AH210" s="74"/>
      <c r="AI210" s="75"/>
      <c r="AJ210" s="57"/>
      <c r="AK210" s="74"/>
      <c r="AL210" s="75"/>
      <c r="AM210" s="57"/>
      <c r="AN210" s="74"/>
      <c r="AO210" s="242"/>
      <c r="AP210" s="48"/>
      <c r="AQ210" s="48"/>
      <c r="AR210" s="48"/>
      <c r="AS210" s="48"/>
      <c r="AT210" s="48"/>
      <c r="AU210" s="48"/>
      <c r="AV210" s="48"/>
      <c r="AW210" s="48"/>
      <c r="AX210" s="48"/>
      <c r="AY210" s="48"/>
      <c r="AZ210" s="48"/>
      <c r="BA210" s="48"/>
      <c r="BB210" s="48"/>
      <c r="BC210" s="48"/>
      <c r="BD210" s="48"/>
      <c r="BE210" s="48"/>
      <c r="BF210" s="48"/>
      <c r="BG210" s="48"/>
      <c r="BH210" s="48"/>
      <c r="BI210" s="48"/>
    </row>
    <row r="211" ht="15.75" customHeight="1">
      <c r="A211" s="41" t="str">
        <f t="shared" si="4"/>
        <v>ServiceCsst</v>
      </c>
      <c r="B211" s="96" t="s">
        <v>126</v>
      </c>
      <c r="C211" s="57"/>
      <c r="D211" s="74"/>
      <c r="E211" s="75"/>
      <c r="F211" s="57"/>
      <c r="G211" s="74"/>
      <c r="H211" s="75"/>
      <c r="I211" s="57"/>
      <c r="J211" s="74"/>
      <c r="K211" s="75"/>
      <c r="L211" s="57"/>
      <c r="M211" s="74"/>
      <c r="N211" s="75"/>
      <c r="O211" s="57"/>
      <c r="P211" s="74"/>
      <c r="Q211" s="75"/>
      <c r="R211" s="57"/>
      <c r="S211" s="74"/>
      <c r="T211" s="75"/>
      <c r="U211" s="57"/>
      <c r="V211" s="74"/>
      <c r="W211" s="75"/>
      <c r="X211" s="57"/>
      <c r="Y211" s="74"/>
      <c r="Z211" s="75"/>
      <c r="AA211" s="57"/>
      <c r="AB211" s="74"/>
      <c r="AC211" s="75"/>
      <c r="AD211" s="57"/>
      <c r="AE211" s="74"/>
      <c r="AF211" s="75"/>
      <c r="AG211" s="57"/>
      <c r="AH211" s="74"/>
      <c r="AI211" s="75"/>
      <c r="AJ211" s="57"/>
      <c r="AK211" s="74"/>
      <c r="AL211" s="75"/>
      <c r="AM211" s="57"/>
      <c r="AN211" s="74"/>
      <c r="AO211" s="242"/>
      <c r="AP211" s="48"/>
      <c r="AQ211" s="48"/>
      <c r="AR211" s="48"/>
      <c r="AS211" s="48"/>
      <c r="AT211" s="48"/>
      <c r="AU211" s="48"/>
      <c r="AV211" s="48"/>
      <c r="AW211" s="48"/>
      <c r="AX211" s="48"/>
      <c r="AY211" s="48"/>
      <c r="AZ211" s="48"/>
      <c r="BA211" s="48"/>
      <c r="BB211" s="48"/>
      <c r="BC211" s="48"/>
      <c r="BD211" s="48"/>
      <c r="BE211" s="48"/>
      <c r="BF211" s="48"/>
      <c r="BG211" s="48"/>
      <c r="BH211" s="48"/>
      <c r="BI211" s="48"/>
    </row>
    <row r="212" ht="20.25" customHeight="1">
      <c r="A212" s="41" t="str">
        <f t="shared" si="4"/>
        <v>Service[...]</v>
      </c>
      <c r="B212" s="57" t="s">
        <v>56</v>
      </c>
      <c r="C212" s="53"/>
      <c r="D212" s="100"/>
      <c r="E212" s="91"/>
      <c r="F212" s="53"/>
      <c r="G212" s="100"/>
      <c r="H212" s="91"/>
      <c r="I212" s="53"/>
      <c r="J212" s="100"/>
      <c r="K212" s="91"/>
      <c r="L212" s="53"/>
      <c r="M212" s="100"/>
      <c r="N212" s="91"/>
      <c r="O212" s="53"/>
      <c r="P212" s="100"/>
      <c r="Q212" s="91"/>
      <c r="R212" s="53"/>
      <c r="S212" s="100"/>
      <c r="T212" s="91"/>
      <c r="U212" s="53"/>
      <c r="V212" s="100"/>
      <c r="W212" s="91"/>
      <c r="X212" s="53"/>
      <c r="Y212" s="100"/>
      <c r="Z212" s="91"/>
      <c r="AA212" s="53"/>
      <c r="AB212" s="100"/>
      <c r="AC212" s="91"/>
      <c r="AD212" s="53"/>
      <c r="AE212" s="100"/>
      <c r="AF212" s="91"/>
      <c r="AG212" s="53"/>
      <c r="AH212" s="100"/>
      <c r="AI212" s="91"/>
      <c r="AJ212" s="53"/>
      <c r="AK212" s="100"/>
      <c r="AL212" s="91"/>
      <c r="AM212" s="53"/>
      <c r="AN212" s="100"/>
      <c r="AO212" s="91"/>
      <c r="AP212" s="48"/>
      <c r="AQ212" s="48"/>
      <c r="AR212" s="48"/>
      <c r="AS212" s="48"/>
      <c r="AT212" s="48"/>
      <c r="AU212" s="48"/>
      <c r="AV212" s="48"/>
      <c r="AW212" s="48"/>
      <c r="AX212" s="48"/>
      <c r="AY212" s="48"/>
      <c r="AZ212" s="48"/>
      <c r="BA212" s="48"/>
      <c r="BB212" s="48"/>
      <c r="BC212" s="48"/>
      <c r="BD212" s="48"/>
      <c r="BE212" s="48"/>
      <c r="BF212" s="48"/>
      <c r="BG212" s="48"/>
      <c r="BH212" s="48"/>
      <c r="BI212" s="48"/>
    </row>
    <row r="213" ht="15.75" customHeight="1">
      <c r="A213" s="41" t="str">
        <f t="shared" si="4"/>
        <v>ServiceTOTAL PERSONNEL</v>
      </c>
      <c r="B213" s="92" t="s">
        <v>127</v>
      </c>
      <c r="C213" s="93"/>
      <c r="D213" s="94"/>
      <c r="E213" s="95"/>
      <c r="F213" s="93"/>
      <c r="G213" s="94"/>
      <c r="H213" s="95"/>
      <c r="I213" s="93"/>
      <c r="J213" s="94"/>
      <c r="K213" s="95"/>
      <c r="L213" s="93"/>
      <c r="M213" s="94"/>
      <c r="N213" s="95"/>
      <c r="O213" s="93"/>
      <c r="P213" s="94"/>
      <c r="Q213" s="95"/>
      <c r="R213" s="93"/>
      <c r="S213" s="94"/>
      <c r="T213" s="95"/>
      <c r="U213" s="93"/>
      <c r="V213" s="94"/>
      <c r="W213" s="95"/>
      <c r="X213" s="93"/>
      <c r="Y213" s="94"/>
      <c r="Z213" s="95"/>
      <c r="AA213" s="93"/>
      <c r="AB213" s="94"/>
      <c r="AC213" s="95"/>
      <c r="AD213" s="93"/>
      <c r="AE213" s="94"/>
      <c r="AF213" s="95"/>
      <c r="AG213" s="93"/>
      <c r="AH213" s="94"/>
      <c r="AI213" s="95"/>
      <c r="AJ213" s="93"/>
      <c r="AK213" s="94"/>
      <c r="AL213" s="95"/>
      <c r="AM213" s="93"/>
      <c r="AN213" s="94"/>
      <c r="AO213" s="95"/>
      <c r="AP213" s="48"/>
      <c r="AQ213" s="48"/>
      <c r="AR213" s="48"/>
      <c r="AS213" s="48"/>
      <c r="AT213" s="48"/>
      <c r="AU213" s="48"/>
      <c r="AV213" s="48"/>
      <c r="AW213" s="48"/>
      <c r="AX213" s="48"/>
      <c r="AY213" s="48"/>
      <c r="AZ213" s="48"/>
      <c r="BA213" s="48"/>
      <c r="BB213" s="48"/>
      <c r="BC213" s="48"/>
      <c r="BD213" s="48"/>
      <c r="BE213" s="48"/>
      <c r="BF213" s="48"/>
      <c r="BG213" s="48"/>
      <c r="BH213" s="48"/>
      <c r="BI213" s="48"/>
    </row>
    <row r="214" ht="15.75" customHeight="1">
      <c r="A214" s="41" t="str">
        <f t="shared" si="4"/>
        <v>ServicePublicité 2</v>
      </c>
      <c r="B214" s="57" t="s">
        <v>128</v>
      </c>
      <c r="C214" s="57"/>
      <c r="D214" s="74"/>
      <c r="E214" s="75"/>
      <c r="F214" s="57"/>
      <c r="G214" s="74"/>
      <c r="H214" s="75"/>
      <c r="I214" s="57"/>
      <c r="J214" s="74"/>
      <c r="K214" s="75"/>
      <c r="L214" s="57"/>
      <c r="M214" s="74"/>
      <c r="N214" s="75"/>
      <c r="O214" s="57"/>
      <c r="P214" s="74"/>
      <c r="Q214" s="75"/>
      <c r="R214" s="57"/>
      <c r="S214" s="74"/>
      <c r="T214" s="75"/>
      <c r="U214" s="57"/>
      <c r="V214" s="74"/>
      <c r="W214" s="75"/>
      <c r="X214" s="57"/>
      <c r="Y214" s="74"/>
      <c r="Z214" s="75"/>
      <c r="AA214" s="57"/>
      <c r="AB214" s="74"/>
      <c r="AC214" s="75"/>
      <c r="AD214" s="57"/>
      <c r="AE214" s="74"/>
      <c r="AF214" s="75"/>
      <c r="AG214" s="57"/>
      <c r="AH214" s="74"/>
      <c r="AI214" s="75"/>
      <c r="AJ214" s="57"/>
      <c r="AK214" s="74"/>
      <c r="AL214" s="75"/>
      <c r="AM214" s="57"/>
      <c r="AN214" s="74"/>
      <c r="AO214" s="242"/>
      <c r="AP214" s="48"/>
      <c r="AQ214" s="48"/>
      <c r="AR214" s="48"/>
      <c r="AS214" s="48"/>
      <c r="AT214" s="48"/>
      <c r="AU214" s="48"/>
      <c r="AV214" s="48"/>
      <c r="AW214" s="48"/>
      <c r="AX214" s="48"/>
      <c r="AY214" s="48"/>
      <c r="AZ214" s="48"/>
      <c r="BA214" s="48"/>
      <c r="BB214" s="48"/>
      <c r="BC214" s="48"/>
      <c r="BD214" s="48"/>
      <c r="BE214" s="48"/>
      <c r="BF214" s="48"/>
      <c r="BG214" s="48"/>
      <c r="BH214" s="48"/>
      <c r="BI214" s="48"/>
    </row>
    <row r="215" ht="15.75" customHeight="1">
      <c r="A215" s="41" t="str">
        <f t="shared" si="4"/>
        <v>ServiceService gratuit 2</v>
      </c>
      <c r="B215" s="57" t="s">
        <v>129</v>
      </c>
      <c r="C215" s="57"/>
      <c r="D215" s="74"/>
      <c r="E215" s="75"/>
      <c r="F215" s="57"/>
      <c r="G215" s="74"/>
      <c r="H215" s="75"/>
      <c r="I215" s="57"/>
      <c r="J215" s="74"/>
      <c r="K215" s="75"/>
      <c r="L215" s="57"/>
      <c r="M215" s="74"/>
      <c r="N215" s="75"/>
      <c r="O215" s="57"/>
      <c r="P215" s="74"/>
      <c r="Q215" s="75"/>
      <c r="R215" s="57"/>
      <c r="S215" s="74"/>
      <c r="T215" s="75"/>
      <c r="U215" s="57"/>
      <c r="V215" s="74"/>
      <c r="W215" s="75"/>
      <c r="X215" s="57"/>
      <c r="Y215" s="74"/>
      <c r="Z215" s="75"/>
      <c r="AA215" s="57"/>
      <c r="AB215" s="74"/>
      <c r="AC215" s="75"/>
      <c r="AD215" s="57"/>
      <c r="AE215" s="74"/>
      <c r="AF215" s="75"/>
      <c r="AG215" s="57"/>
      <c r="AH215" s="74"/>
      <c r="AI215" s="75"/>
      <c r="AJ215" s="57"/>
      <c r="AK215" s="74"/>
      <c r="AL215" s="75"/>
      <c r="AM215" s="57"/>
      <c r="AN215" s="74"/>
      <c r="AO215" s="242"/>
      <c r="AP215" s="48"/>
      <c r="AQ215" s="48"/>
      <c r="AR215" s="48"/>
      <c r="AS215" s="48"/>
      <c r="AT215" s="48"/>
      <c r="AU215" s="48"/>
      <c r="AV215" s="48"/>
      <c r="AW215" s="48"/>
      <c r="AX215" s="48"/>
      <c r="AY215" s="48"/>
      <c r="AZ215" s="48"/>
      <c r="BA215" s="48"/>
      <c r="BB215" s="48"/>
      <c r="BC215" s="48"/>
      <c r="BD215" s="48"/>
      <c r="BE215" s="48"/>
      <c r="BF215" s="48"/>
      <c r="BG215" s="48"/>
      <c r="BH215" s="48"/>
      <c r="BI215" s="48"/>
    </row>
    <row r="216" ht="15.75" customHeight="1">
      <c r="A216" s="41" t="str">
        <f t="shared" si="4"/>
        <v>ServiceFrais véhicules de cie</v>
      </c>
      <c r="B216" s="53" t="s">
        <v>130</v>
      </c>
      <c r="C216" s="53"/>
      <c r="D216" s="100"/>
      <c r="E216" s="91"/>
      <c r="F216" s="53"/>
      <c r="G216" s="100"/>
      <c r="H216" s="91"/>
      <c r="I216" s="53"/>
      <c r="J216" s="100"/>
      <c r="K216" s="91"/>
      <c r="L216" s="53"/>
      <c r="M216" s="100"/>
      <c r="N216" s="91"/>
      <c r="O216" s="53"/>
      <c r="P216" s="100"/>
      <c r="Q216" s="91"/>
      <c r="R216" s="53"/>
      <c r="S216" s="100"/>
      <c r="T216" s="91"/>
      <c r="U216" s="53"/>
      <c r="V216" s="100"/>
      <c r="W216" s="91"/>
      <c r="X216" s="53"/>
      <c r="Y216" s="100"/>
      <c r="Z216" s="91"/>
      <c r="AA216" s="53"/>
      <c r="AB216" s="100"/>
      <c r="AC216" s="91"/>
      <c r="AD216" s="53"/>
      <c r="AE216" s="100"/>
      <c r="AF216" s="91"/>
      <c r="AG216" s="53"/>
      <c r="AH216" s="100"/>
      <c r="AI216" s="91"/>
      <c r="AJ216" s="53"/>
      <c r="AK216" s="100"/>
      <c r="AL216" s="91"/>
      <c r="AM216" s="53"/>
      <c r="AN216" s="100"/>
      <c r="AO216" s="243"/>
      <c r="AP216" s="48"/>
      <c r="AQ216" s="48"/>
      <c r="AR216" s="48"/>
      <c r="AS216" s="48"/>
      <c r="AT216" s="48"/>
      <c r="AU216" s="48"/>
      <c r="AV216" s="48"/>
      <c r="AW216" s="48"/>
      <c r="AX216" s="48"/>
      <c r="AY216" s="48"/>
      <c r="AZ216" s="48"/>
      <c r="BA216" s="48"/>
      <c r="BB216" s="48"/>
      <c r="BC216" s="48"/>
      <c r="BD216" s="48"/>
      <c r="BE216" s="48"/>
      <c r="BF216" s="48"/>
      <c r="BG216" s="48"/>
      <c r="BH216" s="48"/>
      <c r="BI216" s="48"/>
    </row>
    <row r="217" ht="15.75" customHeight="1">
      <c r="A217" s="41" t="str">
        <f t="shared" si="4"/>
        <v>ServiceInformatique</v>
      </c>
      <c r="B217" s="57" t="s">
        <v>131</v>
      </c>
      <c r="C217" s="57"/>
      <c r="D217" s="74"/>
      <c r="E217" s="75"/>
      <c r="F217" s="57"/>
      <c r="G217" s="74"/>
      <c r="H217" s="75"/>
      <c r="I217" s="57"/>
      <c r="J217" s="74"/>
      <c r="K217" s="75"/>
      <c r="L217" s="57"/>
      <c r="M217" s="74"/>
      <c r="N217" s="75"/>
      <c r="O217" s="57"/>
      <c r="P217" s="74"/>
      <c r="Q217" s="75"/>
      <c r="R217" s="57"/>
      <c r="S217" s="74"/>
      <c r="T217" s="75"/>
      <c r="U217" s="57"/>
      <c r="V217" s="74"/>
      <c r="W217" s="75"/>
      <c r="X217" s="57"/>
      <c r="Y217" s="74"/>
      <c r="Z217" s="75"/>
      <c r="AA217" s="57"/>
      <c r="AB217" s="74"/>
      <c r="AC217" s="75"/>
      <c r="AD217" s="57"/>
      <c r="AE217" s="74"/>
      <c r="AF217" s="75"/>
      <c r="AG217" s="57"/>
      <c r="AH217" s="74"/>
      <c r="AI217" s="75"/>
      <c r="AJ217" s="57"/>
      <c r="AK217" s="74"/>
      <c r="AL217" s="75"/>
      <c r="AM217" s="57"/>
      <c r="AN217" s="74"/>
      <c r="AO217" s="242"/>
      <c r="AP217" s="48"/>
      <c r="AQ217" s="48"/>
      <c r="AR217" s="48"/>
      <c r="AS217" s="48"/>
      <c r="AT217" s="48"/>
      <c r="AU217" s="48"/>
      <c r="AV217" s="48"/>
      <c r="AW217" s="48"/>
      <c r="AX217" s="48"/>
      <c r="AY217" s="48"/>
      <c r="AZ217" s="48"/>
      <c r="BA217" s="48"/>
      <c r="BB217" s="48"/>
      <c r="BC217" s="48"/>
      <c r="BD217" s="48"/>
      <c r="BE217" s="48"/>
      <c r="BF217" s="48"/>
      <c r="BG217" s="48"/>
      <c r="BH217" s="48"/>
      <c r="BI217" s="48"/>
    </row>
    <row r="218" ht="15.75" customHeight="1">
      <c r="A218" s="41" t="str">
        <f t="shared" si="4"/>
        <v>ServiceFrais de déplacement</v>
      </c>
      <c r="B218" s="57" t="s">
        <v>132</v>
      </c>
      <c r="C218" s="57"/>
      <c r="D218" s="74"/>
      <c r="E218" s="75"/>
      <c r="F218" s="57"/>
      <c r="G218" s="74"/>
      <c r="H218" s="75"/>
      <c r="I218" s="57"/>
      <c r="J218" s="74"/>
      <c r="K218" s="75"/>
      <c r="L218" s="57"/>
      <c r="M218" s="74"/>
      <c r="N218" s="75"/>
      <c r="O218" s="57"/>
      <c r="P218" s="74"/>
      <c r="Q218" s="75"/>
      <c r="R218" s="57"/>
      <c r="S218" s="74"/>
      <c r="T218" s="75"/>
      <c r="U218" s="57"/>
      <c r="V218" s="74"/>
      <c r="W218" s="75"/>
      <c r="X218" s="57"/>
      <c r="Y218" s="74"/>
      <c r="Z218" s="75"/>
      <c r="AA218" s="57"/>
      <c r="AB218" s="74"/>
      <c r="AC218" s="75"/>
      <c r="AD218" s="57"/>
      <c r="AE218" s="74"/>
      <c r="AF218" s="75"/>
      <c r="AG218" s="57"/>
      <c r="AH218" s="74"/>
      <c r="AI218" s="75"/>
      <c r="AJ218" s="57"/>
      <c r="AK218" s="74"/>
      <c r="AL218" s="75"/>
      <c r="AM218" s="57"/>
      <c r="AN218" s="74"/>
      <c r="AO218" s="242"/>
      <c r="AP218" s="48"/>
      <c r="AQ218" s="48"/>
      <c r="AR218" s="48"/>
      <c r="AS218" s="48"/>
      <c r="AT218" s="48"/>
      <c r="AU218" s="48"/>
      <c r="AV218" s="48"/>
      <c r="AW218" s="48"/>
      <c r="AX218" s="48"/>
      <c r="AY218" s="48"/>
      <c r="AZ218" s="48"/>
      <c r="BA218" s="48"/>
      <c r="BB218" s="48"/>
      <c r="BC218" s="48"/>
      <c r="BD218" s="48"/>
      <c r="BE218" s="48"/>
      <c r="BF218" s="48"/>
      <c r="BG218" s="48"/>
      <c r="BH218" s="48"/>
      <c r="BI218" s="48"/>
    </row>
    <row r="219" ht="15.75" customHeight="1">
      <c r="A219" s="41" t="str">
        <f t="shared" si="4"/>
        <v>ServiceServices extérieurs</v>
      </c>
      <c r="B219" s="53" t="s">
        <v>133</v>
      </c>
      <c r="C219" s="53"/>
      <c r="D219" s="100"/>
      <c r="E219" s="91"/>
      <c r="F219" s="53"/>
      <c r="G219" s="100"/>
      <c r="H219" s="91"/>
      <c r="I219" s="53"/>
      <c r="J219" s="100"/>
      <c r="K219" s="91"/>
      <c r="L219" s="53"/>
      <c r="M219" s="100"/>
      <c r="N219" s="91"/>
      <c r="O219" s="53"/>
      <c r="P219" s="100"/>
      <c r="Q219" s="91"/>
      <c r="R219" s="53"/>
      <c r="S219" s="100"/>
      <c r="T219" s="91"/>
      <c r="U219" s="53"/>
      <c r="V219" s="100"/>
      <c r="W219" s="91"/>
      <c r="X219" s="53"/>
      <c r="Y219" s="100"/>
      <c r="Z219" s="91"/>
      <c r="AA219" s="53"/>
      <c r="AB219" s="100"/>
      <c r="AC219" s="91"/>
      <c r="AD219" s="53"/>
      <c r="AE219" s="100"/>
      <c r="AF219" s="91"/>
      <c r="AG219" s="53"/>
      <c r="AH219" s="100"/>
      <c r="AI219" s="91"/>
      <c r="AJ219" s="53"/>
      <c r="AK219" s="100"/>
      <c r="AL219" s="91"/>
      <c r="AM219" s="53"/>
      <c r="AN219" s="100"/>
      <c r="AO219" s="243"/>
      <c r="AP219" s="48"/>
      <c r="AQ219" s="48"/>
      <c r="AR219" s="48"/>
      <c r="AS219" s="48"/>
      <c r="AT219" s="48"/>
      <c r="AU219" s="48"/>
      <c r="AV219" s="48"/>
      <c r="AW219" s="48"/>
      <c r="AX219" s="48"/>
      <c r="AY219" s="48"/>
      <c r="AZ219" s="48"/>
      <c r="BA219" s="48"/>
      <c r="BB219" s="48"/>
      <c r="BC219" s="48"/>
      <c r="BD219" s="48"/>
      <c r="BE219" s="48"/>
      <c r="BF219" s="48"/>
      <c r="BG219" s="48"/>
      <c r="BH219" s="48"/>
      <c r="BI219" s="48"/>
    </row>
    <row r="220" ht="15.75" customHeight="1">
      <c r="A220" s="41" t="str">
        <f t="shared" si="4"/>
        <v>ServiceFournitures d'atelier</v>
      </c>
      <c r="B220" s="57" t="s">
        <v>173</v>
      </c>
      <c r="C220" s="57"/>
      <c r="D220" s="74"/>
      <c r="E220" s="75"/>
      <c r="F220" s="57"/>
      <c r="G220" s="74"/>
      <c r="H220" s="75"/>
      <c r="I220" s="57"/>
      <c r="J220" s="74"/>
      <c r="K220" s="75"/>
      <c r="L220" s="57"/>
      <c r="M220" s="74"/>
      <c r="N220" s="75"/>
      <c r="O220" s="57"/>
      <c r="P220" s="74"/>
      <c r="Q220" s="75"/>
      <c r="R220" s="57"/>
      <c r="S220" s="74"/>
      <c r="T220" s="75"/>
      <c r="U220" s="57"/>
      <c r="V220" s="74"/>
      <c r="W220" s="75"/>
      <c r="X220" s="57"/>
      <c r="Y220" s="74"/>
      <c r="Z220" s="75"/>
      <c r="AA220" s="57"/>
      <c r="AB220" s="74"/>
      <c r="AC220" s="75"/>
      <c r="AD220" s="57"/>
      <c r="AE220" s="74"/>
      <c r="AF220" s="75"/>
      <c r="AG220" s="57"/>
      <c r="AH220" s="74"/>
      <c r="AI220" s="75"/>
      <c r="AJ220" s="57"/>
      <c r="AK220" s="74"/>
      <c r="AL220" s="75"/>
      <c r="AM220" s="57"/>
      <c r="AN220" s="74"/>
      <c r="AO220" s="242"/>
      <c r="AP220" s="48"/>
      <c r="AQ220" s="48"/>
      <c r="AR220" s="48"/>
      <c r="AS220" s="48"/>
      <c r="AT220" s="48"/>
      <c r="AU220" s="48"/>
      <c r="AV220" s="48"/>
      <c r="AW220" s="48"/>
      <c r="AX220" s="48"/>
      <c r="AY220" s="48"/>
      <c r="AZ220" s="48"/>
      <c r="BA220" s="48"/>
      <c r="BB220" s="48"/>
      <c r="BC220" s="48"/>
      <c r="BD220" s="48"/>
      <c r="BE220" s="48"/>
      <c r="BF220" s="48"/>
      <c r="BG220" s="48"/>
      <c r="BH220" s="48"/>
      <c r="BI220" s="48"/>
    </row>
    <row r="221" ht="15.75" customHeight="1">
      <c r="A221" s="41" t="str">
        <f t="shared" si="4"/>
        <v>ServiceFournitures autres</v>
      </c>
      <c r="B221" s="57" t="s">
        <v>134</v>
      </c>
      <c r="C221" s="57"/>
      <c r="D221" s="74"/>
      <c r="E221" s="75"/>
      <c r="F221" s="57"/>
      <c r="G221" s="74"/>
      <c r="H221" s="75"/>
      <c r="I221" s="57"/>
      <c r="J221" s="74"/>
      <c r="K221" s="75"/>
      <c r="L221" s="57"/>
      <c r="M221" s="74"/>
      <c r="N221" s="75"/>
      <c r="O221" s="57"/>
      <c r="P221" s="74"/>
      <c r="Q221" s="75"/>
      <c r="R221" s="57"/>
      <c r="S221" s="74"/>
      <c r="T221" s="75"/>
      <c r="U221" s="57"/>
      <c r="V221" s="74"/>
      <c r="W221" s="75"/>
      <c r="X221" s="57"/>
      <c r="Y221" s="74"/>
      <c r="Z221" s="75"/>
      <c r="AA221" s="57"/>
      <c r="AB221" s="74"/>
      <c r="AC221" s="75"/>
      <c r="AD221" s="57"/>
      <c r="AE221" s="74"/>
      <c r="AF221" s="75"/>
      <c r="AG221" s="57"/>
      <c r="AH221" s="74"/>
      <c r="AI221" s="75"/>
      <c r="AJ221" s="57"/>
      <c r="AK221" s="74"/>
      <c r="AL221" s="75"/>
      <c r="AM221" s="57"/>
      <c r="AN221" s="74"/>
      <c r="AO221" s="242"/>
      <c r="AP221" s="48"/>
      <c r="AQ221" s="48"/>
      <c r="AR221" s="48"/>
      <c r="AS221" s="48"/>
      <c r="AT221" s="48"/>
      <c r="AU221" s="48"/>
      <c r="AV221" s="48"/>
      <c r="AW221" s="48"/>
      <c r="AX221" s="48"/>
      <c r="AY221" s="48"/>
      <c r="AZ221" s="48"/>
      <c r="BA221" s="48"/>
      <c r="BB221" s="48"/>
      <c r="BC221" s="48"/>
      <c r="BD221" s="48"/>
      <c r="BE221" s="48"/>
      <c r="BF221" s="48"/>
      <c r="BG221" s="48"/>
      <c r="BH221" s="48"/>
      <c r="BI221" s="48"/>
    </row>
    <row r="222" ht="15.75" customHeight="1">
      <c r="A222" s="41" t="str">
        <f t="shared" si="4"/>
        <v>ServiceUniformes</v>
      </c>
      <c r="B222" s="57" t="s">
        <v>135</v>
      </c>
      <c r="C222" s="57"/>
      <c r="D222" s="74"/>
      <c r="E222" s="75"/>
      <c r="F222" s="57"/>
      <c r="G222" s="74"/>
      <c r="H222" s="75"/>
      <c r="I222" s="57"/>
      <c r="J222" s="74"/>
      <c r="K222" s="75"/>
      <c r="L222" s="57"/>
      <c r="M222" s="74"/>
      <c r="N222" s="75"/>
      <c r="O222" s="57"/>
      <c r="P222" s="74"/>
      <c r="Q222" s="75"/>
      <c r="R222" s="57"/>
      <c r="S222" s="74"/>
      <c r="T222" s="75"/>
      <c r="U222" s="57"/>
      <c r="V222" s="74"/>
      <c r="W222" s="75"/>
      <c r="X222" s="57"/>
      <c r="Y222" s="74"/>
      <c r="Z222" s="75"/>
      <c r="AA222" s="57"/>
      <c r="AB222" s="74"/>
      <c r="AC222" s="75"/>
      <c r="AD222" s="57"/>
      <c r="AE222" s="74"/>
      <c r="AF222" s="75"/>
      <c r="AG222" s="57"/>
      <c r="AH222" s="74"/>
      <c r="AI222" s="75"/>
      <c r="AJ222" s="57"/>
      <c r="AK222" s="74"/>
      <c r="AL222" s="75"/>
      <c r="AM222" s="57"/>
      <c r="AN222" s="74"/>
      <c r="AO222" s="242"/>
      <c r="AP222" s="48"/>
      <c r="AQ222" s="48"/>
      <c r="AR222" s="48"/>
      <c r="AS222" s="48"/>
      <c r="AT222" s="48"/>
      <c r="AU222" s="48"/>
      <c r="AV222" s="48"/>
      <c r="AW222" s="48"/>
      <c r="AX222" s="48"/>
      <c r="AY222" s="48"/>
      <c r="AZ222" s="48"/>
      <c r="BA222" s="48"/>
      <c r="BB222" s="48"/>
      <c r="BC222" s="48"/>
      <c r="BD222" s="48"/>
      <c r="BE222" s="48"/>
      <c r="BF222" s="48"/>
      <c r="BG222" s="48"/>
      <c r="BH222" s="48"/>
      <c r="BI222" s="48"/>
    </row>
    <row r="223" ht="15.75" customHeight="1">
      <c r="A223" s="41" t="str">
        <f t="shared" si="4"/>
        <v>ServicePapeterie</v>
      </c>
      <c r="B223" s="57" t="s">
        <v>136</v>
      </c>
      <c r="C223" s="57"/>
      <c r="D223" s="74"/>
      <c r="E223" s="75"/>
      <c r="F223" s="57"/>
      <c r="G223" s="74"/>
      <c r="H223" s="75"/>
      <c r="I223" s="57"/>
      <c r="J223" s="74"/>
      <c r="K223" s="75"/>
      <c r="L223" s="57"/>
      <c r="M223" s="74"/>
      <c r="N223" s="75"/>
      <c r="O223" s="57"/>
      <c r="P223" s="74"/>
      <c r="Q223" s="75"/>
      <c r="R223" s="57"/>
      <c r="S223" s="74"/>
      <c r="T223" s="75"/>
      <c r="U223" s="57"/>
      <c r="V223" s="74"/>
      <c r="W223" s="75"/>
      <c r="X223" s="57"/>
      <c r="Y223" s="74"/>
      <c r="Z223" s="75"/>
      <c r="AA223" s="57"/>
      <c r="AB223" s="74"/>
      <c r="AC223" s="75"/>
      <c r="AD223" s="57"/>
      <c r="AE223" s="74"/>
      <c r="AF223" s="75"/>
      <c r="AG223" s="57"/>
      <c r="AH223" s="74"/>
      <c r="AI223" s="75"/>
      <c r="AJ223" s="57"/>
      <c r="AK223" s="74"/>
      <c r="AL223" s="75"/>
      <c r="AM223" s="57"/>
      <c r="AN223" s="74"/>
      <c r="AO223" s="242"/>
      <c r="AP223" s="48"/>
      <c r="AQ223" s="48"/>
      <c r="AR223" s="48"/>
      <c r="AS223" s="48"/>
      <c r="AT223" s="48"/>
      <c r="AU223" s="48"/>
      <c r="AV223" s="48"/>
      <c r="AW223" s="48"/>
      <c r="AX223" s="48"/>
      <c r="AY223" s="48"/>
      <c r="AZ223" s="48"/>
      <c r="BA223" s="48"/>
      <c r="BB223" s="48"/>
      <c r="BC223" s="48"/>
      <c r="BD223" s="48"/>
      <c r="BE223" s="48"/>
      <c r="BF223" s="48"/>
      <c r="BG223" s="48"/>
      <c r="BH223" s="48"/>
      <c r="BI223" s="48"/>
    </row>
    <row r="224" ht="15.75" customHeight="1">
      <c r="A224" s="41" t="str">
        <f t="shared" si="4"/>
        <v>ServiceTéléphone</v>
      </c>
      <c r="B224" s="57" t="s">
        <v>137</v>
      </c>
      <c r="C224" s="57"/>
      <c r="D224" s="74"/>
      <c r="E224" s="75"/>
      <c r="F224" s="57"/>
      <c r="G224" s="74"/>
      <c r="H224" s="75"/>
      <c r="I224" s="57"/>
      <c r="J224" s="74"/>
      <c r="K224" s="75"/>
      <c r="L224" s="57"/>
      <c r="M224" s="74"/>
      <c r="N224" s="75"/>
      <c r="O224" s="57"/>
      <c r="P224" s="74"/>
      <c r="Q224" s="75"/>
      <c r="R224" s="57"/>
      <c r="S224" s="74"/>
      <c r="T224" s="75"/>
      <c r="U224" s="57"/>
      <c r="V224" s="74"/>
      <c r="W224" s="75"/>
      <c r="X224" s="57"/>
      <c r="Y224" s="74"/>
      <c r="Z224" s="75"/>
      <c r="AA224" s="57"/>
      <c r="AB224" s="74"/>
      <c r="AC224" s="75"/>
      <c r="AD224" s="57"/>
      <c r="AE224" s="74"/>
      <c r="AF224" s="75"/>
      <c r="AG224" s="57"/>
      <c r="AH224" s="74"/>
      <c r="AI224" s="75"/>
      <c r="AJ224" s="57"/>
      <c r="AK224" s="74"/>
      <c r="AL224" s="75"/>
      <c r="AM224" s="57"/>
      <c r="AN224" s="74"/>
      <c r="AO224" s="242"/>
      <c r="AP224" s="48"/>
      <c r="AQ224" s="48"/>
      <c r="AR224" s="48"/>
      <c r="AS224" s="48"/>
      <c r="AT224" s="48"/>
      <c r="AU224" s="48"/>
      <c r="AV224" s="48"/>
      <c r="AW224" s="48"/>
      <c r="AX224" s="48"/>
      <c r="AY224" s="48"/>
      <c r="AZ224" s="48"/>
      <c r="BA224" s="48"/>
      <c r="BB224" s="48"/>
      <c r="BC224" s="48"/>
      <c r="BD224" s="48"/>
      <c r="BE224" s="48"/>
      <c r="BF224" s="48"/>
      <c r="BG224" s="48"/>
      <c r="BH224" s="48"/>
      <c r="BI224" s="48"/>
    </row>
    <row r="225" ht="15.75" customHeight="1">
      <c r="A225" s="41" t="str">
        <f t="shared" si="4"/>
        <v>ServiceFrais postaux</v>
      </c>
      <c r="B225" s="57" t="s">
        <v>138</v>
      </c>
      <c r="C225" s="57"/>
      <c r="D225" s="74"/>
      <c r="E225" s="75"/>
      <c r="F225" s="57"/>
      <c r="G225" s="74"/>
      <c r="H225" s="75"/>
      <c r="I225" s="57"/>
      <c r="J225" s="74"/>
      <c r="K225" s="75"/>
      <c r="L225" s="57"/>
      <c r="M225" s="74"/>
      <c r="N225" s="75"/>
      <c r="O225" s="57"/>
      <c r="P225" s="74"/>
      <c r="Q225" s="75"/>
      <c r="R225" s="57"/>
      <c r="S225" s="74"/>
      <c r="T225" s="75"/>
      <c r="U225" s="57"/>
      <c r="V225" s="74"/>
      <c r="W225" s="75"/>
      <c r="X225" s="57"/>
      <c r="Y225" s="74"/>
      <c r="Z225" s="75"/>
      <c r="AA225" s="57"/>
      <c r="AB225" s="74"/>
      <c r="AC225" s="75"/>
      <c r="AD225" s="57"/>
      <c r="AE225" s="74"/>
      <c r="AF225" s="75"/>
      <c r="AG225" s="57"/>
      <c r="AH225" s="74"/>
      <c r="AI225" s="75"/>
      <c r="AJ225" s="57"/>
      <c r="AK225" s="74"/>
      <c r="AL225" s="75"/>
      <c r="AM225" s="57"/>
      <c r="AN225" s="74"/>
      <c r="AO225" s="242"/>
      <c r="AP225" s="48"/>
      <c r="AQ225" s="48"/>
      <c r="AR225" s="48"/>
      <c r="AS225" s="48"/>
      <c r="AT225" s="48"/>
      <c r="AU225" s="48"/>
      <c r="AV225" s="48"/>
      <c r="AW225" s="48"/>
      <c r="AX225" s="48"/>
      <c r="AY225" s="48"/>
      <c r="AZ225" s="48"/>
      <c r="BA225" s="48"/>
      <c r="BB225" s="48"/>
      <c r="BC225" s="48"/>
      <c r="BD225" s="48"/>
      <c r="BE225" s="48"/>
      <c r="BF225" s="48"/>
      <c r="BG225" s="48"/>
      <c r="BH225" s="48"/>
      <c r="BI225" s="48"/>
    </row>
    <row r="226" ht="15.75" customHeight="1">
      <c r="A226" s="41" t="str">
        <f t="shared" si="4"/>
        <v>ServiceDivers</v>
      </c>
      <c r="B226" s="57" t="s">
        <v>139</v>
      </c>
      <c r="C226" s="57"/>
      <c r="D226" s="74"/>
      <c r="E226" s="75"/>
      <c r="F226" s="57"/>
      <c r="G226" s="74"/>
      <c r="H226" s="75"/>
      <c r="I226" s="57"/>
      <c r="J226" s="74"/>
      <c r="K226" s="75"/>
      <c r="L226" s="57"/>
      <c r="M226" s="74"/>
      <c r="N226" s="75"/>
      <c r="O226" s="57"/>
      <c r="P226" s="74"/>
      <c r="Q226" s="75"/>
      <c r="R226" s="57"/>
      <c r="S226" s="74"/>
      <c r="T226" s="75"/>
      <c r="U226" s="57"/>
      <c r="V226" s="74"/>
      <c r="W226" s="75"/>
      <c r="X226" s="57"/>
      <c r="Y226" s="74"/>
      <c r="Z226" s="75"/>
      <c r="AA226" s="57"/>
      <c r="AB226" s="74"/>
      <c r="AC226" s="75"/>
      <c r="AD226" s="57"/>
      <c r="AE226" s="74"/>
      <c r="AF226" s="75"/>
      <c r="AG226" s="57"/>
      <c r="AH226" s="74"/>
      <c r="AI226" s="75"/>
      <c r="AJ226" s="57"/>
      <c r="AK226" s="74"/>
      <c r="AL226" s="75"/>
      <c r="AM226" s="57"/>
      <c r="AN226" s="74"/>
      <c r="AO226" s="242"/>
      <c r="AP226" s="48"/>
      <c r="AQ226" s="48"/>
      <c r="AR226" s="48"/>
      <c r="AS226" s="48"/>
      <c r="AT226" s="48"/>
      <c r="AU226" s="48"/>
      <c r="AV226" s="48"/>
      <c r="AW226" s="48"/>
      <c r="AX226" s="48"/>
      <c r="AY226" s="48"/>
      <c r="AZ226" s="48"/>
      <c r="BA226" s="48"/>
      <c r="BB226" s="48"/>
      <c r="BC226" s="48"/>
      <c r="BD226" s="48"/>
      <c r="BE226" s="48"/>
      <c r="BF226" s="48"/>
      <c r="BG226" s="48"/>
      <c r="BH226" s="48"/>
      <c r="BI226" s="48"/>
    </row>
    <row r="227" ht="15.75" customHeight="1">
      <c r="A227" s="41" t="str">
        <f t="shared" si="4"/>
        <v>ServiceFormation</v>
      </c>
      <c r="B227" s="57" t="s">
        <v>140</v>
      </c>
      <c r="C227" s="57"/>
      <c r="D227" s="74"/>
      <c r="E227" s="75"/>
      <c r="F227" s="57"/>
      <c r="G227" s="74"/>
      <c r="H227" s="75"/>
      <c r="I227" s="57"/>
      <c r="J227" s="74"/>
      <c r="K227" s="75"/>
      <c r="L227" s="57"/>
      <c r="M227" s="74"/>
      <c r="N227" s="75"/>
      <c r="O227" s="57"/>
      <c r="P227" s="74"/>
      <c r="Q227" s="75"/>
      <c r="R227" s="57"/>
      <c r="S227" s="74"/>
      <c r="T227" s="75"/>
      <c r="U227" s="57"/>
      <c r="V227" s="74"/>
      <c r="W227" s="75"/>
      <c r="X227" s="57"/>
      <c r="Y227" s="74"/>
      <c r="Z227" s="75"/>
      <c r="AA227" s="57"/>
      <c r="AB227" s="74"/>
      <c r="AC227" s="75"/>
      <c r="AD227" s="57"/>
      <c r="AE227" s="74"/>
      <c r="AF227" s="75"/>
      <c r="AG227" s="57"/>
      <c r="AH227" s="74"/>
      <c r="AI227" s="75"/>
      <c r="AJ227" s="57"/>
      <c r="AK227" s="74"/>
      <c r="AL227" s="75"/>
      <c r="AM227" s="57"/>
      <c r="AN227" s="74"/>
      <c r="AO227" s="242"/>
      <c r="AP227" s="48"/>
      <c r="AQ227" s="48"/>
      <c r="AR227" s="48"/>
      <c r="AS227" s="48"/>
      <c r="AT227" s="48"/>
      <c r="AU227" s="48"/>
      <c r="AV227" s="48"/>
      <c r="AW227" s="48"/>
      <c r="AX227" s="48"/>
      <c r="AY227" s="48"/>
      <c r="AZ227" s="48"/>
      <c r="BA227" s="48"/>
      <c r="BB227" s="48"/>
      <c r="BC227" s="48"/>
      <c r="BD227" s="48"/>
      <c r="BE227" s="48"/>
      <c r="BF227" s="48"/>
      <c r="BG227" s="48"/>
      <c r="BH227" s="48"/>
      <c r="BI227" s="48"/>
    </row>
    <row r="228" ht="15.75" customHeight="1">
      <c r="A228" s="41" t="str">
        <f t="shared" si="4"/>
        <v>ServiceFrais bancaires</v>
      </c>
      <c r="B228" s="57" t="s">
        <v>141</v>
      </c>
      <c r="C228" s="57"/>
      <c r="D228" s="74"/>
      <c r="E228" s="75"/>
      <c r="F228" s="57"/>
      <c r="G228" s="74"/>
      <c r="H228" s="75"/>
      <c r="I228" s="57"/>
      <c r="J228" s="74"/>
      <c r="K228" s="75"/>
      <c r="L228" s="57"/>
      <c r="M228" s="74"/>
      <c r="N228" s="75"/>
      <c r="O228" s="57"/>
      <c r="P228" s="74"/>
      <c r="Q228" s="75"/>
      <c r="R228" s="57"/>
      <c r="S228" s="74"/>
      <c r="T228" s="75"/>
      <c r="U228" s="57"/>
      <c r="V228" s="74"/>
      <c r="W228" s="75"/>
      <c r="X228" s="57"/>
      <c r="Y228" s="74"/>
      <c r="Z228" s="75"/>
      <c r="AA228" s="57"/>
      <c r="AB228" s="74"/>
      <c r="AC228" s="75"/>
      <c r="AD228" s="57"/>
      <c r="AE228" s="74"/>
      <c r="AF228" s="75"/>
      <c r="AG228" s="57"/>
      <c r="AH228" s="74"/>
      <c r="AI228" s="75"/>
      <c r="AJ228" s="57"/>
      <c r="AK228" s="74"/>
      <c r="AL228" s="75"/>
      <c r="AM228" s="57"/>
      <c r="AN228" s="74"/>
      <c r="AO228" s="242"/>
      <c r="AP228" s="48"/>
      <c r="AQ228" s="48"/>
      <c r="AR228" s="48"/>
      <c r="AS228" s="48"/>
      <c r="AT228" s="48"/>
      <c r="AU228" s="48"/>
      <c r="AV228" s="48"/>
      <c r="AW228" s="48"/>
      <c r="AX228" s="48"/>
      <c r="AY228" s="48"/>
      <c r="AZ228" s="48"/>
      <c r="BA228" s="48"/>
      <c r="BB228" s="48"/>
      <c r="BC228" s="48"/>
      <c r="BD228" s="48"/>
      <c r="BE228" s="48"/>
      <c r="BF228" s="48"/>
      <c r="BG228" s="48"/>
      <c r="BH228" s="48"/>
      <c r="BI228" s="48"/>
    </row>
    <row r="229" ht="20.25" customHeight="1">
      <c r="A229" s="41" t="str">
        <f t="shared" si="4"/>
        <v>Service[...]</v>
      </c>
      <c r="B229" s="57" t="s">
        <v>56</v>
      </c>
      <c r="C229" s="57"/>
      <c r="D229" s="74"/>
      <c r="E229" s="75"/>
      <c r="F229" s="57"/>
      <c r="G229" s="74"/>
      <c r="H229" s="75"/>
      <c r="I229" s="57"/>
      <c r="J229" s="74"/>
      <c r="K229" s="75"/>
      <c r="L229" s="57"/>
      <c r="M229" s="74"/>
      <c r="N229" s="75"/>
      <c r="O229" s="57"/>
      <c r="P229" s="74"/>
      <c r="Q229" s="75"/>
      <c r="R229" s="57"/>
      <c r="S229" s="74"/>
      <c r="T229" s="75"/>
      <c r="U229" s="57"/>
      <c r="V229" s="74"/>
      <c r="W229" s="75"/>
      <c r="X229" s="57"/>
      <c r="Y229" s="74"/>
      <c r="Z229" s="75"/>
      <c r="AA229" s="57"/>
      <c r="AB229" s="74"/>
      <c r="AC229" s="75"/>
      <c r="AD229" s="57"/>
      <c r="AE229" s="74"/>
      <c r="AF229" s="75"/>
      <c r="AG229" s="57"/>
      <c r="AH229" s="74"/>
      <c r="AI229" s="75"/>
      <c r="AJ229" s="57"/>
      <c r="AK229" s="74"/>
      <c r="AL229" s="75"/>
      <c r="AM229" s="57"/>
      <c r="AN229" s="74"/>
      <c r="AO229" s="75"/>
      <c r="AP229" s="48"/>
      <c r="AQ229" s="48"/>
      <c r="AR229" s="48"/>
      <c r="AS229" s="48"/>
      <c r="AT229" s="48"/>
      <c r="AU229" s="48"/>
      <c r="AV229" s="48"/>
      <c r="AW229" s="48"/>
      <c r="AX229" s="48"/>
      <c r="AY229" s="48"/>
      <c r="AZ229" s="48"/>
      <c r="BA229" s="48"/>
      <c r="BB229" s="48"/>
      <c r="BC229" s="48"/>
      <c r="BD229" s="48"/>
      <c r="BE229" s="48"/>
      <c r="BF229" s="48"/>
      <c r="BG229" s="48"/>
      <c r="BH229" s="48"/>
      <c r="BI229" s="48"/>
    </row>
    <row r="230" ht="20.25" customHeight="1">
      <c r="A230" s="41" t="str">
        <f t="shared" si="4"/>
        <v>Service[...]</v>
      </c>
      <c r="B230" s="57" t="s">
        <v>56</v>
      </c>
      <c r="C230" s="57"/>
      <c r="D230" s="74"/>
      <c r="E230" s="75"/>
      <c r="F230" s="57"/>
      <c r="G230" s="74"/>
      <c r="H230" s="75"/>
      <c r="I230" s="57"/>
      <c r="J230" s="74"/>
      <c r="K230" s="75"/>
      <c r="L230" s="57"/>
      <c r="M230" s="74"/>
      <c r="N230" s="75"/>
      <c r="O230" s="57"/>
      <c r="P230" s="74"/>
      <c r="Q230" s="75"/>
      <c r="R230" s="57"/>
      <c r="S230" s="74"/>
      <c r="T230" s="75"/>
      <c r="U230" s="57"/>
      <c r="V230" s="74"/>
      <c r="W230" s="75"/>
      <c r="X230" s="57"/>
      <c r="Y230" s="74"/>
      <c r="Z230" s="75"/>
      <c r="AA230" s="57"/>
      <c r="AB230" s="74"/>
      <c r="AC230" s="75"/>
      <c r="AD230" s="57"/>
      <c r="AE230" s="74"/>
      <c r="AF230" s="75"/>
      <c r="AG230" s="57"/>
      <c r="AH230" s="74"/>
      <c r="AI230" s="75"/>
      <c r="AJ230" s="57"/>
      <c r="AK230" s="74"/>
      <c r="AL230" s="75"/>
      <c r="AM230" s="57"/>
      <c r="AN230" s="74"/>
      <c r="AO230" s="75"/>
      <c r="AP230" s="48"/>
      <c r="AQ230" s="48"/>
      <c r="AR230" s="48"/>
      <c r="AS230" s="48"/>
      <c r="AT230" s="48"/>
      <c r="AU230" s="48"/>
      <c r="AV230" s="48"/>
      <c r="AW230" s="48"/>
      <c r="AX230" s="48"/>
      <c r="AY230" s="48"/>
      <c r="AZ230" s="48"/>
      <c r="BA230" s="48"/>
      <c r="BB230" s="48"/>
      <c r="BC230" s="48"/>
      <c r="BD230" s="48"/>
      <c r="BE230" s="48"/>
      <c r="BF230" s="48"/>
      <c r="BG230" s="48"/>
      <c r="BH230" s="48"/>
      <c r="BI230" s="48"/>
    </row>
    <row r="231" ht="20.25" customHeight="1">
      <c r="A231" s="41" t="str">
        <f t="shared" si="4"/>
        <v>Service[...]</v>
      </c>
      <c r="B231" s="57" t="s">
        <v>56</v>
      </c>
      <c r="C231" s="57"/>
      <c r="D231" s="74"/>
      <c r="E231" s="75"/>
      <c r="F231" s="57"/>
      <c r="G231" s="74"/>
      <c r="H231" s="75"/>
      <c r="I231" s="57"/>
      <c r="J231" s="74"/>
      <c r="K231" s="75"/>
      <c r="L231" s="57"/>
      <c r="M231" s="74"/>
      <c r="N231" s="75"/>
      <c r="O231" s="57"/>
      <c r="P231" s="74"/>
      <c r="Q231" s="75"/>
      <c r="R231" s="57"/>
      <c r="S231" s="74"/>
      <c r="T231" s="75"/>
      <c r="U231" s="57"/>
      <c r="V231" s="74"/>
      <c r="W231" s="75"/>
      <c r="X231" s="57"/>
      <c r="Y231" s="74"/>
      <c r="Z231" s="75"/>
      <c r="AA231" s="57"/>
      <c r="AB231" s="74"/>
      <c r="AC231" s="75"/>
      <c r="AD231" s="57"/>
      <c r="AE231" s="74"/>
      <c r="AF231" s="75"/>
      <c r="AG231" s="57"/>
      <c r="AH231" s="74"/>
      <c r="AI231" s="75"/>
      <c r="AJ231" s="57"/>
      <c r="AK231" s="74"/>
      <c r="AL231" s="75"/>
      <c r="AM231" s="57"/>
      <c r="AN231" s="74"/>
      <c r="AO231" s="75"/>
      <c r="AP231" s="48"/>
      <c r="AQ231" s="48"/>
      <c r="AR231" s="48"/>
      <c r="AS231" s="48"/>
      <c r="AT231" s="48"/>
      <c r="AU231" s="48"/>
      <c r="AV231" s="48"/>
      <c r="AW231" s="48"/>
      <c r="AX231" s="48"/>
      <c r="AY231" s="48"/>
      <c r="AZ231" s="48"/>
      <c r="BA231" s="48"/>
      <c r="BB231" s="48"/>
      <c r="BC231" s="48"/>
      <c r="BD231" s="48"/>
      <c r="BE231" s="48"/>
      <c r="BF231" s="48"/>
      <c r="BG231" s="48"/>
      <c r="BH231" s="48"/>
      <c r="BI231" s="48"/>
    </row>
    <row r="232" ht="15.75" customHeight="1">
      <c r="A232" s="41" t="str">
        <f t="shared" si="4"/>
        <v>ServiceTOTAL SEMI-FIXES</v>
      </c>
      <c r="B232" s="92" t="s">
        <v>142</v>
      </c>
      <c r="C232" s="93"/>
      <c r="D232" s="94"/>
      <c r="E232" s="95"/>
      <c r="F232" s="93"/>
      <c r="G232" s="94"/>
      <c r="H232" s="95"/>
      <c r="I232" s="93"/>
      <c r="J232" s="94"/>
      <c r="K232" s="95"/>
      <c r="L232" s="93"/>
      <c r="M232" s="94"/>
      <c r="N232" s="95"/>
      <c r="O232" s="93"/>
      <c r="P232" s="94"/>
      <c r="Q232" s="95"/>
      <c r="R232" s="93"/>
      <c r="S232" s="94"/>
      <c r="T232" s="95"/>
      <c r="U232" s="93"/>
      <c r="V232" s="94"/>
      <c r="W232" s="95"/>
      <c r="X232" s="93"/>
      <c r="Y232" s="94"/>
      <c r="Z232" s="95"/>
      <c r="AA232" s="93"/>
      <c r="AB232" s="94"/>
      <c r="AC232" s="95"/>
      <c r="AD232" s="93"/>
      <c r="AE232" s="94"/>
      <c r="AF232" s="95"/>
      <c r="AG232" s="93"/>
      <c r="AH232" s="94"/>
      <c r="AI232" s="95"/>
      <c r="AJ232" s="93"/>
      <c r="AK232" s="94"/>
      <c r="AL232" s="95"/>
      <c r="AM232" s="93"/>
      <c r="AN232" s="94"/>
      <c r="AO232" s="95"/>
      <c r="AP232" s="48"/>
      <c r="AQ232" s="48"/>
      <c r="AR232" s="48"/>
      <c r="AS232" s="48"/>
      <c r="AT232" s="48"/>
      <c r="AU232" s="48"/>
      <c r="AV232" s="48"/>
      <c r="AW232" s="48"/>
      <c r="AX232" s="48"/>
      <c r="AY232" s="48"/>
      <c r="AZ232" s="48"/>
      <c r="BA232" s="48"/>
      <c r="BB232" s="48"/>
      <c r="BC232" s="48"/>
      <c r="BD232" s="48"/>
      <c r="BE232" s="48"/>
      <c r="BF232" s="48"/>
      <c r="BG232" s="48"/>
      <c r="BH232" s="48"/>
      <c r="BI232" s="48"/>
    </row>
    <row r="233" ht="15.75" customHeight="1">
      <c r="A233" s="41" t="str">
        <f t="shared" si="4"/>
        <v>Service</v>
      </c>
      <c r="B233" s="53"/>
      <c r="C233" s="53"/>
      <c r="D233" s="100"/>
      <c r="E233" s="91"/>
      <c r="F233" s="53"/>
      <c r="G233" s="100"/>
      <c r="H233" s="91"/>
      <c r="I233" s="53"/>
      <c r="J233" s="100"/>
      <c r="K233" s="91"/>
      <c r="L233" s="53"/>
      <c r="M233" s="100"/>
      <c r="N233" s="91"/>
      <c r="O233" s="53"/>
      <c r="P233" s="100"/>
      <c r="Q233" s="91"/>
      <c r="R233" s="53"/>
      <c r="S233" s="100"/>
      <c r="T233" s="91"/>
      <c r="U233" s="53"/>
      <c r="V233" s="100"/>
      <c r="W233" s="91"/>
      <c r="X233" s="53"/>
      <c r="Y233" s="100"/>
      <c r="Z233" s="91"/>
      <c r="AA233" s="53"/>
      <c r="AB233" s="100"/>
      <c r="AC233" s="91"/>
      <c r="AD233" s="53"/>
      <c r="AE233" s="100"/>
      <c r="AF233" s="91"/>
      <c r="AG233" s="53"/>
      <c r="AH233" s="100"/>
      <c r="AI233" s="91"/>
      <c r="AJ233" s="53"/>
      <c r="AK233" s="100"/>
      <c r="AL233" s="91"/>
      <c r="AM233" s="53"/>
      <c r="AN233" s="100"/>
      <c r="AO233" s="91"/>
      <c r="AP233" s="48"/>
      <c r="AQ233" s="48"/>
      <c r="AR233" s="48"/>
      <c r="AS233" s="48"/>
      <c r="AT233" s="48"/>
      <c r="AU233" s="48"/>
      <c r="AV233" s="48"/>
      <c r="AW233" s="48"/>
      <c r="AX233" s="48"/>
      <c r="AY233" s="48"/>
      <c r="AZ233" s="48"/>
      <c r="BA233" s="48"/>
      <c r="BB233" s="48"/>
      <c r="BC233" s="48"/>
      <c r="BD233" s="48"/>
      <c r="BE233" s="48"/>
      <c r="BF233" s="48"/>
      <c r="BG233" s="48"/>
      <c r="BH233" s="48"/>
      <c r="BI233" s="48"/>
    </row>
    <row r="234" ht="15.75" customHeight="1">
      <c r="A234" s="41" t="str">
        <f t="shared" si="4"/>
        <v>ServiceTOTAL DES DÉPENSES</v>
      </c>
      <c r="B234" s="92" t="s">
        <v>143</v>
      </c>
      <c r="C234" s="93"/>
      <c r="D234" s="94"/>
      <c r="E234" s="95"/>
      <c r="F234" s="93"/>
      <c r="G234" s="94"/>
      <c r="H234" s="95"/>
      <c r="I234" s="93"/>
      <c r="J234" s="94"/>
      <c r="K234" s="95"/>
      <c r="L234" s="93"/>
      <c r="M234" s="94"/>
      <c r="N234" s="95"/>
      <c r="O234" s="93"/>
      <c r="P234" s="94"/>
      <c r="Q234" s="95"/>
      <c r="R234" s="93"/>
      <c r="S234" s="94"/>
      <c r="T234" s="95"/>
      <c r="U234" s="93"/>
      <c r="V234" s="94"/>
      <c r="W234" s="95"/>
      <c r="X234" s="93"/>
      <c r="Y234" s="94"/>
      <c r="Z234" s="95"/>
      <c r="AA234" s="93"/>
      <c r="AB234" s="94"/>
      <c r="AC234" s="95"/>
      <c r="AD234" s="93"/>
      <c r="AE234" s="94"/>
      <c r="AF234" s="95"/>
      <c r="AG234" s="93"/>
      <c r="AH234" s="94"/>
      <c r="AI234" s="95"/>
      <c r="AJ234" s="93"/>
      <c r="AK234" s="94"/>
      <c r="AL234" s="95"/>
      <c r="AM234" s="93"/>
      <c r="AN234" s="94"/>
      <c r="AO234" s="95"/>
      <c r="AP234" s="48"/>
      <c r="AQ234" s="48"/>
      <c r="AR234" s="48"/>
      <c r="AS234" s="48"/>
      <c r="AT234" s="48"/>
      <c r="AU234" s="48"/>
      <c r="AV234" s="48"/>
      <c r="AW234" s="48"/>
      <c r="AX234" s="48"/>
      <c r="AY234" s="48"/>
      <c r="AZ234" s="48"/>
      <c r="BA234" s="48"/>
      <c r="BB234" s="48"/>
      <c r="BC234" s="48"/>
      <c r="BD234" s="48"/>
      <c r="BE234" s="48"/>
      <c r="BF234" s="48"/>
      <c r="BG234" s="48"/>
      <c r="BH234" s="48"/>
      <c r="BI234" s="48"/>
    </row>
    <row r="235" ht="15.75" customHeight="1">
      <c r="A235" s="41" t="str">
        <f t="shared" si="4"/>
        <v>Service</v>
      </c>
      <c r="B235" s="57"/>
      <c r="C235" s="57"/>
      <c r="D235" s="74"/>
      <c r="E235" s="75"/>
      <c r="F235" s="57"/>
      <c r="G235" s="74"/>
      <c r="H235" s="75"/>
      <c r="I235" s="57"/>
      <c r="J235" s="74"/>
      <c r="K235" s="75"/>
      <c r="L235" s="57"/>
      <c r="M235" s="74"/>
      <c r="N235" s="75"/>
      <c r="O235" s="57"/>
      <c r="P235" s="74"/>
      <c r="Q235" s="75"/>
      <c r="R235" s="57"/>
      <c r="S235" s="74"/>
      <c r="T235" s="75"/>
      <c r="U235" s="57"/>
      <c r="V235" s="74"/>
      <c r="W235" s="75"/>
      <c r="X235" s="57"/>
      <c r="Y235" s="74"/>
      <c r="Z235" s="75"/>
      <c r="AA235" s="57"/>
      <c r="AB235" s="74"/>
      <c r="AC235" s="75"/>
      <c r="AD235" s="57"/>
      <c r="AE235" s="74"/>
      <c r="AF235" s="75"/>
      <c r="AG235" s="57"/>
      <c r="AH235" s="74"/>
      <c r="AI235" s="75"/>
      <c r="AJ235" s="57"/>
      <c r="AK235" s="74"/>
      <c r="AL235" s="75"/>
      <c r="AM235" s="57"/>
      <c r="AN235" s="74"/>
      <c r="AO235" s="75"/>
      <c r="AP235" s="48"/>
      <c r="AQ235" s="48"/>
      <c r="AR235" s="48"/>
      <c r="AS235" s="48"/>
      <c r="AT235" s="48"/>
      <c r="AU235" s="48"/>
      <c r="AV235" s="48"/>
      <c r="AW235" s="48"/>
      <c r="AX235" s="48"/>
      <c r="AY235" s="48"/>
      <c r="AZ235" s="48"/>
      <c r="BA235" s="48"/>
      <c r="BB235" s="48"/>
      <c r="BC235" s="48"/>
      <c r="BD235" s="48"/>
      <c r="BE235" s="48"/>
      <c r="BF235" s="48"/>
      <c r="BG235" s="48"/>
      <c r="BH235" s="48"/>
      <c r="BI235" s="48"/>
    </row>
    <row r="236" ht="15.75" customHeight="1">
      <c r="A236" s="41" t="str">
        <f t="shared" si="4"/>
        <v>ServicePROFIT DÉPARTEMENTAL</v>
      </c>
      <c r="B236" s="103" t="s">
        <v>150</v>
      </c>
      <c r="C236" s="103"/>
      <c r="D236" s="124"/>
      <c r="E236" s="106"/>
      <c r="F236" s="103"/>
      <c r="G236" s="124"/>
      <c r="H236" s="106"/>
      <c r="I236" s="103"/>
      <c r="J236" s="124"/>
      <c r="K236" s="106"/>
      <c r="L236" s="103"/>
      <c r="M236" s="124"/>
      <c r="N236" s="106"/>
      <c r="O236" s="103"/>
      <c r="P236" s="124"/>
      <c r="Q236" s="106"/>
      <c r="R236" s="103"/>
      <c r="S236" s="124"/>
      <c r="T236" s="106"/>
      <c r="U236" s="103"/>
      <c r="V236" s="124"/>
      <c r="W236" s="106"/>
      <c r="X236" s="103"/>
      <c r="Y236" s="124"/>
      <c r="Z236" s="106"/>
      <c r="AA236" s="103"/>
      <c r="AB236" s="124"/>
      <c r="AC236" s="106"/>
      <c r="AD236" s="103"/>
      <c r="AE236" s="124"/>
      <c r="AF236" s="106"/>
      <c r="AG236" s="103"/>
      <c r="AH236" s="124"/>
      <c r="AI236" s="106"/>
      <c r="AJ236" s="103"/>
      <c r="AK236" s="124"/>
      <c r="AL236" s="106"/>
      <c r="AM236" s="103"/>
      <c r="AN236" s="124"/>
      <c r="AO236" s="106"/>
      <c r="AP236" s="48"/>
      <c r="AQ236" s="48"/>
      <c r="AR236" s="48"/>
      <c r="AS236" s="48"/>
      <c r="AT236" s="48"/>
      <c r="AU236" s="48"/>
      <c r="AV236" s="48"/>
      <c r="AW236" s="48"/>
      <c r="AX236" s="48"/>
      <c r="AY236" s="48"/>
      <c r="AZ236" s="48"/>
      <c r="BA236" s="48"/>
      <c r="BB236" s="48"/>
      <c r="BC236" s="48"/>
      <c r="BD236" s="48"/>
      <c r="BE236" s="48"/>
      <c r="BF236" s="48"/>
      <c r="BG236" s="48"/>
      <c r="BH236" s="48"/>
      <c r="BI236" s="48"/>
    </row>
    <row r="237" ht="15.75" customHeight="1">
      <c r="A237" s="41"/>
      <c r="B237" s="74"/>
      <c r="C237" s="74"/>
      <c r="D237" s="74"/>
      <c r="E237" s="88"/>
      <c r="F237" s="74"/>
      <c r="G237" s="74"/>
      <c r="H237" s="88"/>
      <c r="I237" s="74"/>
      <c r="J237" s="74"/>
      <c r="K237" s="88"/>
      <c r="L237" s="74"/>
      <c r="M237" s="74"/>
      <c r="N237" s="88"/>
      <c r="O237" s="74"/>
      <c r="P237" s="74"/>
      <c r="Q237" s="88"/>
      <c r="R237" s="74"/>
      <c r="S237" s="74"/>
      <c r="T237" s="88"/>
      <c r="U237" s="74"/>
      <c r="V237" s="74"/>
      <c r="W237" s="88"/>
      <c r="X237" s="74"/>
      <c r="Y237" s="74"/>
      <c r="Z237" s="88"/>
      <c r="AA237" s="74"/>
      <c r="AB237" s="74"/>
      <c r="AC237" s="88"/>
      <c r="AD237" s="74"/>
      <c r="AE237" s="74"/>
      <c r="AF237" s="88"/>
      <c r="AG237" s="74"/>
      <c r="AH237" s="74"/>
      <c r="AI237" s="88"/>
      <c r="AJ237" s="74"/>
      <c r="AK237" s="74"/>
      <c r="AL237" s="88"/>
      <c r="AM237" s="74"/>
      <c r="AN237" s="74"/>
      <c r="AO237" s="88"/>
      <c r="AP237" s="48"/>
      <c r="AQ237" s="48"/>
      <c r="AR237" s="48"/>
      <c r="AS237" s="48"/>
      <c r="AT237" s="48"/>
      <c r="AU237" s="48"/>
      <c r="AV237" s="48"/>
      <c r="AW237" s="48"/>
      <c r="AX237" s="48"/>
      <c r="AY237" s="48"/>
      <c r="AZ237" s="48"/>
      <c r="BA237" s="48"/>
      <c r="BB237" s="48"/>
      <c r="BC237" s="48"/>
      <c r="BD237" s="48"/>
      <c r="BE237" s="48"/>
      <c r="BF237" s="48"/>
      <c r="BG237" s="48"/>
      <c r="BH237" s="48"/>
      <c r="BI237" s="48"/>
    </row>
    <row r="238" ht="15.75" customHeight="1">
      <c r="A238" s="41"/>
      <c r="B238" s="111"/>
      <c r="C238" s="111"/>
      <c r="D238" s="111"/>
      <c r="E238" s="125"/>
      <c r="F238" s="111"/>
      <c r="G238" s="111"/>
      <c r="H238" s="125"/>
      <c r="I238" s="111"/>
      <c r="J238" s="111"/>
      <c r="K238" s="125"/>
      <c r="L238" s="111"/>
      <c r="M238" s="111"/>
      <c r="N238" s="125"/>
      <c r="O238" s="111"/>
      <c r="P238" s="111"/>
      <c r="Q238" s="125"/>
      <c r="R238" s="111"/>
      <c r="S238" s="111"/>
      <c r="T238" s="125"/>
      <c r="U238" s="111"/>
      <c r="V238" s="111"/>
      <c r="W238" s="125"/>
      <c r="X238" s="111"/>
      <c r="Y238" s="111"/>
      <c r="Z238" s="125"/>
      <c r="AA238" s="111"/>
      <c r="AB238" s="111"/>
      <c r="AC238" s="125"/>
      <c r="AD238" s="111"/>
      <c r="AE238" s="111"/>
      <c r="AF238" s="125"/>
      <c r="AG238" s="111"/>
      <c r="AH238" s="111"/>
      <c r="AI238" s="125"/>
      <c r="AJ238" s="111"/>
      <c r="AK238" s="111"/>
      <c r="AL238" s="125"/>
      <c r="AM238" s="111"/>
      <c r="AN238" s="111"/>
      <c r="AO238" s="125"/>
      <c r="AP238" s="40"/>
      <c r="AQ238" s="40"/>
      <c r="AR238" s="40"/>
      <c r="AS238" s="40"/>
      <c r="AT238" s="40"/>
      <c r="AU238" s="40"/>
      <c r="AV238" s="40"/>
      <c r="AW238" s="40"/>
      <c r="AX238" s="40"/>
      <c r="AY238" s="40"/>
      <c r="AZ238" s="40"/>
      <c r="BA238" s="40"/>
      <c r="BB238" s="40"/>
      <c r="BC238" s="40"/>
      <c r="BD238" s="40"/>
      <c r="BE238" s="40"/>
      <c r="BF238" s="40"/>
      <c r="BG238" s="40"/>
      <c r="BH238" s="40"/>
      <c r="BI238" s="40"/>
    </row>
    <row r="239" ht="15.75" customHeight="1">
      <c r="A239" s="41"/>
      <c r="B239" s="112" t="s">
        <v>220</v>
      </c>
      <c r="C239" s="112" t="s">
        <v>174</v>
      </c>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38"/>
      <c r="AQ239" s="38"/>
      <c r="AR239" s="38"/>
      <c r="AS239" s="38"/>
      <c r="AT239" s="38"/>
      <c r="AU239" s="38"/>
      <c r="AV239" s="38"/>
      <c r="AW239" s="38"/>
      <c r="AX239" s="38"/>
      <c r="AY239" s="38"/>
      <c r="AZ239" s="38"/>
      <c r="BA239" s="38"/>
      <c r="BB239" s="38"/>
      <c r="BC239" s="38"/>
      <c r="BD239" s="38"/>
      <c r="BE239" s="38"/>
      <c r="BF239" s="38"/>
      <c r="BG239" s="38"/>
      <c r="BH239" s="38"/>
      <c r="BI239" s="38"/>
    </row>
    <row r="240" ht="15.75" customHeight="1">
      <c r="A240" s="41"/>
      <c r="B240" s="113"/>
      <c r="C240" s="111"/>
      <c r="D240" s="111"/>
      <c r="E240" s="111"/>
      <c r="F240" s="111"/>
      <c r="G240" s="111"/>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40"/>
      <c r="AQ240" s="40"/>
      <c r="AR240" s="40"/>
      <c r="AS240" s="40"/>
      <c r="AT240" s="40"/>
      <c r="AU240" s="40"/>
      <c r="AV240" s="40"/>
      <c r="AW240" s="40"/>
      <c r="AX240" s="40"/>
      <c r="AY240" s="40"/>
      <c r="AZ240" s="40"/>
      <c r="BA240" s="40"/>
      <c r="BB240" s="40"/>
      <c r="BC240" s="40"/>
      <c r="BD240" s="40"/>
      <c r="BE240" s="40"/>
      <c r="BF240" s="40"/>
      <c r="BG240" s="40"/>
      <c r="BH240" s="40"/>
      <c r="BI240" s="40"/>
    </row>
    <row r="241" ht="15.75" customHeight="1">
      <c r="A241" s="41"/>
      <c r="B241" s="42" t="s">
        <v>2</v>
      </c>
      <c r="C241" s="114">
        <v>2025.0</v>
      </c>
      <c r="D241" s="115"/>
      <c r="E241" s="116"/>
      <c r="F241" s="114" t="s">
        <v>6</v>
      </c>
      <c r="G241" s="115"/>
      <c r="H241" s="116"/>
      <c r="I241" s="114" t="s">
        <v>8</v>
      </c>
      <c r="J241" s="115"/>
      <c r="K241" s="116"/>
      <c r="L241" s="114" t="s">
        <v>9</v>
      </c>
      <c r="M241" s="115"/>
      <c r="N241" s="116"/>
      <c r="O241" s="114" t="s">
        <v>10</v>
      </c>
      <c r="P241" s="115"/>
      <c r="Q241" s="116"/>
      <c r="R241" s="114" t="s">
        <v>11</v>
      </c>
      <c r="S241" s="115"/>
      <c r="T241" s="116"/>
      <c r="U241" s="114" t="s">
        <v>12</v>
      </c>
      <c r="V241" s="115"/>
      <c r="W241" s="116"/>
      <c r="X241" s="114" t="s">
        <v>14</v>
      </c>
      <c r="Y241" s="115"/>
      <c r="Z241" s="116"/>
      <c r="AA241" s="114" t="s">
        <v>92</v>
      </c>
      <c r="AB241" s="115"/>
      <c r="AC241" s="116"/>
      <c r="AD241" s="114" t="s">
        <v>5</v>
      </c>
      <c r="AE241" s="115"/>
      <c r="AF241" s="116"/>
      <c r="AG241" s="114" t="s">
        <v>18</v>
      </c>
      <c r="AH241" s="115"/>
      <c r="AI241" s="116"/>
      <c r="AJ241" s="114" t="s">
        <v>19</v>
      </c>
      <c r="AK241" s="115"/>
      <c r="AL241" s="116"/>
      <c r="AM241" s="114" t="s">
        <v>20</v>
      </c>
      <c r="AN241" s="115"/>
      <c r="AO241" s="116"/>
      <c r="AP241" s="48"/>
      <c r="AQ241" s="48"/>
      <c r="AR241" s="48"/>
      <c r="AS241" s="48"/>
      <c r="AT241" s="48"/>
      <c r="AU241" s="48"/>
      <c r="AV241" s="48"/>
      <c r="AW241" s="48"/>
      <c r="AX241" s="48"/>
      <c r="AY241" s="48"/>
      <c r="AZ241" s="48"/>
      <c r="BA241" s="48"/>
      <c r="BB241" s="48"/>
      <c r="BC241" s="48"/>
      <c r="BD241" s="48"/>
      <c r="BE241" s="48"/>
      <c r="BF241" s="48"/>
      <c r="BG241" s="48"/>
      <c r="BH241" s="48"/>
      <c r="BI241" s="48"/>
    </row>
    <row r="242" ht="15.75" customHeight="1">
      <c r="A242" s="41" t="str">
        <f t="shared" ref="A242:A292" si="5">+$C$239&amp;B242</f>
        <v>Carrosserie</v>
      </c>
      <c r="B242" s="57"/>
      <c r="C242" s="117" t="s">
        <v>221</v>
      </c>
      <c r="D242" s="86" t="s">
        <v>222</v>
      </c>
      <c r="E242" s="118" t="s">
        <v>95</v>
      </c>
      <c r="F242" s="117" t="s">
        <v>221</v>
      </c>
      <c r="G242" s="86" t="s">
        <v>222</v>
      </c>
      <c r="H242" s="118" t="s">
        <v>95</v>
      </c>
      <c r="I242" s="117" t="s">
        <v>221</v>
      </c>
      <c r="J242" s="86" t="s">
        <v>222</v>
      </c>
      <c r="K242" s="118" t="s">
        <v>95</v>
      </c>
      <c r="L242" s="117" t="s">
        <v>221</v>
      </c>
      <c r="M242" s="86" t="s">
        <v>222</v>
      </c>
      <c r="N242" s="118" t="s">
        <v>95</v>
      </c>
      <c r="O242" s="117" t="s">
        <v>221</v>
      </c>
      <c r="P242" s="86" t="s">
        <v>222</v>
      </c>
      <c r="Q242" s="118" t="s">
        <v>95</v>
      </c>
      <c r="R242" s="117" t="s">
        <v>221</v>
      </c>
      <c r="S242" s="86" t="s">
        <v>222</v>
      </c>
      <c r="T242" s="118" t="s">
        <v>95</v>
      </c>
      <c r="U242" s="117" t="s">
        <v>221</v>
      </c>
      <c r="V242" s="86" t="s">
        <v>222</v>
      </c>
      <c r="W242" s="118" t="s">
        <v>95</v>
      </c>
      <c r="X242" s="117" t="s">
        <v>221</v>
      </c>
      <c r="Y242" s="86" t="s">
        <v>222</v>
      </c>
      <c r="Z242" s="118" t="s">
        <v>95</v>
      </c>
      <c r="AA242" s="117" t="s">
        <v>221</v>
      </c>
      <c r="AB242" s="86" t="s">
        <v>222</v>
      </c>
      <c r="AC242" s="118" t="s">
        <v>95</v>
      </c>
      <c r="AD242" s="117" t="s">
        <v>221</v>
      </c>
      <c r="AE242" s="86" t="s">
        <v>222</v>
      </c>
      <c r="AF242" s="118" t="s">
        <v>95</v>
      </c>
      <c r="AG242" s="117" t="s">
        <v>221</v>
      </c>
      <c r="AH242" s="86" t="s">
        <v>222</v>
      </c>
      <c r="AI242" s="118" t="s">
        <v>95</v>
      </c>
      <c r="AJ242" s="117" t="s">
        <v>221</v>
      </c>
      <c r="AK242" s="86" t="s">
        <v>222</v>
      </c>
      <c r="AL242" s="118" t="s">
        <v>95</v>
      </c>
      <c r="AM242" s="117" t="s">
        <v>221</v>
      </c>
      <c r="AN242" s="86" t="s">
        <v>222</v>
      </c>
      <c r="AO242" s="118" t="s">
        <v>95</v>
      </c>
      <c r="AP242" s="48"/>
      <c r="AQ242" s="48"/>
      <c r="AR242" s="48"/>
      <c r="AS242" s="48"/>
      <c r="AT242" s="48"/>
      <c r="AU242" s="48"/>
      <c r="AV242" s="48"/>
      <c r="AW242" s="48"/>
      <c r="AX242" s="48"/>
      <c r="AY242" s="48"/>
      <c r="AZ242" s="48"/>
      <c r="BA242" s="48"/>
      <c r="BB242" s="48"/>
      <c r="BC242" s="48"/>
      <c r="BD242" s="48"/>
      <c r="BE242" s="48"/>
      <c r="BF242" s="48"/>
      <c r="BG242" s="48"/>
      <c r="BH242" s="48"/>
      <c r="BI242" s="48"/>
    </row>
    <row r="243" ht="15.75" customHeight="1">
      <c r="A243" s="41" t="str">
        <f t="shared" si="5"/>
        <v>Carrosserie</v>
      </c>
      <c r="B243" s="57"/>
      <c r="C243" s="117"/>
      <c r="D243" s="86"/>
      <c r="E243" s="118"/>
      <c r="F243" s="117"/>
      <c r="G243" s="86"/>
      <c r="H243" s="118"/>
      <c r="I243" s="117"/>
      <c r="J243" s="86"/>
      <c r="K243" s="118"/>
      <c r="L243" s="117"/>
      <c r="M243" s="86"/>
      <c r="N243" s="118"/>
      <c r="O243" s="117"/>
      <c r="P243" s="86"/>
      <c r="Q243" s="118"/>
      <c r="R243" s="117"/>
      <c r="S243" s="86"/>
      <c r="T243" s="118"/>
      <c r="U243" s="117"/>
      <c r="V243" s="86"/>
      <c r="W243" s="118"/>
      <c r="X243" s="117"/>
      <c r="Y243" s="86"/>
      <c r="Z243" s="118"/>
      <c r="AA243" s="117"/>
      <c r="AB243" s="86"/>
      <c r="AC243" s="118"/>
      <c r="AD243" s="117"/>
      <c r="AE243" s="86"/>
      <c r="AF243" s="118"/>
      <c r="AG243" s="117"/>
      <c r="AH243" s="86"/>
      <c r="AI243" s="118"/>
      <c r="AJ243" s="117"/>
      <c r="AK243" s="86"/>
      <c r="AL243" s="118"/>
      <c r="AM243" s="117"/>
      <c r="AN243" s="86"/>
      <c r="AO243" s="118"/>
      <c r="AP243" s="48"/>
      <c r="AQ243" s="48"/>
      <c r="AR243" s="48"/>
      <c r="AS243" s="48"/>
      <c r="AT243" s="48"/>
      <c r="AU243" s="48"/>
      <c r="AV243" s="48"/>
      <c r="AW243" s="48"/>
      <c r="AX243" s="48"/>
      <c r="AY243" s="48"/>
      <c r="AZ243" s="48"/>
      <c r="BA243" s="48"/>
      <c r="BB243" s="48"/>
      <c r="BC243" s="48"/>
      <c r="BD243" s="48"/>
      <c r="BE243" s="48"/>
      <c r="BF243" s="48"/>
      <c r="BG243" s="48"/>
      <c r="BH243" s="48"/>
      <c r="BI243" s="48"/>
    </row>
    <row r="244" ht="15.75" customHeight="1">
      <c r="A244" s="41" t="str">
        <f t="shared" si="5"/>
        <v>CarrosserieM/O Sous-traitement</v>
      </c>
      <c r="B244" s="57" t="s">
        <v>175</v>
      </c>
      <c r="C244" s="126"/>
      <c r="D244" s="88"/>
      <c r="E244" s="75"/>
      <c r="F244" s="126"/>
      <c r="G244" s="88"/>
      <c r="H244" s="75"/>
      <c r="I244" s="126"/>
      <c r="J244" s="88"/>
      <c r="K244" s="75"/>
      <c r="L244" s="126"/>
      <c r="M244" s="88"/>
      <c r="N244" s="75"/>
      <c r="O244" s="126"/>
      <c r="P244" s="88"/>
      <c r="Q244" s="75"/>
      <c r="R244" s="126"/>
      <c r="S244" s="88"/>
      <c r="T244" s="75"/>
      <c r="U244" s="126"/>
      <c r="V244" s="88"/>
      <c r="W244" s="75"/>
      <c r="X244" s="126"/>
      <c r="Y244" s="88"/>
      <c r="Z244" s="75"/>
      <c r="AA244" s="126"/>
      <c r="AB244" s="88"/>
      <c r="AC244" s="75"/>
      <c r="AD244" s="126"/>
      <c r="AE244" s="88"/>
      <c r="AF244" s="75"/>
      <c r="AG244" s="126"/>
      <c r="AH244" s="88"/>
      <c r="AI244" s="75"/>
      <c r="AJ244" s="126"/>
      <c r="AK244" s="88"/>
      <c r="AL244" s="75"/>
      <c r="AM244" s="126"/>
      <c r="AN244" s="88"/>
      <c r="AO244" s="75"/>
      <c r="AP244" s="48"/>
      <c r="AQ244" s="48"/>
      <c r="AR244" s="48"/>
      <c r="AS244" s="48"/>
      <c r="AT244" s="48"/>
      <c r="AU244" s="48"/>
      <c r="AV244" s="48"/>
      <c r="AW244" s="48"/>
      <c r="AX244" s="48"/>
      <c r="AY244" s="48"/>
      <c r="AZ244" s="48"/>
      <c r="BA244" s="48"/>
      <c r="BB244" s="48"/>
      <c r="BC244" s="48"/>
      <c r="BD244" s="48"/>
      <c r="BE244" s="48"/>
      <c r="BF244" s="48"/>
      <c r="BG244" s="48"/>
      <c r="BH244" s="48"/>
      <c r="BI244" s="48"/>
    </row>
    <row r="245" ht="15.75" customHeight="1">
      <c r="A245" s="41" t="str">
        <f t="shared" si="5"/>
        <v>Carrosserie% profit / ventes</v>
      </c>
      <c r="B245" s="57" t="s">
        <v>163</v>
      </c>
      <c r="C245" s="126"/>
      <c r="D245" s="74"/>
      <c r="E245" s="127"/>
      <c r="F245" s="126"/>
      <c r="G245" s="74"/>
      <c r="H245" s="127"/>
      <c r="I245" s="126"/>
      <c r="J245" s="74"/>
      <c r="K245" s="127"/>
      <c r="L245" s="126"/>
      <c r="M245" s="74"/>
      <c r="N245" s="127"/>
      <c r="O245" s="126"/>
      <c r="P245" s="74"/>
      <c r="Q245" s="127"/>
      <c r="R245" s="126"/>
      <c r="S245" s="74"/>
      <c r="T245" s="127"/>
      <c r="U245" s="126"/>
      <c r="V245" s="74"/>
      <c r="W245" s="127"/>
      <c r="X245" s="126"/>
      <c r="Y245" s="74"/>
      <c r="Z245" s="127"/>
      <c r="AA245" s="126"/>
      <c r="AB245" s="74"/>
      <c r="AC245" s="127"/>
      <c r="AD245" s="126"/>
      <c r="AE245" s="74"/>
      <c r="AF245" s="127"/>
      <c r="AG245" s="126"/>
      <c r="AH245" s="74"/>
      <c r="AI245" s="127"/>
      <c r="AJ245" s="126"/>
      <c r="AK245" s="74"/>
      <c r="AL245" s="127"/>
      <c r="AM245" s="126"/>
      <c r="AN245" s="74"/>
      <c r="AO245" s="127"/>
      <c r="AP245" s="48"/>
      <c r="AQ245" s="48"/>
      <c r="AR245" s="48"/>
      <c r="AS245" s="48"/>
      <c r="AT245" s="48"/>
      <c r="AU245" s="48"/>
      <c r="AV245" s="48"/>
      <c r="AW245" s="48"/>
      <c r="AX245" s="48"/>
      <c r="AY245" s="48"/>
      <c r="AZ245" s="48"/>
      <c r="BA245" s="48"/>
      <c r="BB245" s="48"/>
      <c r="BC245" s="48"/>
      <c r="BD245" s="48"/>
      <c r="BE245" s="48"/>
      <c r="BF245" s="48"/>
      <c r="BG245" s="48"/>
      <c r="BH245" s="48"/>
      <c r="BI245" s="48"/>
    </row>
    <row r="246" ht="15.75" customHeight="1">
      <c r="A246" s="41" t="str">
        <f t="shared" si="5"/>
        <v>Carrosserie</v>
      </c>
      <c r="B246" s="57"/>
      <c r="C246" s="117"/>
      <c r="D246" s="86"/>
      <c r="E246" s="118"/>
      <c r="F246" s="117"/>
      <c r="G246" s="86"/>
      <c r="H246" s="118"/>
      <c r="I246" s="117"/>
      <c r="J246" s="86"/>
      <c r="K246" s="118"/>
      <c r="L246" s="117"/>
      <c r="M246" s="86"/>
      <c r="N246" s="118"/>
      <c r="O246" s="117"/>
      <c r="P246" s="86"/>
      <c r="Q246" s="118"/>
      <c r="R246" s="117"/>
      <c r="S246" s="86"/>
      <c r="T246" s="118"/>
      <c r="U246" s="117"/>
      <c r="V246" s="86"/>
      <c r="W246" s="118"/>
      <c r="X246" s="117"/>
      <c r="Y246" s="86"/>
      <c r="Z246" s="118"/>
      <c r="AA246" s="117"/>
      <c r="AB246" s="86"/>
      <c r="AC246" s="118"/>
      <c r="AD246" s="117"/>
      <c r="AE246" s="86"/>
      <c r="AF246" s="118"/>
      <c r="AG246" s="117"/>
      <c r="AH246" s="86"/>
      <c r="AI246" s="118"/>
      <c r="AJ246" s="117"/>
      <c r="AK246" s="86"/>
      <c r="AL246" s="118"/>
      <c r="AM246" s="117"/>
      <c r="AN246" s="86"/>
      <c r="AO246" s="118"/>
      <c r="AP246" s="48"/>
      <c r="AQ246" s="48"/>
      <c r="AR246" s="48"/>
      <c r="AS246" s="48"/>
      <c r="AT246" s="48"/>
      <c r="AU246" s="48"/>
      <c r="AV246" s="48"/>
      <c r="AW246" s="48"/>
      <c r="AX246" s="48"/>
      <c r="AY246" s="48"/>
      <c r="AZ246" s="48"/>
      <c r="BA246" s="48"/>
      <c r="BB246" s="48"/>
      <c r="BC246" s="48"/>
      <c r="BD246" s="48"/>
      <c r="BE246" s="48"/>
      <c r="BF246" s="48"/>
      <c r="BG246" s="48"/>
      <c r="BH246" s="48"/>
      <c r="BI246" s="48"/>
    </row>
    <row r="247" ht="15.75" customHeight="1">
      <c r="A247" s="41" t="str">
        <f t="shared" si="5"/>
        <v>CarrosserieM/O Carrosserie</v>
      </c>
      <c r="B247" s="49" t="s">
        <v>176</v>
      </c>
      <c r="C247" s="131"/>
      <c r="D247" s="132"/>
      <c r="E247" s="99"/>
      <c r="F247" s="131"/>
      <c r="G247" s="132"/>
      <c r="H247" s="99"/>
      <c r="I247" s="131"/>
      <c r="J247" s="132"/>
      <c r="K247" s="99"/>
      <c r="L247" s="131"/>
      <c r="M247" s="132"/>
      <c r="N247" s="99"/>
      <c r="O247" s="131"/>
      <c r="P247" s="132"/>
      <c r="Q247" s="99"/>
      <c r="R247" s="131"/>
      <c r="S247" s="132"/>
      <c r="T247" s="99"/>
      <c r="U247" s="131"/>
      <c r="V247" s="132"/>
      <c r="W247" s="99"/>
      <c r="X247" s="131"/>
      <c r="Y247" s="132"/>
      <c r="Z247" s="99"/>
      <c r="AA247" s="131"/>
      <c r="AB247" s="132"/>
      <c r="AC247" s="99"/>
      <c r="AD247" s="131"/>
      <c r="AE247" s="132"/>
      <c r="AF247" s="99"/>
      <c r="AG247" s="131"/>
      <c r="AH247" s="132"/>
      <c r="AI247" s="99"/>
      <c r="AJ247" s="131"/>
      <c r="AK247" s="132"/>
      <c r="AL247" s="99"/>
      <c r="AM247" s="131"/>
      <c r="AN247" s="132"/>
      <c r="AO247" s="99"/>
      <c r="AP247" s="48"/>
      <c r="AQ247" s="48"/>
      <c r="AR247" s="48"/>
      <c r="AS247" s="48"/>
      <c r="AT247" s="48"/>
      <c r="AU247" s="48"/>
      <c r="AV247" s="48"/>
      <c r="AW247" s="48"/>
      <c r="AX247" s="48"/>
      <c r="AY247" s="48"/>
      <c r="AZ247" s="48"/>
      <c r="BA247" s="48"/>
      <c r="BB247" s="48"/>
      <c r="BC247" s="48"/>
      <c r="BD247" s="48"/>
      <c r="BE247" s="48"/>
      <c r="BF247" s="48"/>
      <c r="BG247" s="48"/>
      <c r="BH247" s="48"/>
      <c r="BI247" s="48"/>
    </row>
    <row r="248" ht="15.75" customHeight="1">
      <c r="A248" s="41" t="str">
        <f t="shared" si="5"/>
        <v>Carrosserie% profit / ventes</v>
      </c>
      <c r="B248" s="57" t="s">
        <v>163</v>
      </c>
      <c r="C248" s="126"/>
      <c r="D248" s="74"/>
      <c r="E248" s="127"/>
      <c r="F248" s="126"/>
      <c r="G248" s="74"/>
      <c r="H248" s="127"/>
      <c r="I248" s="126"/>
      <c r="J248" s="74"/>
      <c r="K248" s="127"/>
      <c r="L248" s="126"/>
      <c r="M248" s="74"/>
      <c r="N248" s="127"/>
      <c r="O248" s="126"/>
      <c r="P248" s="74"/>
      <c r="Q248" s="127"/>
      <c r="R248" s="126"/>
      <c r="S248" s="74"/>
      <c r="T248" s="127"/>
      <c r="U248" s="126"/>
      <c r="V248" s="74"/>
      <c r="W248" s="127"/>
      <c r="X248" s="126"/>
      <c r="Y248" s="74"/>
      <c r="Z248" s="127"/>
      <c r="AA248" s="126"/>
      <c r="AB248" s="74"/>
      <c r="AC248" s="127"/>
      <c r="AD248" s="126"/>
      <c r="AE248" s="74"/>
      <c r="AF248" s="127"/>
      <c r="AG248" s="126"/>
      <c r="AH248" s="74"/>
      <c r="AI248" s="127"/>
      <c r="AJ248" s="126"/>
      <c r="AK248" s="74"/>
      <c r="AL248" s="127"/>
      <c r="AM248" s="126"/>
      <c r="AN248" s="74"/>
      <c r="AO248" s="127"/>
      <c r="AP248" s="48"/>
      <c r="AQ248" s="48"/>
      <c r="AR248" s="48"/>
      <c r="AS248" s="48"/>
      <c r="AT248" s="48"/>
      <c r="AU248" s="48"/>
      <c r="AV248" s="48"/>
      <c r="AW248" s="48"/>
      <c r="AX248" s="48"/>
      <c r="AY248" s="48"/>
      <c r="AZ248" s="48"/>
      <c r="BA248" s="48"/>
      <c r="BB248" s="48"/>
      <c r="BC248" s="48"/>
      <c r="BD248" s="48"/>
      <c r="BE248" s="48"/>
      <c r="BF248" s="48"/>
      <c r="BG248" s="48"/>
      <c r="BH248" s="48"/>
      <c r="BI248" s="48"/>
    </row>
    <row r="249" ht="15.75" customHeight="1">
      <c r="A249" s="41" t="str">
        <f t="shared" si="5"/>
        <v>Carrosserie</v>
      </c>
      <c r="B249" s="53"/>
      <c r="C249" s="128"/>
      <c r="D249" s="129"/>
      <c r="E249" s="130"/>
      <c r="F249" s="128"/>
      <c r="G249" s="129"/>
      <c r="H249" s="130"/>
      <c r="I249" s="128"/>
      <c r="J249" s="129"/>
      <c r="K249" s="130"/>
      <c r="L249" s="128"/>
      <c r="M249" s="129"/>
      <c r="N249" s="130"/>
      <c r="O249" s="128"/>
      <c r="P249" s="129"/>
      <c r="Q249" s="130"/>
      <c r="R249" s="128"/>
      <c r="S249" s="129"/>
      <c r="T249" s="130"/>
      <c r="U249" s="128"/>
      <c r="V249" s="129"/>
      <c r="W249" s="130"/>
      <c r="X249" s="128"/>
      <c r="Y249" s="129"/>
      <c r="Z249" s="130"/>
      <c r="AA249" s="128"/>
      <c r="AB249" s="129"/>
      <c r="AC249" s="130"/>
      <c r="AD249" s="128"/>
      <c r="AE249" s="129"/>
      <c r="AF249" s="130"/>
      <c r="AG249" s="128"/>
      <c r="AH249" s="129"/>
      <c r="AI249" s="130"/>
      <c r="AJ249" s="128"/>
      <c r="AK249" s="129"/>
      <c r="AL249" s="130"/>
      <c r="AM249" s="128"/>
      <c r="AN249" s="129"/>
      <c r="AO249" s="130"/>
      <c r="AP249" s="48"/>
      <c r="AQ249" s="48"/>
      <c r="AR249" s="48"/>
      <c r="AS249" s="48"/>
      <c r="AT249" s="48"/>
      <c r="AU249" s="48"/>
      <c r="AV249" s="48"/>
      <c r="AW249" s="48"/>
      <c r="AX249" s="48"/>
      <c r="AY249" s="48"/>
      <c r="AZ249" s="48"/>
      <c r="BA249" s="48"/>
      <c r="BB249" s="48"/>
      <c r="BC249" s="48"/>
      <c r="BD249" s="48"/>
      <c r="BE249" s="48"/>
      <c r="BF249" s="48"/>
      <c r="BG249" s="48"/>
      <c r="BH249" s="48"/>
      <c r="BI249" s="48"/>
    </row>
    <row r="250" ht="15.75" customHeight="1">
      <c r="A250" s="41" t="str">
        <f t="shared" si="5"/>
        <v>CarrosserieM/O Esthétique Carr.</v>
      </c>
      <c r="B250" s="49" t="s">
        <v>177</v>
      </c>
      <c r="C250" s="131"/>
      <c r="D250" s="132"/>
      <c r="E250" s="99"/>
      <c r="F250" s="131"/>
      <c r="G250" s="132"/>
      <c r="H250" s="99"/>
      <c r="I250" s="131"/>
      <c r="J250" s="132"/>
      <c r="K250" s="99"/>
      <c r="L250" s="131"/>
      <c r="M250" s="132"/>
      <c r="N250" s="99"/>
      <c r="O250" s="131"/>
      <c r="P250" s="132"/>
      <c r="Q250" s="99"/>
      <c r="R250" s="131"/>
      <c r="S250" s="132"/>
      <c r="T250" s="99"/>
      <c r="U250" s="131"/>
      <c r="V250" s="132"/>
      <c r="W250" s="99"/>
      <c r="X250" s="131"/>
      <c r="Y250" s="132"/>
      <c r="Z250" s="99"/>
      <c r="AA250" s="131"/>
      <c r="AB250" s="132"/>
      <c r="AC250" s="99"/>
      <c r="AD250" s="131"/>
      <c r="AE250" s="132"/>
      <c r="AF250" s="99"/>
      <c r="AG250" s="131"/>
      <c r="AH250" s="132"/>
      <c r="AI250" s="99"/>
      <c r="AJ250" s="131"/>
      <c r="AK250" s="132"/>
      <c r="AL250" s="99"/>
      <c r="AM250" s="131"/>
      <c r="AN250" s="132"/>
      <c r="AO250" s="99"/>
      <c r="AP250" s="48"/>
      <c r="AQ250" s="48"/>
      <c r="AR250" s="48"/>
      <c r="AS250" s="48"/>
      <c r="AT250" s="48"/>
      <c r="AU250" s="48"/>
      <c r="AV250" s="48"/>
      <c r="AW250" s="48"/>
      <c r="AX250" s="48"/>
      <c r="AY250" s="48"/>
      <c r="AZ250" s="48"/>
      <c r="BA250" s="48"/>
      <c r="BB250" s="48"/>
      <c r="BC250" s="48"/>
      <c r="BD250" s="48"/>
      <c r="BE250" s="48"/>
      <c r="BF250" s="48"/>
      <c r="BG250" s="48"/>
      <c r="BH250" s="48"/>
      <c r="BI250" s="48"/>
    </row>
    <row r="251" ht="15.75" customHeight="1">
      <c r="A251" s="41" t="str">
        <f t="shared" si="5"/>
        <v>Carrosserie% profit / ventes</v>
      </c>
      <c r="B251" s="57" t="s">
        <v>163</v>
      </c>
      <c r="C251" s="57"/>
      <c r="D251" s="74"/>
      <c r="E251" s="127"/>
      <c r="F251" s="57"/>
      <c r="G251" s="74"/>
      <c r="H251" s="127"/>
      <c r="I251" s="57"/>
      <c r="J251" s="74"/>
      <c r="K251" s="127"/>
      <c r="L251" s="57"/>
      <c r="M251" s="74"/>
      <c r="N251" s="127"/>
      <c r="O251" s="57"/>
      <c r="P251" s="74"/>
      <c r="Q251" s="127"/>
      <c r="R251" s="57"/>
      <c r="S251" s="74"/>
      <c r="T251" s="127"/>
      <c r="U251" s="57"/>
      <c r="V251" s="74"/>
      <c r="W251" s="127"/>
      <c r="X251" s="57"/>
      <c r="Y251" s="74"/>
      <c r="Z251" s="127"/>
      <c r="AA251" s="57"/>
      <c r="AB251" s="74"/>
      <c r="AC251" s="127"/>
      <c r="AD251" s="57"/>
      <c r="AE251" s="74"/>
      <c r="AF251" s="127"/>
      <c r="AG251" s="57"/>
      <c r="AH251" s="74"/>
      <c r="AI251" s="127"/>
      <c r="AJ251" s="57"/>
      <c r="AK251" s="74"/>
      <c r="AL251" s="127"/>
      <c r="AM251" s="57"/>
      <c r="AN251" s="74"/>
      <c r="AO251" s="127"/>
      <c r="AP251" s="48"/>
      <c r="AQ251" s="48"/>
      <c r="AR251" s="48"/>
      <c r="AS251" s="48"/>
      <c r="AT251" s="48"/>
      <c r="AU251" s="48"/>
      <c r="AV251" s="48"/>
      <c r="AW251" s="48"/>
      <c r="AX251" s="48"/>
      <c r="AY251" s="48"/>
      <c r="AZ251" s="48"/>
      <c r="BA251" s="48"/>
      <c r="BB251" s="48"/>
      <c r="BC251" s="48"/>
      <c r="BD251" s="48"/>
      <c r="BE251" s="48"/>
      <c r="BF251" s="48"/>
      <c r="BG251" s="48"/>
      <c r="BH251" s="48"/>
      <c r="BI251" s="48"/>
    </row>
    <row r="252" ht="15.75" customHeight="1">
      <c r="A252" s="41" t="str">
        <f t="shared" si="5"/>
        <v>Carrosserie</v>
      </c>
      <c r="B252" s="57"/>
      <c r="C252" s="57"/>
      <c r="D252" s="74"/>
      <c r="E252" s="127"/>
      <c r="F252" s="57"/>
      <c r="G252" s="74"/>
      <c r="H252" s="127"/>
      <c r="I252" s="57"/>
      <c r="J252" s="74"/>
      <c r="K252" s="127"/>
      <c r="L252" s="57"/>
      <c r="M252" s="74"/>
      <c r="N252" s="127"/>
      <c r="O252" s="57"/>
      <c r="P252" s="74"/>
      <c r="Q252" s="127"/>
      <c r="R252" s="57"/>
      <c r="S252" s="74"/>
      <c r="T252" s="127"/>
      <c r="U252" s="57"/>
      <c r="V252" s="74"/>
      <c r="W252" s="127"/>
      <c r="X252" s="57"/>
      <c r="Y252" s="74"/>
      <c r="Z252" s="127"/>
      <c r="AA252" s="57"/>
      <c r="AB252" s="74"/>
      <c r="AC252" s="127"/>
      <c r="AD252" s="57"/>
      <c r="AE252" s="74"/>
      <c r="AF252" s="127"/>
      <c r="AG252" s="57"/>
      <c r="AH252" s="74"/>
      <c r="AI252" s="127"/>
      <c r="AJ252" s="57"/>
      <c r="AK252" s="74"/>
      <c r="AL252" s="127"/>
      <c r="AM252" s="57"/>
      <c r="AN252" s="74"/>
      <c r="AO252" s="127"/>
      <c r="AP252" s="48"/>
      <c r="AQ252" s="48"/>
      <c r="AR252" s="48"/>
      <c r="AS252" s="48"/>
      <c r="AT252" s="48"/>
      <c r="AU252" s="48"/>
      <c r="AV252" s="48"/>
      <c r="AW252" s="48"/>
      <c r="AX252" s="48"/>
      <c r="AY252" s="48"/>
      <c r="AZ252" s="48"/>
      <c r="BA252" s="48"/>
      <c r="BB252" s="48"/>
      <c r="BC252" s="48"/>
      <c r="BD252" s="48"/>
      <c r="BE252" s="48"/>
      <c r="BF252" s="48"/>
      <c r="BG252" s="48"/>
      <c r="BH252" s="48"/>
      <c r="BI252" s="48"/>
    </row>
    <row r="253" ht="15.75" customHeight="1">
      <c r="A253" s="41" t="str">
        <f t="shared" si="5"/>
        <v>CarrosserieTotal Mécanique</v>
      </c>
      <c r="B253" s="76" t="s">
        <v>172</v>
      </c>
      <c r="C253" s="77"/>
      <c r="D253" s="139"/>
      <c r="E253" s="79"/>
      <c r="F253" s="77"/>
      <c r="G253" s="139"/>
      <c r="H253" s="79"/>
      <c r="I253" s="77"/>
      <c r="J253" s="139"/>
      <c r="K253" s="79"/>
      <c r="L253" s="77"/>
      <c r="M253" s="139"/>
      <c r="N253" s="79"/>
      <c r="O253" s="77"/>
      <c r="P253" s="139"/>
      <c r="Q253" s="79"/>
      <c r="R253" s="77"/>
      <c r="S253" s="139"/>
      <c r="T253" s="79"/>
      <c r="U253" s="77"/>
      <c r="V253" s="139"/>
      <c r="W253" s="79"/>
      <c r="X253" s="77"/>
      <c r="Y253" s="139"/>
      <c r="Z253" s="79"/>
      <c r="AA253" s="77"/>
      <c r="AB253" s="139"/>
      <c r="AC253" s="79"/>
      <c r="AD253" s="77"/>
      <c r="AE253" s="139"/>
      <c r="AF253" s="79"/>
      <c r="AG253" s="77"/>
      <c r="AH253" s="139"/>
      <c r="AI253" s="79"/>
      <c r="AJ253" s="77"/>
      <c r="AK253" s="139"/>
      <c r="AL253" s="79"/>
      <c r="AM253" s="77"/>
      <c r="AN253" s="139"/>
      <c r="AO253" s="79"/>
      <c r="AP253" s="48"/>
      <c r="AQ253" s="48"/>
      <c r="AR253" s="48"/>
      <c r="AS253" s="48"/>
      <c r="AT253" s="48"/>
      <c r="AU253" s="48"/>
      <c r="AV253" s="48"/>
      <c r="AW253" s="48"/>
      <c r="AX253" s="48"/>
      <c r="AY253" s="48"/>
      <c r="AZ253" s="48"/>
      <c r="BA253" s="48"/>
      <c r="BB253" s="48"/>
      <c r="BC253" s="48"/>
      <c r="BD253" s="48"/>
      <c r="BE253" s="48"/>
      <c r="BF253" s="48"/>
      <c r="BG253" s="48"/>
      <c r="BH253" s="48"/>
      <c r="BI253" s="48"/>
    </row>
    <row r="254" ht="15.75" customHeight="1">
      <c r="A254" s="41" t="str">
        <f t="shared" si="5"/>
        <v>Carrosserie</v>
      </c>
      <c r="B254" s="80"/>
      <c r="C254" s="80"/>
      <c r="D254" s="81"/>
      <c r="E254" s="148"/>
      <c r="F254" s="80"/>
      <c r="G254" s="81"/>
      <c r="H254" s="148"/>
      <c r="I254" s="80"/>
      <c r="J254" s="81"/>
      <c r="K254" s="148"/>
      <c r="L254" s="80"/>
      <c r="M254" s="81"/>
      <c r="N254" s="148"/>
      <c r="O254" s="80"/>
      <c r="P254" s="81"/>
      <c r="Q254" s="148"/>
      <c r="R254" s="80"/>
      <c r="S254" s="81"/>
      <c r="T254" s="148"/>
      <c r="U254" s="80"/>
      <c r="V254" s="81"/>
      <c r="W254" s="148"/>
      <c r="X254" s="80"/>
      <c r="Y254" s="81"/>
      <c r="Z254" s="148"/>
      <c r="AA254" s="80"/>
      <c r="AB254" s="81"/>
      <c r="AC254" s="148"/>
      <c r="AD254" s="80"/>
      <c r="AE254" s="81"/>
      <c r="AF254" s="148"/>
      <c r="AG254" s="80"/>
      <c r="AH254" s="81"/>
      <c r="AI254" s="148"/>
      <c r="AJ254" s="80"/>
      <c r="AK254" s="81"/>
      <c r="AL254" s="148"/>
      <c r="AM254" s="80"/>
      <c r="AN254" s="81"/>
      <c r="AO254" s="148"/>
      <c r="AP254" s="48"/>
      <c r="AQ254" s="48"/>
      <c r="AR254" s="48"/>
      <c r="AS254" s="48"/>
      <c r="AT254" s="48"/>
      <c r="AU254" s="48"/>
      <c r="AV254" s="48"/>
      <c r="AW254" s="48"/>
      <c r="AX254" s="48"/>
      <c r="AY254" s="48"/>
      <c r="AZ254" s="48"/>
      <c r="BA254" s="48"/>
      <c r="BB254" s="48"/>
      <c r="BC254" s="48"/>
      <c r="BD254" s="48"/>
      <c r="BE254" s="48"/>
      <c r="BF254" s="48"/>
      <c r="BG254" s="48"/>
      <c r="BH254" s="48"/>
      <c r="BI254" s="48"/>
    </row>
    <row r="255" ht="15.75" customHeight="1">
      <c r="A255" s="41" t="str">
        <f t="shared" si="5"/>
        <v>Carrosserie</v>
      </c>
      <c r="B255" s="57"/>
      <c r="C255" s="57"/>
      <c r="D255" s="74"/>
      <c r="E255" s="65"/>
      <c r="F255" s="57"/>
      <c r="G255" s="74"/>
      <c r="H255" s="65"/>
      <c r="I255" s="57"/>
      <c r="J255" s="74"/>
      <c r="K255" s="65"/>
      <c r="L255" s="57"/>
      <c r="M255" s="74"/>
      <c r="N255" s="65"/>
      <c r="O255" s="57"/>
      <c r="P255" s="74"/>
      <c r="Q255" s="65"/>
      <c r="R255" s="57"/>
      <c r="S255" s="74"/>
      <c r="T255" s="65"/>
      <c r="U255" s="57"/>
      <c r="V255" s="74"/>
      <c r="W255" s="65"/>
      <c r="X255" s="57"/>
      <c r="Y255" s="74"/>
      <c r="Z255" s="65"/>
      <c r="AA255" s="57"/>
      <c r="AB255" s="74"/>
      <c r="AC255" s="65"/>
      <c r="AD255" s="57"/>
      <c r="AE255" s="74"/>
      <c r="AF255" s="65"/>
      <c r="AG255" s="57"/>
      <c r="AH255" s="74"/>
      <c r="AI255" s="65"/>
      <c r="AJ255" s="57"/>
      <c r="AK255" s="74"/>
      <c r="AL255" s="65"/>
      <c r="AM255" s="57"/>
      <c r="AN255" s="74"/>
      <c r="AO255" s="65"/>
      <c r="AP255" s="48"/>
      <c r="AQ255" s="48"/>
      <c r="AR255" s="48"/>
      <c r="AS255" s="48"/>
      <c r="AT255" s="48"/>
      <c r="AU255" s="48"/>
      <c r="AV255" s="48"/>
      <c r="AW255" s="48"/>
      <c r="AX255" s="48"/>
      <c r="AY255" s="48"/>
      <c r="AZ255" s="48"/>
      <c r="BA255" s="48"/>
      <c r="BB255" s="48"/>
      <c r="BC255" s="48"/>
      <c r="BD255" s="48"/>
      <c r="BE255" s="48"/>
      <c r="BF255" s="48"/>
      <c r="BG255" s="48"/>
      <c r="BH255" s="48"/>
      <c r="BI255" s="48"/>
    </row>
    <row r="256" ht="15.75" customHeight="1">
      <c r="A256" s="41" t="str">
        <f t="shared" si="5"/>
        <v>CarrosserieDEPENSES</v>
      </c>
      <c r="B256" s="85" t="s">
        <v>110</v>
      </c>
      <c r="C256" s="57"/>
      <c r="D256" s="74"/>
      <c r="E256" s="65"/>
      <c r="F256" s="57"/>
      <c r="G256" s="74"/>
      <c r="H256" s="65"/>
      <c r="I256" s="57"/>
      <c r="J256" s="74"/>
      <c r="K256" s="65"/>
      <c r="L256" s="57"/>
      <c r="M256" s="74"/>
      <c r="N256" s="65"/>
      <c r="O256" s="57"/>
      <c r="P256" s="74"/>
      <c r="Q256" s="65"/>
      <c r="R256" s="57"/>
      <c r="S256" s="74"/>
      <c r="T256" s="65"/>
      <c r="U256" s="57"/>
      <c r="V256" s="74"/>
      <c r="W256" s="65"/>
      <c r="X256" s="57"/>
      <c r="Y256" s="74"/>
      <c r="Z256" s="65"/>
      <c r="AA256" s="57"/>
      <c r="AB256" s="74"/>
      <c r="AC256" s="65"/>
      <c r="AD256" s="57"/>
      <c r="AE256" s="74"/>
      <c r="AF256" s="65"/>
      <c r="AG256" s="57"/>
      <c r="AH256" s="74"/>
      <c r="AI256" s="65"/>
      <c r="AJ256" s="57"/>
      <c r="AK256" s="74"/>
      <c r="AL256" s="65"/>
      <c r="AM256" s="57"/>
      <c r="AN256" s="74"/>
      <c r="AO256" s="65"/>
      <c r="AP256" s="48"/>
      <c r="AQ256" s="48"/>
      <c r="AR256" s="48"/>
      <c r="AS256" s="48"/>
      <c r="AT256" s="48"/>
      <c r="AU256" s="48"/>
      <c r="AV256" s="48"/>
      <c r="AW256" s="48"/>
      <c r="AX256" s="48"/>
      <c r="AY256" s="48"/>
      <c r="AZ256" s="48"/>
      <c r="BA256" s="48"/>
      <c r="BB256" s="48"/>
      <c r="BC256" s="48"/>
      <c r="BD256" s="48"/>
      <c r="BE256" s="48"/>
      <c r="BF256" s="48"/>
      <c r="BG256" s="48"/>
      <c r="BH256" s="48"/>
      <c r="BI256" s="48"/>
    </row>
    <row r="257" ht="15.75" customHeight="1">
      <c r="A257" s="41" t="str">
        <f t="shared" si="5"/>
        <v>CarrosserieSalaires cadres</v>
      </c>
      <c r="B257" s="96" t="s">
        <v>119</v>
      </c>
      <c r="C257" s="57"/>
      <c r="D257" s="74"/>
      <c r="E257" s="75"/>
      <c r="F257" s="57"/>
      <c r="G257" s="74"/>
      <c r="H257" s="75"/>
      <c r="I257" s="57"/>
      <c r="J257" s="74"/>
      <c r="K257" s="75"/>
      <c r="L257" s="57"/>
      <c r="M257" s="74"/>
      <c r="N257" s="75"/>
      <c r="O257" s="57"/>
      <c r="P257" s="74"/>
      <c r="Q257" s="75"/>
      <c r="R257" s="57"/>
      <c r="S257" s="74"/>
      <c r="T257" s="75"/>
      <c r="U257" s="57"/>
      <c r="V257" s="74"/>
      <c r="W257" s="75"/>
      <c r="X257" s="57"/>
      <c r="Y257" s="74"/>
      <c r="Z257" s="75"/>
      <c r="AA257" s="57"/>
      <c r="AB257" s="74"/>
      <c r="AC257" s="75"/>
      <c r="AD257" s="57"/>
      <c r="AE257" s="74"/>
      <c r="AF257" s="75"/>
      <c r="AG257" s="57"/>
      <c r="AH257" s="74"/>
      <c r="AI257" s="75"/>
      <c r="AJ257" s="57"/>
      <c r="AK257" s="74"/>
      <c r="AL257" s="75"/>
      <c r="AM257" s="57"/>
      <c r="AN257" s="74"/>
      <c r="AO257" s="242"/>
      <c r="AP257" s="48"/>
      <c r="AQ257" s="48"/>
      <c r="AR257" s="48"/>
      <c r="AS257" s="48"/>
      <c r="AT257" s="48"/>
      <c r="AU257" s="48"/>
      <c r="AV257" s="48"/>
      <c r="AW257" s="48"/>
      <c r="AX257" s="48"/>
      <c r="AY257" s="48"/>
      <c r="AZ257" s="48"/>
      <c r="BA257" s="48"/>
      <c r="BB257" s="48"/>
      <c r="BC257" s="48"/>
      <c r="BD257" s="48"/>
      <c r="BE257" s="48"/>
      <c r="BF257" s="48"/>
      <c r="BG257" s="48"/>
      <c r="BH257" s="48"/>
      <c r="BI257" s="48"/>
    </row>
    <row r="258" ht="15.75" customHeight="1">
      <c r="A258" s="41" t="str">
        <f t="shared" si="5"/>
        <v>CarrosserieSalaires commis</v>
      </c>
      <c r="B258" s="97" t="s">
        <v>120</v>
      </c>
      <c r="C258" s="57"/>
      <c r="D258" s="74"/>
      <c r="E258" s="75"/>
      <c r="F258" s="57"/>
      <c r="G258" s="74"/>
      <c r="H258" s="75"/>
      <c r="I258" s="57"/>
      <c r="J258" s="74"/>
      <c r="K258" s="75"/>
      <c r="L258" s="57"/>
      <c r="M258" s="74"/>
      <c r="N258" s="75"/>
      <c r="O258" s="57"/>
      <c r="P258" s="74"/>
      <c r="Q258" s="75"/>
      <c r="R258" s="57"/>
      <c r="S258" s="74"/>
      <c r="T258" s="75"/>
      <c r="U258" s="57"/>
      <c r="V258" s="74"/>
      <c r="W258" s="75"/>
      <c r="X258" s="57"/>
      <c r="Y258" s="74"/>
      <c r="Z258" s="75"/>
      <c r="AA258" s="57"/>
      <c r="AB258" s="74"/>
      <c r="AC258" s="75"/>
      <c r="AD258" s="57"/>
      <c r="AE258" s="74"/>
      <c r="AF258" s="75"/>
      <c r="AG258" s="57"/>
      <c r="AH258" s="74"/>
      <c r="AI258" s="75"/>
      <c r="AJ258" s="57"/>
      <c r="AK258" s="74"/>
      <c r="AL258" s="75"/>
      <c r="AM258" s="57"/>
      <c r="AN258" s="74"/>
      <c r="AO258" s="242"/>
      <c r="AP258" s="48"/>
      <c r="AQ258" s="48"/>
      <c r="AR258" s="48"/>
      <c r="AS258" s="48"/>
      <c r="AT258" s="48"/>
      <c r="AU258" s="48"/>
      <c r="AV258" s="48"/>
      <c r="AW258" s="48"/>
      <c r="AX258" s="48"/>
      <c r="AY258" s="48"/>
      <c r="AZ258" s="48"/>
      <c r="BA258" s="48"/>
      <c r="BB258" s="48"/>
      <c r="BC258" s="48"/>
      <c r="BD258" s="48"/>
      <c r="BE258" s="48"/>
      <c r="BF258" s="48"/>
      <c r="BG258" s="48"/>
      <c r="BH258" s="48"/>
      <c r="BI258" s="48"/>
    </row>
    <row r="259" ht="15.75" customHeight="1">
      <c r="A259" s="41" t="str">
        <f t="shared" si="5"/>
        <v>CarrosserieSalaires autres</v>
      </c>
      <c r="B259" s="96" t="s">
        <v>121</v>
      </c>
      <c r="C259" s="49"/>
      <c r="D259" s="98"/>
      <c r="E259" s="99"/>
      <c r="F259" s="49"/>
      <c r="G259" s="98"/>
      <c r="H259" s="99"/>
      <c r="I259" s="49"/>
      <c r="J259" s="98"/>
      <c r="K259" s="99"/>
      <c r="L259" s="49"/>
      <c r="M259" s="98"/>
      <c r="N259" s="99"/>
      <c r="O259" s="49"/>
      <c r="P259" s="98"/>
      <c r="Q259" s="99"/>
      <c r="R259" s="49"/>
      <c r="S259" s="98"/>
      <c r="T259" s="99"/>
      <c r="U259" s="49"/>
      <c r="V259" s="98"/>
      <c r="W259" s="99"/>
      <c r="X259" s="49"/>
      <c r="Y259" s="98"/>
      <c r="Z259" s="99"/>
      <c r="AA259" s="49"/>
      <c r="AB259" s="98"/>
      <c r="AC259" s="99"/>
      <c r="AD259" s="49"/>
      <c r="AE259" s="98"/>
      <c r="AF259" s="99"/>
      <c r="AG259" s="49"/>
      <c r="AH259" s="98"/>
      <c r="AI259" s="99"/>
      <c r="AJ259" s="49"/>
      <c r="AK259" s="98"/>
      <c r="AL259" s="99"/>
      <c r="AM259" s="49"/>
      <c r="AN259" s="98"/>
      <c r="AO259" s="244"/>
      <c r="AP259" s="48"/>
      <c r="AQ259" s="48"/>
      <c r="AR259" s="48"/>
      <c r="AS259" s="48"/>
      <c r="AT259" s="48"/>
      <c r="AU259" s="48"/>
      <c r="AV259" s="48"/>
      <c r="AW259" s="48"/>
      <c r="AX259" s="48"/>
      <c r="AY259" s="48"/>
      <c r="AZ259" s="48"/>
      <c r="BA259" s="48"/>
      <c r="BB259" s="48"/>
      <c r="BC259" s="48"/>
      <c r="BD259" s="48"/>
      <c r="BE259" s="48"/>
      <c r="BF259" s="48"/>
      <c r="BG259" s="48"/>
      <c r="BH259" s="48"/>
      <c r="BI259" s="48"/>
    </row>
    <row r="260" ht="15.75" customHeight="1">
      <c r="A260" s="41" t="str">
        <f t="shared" si="5"/>
        <v>CarrosserieSalaires spécialistes</v>
      </c>
      <c r="B260" s="96" t="s">
        <v>122</v>
      </c>
      <c r="C260" s="57"/>
      <c r="D260" s="74"/>
      <c r="E260" s="75"/>
      <c r="F260" s="57"/>
      <c r="G260" s="74"/>
      <c r="H260" s="75"/>
      <c r="I260" s="57"/>
      <c r="J260" s="74"/>
      <c r="K260" s="75"/>
      <c r="L260" s="57"/>
      <c r="M260" s="74"/>
      <c r="N260" s="75"/>
      <c r="O260" s="57"/>
      <c r="P260" s="74"/>
      <c r="Q260" s="75"/>
      <c r="R260" s="57"/>
      <c r="S260" s="74"/>
      <c r="T260" s="75"/>
      <c r="U260" s="57"/>
      <c r="V260" s="74"/>
      <c r="W260" s="75"/>
      <c r="X260" s="57"/>
      <c r="Y260" s="74"/>
      <c r="Z260" s="75"/>
      <c r="AA260" s="57"/>
      <c r="AB260" s="74"/>
      <c r="AC260" s="75"/>
      <c r="AD260" s="57"/>
      <c r="AE260" s="74"/>
      <c r="AF260" s="75"/>
      <c r="AG260" s="57"/>
      <c r="AH260" s="74"/>
      <c r="AI260" s="75"/>
      <c r="AJ260" s="57"/>
      <c r="AK260" s="74"/>
      <c r="AL260" s="75"/>
      <c r="AM260" s="57"/>
      <c r="AN260" s="74"/>
      <c r="AO260" s="242"/>
      <c r="AP260" s="48"/>
      <c r="AQ260" s="48"/>
      <c r="AR260" s="48"/>
      <c r="AS260" s="48"/>
      <c r="AT260" s="48"/>
      <c r="AU260" s="48"/>
      <c r="AV260" s="48"/>
      <c r="AW260" s="48"/>
      <c r="AX260" s="48"/>
      <c r="AY260" s="48"/>
      <c r="AZ260" s="48"/>
      <c r="BA260" s="48"/>
      <c r="BB260" s="48"/>
      <c r="BC260" s="48"/>
      <c r="BD260" s="48"/>
      <c r="BE260" s="48"/>
      <c r="BF260" s="48"/>
      <c r="BG260" s="48"/>
      <c r="BH260" s="48"/>
      <c r="BI260" s="48"/>
    </row>
    <row r="261" ht="20.25" customHeight="1">
      <c r="A261" s="41" t="str">
        <f t="shared" si="5"/>
        <v>Carrosserie[...]</v>
      </c>
      <c r="B261" s="57" t="s">
        <v>56</v>
      </c>
      <c r="C261" s="57"/>
      <c r="D261" s="74"/>
      <c r="E261" s="75"/>
      <c r="F261" s="57"/>
      <c r="G261" s="74"/>
      <c r="H261" s="75"/>
      <c r="I261" s="57"/>
      <c r="J261" s="74"/>
      <c r="K261" s="75"/>
      <c r="L261" s="57"/>
      <c r="M261" s="74"/>
      <c r="N261" s="75"/>
      <c r="O261" s="57"/>
      <c r="P261" s="74"/>
      <c r="Q261" s="75"/>
      <c r="R261" s="57"/>
      <c r="S261" s="74"/>
      <c r="T261" s="75"/>
      <c r="U261" s="57"/>
      <c r="V261" s="74"/>
      <c r="W261" s="75"/>
      <c r="X261" s="57"/>
      <c r="Y261" s="74"/>
      <c r="Z261" s="75"/>
      <c r="AA261" s="57"/>
      <c r="AB261" s="74"/>
      <c r="AC261" s="75"/>
      <c r="AD261" s="57"/>
      <c r="AE261" s="74"/>
      <c r="AF261" s="75"/>
      <c r="AG261" s="57"/>
      <c r="AH261" s="74"/>
      <c r="AI261" s="75"/>
      <c r="AJ261" s="57"/>
      <c r="AK261" s="74"/>
      <c r="AL261" s="75"/>
      <c r="AM261" s="57"/>
      <c r="AN261" s="74"/>
      <c r="AO261" s="242"/>
      <c r="AP261" s="48"/>
      <c r="AQ261" s="48"/>
      <c r="AR261" s="48"/>
      <c r="AS261" s="48"/>
      <c r="AT261" s="48"/>
      <c r="AU261" s="48"/>
      <c r="AV261" s="48"/>
      <c r="AW261" s="48"/>
      <c r="AX261" s="48"/>
      <c r="AY261" s="48"/>
      <c r="AZ261" s="48"/>
      <c r="BA261" s="48"/>
      <c r="BB261" s="48"/>
      <c r="BC261" s="48"/>
      <c r="BD261" s="48"/>
      <c r="BE261" s="48"/>
      <c r="BF261" s="48"/>
      <c r="BG261" s="48"/>
      <c r="BH261" s="48"/>
      <c r="BI261" s="48"/>
    </row>
    <row r="262" ht="20.25" customHeight="1">
      <c r="A262" s="41" t="str">
        <f t="shared" si="5"/>
        <v>Carrosserie[...]</v>
      </c>
      <c r="B262" s="57" t="s">
        <v>56</v>
      </c>
      <c r="C262" s="57"/>
      <c r="D262" s="74"/>
      <c r="E262" s="75"/>
      <c r="F262" s="57"/>
      <c r="G262" s="74"/>
      <c r="H262" s="75"/>
      <c r="I262" s="57"/>
      <c r="J262" s="74"/>
      <c r="K262" s="75"/>
      <c r="L262" s="57"/>
      <c r="M262" s="74"/>
      <c r="N262" s="75"/>
      <c r="O262" s="57"/>
      <c r="P262" s="74"/>
      <c r="Q262" s="75"/>
      <c r="R262" s="57"/>
      <c r="S262" s="74"/>
      <c r="T262" s="75"/>
      <c r="U262" s="57"/>
      <c r="V262" s="74"/>
      <c r="W262" s="75"/>
      <c r="X262" s="57"/>
      <c r="Y262" s="74"/>
      <c r="Z262" s="75"/>
      <c r="AA262" s="57"/>
      <c r="AB262" s="74"/>
      <c r="AC262" s="75"/>
      <c r="AD262" s="57"/>
      <c r="AE262" s="74"/>
      <c r="AF262" s="75"/>
      <c r="AG262" s="57"/>
      <c r="AH262" s="74"/>
      <c r="AI262" s="75"/>
      <c r="AJ262" s="57"/>
      <c r="AK262" s="74"/>
      <c r="AL262" s="75"/>
      <c r="AM262" s="57"/>
      <c r="AN262" s="74"/>
      <c r="AO262" s="242"/>
      <c r="AP262" s="48"/>
      <c r="AQ262" s="48"/>
      <c r="AR262" s="48"/>
      <c r="AS262" s="48"/>
      <c r="AT262" s="48"/>
      <c r="AU262" s="48"/>
      <c r="AV262" s="48"/>
      <c r="AW262" s="48"/>
      <c r="AX262" s="48"/>
      <c r="AY262" s="48"/>
      <c r="AZ262" s="48"/>
      <c r="BA262" s="48"/>
      <c r="BB262" s="48"/>
      <c r="BC262" s="48"/>
      <c r="BD262" s="48"/>
      <c r="BE262" s="48"/>
      <c r="BF262" s="48"/>
      <c r="BG262" s="48"/>
      <c r="BH262" s="48"/>
      <c r="BI262" s="48"/>
    </row>
    <row r="263" ht="20.25" customHeight="1">
      <c r="A263" s="41" t="str">
        <f t="shared" si="5"/>
        <v>Carrosserie[...]</v>
      </c>
      <c r="B263" s="57" t="s">
        <v>56</v>
      </c>
      <c r="C263" s="57"/>
      <c r="D263" s="74"/>
      <c r="E263" s="75"/>
      <c r="F263" s="57"/>
      <c r="G263" s="74"/>
      <c r="H263" s="75"/>
      <c r="I263" s="57"/>
      <c r="J263" s="74"/>
      <c r="K263" s="75"/>
      <c r="L263" s="57"/>
      <c r="M263" s="74"/>
      <c r="N263" s="75"/>
      <c r="O263" s="57"/>
      <c r="P263" s="74"/>
      <c r="Q263" s="75"/>
      <c r="R263" s="57"/>
      <c r="S263" s="74"/>
      <c r="T263" s="75"/>
      <c r="U263" s="57"/>
      <c r="V263" s="74"/>
      <c r="W263" s="75"/>
      <c r="X263" s="57"/>
      <c r="Y263" s="74"/>
      <c r="Z263" s="75"/>
      <c r="AA263" s="57"/>
      <c r="AB263" s="74"/>
      <c r="AC263" s="75"/>
      <c r="AD263" s="57"/>
      <c r="AE263" s="74"/>
      <c r="AF263" s="75"/>
      <c r="AG263" s="57"/>
      <c r="AH263" s="74"/>
      <c r="AI263" s="75"/>
      <c r="AJ263" s="57"/>
      <c r="AK263" s="74"/>
      <c r="AL263" s="75"/>
      <c r="AM263" s="57"/>
      <c r="AN263" s="74"/>
      <c r="AO263" s="242"/>
      <c r="AP263" s="48"/>
      <c r="AQ263" s="48"/>
      <c r="AR263" s="48"/>
      <c r="AS263" s="48"/>
      <c r="AT263" s="48"/>
      <c r="AU263" s="48"/>
      <c r="AV263" s="48"/>
      <c r="AW263" s="48"/>
      <c r="AX263" s="48"/>
      <c r="AY263" s="48"/>
      <c r="AZ263" s="48"/>
      <c r="BA263" s="48"/>
      <c r="BB263" s="48"/>
      <c r="BC263" s="48"/>
      <c r="BD263" s="48"/>
      <c r="BE263" s="48"/>
      <c r="BF263" s="48"/>
      <c r="BG263" s="48"/>
      <c r="BH263" s="48"/>
      <c r="BI263" s="48"/>
    </row>
    <row r="264" ht="15.75" customHeight="1">
      <c r="A264" s="41" t="str">
        <f t="shared" si="5"/>
        <v>CarrosserieSalaires en absences</v>
      </c>
      <c r="B264" s="97" t="s">
        <v>123</v>
      </c>
      <c r="C264" s="57"/>
      <c r="D264" s="74"/>
      <c r="E264" s="75"/>
      <c r="F264" s="57"/>
      <c r="G264" s="74"/>
      <c r="H264" s="75"/>
      <c r="I264" s="57"/>
      <c r="J264" s="74"/>
      <c r="K264" s="75"/>
      <c r="L264" s="57"/>
      <c r="M264" s="74"/>
      <c r="N264" s="75"/>
      <c r="O264" s="57"/>
      <c r="P264" s="74"/>
      <c r="Q264" s="75"/>
      <c r="R264" s="57"/>
      <c r="S264" s="74"/>
      <c r="T264" s="75"/>
      <c r="U264" s="57"/>
      <c r="V264" s="74"/>
      <c r="W264" s="75"/>
      <c r="X264" s="57"/>
      <c r="Y264" s="74"/>
      <c r="Z264" s="75"/>
      <c r="AA264" s="57"/>
      <c r="AB264" s="74"/>
      <c r="AC264" s="75"/>
      <c r="AD264" s="57"/>
      <c r="AE264" s="74"/>
      <c r="AF264" s="75"/>
      <c r="AG264" s="57"/>
      <c r="AH264" s="74"/>
      <c r="AI264" s="75"/>
      <c r="AJ264" s="57"/>
      <c r="AK264" s="74"/>
      <c r="AL264" s="75"/>
      <c r="AM264" s="57"/>
      <c r="AN264" s="74"/>
      <c r="AO264" s="242"/>
      <c r="AP264" s="48"/>
      <c r="AQ264" s="48"/>
      <c r="AR264" s="48"/>
      <c r="AS264" s="48"/>
      <c r="AT264" s="48"/>
      <c r="AU264" s="48"/>
      <c r="AV264" s="48"/>
      <c r="AW264" s="48"/>
      <c r="AX264" s="48"/>
      <c r="AY264" s="48"/>
      <c r="AZ264" s="48"/>
      <c r="BA264" s="48"/>
      <c r="BB264" s="48"/>
      <c r="BC264" s="48"/>
      <c r="BD264" s="48"/>
      <c r="BE264" s="48"/>
      <c r="BF264" s="48"/>
      <c r="BG264" s="48"/>
      <c r="BH264" s="48"/>
      <c r="BI264" s="48"/>
    </row>
    <row r="265" ht="15.75" customHeight="1">
      <c r="A265" s="41" t="str">
        <f t="shared" si="5"/>
        <v>CarrosserieDéduction à la source</v>
      </c>
      <c r="B265" s="96" t="s">
        <v>124</v>
      </c>
      <c r="C265" s="49"/>
      <c r="D265" s="98"/>
      <c r="E265" s="99"/>
      <c r="F265" s="49"/>
      <c r="G265" s="98"/>
      <c r="H265" s="99"/>
      <c r="I265" s="49"/>
      <c r="J265" s="98"/>
      <c r="K265" s="99"/>
      <c r="L265" s="49"/>
      <c r="M265" s="98"/>
      <c r="N265" s="99"/>
      <c r="O265" s="49"/>
      <c r="P265" s="98"/>
      <c r="Q265" s="99"/>
      <c r="R265" s="49"/>
      <c r="S265" s="98"/>
      <c r="T265" s="99"/>
      <c r="U265" s="49"/>
      <c r="V265" s="98"/>
      <c r="W265" s="99"/>
      <c r="X265" s="49"/>
      <c r="Y265" s="98"/>
      <c r="Z265" s="99"/>
      <c r="AA265" s="49"/>
      <c r="AB265" s="98"/>
      <c r="AC265" s="99"/>
      <c r="AD265" s="49"/>
      <c r="AE265" s="98"/>
      <c r="AF265" s="99"/>
      <c r="AG265" s="49"/>
      <c r="AH265" s="98"/>
      <c r="AI265" s="99"/>
      <c r="AJ265" s="49"/>
      <c r="AK265" s="98"/>
      <c r="AL265" s="99"/>
      <c r="AM265" s="49"/>
      <c r="AN265" s="98"/>
      <c r="AO265" s="244"/>
      <c r="AP265" s="48"/>
      <c r="AQ265" s="48"/>
      <c r="AR265" s="48"/>
      <c r="AS265" s="48"/>
      <c r="AT265" s="48"/>
      <c r="AU265" s="48"/>
      <c r="AV265" s="48"/>
      <c r="AW265" s="48"/>
      <c r="AX265" s="48"/>
      <c r="AY265" s="48"/>
      <c r="AZ265" s="48"/>
      <c r="BA265" s="48"/>
      <c r="BB265" s="48"/>
      <c r="BC265" s="48"/>
      <c r="BD265" s="48"/>
      <c r="BE265" s="48"/>
      <c r="BF265" s="48"/>
      <c r="BG265" s="48"/>
      <c r="BH265" s="48"/>
      <c r="BI265" s="48"/>
    </row>
    <row r="266" ht="15.75" customHeight="1">
      <c r="A266" s="41" t="str">
        <f t="shared" si="5"/>
        <v>CarrosserieBénéfices marginaux</v>
      </c>
      <c r="B266" s="96" t="s">
        <v>125</v>
      </c>
      <c r="C266" s="57"/>
      <c r="D266" s="74"/>
      <c r="E266" s="75"/>
      <c r="F266" s="57"/>
      <c r="G266" s="74"/>
      <c r="H266" s="75"/>
      <c r="I266" s="57"/>
      <c r="J266" s="74"/>
      <c r="K266" s="75"/>
      <c r="L266" s="57"/>
      <c r="M266" s="74"/>
      <c r="N266" s="75"/>
      <c r="O266" s="57"/>
      <c r="P266" s="74"/>
      <c r="Q266" s="75"/>
      <c r="R266" s="57"/>
      <c r="S266" s="74"/>
      <c r="T266" s="75"/>
      <c r="U266" s="57"/>
      <c r="V266" s="74"/>
      <c r="W266" s="75"/>
      <c r="X266" s="57"/>
      <c r="Y266" s="74"/>
      <c r="Z266" s="75"/>
      <c r="AA266" s="57"/>
      <c r="AB266" s="74"/>
      <c r="AC266" s="75"/>
      <c r="AD266" s="57"/>
      <c r="AE266" s="74"/>
      <c r="AF266" s="75"/>
      <c r="AG266" s="57"/>
      <c r="AH266" s="74"/>
      <c r="AI266" s="75"/>
      <c r="AJ266" s="57"/>
      <c r="AK266" s="74"/>
      <c r="AL266" s="75"/>
      <c r="AM266" s="57"/>
      <c r="AN266" s="74"/>
      <c r="AO266" s="242"/>
      <c r="AP266" s="48"/>
      <c r="AQ266" s="48"/>
      <c r="AR266" s="48"/>
      <c r="AS266" s="48"/>
      <c r="AT266" s="48"/>
      <c r="AU266" s="48"/>
      <c r="AV266" s="48"/>
      <c r="AW266" s="48"/>
      <c r="AX266" s="48"/>
      <c r="AY266" s="48"/>
      <c r="AZ266" s="48"/>
      <c r="BA266" s="48"/>
      <c r="BB266" s="48"/>
      <c r="BC266" s="48"/>
      <c r="BD266" s="48"/>
      <c r="BE266" s="48"/>
      <c r="BF266" s="48"/>
      <c r="BG266" s="48"/>
      <c r="BH266" s="48"/>
      <c r="BI266" s="48"/>
    </row>
    <row r="267" ht="15.75" customHeight="1">
      <c r="A267" s="41" t="str">
        <f t="shared" si="5"/>
        <v>CarrosserieCsst</v>
      </c>
      <c r="B267" s="96" t="s">
        <v>126</v>
      </c>
      <c r="C267" s="57"/>
      <c r="D267" s="74"/>
      <c r="E267" s="75"/>
      <c r="F267" s="57"/>
      <c r="G267" s="74"/>
      <c r="H267" s="75"/>
      <c r="I267" s="57"/>
      <c r="J267" s="74"/>
      <c r="K267" s="75"/>
      <c r="L267" s="57"/>
      <c r="M267" s="74"/>
      <c r="N267" s="75"/>
      <c r="O267" s="57"/>
      <c r="P267" s="74"/>
      <c r="Q267" s="75"/>
      <c r="R267" s="57"/>
      <c r="S267" s="74"/>
      <c r="T267" s="75"/>
      <c r="U267" s="57"/>
      <c r="V267" s="74"/>
      <c r="W267" s="75"/>
      <c r="X267" s="57"/>
      <c r="Y267" s="74"/>
      <c r="Z267" s="75"/>
      <c r="AA267" s="57"/>
      <c r="AB267" s="74"/>
      <c r="AC267" s="75"/>
      <c r="AD267" s="57"/>
      <c r="AE267" s="74"/>
      <c r="AF267" s="75"/>
      <c r="AG267" s="57"/>
      <c r="AH267" s="74"/>
      <c r="AI267" s="75"/>
      <c r="AJ267" s="57"/>
      <c r="AK267" s="74"/>
      <c r="AL267" s="75"/>
      <c r="AM267" s="57"/>
      <c r="AN267" s="74"/>
      <c r="AO267" s="242"/>
      <c r="AP267" s="48"/>
      <c r="AQ267" s="48"/>
      <c r="AR267" s="48"/>
      <c r="AS267" s="48"/>
      <c r="AT267" s="48"/>
      <c r="AU267" s="48"/>
      <c r="AV267" s="48"/>
      <c r="AW267" s="48"/>
      <c r="AX267" s="48"/>
      <c r="AY267" s="48"/>
      <c r="AZ267" s="48"/>
      <c r="BA267" s="48"/>
      <c r="BB267" s="48"/>
      <c r="BC267" s="48"/>
      <c r="BD267" s="48"/>
      <c r="BE267" s="48"/>
      <c r="BF267" s="48"/>
      <c r="BG267" s="48"/>
      <c r="BH267" s="48"/>
      <c r="BI267" s="48"/>
    </row>
    <row r="268" ht="20.25" customHeight="1">
      <c r="A268" s="41" t="str">
        <f t="shared" si="5"/>
        <v>Carrosserie[...]</v>
      </c>
      <c r="B268" s="57" t="s">
        <v>56</v>
      </c>
      <c r="C268" s="53"/>
      <c r="D268" s="100"/>
      <c r="E268" s="91"/>
      <c r="F268" s="53"/>
      <c r="G268" s="100"/>
      <c r="H268" s="91"/>
      <c r="I268" s="53"/>
      <c r="J268" s="100"/>
      <c r="K268" s="91"/>
      <c r="L268" s="53"/>
      <c r="M268" s="100"/>
      <c r="N268" s="91"/>
      <c r="O268" s="53"/>
      <c r="P268" s="100"/>
      <c r="Q268" s="91"/>
      <c r="R268" s="53"/>
      <c r="S268" s="100"/>
      <c r="T268" s="91"/>
      <c r="U268" s="53"/>
      <c r="V268" s="100"/>
      <c r="W268" s="91"/>
      <c r="X268" s="53"/>
      <c r="Y268" s="100"/>
      <c r="Z268" s="91"/>
      <c r="AA268" s="53"/>
      <c r="AB268" s="100"/>
      <c r="AC268" s="91"/>
      <c r="AD268" s="53"/>
      <c r="AE268" s="100"/>
      <c r="AF268" s="91"/>
      <c r="AG268" s="53"/>
      <c r="AH268" s="100"/>
      <c r="AI268" s="91"/>
      <c r="AJ268" s="53"/>
      <c r="AK268" s="100"/>
      <c r="AL268" s="91"/>
      <c r="AM268" s="53"/>
      <c r="AN268" s="100"/>
      <c r="AO268" s="91"/>
      <c r="AP268" s="48"/>
      <c r="AQ268" s="48"/>
      <c r="AR268" s="48"/>
      <c r="AS268" s="48"/>
      <c r="AT268" s="48"/>
      <c r="AU268" s="48"/>
      <c r="AV268" s="48"/>
      <c r="AW268" s="48"/>
      <c r="AX268" s="48"/>
      <c r="AY268" s="48"/>
      <c r="AZ268" s="48"/>
      <c r="BA268" s="48"/>
      <c r="BB268" s="48"/>
      <c r="BC268" s="48"/>
      <c r="BD268" s="48"/>
      <c r="BE268" s="48"/>
      <c r="BF268" s="48"/>
      <c r="BG268" s="48"/>
      <c r="BH268" s="48"/>
      <c r="BI268" s="48"/>
    </row>
    <row r="269" ht="15.75" customHeight="1">
      <c r="A269" s="41" t="str">
        <f t="shared" si="5"/>
        <v>CarrosserieTOTAL PERSONNEL</v>
      </c>
      <c r="B269" s="92" t="s">
        <v>127</v>
      </c>
      <c r="C269" s="93"/>
      <c r="D269" s="94"/>
      <c r="E269" s="95"/>
      <c r="F269" s="93"/>
      <c r="G269" s="94"/>
      <c r="H269" s="95"/>
      <c r="I269" s="93"/>
      <c r="J269" s="94"/>
      <c r="K269" s="95"/>
      <c r="L269" s="93"/>
      <c r="M269" s="94"/>
      <c r="N269" s="95"/>
      <c r="O269" s="93"/>
      <c r="P269" s="94"/>
      <c r="Q269" s="95"/>
      <c r="R269" s="93"/>
      <c r="S269" s="94"/>
      <c r="T269" s="95"/>
      <c r="U269" s="93"/>
      <c r="V269" s="94"/>
      <c r="W269" s="95"/>
      <c r="X269" s="93"/>
      <c r="Y269" s="94"/>
      <c r="Z269" s="95"/>
      <c r="AA269" s="93"/>
      <c r="AB269" s="94"/>
      <c r="AC269" s="95"/>
      <c r="AD269" s="93"/>
      <c r="AE269" s="94"/>
      <c r="AF269" s="95"/>
      <c r="AG269" s="93"/>
      <c r="AH269" s="94"/>
      <c r="AI269" s="95"/>
      <c r="AJ269" s="93"/>
      <c r="AK269" s="94"/>
      <c r="AL269" s="95"/>
      <c r="AM269" s="93"/>
      <c r="AN269" s="94"/>
      <c r="AO269" s="95"/>
      <c r="AP269" s="48"/>
      <c r="AQ269" s="48"/>
      <c r="AR269" s="48"/>
      <c r="AS269" s="48"/>
      <c r="AT269" s="48"/>
      <c r="AU269" s="48"/>
      <c r="AV269" s="48"/>
      <c r="AW269" s="48"/>
      <c r="AX269" s="48"/>
      <c r="AY269" s="48"/>
      <c r="AZ269" s="48"/>
      <c r="BA269" s="48"/>
      <c r="BB269" s="48"/>
      <c r="BC269" s="48"/>
      <c r="BD269" s="48"/>
      <c r="BE269" s="48"/>
      <c r="BF269" s="48"/>
      <c r="BG269" s="48"/>
      <c r="BH269" s="48"/>
      <c r="BI269" s="48"/>
    </row>
    <row r="270" ht="15.75" customHeight="1">
      <c r="A270" s="41" t="str">
        <f t="shared" si="5"/>
        <v>CarrosseriePublicité 2</v>
      </c>
      <c r="B270" s="150" t="s">
        <v>128</v>
      </c>
      <c r="C270" s="57"/>
      <c r="D270" s="74"/>
      <c r="E270" s="75"/>
      <c r="F270" s="57"/>
      <c r="G270" s="74"/>
      <c r="H270" s="75"/>
      <c r="I270" s="57"/>
      <c r="J270" s="74"/>
      <c r="K270" s="75"/>
      <c r="L270" s="57"/>
      <c r="M270" s="74"/>
      <c r="N270" s="75"/>
      <c r="O270" s="57"/>
      <c r="P270" s="74"/>
      <c r="Q270" s="75"/>
      <c r="R270" s="57"/>
      <c r="S270" s="74"/>
      <c r="T270" s="75"/>
      <c r="U270" s="57"/>
      <c r="V270" s="74"/>
      <c r="W270" s="75"/>
      <c r="X270" s="57"/>
      <c r="Y270" s="74"/>
      <c r="Z270" s="75"/>
      <c r="AA270" s="57"/>
      <c r="AB270" s="74"/>
      <c r="AC270" s="75"/>
      <c r="AD270" s="57"/>
      <c r="AE270" s="74"/>
      <c r="AF270" s="75"/>
      <c r="AG270" s="57"/>
      <c r="AH270" s="74"/>
      <c r="AI270" s="75"/>
      <c r="AJ270" s="57"/>
      <c r="AK270" s="74"/>
      <c r="AL270" s="75"/>
      <c r="AM270" s="57"/>
      <c r="AN270" s="74"/>
      <c r="AO270" s="242"/>
      <c r="AP270" s="48"/>
      <c r="AQ270" s="48"/>
      <c r="AR270" s="48"/>
      <c r="AS270" s="48"/>
      <c r="AT270" s="48"/>
      <c r="AU270" s="48"/>
      <c r="AV270" s="48"/>
      <c r="AW270" s="48"/>
      <c r="AX270" s="48"/>
      <c r="AY270" s="48"/>
      <c r="AZ270" s="48"/>
      <c r="BA270" s="48"/>
      <c r="BB270" s="48"/>
      <c r="BC270" s="48"/>
      <c r="BD270" s="48"/>
      <c r="BE270" s="48"/>
      <c r="BF270" s="48"/>
      <c r="BG270" s="48"/>
      <c r="BH270" s="48"/>
      <c r="BI270" s="48"/>
    </row>
    <row r="271" ht="15.75" customHeight="1">
      <c r="A271" s="41" t="str">
        <f t="shared" si="5"/>
        <v>CarrosserieService gratuit 2</v>
      </c>
      <c r="B271" s="96" t="s">
        <v>129</v>
      </c>
      <c r="C271" s="57"/>
      <c r="D271" s="74"/>
      <c r="E271" s="75"/>
      <c r="F271" s="57"/>
      <c r="G271" s="74"/>
      <c r="H271" s="75"/>
      <c r="I271" s="57"/>
      <c r="J271" s="74"/>
      <c r="K271" s="75"/>
      <c r="L271" s="57"/>
      <c r="M271" s="74"/>
      <c r="N271" s="75"/>
      <c r="O271" s="57"/>
      <c r="P271" s="74"/>
      <c r="Q271" s="75"/>
      <c r="R271" s="57"/>
      <c r="S271" s="74"/>
      <c r="T271" s="75"/>
      <c r="U271" s="57"/>
      <c r="V271" s="74"/>
      <c r="W271" s="75"/>
      <c r="X271" s="57"/>
      <c r="Y271" s="74"/>
      <c r="Z271" s="75"/>
      <c r="AA271" s="57"/>
      <c r="AB271" s="74"/>
      <c r="AC271" s="75"/>
      <c r="AD271" s="57"/>
      <c r="AE271" s="74"/>
      <c r="AF271" s="75"/>
      <c r="AG271" s="57"/>
      <c r="AH271" s="74"/>
      <c r="AI271" s="75"/>
      <c r="AJ271" s="57"/>
      <c r="AK271" s="74"/>
      <c r="AL271" s="75"/>
      <c r="AM271" s="57"/>
      <c r="AN271" s="74"/>
      <c r="AO271" s="242"/>
      <c r="AP271" s="48"/>
      <c r="AQ271" s="48"/>
      <c r="AR271" s="48"/>
      <c r="AS271" s="48"/>
      <c r="AT271" s="48"/>
      <c r="AU271" s="48"/>
      <c r="AV271" s="48"/>
      <c r="AW271" s="48"/>
      <c r="AX271" s="48"/>
      <c r="AY271" s="48"/>
      <c r="AZ271" s="48"/>
      <c r="BA271" s="48"/>
      <c r="BB271" s="48"/>
      <c r="BC271" s="48"/>
      <c r="BD271" s="48"/>
      <c r="BE271" s="48"/>
      <c r="BF271" s="48"/>
      <c r="BG271" s="48"/>
      <c r="BH271" s="48"/>
      <c r="BI271" s="48"/>
    </row>
    <row r="272" ht="15.75" customHeight="1">
      <c r="A272" s="41" t="str">
        <f t="shared" si="5"/>
        <v>CarrosserieFrais véhicules de cie</v>
      </c>
      <c r="B272" s="97" t="s">
        <v>130</v>
      </c>
      <c r="C272" s="53"/>
      <c r="D272" s="100"/>
      <c r="E272" s="91"/>
      <c r="F272" s="53"/>
      <c r="G272" s="100"/>
      <c r="H272" s="91"/>
      <c r="I272" s="53"/>
      <c r="J272" s="100"/>
      <c r="K272" s="91"/>
      <c r="L272" s="53"/>
      <c r="M272" s="100"/>
      <c r="N272" s="91"/>
      <c r="O272" s="53"/>
      <c r="P272" s="100"/>
      <c r="Q272" s="91"/>
      <c r="R272" s="53"/>
      <c r="S272" s="100"/>
      <c r="T272" s="91"/>
      <c r="U272" s="53"/>
      <c r="V272" s="100"/>
      <c r="W272" s="91"/>
      <c r="X272" s="53"/>
      <c r="Y272" s="100"/>
      <c r="Z272" s="91"/>
      <c r="AA272" s="53"/>
      <c r="AB272" s="100"/>
      <c r="AC272" s="91"/>
      <c r="AD272" s="53"/>
      <c r="AE272" s="100"/>
      <c r="AF272" s="91"/>
      <c r="AG272" s="53"/>
      <c r="AH272" s="100"/>
      <c r="AI272" s="91"/>
      <c r="AJ272" s="53"/>
      <c r="AK272" s="100"/>
      <c r="AL272" s="91"/>
      <c r="AM272" s="53"/>
      <c r="AN272" s="100"/>
      <c r="AO272" s="243"/>
      <c r="AP272" s="48"/>
      <c r="AQ272" s="48"/>
      <c r="AR272" s="48"/>
      <c r="AS272" s="48"/>
      <c r="AT272" s="48"/>
      <c r="AU272" s="48"/>
      <c r="AV272" s="48"/>
      <c r="AW272" s="48"/>
      <c r="AX272" s="48"/>
      <c r="AY272" s="48"/>
      <c r="AZ272" s="48"/>
      <c r="BA272" s="48"/>
      <c r="BB272" s="48"/>
      <c r="BC272" s="48"/>
      <c r="BD272" s="48"/>
      <c r="BE272" s="48"/>
      <c r="BF272" s="48"/>
      <c r="BG272" s="48"/>
      <c r="BH272" s="48"/>
      <c r="BI272" s="48"/>
    </row>
    <row r="273" ht="15.75" customHeight="1">
      <c r="A273" s="41" t="str">
        <f t="shared" si="5"/>
        <v>CarrosserieInformatique</v>
      </c>
      <c r="B273" s="96" t="s">
        <v>131</v>
      </c>
      <c r="C273" s="57"/>
      <c r="D273" s="74"/>
      <c r="E273" s="75"/>
      <c r="F273" s="57"/>
      <c r="G273" s="74"/>
      <c r="H273" s="75"/>
      <c r="I273" s="57"/>
      <c r="J273" s="74"/>
      <c r="K273" s="75"/>
      <c r="L273" s="57"/>
      <c r="M273" s="74"/>
      <c r="N273" s="75"/>
      <c r="O273" s="57"/>
      <c r="P273" s="74"/>
      <c r="Q273" s="75"/>
      <c r="R273" s="57"/>
      <c r="S273" s="74"/>
      <c r="T273" s="75"/>
      <c r="U273" s="57"/>
      <c r="V273" s="74"/>
      <c r="W273" s="75"/>
      <c r="X273" s="57"/>
      <c r="Y273" s="74"/>
      <c r="Z273" s="75"/>
      <c r="AA273" s="57"/>
      <c r="AB273" s="74"/>
      <c r="AC273" s="75"/>
      <c r="AD273" s="57"/>
      <c r="AE273" s="74"/>
      <c r="AF273" s="75"/>
      <c r="AG273" s="57"/>
      <c r="AH273" s="74"/>
      <c r="AI273" s="75"/>
      <c r="AJ273" s="57"/>
      <c r="AK273" s="74"/>
      <c r="AL273" s="75"/>
      <c r="AM273" s="57"/>
      <c r="AN273" s="74"/>
      <c r="AO273" s="242"/>
      <c r="AP273" s="48"/>
      <c r="AQ273" s="48"/>
      <c r="AR273" s="48"/>
      <c r="AS273" s="48"/>
      <c r="AT273" s="48"/>
      <c r="AU273" s="48"/>
      <c r="AV273" s="48"/>
      <c r="AW273" s="48"/>
      <c r="AX273" s="48"/>
      <c r="AY273" s="48"/>
      <c r="AZ273" s="48"/>
      <c r="BA273" s="48"/>
      <c r="BB273" s="48"/>
      <c r="BC273" s="48"/>
      <c r="BD273" s="48"/>
      <c r="BE273" s="48"/>
      <c r="BF273" s="48"/>
      <c r="BG273" s="48"/>
      <c r="BH273" s="48"/>
      <c r="BI273" s="48"/>
    </row>
    <row r="274" ht="15.75" customHeight="1">
      <c r="A274" s="41" t="str">
        <f t="shared" si="5"/>
        <v>CarrosserieFrais de déplacement</v>
      </c>
      <c r="B274" s="96" t="s">
        <v>132</v>
      </c>
      <c r="C274" s="57"/>
      <c r="D274" s="74"/>
      <c r="E274" s="75"/>
      <c r="F274" s="57"/>
      <c r="G274" s="74"/>
      <c r="H274" s="75"/>
      <c r="I274" s="57"/>
      <c r="J274" s="74"/>
      <c r="K274" s="75"/>
      <c r="L274" s="57"/>
      <c r="M274" s="74"/>
      <c r="N274" s="75"/>
      <c r="O274" s="57"/>
      <c r="P274" s="74"/>
      <c r="Q274" s="75"/>
      <c r="R274" s="57"/>
      <c r="S274" s="74"/>
      <c r="T274" s="75"/>
      <c r="U274" s="57"/>
      <c r="V274" s="74"/>
      <c r="W274" s="75"/>
      <c r="X274" s="57"/>
      <c r="Y274" s="74"/>
      <c r="Z274" s="75"/>
      <c r="AA274" s="57"/>
      <c r="AB274" s="74"/>
      <c r="AC274" s="75"/>
      <c r="AD274" s="57"/>
      <c r="AE274" s="74"/>
      <c r="AF274" s="75"/>
      <c r="AG274" s="57"/>
      <c r="AH274" s="74"/>
      <c r="AI274" s="75"/>
      <c r="AJ274" s="57"/>
      <c r="AK274" s="74"/>
      <c r="AL274" s="75"/>
      <c r="AM274" s="57"/>
      <c r="AN274" s="74"/>
      <c r="AO274" s="242"/>
      <c r="AP274" s="48"/>
      <c r="AQ274" s="48"/>
      <c r="AR274" s="48"/>
      <c r="AS274" s="48"/>
      <c r="AT274" s="48"/>
      <c r="AU274" s="48"/>
      <c r="AV274" s="48"/>
      <c r="AW274" s="48"/>
      <c r="AX274" s="48"/>
      <c r="AY274" s="48"/>
      <c r="AZ274" s="48"/>
      <c r="BA274" s="48"/>
      <c r="BB274" s="48"/>
      <c r="BC274" s="48"/>
      <c r="BD274" s="48"/>
      <c r="BE274" s="48"/>
      <c r="BF274" s="48"/>
      <c r="BG274" s="48"/>
      <c r="BH274" s="48"/>
      <c r="BI274" s="48"/>
    </row>
    <row r="275" ht="15.75" customHeight="1">
      <c r="A275" s="41" t="str">
        <f t="shared" si="5"/>
        <v>CarrosserieServices extérieurs</v>
      </c>
      <c r="B275" s="96" t="s">
        <v>133</v>
      </c>
      <c r="C275" s="53"/>
      <c r="D275" s="100"/>
      <c r="E275" s="91"/>
      <c r="F275" s="53"/>
      <c r="G275" s="100"/>
      <c r="H275" s="91"/>
      <c r="I275" s="53"/>
      <c r="J275" s="100"/>
      <c r="K275" s="91"/>
      <c r="L275" s="53"/>
      <c r="M275" s="100"/>
      <c r="N275" s="91"/>
      <c r="O275" s="53"/>
      <c r="P275" s="100"/>
      <c r="Q275" s="91"/>
      <c r="R275" s="53"/>
      <c r="S275" s="100"/>
      <c r="T275" s="91"/>
      <c r="U275" s="53"/>
      <c r="V275" s="100"/>
      <c r="W275" s="91"/>
      <c r="X275" s="53"/>
      <c r="Y275" s="100"/>
      <c r="Z275" s="91"/>
      <c r="AA275" s="53"/>
      <c r="AB275" s="100"/>
      <c r="AC275" s="91"/>
      <c r="AD275" s="53"/>
      <c r="AE275" s="100"/>
      <c r="AF275" s="91"/>
      <c r="AG275" s="53"/>
      <c r="AH275" s="100"/>
      <c r="AI275" s="91"/>
      <c r="AJ275" s="53"/>
      <c r="AK275" s="100"/>
      <c r="AL275" s="91"/>
      <c r="AM275" s="53"/>
      <c r="AN275" s="100"/>
      <c r="AO275" s="243"/>
      <c r="AP275" s="48"/>
      <c r="AQ275" s="48"/>
      <c r="AR275" s="48"/>
      <c r="AS275" s="48"/>
      <c r="AT275" s="48"/>
      <c r="AU275" s="48"/>
      <c r="AV275" s="48"/>
      <c r="AW275" s="48"/>
      <c r="AX275" s="48"/>
      <c r="AY275" s="48"/>
      <c r="AZ275" s="48"/>
      <c r="BA275" s="48"/>
      <c r="BB275" s="48"/>
      <c r="BC275" s="48"/>
      <c r="BD275" s="48"/>
      <c r="BE275" s="48"/>
      <c r="BF275" s="48"/>
      <c r="BG275" s="48"/>
      <c r="BH275" s="48"/>
      <c r="BI275" s="48"/>
    </row>
    <row r="276" ht="15.75" customHeight="1">
      <c r="A276" s="41" t="str">
        <f t="shared" si="5"/>
        <v>CarrosserieFournitures d'atelier</v>
      </c>
      <c r="B276" s="96" t="s">
        <v>173</v>
      </c>
      <c r="C276" s="57"/>
      <c r="D276" s="74"/>
      <c r="E276" s="75"/>
      <c r="F276" s="57"/>
      <c r="G276" s="74"/>
      <c r="H276" s="75"/>
      <c r="I276" s="57"/>
      <c r="J276" s="74"/>
      <c r="K276" s="75"/>
      <c r="L276" s="57"/>
      <c r="M276" s="74"/>
      <c r="N276" s="75"/>
      <c r="O276" s="57"/>
      <c r="P276" s="74"/>
      <c r="Q276" s="75"/>
      <c r="R276" s="57"/>
      <c r="S276" s="74"/>
      <c r="T276" s="75"/>
      <c r="U276" s="57"/>
      <c r="V276" s="74"/>
      <c r="W276" s="75"/>
      <c r="X276" s="57"/>
      <c r="Y276" s="74"/>
      <c r="Z276" s="75"/>
      <c r="AA276" s="57"/>
      <c r="AB276" s="74"/>
      <c r="AC276" s="75"/>
      <c r="AD276" s="57"/>
      <c r="AE276" s="74"/>
      <c r="AF276" s="75"/>
      <c r="AG276" s="57"/>
      <c r="AH276" s="74"/>
      <c r="AI276" s="75"/>
      <c r="AJ276" s="57"/>
      <c r="AK276" s="74"/>
      <c r="AL276" s="75"/>
      <c r="AM276" s="57"/>
      <c r="AN276" s="74"/>
      <c r="AO276" s="242"/>
      <c r="AP276" s="48"/>
      <c r="AQ276" s="48"/>
      <c r="AR276" s="48"/>
      <c r="AS276" s="48"/>
      <c r="AT276" s="48"/>
      <c r="AU276" s="48"/>
      <c r="AV276" s="48"/>
      <c r="AW276" s="48"/>
      <c r="AX276" s="48"/>
      <c r="AY276" s="48"/>
      <c r="AZ276" s="48"/>
      <c r="BA276" s="48"/>
      <c r="BB276" s="48"/>
      <c r="BC276" s="48"/>
      <c r="BD276" s="48"/>
      <c r="BE276" s="48"/>
      <c r="BF276" s="48"/>
      <c r="BG276" s="48"/>
      <c r="BH276" s="48"/>
      <c r="BI276" s="48"/>
    </row>
    <row r="277" ht="15.75" customHeight="1">
      <c r="A277" s="41" t="str">
        <f t="shared" si="5"/>
        <v>CarrosserieFournitures autres</v>
      </c>
      <c r="B277" s="150" t="s">
        <v>134</v>
      </c>
      <c r="C277" s="57"/>
      <c r="D277" s="74"/>
      <c r="E277" s="75"/>
      <c r="F277" s="57"/>
      <c r="G277" s="74"/>
      <c r="H277" s="75"/>
      <c r="I277" s="57"/>
      <c r="J277" s="74"/>
      <c r="K277" s="75"/>
      <c r="L277" s="57"/>
      <c r="M277" s="74"/>
      <c r="N277" s="75"/>
      <c r="O277" s="57"/>
      <c r="P277" s="74"/>
      <c r="Q277" s="75"/>
      <c r="R277" s="57"/>
      <c r="S277" s="74"/>
      <c r="T277" s="75"/>
      <c r="U277" s="57"/>
      <c r="V277" s="74"/>
      <c r="W277" s="75"/>
      <c r="X277" s="57"/>
      <c r="Y277" s="74"/>
      <c r="Z277" s="75"/>
      <c r="AA277" s="57"/>
      <c r="AB277" s="74"/>
      <c r="AC277" s="75"/>
      <c r="AD277" s="57"/>
      <c r="AE277" s="74"/>
      <c r="AF277" s="75"/>
      <c r="AG277" s="57"/>
      <c r="AH277" s="74"/>
      <c r="AI277" s="75"/>
      <c r="AJ277" s="57"/>
      <c r="AK277" s="74"/>
      <c r="AL277" s="75"/>
      <c r="AM277" s="57"/>
      <c r="AN277" s="74"/>
      <c r="AO277" s="242"/>
      <c r="AP277" s="48"/>
      <c r="AQ277" s="48"/>
      <c r="AR277" s="48"/>
      <c r="AS277" s="48"/>
      <c r="AT277" s="48"/>
      <c r="AU277" s="48"/>
      <c r="AV277" s="48"/>
      <c r="AW277" s="48"/>
      <c r="AX277" s="48"/>
      <c r="AY277" s="48"/>
      <c r="AZ277" s="48"/>
      <c r="BA277" s="48"/>
      <c r="BB277" s="48"/>
      <c r="BC277" s="48"/>
      <c r="BD277" s="48"/>
      <c r="BE277" s="48"/>
      <c r="BF277" s="48"/>
      <c r="BG277" s="48"/>
      <c r="BH277" s="48"/>
      <c r="BI277" s="48"/>
    </row>
    <row r="278" ht="15.75" customHeight="1">
      <c r="A278" s="41" t="str">
        <f t="shared" si="5"/>
        <v>CarrosserieUniformes</v>
      </c>
      <c r="B278" s="96" t="s">
        <v>135</v>
      </c>
      <c r="C278" s="57"/>
      <c r="D278" s="74"/>
      <c r="E278" s="75"/>
      <c r="F278" s="57"/>
      <c r="G278" s="74"/>
      <c r="H278" s="75"/>
      <c r="I278" s="57"/>
      <c r="J278" s="74"/>
      <c r="K278" s="75"/>
      <c r="L278" s="57"/>
      <c r="M278" s="74"/>
      <c r="N278" s="75"/>
      <c r="O278" s="57"/>
      <c r="P278" s="74"/>
      <c r="Q278" s="75"/>
      <c r="R278" s="57"/>
      <c r="S278" s="74"/>
      <c r="T278" s="75"/>
      <c r="U278" s="57"/>
      <c r="V278" s="74"/>
      <c r="W278" s="75"/>
      <c r="X278" s="57"/>
      <c r="Y278" s="74"/>
      <c r="Z278" s="75"/>
      <c r="AA278" s="57"/>
      <c r="AB278" s="74"/>
      <c r="AC278" s="75"/>
      <c r="AD278" s="57"/>
      <c r="AE278" s="74"/>
      <c r="AF278" s="75"/>
      <c r="AG278" s="57"/>
      <c r="AH278" s="74"/>
      <c r="AI278" s="75"/>
      <c r="AJ278" s="57"/>
      <c r="AK278" s="74"/>
      <c r="AL278" s="75"/>
      <c r="AM278" s="57"/>
      <c r="AN278" s="74"/>
      <c r="AO278" s="242"/>
      <c r="AP278" s="48"/>
      <c r="AQ278" s="48"/>
      <c r="AR278" s="48"/>
      <c r="AS278" s="48"/>
      <c r="AT278" s="48"/>
      <c r="AU278" s="48"/>
      <c r="AV278" s="48"/>
      <c r="AW278" s="48"/>
      <c r="AX278" s="48"/>
      <c r="AY278" s="48"/>
      <c r="AZ278" s="48"/>
      <c r="BA278" s="48"/>
      <c r="BB278" s="48"/>
      <c r="BC278" s="48"/>
      <c r="BD278" s="48"/>
      <c r="BE278" s="48"/>
      <c r="BF278" s="48"/>
      <c r="BG278" s="48"/>
      <c r="BH278" s="48"/>
      <c r="BI278" s="48"/>
    </row>
    <row r="279" ht="15.75" customHeight="1">
      <c r="A279" s="41" t="str">
        <f t="shared" si="5"/>
        <v>CarrosseriePapeterie</v>
      </c>
      <c r="B279" s="96" t="s">
        <v>136</v>
      </c>
      <c r="C279" s="57"/>
      <c r="D279" s="74"/>
      <c r="E279" s="75"/>
      <c r="F279" s="57"/>
      <c r="G279" s="74"/>
      <c r="H279" s="75"/>
      <c r="I279" s="57"/>
      <c r="J279" s="74"/>
      <c r="K279" s="75"/>
      <c r="L279" s="57"/>
      <c r="M279" s="74"/>
      <c r="N279" s="75"/>
      <c r="O279" s="57"/>
      <c r="P279" s="74"/>
      <c r="Q279" s="75"/>
      <c r="R279" s="57"/>
      <c r="S279" s="74"/>
      <c r="T279" s="75"/>
      <c r="U279" s="57"/>
      <c r="V279" s="74"/>
      <c r="W279" s="75"/>
      <c r="X279" s="57"/>
      <c r="Y279" s="74"/>
      <c r="Z279" s="75"/>
      <c r="AA279" s="57"/>
      <c r="AB279" s="74"/>
      <c r="AC279" s="75"/>
      <c r="AD279" s="57"/>
      <c r="AE279" s="74"/>
      <c r="AF279" s="75"/>
      <c r="AG279" s="57"/>
      <c r="AH279" s="74"/>
      <c r="AI279" s="75"/>
      <c r="AJ279" s="57"/>
      <c r="AK279" s="74"/>
      <c r="AL279" s="75"/>
      <c r="AM279" s="57"/>
      <c r="AN279" s="74"/>
      <c r="AO279" s="242"/>
      <c r="AP279" s="48"/>
      <c r="AQ279" s="48"/>
      <c r="AR279" s="48"/>
      <c r="AS279" s="48"/>
      <c r="AT279" s="48"/>
      <c r="AU279" s="48"/>
      <c r="AV279" s="48"/>
      <c r="AW279" s="48"/>
      <c r="AX279" s="48"/>
      <c r="AY279" s="48"/>
      <c r="AZ279" s="48"/>
      <c r="BA279" s="48"/>
      <c r="BB279" s="48"/>
      <c r="BC279" s="48"/>
      <c r="BD279" s="48"/>
      <c r="BE279" s="48"/>
      <c r="BF279" s="48"/>
      <c r="BG279" s="48"/>
      <c r="BH279" s="48"/>
      <c r="BI279" s="48"/>
    </row>
    <row r="280" ht="15.75" customHeight="1">
      <c r="A280" s="41" t="str">
        <f t="shared" si="5"/>
        <v>CarrosserieTéléphone</v>
      </c>
      <c r="B280" s="96" t="s">
        <v>137</v>
      </c>
      <c r="C280" s="57"/>
      <c r="D280" s="74"/>
      <c r="E280" s="75"/>
      <c r="F280" s="57"/>
      <c r="G280" s="74"/>
      <c r="H280" s="75"/>
      <c r="I280" s="57"/>
      <c r="J280" s="74"/>
      <c r="K280" s="75"/>
      <c r="L280" s="57"/>
      <c r="M280" s="74"/>
      <c r="N280" s="75"/>
      <c r="O280" s="57"/>
      <c r="P280" s="74"/>
      <c r="Q280" s="75"/>
      <c r="R280" s="57"/>
      <c r="S280" s="74"/>
      <c r="T280" s="75"/>
      <c r="U280" s="57"/>
      <c r="V280" s="74"/>
      <c r="W280" s="75"/>
      <c r="X280" s="57"/>
      <c r="Y280" s="74"/>
      <c r="Z280" s="75"/>
      <c r="AA280" s="57"/>
      <c r="AB280" s="74"/>
      <c r="AC280" s="75"/>
      <c r="AD280" s="57"/>
      <c r="AE280" s="74"/>
      <c r="AF280" s="75"/>
      <c r="AG280" s="57"/>
      <c r="AH280" s="74"/>
      <c r="AI280" s="75"/>
      <c r="AJ280" s="57"/>
      <c r="AK280" s="74"/>
      <c r="AL280" s="75"/>
      <c r="AM280" s="57"/>
      <c r="AN280" s="74"/>
      <c r="AO280" s="242"/>
      <c r="AP280" s="48"/>
      <c r="AQ280" s="48"/>
      <c r="AR280" s="48"/>
      <c r="AS280" s="48"/>
      <c r="AT280" s="48"/>
      <c r="AU280" s="48"/>
      <c r="AV280" s="48"/>
      <c r="AW280" s="48"/>
      <c r="AX280" s="48"/>
      <c r="AY280" s="48"/>
      <c r="AZ280" s="48"/>
      <c r="BA280" s="48"/>
      <c r="BB280" s="48"/>
      <c r="BC280" s="48"/>
      <c r="BD280" s="48"/>
      <c r="BE280" s="48"/>
      <c r="BF280" s="48"/>
      <c r="BG280" s="48"/>
      <c r="BH280" s="48"/>
      <c r="BI280" s="48"/>
    </row>
    <row r="281" ht="15.75" customHeight="1">
      <c r="A281" s="41" t="str">
        <f t="shared" si="5"/>
        <v>CarrosserieFrais postaux</v>
      </c>
      <c r="B281" s="96" t="s">
        <v>138</v>
      </c>
      <c r="C281" s="57"/>
      <c r="D281" s="74"/>
      <c r="E281" s="75"/>
      <c r="F281" s="57"/>
      <c r="G281" s="74"/>
      <c r="H281" s="75"/>
      <c r="I281" s="57"/>
      <c r="J281" s="74"/>
      <c r="K281" s="75"/>
      <c r="L281" s="57"/>
      <c r="M281" s="74"/>
      <c r="N281" s="75"/>
      <c r="O281" s="57"/>
      <c r="P281" s="74"/>
      <c r="Q281" s="75"/>
      <c r="R281" s="57"/>
      <c r="S281" s="74"/>
      <c r="T281" s="75"/>
      <c r="U281" s="57"/>
      <c r="V281" s="74"/>
      <c r="W281" s="75"/>
      <c r="X281" s="57"/>
      <c r="Y281" s="74"/>
      <c r="Z281" s="75"/>
      <c r="AA281" s="57"/>
      <c r="AB281" s="74"/>
      <c r="AC281" s="75"/>
      <c r="AD281" s="57"/>
      <c r="AE281" s="74"/>
      <c r="AF281" s="75"/>
      <c r="AG281" s="57"/>
      <c r="AH281" s="74"/>
      <c r="AI281" s="75"/>
      <c r="AJ281" s="57"/>
      <c r="AK281" s="74"/>
      <c r="AL281" s="75"/>
      <c r="AM281" s="57"/>
      <c r="AN281" s="74"/>
      <c r="AO281" s="242"/>
      <c r="AP281" s="48"/>
      <c r="AQ281" s="48"/>
      <c r="AR281" s="48"/>
      <c r="AS281" s="48"/>
      <c r="AT281" s="48"/>
      <c r="AU281" s="48"/>
      <c r="AV281" s="48"/>
      <c r="AW281" s="48"/>
      <c r="AX281" s="48"/>
      <c r="AY281" s="48"/>
      <c r="AZ281" s="48"/>
      <c r="BA281" s="48"/>
      <c r="BB281" s="48"/>
      <c r="BC281" s="48"/>
      <c r="BD281" s="48"/>
      <c r="BE281" s="48"/>
      <c r="BF281" s="48"/>
      <c r="BG281" s="48"/>
      <c r="BH281" s="48"/>
      <c r="BI281" s="48"/>
    </row>
    <row r="282" ht="15.75" customHeight="1">
      <c r="A282" s="41" t="str">
        <f t="shared" si="5"/>
        <v>CarrosserieDivers</v>
      </c>
      <c r="B282" s="96" t="s">
        <v>139</v>
      </c>
      <c r="C282" s="57"/>
      <c r="D282" s="74"/>
      <c r="E282" s="75"/>
      <c r="F282" s="57"/>
      <c r="G282" s="74"/>
      <c r="H282" s="75"/>
      <c r="I282" s="57"/>
      <c r="J282" s="74"/>
      <c r="K282" s="75"/>
      <c r="L282" s="57"/>
      <c r="M282" s="74"/>
      <c r="N282" s="75"/>
      <c r="O282" s="57"/>
      <c r="P282" s="74"/>
      <c r="Q282" s="75"/>
      <c r="R282" s="57"/>
      <c r="S282" s="74"/>
      <c r="T282" s="75"/>
      <c r="U282" s="57"/>
      <c r="V282" s="74"/>
      <c r="W282" s="75"/>
      <c r="X282" s="57"/>
      <c r="Y282" s="74"/>
      <c r="Z282" s="75"/>
      <c r="AA282" s="57"/>
      <c r="AB282" s="74"/>
      <c r="AC282" s="75"/>
      <c r="AD282" s="57"/>
      <c r="AE282" s="74"/>
      <c r="AF282" s="75"/>
      <c r="AG282" s="57"/>
      <c r="AH282" s="74"/>
      <c r="AI282" s="75"/>
      <c r="AJ282" s="57"/>
      <c r="AK282" s="74"/>
      <c r="AL282" s="75"/>
      <c r="AM282" s="57"/>
      <c r="AN282" s="74"/>
      <c r="AO282" s="242"/>
      <c r="AP282" s="48"/>
      <c r="AQ282" s="48"/>
      <c r="AR282" s="48"/>
      <c r="AS282" s="48"/>
      <c r="AT282" s="48"/>
      <c r="AU282" s="48"/>
      <c r="AV282" s="48"/>
      <c r="AW282" s="48"/>
      <c r="AX282" s="48"/>
      <c r="AY282" s="48"/>
      <c r="AZ282" s="48"/>
      <c r="BA282" s="48"/>
      <c r="BB282" s="48"/>
      <c r="BC282" s="48"/>
      <c r="BD282" s="48"/>
      <c r="BE282" s="48"/>
      <c r="BF282" s="48"/>
      <c r="BG282" s="48"/>
      <c r="BH282" s="48"/>
      <c r="BI282" s="48"/>
    </row>
    <row r="283" ht="15.75" customHeight="1">
      <c r="A283" s="41" t="str">
        <f t="shared" si="5"/>
        <v>CarrosserieFormation</v>
      </c>
      <c r="B283" s="96" t="s">
        <v>140</v>
      </c>
      <c r="C283" s="57"/>
      <c r="D283" s="74"/>
      <c r="E283" s="75"/>
      <c r="F283" s="57"/>
      <c r="G283" s="74"/>
      <c r="H283" s="75"/>
      <c r="I283" s="57"/>
      <c r="J283" s="74"/>
      <c r="K283" s="75"/>
      <c r="L283" s="57"/>
      <c r="M283" s="74"/>
      <c r="N283" s="75"/>
      <c r="O283" s="57"/>
      <c r="P283" s="74"/>
      <c r="Q283" s="75"/>
      <c r="R283" s="57"/>
      <c r="S283" s="74"/>
      <c r="T283" s="75"/>
      <c r="U283" s="57"/>
      <c r="V283" s="74"/>
      <c r="W283" s="75"/>
      <c r="X283" s="57"/>
      <c r="Y283" s="74"/>
      <c r="Z283" s="75"/>
      <c r="AA283" s="57"/>
      <c r="AB283" s="74"/>
      <c r="AC283" s="75"/>
      <c r="AD283" s="57"/>
      <c r="AE283" s="74"/>
      <c r="AF283" s="75"/>
      <c r="AG283" s="57"/>
      <c r="AH283" s="74"/>
      <c r="AI283" s="75"/>
      <c r="AJ283" s="57"/>
      <c r="AK283" s="74"/>
      <c r="AL283" s="75"/>
      <c r="AM283" s="57"/>
      <c r="AN283" s="74"/>
      <c r="AO283" s="242"/>
      <c r="AP283" s="48"/>
      <c r="AQ283" s="48"/>
      <c r="AR283" s="48"/>
      <c r="AS283" s="48"/>
      <c r="AT283" s="48"/>
      <c r="AU283" s="48"/>
      <c r="AV283" s="48"/>
      <c r="AW283" s="48"/>
      <c r="AX283" s="48"/>
      <c r="AY283" s="48"/>
      <c r="AZ283" s="48"/>
      <c r="BA283" s="48"/>
      <c r="BB283" s="48"/>
      <c r="BC283" s="48"/>
      <c r="BD283" s="48"/>
      <c r="BE283" s="48"/>
      <c r="BF283" s="48"/>
      <c r="BG283" s="48"/>
      <c r="BH283" s="48"/>
      <c r="BI283" s="48"/>
    </row>
    <row r="284" ht="15.75" customHeight="1">
      <c r="A284" s="41" t="str">
        <f t="shared" si="5"/>
        <v>CarrosserieFrais bancaires</v>
      </c>
      <c r="B284" s="96" t="s">
        <v>141</v>
      </c>
      <c r="C284" s="57"/>
      <c r="D284" s="74"/>
      <c r="E284" s="75"/>
      <c r="F284" s="57"/>
      <c r="G284" s="74"/>
      <c r="H284" s="75"/>
      <c r="I284" s="57"/>
      <c r="J284" s="74"/>
      <c r="K284" s="75"/>
      <c r="L284" s="57"/>
      <c r="M284" s="74"/>
      <c r="N284" s="75"/>
      <c r="O284" s="57"/>
      <c r="P284" s="74"/>
      <c r="Q284" s="75"/>
      <c r="R284" s="57"/>
      <c r="S284" s="74"/>
      <c r="T284" s="75"/>
      <c r="U284" s="57"/>
      <c r="V284" s="74"/>
      <c r="W284" s="75"/>
      <c r="X284" s="57"/>
      <c r="Y284" s="74"/>
      <c r="Z284" s="75"/>
      <c r="AA284" s="57"/>
      <c r="AB284" s="74"/>
      <c r="AC284" s="75"/>
      <c r="AD284" s="57"/>
      <c r="AE284" s="74"/>
      <c r="AF284" s="75"/>
      <c r="AG284" s="57"/>
      <c r="AH284" s="74"/>
      <c r="AI284" s="75"/>
      <c r="AJ284" s="57"/>
      <c r="AK284" s="74"/>
      <c r="AL284" s="75"/>
      <c r="AM284" s="57"/>
      <c r="AN284" s="74"/>
      <c r="AO284" s="242"/>
      <c r="AP284" s="48"/>
      <c r="AQ284" s="48"/>
      <c r="AR284" s="48"/>
      <c r="AS284" s="48"/>
      <c r="AT284" s="48"/>
      <c r="AU284" s="48"/>
      <c r="AV284" s="48"/>
      <c r="AW284" s="48"/>
      <c r="AX284" s="48"/>
      <c r="AY284" s="48"/>
      <c r="AZ284" s="48"/>
      <c r="BA284" s="48"/>
      <c r="BB284" s="48"/>
      <c r="BC284" s="48"/>
      <c r="BD284" s="48"/>
      <c r="BE284" s="48"/>
      <c r="BF284" s="48"/>
      <c r="BG284" s="48"/>
      <c r="BH284" s="48"/>
      <c r="BI284" s="48"/>
    </row>
    <row r="285" ht="20.25" customHeight="1">
      <c r="A285" s="41" t="str">
        <f t="shared" si="5"/>
        <v>Carrosserie[...]</v>
      </c>
      <c r="B285" s="96" t="s">
        <v>56</v>
      </c>
      <c r="C285" s="57"/>
      <c r="D285" s="74"/>
      <c r="E285" s="75"/>
      <c r="F285" s="57"/>
      <c r="G285" s="74"/>
      <c r="H285" s="75"/>
      <c r="I285" s="57"/>
      <c r="J285" s="74"/>
      <c r="K285" s="75"/>
      <c r="L285" s="57"/>
      <c r="M285" s="74"/>
      <c r="N285" s="75"/>
      <c r="O285" s="57"/>
      <c r="P285" s="74"/>
      <c r="Q285" s="75"/>
      <c r="R285" s="57"/>
      <c r="S285" s="74"/>
      <c r="T285" s="75"/>
      <c r="U285" s="57"/>
      <c r="V285" s="74"/>
      <c r="W285" s="75"/>
      <c r="X285" s="57"/>
      <c r="Y285" s="74"/>
      <c r="Z285" s="75"/>
      <c r="AA285" s="57"/>
      <c r="AB285" s="74"/>
      <c r="AC285" s="75"/>
      <c r="AD285" s="57"/>
      <c r="AE285" s="74"/>
      <c r="AF285" s="75"/>
      <c r="AG285" s="57"/>
      <c r="AH285" s="74"/>
      <c r="AI285" s="75"/>
      <c r="AJ285" s="57"/>
      <c r="AK285" s="74"/>
      <c r="AL285" s="75"/>
      <c r="AM285" s="57"/>
      <c r="AN285" s="74"/>
      <c r="AO285" s="75"/>
      <c r="AP285" s="48"/>
      <c r="AQ285" s="48"/>
      <c r="AR285" s="48"/>
      <c r="AS285" s="48"/>
      <c r="AT285" s="48"/>
      <c r="AU285" s="48"/>
      <c r="AV285" s="48"/>
      <c r="AW285" s="48"/>
      <c r="AX285" s="48"/>
      <c r="AY285" s="48"/>
      <c r="AZ285" s="48"/>
      <c r="BA285" s="48"/>
      <c r="BB285" s="48"/>
      <c r="BC285" s="48"/>
      <c r="BD285" s="48"/>
      <c r="BE285" s="48"/>
      <c r="BF285" s="48"/>
      <c r="BG285" s="48"/>
      <c r="BH285" s="48"/>
      <c r="BI285" s="48"/>
    </row>
    <row r="286" ht="20.25" customHeight="1">
      <c r="A286" s="41" t="str">
        <f t="shared" si="5"/>
        <v>Carrosserie[...]</v>
      </c>
      <c r="B286" s="96" t="s">
        <v>56</v>
      </c>
      <c r="C286" s="57"/>
      <c r="D286" s="74"/>
      <c r="E286" s="75"/>
      <c r="F286" s="57"/>
      <c r="G286" s="74"/>
      <c r="H286" s="75"/>
      <c r="I286" s="57"/>
      <c r="J286" s="74"/>
      <c r="K286" s="75"/>
      <c r="L286" s="57"/>
      <c r="M286" s="74"/>
      <c r="N286" s="75"/>
      <c r="O286" s="57"/>
      <c r="P286" s="74"/>
      <c r="Q286" s="75"/>
      <c r="R286" s="57"/>
      <c r="S286" s="74"/>
      <c r="T286" s="75"/>
      <c r="U286" s="57"/>
      <c r="V286" s="74"/>
      <c r="W286" s="75"/>
      <c r="X286" s="57"/>
      <c r="Y286" s="74"/>
      <c r="Z286" s="75"/>
      <c r="AA286" s="57"/>
      <c r="AB286" s="74"/>
      <c r="AC286" s="75"/>
      <c r="AD286" s="57"/>
      <c r="AE286" s="74"/>
      <c r="AF286" s="75"/>
      <c r="AG286" s="57"/>
      <c r="AH286" s="74"/>
      <c r="AI286" s="75"/>
      <c r="AJ286" s="57"/>
      <c r="AK286" s="74"/>
      <c r="AL286" s="75"/>
      <c r="AM286" s="57"/>
      <c r="AN286" s="74"/>
      <c r="AO286" s="75"/>
      <c r="AP286" s="48"/>
      <c r="AQ286" s="48"/>
      <c r="AR286" s="48"/>
      <c r="AS286" s="48"/>
      <c r="AT286" s="48"/>
      <c r="AU286" s="48"/>
      <c r="AV286" s="48"/>
      <c r="AW286" s="48"/>
      <c r="AX286" s="48"/>
      <c r="AY286" s="48"/>
      <c r="AZ286" s="48"/>
      <c r="BA286" s="48"/>
      <c r="BB286" s="48"/>
      <c r="BC286" s="48"/>
      <c r="BD286" s="48"/>
      <c r="BE286" s="48"/>
      <c r="BF286" s="48"/>
      <c r="BG286" s="48"/>
      <c r="BH286" s="48"/>
      <c r="BI286" s="48"/>
    </row>
    <row r="287" ht="20.25" customHeight="1">
      <c r="A287" s="41" t="str">
        <f t="shared" si="5"/>
        <v>Carrosserie[...]</v>
      </c>
      <c r="B287" s="96" t="s">
        <v>56</v>
      </c>
      <c r="C287" s="57"/>
      <c r="D287" s="74"/>
      <c r="E287" s="75"/>
      <c r="F287" s="57"/>
      <c r="G287" s="74"/>
      <c r="H287" s="75"/>
      <c r="I287" s="57"/>
      <c r="J287" s="74"/>
      <c r="K287" s="75"/>
      <c r="L287" s="57"/>
      <c r="M287" s="74"/>
      <c r="N287" s="75"/>
      <c r="O287" s="57"/>
      <c r="P287" s="74"/>
      <c r="Q287" s="75"/>
      <c r="R287" s="57"/>
      <c r="S287" s="74"/>
      <c r="T287" s="75"/>
      <c r="U287" s="57"/>
      <c r="V287" s="74"/>
      <c r="W287" s="75"/>
      <c r="X287" s="57"/>
      <c r="Y287" s="74"/>
      <c r="Z287" s="75"/>
      <c r="AA287" s="57"/>
      <c r="AB287" s="74"/>
      <c r="AC287" s="75"/>
      <c r="AD287" s="57"/>
      <c r="AE287" s="74"/>
      <c r="AF287" s="75"/>
      <c r="AG287" s="57"/>
      <c r="AH287" s="74"/>
      <c r="AI287" s="75"/>
      <c r="AJ287" s="57"/>
      <c r="AK287" s="74"/>
      <c r="AL287" s="75"/>
      <c r="AM287" s="57"/>
      <c r="AN287" s="74"/>
      <c r="AO287" s="75"/>
      <c r="AP287" s="48"/>
      <c r="AQ287" s="48"/>
      <c r="AR287" s="48"/>
      <c r="AS287" s="48"/>
      <c r="AT287" s="48"/>
      <c r="AU287" s="48"/>
      <c r="AV287" s="48"/>
      <c r="AW287" s="48"/>
      <c r="AX287" s="48"/>
      <c r="AY287" s="48"/>
      <c r="AZ287" s="48"/>
      <c r="BA287" s="48"/>
      <c r="BB287" s="48"/>
      <c r="BC287" s="48"/>
      <c r="BD287" s="48"/>
      <c r="BE287" s="48"/>
      <c r="BF287" s="48"/>
      <c r="BG287" s="48"/>
      <c r="BH287" s="48"/>
      <c r="BI287" s="48"/>
    </row>
    <row r="288" ht="15.75" customHeight="1">
      <c r="A288" s="41" t="str">
        <f t="shared" si="5"/>
        <v>CarrosserieTOTAL SEMI-FIXES</v>
      </c>
      <c r="B288" s="151" t="s">
        <v>142</v>
      </c>
      <c r="C288" s="93"/>
      <c r="D288" s="94"/>
      <c r="E288" s="95"/>
      <c r="F288" s="93"/>
      <c r="G288" s="94"/>
      <c r="H288" s="95"/>
      <c r="I288" s="93"/>
      <c r="J288" s="94"/>
      <c r="K288" s="95"/>
      <c r="L288" s="93"/>
      <c r="M288" s="94"/>
      <c r="N288" s="95"/>
      <c r="O288" s="93"/>
      <c r="P288" s="94"/>
      <c r="Q288" s="95"/>
      <c r="R288" s="93"/>
      <c r="S288" s="94"/>
      <c r="T288" s="95"/>
      <c r="U288" s="93"/>
      <c r="V288" s="94"/>
      <c r="W288" s="95"/>
      <c r="X288" s="93"/>
      <c r="Y288" s="94"/>
      <c r="Z288" s="95"/>
      <c r="AA288" s="93"/>
      <c r="AB288" s="94"/>
      <c r="AC288" s="95"/>
      <c r="AD288" s="93"/>
      <c r="AE288" s="94"/>
      <c r="AF288" s="95"/>
      <c r="AG288" s="93"/>
      <c r="AH288" s="94"/>
      <c r="AI288" s="95"/>
      <c r="AJ288" s="93"/>
      <c r="AK288" s="94"/>
      <c r="AL288" s="95"/>
      <c r="AM288" s="93"/>
      <c r="AN288" s="94"/>
      <c r="AO288" s="95"/>
      <c r="AP288" s="48"/>
      <c r="AQ288" s="48"/>
      <c r="AR288" s="48"/>
      <c r="AS288" s="48"/>
      <c r="AT288" s="48"/>
      <c r="AU288" s="48"/>
      <c r="AV288" s="48"/>
      <c r="AW288" s="48"/>
      <c r="AX288" s="48"/>
      <c r="AY288" s="48"/>
      <c r="AZ288" s="48"/>
      <c r="BA288" s="48"/>
      <c r="BB288" s="48"/>
      <c r="BC288" s="48"/>
      <c r="BD288" s="48"/>
      <c r="BE288" s="48"/>
      <c r="BF288" s="48"/>
      <c r="BG288" s="48"/>
      <c r="BH288" s="48"/>
      <c r="BI288" s="48"/>
    </row>
    <row r="289" ht="15.75" customHeight="1">
      <c r="A289" s="41" t="str">
        <f t="shared" si="5"/>
        <v>Carrosserie</v>
      </c>
      <c r="B289" s="53"/>
      <c r="C289" s="53"/>
      <c r="D289" s="100"/>
      <c r="E289" s="91"/>
      <c r="F289" s="53"/>
      <c r="G289" s="100"/>
      <c r="H289" s="91"/>
      <c r="I289" s="53"/>
      <c r="J289" s="100"/>
      <c r="K289" s="91"/>
      <c r="L289" s="53"/>
      <c r="M289" s="100"/>
      <c r="N289" s="91"/>
      <c r="O289" s="53"/>
      <c r="P289" s="100"/>
      <c r="Q289" s="91"/>
      <c r="R289" s="53"/>
      <c r="S289" s="100"/>
      <c r="T289" s="91"/>
      <c r="U289" s="53"/>
      <c r="V289" s="100"/>
      <c r="W289" s="91"/>
      <c r="X289" s="53"/>
      <c r="Y289" s="100"/>
      <c r="Z289" s="91"/>
      <c r="AA289" s="53"/>
      <c r="AB289" s="100"/>
      <c r="AC289" s="91"/>
      <c r="AD289" s="53"/>
      <c r="AE289" s="100"/>
      <c r="AF289" s="91"/>
      <c r="AG289" s="53"/>
      <c r="AH289" s="100"/>
      <c r="AI289" s="91"/>
      <c r="AJ289" s="53"/>
      <c r="AK289" s="100"/>
      <c r="AL289" s="91"/>
      <c r="AM289" s="53"/>
      <c r="AN289" s="100"/>
      <c r="AO289" s="91"/>
      <c r="AP289" s="48"/>
      <c r="AQ289" s="48"/>
      <c r="AR289" s="48"/>
      <c r="AS289" s="48"/>
      <c r="AT289" s="48"/>
      <c r="AU289" s="48"/>
      <c r="AV289" s="48"/>
      <c r="AW289" s="48"/>
      <c r="AX289" s="48"/>
      <c r="AY289" s="48"/>
      <c r="AZ289" s="48"/>
      <c r="BA289" s="48"/>
      <c r="BB289" s="48"/>
      <c r="BC289" s="48"/>
      <c r="BD289" s="48"/>
      <c r="BE289" s="48"/>
      <c r="BF289" s="48"/>
      <c r="BG289" s="48"/>
      <c r="BH289" s="48"/>
      <c r="BI289" s="48"/>
    </row>
    <row r="290" ht="15.75" customHeight="1">
      <c r="A290" s="41" t="str">
        <f t="shared" si="5"/>
        <v>CarrosserieTOTAL DES DÉPENSES</v>
      </c>
      <c r="B290" s="92" t="s">
        <v>143</v>
      </c>
      <c r="C290" s="93"/>
      <c r="D290" s="94"/>
      <c r="E290" s="95"/>
      <c r="F290" s="93"/>
      <c r="G290" s="94"/>
      <c r="H290" s="95"/>
      <c r="I290" s="93"/>
      <c r="J290" s="94"/>
      <c r="K290" s="95"/>
      <c r="L290" s="93"/>
      <c r="M290" s="94"/>
      <c r="N290" s="95"/>
      <c r="O290" s="93"/>
      <c r="P290" s="94"/>
      <c r="Q290" s="95"/>
      <c r="R290" s="93"/>
      <c r="S290" s="94"/>
      <c r="T290" s="95"/>
      <c r="U290" s="93"/>
      <c r="V290" s="94"/>
      <c r="W290" s="95"/>
      <c r="X290" s="93"/>
      <c r="Y290" s="94"/>
      <c r="Z290" s="95"/>
      <c r="AA290" s="93"/>
      <c r="AB290" s="94"/>
      <c r="AC290" s="95"/>
      <c r="AD290" s="93"/>
      <c r="AE290" s="94"/>
      <c r="AF290" s="95"/>
      <c r="AG290" s="93"/>
      <c r="AH290" s="94"/>
      <c r="AI290" s="95"/>
      <c r="AJ290" s="93"/>
      <c r="AK290" s="94"/>
      <c r="AL290" s="95"/>
      <c r="AM290" s="93"/>
      <c r="AN290" s="94"/>
      <c r="AO290" s="95"/>
      <c r="AP290" s="48"/>
      <c r="AQ290" s="48"/>
      <c r="AR290" s="48"/>
      <c r="AS290" s="48"/>
      <c r="AT290" s="48"/>
      <c r="AU290" s="48"/>
      <c r="AV290" s="48"/>
      <c r="AW290" s="48"/>
      <c r="AX290" s="48"/>
      <c r="AY290" s="48"/>
      <c r="AZ290" s="48"/>
      <c r="BA290" s="48"/>
      <c r="BB290" s="48"/>
      <c r="BC290" s="48"/>
      <c r="BD290" s="48"/>
      <c r="BE290" s="48"/>
      <c r="BF290" s="48"/>
      <c r="BG290" s="48"/>
      <c r="BH290" s="48"/>
      <c r="BI290" s="48"/>
    </row>
    <row r="291" ht="15.75" customHeight="1">
      <c r="A291" s="41" t="str">
        <f t="shared" si="5"/>
        <v>Carrosserie</v>
      </c>
      <c r="B291" s="57"/>
      <c r="C291" s="57"/>
      <c r="D291" s="74"/>
      <c r="E291" s="75"/>
      <c r="F291" s="57"/>
      <c r="G291" s="74"/>
      <c r="H291" s="75"/>
      <c r="I291" s="57"/>
      <c r="J291" s="74"/>
      <c r="K291" s="75"/>
      <c r="L291" s="57"/>
      <c r="M291" s="74"/>
      <c r="N291" s="75"/>
      <c r="O291" s="57"/>
      <c r="P291" s="74"/>
      <c r="Q291" s="75"/>
      <c r="R291" s="57"/>
      <c r="S291" s="74"/>
      <c r="T291" s="75"/>
      <c r="U291" s="57"/>
      <c r="V291" s="74"/>
      <c r="W291" s="75"/>
      <c r="X291" s="57"/>
      <c r="Y291" s="74"/>
      <c r="Z291" s="75"/>
      <c r="AA291" s="57"/>
      <c r="AB291" s="74"/>
      <c r="AC291" s="75"/>
      <c r="AD291" s="57"/>
      <c r="AE291" s="74"/>
      <c r="AF291" s="75"/>
      <c r="AG291" s="57"/>
      <c r="AH291" s="74"/>
      <c r="AI291" s="75"/>
      <c r="AJ291" s="57"/>
      <c r="AK291" s="74"/>
      <c r="AL291" s="75"/>
      <c r="AM291" s="57"/>
      <c r="AN291" s="74"/>
      <c r="AO291" s="75"/>
      <c r="AP291" s="48"/>
      <c r="AQ291" s="48"/>
      <c r="AR291" s="48"/>
      <c r="AS291" s="48"/>
      <c r="AT291" s="48"/>
      <c r="AU291" s="48"/>
      <c r="AV291" s="48"/>
      <c r="AW291" s="48"/>
      <c r="AX291" s="48"/>
      <c r="AY291" s="48"/>
      <c r="AZ291" s="48"/>
      <c r="BA291" s="48"/>
      <c r="BB291" s="48"/>
      <c r="BC291" s="48"/>
      <c r="BD291" s="48"/>
      <c r="BE291" s="48"/>
      <c r="BF291" s="48"/>
      <c r="BG291" s="48"/>
      <c r="BH291" s="48"/>
      <c r="BI291" s="48"/>
    </row>
    <row r="292" ht="15.75" customHeight="1">
      <c r="A292" s="41" t="str">
        <f t="shared" si="5"/>
        <v>CarrosseriePROFIT DÉPARTEMENTAL</v>
      </c>
      <c r="B292" s="103" t="s">
        <v>150</v>
      </c>
      <c r="C292" s="103"/>
      <c r="D292" s="124"/>
      <c r="E292" s="106"/>
      <c r="F292" s="103"/>
      <c r="G292" s="124"/>
      <c r="H292" s="106"/>
      <c r="I292" s="103"/>
      <c r="J292" s="124"/>
      <c r="K292" s="106"/>
      <c r="L292" s="103"/>
      <c r="M292" s="124"/>
      <c r="N292" s="106"/>
      <c r="O292" s="103"/>
      <c r="P292" s="124"/>
      <c r="Q292" s="106"/>
      <c r="R292" s="103"/>
      <c r="S292" s="124"/>
      <c r="T292" s="106"/>
      <c r="U292" s="103"/>
      <c r="V292" s="124"/>
      <c r="W292" s="106"/>
      <c r="X292" s="103"/>
      <c r="Y292" s="124"/>
      <c r="Z292" s="106"/>
      <c r="AA292" s="103"/>
      <c r="AB292" s="124"/>
      <c r="AC292" s="106"/>
      <c r="AD292" s="103"/>
      <c r="AE292" s="124"/>
      <c r="AF292" s="106"/>
      <c r="AG292" s="103"/>
      <c r="AH292" s="124"/>
      <c r="AI292" s="106"/>
      <c r="AJ292" s="103"/>
      <c r="AK292" s="124"/>
      <c r="AL292" s="106"/>
      <c r="AM292" s="103"/>
      <c r="AN292" s="124"/>
      <c r="AO292" s="106"/>
      <c r="AP292" s="48"/>
      <c r="AQ292" s="48"/>
      <c r="AR292" s="48"/>
      <c r="AS292" s="48"/>
      <c r="AT292" s="48"/>
      <c r="AU292" s="48"/>
      <c r="AV292" s="48"/>
      <c r="AW292" s="48"/>
      <c r="AX292" s="48"/>
      <c r="AY292" s="48"/>
      <c r="AZ292" s="48"/>
      <c r="BA292" s="48"/>
      <c r="BB292" s="48"/>
      <c r="BC292" s="48"/>
      <c r="BD292" s="48"/>
      <c r="BE292" s="48"/>
      <c r="BF292" s="48"/>
      <c r="BG292" s="48"/>
      <c r="BH292" s="48"/>
      <c r="BI292" s="48"/>
    </row>
    <row r="293" ht="15.75" customHeight="1">
      <c r="A293" s="41"/>
      <c r="B293" s="74"/>
      <c r="C293" s="74"/>
      <c r="D293" s="74"/>
      <c r="E293" s="88"/>
      <c r="F293" s="74"/>
      <c r="G293" s="74"/>
      <c r="H293" s="88"/>
      <c r="I293" s="74"/>
      <c r="J293" s="74"/>
      <c r="K293" s="88"/>
      <c r="L293" s="74"/>
      <c r="M293" s="74"/>
      <c r="N293" s="88"/>
      <c r="O293" s="74"/>
      <c r="P293" s="74"/>
      <c r="Q293" s="88"/>
      <c r="R293" s="74"/>
      <c r="S293" s="74"/>
      <c r="T293" s="88"/>
      <c r="U293" s="74"/>
      <c r="V293" s="74"/>
      <c r="W293" s="88"/>
      <c r="X293" s="74"/>
      <c r="Y293" s="74"/>
      <c r="Z293" s="88"/>
      <c r="AA293" s="74"/>
      <c r="AB293" s="74"/>
      <c r="AC293" s="88"/>
      <c r="AD293" s="74"/>
      <c r="AE293" s="74"/>
      <c r="AF293" s="88"/>
      <c r="AG293" s="74"/>
      <c r="AH293" s="74"/>
      <c r="AI293" s="88"/>
      <c r="AJ293" s="74"/>
      <c r="AK293" s="74"/>
      <c r="AL293" s="88"/>
      <c r="AM293" s="74"/>
      <c r="AN293" s="74"/>
      <c r="AO293" s="88"/>
      <c r="AP293" s="48"/>
      <c r="AQ293" s="48"/>
      <c r="AR293" s="48"/>
      <c r="AS293" s="48"/>
      <c r="AT293" s="48"/>
      <c r="AU293" s="48"/>
      <c r="AV293" s="48"/>
      <c r="AW293" s="48"/>
      <c r="AX293" s="48"/>
      <c r="AY293" s="48"/>
      <c r="AZ293" s="48"/>
      <c r="BA293" s="48"/>
      <c r="BB293" s="48"/>
      <c r="BC293" s="48"/>
      <c r="BD293" s="48"/>
      <c r="BE293" s="48"/>
      <c r="BF293" s="48"/>
      <c r="BG293" s="48"/>
      <c r="BH293" s="48"/>
      <c r="BI293" s="48"/>
    </row>
    <row r="294" ht="15.75" customHeight="1">
      <c r="A294" s="41"/>
      <c r="B294" s="112" t="s">
        <v>220</v>
      </c>
      <c r="C294" s="112" t="s">
        <v>178</v>
      </c>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48"/>
      <c r="AQ294" s="48"/>
      <c r="AR294" s="48"/>
      <c r="AS294" s="48"/>
      <c r="AT294" s="48"/>
      <c r="AU294" s="48"/>
      <c r="AV294" s="48"/>
      <c r="AW294" s="48"/>
      <c r="AX294" s="48"/>
      <c r="AY294" s="48"/>
      <c r="AZ294" s="48"/>
      <c r="BA294" s="48"/>
      <c r="BB294" s="48"/>
      <c r="BC294" s="48"/>
      <c r="BD294" s="48"/>
      <c r="BE294" s="48"/>
      <c r="BF294" s="48"/>
      <c r="BG294" s="48"/>
      <c r="BH294" s="48"/>
      <c r="BI294" s="48"/>
    </row>
    <row r="295" ht="15.75" customHeight="1">
      <c r="A295" s="41"/>
      <c r="B295" s="113"/>
      <c r="C295" s="111"/>
      <c r="D295" s="111"/>
      <c r="E295" s="111"/>
      <c r="F295" s="111"/>
      <c r="G295" s="111"/>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48"/>
      <c r="AQ295" s="48"/>
      <c r="AR295" s="48"/>
      <c r="AS295" s="48"/>
      <c r="AT295" s="48"/>
      <c r="AU295" s="48"/>
      <c r="AV295" s="48"/>
      <c r="AW295" s="48"/>
      <c r="AX295" s="48"/>
      <c r="AY295" s="48"/>
      <c r="AZ295" s="48"/>
      <c r="BA295" s="48"/>
      <c r="BB295" s="48"/>
      <c r="BC295" s="48"/>
      <c r="BD295" s="48"/>
      <c r="BE295" s="48"/>
      <c r="BF295" s="48"/>
      <c r="BG295" s="48"/>
      <c r="BH295" s="48"/>
      <c r="BI295" s="48"/>
    </row>
    <row r="296" ht="15.75" customHeight="1">
      <c r="A296" s="41"/>
      <c r="B296" s="42" t="s">
        <v>2</v>
      </c>
      <c r="C296" s="114">
        <v>2025.0</v>
      </c>
      <c r="D296" s="115"/>
      <c r="E296" s="116"/>
      <c r="F296" s="114" t="s">
        <v>6</v>
      </c>
      <c r="G296" s="115"/>
      <c r="H296" s="116"/>
      <c r="I296" s="114" t="s">
        <v>8</v>
      </c>
      <c r="J296" s="115"/>
      <c r="K296" s="116"/>
      <c r="L296" s="114" t="s">
        <v>9</v>
      </c>
      <c r="M296" s="115"/>
      <c r="N296" s="116"/>
      <c r="O296" s="114" t="s">
        <v>10</v>
      </c>
      <c r="P296" s="115"/>
      <c r="Q296" s="116"/>
      <c r="R296" s="114" t="s">
        <v>11</v>
      </c>
      <c r="S296" s="115"/>
      <c r="T296" s="116"/>
      <c r="U296" s="114" t="s">
        <v>12</v>
      </c>
      <c r="V296" s="115"/>
      <c r="W296" s="116"/>
      <c r="X296" s="114" t="s">
        <v>14</v>
      </c>
      <c r="Y296" s="115"/>
      <c r="Z296" s="116"/>
      <c r="AA296" s="114" t="s">
        <v>92</v>
      </c>
      <c r="AB296" s="115"/>
      <c r="AC296" s="116"/>
      <c r="AD296" s="114" t="s">
        <v>5</v>
      </c>
      <c r="AE296" s="115"/>
      <c r="AF296" s="116"/>
      <c r="AG296" s="114" t="s">
        <v>18</v>
      </c>
      <c r="AH296" s="115"/>
      <c r="AI296" s="116"/>
      <c r="AJ296" s="114" t="s">
        <v>19</v>
      </c>
      <c r="AK296" s="115"/>
      <c r="AL296" s="116"/>
      <c r="AM296" s="114" t="s">
        <v>20</v>
      </c>
      <c r="AN296" s="115"/>
      <c r="AO296" s="116"/>
      <c r="AP296" s="48"/>
      <c r="AQ296" s="48"/>
      <c r="AR296" s="48"/>
      <c r="AS296" s="48"/>
      <c r="AT296" s="48"/>
      <c r="AU296" s="48"/>
      <c r="AV296" s="48"/>
      <c r="AW296" s="48"/>
      <c r="AX296" s="48"/>
      <c r="AY296" s="48"/>
      <c r="AZ296" s="48"/>
      <c r="BA296" s="48"/>
      <c r="BB296" s="48"/>
      <c r="BC296" s="48"/>
      <c r="BD296" s="48"/>
      <c r="BE296" s="48"/>
      <c r="BF296" s="48"/>
      <c r="BG296" s="48"/>
      <c r="BH296" s="48"/>
      <c r="BI296" s="48"/>
    </row>
    <row r="297" ht="15.75" customHeight="1">
      <c r="A297" s="41" t="str">
        <f t="shared" ref="A297:A356" si="6">+$C$294&amp;B297</f>
        <v>Pièces</v>
      </c>
      <c r="B297" s="57"/>
      <c r="C297" s="117" t="s">
        <v>222</v>
      </c>
      <c r="D297" s="86" t="s">
        <v>223</v>
      </c>
      <c r="E297" s="118" t="s">
        <v>95</v>
      </c>
      <c r="F297" s="117" t="s">
        <v>222</v>
      </c>
      <c r="G297" s="86" t="s">
        <v>223</v>
      </c>
      <c r="H297" s="118" t="s">
        <v>95</v>
      </c>
      <c r="I297" s="117" t="s">
        <v>222</v>
      </c>
      <c r="J297" s="86" t="s">
        <v>223</v>
      </c>
      <c r="K297" s="118" t="s">
        <v>95</v>
      </c>
      <c r="L297" s="117" t="s">
        <v>222</v>
      </c>
      <c r="M297" s="86" t="s">
        <v>223</v>
      </c>
      <c r="N297" s="118" t="s">
        <v>95</v>
      </c>
      <c r="O297" s="117" t="s">
        <v>222</v>
      </c>
      <c r="P297" s="86" t="s">
        <v>223</v>
      </c>
      <c r="Q297" s="118" t="s">
        <v>95</v>
      </c>
      <c r="R297" s="117" t="s">
        <v>222</v>
      </c>
      <c r="S297" s="86" t="s">
        <v>223</v>
      </c>
      <c r="T297" s="118" t="s">
        <v>95</v>
      </c>
      <c r="U297" s="117" t="s">
        <v>222</v>
      </c>
      <c r="V297" s="86" t="s">
        <v>223</v>
      </c>
      <c r="W297" s="118" t="s">
        <v>95</v>
      </c>
      <c r="X297" s="117" t="s">
        <v>222</v>
      </c>
      <c r="Y297" s="86" t="s">
        <v>223</v>
      </c>
      <c r="Z297" s="118" t="s">
        <v>95</v>
      </c>
      <c r="AA297" s="117" t="s">
        <v>222</v>
      </c>
      <c r="AB297" s="86" t="s">
        <v>223</v>
      </c>
      <c r="AC297" s="118" t="s">
        <v>95</v>
      </c>
      <c r="AD297" s="117" t="s">
        <v>222</v>
      </c>
      <c r="AE297" s="86" t="s">
        <v>223</v>
      </c>
      <c r="AF297" s="118" t="s">
        <v>95</v>
      </c>
      <c r="AG297" s="117" t="s">
        <v>222</v>
      </c>
      <c r="AH297" s="86" t="s">
        <v>223</v>
      </c>
      <c r="AI297" s="118" t="s">
        <v>95</v>
      </c>
      <c r="AJ297" s="117" t="s">
        <v>222</v>
      </c>
      <c r="AK297" s="86" t="s">
        <v>223</v>
      </c>
      <c r="AL297" s="118" t="s">
        <v>95</v>
      </c>
      <c r="AM297" s="117" t="s">
        <v>222</v>
      </c>
      <c r="AN297" s="86" t="s">
        <v>223</v>
      </c>
      <c r="AO297" s="118" t="s">
        <v>95</v>
      </c>
      <c r="AP297" s="48"/>
      <c r="AQ297" s="48"/>
      <c r="AR297" s="48"/>
      <c r="AS297" s="48"/>
      <c r="AT297" s="48"/>
      <c r="AU297" s="48"/>
      <c r="AV297" s="48"/>
      <c r="AW297" s="48"/>
      <c r="AX297" s="48"/>
      <c r="AY297" s="48"/>
      <c r="AZ297" s="48"/>
      <c r="BA297" s="48"/>
      <c r="BB297" s="48"/>
      <c r="BC297" s="48"/>
      <c r="BD297" s="48"/>
      <c r="BE297" s="48"/>
      <c r="BF297" s="48"/>
      <c r="BG297" s="48"/>
      <c r="BH297" s="48"/>
      <c r="BI297" s="48"/>
    </row>
    <row r="298" ht="15.75" customHeight="1">
      <c r="A298" s="41" t="str">
        <f t="shared" si="6"/>
        <v>PiècesPièces Ro Clients</v>
      </c>
      <c r="B298" s="57" t="s">
        <v>179</v>
      </c>
      <c r="C298" s="126"/>
      <c r="D298" s="122"/>
      <c r="E298" s="75"/>
      <c r="F298" s="126"/>
      <c r="G298" s="122"/>
      <c r="H298" s="75"/>
      <c r="I298" s="126"/>
      <c r="J298" s="122"/>
      <c r="K298" s="75"/>
      <c r="L298" s="126"/>
      <c r="M298" s="122"/>
      <c r="N298" s="75"/>
      <c r="O298" s="126"/>
      <c r="P298" s="122"/>
      <c r="Q298" s="75"/>
      <c r="R298" s="126"/>
      <c r="S298" s="122"/>
      <c r="T298" s="75"/>
      <c r="U298" s="126"/>
      <c r="V298" s="122"/>
      <c r="W298" s="75"/>
      <c r="X298" s="126"/>
      <c r="Y298" s="122"/>
      <c r="Z298" s="75"/>
      <c r="AA298" s="126"/>
      <c r="AB298" s="122"/>
      <c r="AC298" s="75"/>
      <c r="AD298" s="126"/>
      <c r="AE298" s="122"/>
      <c r="AF298" s="75"/>
      <c r="AG298" s="126"/>
      <c r="AH298" s="122"/>
      <c r="AI298" s="75"/>
      <c r="AJ298" s="126"/>
      <c r="AK298" s="122"/>
      <c r="AL298" s="75"/>
      <c r="AM298" s="126"/>
      <c r="AN298" s="122"/>
      <c r="AO298" s="75"/>
      <c r="AP298" s="48"/>
      <c r="AQ298" s="48"/>
      <c r="AR298" s="48"/>
      <c r="AS298" s="48"/>
      <c r="AT298" s="48"/>
      <c r="AU298" s="48"/>
      <c r="AV298" s="48"/>
      <c r="AW298" s="48"/>
      <c r="AX298" s="48"/>
      <c r="AY298" s="48"/>
      <c r="AZ298" s="48"/>
      <c r="BA298" s="48"/>
      <c r="BB298" s="48"/>
      <c r="BC298" s="48"/>
      <c r="BD298" s="48"/>
      <c r="BE298" s="48"/>
      <c r="BF298" s="48"/>
      <c r="BG298" s="48"/>
      <c r="BH298" s="48"/>
      <c r="BI298" s="48"/>
    </row>
    <row r="299" ht="15.75" customHeight="1">
      <c r="A299" s="41" t="str">
        <f t="shared" si="6"/>
        <v>PiècesPièces Ro Carrosserie</v>
      </c>
      <c r="B299" s="57" t="s">
        <v>180</v>
      </c>
      <c r="C299" s="126"/>
      <c r="D299" s="122"/>
      <c r="E299" s="75"/>
      <c r="F299" s="126"/>
      <c r="G299" s="122"/>
      <c r="H299" s="75"/>
      <c r="I299" s="126"/>
      <c r="J299" s="122"/>
      <c r="K299" s="75"/>
      <c r="L299" s="126"/>
      <c r="M299" s="122"/>
      <c r="N299" s="75"/>
      <c r="O299" s="126"/>
      <c r="P299" s="122"/>
      <c r="Q299" s="75"/>
      <c r="R299" s="126"/>
      <c r="S299" s="122"/>
      <c r="T299" s="75"/>
      <c r="U299" s="126"/>
      <c r="V299" s="122"/>
      <c r="W299" s="75"/>
      <c r="X299" s="126"/>
      <c r="Y299" s="122"/>
      <c r="Z299" s="75"/>
      <c r="AA299" s="126"/>
      <c r="AB299" s="122"/>
      <c r="AC299" s="75"/>
      <c r="AD299" s="126"/>
      <c r="AE299" s="122"/>
      <c r="AF299" s="75"/>
      <c r="AG299" s="126"/>
      <c r="AH299" s="122"/>
      <c r="AI299" s="75"/>
      <c r="AJ299" s="126"/>
      <c r="AK299" s="122"/>
      <c r="AL299" s="75"/>
      <c r="AM299" s="126"/>
      <c r="AN299" s="122"/>
      <c r="AO299" s="75"/>
      <c r="AP299" s="48"/>
      <c r="AQ299" s="48"/>
      <c r="AR299" s="48"/>
      <c r="AS299" s="48"/>
      <c r="AT299" s="48"/>
      <c r="AU299" s="48"/>
      <c r="AV299" s="48"/>
      <c r="AW299" s="48"/>
      <c r="AX299" s="48"/>
      <c r="AY299" s="48"/>
      <c r="AZ299" s="48"/>
      <c r="BA299" s="48"/>
      <c r="BB299" s="48"/>
      <c r="BC299" s="48"/>
      <c r="BD299" s="48"/>
      <c r="BE299" s="48"/>
      <c r="BF299" s="48"/>
      <c r="BG299" s="48"/>
      <c r="BH299" s="48"/>
      <c r="BI299" s="48"/>
    </row>
    <row r="300" ht="15.75" customHeight="1">
      <c r="A300" s="41" t="str">
        <f t="shared" si="6"/>
        <v>PiècesP/A Garantie</v>
      </c>
      <c r="B300" s="57" t="s">
        <v>181</v>
      </c>
      <c r="C300" s="126"/>
      <c r="D300" s="122"/>
      <c r="E300" s="75"/>
      <c r="F300" s="126"/>
      <c r="G300" s="122"/>
      <c r="H300" s="75"/>
      <c r="I300" s="126"/>
      <c r="J300" s="122"/>
      <c r="K300" s="75"/>
      <c r="L300" s="126"/>
      <c r="M300" s="122"/>
      <c r="N300" s="75"/>
      <c r="O300" s="126"/>
      <c r="P300" s="122"/>
      <c r="Q300" s="75"/>
      <c r="R300" s="126"/>
      <c r="S300" s="122"/>
      <c r="T300" s="75"/>
      <c r="U300" s="126"/>
      <c r="V300" s="122"/>
      <c r="W300" s="75"/>
      <c r="X300" s="126"/>
      <c r="Y300" s="122"/>
      <c r="Z300" s="75"/>
      <c r="AA300" s="126"/>
      <c r="AB300" s="122"/>
      <c r="AC300" s="75"/>
      <c r="AD300" s="126"/>
      <c r="AE300" s="122"/>
      <c r="AF300" s="75"/>
      <c r="AG300" s="126"/>
      <c r="AH300" s="122"/>
      <c r="AI300" s="75"/>
      <c r="AJ300" s="126"/>
      <c r="AK300" s="122"/>
      <c r="AL300" s="75"/>
      <c r="AM300" s="126"/>
      <c r="AN300" s="122"/>
      <c r="AO300" s="75"/>
      <c r="AP300" s="48"/>
      <c r="AQ300" s="48"/>
      <c r="AR300" s="48"/>
      <c r="AS300" s="48"/>
      <c r="AT300" s="48"/>
      <c r="AU300" s="48"/>
      <c r="AV300" s="48"/>
      <c r="AW300" s="48"/>
      <c r="AX300" s="48"/>
      <c r="AY300" s="48"/>
      <c r="AZ300" s="48"/>
      <c r="BA300" s="48"/>
      <c r="BB300" s="48"/>
      <c r="BC300" s="48"/>
      <c r="BD300" s="48"/>
      <c r="BE300" s="48"/>
      <c r="BF300" s="48"/>
      <c r="BG300" s="48"/>
      <c r="BH300" s="48"/>
      <c r="BI300" s="48"/>
    </row>
    <row r="301" ht="15.75" customHeight="1">
      <c r="A301" s="41" t="str">
        <f t="shared" si="6"/>
        <v>PiècesVentes Internes</v>
      </c>
      <c r="B301" s="57" t="s">
        <v>182</v>
      </c>
      <c r="C301" s="126"/>
      <c r="D301" s="122"/>
      <c r="E301" s="75"/>
      <c r="F301" s="126"/>
      <c r="G301" s="122"/>
      <c r="H301" s="75"/>
      <c r="I301" s="126"/>
      <c r="J301" s="122"/>
      <c r="K301" s="75"/>
      <c r="L301" s="126"/>
      <c r="M301" s="122"/>
      <c r="N301" s="75"/>
      <c r="O301" s="126"/>
      <c r="P301" s="122"/>
      <c r="Q301" s="75"/>
      <c r="R301" s="126"/>
      <c r="S301" s="122"/>
      <c r="T301" s="75"/>
      <c r="U301" s="126"/>
      <c r="V301" s="122"/>
      <c r="W301" s="75"/>
      <c r="X301" s="126"/>
      <c r="Y301" s="122"/>
      <c r="Z301" s="75"/>
      <c r="AA301" s="126"/>
      <c r="AB301" s="122"/>
      <c r="AC301" s="75"/>
      <c r="AD301" s="126"/>
      <c r="AE301" s="122"/>
      <c r="AF301" s="75"/>
      <c r="AG301" s="126"/>
      <c r="AH301" s="122"/>
      <c r="AI301" s="75"/>
      <c r="AJ301" s="126"/>
      <c r="AK301" s="122"/>
      <c r="AL301" s="75"/>
      <c r="AM301" s="126"/>
      <c r="AN301" s="122"/>
      <c r="AO301" s="75"/>
      <c r="AP301" s="48"/>
      <c r="AQ301" s="48"/>
      <c r="AR301" s="48"/>
      <c r="AS301" s="48"/>
      <c r="AT301" s="48"/>
      <c r="AU301" s="48"/>
      <c r="AV301" s="48"/>
      <c r="AW301" s="48"/>
      <c r="AX301" s="48"/>
      <c r="AY301" s="48"/>
      <c r="AZ301" s="48"/>
      <c r="BA301" s="48"/>
      <c r="BB301" s="48"/>
      <c r="BC301" s="48"/>
      <c r="BD301" s="48"/>
      <c r="BE301" s="48"/>
      <c r="BF301" s="48"/>
      <c r="BG301" s="48"/>
      <c r="BH301" s="48"/>
      <c r="BI301" s="48"/>
    </row>
    <row r="302" ht="15.75" customHeight="1">
      <c r="A302" s="41" t="str">
        <f t="shared" si="6"/>
        <v>PiècesVentes Détails</v>
      </c>
      <c r="B302" s="57" t="s">
        <v>183</v>
      </c>
      <c r="C302" s="126"/>
      <c r="D302" s="122"/>
      <c r="E302" s="75"/>
      <c r="F302" s="126"/>
      <c r="G302" s="122"/>
      <c r="H302" s="75"/>
      <c r="I302" s="126"/>
      <c r="J302" s="122"/>
      <c r="K302" s="75"/>
      <c r="L302" s="126"/>
      <c r="M302" s="122"/>
      <c r="N302" s="75"/>
      <c r="O302" s="126"/>
      <c r="P302" s="122"/>
      <c r="Q302" s="75"/>
      <c r="R302" s="126"/>
      <c r="S302" s="122"/>
      <c r="T302" s="75"/>
      <c r="U302" s="126"/>
      <c r="V302" s="122"/>
      <c r="W302" s="75"/>
      <c r="X302" s="126"/>
      <c r="Y302" s="122"/>
      <c r="Z302" s="75"/>
      <c r="AA302" s="126"/>
      <c r="AB302" s="122"/>
      <c r="AC302" s="75"/>
      <c r="AD302" s="126"/>
      <c r="AE302" s="122"/>
      <c r="AF302" s="75"/>
      <c r="AG302" s="126"/>
      <c r="AH302" s="122"/>
      <c r="AI302" s="75"/>
      <c r="AJ302" s="126"/>
      <c r="AK302" s="122"/>
      <c r="AL302" s="75"/>
      <c r="AM302" s="126"/>
      <c r="AN302" s="122"/>
      <c r="AO302" s="75"/>
      <c r="AP302" s="48"/>
      <c r="AQ302" s="48"/>
      <c r="AR302" s="48"/>
      <c r="AS302" s="48"/>
      <c r="AT302" s="48"/>
      <c r="AU302" s="48"/>
      <c r="AV302" s="48"/>
      <c r="AW302" s="48"/>
      <c r="AX302" s="48"/>
      <c r="AY302" s="48"/>
      <c r="AZ302" s="48"/>
      <c r="BA302" s="48"/>
      <c r="BB302" s="48"/>
      <c r="BC302" s="48"/>
      <c r="BD302" s="48"/>
      <c r="BE302" s="48"/>
      <c r="BF302" s="48"/>
      <c r="BG302" s="48"/>
      <c r="BH302" s="48"/>
      <c r="BI302" s="48"/>
    </row>
    <row r="303" ht="15.75" customHeight="1">
      <c r="A303" s="41" t="str">
        <f t="shared" si="6"/>
        <v>PiècesVentes de Gros</v>
      </c>
      <c r="B303" s="57" t="s">
        <v>184</v>
      </c>
      <c r="C303" s="126"/>
      <c r="D303" s="122"/>
      <c r="E303" s="75"/>
      <c r="F303" s="126"/>
      <c r="G303" s="122"/>
      <c r="H303" s="75"/>
      <c r="I303" s="126"/>
      <c r="J303" s="122"/>
      <c r="K303" s="75"/>
      <c r="L303" s="126"/>
      <c r="M303" s="122"/>
      <c r="N303" s="75"/>
      <c r="O303" s="126"/>
      <c r="P303" s="122"/>
      <c r="Q303" s="75"/>
      <c r="R303" s="126"/>
      <c r="S303" s="122"/>
      <c r="T303" s="75"/>
      <c r="U303" s="126"/>
      <c r="V303" s="122"/>
      <c r="W303" s="75"/>
      <c r="X303" s="126"/>
      <c r="Y303" s="122"/>
      <c r="Z303" s="75"/>
      <c r="AA303" s="126"/>
      <c r="AB303" s="122"/>
      <c r="AC303" s="75"/>
      <c r="AD303" s="126"/>
      <c r="AE303" s="122"/>
      <c r="AF303" s="75"/>
      <c r="AG303" s="126"/>
      <c r="AH303" s="122"/>
      <c r="AI303" s="75"/>
      <c r="AJ303" s="126"/>
      <c r="AK303" s="122"/>
      <c r="AL303" s="75"/>
      <c r="AM303" s="126"/>
      <c r="AN303" s="122"/>
      <c r="AO303" s="75"/>
      <c r="AP303" s="48"/>
      <c r="AQ303" s="48"/>
      <c r="AR303" s="48"/>
      <c r="AS303" s="48"/>
      <c r="AT303" s="48"/>
      <c r="AU303" s="48"/>
      <c r="AV303" s="48"/>
      <c r="AW303" s="48"/>
      <c r="AX303" s="48"/>
      <c r="AY303" s="48"/>
      <c r="AZ303" s="48"/>
      <c r="BA303" s="48"/>
      <c r="BB303" s="48"/>
      <c r="BC303" s="48"/>
      <c r="BD303" s="48"/>
      <c r="BE303" s="48"/>
      <c r="BF303" s="48"/>
      <c r="BG303" s="48"/>
      <c r="BH303" s="48"/>
      <c r="BI303" s="48"/>
    </row>
    <row r="304" ht="15.75" customHeight="1">
      <c r="A304" s="41" t="str">
        <f t="shared" si="6"/>
        <v>Pièces[...]</v>
      </c>
      <c r="B304" s="57" t="s">
        <v>56</v>
      </c>
      <c r="C304" s="126"/>
      <c r="D304" s="122"/>
      <c r="E304" s="75"/>
      <c r="F304" s="126"/>
      <c r="G304" s="122"/>
      <c r="H304" s="75"/>
      <c r="I304" s="126"/>
      <c r="J304" s="122"/>
      <c r="K304" s="75"/>
      <c r="L304" s="126"/>
      <c r="M304" s="122"/>
      <c r="N304" s="75"/>
      <c r="O304" s="126"/>
      <c r="P304" s="122"/>
      <c r="Q304" s="75"/>
      <c r="R304" s="126"/>
      <c r="S304" s="122"/>
      <c r="T304" s="75"/>
      <c r="U304" s="126"/>
      <c r="V304" s="122"/>
      <c r="W304" s="75"/>
      <c r="X304" s="126"/>
      <c r="Y304" s="122"/>
      <c r="Z304" s="75"/>
      <c r="AA304" s="126"/>
      <c r="AB304" s="122"/>
      <c r="AC304" s="75"/>
      <c r="AD304" s="126"/>
      <c r="AE304" s="122"/>
      <c r="AF304" s="75"/>
      <c r="AG304" s="126"/>
      <c r="AH304" s="122"/>
      <c r="AI304" s="75"/>
      <c r="AJ304" s="126"/>
      <c r="AK304" s="122"/>
      <c r="AL304" s="75"/>
      <c r="AM304" s="126"/>
      <c r="AN304" s="122"/>
      <c r="AO304" s="75"/>
      <c r="AP304" s="48"/>
      <c r="AQ304" s="48"/>
      <c r="AR304" s="48"/>
      <c r="AS304" s="48"/>
      <c r="AT304" s="48"/>
      <c r="AU304" s="48"/>
      <c r="AV304" s="48"/>
      <c r="AW304" s="48"/>
      <c r="AX304" s="48"/>
      <c r="AY304" s="48"/>
      <c r="AZ304" s="48"/>
      <c r="BA304" s="48"/>
      <c r="BB304" s="48"/>
      <c r="BC304" s="48"/>
      <c r="BD304" s="48"/>
      <c r="BE304" s="48"/>
      <c r="BF304" s="48"/>
      <c r="BG304" s="48"/>
      <c r="BH304" s="48"/>
      <c r="BI304" s="48"/>
    </row>
    <row r="305" ht="15.75" customHeight="1">
      <c r="A305" s="41" t="str">
        <f t="shared" si="6"/>
        <v>PiècesEscomptes</v>
      </c>
      <c r="B305" s="57" t="s">
        <v>185</v>
      </c>
      <c r="C305" s="126"/>
      <c r="D305" s="122"/>
      <c r="E305" s="75"/>
      <c r="F305" s="126"/>
      <c r="G305" s="122"/>
      <c r="H305" s="75"/>
      <c r="I305" s="126"/>
      <c r="J305" s="122"/>
      <c r="K305" s="75"/>
      <c r="L305" s="126"/>
      <c r="M305" s="122"/>
      <c r="N305" s="75"/>
      <c r="O305" s="126"/>
      <c r="P305" s="122"/>
      <c r="Q305" s="75"/>
      <c r="R305" s="126"/>
      <c r="S305" s="122"/>
      <c r="T305" s="75"/>
      <c r="U305" s="126"/>
      <c r="V305" s="122"/>
      <c r="W305" s="75"/>
      <c r="X305" s="126"/>
      <c r="Y305" s="122"/>
      <c r="Z305" s="75"/>
      <c r="AA305" s="126"/>
      <c r="AB305" s="122"/>
      <c r="AC305" s="75"/>
      <c r="AD305" s="126"/>
      <c r="AE305" s="122"/>
      <c r="AF305" s="75"/>
      <c r="AG305" s="126"/>
      <c r="AH305" s="122"/>
      <c r="AI305" s="75"/>
      <c r="AJ305" s="126"/>
      <c r="AK305" s="122"/>
      <c r="AL305" s="75"/>
      <c r="AM305" s="126"/>
      <c r="AN305" s="122"/>
      <c r="AO305" s="75"/>
      <c r="AP305" s="48"/>
      <c r="AQ305" s="48"/>
      <c r="AR305" s="48"/>
      <c r="AS305" s="48"/>
      <c r="AT305" s="48"/>
      <c r="AU305" s="48"/>
      <c r="AV305" s="48"/>
      <c r="AW305" s="48"/>
      <c r="AX305" s="48"/>
      <c r="AY305" s="48"/>
      <c r="AZ305" s="48"/>
      <c r="BA305" s="48"/>
      <c r="BB305" s="48"/>
      <c r="BC305" s="48"/>
      <c r="BD305" s="48"/>
      <c r="BE305" s="48"/>
      <c r="BF305" s="48"/>
      <c r="BG305" s="48"/>
      <c r="BH305" s="48"/>
      <c r="BI305" s="48"/>
    </row>
    <row r="306" ht="15.75" customHeight="1">
      <c r="A306" s="41" t="str">
        <f t="shared" si="6"/>
        <v>PiècesRectif. Inventaire</v>
      </c>
      <c r="B306" s="53" t="s">
        <v>186</v>
      </c>
      <c r="C306" s="126"/>
      <c r="D306" s="122"/>
      <c r="E306" s="75"/>
      <c r="F306" s="126"/>
      <c r="G306" s="122"/>
      <c r="H306" s="75"/>
      <c r="I306" s="126"/>
      <c r="J306" s="122"/>
      <c r="K306" s="75"/>
      <c r="L306" s="126"/>
      <c r="M306" s="122"/>
      <c r="N306" s="75"/>
      <c r="O306" s="126"/>
      <c r="P306" s="122"/>
      <c r="Q306" s="75"/>
      <c r="R306" s="126"/>
      <c r="S306" s="122"/>
      <c r="T306" s="75"/>
      <c r="U306" s="126"/>
      <c r="V306" s="122"/>
      <c r="W306" s="75"/>
      <c r="X306" s="126"/>
      <c r="Y306" s="122"/>
      <c r="Z306" s="75"/>
      <c r="AA306" s="126"/>
      <c r="AB306" s="122"/>
      <c r="AC306" s="75"/>
      <c r="AD306" s="126"/>
      <c r="AE306" s="122"/>
      <c r="AF306" s="75"/>
      <c r="AG306" s="126"/>
      <c r="AH306" s="122"/>
      <c r="AI306" s="75"/>
      <c r="AJ306" s="126"/>
      <c r="AK306" s="122"/>
      <c r="AL306" s="75"/>
      <c r="AM306" s="126"/>
      <c r="AN306" s="122"/>
      <c r="AO306" s="75"/>
      <c r="AP306" s="48"/>
      <c r="AQ306" s="48"/>
      <c r="AR306" s="48"/>
      <c r="AS306" s="48"/>
      <c r="AT306" s="48"/>
      <c r="AU306" s="48"/>
      <c r="AV306" s="48"/>
      <c r="AW306" s="48"/>
      <c r="AX306" s="48"/>
      <c r="AY306" s="48"/>
      <c r="AZ306" s="48"/>
      <c r="BA306" s="48"/>
      <c r="BB306" s="48"/>
      <c r="BC306" s="48"/>
      <c r="BD306" s="48"/>
      <c r="BE306" s="48"/>
      <c r="BF306" s="48"/>
      <c r="BG306" s="48"/>
      <c r="BH306" s="48"/>
      <c r="BI306" s="48"/>
    </row>
    <row r="307" ht="15.75" customHeight="1">
      <c r="A307" s="41" t="str">
        <f t="shared" si="6"/>
        <v>PiècesSous-total Pièces</v>
      </c>
      <c r="B307" s="70" t="s">
        <v>187</v>
      </c>
      <c r="C307" s="145"/>
      <c r="D307" s="152"/>
      <c r="E307" s="147"/>
      <c r="F307" s="145"/>
      <c r="G307" s="152"/>
      <c r="H307" s="147"/>
      <c r="I307" s="145"/>
      <c r="J307" s="152"/>
      <c r="K307" s="147"/>
      <c r="L307" s="145"/>
      <c r="M307" s="152"/>
      <c r="N307" s="147"/>
      <c r="O307" s="145"/>
      <c r="P307" s="152"/>
      <c r="Q307" s="147"/>
      <c r="R307" s="145"/>
      <c r="S307" s="152"/>
      <c r="T307" s="147"/>
      <c r="U307" s="145"/>
      <c r="V307" s="152"/>
      <c r="W307" s="147"/>
      <c r="X307" s="145"/>
      <c r="Y307" s="152"/>
      <c r="Z307" s="147"/>
      <c r="AA307" s="145"/>
      <c r="AB307" s="152"/>
      <c r="AC307" s="147"/>
      <c r="AD307" s="145"/>
      <c r="AE307" s="152"/>
      <c r="AF307" s="147"/>
      <c r="AG307" s="145"/>
      <c r="AH307" s="152"/>
      <c r="AI307" s="147"/>
      <c r="AJ307" s="145"/>
      <c r="AK307" s="152"/>
      <c r="AL307" s="147"/>
      <c r="AM307" s="145"/>
      <c r="AN307" s="152"/>
      <c r="AO307" s="147"/>
      <c r="AP307" s="48"/>
      <c r="AQ307" s="48"/>
      <c r="AR307" s="48"/>
      <c r="AS307" s="48"/>
      <c r="AT307" s="48"/>
      <c r="AU307" s="48"/>
      <c r="AV307" s="48"/>
      <c r="AW307" s="48"/>
      <c r="AX307" s="48"/>
      <c r="AY307" s="48"/>
      <c r="AZ307" s="48"/>
      <c r="BA307" s="48"/>
      <c r="BB307" s="48"/>
      <c r="BC307" s="48"/>
      <c r="BD307" s="48"/>
      <c r="BE307" s="48"/>
      <c r="BF307" s="48"/>
      <c r="BG307" s="48"/>
      <c r="BH307" s="48"/>
      <c r="BI307" s="48"/>
    </row>
    <row r="308" ht="15.75" customHeight="1">
      <c r="A308" s="41" t="str">
        <f t="shared" si="6"/>
        <v>Pièces</v>
      </c>
      <c r="B308" s="57"/>
      <c r="C308" s="57"/>
      <c r="D308" s="74"/>
      <c r="E308" s="65"/>
      <c r="F308" s="57"/>
      <c r="G308" s="74"/>
      <c r="H308" s="65"/>
      <c r="I308" s="57"/>
      <c r="J308" s="74"/>
      <c r="K308" s="65"/>
      <c r="L308" s="57"/>
      <c r="M308" s="74"/>
      <c r="N308" s="65"/>
      <c r="O308" s="57"/>
      <c r="P308" s="74"/>
      <c r="Q308" s="65"/>
      <c r="R308" s="57"/>
      <c r="S308" s="74"/>
      <c r="T308" s="65"/>
      <c r="U308" s="57"/>
      <c r="V308" s="74"/>
      <c r="W308" s="65"/>
      <c r="X308" s="57"/>
      <c r="Y308" s="74"/>
      <c r="Z308" s="65"/>
      <c r="AA308" s="57"/>
      <c r="AB308" s="74"/>
      <c r="AC308" s="65"/>
      <c r="AD308" s="57"/>
      <c r="AE308" s="74"/>
      <c r="AF308" s="65"/>
      <c r="AG308" s="57"/>
      <c r="AH308" s="74"/>
      <c r="AI308" s="65"/>
      <c r="AJ308" s="57"/>
      <c r="AK308" s="74"/>
      <c r="AL308" s="65"/>
      <c r="AM308" s="57"/>
      <c r="AN308" s="74"/>
      <c r="AO308" s="65"/>
      <c r="AP308" s="48"/>
      <c r="AQ308" s="48"/>
      <c r="AR308" s="48"/>
      <c r="AS308" s="48"/>
      <c r="AT308" s="48"/>
      <c r="AU308" s="48"/>
      <c r="AV308" s="48"/>
      <c r="AW308" s="48"/>
      <c r="AX308" s="48"/>
      <c r="AY308" s="48"/>
      <c r="AZ308" s="48"/>
      <c r="BA308" s="48"/>
      <c r="BB308" s="48"/>
      <c r="BC308" s="48"/>
      <c r="BD308" s="48"/>
      <c r="BE308" s="48"/>
      <c r="BF308" s="48"/>
      <c r="BG308" s="48"/>
      <c r="BH308" s="48"/>
      <c r="BI308" s="48"/>
    </row>
    <row r="309" ht="15.75" customHeight="1">
      <c r="A309" s="41" t="str">
        <f t="shared" si="6"/>
        <v>Pièces</v>
      </c>
      <c r="B309" s="53"/>
      <c r="C309" s="53"/>
      <c r="D309" s="100"/>
      <c r="E309" s="153"/>
      <c r="F309" s="53"/>
      <c r="G309" s="100"/>
      <c r="H309" s="153"/>
      <c r="I309" s="53"/>
      <c r="J309" s="100"/>
      <c r="K309" s="153"/>
      <c r="L309" s="53"/>
      <c r="M309" s="100"/>
      <c r="N309" s="153"/>
      <c r="O309" s="53"/>
      <c r="P309" s="100"/>
      <c r="Q309" s="153"/>
      <c r="R309" s="53"/>
      <c r="S309" s="100"/>
      <c r="T309" s="153"/>
      <c r="U309" s="53"/>
      <c r="V309" s="100"/>
      <c r="W309" s="153"/>
      <c r="X309" s="53"/>
      <c r="Y309" s="100"/>
      <c r="Z309" s="153"/>
      <c r="AA309" s="53"/>
      <c r="AB309" s="100"/>
      <c r="AC309" s="153"/>
      <c r="AD309" s="53"/>
      <c r="AE309" s="100"/>
      <c r="AF309" s="153"/>
      <c r="AG309" s="53"/>
      <c r="AH309" s="100"/>
      <c r="AI309" s="153"/>
      <c r="AJ309" s="53"/>
      <c r="AK309" s="100"/>
      <c r="AL309" s="153"/>
      <c r="AM309" s="53"/>
      <c r="AN309" s="100"/>
      <c r="AO309" s="153"/>
      <c r="AP309" s="48"/>
      <c r="AQ309" s="48"/>
      <c r="AR309" s="48"/>
      <c r="AS309" s="48"/>
      <c r="AT309" s="48"/>
      <c r="AU309" s="48"/>
      <c r="AV309" s="48"/>
      <c r="AW309" s="48"/>
      <c r="AX309" s="48"/>
      <c r="AY309" s="48"/>
      <c r="AZ309" s="48"/>
      <c r="BA309" s="48"/>
      <c r="BB309" s="48"/>
      <c r="BC309" s="48"/>
      <c r="BD309" s="48"/>
      <c r="BE309" s="48"/>
      <c r="BF309" s="48"/>
      <c r="BG309" s="48"/>
      <c r="BH309" s="48"/>
      <c r="BI309" s="48"/>
    </row>
    <row r="310" ht="15.75" customHeight="1">
      <c r="A310" s="41" t="str">
        <f t="shared" si="6"/>
        <v>PiècesVentes Pneus</v>
      </c>
      <c r="B310" s="57" t="s">
        <v>188</v>
      </c>
      <c r="C310" s="126"/>
      <c r="D310" s="122"/>
      <c r="E310" s="75"/>
      <c r="F310" s="126"/>
      <c r="G310" s="122"/>
      <c r="H310" s="75"/>
      <c r="I310" s="126"/>
      <c r="J310" s="122"/>
      <c r="K310" s="75"/>
      <c r="L310" s="126"/>
      <c r="M310" s="122"/>
      <c r="N310" s="75"/>
      <c r="O310" s="126"/>
      <c r="P310" s="122"/>
      <c r="Q310" s="75"/>
      <c r="R310" s="126"/>
      <c r="S310" s="122"/>
      <c r="T310" s="75"/>
      <c r="U310" s="126"/>
      <c r="V310" s="122"/>
      <c r="W310" s="75"/>
      <c r="X310" s="126"/>
      <c r="Y310" s="122"/>
      <c r="Z310" s="75"/>
      <c r="AA310" s="126"/>
      <c r="AB310" s="122"/>
      <c r="AC310" s="75"/>
      <c r="AD310" s="126"/>
      <c r="AE310" s="122"/>
      <c r="AF310" s="75"/>
      <c r="AG310" s="126"/>
      <c r="AH310" s="122"/>
      <c r="AI310" s="75"/>
      <c r="AJ310" s="126"/>
      <c r="AK310" s="122"/>
      <c r="AL310" s="75"/>
      <c r="AM310" s="126"/>
      <c r="AN310" s="122"/>
      <c r="AO310" s="75"/>
      <c r="AP310" s="48"/>
      <c r="AQ310" s="48"/>
      <c r="AR310" s="48"/>
      <c r="AS310" s="48"/>
      <c r="AT310" s="48"/>
      <c r="AU310" s="48"/>
      <c r="AV310" s="48"/>
      <c r="AW310" s="48"/>
      <c r="AX310" s="48"/>
      <c r="AY310" s="48"/>
      <c r="AZ310" s="48"/>
      <c r="BA310" s="48"/>
      <c r="BB310" s="48"/>
      <c r="BC310" s="48"/>
      <c r="BD310" s="48"/>
      <c r="BE310" s="48"/>
      <c r="BF310" s="48"/>
      <c r="BG310" s="48"/>
      <c r="BH310" s="48"/>
      <c r="BI310" s="48"/>
    </row>
    <row r="311" ht="15.75" customHeight="1">
      <c r="A311" s="41" t="str">
        <f t="shared" si="6"/>
        <v>PiècesHuiles et Graisse</v>
      </c>
      <c r="B311" s="53" t="s">
        <v>189</v>
      </c>
      <c r="C311" s="126"/>
      <c r="D311" s="122"/>
      <c r="E311" s="75"/>
      <c r="F311" s="126"/>
      <c r="G311" s="122"/>
      <c r="H311" s="75"/>
      <c r="I311" s="126"/>
      <c r="J311" s="122"/>
      <c r="K311" s="75"/>
      <c r="L311" s="126"/>
      <c r="M311" s="122"/>
      <c r="N311" s="75"/>
      <c r="O311" s="126"/>
      <c r="P311" s="122"/>
      <c r="Q311" s="75"/>
      <c r="R311" s="126"/>
      <c r="S311" s="122"/>
      <c r="T311" s="75"/>
      <c r="U311" s="126"/>
      <c r="V311" s="122"/>
      <c r="W311" s="75"/>
      <c r="X311" s="126"/>
      <c r="Y311" s="122"/>
      <c r="Z311" s="75"/>
      <c r="AA311" s="126"/>
      <c r="AB311" s="122"/>
      <c r="AC311" s="75"/>
      <c r="AD311" s="126"/>
      <c r="AE311" s="122"/>
      <c r="AF311" s="75"/>
      <c r="AG311" s="126"/>
      <c r="AH311" s="122"/>
      <c r="AI311" s="75"/>
      <c r="AJ311" s="126"/>
      <c r="AK311" s="122"/>
      <c r="AL311" s="75"/>
      <c r="AM311" s="126"/>
      <c r="AN311" s="122"/>
      <c r="AO311" s="75"/>
      <c r="AP311" s="48"/>
      <c r="AQ311" s="48"/>
      <c r="AR311" s="48"/>
      <c r="AS311" s="48"/>
      <c r="AT311" s="48"/>
      <c r="AU311" s="48"/>
      <c r="AV311" s="48"/>
      <c r="AW311" s="48"/>
      <c r="AX311" s="48"/>
      <c r="AY311" s="48"/>
      <c r="AZ311" s="48"/>
      <c r="BA311" s="48"/>
      <c r="BB311" s="48"/>
      <c r="BC311" s="48"/>
      <c r="BD311" s="48"/>
      <c r="BE311" s="48"/>
      <c r="BF311" s="48"/>
      <c r="BG311" s="48"/>
      <c r="BH311" s="48"/>
      <c r="BI311" s="48"/>
    </row>
    <row r="312" ht="15.75" customHeight="1">
      <c r="A312" s="41" t="str">
        <f t="shared" si="6"/>
        <v>PiècesSous-total Pièces et Acc.</v>
      </c>
      <c r="B312" s="70" t="s">
        <v>190</v>
      </c>
      <c r="C312" s="145"/>
      <c r="D312" s="152"/>
      <c r="E312" s="147"/>
      <c r="F312" s="145"/>
      <c r="G312" s="152"/>
      <c r="H312" s="147"/>
      <c r="I312" s="145"/>
      <c r="J312" s="152"/>
      <c r="K312" s="147"/>
      <c r="L312" s="145"/>
      <c r="M312" s="152"/>
      <c r="N312" s="147"/>
      <c r="O312" s="145"/>
      <c r="P312" s="152"/>
      <c r="Q312" s="147"/>
      <c r="R312" s="145"/>
      <c r="S312" s="152"/>
      <c r="T312" s="147"/>
      <c r="U312" s="145"/>
      <c r="V312" s="152"/>
      <c r="W312" s="147"/>
      <c r="X312" s="145"/>
      <c r="Y312" s="152"/>
      <c r="Z312" s="147"/>
      <c r="AA312" s="145"/>
      <c r="AB312" s="152"/>
      <c r="AC312" s="147"/>
      <c r="AD312" s="145"/>
      <c r="AE312" s="152"/>
      <c r="AF312" s="147"/>
      <c r="AG312" s="145"/>
      <c r="AH312" s="152"/>
      <c r="AI312" s="147"/>
      <c r="AJ312" s="145"/>
      <c r="AK312" s="152"/>
      <c r="AL312" s="147"/>
      <c r="AM312" s="145"/>
      <c r="AN312" s="152"/>
      <c r="AO312" s="147"/>
      <c r="AP312" s="48"/>
      <c r="AQ312" s="48"/>
      <c r="AR312" s="48"/>
      <c r="AS312" s="48"/>
      <c r="AT312" s="48"/>
      <c r="AU312" s="48"/>
      <c r="AV312" s="48"/>
      <c r="AW312" s="48"/>
      <c r="AX312" s="48"/>
      <c r="AY312" s="48"/>
      <c r="AZ312" s="48"/>
      <c r="BA312" s="48"/>
      <c r="BB312" s="48"/>
      <c r="BC312" s="48"/>
      <c r="BD312" s="48"/>
      <c r="BE312" s="48"/>
      <c r="BF312" s="48"/>
      <c r="BG312" s="48"/>
      <c r="BH312" s="48"/>
      <c r="BI312" s="48"/>
    </row>
    <row r="313" ht="15.75" customHeight="1">
      <c r="A313" s="41" t="str">
        <f t="shared" si="6"/>
        <v>Pièces</v>
      </c>
      <c r="B313" s="57"/>
      <c r="C313" s="57"/>
      <c r="D313" s="74"/>
      <c r="E313" s="65"/>
      <c r="F313" s="57"/>
      <c r="G313" s="74"/>
      <c r="H313" s="65"/>
      <c r="I313" s="57"/>
      <c r="J313" s="74"/>
      <c r="K313" s="65"/>
      <c r="L313" s="57"/>
      <c r="M313" s="74"/>
      <c r="N313" s="65"/>
      <c r="O313" s="57"/>
      <c r="P313" s="74"/>
      <c r="Q313" s="65"/>
      <c r="R313" s="57"/>
      <c r="S313" s="74"/>
      <c r="T313" s="65"/>
      <c r="U313" s="57"/>
      <c r="V313" s="74"/>
      <c r="W313" s="65"/>
      <c r="X313" s="57"/>
      <c r="Y313" s="74"/>
      <c r="Z313" s="65"/>
      <c r="AA313" s="57"/>
      <c r="AB313" s="74"/>
      <c r="AC313" s="65"/>
      <c r="AD313" s="57"/>
      <c r="AE313" s="74"/>
      <c r="AF313" s="65"/>
      <c r="AG313" s="57"/>
      <c r="AH313" s="74"/>
      <c r="AI313" s="65"/>
      <c r="AJ313" s="57"/>
      <c r="AK313" s="74"/>
      <c r="AL313" s="65"/>
      <c r="AM313" s="57"/>
      <c r="AN313" s="74"/>
      <c r="AO313" s="65"/>
      <c r="AP313" s="48"/>
      <c r="AQ313" s="48"/>
      <c r="AR313" s="48"/>
      <c r="AS313" s="48"/>
      <c r="AT313" s="48"/>
      <c r="AU313" s="48"/>
      <c r="AV313" s="48"/>
      <c r="AW313" s="48"/>
      <c r="AX313" s="48"/>
      <c r="AY313" s="48"/>
      <c r="AZ313" s="48"/>
      <c r="BA313" s="48"/>
      <c r="BB313" s="48"/>
      <c r="BC313" s="48"/>
      <c r="BD313" s="48"/>
      <c r="BE313" s="48"/>
      <c r="BF313" s="48"/>
      <c r="BG313" s="48"/>
      <c r="BH313" s="48"/>
      <c r="BI313" s="48"/>
    </row>
    <row r="314" ht="15.75" customHeight="1">
      <c r="A314" s="41" t="str">
        <f t="shared" si="6"/>
        <v>PiècesPièces recond. MCPA</v>
      </c>
      <c r="B314" s="57" t="s">
        <v>224</v>
      </c>
      <c r="C314" s="57"/>
      <c r="D314" s="122"/>
      <c r="E314" s="65"/>
      <c r="F314" s="57"/>
      <c r="G314" s="122"/>
      <c r="H314" s="65"/>
      <c r="I314" s="57"/>
      <c r="J314" s="122"/>
      <c r="K314" s="65"/>
      <c r="L314" s="57"/>
      <c r="M314" s="122"/>
      <c r="N314" s="65"/>
      <c r="O314" s="57"/>
      <c r="P314" s="122"/>
      <c r="Q314" s="65"/>
      <c r="R314" s="57"/>
      <c r="S314" s="122"/>
      <c r="T314" s="65"/>
      <c r="U314" s="57"/>
      <c r="V314" s="122"/>
      <c r="W314" s="65"/>
      <c r="X314" s="57"/>
      <c r="Y314" s="122"/>
      <c r="Z314" s="65"/>
      <c r="AA314" s="57"/>
      <c r="AB314" s="122"/>
      <c r="AC314" s="65"/>
      <c r="AD314" s="57"/>
      <c r="AE314" s="122"/>
      <c r="AF314" s="65"/>
      <c r="AG314" s="57"/>
      <c r="AH314" s="122"/>
      <c r="AI314" s="65"/>
      <c r="AJ314" s="57"/>
      <c r="AK314" s="122"/>
      <c r="AL314" s="65"/>
      <c r="AM314" s="57"/>
      <c r="AN314" s="122"/>
      <c r="AO314" s="65"/>
      <c r="AP314" s="48"/>
      <c r="AQ314" s="48"/>
      <c r="AR314" s="48"/>
      <c r="AS314" s="48"/>
      <c r="AT314" s="48"/>
      <c r="AU314" s="48"/>
      <c r="AV314" s="48"/>
      <c r="AW314" s="48"/>
      <c r="AX314" s="48"/>
      <c r="AY314" s="48"/>
      <c r="AZ314" s="48"/>
      <c r="BA314" s="48"/>
      <c r="BB314" s="48"/>
      <c r="BC314" s="48"/>
      <c r="BD314" s="48"/>
      <c r="BE314" s="48"/>
      <c r="BF314" s="48"/>
      <c r="BG314" s="48"/>
      <c r="BH314" s="48"/>
      <c r="BI314" s="48"/>
    </row>
    <row r="315" ht="15.75" customHeight="1">
      <c r="A315" s="41" t="str">
        <f t="shared" si="6"/>
        <v>PiècesAutostock</v>
      </c>
      <c r="B315" s="53" t="s">
        <v>191</v>
      </c>
      <c r="C315" s="128"/>
      <c r="D315" s="154"/>
      <c r="E315" s="91"/>
      <c r="F315" s="128"/>
      <c r="G315" s="154"/>
      <c r="H315" s="91"/>
      <c r="I315" s="128"/>
      <c r="J315" s="154"/>
      <c r="K315" s="91"/>
      <c r="L315" s="128"/>
      <c r="M315" s="154"/>
      <c r="N315" s="91"/>
      <c r="O315" s="128"/>
      <c r="P315" s="154"/>
      <c r="Q315" s="91"/>
      <c r="R315" s="128"/>
      <c r="S315" s="154"/>
      <c r="T315" s="91"/>
      <c r="U315" s="128"/>
      <c r="V315" s="154"/>
      <c r="W315" s="91"/>
      <c r="X315" s="128"/>
      <c r="Y315" s="154"/>
      <c r="Z315" s="91"/>
      <c r="AA315" s="128"/>
      <c r="AB315" s="154"/>
      <c r="AC315" s="91"/>
      <c r="AD315" s="128"/>
      <c r="AE315" s="154"/>
      <c r="AF315" s="91"/>
      <c r="AG315" s="128"/>
      <c r="AH315" s="154"/>
      <c r="AI315" s="91"/>
      <c r="AJ315" s="128"/>
      <c r="AK315" s="154"/>
      <c r="AL315" s="91"/>
      <c r="AM315" s="128"/>
      <c r="AN315" s="154"/>
      <c r="AO315" s="91"/>
      <c r="AP315" s="48"/>
      <c r="AQ315" s="48"/>
      <c r="AR315" s="48"/>
      <c r="AS315" s="48"/>
      <c r="AT315" s="48"/>
      <c r="AU315" s="48"/>
      <c r="AV315" s="48"/>
      <c r="AW315" s="48"/>
      <c r="AX315" s="48"/>
      <c r="AY315" s="48"/>
      <c r="AZ315" s="48"/>
      <c r="BA315" s="48"/>
      <c r="BB315" s="48"/>
      <c r="BC315" s="48"/>
      <c r="BD315" s="48"/>
      <c r="BE315" s="48"/>
      <c r="BF315" s="48"/>
      <c r="BG315" s="48"/>
      <c r="BH315" s="48"/>
      <c r="BI315" s="48"/>
    </row>
    <row r="316" ht="15.75" customHeight="1">
      <c r="A316" s="41" t="str">
        <f t="shared" si="6"/>
        <v>Pièces</v>
      </c>
      <c r="B316" s="57"/>
      <c r="C316" s="126"/>
      <c r="D316" s="122"/>
      <c r="E316" s="75"/>
      <c r="F316" s="126"/>
      <c r="G316" s="122"/>
      <c r="H316" s="75"/>
      <c r="I316" s="126"/>
      <c r="J316" s="122"/>
      <c r="K316" s="75"/>
      <c r="L316" s="126"/>
      <c r="M316" s="122"/>
      <c r="N316" s="75"/>
      <c r="O316" s="126"/>
      <c r="P316" s="122"/>
      <c r="Q316" s="75"/>
      <c r="R316" s="126"/>
      <c r="S316" s="122"/>
      <c r="T316" s="75"/>
      <c r="U316" s="126"/>
      <c r="V316" s="122"/>
      <c r="W316" s="75"/>
      <c r="X316" s="126"/>
      <c r="Y316" s="122"/>
      <c r="Z316" s="75"/>
      <c r="AA316" s="126"/>
      <c r="AB316" s="122"/>
      <c r="AC316" s="75"/>
      <c r="AD316" s="126"/>
      <c r="AE316" s="122"/>
      <c r="AF316" s="75"/>
      <c r="AG316" s="126"/>
      <c r="AH316" s="122"/>
      <c r="AI316" s="75"/>
      <c r="AJ316" s="126"/>
      <c r="AK316" s="122"/>
      <c r="AL316" s="75"/>
      <c r="AM316" s="126"/>
      <c r="AN316" s="122"/>
      <c r="AO316" s="75"/>
      <c r="AP316" s="48"/>
      <c r="AQ316" s="48"/>
      <c r="AR316" s="48"/>
      <c r="AS316" s="48"/>
      <c r="AT316" s="48"/>
      <c r="AU316" s="48"/>
      <c r="AV316" s="48"/>
      <c r="AW316" s="48"/>
      <c r="AX316" s="48"/>
      <c r="AY316" s="48"/>
      <c r="AZ316" s="48"/>
      <c r="BA316" s="48"/>
      <c r="BB316" s="48"/>
      <c r="BC316" s="48"/>
      <c r="BD316" s="48"/>
      <c r="BE316" s="48"/>
      <c r="BF316" s="48"/>
      <c r="BG316" s="48"/>
      <c r="BH316" s="48"/>
      <c r="BI316" s="48"/>
    </row>
    <row r="317" ht="15.75" customHeight="1">
      <c r="A317" s="41" t="str">
        <f t="shared" si="6"/>
        <v>PiècesTotal Dépt. Pièces</v>
      </c>
      <c r="B317" s="76" t="s">
        <v>192</v>
      </c>
      <c r="C317" s="77"/>
      <c r="D317" s="155"/>
      <c r="E317" s="79"/>
      <c r="F317" s="77"/>
      <c r="G317" s="155"/>
      <c r="H317" s="79"/>
      <c r="I317" s="77"/>
      <c r="J317" s="155"/>
      <c r="K317" s="79"/>
      <c r="L317" s="77"/>
      <c r="M317" s="155"/>
      <c r="N317" s="79"/>
      <c r="O317" s="77"/>
      <c r="P317" s="155"/>
      <c r="Q317" s="79"/>
      <c r="R317" s="77"/>
      <c r="S317" s="155"/>
      <c r="T317" s="79"/>
      <c r="U317" s="77"/>
      <c r="V317" s="155"/>
      <c r="W317" s="79"/>
      <c r="X317" s="77"/>
      <c r="Y317" s="155"/>
      <c r="Z317" s="79"/>
      <c r="AA317" s="77"/>
      <c r="AB317" s="155"/>
      <c r="AC317" s="79"/>
      <c r="AD317" s="77"/>
      <c r="AE317" s="155"/>
      <c r="AF317" s="79"/>
      <c r="AG317" s="77"/>
      <c r="AH317" s="155"/>
      <c r="AI317" s="79"/>
      <c r="AJ317" s="77"/>
      <c r="AK317" s="155"/>
      <c r="AL317" s="79"/>
      <c r="AM317" s="77"/>
      <c r="AN317" s="155"/>
      <c r="AO317" s="79"/>
      <c r="AP317" s="48"/>
      <c r="AQ317" s="48"/>
      <c r="AR317" s="48"/>
      <c r="AS317" s="48"/>
      <c r="AT317" s="48"/>
      <c r="AU317" s="48"/>
      <c r="AV317" s="48"/>
      <c r="AW317" s="48"/>
      <c r="AX317" s="48"/>
      <c r="AY317" s="48"/>
      <c r="AZ317" s="48"/>
      <c r="BA317" s="48"/>
      <c r="BB317" s="48"/>
      <c r="BC317" s="48"/>
      <c r="BD317" s="48"/>
      <c r="BE317" s="48"/>
      <c r="BF317" s="48"/>
      <c r="BG317" s="48"/>
      <c r="BH317" s="48"/>
      <c r="BI317" s="48"/>
    </row>
    <row r="318" ht="15.75" customHeight="1">
      <c r="A318" s="41" t="str">
        <f t="shared" si="6"/>
        <v>Pièces</v>
      </c>
      <c r="B318" s="156"/>
      <c r="C318" s="157"/>
      <c r="D318" s="158"/>
      <c r="E318" s="159"/>
      <c r="F318" s="157"/>
      <c r="G318" s="158"/>
      <c r="H318" s="159"/>
      <c r="I318" s="157"/>
      <c r="J318" s="158"/>
      <c r="K318" s="159"/>
      <c r="L318" s="157"/>
      <c r="M318" s="158"/>
      <c r="N318" s="159"/>
      <c r="O318" s="157"/>
      <c r="P318" s="158"/>
      <c r="Q318" s="159"/>
      <c r="R318" s="157"/>
      <c r="S318" s="158"/>
      <c r="T318" s="159"/>
      <c r="U318" s="157"/>
      <c r="V318" s="158"/>
      <c r="W318" s="159"/>
      <c r="X318" s="157"/>
      <c r="Y318" s="158"/>
      <c r="Z318" s="159"/>
      <c r="AA318" s="157"/>
      <c r="AB318" s="158"/>
      <c r="AC318" s="159"/>
      <c r="AD318" s="157"/>
      <c r="AE318" s="158"/>
      <c r="AF318" s="159"/>
      <c r="AG318" s="157"/>
      <c r="AH318" s="158"/>
      <c r="AI318" s="159"/>
      <c r="AJ318" s="157"/>
      <c r="AK318" s="158"/>
      <c r="AL318" s="159"/>
      <c r="AM318" s="157"/>
      <c r="AN318" s="158"/>
      <c r="AO318" s="159"/>
      <c r="AP318" s="48"/>
      <c r="AQ318" s="48"/>
      <c r="AR318" s="48"/>
      <c r="AS318" s="48"/>
      <c r="AT318" s="48"/>
      <c r="AU318" s="48"/>
      <c r="AV318" s="48"/>
      <c r="AW318" s="48"/>
      <c r="AX318" s="48"/>
      <c r="AY318" s="48"/>
      <c r="AZ318" s="48"/>
      <c r="BA318" s="48"/>
      <c r="BB318" s="48"/>
      <c r="BC318" s="48"/>
      <c r="BD318" s="48"/>
      <c r="BE318" s="48"/>
      <c r="BF318" s="48"/>
      <c r="BG318" s="48"/>
      <c r="BH318" s="48"/>
      <c r="BI318" s="48"/>
    </row>
    <row r="319" ht="15.75" customHeight="1">
      <c r="A319" s="41" t="str">
        <f t="shared" si="6"/>
        <v>Pièces</v>
      </c>
      <c r="B319" s="70"/>
      <c r="C319" s="135"/>
      <c r="D319" s="136"/>
      <c r="E319" s="102"/>
      <c r="F319" s="135"/>
      <c r="G319" s="136"/>
      <c r="H319" s="102"/>
      <c r="I319" s="135"/>
      <c r="J319" s="136"/>
      <c r="K319" s="102"/>
      <c r="L319" s="135"/>
      <c r="M319" s="136"/>
      <c r="N319" s="102"/>
      <c r="O319" s="135"/>
      <c r="P319" s="136"/>
      <c r="Q319" s="102"/>
      <c r="R319" s="135"/>
      <c r="S319" s="136"/>
      <c r="T319" s="102"/>
      <c r="U319" s="135"/>
      <c r="V319" s="136"/>
      <c r="W319" s="102"/>
      <c r="X319" s="135"/>
      <c r="Y319" s="136"/>
      <c r="Z319" s="102"/>
      <c r="AA319" s="135"/>
      <c r="AB319" s="136"/>
      <c r="AC319" s="102"/>
      <c r="AD319" s="135"/>
      <c r="AE319" s="136"/>
      <c r="AF319" s="102"/>
      <c r="AG319" s="135"/>
      <c r="AH319" s="136"/>
      <c r="AI319" s="102"/>
      <c r="AJ319" s="135"/>
      <c r="AK319" s="136"/>
      <c r="AL319" s="102"/>
      <c r="AM319" s="135"/>
      <c r="AN319" s="136"/>
      <c r="AO319" s="102"/>
      <c r="AP319" s="48"/>
      <c r="AQ319" s="48"/>
      <c r="AR319" s="48"/>
      <c r="AS319" s="48"/>
      <c r="AT319" s="48"/>
      <c r="AU319" s="48"/>
      <c r="AV319" s="48"/>
      <c r="AW319" s="48"/>
      <c r="AX319" s="48"/>
      <c r="AY319" s="48"/>
      <c r="AZ319" s="48"/>
      <c r="BA319" s="48"/>
      <c r="BB319" s="48"/>
      <c r="BC319" s="48"/>
      <c r="BD319" s="48"/>
      <c r="BE319" s="48"/>
      <c r="BF319" s="48"/>
      <c r="BG319" s="48"/>
      <c r="BH319" s="48"/>
      <c r="BI319" s="48"/>
    </row>
    <row r="320" ht="15.75" customHeight="1">
      <c r="A320" s="41" t="str">
        <f t="shared" si="6"/>
        <v>PiècesDEPENSES</v>
      </c>
      <c r="B320" s="85" t="s">
        <v>110</v>
      </c>
      <c r="C320" s="57"/>
      <c r="D320" s="74"/>
      <c r="E320" s="65"/>
      <c r="F320" s="57"/>
      <c r="G320" s="74"/>
      <c r="H320" s="74"/>
      <c r="I320" s="57"/>
      <c r="J320" s="74"/>
      <c r="K320" s="74"/>
      <c r="L320" s="57"/>
      <c r="M320" s="74"/>
      <c r="N320" s="65"/>
      <c r="O320" s="57"/>
      <c r="P320" s="74"/>
      <c r="Q320" s="65"/>
      <c r="R320" s="57"/>
      <c r="S320" s="74"/>
      <c r="T320" s="65"/>
      <c r="U320" s="57"/>
      <c r="V320" s="74"/>
      <c r="W320" s="65"/>
      <c r="X320" s="57"/>
      <c r="Y320" s="74"/>
      <c r="Z320" s="65"/>
      <c r="AA320" s="57"/>
      <c r="AB320" s="74"/>
      <c r="AC320" s="65"/>
      <c r="AD320" s="57"/>
      <c r="AE320" s="74"/>
      <c r="AF320" s="65"/>
      <c r="AG320" s="57"/>
      <c r="AH320" s="74"/>
      <c r="AI320" s="65"/>
      <c r="AJ320" s="57"/>
      <c r="AK320" s="74"/>
      <c r="AL320" s="65"/>
      <c r="AM320" s="57"/>
      <c r="AN320" s="74"/>
      <c r="AO320" s="65"/>
      <c r="AP320" s="48"/>
      <c r="AQ320" s="48"/>
      <c r="AR320" s="48"/>
      <c r="AS320" s="48"/>
      <c r="AT320" s="48"/>
      <c r="AU320" s="48"/>
      <c r="AV320" s="48"/>
      <c r="AW320" s="48"/>
      <c r="AX320" s="48"/>
      <c r="AY320" s="48"/>
      <c r="AZ320" s="48"/>
      <c r="BA320" s="48"/>
      <c r="BB320" s="48"/>
      <c r="BC320" s="48"/>
      <c r="BD320" s="48"/>
      <c r="BE320" s="48"/>
      <c r="BF320" s="48"/>
      <c r="BG320" s="48"/>
      <c r="BH320" s="48"/>
      <c r="BI320" s="48"/>
    </row>
    <row r="321" ht="15.75" customHeight="1">
      <c r="A321" s="41" t="str">
        <f t="shared" si="6"/>
        <v>PiècesSalaires cadres</v>
      </c>
      <c r="B321" s="96" t="s">
        <v>119</v>
      </c>
      <c r="C321" s="57"/>
      <c r="D321" s="74"/>
      <c r="E321" s="75"/>
      <c r="F321" s="57"/>
      <c r="G321" s="74"/>
      <c r="H321" s="75"/>
      <c r="I321" s="57"/>
      <c r="J321" s="74"/>
      <c r="K321" s="75"/>
      <c r="L321" s="57"/>
      <c r="M321" s="74"/>
      <c r="N321" s="75"/>
      <c r="O321" s="57"/>
      <c r="P321" s="74"/>
      <c r="Q321" s="75"/>
      <c r="R321" s="57"/>
      <c r="S321" s="74"/>
      <c r="T321" s="75"/>
      <c r="U321" s="57"/>
      <c r="V321" s="74"/>
      <c r="W321" s="75"/>
      <c r="X321" s="57"/>
      <c r="Y321" s="74"/>
      <c r="Z321" s="75"/>
      <c r="AA321" s="57"/>
      <c r="AB321" s="74"/>
      <c r="AC321" s="75"/>
      <c r="AD321" s="57"/>
      <c r="AE321" s="74"/>
      <c r="AF321" s="75"/>
      <c r="AG321" s="57"/>
      <c r="AH321" s="74"/>
      <c r="AI321" s="75"/>
      <c r="AJ321" s="57"/>
      <c r="AK321" s="74"/>
      <c r="AL321" s="75"/>
      <c r="AM321" s="57"/>
      <c r="AN321" s="74"/>
      <c r="AO321" s="242"/>
      <c r="AP321" s="48"/>
      <c r="AQ321" s="48"/>
      <c r="AR321" s="48"/>
      <c r="AS321" s="48"/>
      <c r="AT321" s="48"/>
      <c r="AU321" s="48"/>
      <c r="AV321" s="48"/>
      <c r="AW321" s="48"/>
      <c r="AX321" s="48"/>
      <c r="AY321" s="48"/>
      <c r="AZ321" s="48"/>
      <c r="BA321" s="48"/>
      <c r="BB321" s="48"/>
      <c r="BC321" s="48"/>
      <c r="BD321" s="48"/>
      <c r="BE321" s="48"/>
      <c r="BF321" s="48"/>
      <c r="BG321" s="48"/>
      <c r="BH321" s="48"/>
      <c r="BI321" s="48"/>
    </row>
    <row r="322" ht="15.75" customHeight="1">
      <c r="A322" s="41" t="str">
        <f t="shared" si="6"/>
        <v>PiècesSalaires commis</v>
      </c>
      <c r="B322" s="97" t="s">
        <v>120</v>
      </c>
      <c r="C322" s="57"/>
      <c r="D322" s="74"/>
      <c r="E322" s="75"/>
      <c r="F322" s="57"/>
      <c r="G322" s="74"/>
      <c r="H322" s="75"/>
      <c r="I322" s="57"/>
      <c r="J322" s="74"/>
      <c r="K322" s="75"/>
      <c r="L322" s="57"/>
      <c r="M322" s="74"/>
      <c r="N322" s="75"/>
      <c r="O322" s="57"/>
      <c r="P322" s="74"/>
      <c r="Q322" s="75"/>
      <c r="R322" s="57"/>
      <c r="S322" s="74"/>
      <c r="T322" s="75"/>
      <c r="U322" s="57"/>
      <c r="V322" s="74"/>
      <c r="W322" s="75"/>
      <c r="X322" s="57"/>
      <c r="Y322" s="74"/>
      <c r="Z322" s="75"/>
      <c r="AA322" s="57"/>
      <c r="AB322" s="74"/>
      <c r="AC322" s="75"/>
      <c r="AD322" s="57"/>
      <c r="AE322" s="74"/>
      <c r="AF322" s="75"/>
      <c r="AG322" s="57"/>
      <c r="AH322" s="74"/>
      <c r="AI322" s="75"/>
      <c r="AJ322" s="57"/>
      <c r="AK322" s="74"/>
      <c r="AL322" s="75"/>
      <c r="AM322" s="57"/>
      <c r="AN322" s="74"/>
      <c r="AO322" s="242"/>
      <c r="AP322" s="48"/>
      <c r="AQ322" s="48"/>
      <c r="AR322" s="48"/>
      <c r="AS322" s="48"/>
      <c r="AT322" s="48"/>
      <c r="AU322" s="48"/>
      <c r="AV322" s="48"/>
      <c r="AW322" s="48"/>
      <c r="AX322" s="48"/>
      <c r="AY322" s="48"/>
      <c r="AZ322" s="48"/>
      <c r="BA322" s="48"/>
      <c r="BB322" s="48"/>
      <c r="BC322" s="48"/>
      <c r="BD322" s="48"/>
      <c r="BE322" s="48"/>
      <c r="BF322" s="48"/>
      <c r="BG322" s="48"/>
      <c r="BH322" s="48"/>
      <c r="BI322" s="48"/>
    </row>
    <row r="323" ht="15.75" customHeight="1">
      <c r="A323" s="41" t="str">
        <f t="shared" si="6"/>
        <v>PiècesSalaires autres</v>
      </c>
      <c r="B323" s="96" t="s">
        <v>121</v>
      </c>
      <c r="C323" s="49"/>
      <c r="D323" s="98"/>
      <c r="E323" s="99"/>
      <c r="F323" s="49"/>
      <c r="G323" s="98"/>
      <c r="H323" s="99"/>
      <c r="I323" s="49"/>
      <c r="J323" s="98"/>
      <c r="K323" s="99"/>
      <c r="L323" s="49"/>
      <c r="M323" s="98"/>
      <c r="N323" s="99"/>
      <c r="O323" s="49"/>
      <c r="P323" s="98"/>
      <c r="Q323" s="99"/>
      <c r="R323" s="49"/>
      <c r="S323" s="98"/>
      <c r="T323" s="99"/>
      <c r="U323" s="49"/>
      <c r="V323" s="98"/>
      <c r="W323" s="99"/>
      <c r="X323" s="49"/>
      <c r="Y323" s="98"/>
      <c r="Z323" s="99"/>
      <c r="AA323" s="49"/>
      <c r="AB323" s="98"/>
      <c r="AC323" s="99"/>
      <c r="AD323" s="49"/>
      <c r="AE323" s="98"/>
      <c r="AF323" s="99"/>
      <c r="AG323" s="49"/>
      <c r="AH323" s="98"/>
      <c r="AI323" s="99"/>
      <c r="AJ323" s="49"/>
      <c r="AK323" s="98"/>
      <c r="AL323" s="99"/>
      <c r="AM323" s="49"/>
      <c r="AN323" s="98"/>
      <c r="AO323" s="244"/>
      <c r="AP323" s="48"/>
      <c r="AQ323" s="48"/>
      <c r="AR323" s="48"/>
      <c r="AS323" s="48"/>
      <c r="AT323" s="48"/>
      <c r="AU323" s="48"/>
      <c r="AV323" s="48"/>
      <c r="AW323" s="48"/>
      <c r="AX323" s="48"/>
      <c r="AY323" s="48"/>
      <c r="AZ323" s="48"/>
      <c r="BA323" s="48"/>
      <c r="BB323" s="48"/>
      <c r="BC323" s="48"/>
      <c r="BD323" s="48"/>
      <c r="BE323" s="48"/>
      <c r="BF323" s="48"/>
      <c r="BG323" s="48"/>
      <c r="BH323" s="48"/>
      <c r="BI323" s="48"/>
    </row>
    <row r="324" ht="15.75" customHeight="1">
      <c r="A324" s="41" t="str">
        <f t="shared" si="6"/>
        <v>PiècesSalaires spécialistes</v>
      </c>
      <c r="B324" s="96" t="s">
        <v>122</v>
      </c>
      <c r="C324" s="57"/>
      <c r="D324" s="74"/>
      <c r="E324" s="75"/>
      <c r="F324" s="57"/>
      <c r="G324" s="74"/>
      <c r="H324" s="75"/>
      <c r="I324" s="57"/>
      <c r="J324" s="74"/>
      <c r="K324" s="75"/>
      <c r="L324" s="57"/>
      <c r="M324" s="74"/>
      <c r="N324" s="75"/>
      <c r="O324" s="57"/>
      <c r="P324" s="74"/>
      <c r="Q324" s="75"/>
      <c r="R324" s="57"/>
      <c r="S324" s="74"/>
      <c r="T324" s="75"/>
      <c r="U324" s="57"/>
      <c r="V324" s="74"/>
      <c r="W324" s="75"/>
      <c r="X324" s="57"/>
      <c r="Y324" s="74"/>
      <c r="Z324" s="75"/>
      <c r="AA324" s="57"/>
      <c r="AB324" s="74"/>
      <c r="AC324" s="75"/>
      <c r="AD324" s="57"/>
      <c r="AE324" s="74"/>
      <c r="AF324" s="75"/>
      <c r="AG324" s="57"/>
      <c r="AH324" s="74"/>
      <c r="AI324" s="75"/>
      <c r="AJ324" s="57"/>
      <c r="AK324" s="74"/>
      <c r="AL324" s="75"/>
      <c r="AM324" s="57"/>
      <c r="AN324" s="74"/>
      <c r="AO324" s="242"/>
      <c r="AP324" s="48"/>
      <c r="AQ324" s="48"/>
      <c r="AR324" s="48"/>
      <c r="AS324" s="48"/>
      <c r="AT324" s="48"/>
      <c r="AU324" s="48"/>
      <c r="AV324" s="48"/>
      <c r="AW324" s="48"/>
      <c r="AX324" s="48"/>
      <c r="AY324" s="48"/>
      <c r="AZ324" s="48"/>
      <c r="BA324" s="48"/>
      <c r="BB324" s="48"/>
      <c r="BC324" s="48"/>
      <c r="BD324" s="48"/>
      <c r="BE324" s="48"/>
      <c r="BF324" s="48"/>
      <c r="BG324" s="48"/>
      <c r="BH324" s="48"/>
      <c r="BI324" s="48"/>
    </row>
    <row r="325" ht="15.75" customHeight="1">
      <c r="A325" s="41" t="str">
        <f t="shared" si="6"/>
        <v>Pièces[...]</v>
      </c>
      <c r="B325" s="57" t="s">
        <v>56</v>
      </c>
      <c r="C325" s="57"/>
      <c r="D325" s="74"/>
      <c r="E325" s="75"/>
      <c r="F325" s="57"/>
      <c r="G325" s="74"/>
      <c r="H325" s="75"/>
      <c r="I325" s="57"/>
      <c r="J325" s="74"/>
      <c r="K325" s="75"/>
      <c r="L325" s="57"/>
      <c r="M325" s="74"/>
      <c r="N325" s="75"/>
      <c r="O325" s="57"/>
      <c r="P325" s="74"/>
      <c r="Q325" s="75"/>
      <c r="R325" s="57"/>
      <c r="S325" s="74"/>
      <c r="T325" s="75"/>
      <c r="U325" s="57"/>
      <c r="V325" s="74"/>
      <c r="W325" s="75"/>
      <c r="X325" s="57"/>
      <c r="Y325" s="74"/>
      <c r="Z325" s="75"/>
      <c r="AA325" s="57"/>
      <c r="AB325" s="74"/>
      <c r="AC325" s="75"/>
      <c r="AD325" s="57"/>
      <c r="AE325" s="74"/>
      <c r="AF325" s="75"/>
      <c r="AG325" s="57"/>
      <c r="AH325" s="74"/>
      <c r="AI325" s="75"/>
      <c r="AJ325" s="57"/>
      <c r="AK325" s="74"/>
      <c r="AL325" s="75"/>
      <c r="AM325" s="57"/>
      <c r="AN325" s="74"/>
      <c r="AO325" s="242"/>
      <c r="AP325" s="48"/>
      <c r="AQ325" s="48"/>
      <c r="AR325" s="48"/>
      <c r="AS325" s="48"/>
      <c r="AT325" s="48"/>
      <c r="AU325" s="48"/>
      <c r="AV325" s="48"/>
      <c r="AW325" s="48"/>
      <c r="AX325" s="48"/>
      <c r="AY325" s="48"/>
      <c r="AZ325" s="48"/>
      <c r="BA325" s="48"/>
      <c r="BB325" s="48"/>
      <c r="BC325" s="48"/>
      <c r="BD325" s="48"/>
      <c r="BE325" s="48"/>
      <c r="BF325" s="48"/>
      <c r="BG325" s="48"/>
      <c r="BH325" s="48"/>
      <c r="BI325" s="48"/>
    </row>
    <row r="326" ht="15.75" customHeight="1">
      <c r="A326" s="41" t="str">
        <f t="shared" si="6"/>
        <v>Pièces[...]</v>
      </c>
      <c r="B326" s="57" t="s">
        <v>56</v>
      </c>
      <c r="C326" s="57"/>
      <c r="D326" s="74"/>
      <c r="E326" s="75"/>
      <c r="F326" s="57"/>
      <c r="G326" s="74"/>
      <c r="H326" s="75"/>
      <c r="I326" s="57"/>
      <c r="J326" s="74"/>
      <c r="K326" s="75"/>
      <c r="L326" s="57"/>
      <c r="M326" s="74"/>
      <c r="N326" s="75"/>
      <c r="O326" s="57"/>
      <c r="P326" s="74"/>
      <c r="Q326" s="75"/>
      <c r="R326" s="57"/>
      <c r="S326" s="74"/>
      <c r="T326" s="75"/>
      <c r="U326" s="57"/>
      <c r="V326" s="74"/>
      <c r="W326" s="75"/>
      <c r="X326" s="57"/>
      <c r="Y326" s="74"/>
      <c r="Z326" s="75"/>
      <c r="AA326" s="57"/>
      <c r="AB326" s="74"/>
      <c r="AC326" s="75"/>
      <c r="AD326" s="57"/>
      <c r="AE326" s="74"/>
      <c r="AF326" s="75"/>
      <c r="AG326" s="57"/>
      <c r="AH326" s="74"/>
      <c r="AI326" s="75"/>
      <c r="AJ326" s="57"/>
      <c r="AK326" s="74"/>
      <c r="AL326" s="75"/>
      <c r="AM326" s="57"/>
      <c r="AN326" s="74"/>
      <c r="AO326" s="242"/>
      <c r="AP326" s="48"/>
      <c r="AQ326" s="48"/>
      <c r="AR326" s="48"/>
      <c r="AS326" s="48"/>
      <c r="AT326" s="48"/>
      <c r="AU326" s="48"/>
      <c r="AV326" s="48"/>
      <c r="AW326" s="48"/>
      <c r="AX326" s="48"/>
      <c r="AY326" s="48"/>
      <c r="AZ326" s="48"/>
      <c r="BA326" s="48"/>
      <c r="BB326" s="48"/>
      <c r="BC326" s="48"/>
      <c r="BD326" s="48"/>
      <c r="BE326" s="48"/>
      <c r="BF326" s="48"/>
      <c r="BG326" s="48"/>
      <c r="BH326" s="48"/>
      <c r="BI326" s="48"/>
    </row>
    <row r="327" ht="15.75" customHeight="1">
      <c r="A327" s="41" t="str">
        <f t="shared" si="6"/>
        <v>Pièces[...]</v>
      </c>
      <c r="B327" s="57" t="s">
        <v>56</v>
      </c>
      <c r="C327" s="57"/>
      <c r="D327" s="74"/>
      <c r="E327" s="75"/>
      <c r="F327" s="57"/>
      <c r="G327" s="74"/>
      <c r="H327" s="75"/>
      <c r="I327" s="57"/>
      <c r="J327" s="74"/>
      <c r="K327" s="75"/>
      <c r="L327" s="57"/>
      <c r="M327" s="74"/>
      <c r="N327" s="75"/>
      <c r="O327" s="57"/>
      <c r="P327" s="74"/>
      <c r="Q327" s="75"/>
      <c r="R327" s="57"/>
      <c r="S327" s="74"/>
      <c r="T327" s="75"/>
      <c r="U327" s="57"/>
      <c r="V327" s="74"/>
      <c r="W327" s="75"/>
      <c r="X327" s="57"/>
      <c r="Y327" s="74"/>
      <c r="Z327" s="75"/>
      <c r="AA327" s="57"/>
      <c r="AB327" s="74"/>
      <c r="AC327" s="75"/>
      <c r="AD327" s="57"/>
      <c r="AE327" s="74"/>
      <c r="AF327" s="75"/>
      <c r="AG327" s="57"/>
      <c r="AH327" s="74"/>
      <c r="AI327" s="75"/>
      <c r="AJ327" s="57"/>
      <c r="AK327" s="74"/>
      <c r="AL327" s="75"/>
      <c r="AM327" s="57"/>
      <c r="AN327" s="74"/>
      <c r="AO327" s="242"/>
      <c r="AP327" s="48"/>
      <c r="AQ327" s="48"/>
      <c r="AR327" s="48"/>
      <c r="AS327" s="48"/>
      <c r="AT327" s="48"/>
      <c r="AU327" s="48"/>
      <c r="AV327" s="48"/>
      <c r="AW327" s="48"/>
      <c r="AX327" s="48"/>
      <c r="AY327" s="48"/>
      <c r="AZ327" s="48"/>
      <c r="BA327" s="48"/>
      <c r="BB327" s="48"/>
      <c r="BC327" s="48"/>
      <c r="BD327" s="48"/>
      <c r="BE327" s="48"/>
      <c r="BF327" s="48"/>
      <c r="BG327" s="48"/>
      <c r="BH327" s="48"/>
      <c r="BI327" s="48"/>
    </row>
    <row r="328" ht="15.75" customHeight="1">
      <c r="A328" s="41" t="str">
        <f t="shared" si="6"/>
        <v>PiècesSalaires en absences</v>
      </c>
      <c r="B328" s="97" t="s">
        <v>123</v>
      </c>
      <c r="C328" s="57"/>
      <c r="D328" s="74"/>
      <c r="E328" s="75"/>
      <c r="F328" s="57"/>
      <c r="G328" s="74"/>
      <c r="H328" s="75"/>
      <c r="I328" s="57"/>
      <c r="J328" s="74"/>
      <c r="K328" s="75"/>
      <c r="L328" s="57"/>
      <c r="M328" s="74"/>
      <c r="N328" s="75"/>
      <c r="O328" s="57"/>
      <c r="P328" s="74"/>
      <c r="Q328" s="75"/>
      <c r="R328" s="57"/>
      <c r="S328" s="74"/>
      <c r="T328" s="75"/>
      <c r="U328" s="57"/>
      <c r="V328" s="74"/>
      <c r="W328" s="75"/>
      <c r="X328" s="57"/>
      <c r="Y328" s="74"/>
      <c r="Z328" s="75"/>
      <c r="AA328" s="57"/>
      <c r="AB328" s="74"/>
      <c r="AC328" s="75"/>
      <c r="AD328" s="57"/>
      <c r="AE328" s="74"/>
      <c r="AF328" s="75"/>
      <c r="AG328" s="57"/>
      <c r="AH328" s="74"/>
      <c r="AI328" s="75"/>
      <c r="AJ328" s="57"/>
      <c r="AK328" s="74"/>
      <c r="AL328" s="75"/>
      <c r="AM328" s="57"/>
      <c r="AN328" s="74"/>
      <c r="AO328" s="242"/>
      <c r="AP328" s="48"/>
      <c r="AQ328" s="48"/>
      <c r="AR328" s="48"/>
      <c r="AS328" s="48"/>
      <c r="AT328" s="48"/>
      <c r="AU328" s="48"/>
      <c r="AV328" s="48"/>
      <c r="AW328" s="48"/>
      <c r="AX328" s="48"/>
      <c r="AY328" s="48"/>
      <c r="AZ328" s="48"/>
      <c r="BA328" s="48"/>
      <c r="BB328" s="48"/>
      <c r="BC328" s="48"/>
      <c r="BD328" s="48"/>
      <c r="BE328" s="48"/>
      <c r="BF328" s="48"/>
      <c r="BG328" s="48"/>
      <c r="BH328" s="48"/>
      <c r="BI328" s="48"/>
    </row>
    <row r="329" ht="15.75" customHeight="1">
      <c r="A329" s="41" t="str">
        <f t="shared" si="6"/>
        <v>PiècesDéduction à la source</v>
      </c>
      <c r="B329" s="96" t="s">
        <v>124</v>
      </c>
      <c r="C329" s="49"/>
      <c r="D329" s="98"/>
      <c r="E329" s="99"/>
      <c r="F329" s="49"/>
      <c r="G329" s="98"/>
      <c r="H329" s="99"/>
      <c r="I329" s="49"/>
      <c r="J329" s="98"/>
      <c r="K329" s="99"/>
      <c r="L329" s="49"/>
      <c r="M329" s="98"/>
      <c r="N329" s="99"/>
      <c r="O329" s="49"/>
      <c r="P329" s="98"/>
      <c r="Q329" s="99"/>
      <c r="R329" s="49"/>
      <c r="S329" s="98"/>
      <c r="T329" s="253"/>
      <c r="U329" s="49"/>
      <c r="V329" s="98"/>
      <c r="W329" s="99"/>
      <c r="X329" s="49"/>
      <c r="Y329" s="98"/>
      <c r="Z329" s="99"/>
      <c r="AA329" s="49"/>
      <c r="AB329" s="98"/>
      <c r="AC329" s="99"/>
      <c r="AD329" s="49"/>
      <c r="AE329" s="98"/>
      <c r="AF329" s="99"/>
      <c r="AG329" s="49"/>
      <c r="AH329" s="98"/>
      <c r="AI329" s="99"/>
      <c r="AJ329" s="49"/>
      <c r="AK329" s="98"/>
      <c r="AL329" s="99"/>
      <c r="AM329" s="49"/>
      <c r="AN329" s="98"/>
      <c r="AO329" s="244"/>
      <c r="AP329" s="48"/>
      <c r="AQ329" s="48"/>
      <c r="AR329" s="48"/>
      <c r="AS329" s="48"/>
      <c r="AT329" s="48"/>
      <c r="AU329" s="48"/>
      <c r="AV329" s="48"/>
      <c r="AW329" s="48"/>
      <c r="AX329" s="48"/>
      <c r="AY329" s="48"/>
      <c r="AZ329" s="48"/>
      <c r="BA329" s="48"/>
      <c r="BB329" s="48"/>
      <c r="BC329" s="48"/>
      <c r="BD329" s="48"/>
      <c r="BE329" s="48"/>
      <c r="BF329" s="48"/>
      <c r="BG329" s="48"/>
      <c r="BH329" s="48"/>
      <c r="BI329" s="48"/>
    </row>
    <row r="330" ht="15.75" customHeight="1">
      <c r="A330" s="41" t="str">
        <f t="shared" si="6"/>
        <v>PiècesBénéfices marginaux</v>
      </c>
      <c r="B330" s="96" t="s">
        <v>125</v>
      </c>
      <c r="C330" s="57"/>
      <c r="D330" s="74"/>
      <c r="E330" s="75"/>
      <c r="F330" s="57"/>
      <c r="G330" s="74"/>
      <c r="H330" s="75"/>
      <c r="I330" s="57"/>
      <c r="J330" s="74"/>
      <c r="K330" s="75"/>
      <c r="L330" s="57"/>
      <c r="M330" s="74"/>
      <c r="N330" s="75"/>
      <c r="O330" s="57"/>
      <c r="P330" s="74"/>
      <c r="Q330" s="75"/>
      <c r="R330" s="57"/>
      <c r="S330" s="74"/>
      <c r="T330" s="75"/>
      <c r="U330" s="57"/>
      <c r="V330" s="74"/>
      <c r="W330" s="75"/>
      <c r="X330" s="57"/>
      <c r="Y330" s="74"/>
      <c r="Z330" s="75"/>
      <c r="AA330" s="57"/>
      <c r="AB330" s="74"/>
      <c r="AC330" s="75"/>
      <c r="AD330" s="57"/>
      <c r="AE330" s="74"/>
      <c r="AF330" s="75"/>
      <c r="AG330" s="57"/>
      <c r="AH330" s="74"/>
      <c r="AI330" s="75"/>
      <c r="AJ330" s="57"/>
      <c r="AK330" s="74"/>
      <c r="AL330" s="75"/>
      <c r="AM330" s="57"/>
      <c r="AN330" s="74"/>
      <c r="AO330" s="242"/>
      <c r="AP330" s="48"/>
      <c r="AQ330" s="48"/>
      <c r="AR330" s="48"/>
      <c r="AS330" s="48"/>
      <c r="AT330" s="48"/>
      <c r="AU330" s="48"/>
      <c r="AV330" s="48"/>
      <c r="AW330" s="48"/>
      <c r="AX330" s="48"/>
      <c r="AY330" s="48"/>
      <c r="AZ330" s="48"/>
      <c r="BA330" s="48"/>
      <c r="BB330" s="48"/>
      <c r="BC330" s="48"/>
      <c r="BD330" s="48"/>
      <c r="BE330" s="48"/>
      <c r="BF330" s="48"/>
      <c r="BG330" s="48"/>
      <c r="BH330" s="48"/>
      <c r="BI330" s="48"/>
    </row>
    <row r="331" ht="15.75" customHeight="1">
      <c r="A331" s="41" t="str">
        <f t="shared" si="6"/>
        <v>PiècesCsst</v>
      </c>
      <c r="B331" s="96" t="s">
        <v>126</v>
      </c>
      <c r="C331" s="57"/>
      <c r="D331" s="74"/>
      <c r="E331" s="75"/>
      <c r="F331" s="57"/>
      <c r="G331" s="74"/>
      <c r="H331" s="75"/>
      <c r="I331" s="57"/>
      <c r="J331" s="74"/>
      <c r="K331" s="75"/>
      <c r="L331" s="57"/>
      <c r="M331" s="74"/>
      <c r="N331" s="75"/>
      <c r="O331" s="57"/>
      <c r="P331" s="74"/>
      <c r="Q331" s="75"/>
      <c r="R331" s="57"/>
      <c r="S331" s="74"/>
      <c r="T331" s="250"/>
      <c r="U331" s="57"/>
      <c r="V331" s="74"/>
      <c r="W331" s="75"/>
      <c r="X331" s="57"/>
      <c r="Y331" s="74"/>
      <c r="Z331" s="75"/>
      <c r="AA331" s="57"/>
      <c r="AB331" s="74"/>
      <c r="AC331" s="75"/>
      <c r="AD331" s="57"/>
      <c r="AE331" s="74"/>
      <c r="AF331" s="75"/>
      <c r="AG331" s="57"/>
      <c r="AH331" s="74"/>
      <c r="AI331" s="75"/>
      <c r="AJ331" s="57"/>
      <c r="AK331" s="74"/>
      <c r="AL331" s="75"/>
      <c r="AM331" s="57"/>
      <c r="AN331" s="74"/>
      <c r="AO331" s="242"/>
      <c r="AP331" s="48"/>
      <c r="AQ331" s="48"/>
      <c r="AR331" s="48"/>
      <c r="AS331" s="48"/>
      <c r="AT331" s="48"/>
      <c r="AU331" s="48"/>
      <c r="AV331" s="48"/>
      <c r="AW331" s="48"/>
      <c r="AX331" s="48"/>
      <c r="AY331" s="48"/>
      <c r="AZ331" s="48"/>
      <c r="BA331" s="48"/>
      <c r="BB331" s="48"/>
      <c r="BC331" s="48"/>
      <c r="BD331" s="48"/>
      <c r="BE331" s="48"/>
      <c r="BF331" s="48"/>
      <c r="BG331" s="48"/>
      <c r="BH331" s="48"/>
      <c r="BI331" s="48"/>
    </row>
    <row r="332" ht="15.75" customHeight="1">
      <c r="A332" s="41" t="str">
        <f t="shared" si="6"/>
        <v>Pièces[...]</v>
      </c>
      <c r="B332" s="57" t="s">
        <v>56</v>
      </c>
      <c r="C332" s="53"/>
      <c r="D332" s="100"/>
      <c r="E332" s="91"/>
      <c r="F332" s="53"/>
      <c r="G332" s="100"/>
      <c r="H332" s="91"/>
      <c r="I332" s="53"/>
      <c r="J332" s="100"/>
      <c r="K332" s="91"/>
      <c r="L332" s="53"/>
      <c r="M332" s="100"/>
      <c r="N332" s="91"/>
      <c r="O332" s="53"/>
      <c r="P332" s="100"/>
      <c r="Q332" s="91"/>
      <c r="R332" s="53"/>
      <c r="S332" s="100"/>
      <c r="T332" s="91"/>
      <c r="U332" s="53"/>
      <c r="V332" s="100"/>
      <c r="W332" s="91"/>
      <c r="X332" s="53"/>
      <c r="Y332" s="100"/>
      <c r="Z332" s="91"/>
      <c r="AA332" s="53"/>
      <c r="AB332" s="100"/>
      <c r="AC332" s="91"/>
      <c r="AD332" s="53"/>
      <c r="AE332" s="100"/>
      <c r="AF332" s="91"/>
      <c r="AG332" s="53"/>
      <c r="AH332" s="100"/>
      <c r="AI332" s="91"/>
      <c r="AJ332" s="53"/>
      <c r="AK332" s="100"/>
      <c r="AL332" s="91"/>
      <c r="AM332" s="53"/>
      <c r="AN332" s="100"/>
      <c r="AO332" s="243"/>
      <c r="AP332" s="48"/>
      <c r="AQ332" s="48"/>
      <c r="AR332" s="48"/>
      <c r="AS332" s="48"/>
      <c r="AT332" s="48"/>
      <c r="AU332" s="48"/>
      <c r="AV332" s="48"/>
      <c r="AW332" s="48"/>
      <c r="AX332" s="48"/>
      <c r="AY332" s="48"/>
      <c r="AZ332" s="48"/>
      <c r="BA332" s="48"/>
      <c r="BB332" s="48"/>
      <c r="BC332" s="48"/>
      <c r="BD332" s="48"/>
      <c r="BE332" s="48"/>
      <c r="BF332" s="48"/>
      <c r="BG332" s="48"/>
      <c r="BH332" s="48"/>
      <c r="BI332" s="48"/>
    </row>
    <row r="333" ht="15.75" customHeight="1">
      <c r="A333" s="41" t="str">
        <f t="shared" si="6"/>
        <v>PiècesTOTAL PERSONNEL</v>
      </c>
      <c r="B333" s="92" t="s">
        <v>127</v>
      </c>
      <c r="C333" s="93"/>
      <c r="D333" s="94"/>
      <c r="E333" s="95"/>
      <c r="F333" s="93"/>
      <c r="G333" s="94"/>
      <c r="H333" s="95"/>
      <c r="I333" s="93"/>
      <c r="J333" s="94"/>
      <c r="K333" s="95"/>
      <c r="L333" s="93"/>
      <c r="M333" s="94"/>
      <c r="N333" s="95"/>
      <c r="O333" s="93"/>
      <c r="P333" s="94"/>
      <c r="Q333" s="95"/>
      <c r="R333" s="93"/>
      <c r="S333" s="94"/>
      <c r="T333" s="95"/>
      <c r="U333" s="93"/>
      <c r="V333" s="94"/>
      <c r="W333" s="95"/>
      <c r="X333" s="93"/>
      <c r="Y333" s="94"/>
      <c r="Z333" s="95"/>
      <c r="AA333" s="93"/>
      <c r="AB333" s="94"/>
      <c r="AC333" s="95"/>
      <c r="AD333" s="93"/>
      <c r="AE333" s="94"/>
      <c r="AF333" s="95"/>
      <c r="AG333" s="93"/>
      <c r="AH333" s="94"/>
      <c r="AI333" s="95"/>
      <c r="AJ333" s="93"/>
      <c r="AK333" s="94"/>
      <c r="AL333" s="95"/>
      <c r="AM333" s="93"/>
      <c r="AN333" s="94"/>
      <c r="AO333" s="95"/>
      <c r="AP333" s="48"/>
      <c r="AQ333" s="48"/>
      <c r="AR333" s="48"/>
      <c r="AS333" s="48"/>
      <c r="AT333" s="48"/>
      <c r="AU333" s="48"/>
      <c r="AV333" s="48"/>
      <c r="AW333" s="48"/>
      <c r="AX333" s="48"/>
      <c r="AY333" s="48"/>
      <c r="AZ333" s="48"/>
      <c r="BA333" s="48"/>
      <c r="BB333" s="48"/>
      <c r="BC333" s="48"/>
      <c r="BD333" s="48"/>
      <c r="BE333" s="48"/>
      <c r="BF333" s="48"/>
      <c r="BG333" s="48"/>
      <c r="BH333" s="48"/>
      <c r="BI333" s="48"/>
    </row>
    <row r="334" ht="15.75" customHeight="1">
      <c r="A334" s="41" t="str">
        <f t="shared" si="6"/>
        <v>PiècesPublicité 2</v>
      </c>
      <c r="B334" s="150" t="s">
        <v>128</v>
      </c>
      <c r="C334" s="57"/>
      <c r="D334" s="74"/>
      <c r="E334" s="75"/>
      <c r="F334" s="57"/>
      <c r="G334" s="74"/>
      <c r="H334" s="75"/>
      <c r="I334" s="57"/>
      <c r="J334" s="74"/>
      <c r="K334" s="75"/>
      <c r="L334" s="57"/>
      <c r="M334" s="74"/>
      <c r="N334" s="75"/>
      <c r="O334" s="57"/>
      <c r="P334" s="74"/>
      <c r="Q334" s="75"/>
      <c r="R334" s="57"/>
      <c r="S334" s="74"/>
      <c r="T334" s="75"/>
      <c r="U334" s="57"/>
      <c r="V334" s="74"/>
      <c r="W334" s="75"/>
      <c r="X334" s="57"/>
      <c r="Y334" s="74"/>
      <c r="Z334" s="75"/>
      <c r="AA334" s="57"/>
      <c r="AB334" s="74"/>
      <c r="AC334" s="75"/>
      <c r="AD334" s="57"/>
      <c r="AE334" s="74"/>
      <c r="AF334" s="75"/>
      <c r="AG334" s="57"/>
      <c r="AH334" s="74"/>
      <c r="AI334" s="75"/>
      <c r="AJ334" s="57"/>
      <c r="AK334" s="74"/>
      <c r="AL334" s="75"/>
      <c r="AM334" s="57"/>
      <c r="AN334" s="74"/>
      <c r="AO334" s="242"/>
      <c r="AP334" s="48"/>
      <c r="AQ334" s="48"/>
      <c r="AR334" s="48"/>
      <c r="AS334" s="48"/>
      <c r="AT334" s="48"/>
      <c r="AU334" s="48"/>
      <c r="AV334" s="48"/>
      <c r="AW334" s="48"/>
      <c r="AX334" s="48"/>
      <c r="AY334" s="48"/>
      <c r="AZ334" s="48"/>
      <c r="BA334" s="48"/>
      <c r="BB334" s="48"/>
      <c r="BC334" s="48"/>
      <c r="BD334" s="48"/>
      <c r="BE334" s="48"/>
      <c r="BF334" s="48"/>
      <c r="BG334" s="48"/>
      <c r="BH334" s="48"/>
      <c r="BI334" s="48"/>
    </row>
    <row r="335" ht="15.75" customHeight="1">
      <c r="A335" s="41" t="str">
        <f t="shared" si="6"/>
        <v>PiècesService gratuit 2</v>
      </c>
      <c r="B335" s="96" t="s">
        <v>129</v>
      </c>
      <c r="C335" s="57"/>
      <c r="D335" s="74"/>
      <c r="E335" s="75"/>
      <c r="F335" s="57"/>
      <c r="G335" s="74"/>
      <c r="H335" s="75"/>
      <c r="I335" s="57"/>
      <c r="J335" s="74"/>
      <c r="K335" s="75"/>
      <c r="L335" s="57"/>
      <c r="M335" s="74"/>
      <c r="N335" s="75"/>
      <c r="O335" s="57"/>
      <c r="P335" s="74"/>
      <c r="Q335" s="75"/>
      <c r="R335" s="57"/>
      <c r="S335" s="74"/>
      <c r="T335" s="75"/>
      <c r="U335" s="57"/>
      <c r="V335" s="74"/>
      <c r="W335" s="75"/>
      <c r="X335" s="57"/>
      <c r="Y335" s="74"/>
      <c r="Z335" s="75"/>
      <c r="AA335" s="57"/>
      <c r="AB335" s="74"/>
      <c r="AC335" s="75"/>
      <c r="AD335" s="57"/>
      <c r="AE335" s="74"/>
      <c r="AF335" s="75"/>
      <c r="AG335" s="57"/>
      <c r="AH335" s="74"/>
      <c r="AI335" s="75"/>
      <c r="AJ335" s="57"/>
      <c r="AK335" s="74"/>
      <c r="AL335" s="75"/>
      <c r="AM335" s="57"/>
      <c r="AN335" s="74"/>
      <c r="AO335" s="242"/>
      <c r="AP335" s="48"/>
      <c r="AQ335" s="48"/>
      <c r="AR335" s="48"/>
      <c r="AS335" s="48"/>
      <c r="AT335" s="48"/>
      <c r="AU335" s="48"/>
      <c r="AV335" s="48"/>
      <c r="AW335" s="48"/>
      <c r="AX335" s="48"/>
      <c r="AY335" s="48"/>
      <c r="AZ335" s="48"/>
      <c r="BA335" s="48"/>
      <c r="BB335" s="48"/>
      <c r="BC335" s="48"/>
      <c r="BD335" s="48"/>
      <c r="BE335" s="48"/>
      <c r="BF335" s="48"/>
      <c r="BG335" s="48"/>
      <c r="BH335" s="48"/>
      <c r="BI335" s="48"/>
    </row>
    <row r="336" ht="15.75" customHeight="1">
      <c r="A336" s="41" t="str">
        <f t="shared" si="6"/>
        <v>PiècesFrais véhicules de cie</v>
      </c>
      <c r="B336" s="97" t="s">
        <v>130</v>
      </c>
      <c r="C336" s="53"/>
      <c r="D336" s="100"/>
      <c r="E336" s="91"/>
      <c r="F336" s="53"/>
      <c r="G336" s="100"/>
      <c r="H336" s="91"/>
      <c r="I336" s="53"/>
      <c r="J336" s="100"/>
      <c r="K336" s="91"/>
      <c r="L336" s="53"/>
      <c r="M336" s="100"/>
      <c r="N336" s="91"/>
      <c r="O336" s="53"/>
      <c r="P336" s="100"/>
      <c r="Q336" s="91"/>
      <c r="R336" s="53"/>
      <c r="S336" s="100"/>
      <c r="T336" s="91"/>
      <c r="U336" s="53"/>
      <c r="V336" s="100"/>
      <c r="W336" s="91"/>
      <c r="X336" s="53"/>
      <c r="Y336" s="100"/>
      <c r="Z336" s="91"/>
      <c r="AA336" s="53"/>
      <c r="AB336" s="100"/>
      <c r="AC336" s="91"/>
      <c r="AD336" s="53"/>
      <c r="AE336" s="100"/>
      <c r="AF336" s="91"/>
      <c r="AG336" s="53"/>
      <c r="AH336" s="100"/>
      <c r="AI336" s="91"/>
      <c r="AJ336" s="53"/>
      <c r="AK336" s="100"/>
      <c r="AL336" s="91"/>
      <c r="AM336" s="53"/>
      <c r="AN336" s="100"/>
      <c r="AO336" s="243"/>
      <c r="AP336" s="48"/>
      <c r="AQ336" s="48"/>
      <c r="AR336" s="48"/>
      <c r="AS336" s="48"/>
      <c r="AT336" s="48"/>
      <c r="AU336" s="48"/>
      <c r="AV336" s="48"/>
      <c r="AW336" s="48"/>
      <c r="AX336" s="48"/>
      <c r="AY336" s="48"/>
      <c r="AZ336" s="48"/>
      <c r="BA336" s="48"/>
      <c r="BB336" s="48"/>
      <c r="BC336" s="48"/>
      <c r="BD336" s="48"/>
      <c r="BE336" s="48"/>
      <c r="BF336" s="48"/>
      <c r="BG336" s="48"/>
      <c r="BH336" s="48"/>
      <c r="BI336" s="48"/>
    </row>
    <row r="337" ht="15.75" customHeight="1">
      <c r="A337" s="41" t="str">
        <f t="shared" si="6"/>
        <v>PiècesInformatique</v>
      </c>
      <c r="B337" s="96" t="s">
        <v>131</v>
      </c>
      <c r="C337" s="57"/>
      <c r="D337" s="74"/>
      <c r="E337" s="75"/>
      <c r="F337" s="57"/>
      <c r="G337" s="74"/>
      <c r="H337" s="75"/>
      <c r="I337" s="57"/>
      <c r="J337" s="74"/>
      <c r="K337" s="75"/>
      <c r="L337" s="57"/>
      <c r="M337" s="74"/>
      <c r="N337" s="75"/>
      <c r="O337" s="57"/>
      <c r="P337" s="74"/>
      <c r="Q337" s="75"/>
      <c r="R337" s="57"/>
      <c r="S337" s="74"/>
      <c r="T337" s="75"/>
      <c r="U337" s="57"/>
      <c r="V337" s="74"/>
      <c r="W337" s="75"/>
      <c r="X337" s="57"/>
      <c r="Y337" s="74"/>
      <c r="Z337" s="75"/>
      <c r="AA337" s="57"/>
      <c r="AB337" s="74"/>
      <c r="AC337" s="75"/>
      <c r="AD337" s="57"/>
      <c r="AE337" s="74"/>
      <c r="AF337" s="75"/>
      <c r="AG337" s="57"/>
      <c r="AH337" s="74"/>
      <c r="AI337" s="75"/>
      <c r="AJ337" s="57"/>
      <c r="AK337" s="74"/>
      <c r="AL337" s="75"/>
      <c r="AM337" s="57"/>
      <c r="AN337" s="74"/>
      <c r="AO337" s="242"/>
      <c r="AP337" s="48"/>
      <c r="AQ337" s="48"/>
      <c r="AR337" s="48"/>
      <c r="AS337" s="48"/>
      <c r="AT337" s="48"/>
      <c r="AU337" s="48"/>
      <c r="AV337" s="48"/>
      <c r="AW337" s="48"/>
      <c r="AX337" s="48"/>
      <c r="AY337" s="48"/>
      <c r="AZ337" s="48"/>
      <c r="BA337" s="48"/>
      <c r="BB337" s="48"/>
      <c r="BC337" s="48"/>
      <c r="BD337" s="48"/>
      <c r="BE337" s="48"/>
      <c r="BF337" s="48"/>
      <c r="BG337" s="48"/>
      <c r="BH337" s="48"/>
      <c r="BI337" s="48"/>
    </row>
    <row r="338" ht="15.75" customHeight="1">
      <c r="A338" s="41" t="str">
        <f t="shared" si="6"/>
        <v>PiècesFrais de déplacement</v>
      </c>
      <c r="B338" s="96" t="s">
        <v>132</v>
      </c>
      <c r="C338" s="57"/>
      <c r="D338" s="74"/>
      <c r="E338" s="75"/>
      <c r="F338" s="57"/>
      <c r="G338" s="74"/>
      <c r="H338" s="75"/>
      <c r="I338" s="57"/>
      <c r="J338" s="74"/>
      <c r="K338" s="75"/>
      <c r="L338" s="57"/>
      <c r="M338" s="74"/>
      <c r="N338" s="75"/>
      <c r="O338" s="57"/>
      <c r="P338" s="74"/>
      <c r="Q338" s="75"/>
      <c r="R338" s="57"/>
      <c r="S338" s="74"/>
      <c r="T338" s="75"/>
      <c r="U338" s="57"/>
      <c r="V338" s="74"/>
      <c r="W338" s="75"/>
      <c r="X338" s="57"/>
      <c r="Y338" s="74"/>
      <c r="Z338" s="75"/>
      <c r="AA338" s="57"/>
      <c r="AB338" s="74"/>
      <c r="AC338" s="75"/>
      <c r="AD338" s="57"/>
      <c r="AE338" s="74"/>
      <c r="AF338" s="75"/>
      <c r="AG338" s="57"/>
      <c r="AH338" s="74"/>
      <c r="AI338" s="75"/>
      <c r="AJ338" s="57"/>
      <c r="AK338" s="74"/>
      <c r="AL338" s="75"/>
      <c r="AM338" s="57"/>
      <c r="AN338" s="74"/>
      <c r="AO338" s="242"/>
      <c r="AP338" s="48"/>
      <c r="AQ338" s="48"/>
      <c r="AR338" s="48"/>
      <c r="AS338" s="48"/>
      <c r="AT338" s="48"/>
      <c r="AU338" s="48"/>
      <c r="AV338" s="48"/>
      <c r="AW338" s="48"/>
      <c r="AX338" s="48"/>
      <c r="AY338" s="48"/>
      <c r="AZ338" s="48"/>
      <c r="BA338" s="48"/>
      <c r="BB338" s="48"/>
      <c r="BC338" s="48"/>
      <c r="BD338" s="48"/>
      <c r="BE338" s="48"/>
      <c r="BF338" s="48"/>
      <c r="BG338" s="48"/>
      <c r="BH338" s="48"/>
      <c r="BI338" s="48"/>
    </row>
    <row r="339" ht="15.75" customHeight="1">
      <c r="A339" s="41" t="str">
        <f t="shared" si="6"/>
        <v>PiècesServices extérieurs</v>
      </c>
      <c r="B339" s="96" t="s">
        <v>133</v>
      </c>
      <c r="C339" s="53"/>
      <c r="D339" s="100"/>
      <c r="E339" s="91"/>
      <c r="F339" s="53"/>
      <c r="G339" s="100"/>
      <c r="H339" s="91"/>
      <c r="I339" s="53"/>
      <c r="J339" s="100"/>
      <c r="K339" s="91"/>
      <c r="L339" s="53"/>
      <c r="M339" s="100"/>
      <c r="N339" s="91"/>
      <c r="O339" s="53"/>
      <c r="P339" s="100"/>
      <c r="Q339" s="91"/>
      <c r="R339" s="53"/>
      <c r="S339" s="100"/>
      <c r="T339" s="91"/>
      <c r="U339" s="53"/>
      <c r="V339" s="100"/>
      <c r="W339" s="91"/>
      <c r="X339" s="53"/>
      <c r="Y339" s="100"/>
      <c r="Z339" s="91"/>
      <c r="AA339" s="53"/>
      <c r="AB339" s="100"/>
      <c r="AC339" s="91"/>
      <c r="AD339" s="53"/>
      <c r="AE339" s="100"/>
      <c r="AF339" s="91"/>
      <c r="AG339" s="53"/>
      <c r="AH339" s="100"/>
      <c r="AI339" s="91"/>
      <c r="AJ339" s="53"/>
      <c r="AK339" s="100"/>
      <c r="AL339" s="91"/>
      <c r="AM339" s="53"/>
      <c r="AN339" s="100"/>
      <c r="AO339" s="243"/>
      <c r="AP339" s="48"/>
      <c r="AQ339" s="48"/>
      <c r="AR339" s="48"/>
      <c r="AS339" s="48"/>
      <c r="AT339" s="48"/>
      <c r="AU339" s="48"/>
      <c r="AV339" s="48"/>
      <c r="AW339" s="48"/>
      <c r="AX339" s="48"/>
      <c r="AY339" s="48"/>
      <c r="AZ339" s="48"/>
      <c r="BA339" s="48"/>
      <c r="BB339" s="48"/>
      <c r="BC339" s="48"/>
      <c r="BD339" s="48"/>
      <c r="BE339" s="48"/>
      <c r="BF339" s="48"/>
      <c r="BG339" s="48"/>
      <c r="BH339" s="48"/>
      <c r="BI339" s="48"/>
    </row>
    <row r="340" ht="15.75" customHeight="1">
      <c r="A340" s="41" t="str">
        <f t="shared" si="6"/>
        <v>PiècesFournitures d'atelier</v>
      </c>
      <c r="B340" s="96" t="s">
        <v>173</v>
      </c>
      <c r="C340" s="57"/>
      <c r="D340" s="74"/>
      <c r="E340" s="75"/>
      <c r="F340" s="57"/>
      <c r="G340" s="74"/>
      <c r="H340" s="75"/>
      <c r="I340" s="57"/>
      <c r="J340" s="74"/>
      <c r="K340" s="75"/>
      <c r="L340" s="57"/>
      <c r="M340" s="74"/>
      <c r="N340" s="75"/>
      <c r="O340" s="57"/>
      <c r="P340" s="74"/>
      <c r="Q340" s="75"/>
      <c r="R340" s="57"/>
      <c r="S340" s="74"/>
      <c r="T340" s="75"/>
      <c r="U340" s="57"/>
      <c r="V340" s="74"/>
      <c r="W340" s="75"/>
      <c r="X340" s="57"/>
      <c r="Y340" s="74"/>
      <c r="Z340" s="75"/>
      <c r="AA340" s="57"/>
      <c r="AB340" s="74"/>
      <c r="AC340" s="75"/>
      <c r="AD340" s="57"/>
      <c r="AE340" s="74"/>
      <c r="AF340" s="75"/>
      <c r="AG340" s="57"/>
      <c r="AH340" s="74"/>
      <c r="AI340" s="75"/>
      <c r="AJ340" s="57"/>
      <c r="AK340" s="74"/>
      <c r="AL340" s="75"/>
      <c r="AM340" s="57"/>
      <c r="AN340" s="74"/>
      <c r="AO340" s="242"/>
      <c r="AP340" s="48"/>
      <c r="AQ340" s="48"/>
      <c r="AR340" s="48"/>
      <c r="AS340" s="48"/>
      <c r="AT340" s="48"/>
      <c r="AU340" s="48"/>
      <c r="AV340" s="48"/>
      <c r="AW340" s="48"/>
      <c r="AX340" s="48"/>
      <c r="AY340" s="48"/>
      <c r="AZ340" s="48"/>
      <c r="BA340" s="48"/>
      <c r="BB340" s="48"/>
      <c r="BC340" s="48"/>
      <c r="BD340" s="48"/>
      <c r="BE340" s="48"/>
      <c r="BF340" s="48"/>
      <c r="BG340" s="48"/>
      <c r="BH340" s="48"/>
      <c r="BI340" s="48"/>
    </row>
    <row r="341" ht="15.75" customHeight="1">
      <c r="A341" s="41" t="str">
        <f t="shared" si="6"/>
        <v>PiècesFournitures autres</v>
      </c>
      <c r="B341" s="150" t="s">
        <v>134</v>
      </c>
      <c r="C341" s="57"/>
      <c r="D341" s="74"/>
      <c r="E341" s="75"/>
      <c r="F341" s="57"/>
      <c r="G341" s="74"/>
      <c r="H341" s="75"/>
      <c r="I341" s="57"/>
      <c r="J341" s="74"/>
      <c r="K341" s="75"/>
      <c r="L341" s="57"/>
      <c r="M341" s="74"/>
      <c r="N341" s="75"/>
      <c r="O341" s="57"/>
      <c r="P341" s="74"/>
      <c r="Q341" s="75"/>
      <c r="R341" s="57"/>
      <c r="S341" s="74"/>
      <c r="T341" s="75"/>
      <c r="U341" s="57"/>
      <c r="V341" s="74"/>
      <c r="W341" s="75"/>
      <c r="X341" s="57"/>
      <c r="Y341" s="74"/>
      <c r="Z341" s="75"/>
      <c r="AA341" s="57"/>
      <c r="AB341" s="74"/>
      <c r="AC341" s="75"/>
      <c r="AD341" s="57"/>
      <c r="AE341" s="74"/>
      <c r="AF341" s="75"/>
      <c r="AG341" s="57"/>
      <c r="AH341" s="74"/>
      <c r="AI341" s="75"/>
      <c r="AJ341" s="57"/>
      <c r="AK341" s="74"/>
      <c r="AL341" s="75"/>
      <c r="AM341" s="57"/>
      <c r="AN341" s="74"/>
      <c r="AO341" s="242"/>
      <c r="AP341" s="48"/>
      <c r="AQ341" s="48"/>
      <c r="AR341" s="48"/>
      <c r="AS341" s="48"/>
      <c r="AT341" s="48"/>
      <c r="AU341" s="48"/>
      <c r="AV341" s="48"/>
      <c r="AW341" s="48"/>
      <c r="AX341" s="48"/>
      <c r="AY341" s="48"/>
      <c r="AZ341" s="48"/>
      <c r="BA341" s="48"/>
      <c r="BB341" s="48"/>
      <c r="BC341" s="48"/>
      <c r="BD341" s="48"/>
      <c r="BE341" s="48"/>
      <c r="BF341" s="48"/>
      <c r="BG341" s="48"/>
      <c r="BH341" s="48"/>
      <c r="BI341" s="48"/>
    </row>
    <row r="342" ht="15.75" customHeight="1">
      <c r="A342" s="41" t="str">
        <f t="shared" si="6"/>
        <v>PiècesUniformes</v>
      </c>
      <c r="B342" s="96" t="s">
        <v>135</v>
      </c>
      <c r="C342" s="57"/>
      <c r="D342" s="74"/>
      <c r="E342" s="75"/>
      <c r="F342" s="57"/>
      <c r="G342" s="74"/>
      <c r="H342" s="75"/>
      <c r="I342" s="57"/>
      <c r="J342" s="74"/>
      <c r="K342" s="75"/>
      <c r="L342" s="57"/>
      <c r="M342" s="74"/>
      <c r="N342" s="75"/>
      <c r="O342" s="57"/>
      <c r="P342" s="74"/>
      <c r="Q342" s="75"/>
      <c r="R342" s="57"/>
      <c r="S342" s="74"/>
      <c r="T342" s="75"/>
      <c r="U342" s="57"/>
      <c r="V342" s="74"/>
      <c r="W342" s="75"/>
      <c r="X342" s="57"/>
      <c r="Y342" s="74"/>
      <c r="Z342" s="75"/>
      <c r="AA342" s="57"/>
      <c r="AB342" s="74"/>
      <c r="AC342" s="75"/>
      <c r="AD342" s="57"/>
      <c r="AE342" s="74"/>
      <c r="AF342" s="75"/>
      <c r="AG342" s="57"/>
      <c r="AH342" s="74"/>
      <c r="AI342" s="75"/>
      <c r="AJ342" s="57"/>
      <c r="AK342" s="74"/>
      <c r="AL342" s="75"/>
      <c r="AM342" s="57"/>
      <c r="AN342" s="74"/>
      <c r="AO342" s="242"/>
      <c r="AP342" s="48"/>
      <c r="AQ342" s="48"/>
      <c r="AR342" s="48"/>
      <c r="AS342" s="48"/>
      <c r="AT342" s="48"/>
      <c r="AU342" s="48"/>
      <c r="AV342" s="48"/>
      <c r="AW342" s="48"/>
      <c r="AX342" s="48"/>
      <c r="AY342" s="48"/>
      <c r="AZ342" s="48"/>
      <c r="BA342" s="48"/>
      <c r="BB342" s="48"/>
      <c r="BC342" s="48"/>
      <c r="BD342" s="48"/>
      <c r="BE342" s="48"/>
      <c r="BF342" s="48"/>
      <c r="BG342" s="48"/>
      <c r="BH342" s="48"/>
      <c r="BI342" s="48"/>
    </row>
    <row r="343" ht="15.75" customHeight="1">
      <c r="A343" s="41" t="str">
        <f t="shared" si="6"/>
        <v>PiècesPapeterie</v>
      </c>
      <c r="B343" s="96" t="s">
        <v>136</v>
      </c>
      <c r="C343" s="57"/>
      <c r="D343" s="74"/>
      <c r="E343" s="75"/>
      <c r="F343" s="57"/>
      <c r="G343" s="74"/>
      <c r="H343" s="75"/>
      <c r="I343" s="57"/>
      <c r="J343" s="74"/>
      <c r="K343" s="75"/>
      <c r="L343" s="57"/>
      <c r="M343" s="74"/>
      <c r="N343" s="75"/>
      <c r="O343" s="57"/>
      <c r="P343" s="74"/>
      <c r="Q343" s="75"/>
      <c r="R343" s="57"/>
      <c r="S343" s="74"/>
      <c r="T343" s="75"/>
      <c r="U343" s="57"/>
      <c r="V343" s="74"/>
      <c r="W343" s="75"/>
      <c r="X343" s="57"/>
      <c r="Y343" s="74"/>
      <c r="Z343" s="75"/>
      <c r="AA343" s="57"/>
      <c r="AB343" s="74"/>
      <c r="AC343" s="75"/>
      <c r="AD343" s="57"/>
      <c r="AE343" s="74"/>
      <c r="AF343" s="75"/>
      <c r="AG343" s="57"/>
      <c r="AH343" s="74"/>
      <c r="AI343" s="75"/>
      <c r="AJ343" s="57"/>
      <c r="AK343" s="74"/>
      <c r="AL343" s="75"/>
      <c r="AM343" s="57"/>
      <c r="AN343" s="74"/>
      <c r="AO343" s="242"/>
      <c r="AP343" s="48"/>
      <c r="AQ343" s="48"/>
      <c r="AR343" s="48"/>
      <c r="AS343" s="48"/>
      <c r="AT343" s="48"/>
      <c r="AU343" s="48"/>
      <c r="AV343" s="48"/>
      <c r="AW343" s="48"/>
      <c r="AX343" s="48"/>
      <c r="AY343" s="48"/>
      <c r="AZ343" s="48"/>
      <c r="BA343" s="48"/>
      <c r="BB343" s="48"/>
      <c r="BC343" s="48"/>
      <c r="BD343" s="48"/>
      <c r="BE343" s="48"/>
      <c r="BF343" s="48"/>
      <c r="BG343" s="48"/>
      <c r="BH343" s="48"/>
      <c r="BI343" s="48"/>
    </row>
    <row r="344" ht="15.75" customHeight="1">
      <c r="A344" s="41" t="str">
        <f t="shared" si="6"/>
        <v>PiècesTéléphone</v>
      </c>
      <c r="B344" s="96" t="s">
        <v>137</v>
      </c>
      <c r="C344" s="57"/>
      <c r="D344" s="74"/>
      <c r="E344" s="75"/>
      <c r="F344" s="57"/>
      <c r="G344" s="74"/>
      <c r="H344" s="75"/>
      <c r="I344" s="57"/>
      <c r="J344" s="74"/>
      <c r="K344" s="75"/>
      <c r="L344" s="57"/>
      <c r="M344" s="74"/>
      <c r="N344" s="75"/>
      <c r="O344" s="57"/>
      <c r="P344" s="74"/>
      <c r="Q344" s="75"/>
      <c r="R344" s="57"/>
      <c r="S344" s="74"/>
      <c r="T344" s="75"/>
      <c r="U344" s="57"/>
      <c r="V344" s="74"/>
      <c r="W344" s="75"/>
      <c r="X344" s="57"/>
      <c r="Y344" s="74"/>
      <c r="Z344" s="75"/>
      <c r="AA344" s="57"/>
      <c r="AB344" s="74"/>
      <c r="AC344" s="75"/>
      <c r="AD344" s="57"/>
      <c r="AE344" s="74"/>
      <c r="AF344" s="75"/>
      <c r="AG344" s="57"/>
      <c r="AH344" s="74"/>
      <c r="AI344" s="75"/>
      <c r="AJ344" s="57"/>
      <c r="AK344" s="74"/>
      <c r="AL344" s="75"/>
      <c r="AM344" s="57"/>
      <c r="AN344" s="74"/>
      <c r="AO344" s="242"/>
      <c r="AP344" s="48"/>
      <c r="AQ344" s="48"/>
      <c r="AR344" s="48"/>
      <c r="AS344" s="48"/>
      <c r="AT344" s="48"/>
      <c r="AU344" s="48"/>
      <c r="AV344" s="48"/>
      <c r="AW344" s="48"/>
      <c r="AX344" s="48"/>
      <c r="AY344" s="48"/>
      <c r="AZ344" s="48"/>
      <c r="BA344" s="48"/>
      <c r="BB344" s="48"/>
      <c r="BC344" s="48"/>
      <c r="BD344" s="48"/>
      <c r="BE344" s="48"/>
      <c r="BF344" s="48"/>
      <c r="BG344" s="48"/>
      <c r="BH344" s="48"/>
      <c r="BI344" s="48"/>
    </row>
    <row r="345" ht="15.75" customHeight="1">
      <c r="A345" s="41" t="str">
        <f t="shared" si="6"/>
        <v>PiècesFrais postaux</v>
      </c>
      <c r="B345" s="96" t="s">
        <v>138</v>
      </c>
      <c r="C345" s="57"/>
      <c r="D345" s="74"/>
      <c r="E345" s="75"/>
      <c r="F345" s="57"/>
      <c r="G345" s="74"/>
      <c r="H345" s="75"/>
      <c r="I345" s="57"/>
      <c r="J345" s="74"/>
      <c r="K345" s="75"/>
      <c r="L345" s="57"/>
      <c r="M345" s="74"/>
      <c r="N345" s="75"/>
      <c r="O345" s="57"/>
      <c r="P345" s="74"/>
      <c r="Q345" s="75"/>
      <c r="R345" s="57"/>
      <c r="S345" s="74"/>
      <c r="T345" s="75"/>
      <c r="U345" s="57"/>
      <c r="V345" s="74"/>
      <c r="W345" s="75"/>
      <c r="X345" s="57"/>
      <c r="Y345" s="74"/>
      <c r="Z345" s="75"/>
      <c r="AA345" s="57"/>
      <c r="AB345" s="74"/>
      <c r="AC345" s="75"/>
      <c r="AD345" s="57"/>
      <c r="AE345" s="74"/>
      <c r="AF345" s="75"/>
      <c r="AG345" s="57"/>
      <c r="AH345" s="74"/>
      <c r="AI345" s="75"/>
      <c r="AJ345" s="57"/>
      <c r="AK345" s="74"/>
      <c r="AL345" s="75"/>
      <c r="AM345" s="57"/>
      <c r="AN345" s="74"/>
      <c r="AO345" s="242"/>
      <c r="AP345" s="48"/>
      <c r="AQ345" s="48"/>
      <c r="AR345" s="48"/>
      <c r="AS345" s="48"/>
      <c r="AT345" s="48"/>
      <c r="AU345" s="48"/>
      <c r="AV345" s="48"/>
      <c r="AW345" s="48"/>
      <c r="AX345" s="48"/>
      <c r="AY345" s="48"/>
      <c r="AZ345" s="48"/>
      <c r="BA345" s="48"/>
      <c r="BB345" s="48"/>
      <c r="BC345" s="48"/>
      <c r="BD345" s="48"/>
      <c r="BE345" s="48"/>
      <c r="BF345" s="48"/>
      <c r="BG345" s="48"/>
      <c r="BH345" s="48"/>
      <c r="BI345" s="48"/>
    </row>
    <row r="346" ht="15.75" customHeight="1">
      <c r="A346" s="41" t="str">
        <f t="shared" si="6"/>
        <v>PiècesDivers</v>
      </c>
      <c r="B346" s="96" t="s">
        <v>139</v>
      </c>
      <c r="C346" s="57"/>
      <c r="D346" s="74"/>
      <c r="E346" s="75"/>
      <c r="F346" s="57"/>
      <c r="G346" s="74"/>
      <c r="H346" s="75"/>
      <c r="I346" s="57"/>
      <c r="J346" s="74"/>
      <c r="K346" s="75"/>
      <c r="L346" s="57"/>
      <c r="M346" s="74"/>
      <c r="N346" s="75"/>
      <c r="O346" s="57"/>
      <c r="P346" s="74"/>
      <c r="Q346" s="75"/>
      <c r="R346" s="57"/>
      <c r="S346" s="74"/>
      <c r="T346" s="75"/>
      <c r="U346" s="57"/>
      <c r="V346" s="74"/>
      <c r="W346" s="75"/>
      <c r="X346" s="57"/>
      <c r="Y346" s="74"/>
      <c r="Z346" s="75"/>
      <c r="AA346" s="57"/>
      <c r="AB346" s="74"/>
      <c r="AC346" s="75"/>
      <c r="AD346" s="57"/>
      <c r="AE346" s="74"/>
      <c r="AF346" s="75"/>
      <c r="AG346" s="57"/>
      <c r="AH346" s="74"/>
      <c r="AI346" s="75"/>
      <c r="AJ346" s="57"/>
      <c r="AK346" s="74"/>
      <c r="AL346" s="75"/>
      <c r="AM346" s="57"/>
      <c r="AN346" s="74"/>
      <c r="AO346" s="242"/>
      <c r="AP346" s="48"/>
      <c r="AQ346" s="48"/>
      <c r="AR346" s="48"/>
      <c r="AS346" s="48"/>
      <c r="AT346" s="48"/>
      <c r="AU346" s="48"/>
      <c r="AV346" s="48"/>
      <c r="AW346" s="48"/>
      <c r="AX346" s="48"/>
      <c r="AY346" s="48"/>
      <c r="AZ346" s="48"/>
      <c r="BA346" s="48"/>
      <c r="BB346" s="48"/>
      <c r="BC346" s="48"/>
      <c r="BD346" s="48"/>
      <c r="BE346" s="48"/>
      <c r="BF346" s="48"/>
      <c r="BG346" s="48"/>
      <c r="BH346" s="48"/>
      <c r="BI346" s="48"/>
    </row>
    <row r="347" ht="15.75" customHeight="1">
      <c r="A347" s="41" t="str">
        <f t="shared" si="6"/>
        <v>PiècesFormation</v>
      </c>
      <c r="B347" s="96" t="s">
        <v>140</v>
      </c>
      <c r="C347" s="57"/>
      <c r="D347" s="74"/>
      <c r="E347" s="75"/>
      <c r="F347" s="57"/>
      <c r="G347" s="74"/>
      <c r="H347" s="75"/>
      <c r="I347" s="57"/>
      <c r="J347" s="74"/>
      <c r="K347" s="75"/>
      <c r="L347" s="57"/>
      <c r="M347" s="74"/>
      <c r="N347" s="75"/>
      <c r="O347" s="57"/>
      <c r="P347" s="74"/>
      <c r="Q347" s="75"/>
      <c r="R347" s="57"/>
      <c r="S347" s="74"/>
      <c r="T347" s="75"/>
      <c r="U347" s="57"/>
      <c r="V347" s="74"/>
      <c r="W347" s="75"/>
      <c r="X347" s="57"/>
      <c r="Y347" s="74"/>
      <c r="Z347" s="75"/>
      <c r="AA347" s="57"/>
      <c r="AB347" s="74"/>
      <c r="AC347" s="75"/>
      <c r="AD347" s="57"/>
      <c r="AE347" s="74"/>
      <c r="AF347" s="75"/>
      <c r="AG347" s="57"/>
      <c r="AH347" s="74"/>
      <c r="AI347" s="75"/>
      <c r="AJ347" s="57"/>
      <c r="AK347" s="74"/>
      <c r="AL347" s="75"/>
      <c r="AM347" s="57"/>
      <c r="AN347" s="74"/>
      <c r="AO347" s="242"/>
      <c r="AP347" s="40"/>
      <c r="AQ347" s="40"/>
      <c r="AR347" s="40"/>
      <c r="AS347" s="40"/>
      <c r="AT347" s="40"/>
      <c r="AU347" s="40"/>
      <c r="AV347" s="40"/>
      <c r="AW347" s="40"/>
      <c r="AX347" s="40"/>
      <c r="AY347" s="40"/>
      <c r="AZ347" s="40"/>
      <c r="BA347" s="40"/>
      <c r="BB347" s="40"/>
      <c r="BC347" s="40"/>
      <c r="BD347" s="40"/>
      <c r="BE347" s="40"/>
      <c r="BF347" s="40"/>
      <c r="BG347" s="40"/>
      <c r="BH347" s="40"/>
      <c r="BI347" s="40"/>
    </row>
    <row r="348" ht="15.75" customHeight="1">
      <c r="A348" s="41" t="str">
        <f t="shared" si="6"/>
        <v>PiècesFrais bancaires</v>
      </c>
      <c r="B348" s="96" t="s">
        <v>141</v>
      </c>
      <c r="C348" s="57"/>
      <c r="D348" s="74"/>
      <c r="E348" s="75"/>
      <c r="F348" s="57"/>
      <c r="G348" s="74"/>
      <c r="H348" s="75"/>
      <c r="I348" s="57"/>
      <c r="J348" s="74"/>
      <c r="K348" s="75"/>
      <c r="L348" s="57"/>
      <c r="M348" s="74"/>
      <c r="N348" s="75"/>
      <c r="O348" s="57"/>
      <c r="P348" s="74"/>
      <c r="Q348" s="75"/>
      <c r="R348" s="57"/>
      <c r="S348" s="74"/>
      <c r="T348" s="75"/>
      <c r="U348" s="57"/>
      <c r="V348" s="74"/>
      <c r="W348" s="75"/>
      <c r="X348" s="57"/>
      <c r="Y348" s="74"/>
      <c r="Z348" s="75"/>
      <c r="AA348" s="57"/>
      <c r="AB348" s="74"/>
      <c r="AC348" s="75"/>
      <c r="AD348" s="57"/>
      <c r="AE348" s="74"/>
      <c r="AF348" s="75"/>
      <c r="AG348" s="57"/>
      <c r="AH348" s="74"/>
      <c r="AI348" s="75"/>
      <c r="AJ348" s="57"/>
      <c r="AK348" s="74"/>
      <c r="AL348" s="75"/>
      <c r="AM348" s="57"/>
      <c r="AN348" s="74"/>
      <c r="AO348" s="242"/>
      <c r="AP348" s="40"/>
      <c r="AQ348" s="40"/>
      <c r="AR348" s="40"/>
      <c r="AS348" s="40"/>
      <c r="AT348" s="40"/>
      <c r="AU348" s="40"/>
      <c r="AV348" s="40"/>
      <c r="AW348" s="40"/>
      <c r="AX348" s="40"/>
      <c r="AY348" s="40"/>
      <c r="AZ348" s="40"/>
      <c r="BA348" s="40"/>
      <c r="BB348" s="40"/>
      <c r="BC348" s="40"/>
      <c r="BD348" s="40"/>
      <c r="BE348" s="40"/>
      <c r="BF348" s="40"/>
      <c r="BG348" s="40"/>
      <c r="BH348" s="40"/>
      <c r="BI348" s="40"/>
    </row>
    <row r="349" ht="15.75" customHeight="1">
      <c r="A349" s="41" t="str">
        <f t="shared" si="6"/>
        <v>Pièces[...]</v>
      </c>
      <c r="B349" s="96" t="s">
        <v>56</v>
      </c>
      <c r="C349" s="57"/>
      <c r="D349" s="74"/>
      <c r="E349" s="75"/>
      <c r="F349" s="57"/>
      <c r="G349" s="74"/>
      <c r="H349" s="75"/>
      <c r="I349" s="57"/>
      <c r="J349" s="74"/>
      <c r="K349" s="75"/>
      <c r="L349" s="57"/>
      <c r="M349" s="74"/>
      <c r="N349" s="75"/>
      <c r="O349" s="57"/>
      <c r="P349" s="74"/>
      <c r="Q349" s="75"/>
      <c r="R349" s="57"/>
      <c r="S349" s="74"/>
      <c r="T349" s="75"/>
      <c r="U349" s="57"/>
      <c r="V349" s="74"/>
      <c r="W349" s="75"/>
      <c r="X349" s="57"/>
      <c r="Y349" s="74"/>
      <c r="Z349" s="75"/>
      <c r="AA349" s="57"/>
      <c r="AB349" s="74"/>
      <c r="AC349" s="75"/>
      <c r="AD349" s="57"/>
      <c r="AE349" s="74"/>
      <c r="AF349" s="75"/>
      <c r="AG349" s="57"/>
      <c r="AH349" s="74"/>
      <c r="AI349" s="75"/>
      <c r="AJ349" s="57"/>
      <c r="AK349" s="74"/>
      <c r="AL349" s="75"/>
      <c r="AM349" s="57"/>
      <c r="AN349" s="74"/>
      <c r="AO349" s="75"/>
      <c r="AP349" s="40"/>
      <c r="AQ349" s="40"/>
      <c r="AR349" s="40"/>
      <c r="AS349" s="40"/>
      <c r="AT349" s="40"/>
      <c r="AU349" s="40"/>
      <c r="AV349" s="40"/>
      <c r="AW349" s="40"/>
      <c r="AX349" s="40"/>
      <c r="AY349" s="40"/>
      <c r="AZ349" s="40"/>
      <c r="BA349" s="40"/>
      <c r="BB349" s="40"/>
      <c r="BC349" s="40"/>
      <c r="BD349" s="40"/>
      <c r="BE349" s="40"/>
      <c r="BF349" s="40"/>
      <c r="BG349" s="40"/>
      <c r="BH349" s="40"/>
      <c r="BI349" s="40"/>
    </row>
    <row r="350" ht="15.75" customHeight="1">
      <c r="A350" s="41" t="str">
        <f t="shared" si="6"/>
        <v>Pièces[...]</v>
      </c>
      <c r="B350" s="96" t="s">
        <v>56</v>
      </c>
      <c r="C350" s="57"/>
      <c r="D350" s="74"/>
      <c r="E350" s="75"/>
      <c r="F350" s="57"/>
      <c r="G350" s="74"/>
      <c r="H350" s="75"/>
      <c r="I350" s="57"/>
      <c r="J350" s="74"/>
      <c r="K350" s="75"/>
      <c r="L350" s="57"/>
      <c r="M350" s="74"/>
      <c r="N350" s="75"/>
      <c r="O350" s="57"/>
      <c r="P350" s="74"/>
      <c r="Q350" s="75"/>
      <c r="R350" s="57"/>
      <c r="S350" s="74"/>
      <c r="T350" s="75"/>
      <c r="U350" s="57"/>
      <c r="V350" s="74"/>
      <c r="W350" s="75"/>
      <c r="X350" s="57"/>
      <c r="Y350" s="74"/>
      <c r="Z350" s="75"/>
      <c r="AA350" s="57"/>
      <c r="AB350" s="74"/>
      <c r="AC350" s="75"/>
      <c r="AD350" s="57"/>
      <c r="AE350" s="74"/>
      <c r="AF350" s="75"/>
      <c r="AG350" s="57"/>
      <c r="AH350" s="74"/>
      <c r="AI350" s="75"/>
      <c r="AJ350" s="57"/>
      <c r="AK350" s="74"/>
      <c r="AL350" s="75"/>
      <c r="AM350" s="57"/>
      <c r="AN350" s="74"/>
      <c r="AO350" s="75"/>
      <c r="AP350" s="48"/>
      <c r="AQ350" s="48"/>
      <c r="AR350" s="48"/>
      <c r="AS350" s="48"/>
      <c r="AT350" s="48"/>
      <c r="AU350" s="48"/>
      <c r="AV350" s="48"/>
      <c r="AW350" s="48"/>
      <c r="AX350" s="48"/>
      <c r="AY350" s="48"/>
      <c r="AZ350" s="48"/>
      <c r="BA350" s="48"/>
      <c r="BB350" s="48"/>
      <c r="BC350" s="48"/>
      <c r="BD350" s="48"/>
      <c r="BE350" s="48"/>
      <c r="BF350" s="48"/>
      <c r="BG350" s="48"/>
      <c r="BH350" s="48"/>
      <c r="BI350" s="48"/>
    </row>
    <row r="351" ht="15.75" customHeight="1">
      <c r="A351" s="41" t="str">
        <f t="shared" si="6"/>
        <v>Pièces[...]</v>
      </c>
      <c r="B351" s="96" t="s">
        <v>56</v>
      </c>
      <c r="C351" s="57"/>
      <c r="D351" s="74"/>
      <c r="E351" s="75"/>
      <c r="F351" s="57"/>
      <c r="G351" s="74"/>
      <c r="H351" s="75"/>
      <c r="I351" s="57"/>
      <c r="J351" s="74"/>
      <c r="K351" s="75"/>
      <c r="L351" s="57"/>
      <c r="M351" s="74"/>
      <c r="N351" s="75"/>
      <c r="O351" s="57"/>
      <c r="P351" s="74"/>
      <c r="Q351" s="75"/>
      <c r="R351" s="57"/>
      <c r="S351" s="74"/>
      <c r="T351" s="75"/>
      <c r="U351" s="57"/>
      <c r="V351" s="74"/>
      <c r="W351" s="75"/>
      <c r="X351" s="57"/>
      <c r="Y351" s="74"/>
      <c r="Z351" s="75"/>
      <c r="AA351" s="57"/>
      <c r="AB351" s="74"/>
      <c r="AC351" s="75"/>
      <c r="AD351" s="57"/>
      <c r="AE351" s="74"/>
      <c r="AF351" s="75"/>
      <c r="AG351" s="57"/>
      <c r="AH351" s="74"/>
      <c r="AI351" s="75"/>
      <c r="AJ351" s="57"/>
      <c r="AK351" s="74"/>
      <c r="AL351" s="75"/>
      <c r="AM351" s="57"/>
      <c r="AN351" s="74"/>
      <c r="AO351" s="75"/>
      <c r="AP351" s="48"/>
      <c r="AQ351" s="48"/>
      <c r="AR351" s="48"/>
      <c r="AS351" s="48"/>
      <c r="AT351" s="48"/>
      <c r="AU351" s="48"/>
      <c r="AV351" s="48"/>
      <c r="AW351" s="48"/>
      <c r="AX351" s="48"/>
      <c r="AY351" s="48"/>
      <c r="AZ351" s="48"/>
      <c r="BA351" s="48"/>
      <c r="BB351" s="48"/>
      <c r="BC351" s="48"/>
      <c r="BD351" s="48"/>
      <c r="BE351" s="48"/>
      <c r="BF351" s="48"/>
      <c r="BG351" s="48"/>
      <c r="BH351" s="48"/>
      <c r="BI351" s="48"/>
    </row>
    <row r="352" ht="15.75" customHeight="1">
      <c r="A352" s="41" t="str">
        <f t="shared" si="6"/>
        <v>PiècesTOTAL SEMI-FIXES</v>
      </c>
      <c r="B352" s="92" t="s">
        <v>142</v>
      </c>
      <c r="C352" s="93"/>
      <c r="D352" s="94"/>
      <c r="E352" s="95"/>
      <c r="F352" s="93"/>
      <c r="G352" s="94"/>
      <c r="H352" s="95"/>
      <c r="I352" s="93"/>
      <c r="J352" s="94"/>
      <c r="K352" s="95"/>
      <c r="L352" s="93"/>
      <c r="M352" s="94"/>
      <c r="N352" s="95"/>
      <c r="O352" s="93"/>
      <c r="P352" s="94"/>
      <c r="Q352" s="95"/>
      <c r="R352" s="93"/>
      <c r="S352" s="94"/>
      <c r="T352" s="95"/>
      <c r="U352" s="93"/>
      <c r="V352" s="94"/>
      <c r="W352" s="95"/>
      <c r="X352" s="93"/>
      <c r="Y352" s="94"/>
      <c r="Z352" s="95"/>
      <c r="AA352" s="93"/>
      <c r="AB352" s="94"/>
      <c r="AC352" s="95"/>
      <c r="AD352" s="93"/>
      <c r="AE352" s="94"/>
      <c r="AF352" s="95"/>
      <c r="AG352" s="93"/>
      <c r="AH352" s="94"/>
      <c r="AI352" s="95"/>
      <c r="AJ352" s="93"/>
      <c r="AK352" s="94"/>
      <c r="AL352" s="95"/>
      <c r="AM352" s="93"/>
      <c r="AN352" s="94"/>
      <c r="AO352" s="95"/>
      <c r="AP352" s="40"/>
      <c r="AQ352" s="40"/>
      <c r="AR352" s="40"/>
      <c r="AS352" s="40"/>
      <c r="AT352" s="40"/>
      <c r="AU352" s="40"/>
      <c r="AV352" s="40"/>
      <c r="AW352" s="40"/>
      <c r="AX352" s="40"/>
      <c r="AY352" s="40"/>
      <c r="AZ352" s="40"/>
      <c r="BA352" s="40"/>
      <c r="BB352" s="40"/>
      <c r="BC352" s="40"/>
      <c r="BD352" s="40"/>
      <c r="BE352" s="40"/>
      <c r="BF352" s="40"/>
      <c r="BG352" s="40"/>
      <c r="BH352" s="40"/>
      <c r="BI352" s="40"/>
    </row>
    <row r="353" ht="15.75" customHeight="1">
      <c r="A353" s="41" t="str">
        <f t="shared" si="6"/>
        <v>Pièces</v>
      </c>
      <c r="B353" s="53"/>
      <c r="C353" s="53"/>
      <c r="D353" s="100"/>
      <c r="E353" s="91"/>
      <c r="F353" s="53"/>
      <c r="G353" s="100"/>
      <c r="H353" s="91"/>
      <c r="I353" s="53"/>
      <c r="J353" s="100"/>
      <c r="K353" s="91"/>
      <c r="L353" s="53"/>
      <c r="M353" s="100"/>
      <c r="N353" s="91"/>
      <c r="O353" s="53"/>
      <c r="P353" s="100"/>
      <c r="Q353" s="91"/>
      <c r="R353" s="53"/>
      <c r="S353" s="100"/>
      <c r="T353" s="91"/>
      <c r="U353" s="53"/>
      <c r="V353" s="100"/>
      <c r="W353" s="91"/>
      <c r="X353" s="53"/>
      <c r="Y353" s="100"/>
      <c r="Z353" s="91"/>
      <c r="AA353" s="53"/>
      <c r="AB353" s="100"/>
      <c r="AC353" s="91"/>
      <c r="AD353" s="53"/>
      <c r="AE353" s="100"/>
      <c r="AF353" s="91"/>
      <c r="AG353" s="53"/>
      <c r="AH353" s="100"/>
      <c r="AI353" s="91"/>
      <c r="AJ353" s="53"/>
      <c r="AK353" s="100"/>
      <c r="AL353" s="91"/>
      <c r="AM353" s="53"/>
      <c r="AN353" s="100"/>
      <c r="AO353" s="91"/>
      <c r="AP353" s="40"/>
      <c r="AQ353" s="40"/>
      <c r="AR353" s="40"/>
      <c r="AS353" s="40"/>
      <c r="AT353" s="40"/>
      <c r="AU353" s="40"/>
      <c r="AV353" s="40"/>
      <c r="AW353" s="40"/>
      <c r="AX353" s="40"/>
      <c r="AY353" s="40"/>
      <c r="AZ353" s="40"/>
      <c r="BA353" s="40"/>
      <c r="BB353" s="40"/>
      <c r="BC353" s="40"/>
      <c r="BD353" s="40"/>
      <c r="BE353" s="40"/>
      <c r="BF353" s="40"/>
      <c r="BG353" s="40"/>
      <c r="BH353" s="40"/>
      <c r="BI353" s="40"/>
    </row>
    <row r="354" ht="15.75" customHeight="1">
      <c r="A354" s="41" t="str">
        <f t="shared" si="6"/>
        <v>PiècesTOTAL DES DÉPENSES</v>
      </c>
      <c r="B354" s="92" t="s">
        <v>143</v>
      </c>
      <c r="C354" s="93"/>
      <c r="D354" s="94"/>
      <c r="E354" s="95"/>
      <c r="F354" s="93"/>
      <c r="G354" s="94"/>
      <c r="H354" s="95"/>
      <c r="I354" s="93"/>
      <c r="J354" s="94"/>
      <c r="K354" s="95"/>
      <c r="L354" s="93"/>
      <c r="M354" s="94"/>
      <c r="N354" s="95"/>
      <c r="O354" s="93"/>
      <c r="P354" s="94"/>
      <c r="Q354" s="95"/>
      <c r="R354" s="93"/>
      <c r="S354" s="94"/>
      <c r="T354" s="95"/>
      <c r="U354" s="93"/>
      <c r="V354" s="94"/>
      <c r="W354" s="95"/>
      <c r="X354" s="93"/>
      <c r="Y354" s="94"/>
      <c r="Z354" s="95"/>
      <c r="AA354" s="93"/>
      <c r="AB354" s="94"/>
      <c r="AC354" s="95"/>
      <c r="AD354" s="93"/>
      <c r="AE354" s="94"/>
      <c r="AF354" s="95"/>
      <c r="AG354" s="93"/>
      <c r="AH354" s="94"/>
      <c r="AI354" s="95"/>
      <c r="AJ354" s="93"/>
      <c r="AK354" s="94"/>
      <c r="AL354" s="95"/>
      <c r="AM354" s="93"/>
      <c r="AN354" s="94"/>
      <c r="AO354" s="95"/>
      <c r="AP354" s="40"/>
      <c r="AQ354" s="40"/>
      <c r="AR354" s="40"/>
      <c r="AS354" s="40"/>
      <c r="AT354" s="40"/>
      <c r="AU354" s="40"/>
      <c r="AV354" s="40"/>
      <c r="AW354" s="40"/>
      <c r="AX354" s="40"/>
      <c r="AY354" s="40"/>
      <c r="AZ354" s="40"/>
      <c r="BA354" s="40"/>
      <c r="BB354" s="40"/>
      <c r="BC354" s="40"/>
      <c r="BD354" s="40"/>
      <c r="BE354" s="40"/>
      <c r="BF354" s="40"/>
      <c r="BG354" s="40"/>
      <c r="BH354" s="40"/>
      <c r="BI354" s="40"/>
    </row>
    <row r="355" ht="15.75" customHeight="1">
      <c r="A355" s="41" t="str">
        <f t="shared" si="6"/>
        <v>Pièces</v>
      </c>
      <c r="B355" s="57"/>
      <c r="C355" s="57"/>
      <c r="D355" s="74"/>
      <c r="E355" s="75"/>
      <c r="F355" s="57"/>
      <c r="G355" s="74"/>
      <c r="H355" s="75"/>
      <c r="I355" s="57"/>
      <c r="J355" s="74"/>
      <c r="K355" s="75"/>
      <c r="L355" s="57"/>
      <c r="M355" s="74"/>
      <c r="N355" s="75"/>
      <c r="O355" s="57"/>
      <c r="P355" s="74"/>
      <c r="Q355" s="75"/>
      <c r="R355" s="57"/>
      <c r="S355" s="74"/>
      <c r="T355" s="75"/>
      <c r="U355" s="57"/>
      <c r="V355" s="74"/>
      <c r="W355" s="75"/>
      <c r="X355" s="57"/>
      <c r="Y355" s="74"/>
      <c r="Z355" s="75"/>
      <c r="AA355" s="57"/>
      <c r="AB355" s="74"/>
      <c r="AC355" s="75"/>
      <c r="AD355" s="57"/>
      <c r="AE355" s="74"/>
      <c r="AF355" s="75"/>
      <c r="AG355" s="57"/>
      <c r="AH355" s="74"/>
      <c r="AI355" s="75"/>
      <c r="AJ355" s="57"/>
      <c r="AK355" s="74"/>
      <c r="AL355" s="75"/>
      <c r="AM355" s="57"/>
      <c r="AN355" s="74"/>
      <c r="AO355" s="75"/>
      <c r="AP355" s="40"/>
      <c r="AQ355" s="40"/>
      <c r="AR355" s="40"/>
      <c r="AS355" s="40"/>
      <c r="AT355" s="40"/>
      <c r="AU355" s="40"/>
      <c r="AV355" s="40"/>
      <c r="AW355" s="40"/>
      <c r="AX355" s="40"/>
      <c r="AY355" s="40"/>
      <c r="AZ355" s="40"/>
      <c r="BA355" s="40"/>
      <c r="BB355" s="40"/>
      <c r="BC355" s="40"/>
      <c r="BD355" s="40"/>
      <c r="BE355" s="40"/>
      <c r="BF355" s="40"/>
      <c r="BG355" s="40"/>
      <c r="BH355" s="40"/>
      <c r="BI355" s="40"/>
    </row>
    <row r="356" ht="15.75" customHeight="1">
      <c r="A356" s="41" t="str">
        <f t="shared" si="6"/>
        <v>PiècesPROFIT DÉPARTEMENTAL</v>
      </c>
      <c r="B356" s="103" t="s">
        <v>150</v>
      </c>
      <c r="C356" s="103"/>
      <c r="D356" s="124"/>
      <c r="E356" s="106"/>
      <c r="F356" s="103"/>
      <c r="G356" s="124"/>
      <c r="H356" s="106"/>
      <c r="I356" s="103"/>
      <c r="J356" s="124"/>
      <c r="K356" s="106"/>
      <c r="L356" s="103"/>
      <c r="M356" s="124"/>
      <c r="N356" s="106"/>
      <c r="O356" s="103"/>
      <c r="P356" s="124"/>
      <c r="Q356" s="106"/>
      <c r="R356" s="103"/>
      <c r="S356" s="124"/>
      <c r="T356" s="106"/>
      <c r="U356" s="103"/>
      <c r="V356" s="124"/>
      <c r="W356" s="106"/>
      <c r="X356" s="103"/>
      <c r="Y356" s="124"/>
      <c r="Z356" s="106"/>
      <c r="AA356" s="103"/>
      <c r="AB356" s="124"/>
      <c r="AC356" s="106"/>
      <c r="AD356" s="103"/>
      <c r="AE356" s="124"/>
      <c r="AF356" s="106"/>
      <c r="AG356" s="103"/>
      <c r="AH356" s="124"/>
      <c r="AI356" s="106"/>
      <c r="AJ356" s="103"/>
      <c r="AK356" s="124"/>
      <c r="AL356" s="106"/>
      <c r="AM356" s="103"/>
      <c r="AN356" s="124"/>
      <c r="AO356" s="106"/>
      <c r="AP356" s="40"/>
      <c r="AQ356" s="40"/>
      <c r="AR356" s="40"/>
      <c r="AS356" s="40"/>
      <c r="AT356" s="40"/>
      <c r="AU356" s="40"/>
      <c r="AV356" s="40"/>
      <c r="AW356" s="40"/>
      <c r="AX356" s="40"/>
      <c r="AY356" s="40"/>
      <c r="AZ356" s="40"/>
      <c r="BA356" s="40"/>
      <c r="BB356" s="40"/>
      <c r="BC356" s="40"/>
      <c r="BD356" s="40"/>
      <c r="BE356" s="40"/>
      <c r="BF356" s="40"/>
      <c r="BG356" s="40"/>
      <c r="BH356" s="40"/>
      <c r="BI356" s="40"/>
    </row>
    <row r="357" ht="15.75" customHeight="1">
      <c r="A357" s="41"/>
      <c r="B357" s="83"/>
      <c r="C357" s="83"/>
      <c r="D357" s="83"/>
      <c r="E357" s="161">
        <v>833551.5199999977</v>
      </c>
      <c r="F357" s="83"/>
      <c r="G357" s="83"/>
      <c r="H357" s="161"/>
      <c r="I357" s="83"/>
      <c r="J357" s="83"/>
      <c r="K357" s="161"/>
      <c r="L357" s="83"/>
      <c r="M357" s="83"/>
      <c r="N357" s="161"/>
      <c r="O357" s="83"/>
      <c r="P357" s="83"/>
      <c r="Q357" s="161"/>
      <c r="R357" s="83"/>
      <c r="S357" s="83"/>
      <c r="T357" s="161"/>
      <c r="U357" s="83"/>
      <c r="V357" s="83"/>
      <c r="W357" s="161"/>
      <c r="X357" s="83"/>
      <c r="Y357" s="83"/>
      <c r="Z357" s="161"/>
      <c r="AA357" s="83"/>
      <c r="AB357" s="83"/>
      <c r="AC357" s="161"/>
      <c r="AD357" s="83"/>
      <c r="AE357" s="83"/>
      <c r="AF357" s="161"/>
      <c r="AG357" s="83"/>
      <c r="AH357" s="83"/>
      <c r="AI357" s="161"/>
      <c r="AJ357" s="83"/>
      <c r="AK357" s="83"/>
      <c r="AL357" s="161"/>
      <c r="AM357" s="83"/>
      <c r="AN357" s="83"/>
      <c r="AO357" s="161"/>
      <c r="AP357" s="40"/>
      <c r="AQ357" s="40"/>
      <c r="AR357" s="40"/>
      <c r="AS357" s="40"/>
      <c r="AT357" s="40"/>
      <c r="AU357" s="40"/>
      <c r="AV357" s="40"/>
      <c r="AW357" s="40"/>
      <c r="AX357" s="40"/>
      <c r="AY357" s="40"/>
      <c r="AZ357" s="40"/>
      <c r="BA357" s="40"/>
      <c r="BB357" s="40"/>
      <c r="BC357" s="40"/>
      <c r="BD357" s="40"/>
      <c r="BE357" s="40"/>
      <c r="BF357" s="40"/>
      <c r="BG357" s="40"/>
      <c r="BH357" s="40"/>
      <c r="BI357" s="40"/>
    </row>
    <row r="358" ht="15.75" customHeight="1">
      <c r="A358" s="41"/>
      <c r="B358" s="83"/>
      <c r="C358" s="83"/>
      <c r="D358" s="83"/>
      <c r="E358" s="161"/>
      <c r="F358" s="83"/>
      <c r="G358" s="83"/>
      <c r="H358" s="161"/>
      <c r="I358" s="83"/>
      <c r="J358" s="83"/>
      <c r="K358" s="161"/>
      <c r="L358" s="83"/>
      <c r="M358" s="83"/>
      <c r="N358" s="161"/>
      <c r="O358" s="83"/>
      <c r="P358" s="83"/>
      <c r="Q358" s="161"/>
      <c r="R358" s="83"/>
      <c r="S358" s="83"/>
      <c r="T358" s="161"/>
      <c r="U358" s="83"/>
      <c r="V358" s="83"/>
      <c r="W358" s="161"/>
      <c r="X358" s="83"/>
      <c r="Y358" s="83"/>
      <c r="Z358" s="161"/>
      <c r="AA358" s="83"/>
      <c r="AB358" s="83"/>
      <c r="AC358" s="161"/>
      <c r="AD358" s="83"/>
      <c r="AE358" s="83"/>
      <c r="AF358" s="161"/>
      <c r="AG358" s="83"/>
      <c r="AH358" s="83"/>
      <c r="AI358" s="161"/>
      <c r="AJ358" s="83"/>
      <c r="AK358" s="83"/>
      <c r="AL358" s="161"/>
      <c r="AM358" s="83"/>
      <c r="AN358" s="83"/>
      <c r="AO358" s="161"/>
      <c r="AP358" s="40"/>
      <c r="AQ358" s="40"/>
      <c r="AR358" s="40"/>
      <c r="AS358" s="40"/>
      <c r="AT358" s="40"/>
      <c r="AU358" s="40"/>
      <c r="AV358" s="40"/>
      <c r="AW358" s="40"/>
      <c r="AX358" s="40"/>
      <c r="AY358" s="40"/>
      <c r="AZ358" s="40"/>
      <c r="BA358" s="40"/>
      <c r="BB358" s="40"/>
      <c r="BC358" s="40"/>
      <c r="BD358" s="40"/>
      <c r="BE358" s="40"/>
      <c r="BF358" s="40"/>
      <c r="BG358" s="40"/>
      <c r="BH358" s="40"/>
      <c r="BI358" s="40"/>
    </row>
    <row r="359" ht="15.75" customHeight="1">
      <c r="A359" s="41"/>
      <c r="B359" s="112" t="s">
        <v>220</v>
      </c>
      <c r="C359" s="112" t="s">
        <v>193</v>
      </c>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c r="AG359" s="112"/>
      <c r="AH359" s="112"/>
      <c r="AI359" s="112"/>
      <c r="AJ359" s="112"/>
      <c r="AK359" s="112"/>
      <c r="AL359" s="112"/>
      <c r="AM359" s="112"/>
      <c r="AN359" s="112"/>
      <c r="AO359" s="112"/>
      <c r="AP359" s="40"/>
      <c r="AQ359" s="40"/>
      <c r="AR359" s="40"/>
      <c r="AS359" s="40"/>
      <c r="AT359" s="40"/>
      <c r="AU359" s="40"/>
      <c r="AV359" s="40"/>
      <c r="AW359" s="40"/>
      <c r="AX359" s="40"/>
      <c r="AY359" s="40"/>
      <c r="AZ359" s="40"/>
      <c r="BA359" s="40"/>
      <c r="BB359" s="40"/>
      <c r="BC359" s="40"/>
      <c r="BD359" s="40"/>
      <c r="BE359" s="40"/>
      <c r="BF359" s="40"/>
      <c r="BG359" s="40"/>
      <c r="BH359" s="40"/>
      <c r="BI359" s="40"/>
    </row>
    <row r="360" ht="15.75" customHeight="1">
      <c r="A360" s="41"/>
      <c r="B360" s="113"/>
      <c r="C360" s="111"/>
      <c r="D360" s="111"/>
      <c r="E360" s="111"/>
      <c r="F360" s="111"/>
      <c r="G360" s="111"/>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40"/>
      <c r="AQ360" s="40"/>
      <c r="AR360" s="40"/>
      <c r="AS360" s="40"/>
      <c r="AT360" s="40"/>
      <c r="AU360" s="40"/>
      <c r="AV360" s="40"/>
      <c r="AW360" s="40"/>
      <c r="AX360" s="40"/>
      <c r="AY360" s="40"/>
      <c r="AZ360" s="40"/>
      <c r="BA360" s="40"/>
      <c r="BB360" s="40"/>
      <c r="BC360" s="40"/>
      <c r="BD360" s="40"/>
      <c r="BE360" s="40"/>
      <c r="BF360" s="40"/>
      <c r="BG360" s="40"/>
      <c r="BH360" s="40"/>
      <c r="BI360" s="40"/>
    </row>
    <row r="361" ht="15.75" customHeight="1">
      <c r="A361" s="41"/>
      <c r="B361" s="42" t="s">
        <v>2</v>
      </c>
      <c r="C361" s="114">
        <v>2025.0</v>
      </c>
      <c r="D361" s="115"/>
      <c r="E361" s="116"/>
      <c r="F361" s="114" t="s">
        <v>6</v>
      </c>
      <c r="G361" s="115"/>
      <c r="H361" s="116"/>
      <c r="I361" s="114" t="s">
        <v>8</v>
      </c>
      <c r="J361" s="115"/>
      <c r="K361" s="116"/>
      <c r="L361" s="114" t="s">
        <v>9</v>
      </c>
      <c r="M361" s="115"/>
      <c r="N361" s="116"/>
      <c r="O361" s="114" t="s">
        <v>10</v>
      </c>
      <c r="P361" s="115"/>
      <c r="Q361" s="116"/>
      <c r="R361" s="114" t="s">
        <v>11</v>
      </c>
      <c r="S361" s="115"/>
      <c r="T361" s="116"/>
      <c r="U361" s="114" t="s">
        <v>12</v>
      </c>
      <c r="V361" s="115"/>
      <c r="W361" s="116"/>
      <c r="X361" s="114" t="s">
        <v>14</v>
      </c>
      <c r="Y361" s="115"/>
      <c r="Z361" s="116"/>
      <c r="AA361" s="114" t="s">
        <v>92</v>
      </c>
      <c r="AB361" s="115"/>
      <c r="AC361" s="116"/>
      <c r="AD361" s="114" t="s">
        <v>5</v>
      </c>
      <c r="AE361" s="115"/>
      <c r="AF361" s="116"/>
      <c r="AG361" s="114" t="s">
        <v>18</v>
      </c>
      <c r="AH361" s="115"/>
      <c r="AI361" s="116"/>
      <c r="AJ361" s="114" t="s">
        <v>19</v>
      </c>
      <c r="AK361" s="115"/>
      <c r="AL361" s="116"/>
      <c r="AM361" s="114" t="s">
        <v>20</v>
      </c>
      <c r="AN361" s="115"/>
      <c r="AO361" s="116"/>
      <c r="AP361" s="40"/>
      <c r="AQ361" s="40"/>
      <c r="AR361" s="40"/>
      <c r="AS361" s="40"/>
      <c r="AT361" s="40"/>
      <c r="AU361" s="40"/>
      <c r="AV361" s="40"/>
      <c r="AW361" s="40"/>
      <c r="AX361" s="40"/>
      <c r="AY361" s="40"/>
      <c r="AZ361" s="40"/>
      <c r="BA361" s="40"/>
      <c r="BB361" s="40"/>
      <c r="BC361" s="40"/>
      <c r="BD361" s="40"/>
      <c r="BE361" s="40"/>
      <c r="BF361" s="40"/>
      <c r="BG361" s="40"/>
      <c r="BH361" s="40"/>
      <c r="BI361" s="40"/>
    </row>
    <row r="362" ht="15.75" customHeight="1">
      <c r="A362" s="41"/>
      <c r="B362" s="57"/>
      <c r="C362" s="117" t="s">
        <v>222</v>
      </c>
      <c r="D362" s="86" t="s">
        <v>223</v>
      </c>
      <c r="E362" s="118" t="s">
        <v>95</v>
      </c>
      <c r="F362" s="117" t="s">
        <v>222</v>
      </c>
      <c r="G362" s="86" t="s">
        <v>223</v>
      </c>
      <c r="H362" s="118" t="s">
        <v>95</v>
      </c>
      <c r="I362" s="117" t="s">
        <v>222</v>
      </c>
      <c r="J362" s="86" t="s">
        <v>223</v>
      </c>
      <c r="K362" s="118" t="s">
        <v>95</v>
      </c>
      <c r="L362" s="117" t="s">
        <v>222</v>
      </c>
      <c r="M362" s="86" t="s">
        <v>223</v>
      </c>
      <c r="N362" s="118" t="s">
        <v>95</v>
      </c>
      <c r="O362" s="117" t="s">
        <v>222</v>
      </c>
      <c r="P362" s="86" t="s">
        <v>223</v>
      </c>
      <c r="Q362" s="118" t="s">
        <v>95</v>
      </c>
      <c r="R362" s="117" t="s">
        <v>222</v>
      </c>
      <c r="S362" s="86" t="s">
        <v>223</v>
      </c>
      <c r="T362" s="118" t="s">
        <v>95</v>
      </c>
      <c r="U362" s="117" t="s">
        <v>222</v>
      </c>
      <c r="V362" s="86" t="s">
        <v>223</v>
      </c>
      <c r="W362" s="118" t="s">
        <v>95</v>
      </c>
      <c r="X362" s="117" t="s">
        <v>222</v>
      </c>
      <c r="Y362" s="86" t="s">
        <v>223</v>
      </c>
      <c r="Z362" s="118" t="s">
        <v>95</v>
      </c>
      <c r="AA362" s="117" t="s">
        <v>222</v>
      </c>
      <c r="AB362" s="86" t="s">
        <v>223</v>
      </c>
      <c r="AC362" s="118" t="s">
        <v>95</v>
      </c>
      <c r="AD362" s="117" t="s">
        <v>222</v>
      </c>
      <c r="AE362" s="86" t="s">
        <v>223</v>
      </c>
      <c r="AF362" s="118" t="s">
        <v>95</v>
      </c>
      <c r="AG362" s="117" t="s">
        <v>222</v>
      </c>
      <c r="AH362" s="86" t="s">
        <v>223</v>
      </c>
      <c r="AI362" s="118" t="s">
        <v>95</v>
      </c>
      <c r="AJ362" s="117" t="s">
        <v>222</v>
      </c>
      <c r="AK362" s="86" t="s">
        <v>223</v>
      </c>
      <c r="AL362" s="118" t="s">
        <v>95</v>
      </c>
      <c r="AM362" s="117" t="s">
        <v>222</v>
      </c>
      <c r="AN362" s="86" t="s">
        <v>223</v>
      </c>
      <c r="AO362" s="118"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ht="15.75" customHeight="1">
      <c r="A363" s="41" t="str">
        <f t="shared" ref="A363:A402" si="7">+$C$359&amp;B363</f>
        <v>BoutiqueBoutique</v>
      </c>
      <c r="B363" s="76" t="s">
        <v>193</v>
      </c>
      <c r="C363" s="77">
        <v>0.0</v>
      </c>
      <c r="D363" s="155">
        <v>0.0</v>
      </c>
      <c r="E363" s="79">
        <v>0.0</v>
      </c>
      <c r="F363" s="77">
        <v>0.0</v>
      </c>
      <c r="G363" s="155">
        <v>0.0</v>
      </c>
      <c r="H363" s="79">
        <v>0.0</v>
      </c>
      <c r="I363" s="77">
        <v>0.0</v>
      </c>
      <c r="J363" s="155">
        <v>0.0</v>
      </c>
      <c r="K363" s="79">
        <v>0.0</v>
      </c>
      <c r="L363" s="77">
        <v>0.0</v>
      </c>
      <c r="M363" s="155">
        <v>0.0</v>
      </c>
      <c r="N363" s="79">
        <v>0.0</v>
      </c>
      <c r="O363" s="77">
        <v>0.0</v>
      </c>
      <c r="P363" s="155">
        <v>0.0</v>
      </c>
      <c r="Q363" s="79">
        <v>0.0</v>
      </c>
      <c r="R363" s="77">
        <v>0.0</v>
      </c>
      <c r="S363" s="155">
        <v>0.0</v>
      </c>
      <c r="T363" s="79">
        <v>0.0</v>
      </c>
      <c r="U363" s="77">
        <v>0.0</v>
      </c>
      <c r="V363" s="155">
        <v>0.0</v>
      </c>
      <c r="W363" s="79">
        <v>0.0</v>
      </c>
      <c r="X363" s="77">
        <v>0.0</v>
      </c>
      <c r="Y363" s="155">
        <v>0.0</v>
      </c>
      <c r="Z363" s="79">
        <v>0.0</v>
      </c>
      <c r="AA363" s="77">
        <v>0.0</v>
      </c>
      <c r="AB363" s="155">
        <v>0.0</v>
      </c>
      <c r="AC363" s="79">
        <v>0.0</v>
      </c>
      <c r="AD363" s="77">
        <v>0.0</v>
      </c>
      <c r="AE363" s="155">
        <v>0.0</v>
      </c>
      <c r="AF363" s="79">
        <v>0.0</v>
      </c>
      <c r="AG363" s="77">
        <v>0.0</v>
      </c>
      <c r="AH363" s="155">
        <v>0.0</v>
      </c>
      <c r="AI363" s="79">
        <v>0.0</v>
      </c>
      <c r="AJ363" s="77">
        <v>0.0</v>
      </c>
      <c r="AK363" s="155">
        <v>0.0</v>
      </c>
      <c r="AL363" s="79">
        <v>0.0</v>
      </c>
      <c r="AM363" s="77">
        <v>0.0</v>
      </c>
      <c r="AN363" s="155">
        <v>0.0</v>
      </c>
      <c r="AO363" s="79">
        <v>0.0</v>
      </c>
      <c r="AP363" s="40"/>
      <c r="AQ363" s="40"/>
      <c r="AR363" s="40"/>
      <c r="AS363" s="40"/>
      <c r="AT363" s="40"/>
      <c r="AU363" s="40"/>
      <c r="AV363" s="40"/>
      <c r="AW363" s="40"/>
      <c r="AX363" s="40"/>
      <c r="AY363" s="40"/>
      <c r="AZ363" s="40"/>
      <c r="BA363" s="40"/>
      <c r="BB363" s="40"/>
      <c r="BC363" s="40"/>
      <c r="BD363" s="40"/>
      <c r="BE363" s="40"/>
      <c r="BF363" s="40"/>
      <c r="BG363" s="40"/>
      <c r="BH363" s="40"/>
      <c r="BI363" s="40"/>
    </row>
    <row r="364" ht="15.75" customHeight="1">
      <c r="A364" s="41" t="str">
        <f t="shared" si="7"/>
        <v>Boutique</v>
      </c>
      <c r="B364" s="156"/>
      <c r="C364" s="157"/>
      <c r="D364" s="158"/>
      <c r="E364" s="159"/>
      <c r="F364" s="157"/>
      <c r="G364" s="158"/>
      <c r="H364" s="159"/>
      <c r="I364" s="157"/>
      <c r="J364" s="158"/>
      <c r="K364" s="159"/>
      <c r="L364" s="157"/>
      <c r="M364" s="158"/>
      <c r="N364" s="159"/>
      <c r="O364" s="157"/>
      <c r="P364" s="158"/>
      <c r="Q364" s="159"/>
      <c r="R364" s="157"/>
      <c r="S364" s="158"/>
      <c r="T364" s="159"/>
      <c r="U364" s="157"/>
      <c r="V364" s="158"/>
      <c r="W364" s="159"/>
      <c r="X364" s="157"/>
      <c r="Y364" s="158"/>
      <c r="Z364" s="159"/>
      <c r="AA364" s="157"/>
      <c r="AB364" s="158"/>
      <c r="AC364" s="159"/>
      <c r="AD364" s="157"/>
      <c r="AE364" s="158"/>
      <c r="AF364" s="159"/>
      <c r="AG364" s="157"/>
      <c r="AH364" s="158"/>
      <c r="AI364" s="159"/>
      <c r="AJ364" s="157"/>
      <c r="AK364" s="158"/>
      <c r="AL364" s="159"/>
      <c r="AM364" s="157"/>
      <c r="AN364" s="158"/>
      <c r="AO364" s="159"/>
      <c r="AP364" s="40"/>
      <c r="AQ364" s="40"/>
      <c r="AR364" s="40"/>
      <c r="AS364" s="40"/>
      <c r="AT364" s="40"/>
      <c r="AU364" s="40"/>
      <c r="AV364" s="40"/>
      <c r="AW364" s="40"/>
      <c r="AX364" s="40"/>
      <c r="AY364" s="40"/>
      <c r="AZ364" s="40"/>
      <c r="BA364" s="40"/>
      <c r="BB364" s="40"/>
      <c r="BC364" s="40"/>
      <c r="BD364" s="40"/>
      <c r="BE364" s="40"/>
      <c r="BF364" s="40"/>
      <c r="BG364" s="40"/>
      <c r="BH364" s="40"/>
      <c r="BI364" s="40"/>
    </row>
    <row r="365" ht="15.75" customHeight="1">
      <c r="A365" s="41" t="str">
        <f t="shared" si="7"/>
        <v>BoutiqueTotal Dépt. Boutique</v>
      </c>
      <c r="B365" s="70" t="s">
        <v>194</v>
      </c>
      <c r="C365" s="135">
        <v>0.0</v>
      </c>
      <c r="D365" s="136">
        <v>0.0</v>
      </c>
      <c r="E365" s="102">
        <v>0.0</v>
      </c>
      <c r="F365" s="135">
        <v>0.0</v>
      </c>
      <c r="G365" s="136">
        <v>0.0</v>
      </c>
      <c r="H365" s="102">
        <v>0.0</v>
      </c>
      <c r="I365" s="135">
        <v>0.0</v>
      </c>
      <c r="J365" s="136">
        <v>0.0</v>
      </c>
      <c r="K365" s="102">
        <v>0.0</v>
      </c>
      <c r="L365" s="135">
        <v>0.0</v>
      </c>
      <c r="M365" s="136">
        <v>0.0</v>
      </c>
      <c r="N365" s="102">
        <v>0.0</v>
      </c>
      <c r="O365" s="135">
        <v>0.0</v>
      </c>
      <c r="P365" s="136">
        <v>0.0</v>
      </c>
      <c r="Q365" s="102">
        <v>0.0</v>
      </c>
      <c r="R365" s="135">
        <v>0.0</v>
      </c>
      <c r="S365" s="136">
        <v>0.0</v>
      </c>
      <c r="T365" s="102">
        <v>0.0</v>
      </c>
      <c r="U365" s="135">
        <v>0.0</v>
      </c>
      <c r="V365" s="136">
        <v>0.0</v>
      </c>
      <c r="W365" s="102">
        <v>0.0</v>
      </c>
      <c r="X365" s="135">
        <v>0.0</v>
      </c>
      <c r="Y365" s="136">
        <v>0.0</v>
      </c>
      <c r="Z365" s="102">
        <v>0.0</v>
      </c>
      <c r="AA365" s="135">
        <v>0.0</v>
      </c>
      <c r="AB365" s="136">
        <v>0.0</v>
      </c>
      <c r="AC365" s="102">
        <v>0.0</v>
      </c>
      <c r="AD365" s="135">
        <v>0.0</v>
      </c>
      <c r="AE365" s="136">
        <v>0.0</v>
      </c>
      <c r="AF365" s="102">
        <v>0.0</v>
      </c>
      <c r="AG365" s="135">
        <v>0.0</v>
      </c>
      <c r="AH365" s="136">
        <v>0.0</v>
      </c>
      <c r="AI365" s="102">
        <v>0.0</v>
      </c>
      <c r="AJ365" s="135">
        <v>0.0</v>
      </c>
      <c r="AK365" s="136">
        <v>0.0</v>
      </c>
      <c r="AL365" s="102">
        <v>0.0</v>
      </c>
      <c r="AM365" s="135">
        <v>0.0</v>
      </c>
      <c r="AN365" s="136">
        <v>0.0</v>
      </c>
      <c r="AO365" s="102">
        <v>0.0</v>
      </c>
      <c r="AP365" s="40"/>
      <c r="AQ365" s="40"/>
      <c r="AR365" s="40"/>
      <c r="AS365" s="40"/>
      <c r="AT365" s="40"/>
      <c r="AU365" s="40"/>
      <c r="AV365" s="40"/>
      <c r="AW365" s="40"/>
      <c r="AX365" s="40"/>
      <c r="AY365" s="40"/>
      <c r="AZ365" s="40"/>
      <c r="BA365" s="40"/>
      <c r="BB365" s="40"/>
      <c r="BC365" s="40"/>
      <c r="BD365" s="40"/>
      <c r="BE365" s="40"/>
      <c r="BF365" s="40"/>
      <c r="BG365" s="40"/>
      <c r="BH365" s="40"/>
      <c r="BI365" s="40"/>
    </row>
    <row r="366" ht="15.75" customHeight="1">
      <c r="A366" s="41" t="str">
        <f t="shared" si="7"/>
        <v>Boutique</v>
      </c>
      <c r="B366" s="85"/>
      <c r="C366" s="57"/>
      <c r="D366" s="74"/>
      <c r="E366" s="65"/>
      <c r="F366" s="57"/>
      <c r="G366" s="74"/>
      <c r="H366" s="65"/>
      <c r="I366" s="57"/>
      <c r="J366" s="74"/>
      <c r="K366" s="65"/>
      <c r="L366" s="57"/>
      <c r="M366" s="74"/>
      <c r="N366" s="65"/>
      <c r="O366" s="57"/>
      <c r="P366" s="74"/>
      <c r="Q366" s="65"/>
      <c r="R366" s="57"/>
      <c r="S366" s="74"/>
      <c r="T366" s="65"/>
      <c r="U366" s="57"/>
      <c r="V366" s="74"/>
      <c r="W366" s="65"/>
      <c r="X366" s="57"/>
      <c r="Y366" s="74"/>
      <c r="Z366" s="65"/>
      <c r="AA366" s="57"/>
      <c r="AB366" s="74"/>
      <c r="AC366" s="65"/>
      <c r="AD366" s="57"/>
      <c r="AE366" s="74"/>
      <c r="AF366" s="65"/>
      <c r="AG366" s="57"/>
      <c r="AH366" s="74"/>
      <c r="AI366" s="65"/>
      <c r="AJ366" s="57"/>
      <c r="AK366" s="74"/>
      <c r="AL366" s="65"/>
      <c r="AM366" s="57"/>
      <c r="AN366" s="74"/>
      <c r="AO366" s="65"/>
      <c r="AP366" s="40"/>
      <c r="AQ366" s="40"/>
      <c r="AR366" s="40"/>
      <c r="AS366" s="40"/>
      <c r="AT366" s="40"/>
      <c r="AU366" s="40"/>
      <c r="AV366" s="40"/>
      <c r="AW366" s="40"/>
      <c r="AX366" s="40"/>
      <c r="AY366" s="40"/>
      <c r="AZ366" s="40"/>
      <c r="BA366" s="40"/>
      <c r="BB366" s="40"/>
      <c r="BC366" s="40"/>
      <c r="BD366" s="40"/>
      <c r="BE366" s="40"/>
      <c r="BF366" s="40"/>
      <c r="BG366" s="40"/>
      <c r="BH366" s="40"/>
      <c r="BI366" s="40"/>
    </row>
    <row r="367" ht="15.75" customHeight="1">
      <c r="A367" s="41" t="str">
        <f t="shared" si="7"/>
        <v>BoutiqueDEPENSES</v>
      </c>
      <c r="B367" s="85" t="s">
        <v>110</v>
      </c>
      <c r="C367" s="57"/>
      <c r="D367" s="74"/>
      <c r="E367" s="65"/>
      <c r="F367" s="57"/>
      <c r="G367" s="74"/>
      <c r="H367" s="65"/>
      <c r="I367" s="57"/>
      <c r="J367" s="74"/>
      <c r="K367" s="65"/>
      <c r="L367" s="57"/>
      <c r="M367" s="74"/>
      <c r="N367" s="65"/>
      <c r="O367" s="57"/>
      <c r="P367" s="74"/>
      <c r="Q367" s="65"/>
      <c r="R367" s="57"/>
      <c r="S367" s="74"/>
      <c r="T367" s="65"/>
      <c r="U367" s="57"/>
      <c r="V367" s="74"/>
      <c r="W367" s="65"/>
      <c r="X367" s="57"/>
      <c r="Y367" s="74"/>
      <c r="Z367" s="65"/>
      <c r="AA367" s="57"/>
      <c r="AB367" s="74"/>
      <c r="AC367" s="65"/>
      <c r="AD367" s="57"/>
      <c r="AE367" s="74"/>
      <c r="AF367" s="65"/>
      <c r="AG367" s="57"/>
      <c r="AH367" s="74"/>
      <c r="AI367" s="65"/>
      <c r="AJ367" s="57"/>
      <c r="AK367" s="74"/>
      <c r="AL367" s="65"/>
      <c r="AM367" s="57"/>
      <c r="AN367" s="74"/>
      <c r="AO367" s="65"/>
      <c r="AP367" s="40"/>
      <c r="AQ367" s="40"/>
      <c r="AR367" s="40"/>
      <c r="AS367" s="40"/>
      <c r="AT367" s="40"/>
      <c r="AU367" s="40"/>
      <c r="AV367" s="40"/>
      <c r="AW367" s="40"/>
      <c r="AX367" s="40"/>
      <c r="AY367" s="40"/>
      <c r="AZ367" s="40"/>
      <c r="BA367" s="40"/>
      <c r="BB367" s="40"/>
      <c r="BC367" s="40"/>
      <c r="BD367" s="40"/>
      <c r="BE367" s="40"/>
      <c r="BF367" s="40"/>
      <c r="BG367" s="40"/>
      <c r="BH367" s="40"/>
      <c r="BI367" s="40"/>
    </row>
    <row r="368" ht="15.75" customHeight="1">
      <c r="A368" s="41" t="str">
        <f t="shared" si="7"/>
        <v>BoutiqueSalaires cadres</v>
      </c>
      <c r="B368" s="96" t="s">
        <v>119</v>
      </c>
      <c r="C368" s="57"/>
      <c r="D368" s="74"/>
      <c r="E368" s="75">
        <v>0.0</v>
      </c>
      <c r="F368" s="57"/>
      <c r="G368" s="74"/>
      <c r="H368" s="75">
        <v>0.0</v>
      </c>
      <c r="I368" s="57"/>
      <c r="J368" s="74"/>
      <c r="K368" s="75">
        <v>0.0</v>
      </c>
      <c r="L368" s="57"/>
      <c r="M368" s="74"/>
      <c r="N368" s="75">
        <v>0.0</v>
      </c>
      <c r="O368" s="57"/>
      <c r="P368" s="74"/>
      <c r="Q368" s="75">
        <v>0.0</v>
      </c>
      <c r="R368" s="57"/>
      <c r="S368" s="74"/>
      <c r="T368" s="75">
        <v>0.0</v>
      </c>
      <c r="U368" s="57"/>
      <c r="V368" s="74"/>
      <c r="W368" s="75">
        <v>0.0</v>
      </c>
      <c r="X368" s="57"/>
      <c r="Y368" s="74"/>
      <c r="Z368" s="75">
        <v>0.0</v>
      </c>
      <c r="AA368" s="57"/>
      <c r="AB368" s="74"/>
      <c r="AC368" s="75">
        <v>0.0</v>
      </c>
      <c r="AD368" s="57"/>
      <c r="AE368" s="74"/>
      <c r="AF368" s="75">
        <v>0.0</v>
      </c>
      <c r="AG368" s="57"/>
      <c r="AH368" s="74"/>
      <c r="AI368" s="75">
        <v>0.0</v>
      </c>
      <c r="AJ368" s="57"/>
      <c r="AK368" s="74"/>
      <c r="AL368" s="75">
        <v>0.0</v>
      </c>
      <c r="AM368" s="57"/>
      <c r="AN368" s="74"/>
      <c r="AO368" s="242">
        <v>0.0</v>
      </c>
      <c r="AP368" s="40"/>
      <c r="AQ368" s="40"/>
      <c r="AR368" s="40"/>
      <c r="AS368" s="40"/>
      <c r="AT368" s="40"/>
      <c r="AU368" s="40"/>
      <c r="AV368" s="40"/>
      <c r="AW368" s="40"/>
      <c r="AX368" s="40"/>
      <c r="AY368" s="40"/>
      <c r="AZ368" s="40"/>
      <c r="BA368" s="40"/>
      <c r="BB368" s="40"/>
      <c r="BC368" s="40"/>
      <c r="BD368" s="40"/>
      <c r="BE368" s="40"/>
      <c r="BF368" s="40"/>
      <c r="BG368" s="40"/>
      <c r="BH368" s="40"/>
      <c r="BI368" s="40"/>
    </row>
    <row r="369" ht="15.75" customHeight="1">
      <c r="A369" s="41" t="str">
        <f t="shared" si="7"/>
        <v>BoutiqueSalaires commis</v>
      </c>
      <c r="B369" s="97" t="s">
        <v>120</v>
      </c>
      <c r="C369" s="57"/>
      <c r="D369" s="74"/>
      <c r="E369" s="75">
        <v>0.0</v>
      </c>
      <c r="F369" s="57"/>
      <c r="G369" s="74"/>
      <c r="H369" s="75">
        <v>0.0</v>
      </c>
      <c r="I369" s="57"/>
      <c r="J369" s="74"/>
      <c r="K369" s="75">
        <v>0.0</v>
      </c>
      <c r="L369" s="57"/>
      <c r="M369" s="74"/>
      <c r="N369" s="75">
        <v>0.0</v>
      </c>
      <c r="O369" s="57"/>
      <c r="P369" s="74"/>
      <c r="Q369" s="75">
        <v>0.0</v>
      </c>
      <c r="R369" s="57"/>
      <c r="S369" s="74"/>
      <c r="T369" s="75">
        <v>0.0</v>
      </c>
      <c r="U369" s="57"/>
      <c r="V369" s="74"/>
      <c r="W369" s="75">
        <v>0.0</v>
      </c>
      <c r="X369" s="57"/>
      <c r="Y369" s="74"/>
      <c r="Z369" s="75">
        <v>0.0</v>
      </c>
      <c r="AA369" s="57"/>
      <c r="AB369" s="74"/>
      <c r="AC369" s="75">
        <v>0.0</v>
      </c>
      <c r="AD369" s="57"/>
      <c r="AE369" s="74"/>
      <c r="AF369" s="75">
        <v>0.0</v>
      </c>
      <c r="AG369" s="57"/>
      <c r="AH369" s="74"/>
      <c r="AI369" s="75">
        <v>0.0</v>
      </c>
      <c r="AJ369" s="57"/>
      <c r="AK369" s="74"/>
      <c r="AL369" s="75">
        <v>0.0</v>
      </c>
      <c r="AM369" s="57"/>
      <c r="AN369" s="74"/>
      <c r="AO369" s="242">
        <v>0.0</v>
      </c>
      <c r="AP369" s="40"/>
      <c r="AQ369" s="40"/>
      <c r="AR369" s="40"/>
      <c r="AS369" s="40"/>
      <c r="AT369" s="40"/>
      <c r="AU369" s="40"/>
      <c r="AV369" s="40"/>
      <c r="AW369" s="40"/>
      <c r="AX369" s="40"/>
      <c r="AY369" s="40"/>
      <c r="AZ369" s="40"/>
      <c r="BA369" s="40"/>
      <c r="BB369" s="40"/>
      <c r="BC369" s="40"/>
      <c r="BD369" s="40"/>
      <c r="BE369" s="40"/>
      <c r="BF369" s="40"/>
      <c r="BG369" s="40"/>
      <c r="BH369" s="40"/>
      <c r="BI369" s="40"/>
    </row>
    <row r="370" ht="15.75" customHeight="1">
      <c r="A370" s="41" t="str">
        <f t="shared" si="7"/>
        <v>BoutiqueSalaires autres</v>
      </c>
      <c r="B370" s="96" t="s">
        <v>121</v>
      </c>
      <c r="C370" s="49"/>
      <c r="D370" s="98"/>
      <c r="E370" s="99">
        <v>0.0</v>
      </c>
      <c r="F370" s="49"/>
      <c r="G370" s="98"/>
      <c r="H370" s="99">
        <v>0.0</v>
      </c>
      <c r="I370" s="49"/>
      <c r="J370" s="98"/>
      <c r="K370" s="99">
        <v>0.0</v>
      </c>
      <c r="L370" s="49"/>
      <c r="M370" s="98"/>
      <c r="N370" s="99">
        <v>0.0</v>
      </c>
      <c r="O370" s="49"/>
      <c r="P370" s="98"/>
      <c r="Q370" s="99">
        <v>0.0</v>
      </c>
      <c r="R370" s="49"/>
      <c r="S370" s="98"/>
      <c r="T370" s="99">
        <v>0.0</v>
      </c>
      <c r="U370" s="49"/>
      <c r="V370" s="98"/>
      <c r="W370" s="99">
        <v>0.0</v>
      </c>
      <c r="X370" s="49"/>
      <c r="Y370" s="98"/>
      <c r="Z370" s="99">
        <v>0.0</v>
      </c>
      <c r="AA370" s="49"/>
      <c r="AB370" s="98"/>
      <c r="AC370" s="99">
        <v>0.0</v>
      </c>
      <c r="AD370" s="49"/>
      <c r="AE370" s="98"/>
      <c r="AF370" s="99">
        <v>0.0</v>
      </c>
      <c r="AG370" s="49"/>
      <c r="AH370" s="98"/>
      <c r="AI370" s="99">
        <v>0.0</v>
      </c>
      <c r="AJ370" s="49"/>
      <c r="AK370" s="98"/>
      <c r="AL370" s="99">
        <v>0.0</v>
      </c>
      <c r="AM370" s="49"/>
      <c r="AN370" s="98"/>
      <c r="AO370" s="244">
        <v>0.0</v>
      </c>
      <c r="AP370" s="40"/>
      <c r="AQ370" s="40"/>
      <c r="AR370" s="40"/>
      <c r="AS370" s="40"/>
      <c r="AT370" s="40"/>
      <c r="AU370" s="40"/>
      <c r="AV370" s="40"/>
      <c r="AW370" s="40"/>
      <c r="AX370" s="40"/>
      <c r="AY370" s="40"/>
      <c r="AZ370" s="40"/>
      <c r="BA370" s="40"/>
      <c r="BB370" s="40"/>
      <c r="BC370" s="40"/>
      <c r="BD370" s="40"/>
      <c r="BE370" s="40"/>
      <c r="BF370" s="40"/>
      <c r="BG370" s="40"/>
      <c r="BH370" s="40"/>
      <c r="BI370" s="40"/>
    </row>
    <row r="371" ht="15.75" customHeight="1">
      <c r="A371" s="41" t="str">
        <f t="shared" si="7"/>
        <v>BoutiqueSalaires spécialistes</v>
      </c>
      <c r="B371" s="96" t="s">
        <v>122</v>
      </c>
      <c r="C371" s="57"/>
      <c r="D371" s="74"/>
      <c r="E371" s="75">
        <v>0.0</v>
      </c>
      <c r="F371" s="57"/>
      <c r="G371" s="74"/>
      <c r="H371" s="75">
        <v>0.0</v>
      </c>
      <c r="I371" s="57"/>
      <c r="J371" s="74"/>
      <c r="K371" s="75">
        <v>0.0</v>
      </c>
      <c r="L371" s="57"/>
      <c r="M371" s="74"/>
      <c r="N371" s="75">
        <v>0.0</v>
      </c>
      <c r="O371" s="57"/>
      <c r="P371" s="74"/>
      <c r="Q371" s="75">
        <v>0.0</v>
      </c>
      <c r="R371" s="57"/>
      <c r="S371" s="74"/>
      <c r="T371" s="75">
        <v>0.0</v>
      </c>
      <c r="U371" s="57"/>
      <c r="V371" s="74"/>
      <c r="W371" s="75">
        <v>0.0</v>
      </c>
      <c r="X371" s="57"/>
      <c r="Y371" s="74"/>
      <c r="Z371" s="75">
        <v>0.0</v>
      </c>
      <c r="AA371" s="57"/>
      <c r="AB371" s="74"/>
      <c r="AC371" s="75">
        <v>0.0</v>
      </c>
      <c r="AD371" s="57"/>
      <c r="AE371" s="74"/>
      <c r="AF371" s="75">
        <v>0.0</v>
      </c>
      <c r="AG371" s="57"/>
      <c r="AH371" s="74"/>
      <c r="AI371" s="75">
        <v>0.0</v>
      </c>
      <c r="AJ371" s="57"/>
      <c r="AK371" s="74"/>
      <c r="AL371" s="75">
        <v>0.0</v>
      </c>
      <c r="AM371" s="57"/>
      <c r="AN371" s="74"/>
      <c r="AO371" s="242">
        <v>0.0</v>
      </c>
      <c r="AP371" s="40"/>
      <c r="AQ371" s="40"/>
      <c r="AR371" s="40"/>
      <c r="AS371" s="40"/>
      <c r="AT371" s="40"/>
      <c r="AU371" s="40"/>
      <c r="AV371" s="40"/>
      <c r="AW371" s="40"/>
      <c r="AX371" s="40"/>
      <c r="AY371" s="40"/>
      <c r="AZ371" s="40"/>
      <c r="BA371" s="40"/>
      <c r="BB371" s="40"/>
      <c r="BC371" s="40"/>
      <c r="BD371" s="40"/>
      <c r="BE371" s="40"/>
      <c r="BF371" s="40"/>
      <c r="BG371" s="40"/>
      <c r="BH371" s="40"/>
      <c r="BI371" s="40"/>
    </row>
    <row r="372" ht="15.75" customHeight="1">
      <c r="A372" s="41" t="str">
        <f t="shared" si="7"/>
        <v>Boutique[...]</v>
      </c>
      <c r="B372" s="57" t="s">
        <v>56</v>
      </c>
      <c r="C372" s="57"/>
      <c r="D372" s="74"/>
      <c r="E372" s="75"/>
      <c r="F372" s="57"/>
      <c r="G372" s="74"/>
      <c r="H372" s="75"/>
      <c r="I372" s="57"/>
      <c r="J372" s="74"/>
      <c r="K372" s="75"/>
      <c r="L372" s="57"/>
      <c r="M372" s="74"/>
      <c r="N372" s="75"/>
      <c r="O372" s="57"/>
      <c r="P372" s="74"/>
      <c r="Q372" s="75"/>
      <c r="R372" s="57"/>
      <c r="S372" s="74"/>
      <c r="T372" s="75"/>
      <c r="U372" s="57"/>
      <c r="V372" s="74"/>
      <c r="W372" s="75"/>
      <c r="X372" s="57"/>
      <c r="Y372" s="74"/>
      <c r="Z372" s="75"/>
      <c r="AA372" s="57"/>
      <c r="AB372" s="74"/>
      <c r="AC372" s="75"/>
      <c r="AD372" s="57"/>
      <c r="AE372" s="74"/>
      <c r="AF372" s="75"/>
      <c r="AG372" s="57"/>
      <c r="AH372" s="74"/>
      <c r="AI372" s="75"/>
      <c r="AJ372" s="57"/>
      <c r="AK372" s="74"/>
      <c r="AL372" s="75"/>
      <c r="AM372" s="57"/>
      <c r="AN372" s="74"/>
      <c r="AO372" s="242"/>
      <c r="AP372" s="40"/>
      <c r="AQ372" s="40"/>
      <c r="AR372" s="40"/>
      <c r="AS372" s="40"/>
      <c r="AT372" s="40"/>
      <c r="AU372" s="40"/>
      <c r="AV372" s="40"/>
      <c r="AW372" s="40"/>
      <c r="AX372" s="40"/>
      <c r="AY372" s="40"/>
      <c r="AZ372" s="40"/>
      <c r="BA372" s="40"/>
      <c r="BB372" s="40"/>
      <c r="BC372" s="40"/>
      <c r="BD372" s="40"/>
      <c r="BE372" s="40"/>
      <c r="BF372" s="40"/>
      <c r="BG372" s="40"/>
      <c r="BH372" s="40"/>
      <c r="BI372" s="40"/>
    </row>
    <row r="373" ht="15.75" customHeight="1">
      <c r="A373" s="41" t="str">
        <f t="shared" si="7"/>
        <v>Boutique[...]</v>
      </c>
      <c r="B373" s="57" t="s">
        <v>56</v>
      </c>
      <c r="C373" s="57"/>
      <c r="D373" s="74"/>
      <c r="E373" s="75"/>
      <c r="F373" s="57"/>
      <c r="G373" s="74"/>
      <c r="H373" s="75"/>
      <c r="I373" s="57"/>
      <c r="J373" s="74"/>
      <c r="K373" s="75"/>
      <c r="L373" s="57"/>
      <c r="M373" s="74"/>
      <c r="N373" s="75"/>
      <c r="O373" s="57"/>
      <c r="P373" s="74"/>
      <c r="Q373" s="75"/>
      <c r="R373" s="57"/>
      <c r="S373" s="74"/>
      <c r="T373" s="75"/>
      <c r="U373" s="57"/>
      <c r="V373" s="74"/>
      <c r="W373" s="75"/>
      <c r="X373" s="57"/>
      <c r="Y373" s="74"/>
      <c r="Z373" s="75"/>
      <c r="AA373" s="57"/>
      <c r="AB373" s="74"/>
      <c r="AC373" s="75"/>
      <c r="AD373" s="57"/>
      <c r="AE373" s="74"/>
      <c r="AF373" s="75"/>
      <c r="AG373" s="57"/>
      <c r="AH373" s="74"/>
      <c r="AI373" s="75"/>
      <c r="AJ373" s="57"/>
      <c r="AK373" s="74"/>
      <c r="AL373" s="75"/>
      <c r="AM373" s="57"/>
      <c r="AN373" s="74"/>
      <c r="AO373" s="242"/>
      <c r="AP373" s="40"/>
      <c r="AQ373" s="40"/>
      <c r="AR373" s="40"/>
      <c r="AS373" s="40"/>
      <c r="AT373" s="40"/>
      <c r="AU373" s="40"/>
      <c r="AV373" s="40"/>
      <c r="AW373" s="40"/>
      <c r="AX373" s="40"/>
      <c r="AY373" s="40"/>
      <c r="AZ373" s="40"/>
      <c r="BA373" s="40"/>
      <c r="BB373" s="40"/>
      <c r="BC373" s="40"/>
      <c r="BD373" s="40"/>
      <c r="BE373" s="40"/>
      <c r="BF373" s="40"/>
      <c r="BG373" s="40"/>
      <c r="BH373" s="40"/>
      <c r="BI373" s="40"/>
    </row>
    <row r="374" ht="15.75" customHeight="1">
      <c r="A374" s="41" t="str">
        <f t="shared" si="7"/>
        <v>Boutique[...]</v>
      </c>
      <c r="B374" s="57" t="s">
        <v>56</v>
      </c>
      <c r="C374" s="57"/>
      <c r="D374" s="74"/>
      <c r="E374" s="75"/>
      <c r="F374" s="57"/>
      <c r="G374" s="74"/>
      <c r="H374" s="75"/>
      <c r="I374" s="57"/>
      <c r="J374" s="74"/>
      <c r="K374" s="75"/>
      <c r="L374" s="57"/>
      <c r="M374" s="74"/>
      <c r="N374" s="75"/>
      <c r="O374" s="57"/>
      <c r="P374" s="74"/>
      <c r="Q374" s="75"/>
      <c r="R374" s="57"/>
      <c r="S374" s="74"/>
      <c r="T374" s="75"/>
      <c r="U374" s="57"/>
      <c r="V374" s="74"/>
      <c r="W374" s="75"/>
      <c r="X374" s="57"/>
      <c r="Y374" s="74"/>
      <c r="Z374" s="75"/>
      <c r="AA374" s="57"/>
      <c r="AB374" s="74"/>
      <c r="AC374" s="75"/>
      <c r="AD374" s="57"/>
      <c r="AE374" s="74"/>
      <c r="AF374" s="75"/>
      <c r="AG374" s="57"/>
      <c r="AH374" s="74"/>
      <c r="AI374" s="75"/>
      <c r="AJ374" s="57"/>
      <c r="AK374" s="74"/>
      <c r="AL374" s="75"/>
      <c r="AM374" s="57"/>
      <c r="AN374" s="74"/>
      <c r="AO374" s="242"/>
      <c r="AP374" s="40"/>
      <c r="AQ374" s="40"/>
      <c r="AR374" s="40"/>
      <c r="AS374" s="40"/>
      <c r="AT374" s="40"/>
      <c r="AU374" s="40"/>
      <c r="AV374" s="40"/>
      <c r="AW374" s="40"/>
      <c r="AX374" s="40"/>
      <c r="AY374" s="40"/>
      <c r="AZ374" s="40"/>
      <c r="BA374" s="40"/>
      <c r="BB374" s="40"/>
      <c r="BC374" s="40"/>
      <c r="BD374" s="40"/>
      <c r="BE374" s="40"/>
      <c r="BF374" s="40"/>
      <c r="BG374" s="40"/>
      <c r="BH374" s="40"/>
      <c r="BI374" s="40"/>
    </row>
    <row r="375" ht="15.75" customHeight="1">
      <c r="A375" s="41" t="str">
        <f t="shared" si="7"/>
        <v>BoutiqueSalaires en absences</v>
      </c>
      <c r="B375" s="97" t="s">
        <v>123</v>
      </c>
      <c r="C375" s="57"/>
      <c r="D375" s="74"/>
      <c r="E375" s="75">
        <v>0.0</v>
      </c>
      <c r="F375" s="57"/>
      <c r="G375" s="74"/>
      <c r="H375" s="75">
        <v>0.0</v>
      </c>
      <c r="I375" s="57"/>
      <c r="J375" s="74"/>
      <c r="K375" s="75">
        <v>0.0</v>
      </c>
      <c r="L375" s="57"/>
      <c r="M375" s="74"/>
      <c r="N375" s="75">
        <v>0.0</v>
      </c>
      <c r="O375" s="57"/>
      <c r="P375" s="74"/>
      <c r="Q375" s="75">
        <v>0.0</v>
      </c>
      <c r="R375" s="57"/>
      <c r="S375" s="74"/>
      <c r="T375" s="75">
        <v>0.0</v>
      </c>
      <c r="U375" s="57"/>
      <c r="V375" s="74"/>
      <c r="W375" s="75">
        <v>0.0</v>
      </c>
      <c r="X375" s="57"/>
      <c r="Y375" s="74"/>
      <c r="Z375" s="75">
        <v>0.0</v>
      </c>
      <c r="AA375" s="57"/>
      <c r="AB375" s="74"/>
      <c r="AC375" s="75">
        <v>0.0</v>
      </c>
      <c r="AD375" s="57"/>
      <c r="AE375" s="74"/>
      <c r="AF375" s="75">
        <v>0.0</v>
      </c>
      <c r="AG375" s="57"/>
      <c r="AH375" s="74"/>
      <c r="AI375" s="75">
        <v>0.0</v>
      </c>
      <c r="AJ375" s="57"/>
      <c r="AK375" s="74"/>
      <c r="AL375" s="75">
        <v>0.0</v>
      </c>
      <c r="AM375" s="57"/>
      <c r="AN375" s="74"/>
      <c r="AO375" s="242">
        <v>0.0</v>
      </c>
      <c r="AP375" s="40"/>
      <c r="AQ375" s="40"/>
      <c r="AR375" s="40"/>
      <c r="AS375" s="40"/>
      <c r="AT375" s="40"/>
      <c r="AU375" s="40"/>
      <c r="AV375" s="40"/>
      <c r="AW375" s="40"/>
      <c r="AX375" s="40"/>
      <c r="AY375" s="40"/>
      <c r="AZ375" s="40"/>
      <c r="BA375" s="40"/>
      <c r="BB375" s="40"/>
      <c r="BC375" s="40"/>
      <c r="BD375" s="40"/>
      <c r="BE375" s="40"/>
      <c r="BF375" s="40"/>
      <c r="BG375" s="40"/>
      <c r="BH375" s="40"/>
      <c r="BI375" s="40"/>
    </row>
    <row r="376" ht="15.75" customHeight="1">
      <c r="A376" s="41" t="str">
        <f t="shared" si="7"/>
        <v>BoutiqueDéduction à la source</v>
      </c>
      <c r="B376" s="96" t="s">
        <v>124</v>
      </c>
      <c r="C376" s="49"/>
      <c r="D376" s="98"/>
      <c r="E376" s="99">
        <v>0.0</v>
      </c>
      <c r="F376" s="49"/>
      <c r="G376" s="98"/>
      <c r="H376" s="99">
        <v>0.0</v>
      </c>
      <c r="I376" s="49"/>
      <c r="J376" s="98"/>
      <c r="K376" s="99">
        <v>0.0</v>
      </c>
      <c r="L376" s="49"/>
      <c r="M376" s="98"/>
      <c r="N376" s="99">
        <v>0.0</v>
      </c>
      <c r="O376" s="49"/>
      <c r="P376" s="98"/>
      <c r="Q376" s="99">
        <v>0.0</v>
      </c>
      <c r="R376" s="49"/>
      <c r="S376" s="98"/>
      <c r="T376" s="99">
        <v>0.0</v>
      </c>
      <c r="U376" s="49"/>
      <c r="V376" s="98"/>
      <c r="W376" s="99">
        <v>0.0</v>
      </c>
      <c r="X376" s="49"/>
      <c r="Y376" s="98"/>
      <c r="Z376" s="99">
        <v>0.0</v>
      </c>
      <c r="AA376" s="49"/>
      <c r="AB376" s="98"/>
      <c r="AC376" s="99">
        <v>0.0</v>
      </c>
      <c r="AD376" s="49"/>
      <c r="AE376" s="98"/>
      <c r="AF376" s="99">
        <v>0.0</v>
      </c>
      <c r="AG376" s="49"/>
      <c r="AH376" s="98"/>
      <c r="AI376" s="99">
        <v>0.0</v>
      </c>
      <c r="AJ376" s="49"/>
      <c r="AK376" s="98"/>
      <c r="AL376" s="99">
        <v>0.0</v>
      </c>
      <c r="AM376" s="49"/>
      <c r="AN376" s="98"/>
      <c r="AO376" s="244">
        <v>0.0</v>
      </c>
      <c r="AP376" s="40"/>
      <c r="AQ376" s="40"/>
      <c r="AR376" s="40"/>
      <c r="AS376" s="40"/>
      <c r="AT376" s="40"/>
      <c r="AU376" s="40"/>
      <c r="AV376" s="40"/>
      <c r="AW376" s="40"/>
      <c r="AX376" s="40"/>
      <c r="AY376" s="40"/>
      <c r="AZ376" s="40"/>
      <c r="BA376" s="40"/>
      <c r="BB376" s="40"/>
      <c r="BC376" s="40"/>
      <c r="BD376" s="40"/>
      <c r="BE376" s="40"/>
      <c r="BF376" s="40"/>
      <c r="BG376" s="40"/>
      <c r="BH376" s="40"/>
      <c r="BI376" s="40"/>
    </row>
    <row r="377" ht="15.75" customHeight="1">
      <c r="A377" s="41" t="str">
        <f t="shared" si="7"/>
        <v>BoutiqueBénéfices marginaux</v>
      </c>
      <c r="B377" s="96" t="s">
        <v>125</v>
      </c>
      <c r="C377" s="57"/>
      <c r="D377" s="74"/>
      <c r="E377" s="75">
        <v>0.0</v>
      </c>
      <c r="F377" s="57"/>
      <c r="G377" s="74"/>
      <c r="H377" s="75">
        <v>0.0</v>
      </c>
      <c r="I377" s="57"/>
      <c r="J377" s="74"/>
      <c r="K377" s="75">
        <v>0.0</v>
      </c>
      <c r="L377" s="57"/>
      <c r="M377" s="74"/>
      <c r="N377" s="75">
        <v>0.0</v>
      </c>
      <c r="O377" s="57"/>
      <c r="P377" s="74"/>
      <c r="Q377" s="75">
        <v>0.0</v>
      </c>
      <c r="R377" s="57"/>
      <c r="S377" s="74"/>
      <c r="T377" s="75">
        <v>0.0</v>
      </c>
      <c r="U377" s="57"/>
      <c r="V377" s="74"/>
      <c r="W377" s="75">
        <v>0.0</v>
      </c>
      <c r="X377" s="57"/>
      <c r="Y377" s="74"/>
      <c r="Z377" s="75">
        <v>0.0</v>
      </c>
      <c r="AA377" s="57"/>
      <c r="AB377" s="74"/>
      <c r="AC377" s="75">
        <v>0.0</v>
      </c>
      <c r="AD377" s="57"/>
      <c r="AE377" s="74"/>
      <c r="AF377" s="75">
        <v>0.0</v>
      </c>
      <c r="AG377" s="57"/>
      <c r="AH377" s="74"/>
      <c r="AI377" s="75">
        <v>0.0</v>
      </c>
      <c r="AJ377" s="57"/>
      <c r="AK377" s="74"/>
      <c r="AL377" s="75">
        <v>0.0</v>
      </c>
      <c r="AM377" s="57"/>
      <c r="AN377" s="74"/>
      <c r="AO377" s="242">
        <v>0.0</v>
      </c>
      <c r="AP377" s="40"/>
      <c r="AQ377" s="40"/>
      <c r="AR377" s="40"/>
      <c r="AS377" s="40"/>
      <c r="AT377" s="40"/>
      <c r="AU377" s="40"/>
      <c r="AV377" s="40"/>
      <c r="AW377" s="40"/>
      <c r="AX377" s="40"/>
      <c r="AY377" s="40"/>
      <c r="AZ377" s="40"/>
      <c r="BA377" s="40"/>
      <c r="BB377" s="40"/>
      <c r="BC377" s="40"/>
      <c r="BD377" s="40"/>
      <c r="BE377" s="40"/>
      <c r="BF377" s="40"/>
      <c r="BG377" s="40"/>
      <c r="BH377" s="40"/>
      <c r="BI377" s="40"/>
    </row>
    <row r="378" ht="15.75" customHeight="1">
      <c r="A378" s="41" t="str">
        <f t="shared" si="7"/>
        <v>BoutiqueCsst</v>
      </c>
      <c r="B378" s="96" t="s">
        <v>126</v>
      </c>
      <c r="C378" s="57"/>
      <c r="D378" s="74"/>
      <c r="E378" s="75">
        <v>0.0</v>
      </c>
      <c r="F378" s="57"/>
      <c r="G378" s="74"/>
      <c r="H378" s="75">
        <v>0.0</v>
      </c>
      <c r="I378" s="57"/>
      <c r="J378" s="74"/>
      <c r="K378" s="75">
        <v>0.0</v>
      </c>
      <c r="L378" s="57"/>
      <c r="M378" s="74"/>
      <c r="N378" s="75">
        <v>0.0</v>
      </c>
      <c r="O378" s="57"/>
      <c r="P378" s="74"/>
      <c r="Q378" s="75">
        <v>0.0</v>
      </c>
      <c r="R378" s="57"/>
      <c r="S378" s="74"/>
      <c r="T378" s="75">
        <v>0.0</v>
      </c>
      <c r="U378" s="57"/>
      <c r="V378" s="74"/>
      <c r="W378" s="75">
        <v>0.0</v>
      </c>
      <c r="X378" s="57"/>
      <c r="Y378" s="74"/>
      <c r="Z378" s="75">
        <v>0.0</v>
      </c>
      <c r="AA378" s="57"/>
      <c r="AB378" s="74"/>
      <c r="AC378" s="75">
        <v>0.0</v>
      </c>
      <c r="AD378" s="57"/>
      <c r="AE378" s="74"/>
      <c r="AF378" s="75">
        <v>0.0</v>
      </c>
      <c r="AG378" s="57"/>
      <c r="AH378" s="74"/>
      <c r="AI378" s="75">
        <v>0.0</v>
      </c>
      <c r="AJ378" s="57"/>
      <c r="AK378" s="74"/>
      <c r="AL378" s="75">
        <v>0.0</v>
      </c>
      <c r="AM378" s="57"/>
      <c r="AN378" s="74"/>
      <c r="AO378" s="242">
        <v>0.0</v>
      </c>
      <c r="AP378" s="40"/>
      <c r="AQ378" s="40"/>
      <c r="AR378" s="40"/>
      <c r="AS378" s="40"/>
      <c r="AT378" s="40"/>
      <c r="AU378" s="40"/>
      <c r="AV378" s="40"/>
      <c r="AW378" s="40"/>
      <c r="AX378" s="40"/>
      <c r="AY378" s="40"/>
      <c r="AZ378" s="40"/>
      <c r="BA378" s="40"/>
      <c r="BB378" s="40"/>
      <c r="BC378" s="40"/>
      <c r="BD378" s="40"/>
      <c r="BE378" s="40"/>
      <c r="BF378" s="40"/>
      <c r="BG378" s="40"/>
      <c r="BH378" s="40"/>
      <c r="BI378" s="40"/>
    </row>
    <row r="379" ht="15.75" customHeight="1">
      <c r="A379" s="41" t="str">
        <f t="shared" si="7"/>
        <v>Boutique[...]</v>
      </c>
      <c r="B379" s="57" t="s">
        <v>56</v>
      </c>
      <c r="C379" s="53"/>
      <c r="D379" s="100"/>
      <c r="E379" s="91"/>
      <c r="F379" s="53"/>
      <c r="G379" s="100"/>
      <c r="H379" s="91"/>
      <c r="I379" s="53"/>
      <c r="J379" s="100"/>
      <c r="K379" s="91"/>
      <c r="L379" s="53"/>
      <c r="M379" s="100"/>
      <c r="N379" s="91"/>
      <c r="O379" s="53"/>
      <c r="P379" s="100"/>
      <c r="Q379" s="91"/>
      <c r="R379" s="53"/>
      <c r="S379" s="100"/>
      <c r="T379" s="91"/>
      <c r="U379" s="53"/>
      <c r="V379" s="100"/>
      <c r="W379" s="91"/>
      <c r="X379" s="53"/>
      <c r="Y379" s="100"/>
      <c r="Z379" s="91"/>
      <c r="AA379" s="53"/>
      <c r="AB379" s="100"/>
      <c r="AC379" s="91"/>
      <c r="AD379" s="53"/>
      <c r="AE379" s="100"/>
      <c r="AF379" s="91"/>
      <c r="AG379" s="53"/>
      <c r="AH379" s="100"/>
      <c r="AI379" s="91"/>
      <c r="AJ379" s="53"/>
      <c r="AK379" s="100"/>
      <c r="AL379" s="91"/>
      <c r="AM379" s="53"/>
      <c r="AN379" s="100"/>
      <c r="AO379" s="91"/>
      <c r="AP379" s="40"/>
      <c r="AQ379" s="40"/>
      <c r="AR379" s="40"/>
      <c r="AS379" s="40"/>
      <c r="AT379" s="40"/>
      <c r="AU379" s="40"/>
      <c r="AV379" s="40"/>
      <c r="AW379" s="40"/>
      <c r="AX379" s="40"/>
      <c r="AY379" s="40"/>
      <c r="AZ379" s="40"/>
      <c r="BA379" s="40"/>
      <c r="BB379" s="40"/>
      <c r="BC379" s="40"/>
      <c r="BD379" s="40"/>
      <c r="BE379" s="40"/>
      <c r="BF379" s="40"/>
      <c r="BG379" s="40"/>
      <c r="BH379" s="40"/>
      <c r="BI379" s="40"/>
    </row>
    <row r="380" ht="15.75" customHeight="1">
      <c r="A380" s="41" t="str">
        <f t="shared" si="7"/>
        <v>BoutiqueTOTAL PERSONNEL</v>
      </c>
      <c r="B380" s="92" t="s">
        <v>127</v>
      </c>
      <c r="C380" s="93" t="s">
        <v>225</v>
      </c>
      <c r="D380" s="94">
        <v>0.0</v>
      </c>
      <c r="E380" s="95">
        <v>0.0</v>
      </c>
      <c r="F380" s="93"/>
      <c r="G380" s="94"/>
      <c r="H380" s="95">
        <v>0.0</v>
      </c>
      <c r="I380" s="93"/>
      <c r="J380" s="94"/>
      <c r="K380" s="95">
        <v>0.0</v>
      </c>
      <c r="L380" s="93"/>
      <c r="M380" s="94"/>
      <c r="N380" s="95">
        <v>0.0</v>
      </c>
      <c r="O380" s="93"/>
      <c r="P380" s="94"/>
      <c r="Q380" s="95">
        <v>0.0</v>
      </c>
      <c r="R380" s="93"/>
      <c r="S380" s="94"/>
      <c r="T380" s="95">
        <v>0.0</v>
      </c>
      <c r="U380" s="93"/>
      <c r="V380" s="94"/>
      <c r="W380" s="95">
        <v>0.0</v>
      </c>
      <c r="X380" s="93"/>
      <c r="Y380" s="94"/>
      <c r="Z380" s="95">
        <v>0.0</v>
      </c>
      <c r="AA380" s="93"/>
      <c r="AB380" s="94"/>
      <c r="AC380" s="95">
        <v>0.0</v>
      </c>
      <c r="AD380" s="93"/>
      <c r="AE380" s="94"/>
      <c r="AF380" s="95">
        <v>0.0</v>
      </c>
      <c r="AG380" s="93"/>
      <c r="AH380" s="94"/>
      <c r="AI380" s="95">
        <v>0.0</v>
      </c>
      <c r="AJ380" s="93"/>
      <c r="AK380" s="94"/>
      <c r="AL380" s="95">
        <v>0.0</v>
      </c>
      <c r="AM380" s="93"/>
      <c r="AN380" s="94"/>
      <c r="AO380" s="95">
        <v>0.0</v>
      </c>
      <c r="AP380" s="40"/>
      <c r="AQ380" s="40"/>
      <c r="AR380" s="40"/>
      <c r="AS380" s="40"/>
      <c r="AT380" s="40"/>
      <c r="AU380" s="40"/>
      <c r="AV380" s="40"/>
      <c r="AW380" s="40"/>
      <c r="AX380" s="40"/>
      <c r="AY380" s="40"/>
      <c r="AZ380" s="40"/>
      <c r="BA380" s="40"/>
      <c r="BB380" s="40"/>
      <c r="BC380" s="40"/>
      <c r="BD380" s="40"/>
      <c r="BE380" s="40"/>
      <c r="BF380" s="40"/>
      <c r="BG380" s="40"/>
      <c r="BH380" s="40"/>
      <c r="BI380" s="40"/>
    </row>
    <row r="381" ht="15.75" customHeight="1">
      <c r="A381" s="41" t="str">
        <f t="shared" si="7"/>
        <v>BoutiquePublicité 2</v>
      </c>
      <c r="B381" s="150" t="s">
        <v>128</v>
      </c>
      <c r="C381" s="57"/>
      <c r="D381" s="74"/>
      <c r="E381" s="75">
        <v>0.0</v>
      </c>
      <c r="F381" s="57"/>
      <c r="G381" s="74"/>
      <c r="H381" s="75">
        <v>0.0</v>
      </c>
      <c r="I381" s="57"/>
      <c r="J381" s="74"/>
      <c r="K381" s="75">
        <v>0.0</v>
      </c>
      <c r="L381" s="57"/>
      <c r="M381" s="74"/>
      <c r="N381" s="75">
        <v>0.0</v>
      </c>
      <c r="O381" s="57"/>
      <c r="P381" s="74"/>
      <c r="Q381" s="75">
        <v>0.0</v>
      </c>
      <c r="R381" s="57"/>
      <c r="S381" s="74"/>
      <c r="T381" s="75">
        <v>0.0</v>
      </c>
      <c r="U381" s="57"/>
      <c r="V381" s="74"/>
      <c r="W381" s="75">
        <v>0.0</v>
      </c>
      <c r="X381" s="57"/>
      <c r="Y381" s="74"/>
      <c r="Z381" s="75">
        <v>0.0</v>
      </c>
      <c r="AA381" s="57"/>
      <c r="AB381" s="74"/>
      <c r="AC381" s="75">
        <v>0.0</v>
      </c>
      <c r="AD381" s="57"/>
      <c r="AE381" s="74"/>
      <c r="AF381" s="75">
        <v>0.0</v>
      </c>
      <c r="AG381" s="57"/>
      <c r="AH381" s="74"/>
      <c r="AI381" s="75">
        <v>0.0</v>
      </c>
      <c r="AJ381" s="57"/>
      <c r="AK381" s="74"/>
      <c r="AL381" s="75">
        <v>0.0</v>
      </c>
      <c r="AM381" s="57"/>
      <c r="AN381" s="74"/>
      <c r="AO381" s="242">
        <v>0.0</v>
      </c>
      <c r="AP381" s="40"/>
      <c r="AQ381" s="40"/>
      <c r="AR381" s="40"/>
      <c r="AS381" s="40"/>
      <c r="AT381" s="40"/>
      <c r="AU381" s="40"/>
      <c r="AV381" s="40"/>
      <c r="AW381" s="40"/>
      <c r="AX381" s="40"/>
      <c r="AY381" s="40"/>
      <c r="AZ381" s="40"/>
      <c r="BA381" s="40"/>
      <c r="BB381" s="40"/>
      <c r="BC381" s="40"/>
      <c r="BD381" s="40"/>
      <c r="BE381" s="40"/>
      <c r="BF381" s="40"/>
      <c r="BG381" s="40"/>
      <c r="BH381" s="40"/>
      <c r="BI381" s="40"/>
    </row>
    <row r="382" ht="15.75" customHeight="1">
      <c r="A382" s="41" t="str">
        <f t="shared" si="7"/>
        <v>BoutiqueService gratuit 2</v>
      </c>
      <c r="B382" s="96" t="s">
        <v>129</v>
      </c>
      <c r="C382" s="57"/>
      <c r="D382" s="74"/>
      <c r="E382" s="75">
        <v>0.0</v>
      </c>
      <c r="F382" s="57"/>
      <c r="G382" s="74"/>
      <c r="H382" s="75">
        <v>0.0</v>
      </c>
      <c r="I382" s="57"/>
      <c r="J382" s="74"/>
      <c r="K382" s="75">
        <v>0.0</v>
      </c>
      <c r="L382" s="57"/>
      <c r="M382" s="74"/>
      <c r="N382" s="75">
        <v>0.0</v>
      </c>
      <c r="O382" s="57"/>
      <c r="P382" s="74"/>
      <c r="Q382" s="75">
        <v>0.0</v>
      </c>
      <c r="R382" s="57"/>
      <c r="S382" s="74"/>
      <c r="T382" s="75">
        <v>0.0</v>
      </c>
      <c r="U382" s="57"/>
      <c r="V382" s="74"/>
      <c r="W382" s="75">
        <v>0.0</v>
      </c>
      <c r="X382" s="57"/>
      <c r="Y382" s="74"/>
      <c r="Z382" s="75">
        <v>0.0</v>
      </c>
      <c r="AA382" s="57"/>
      <c r="AB382" s="74"/>
      <c r="AC382" s="75">
        <v>0.0</v>
      </c>
      <c r="AD382" s="57"/>
      <c r="AE382" s="74"/>
      <c r="AF382" s="75">
        <v>0.0</v>
      </c>
      <c r="AG382" s="57"/>
      <c r="AH382" s="74"/>
      <c r="AI382" s="75">
        <v>0.0</v>
      </c>
      <c r="AJ382" s="57"/>
      <c r="AK382" s="74"/>
      <c r="AL382" s="75">
        <v>0.0</v>
      </c>
      <c r="AM382" s="57"/>
      <c r="AN382" s="74"/>
      <c r="AO382" s="242">
        <v>0.0</v>
      </c>
      <c r="AP382" s="40"/>
      <c r="AQ382" s="40"/>
      <c r="AR382" s="40"/>
      <c r="AS382" s="40"/>
      <c r="AT382" s="40"/>
      <c r="AU382" s="40"/>
      <c r="AV382" s="40"/>
      <c r="AW382" s="40"/>
      <c r="AX382" s="40"/>
      <c r="AY382" s="40"/>
      <c r="AZ382" s="40"/>
      <c r="BA382" s="40"/>
      <c r="BB382" s="40"/>
      <c r="BC382" s="40"/>
      <c r="BD382" s="40"/>
      <c r="BE382" s="40"/>
      <c r="BF382" s="40"/>
      <c r="BG382" s="40"/>
      <c r="BH382" s="40"/>
      <c r="BI382" s="40"/>
    </row>
    <row r="383" ht="15.75" customHeight="1">
      <c r="A383" s="41" t="str">
        <f t="shared" si="7"/>
        <v>BoutiqueFrais véhicules de cie</v>
      </c>
      <c r="B383" s="97" t="s">
        <v>130</v>
      </c>
      <c r="C383" s="53"/>
      <c r="D383" s="100"/>
      <c r="E383" s="91">
        <v>0.0</v>
      </c>
      <c r="F383" s="53"/>
      <c r="G383" s="100"/>
      <c r="H383" s="91">
        <v>0.0</v>
      </c>
      <c r="I383" s="53"/>
      <c r="J383" s="100"/>
      <c r="K383" s="91">
        <v>0.0</v>
      </c>
      <c r="L383" s="53"/>
      <c r="M383" s="100"/>
      <c r="N383" s="91">
        <v>0.0</v>
      </c>
      <c r="O383" s="53"/>
      <c r="P383" s="100"/>
      <c r="Q383" s="91">
        <v>0.0</v>
      </c>
      <c r="R383" s="53"/>
      <c r="S383" s="100"/>
      <c r="T383" s="91">
        <v>0.0</v>
      </c>
      <c r="U383" s="53"/>
      <c r="V383" s="100"/>
      <c r="W383" s="91">
        <v>0.0</v>
      </c>
      <c r="X383" s="53"/>
      <c r="Y383" s="100"/>
      <c r="Z383" s="91">
        <v>0.0</v>
      </c>
      <c r="AA383" s="53"/>
      <c r="AB383" s="100"/>
      <c r="AC383" s="91">
        <v>0.0</v>
      </c>
      <c r="AD383" s="53"/>
      <c r="AE383" s="100"/>
      <c r="AF383" s="91">
        <v>0.0</v>
      </c>
      <c r="AG383" s="53"/>
      <c r="AH383" s="100"/>
      <c r="AI383" s="91">
        <v>0.0</v>
      </c>
      <c r="AJ383" s="53"/>
      <c r="AK383" s="100"/>
      <c r="AL383" s="91">
        <v>0.0</v>
      </c>
      <c r="AM383" s="53"/>
      <c r="AN383" s="100"/>
      <c r="AO383" s="243">
        <v>0.0</v>
      </c>
      <c r="AP383" s="40"/>
      <c r="AQ383" s="40"/>
      <c r="AR383" s="40"/>
      <c r="AS383" s="40"/>
      <c r="AT383" s="40"/>
      <c r="AU383" s="40"/>
      <c r="AV383" s="40"/>
      <c r="AW383" s="40"/>
      <c r="AX383" s="40"/>
      <c r="AY383" s="40"/>
      <c r="AZ383" s="40"/>
      <c r="BA383" s="40"/>
      <c r="BB383" s="40"/>
      <c r="BC383" s="40"/>
      <c r="BD383" s="40"/>
      <c r="BE383" s="40"/>
      <c r="BF383" s="40"/>
      <c r="BG383" s="40"/>
      <c r="BH383" s="40"/>
      <c r="BI383" s="40"/>
    </row>
    <row r="384" ht="15.75" customHeight="1">
      <c r="A384" s="41" t="str">
        <f t="shared" si="7"/>
        <v>BoutiqueInformatique</v>
      </c>
      <c r="B384" s="96" t="s">
        <v>131</v>
      </c>
      <c r="C384" s="57"/>
      <c r="D384" s="74"/>
      <c r="E384" s="75">
        <v>0.0</v>
      </c>
      <c r="F384" s="57"/>
      <c r="G384" s="74"/>
      <c r="H384" s="75">
        <v>0.0</v>
      </c>
      <c r="I384" s="57"/>
      <c r="J384" s="74"/>
      <c r="K384" s="75">
        <v>0.0</v>
      </c>
      <c r="L384" s="57"/>
      <c r="M384" s="74"/>
      <c r="N384" s="75">
        <v>0.0</v>
      </c>
      <c r="O384" s="57"/>
      <c r="P384" s="74"/>
      <c r="Q384" s="75">
        <v>0.0</v>
      </c>
      <c r="R384" s="57"/>
      <c r="S384" s="74"/>
      <c r="T384" s="75">
        <v>0.0</v>
      </c>
      <c r="U384" s="57"/>
      <c r="V384" s="74"/>
      <c r="W384" s="75">
        <v>0.0</v>
      </c>
      <c r="X384" s="57"/>
      <c r="Y384" s="74"/>
      <c r="Z384" s="75">
        <v>0.0</v>
      </c>
      <c r="AA384" s="57"/>
      <c r="AB384" s="74"/>
      <c r="AC384" s="75">
        <v>0.0</v>
      </c>
      <c r="AD384" s="57"/>
      <c r="AE384" s="74"/>
      <c r="AF384" s="75">
        <v>0.0</v>
      </c>
      <c r="AG384" s="57"/>
      <c r="AH384" s="74"/>
      <c r="AI384" s="75">
        <v>0.0</v>
      </c>
      <c r="AJ384" s="57"/>
      <c r="AK384" s="74"/>
      <c r="AL384" s="75">
        <v>0.0</v>
      </c>
      <c r="AM384" s="57"/>
      <c r="AN384" s="74"/>
      <c r="AO384" s="242">
        <v>0.0</v>
      </c>
      <c r="AP384" s="40"/>
      <c r="AQ384" s="40"/>
      <c r="AR384" s="40"/>
      <c r="AS384" s="40"/>
      <c r="AT384" s="40"/>
      <c r="AU384" s="40"/>
      <c r="AV384" s="40"/>
      <c r="AW384" s="40"/>
      <c r="AX384" s="40"/>
      <c r="AY384" s="40"/>
      <c r="AZ384" s="40"/>
      <c r="BA384" s="40"/>
      <c r="BB384" s="40"/>
      <c r="BC384" s="40"/>
      <c r="BD384" s="40"/>
      <c r="BE384" s="40"/>
      <c r="BF384" s="40"/>
      <c r="BG384" s="40"/>
      <c r="BH384" s="40"/>
      <c r="BI384" s="40"/>
    </row>
    <row r="385" ht="15.75" customHeight="1">
      <c r="A385" s="41" t="str">
        <f t="shared" si="7"/>
        <v>BoutiqueFrais de déplacement</v>
      </c>
      <c r="B385" s="96" t="s">
        <v>132</v>
      </c>
      <c r="C385" s="57"/>
      <c r="D385" s="74"/>
      <c r="E385" s="75">
        <v>0.0</v>
      </c>
      <c r="F385" s="57"/>
      <c r="G385" s="74"/>
      <c r="H385" s="75">
        <v>0.0</v>
      </c>
      <c r="I385" s="57"/>
      <c r="J385" s="74"/>
      <c r="K385" s="75">
        <v>0.0</v>
      </c>
      <c r="L385" s="57"/>
      <c r="M385" s="74"/>
      <c r="N385" s="75">
        <v>0.0</v>
      </c>
      <c r="O385" s="57"/>
      <c r="P385" s="74"/>
      <c r="Q385" s="75">
        <v>0.0</v>
      </c>
      <c r="R385" s="57"/>
      <c r="S385" s="74"/>
      <c r="T385" s="75">
        <v>0.0</v>
      </c>
      <c r="U385" s="57"/>
      <c r="V385" s="74"/>
      <c r="W385" s="75">
        <v>0.0</v>
      </c>
      <c r="X385" s="57"/>
      <c r="Y385" s="74"/>
      <c r="Z385" s="75">
        <v>0.0</v>
      </c>
      <c r="AA385" s="57"/>
      <c r="AB385" s="74"/>
      <c r="AC385" s="75">
        <v>0.0</v>
      </c>
      <c r="AD385" s="57"/>
      <c r="AE385" s="74"/>
      <c r="AF385" s="75">
        <v>0.0</v>
      </c>
      <c r="AG385" s="57"/>
      <c r="AH385" s="74"/>
      <c r="AI385" s="75">
        <v>0.0</v>
      </c>
      <c r="AJ385" s="57"/>
      <c r="AK385" s="74"/>
      <c r="AL385" s="75">
        <v>0.0</v>
      </c>
      <c r="AM385" s="57"/>
      <c r="AN385" s="74"/>
      <c r="AO385" s="242">
        <v>0.0</v>
      </c>
      <c r="AP385" s="40"/>
      <c r="AQ385" s="40"/>
      <c r="AR385" s="40"/>
      <c r="AS385" s="40"/>
      <c r="AT385" s="40"/>
      <c r="AU385" s="40"/>
      <c r="AV385" s="40"/>
      <c r="AW385" s="40"/>
      <c r="AX385" s="40"/>
      <c r="AY385" s="40"/>
      <c r="AZ385" s="40"/>
      <c r="BA385" s="40"/>
      <c r="BB385" s="40"/>
      <c r="BC385" s="40"/>
      <c r="BD385" s="40"/>
      <c r="BE385" s="40"/>
      <c r="BF385" s="40"/>
      <c r="BG385" s="40"/>
      <c r="BH385" s="40"/>
      <c r="BI385" s="40"/>
    </row>
    <row r="386" ht="15.75" customHeight="1">
      <c r="A386" s="41" t="str">
        <f t="shared" si="7"/>
        <v>BoutiqueServices extérieurs</v>
      </c>
      <c r="B386" s="96" t="s">
        <v>133</v>
      </c>
      <c r="C386" s="53"/>
      <c r="D386" s="100"/>
      <c r="E386" s="91">
        <v>0.0</v>
      </c>
      <c r="F386" s="53"/>
      <c r="G386" s="100"/>
      <c r="H386" s="91">
        <v>0.0</v>
      </c>
      <c r="I386" s="53"/>
      <c r="J386" s="100"/>
      <c r="K386" s="91">
        <v>0.0</v>
      </c>
      <c r="L386" s="53"/>
      <c r="M386" s="100"/>
      <c r="N386" s="91">
        <v>0.0</v>
      </c>
      <c r="O386" s="53"/>
      <c r="P386" s="100"/>
      <c r="Q386" s="91">
        <v>0.0</v>
      </c>
      <c r="R386" s="53"/>
      <c r="S386" s="100"/>
      <c r="T386" s="91">
        <v>0.0</v>
      </c>
      <c r="U386" s="53"/>
      <c r="V386" s="100"/>
      <c r="W386" s="91">
        <v>0.0</v>
      </c>
      <c r="X386" s="53"/>
      <c r="Y386" s="100"/>
      <c r="Z386" s="91">
        <v>0.0</v>
      </c>
      <c r="AA386" s="53"/>
      <c r="AB386" s="100"/>
      <c r="AC386" s="91">
        <v>0.0</v>
      </c>
      <c r="AD386" s="53"/>
      <c r="AE386" s="100"/>
      <c r="AF386" s="91">
        <v>0.0</v>
      </c>
      <c r="AG386" s="53"/>
      <c r="AH386" s="100"/>
      <c r="AI386" s="91">
        <v>0.0</v>
      </c>
      <c r="AJ386" s="53"/>
      <c r="AK386" s="100"/>
      <c r="AL386" s="91">
        <v>0.0</v>
      </c>
      <c r="AM386" s="53"/>
      <c r="AN386" s="100"/>
      <c r="AO386" s="243">
        <v>0.0</v>
      </c>
      <c r="AP386" s="40"/>
      <c r="AQ386" s="40"/>
      <c r="AR386" s="40"/>
      <c r="AS386" s="40"/>
      <c r="AT386" s="40"/>
      <c r="AU386" s="40"/>
      <c r="AV386" s="40"/>
      <c r="AW386" s="40"/>
      <c r="AX386" s="40"/>
      <c r="AY386" s="40"/>
      <c r="AZ386" s="40"/>
      <c r="BA386" s="40"/>
      <c r="BB386" s="40"/>
      <c r="BC386" s="40"/>
      <c r="BD386" s="40"/>
      <c r="BE386" s="40"/>
      <c r="BF386" s="40"/>
      <c r="BG386" s="40"/>
      <c r="BH386" s="40"/>
      <c r="BI386" s="40"/>
    </row>
    <row r="387" ht="20.25" customHeight="1">
      <c r="A387" s="41" t="str">
        <f t="shared" si="7"/>
        <v>BoutiqueFournitures autres</v>
      </c>
      <c r="B387" s="150" t="s">
        <v>134</v>
      </c>
      <c r="C387" s="57"/>
      <c r="D387" s="74"/>
      <c r="E387" s="75">
        <v>0.0</v>
      </c>
      <c r="F387" s="57"/>
      <c r="G387" s="74"/>
      <c r="H387" s="75">
        <v>0.0</v>
      </c>
      <c r="I387" s="57"/>
      <c r="J387" s="74"/>
      <c r="K387" s="75">
        <v>0.0</v>
      </c>
      <c r="L387" s="57"/>
      <c r="M387" s="74"/>
      <c r="N387" s="75">
        <v>0.0</v>
      </c>
      <c r="O387" s="57"/>
      <c r="P387" s="74"/>
      <c r="Q387" s="75">
        <v>0.0</v>
      </c>
      <c r="R387" s="57"/>
      <c r="S387" s="74"/>
      <c r="T387" s="75">
        <v>0.0</v>
      </c>
      <c r="U387" s="57"/>
      <c r="V387" s="74"/>
      <c r="W387" s="75">
        <v>0.0</v>
      </c>
      <c r="X387" s="57"/>
      <c r="Y387" s="74"/>
      <c r="Z387" s="75">
        <v>0.0</v>
      </c>
      <c r="AA387" s="57"/>
      <c r="AB387" s="74"/>
      <c r="AC387" s="75">
        <v>0.0</v>
      </c>
      <c r="AD387" s="57"/>
      <c r="AE387" s="74"/>
      <c r="AF387" s="75">
        <v>0.0</v>
      </c>
      <c r="AG387" s="57"/>
      <c r="AH387" s="74"/>
      <c r="AI387" s="75">
        <v>0.0</v>
      </c>
      <c r="AJ387" s="57"/>
      <c r="AK387" s="74"/>
      <c r="AL387" s="75">
        <v>0.0</v>
      </c>
      <c r="AM387" s="57"/>
      <c r="AN387" s="74"/>
      <c r="AO387" s="242">
        <v>0.0</v>
      </c>
      <c r="AP387" s="40"/>
      <c r="AQ387" s="40"/>
      <c r="AR387" s="40"/>
      <c r="AS387" s="40"/>
      <c r="AT387" s="40"/>
      <c r="AU387" s="40"/>
      <c r="AV387" s="40"/>
      <c r="AW387" s="40"/>
      <c r="AX387" s="40"/>
      <c r="AY387" s="40"/>
      <c r="AZ387" s="40"/>
      <c r="BA387" s="40"/>
      <c r="BB387" s="40"/>
      <c r="BC387" s="40"/>
      <c r="BD387" s="40"/>
      <c r="BE387" s="40"/>
      <c r="BF387" s="40"/>
      <c r="BG387" s="40"/>
      <c r="BH387" s="40"/>
      <c r="BI387" s="40"/>
    </row>
    <row r="388" ht="20.25" customHeight="1">
      <c r="A388" s="41" t="str">
        <f t="shared" si="7"/>
        <v>BoutiqueUniformes</v>
      </c>
      <c r="B388" s="96" t="s">
        <v>135</v>
      </c>
      <c r="C388" s="57"/>
      <c r="D388" s="74"/>
      <c r="E388" s="75">
        <v>0.0</v>
      </c>
      <c r="F388" s="57"/>
      <c r="G388" s="74"/>
      <c r="H388" s="75">
        <v>0.0</v>
      </c>
      <c r="I388" s="57"/>
      <c r="J388" s="74"/>
      <c r="K388" s="75">
        <v>0.0</v>
      </c>
      <c r="L388" s="57"/>
      <c r="M388" s="74"/>
      <c r="N388" s="75">
        <v>0.0</v>
      </c>
      <c r="O388" s="57"/>
      <c r="P388" s="74"/>
      <c r="Q388" s="75">
        <v>0.0</v>
      </c>
      <c r="R388" s="57"/>
      <c r="S388" s="74"/>
      <c r="T388" s="75">
        <v>0.0</v>
      </c>
      <c r="U388" s="57"/>
      <c r="V388" s="74"/>
      <c r="W388" s="75">
        <v>0.0</v>
      </c>
      <c r="X388" s="57"/>
      <c r="Y388" s="74"/>
      <c r="Z388" s="75">
        <v>0.0</v>
      </c>
      <c r="AA388" s="57"/>
      <c r="AB388" s="74"/>
      <c r="AC388" s="75">
        <v>0.0</v>
      </c>
      <c r="AD388" s="57"/>
      <c r="AE388" s="74"/>
      <c r="AF388" s="75">
        <v>0.0</v>
      </c>
      <c r="AG388" s="57"/>
      <c r="AH388" s="74"/>
      <c r="AI388" s="75">
        <v>0.0</v>
      </c>
      <c r="AJ388" s="57"/>
      <c r="AK388" s="74"/>
      <c r="AL388" s="75">
        <v>0.0</v>
      </c>
      <c r="AM388" s="57"/>
      <c r="AN388" s="74"/>
      <c r="AO388" s="242">
        <v>0.0</v>
      </c>
      <c r="AP388" s="40"/>
      <c r="AQ388" s="40"/>
      <c r="AR388" s="40"/>
      <c r="AS388" s="40"/>
      <c r="AT388" s="40"/>
      <c r="AU388" s="40"/>
      <c r="AV388" s="40"/>
      <c r="AW388" s="40"/>
      <c r="AX388" s="40"/>
      <c r="AY388" s="40"/>
      <c r="AZ388" s="40"/>
      <c r="BA388" s="40"/>
      <c r="BB388" s="40"/>
      <c r="BC388" s="40"/>
      <c r="BD388" s="40"/>
      <c r="BE388" s="40"/>
      <c r="BF388" s="40"/>
      <c r="BG388" s="40"/>
      <c r="BH388" s="40"/>
      <c r="BI388" s="40"/>
    </row>
    <row r="389" ht="20.25" customHeight="1">
      <c r="A389" s="41" t="str">
        <f t="shared" si="7"/>
        <v>BoutiquePapeterie</v>
      </c>
      <c r="B389" s="96" t="s">
        <v>136</v>
      </c>
      <c r="C389" s="57"/>
      <c r="D389" s="74"/>
      <c r="E389" s="75">
        <v>0.0</v>
      </c>
      <c r="F389" s="57"/>
      <c r="G389" s="74"/>
      <c r="H389" s="75">
        <v>0.0</v>
      </c>
      <c r="I389" s="57"/>
      <c r="J389" s="74"/>
      <c r="K389" s="75">
        <v>0.0</v>
      </c>
      <c r="L389" s="57"/>
      <c r="M389" s="74"/>
      <c r="N389" s="75">
        <v>0.0</v>
      </c>
      <c r="O389" s="57"/>
      <c r="P389" s="74"/>
      <c r="Q389" s="75">
        <v>0.0</v>
      </c>
      <c r="R389" s="57"/>
      <c r="S389" s="74"/>
      <c r="T389" s="75">
        <v>0.0</v>
      </c>
      <c r="U389" s="57"/>
      <c r="V389" s="74"/>
      <c r="W389" s="75">
        <v>0.0</v>
      </c>
      <c r="X389" s="57"/>
      <c r="Y389" s="74"/>
      <c r="Z389" s="75">
        <v>0.0</v>
      </c>
      <c r="AA389" s="57"/>
      <c r="AB389" s="74"/>
      <c r="AC389" s="75">
        <v>0.0</v>
      </c>
      <c r="AD389" s="57"/>
      <c r="AE389" s="74"/>
      <c r="AF389" s="75">
        <v>0.0</v>
      </c>
      <c r="AG389" s="57"/>
      <c r="AH389" s="74"/>
      <c r="AI389" s="75">
        <v>0.0</v>
      </c>
      <c r="AJ389" s="57"/>
      <c r="AK389" s="74"/>
      <c r="AL389" s="75">
        <v>0.0</v>
      </c>
      <c r="AM389" s="57"/>
      <c r="AN389" s="74"/>
      <c r="AO389" s="242">
        <v>0.0</v>
      </c>
      <c r="AP389" s="40"/>
      <c r="AQ389" s="40"/>
      <c r="AR389" s="40"/>
      <c r="AS389" s="40"/>
      <c r="AT389" s="40"/>
      <c r="AU389" s="40"/>
      <c r="AV389" s="40"/>
      <c r="AW389" s="40"/>
      <c r="AX389" s="40"/>
      <c r="AY389" s="40"/>
      <c r="AZ389" s="40"/>
      <c r="BA389" s="40"/>
      <c r="BB389" s="40"/>
      <c r="BC389" s="40"/>
      <c r="BD389" s="40"/>
      <c r="BE389" s="40"/>
      <c r="BF389" s="40"/>
      <c r="BG389" s="40"/>
      <c r="BH389" s="40"/>
      <c r="BI389" s="40"/>
    </row>
    <row r="390" ht="20.25" customHeight="1">
      <c r="A390" s="41" t="str">
        <f t="shared" si="7"/>
        <v>BoutiqueTéléphone</v>
      </c>
      <c r="B390" s="96" t="s">
        <v>137</v>
      </c>
      <c r="C390" s="57"/>
      <c r="D390" s="74"/>
      <c r="E390" s="75">
        <v>0.0</v>
      </c>
      <c r="F390" s="57"/>
      <c r="G390" s="74"/>
      <c r="H390" s="75">
        <v>0.0</v>
      </c>
      <c r="I390" s="57"/>
      <c r="J390" s="74"/>
      <c r="K390" s="75">
        <v>0.0</v>
      </c>
      <c r="L390" s="57"/>
      <c r="M390" s="74"/>
      <c r="N390" s="75">
        <v>0.0</v>
      </c>
      <c r="O390" s="57"/>
      <c r="P390" s="74"/>
      <c r="Q390" s="75">
        <v>0.0</v>
      </c>
      <c r="R390" s="57"/>
      <c r="S390" s="74"/>
      <c r="T390" s="75">
        <v>0.0</v>
      </c>
      <c r="U390" s="57"/>
      <c r="V390" s="74"/>
      <c r="W390" s="75">
        <v>0.0</v>
      </c>
      <c r="X390" s="57"/>
      <c r="Y390" s="74"/>
      <c r="Z390" s="75">
        <v>0.0</v>
      </c>
      <c r="AA390" s="57"/>
      <c r="AB390" s="74"/>
      <c r="AC390" s="75">
        <v>0.0</v>
      </c>
      <c r="AD390" s="57"/>
      <c r="AE390" s="74"/>
      <c r="AF390" s="75">
        <v>0.0</v>
      </c>
      <c r="AG390" s="57"/>
      <c r="AH390" s="74"/>
      <c r="AI390" s="75">
        <v>0.0</v>
      </c>
      <c r="AJ390" s="57"/>
      <c r="AK390" s="74"/>
      <c r="AL390" s="75">
        <v>0.0</v>
      </c>
      <c r="AM390" s="57"/>
      <c r="AN390" s="74"/>
      <c r="AO390" s="242">
        <v>0.0</v>
      </c>
      <c r="AP390" s="40"/>
      <c r="AQ390" s="40"/>
      <c r="AR390" s="40"/>
      <c r="AS390" s="40"/>
      <c r="AT390" s="40"/>
      <c r="AU390" s="40"/>
      <c r="AV390" s="40"/>
      <c r="AW390" s="40"/>
      <c r="AX390" s="40"/>
      <c r="AY390" s="40"/>
      <c r="AZ390" s="40"/>
      <c r="BA390" s="40"/>
      <c r="BB390" s="40"/>
      <c r="BC390" s="40"/>
      <c r="BD390" s="40"/>
      <c r="BE390" s="40"/>
      <c r="BF390" s="40"/>
      <c r="BG390" s="40"/>
      <c r="BH390" s="40"/>
      <c r="BI390" s="40"/>
    </row>
    <row r="391" ht="20.25" customHeight="1">
      <c r="A391" s="41" t="str">
        <f t="shared" si="7"/>
        <v>BoutiqueFrais postaux</v>
      </c>
      <c r="B391" s="96" t="s">
        <v>138</v>
      </c>
      <c r="C391" s="57"/>
      <c r="D391" s="74"/>
      <c r="E391" s="75">
        <v>0.0</v>
      </c>
      <c r="F391" s="57"/>
      <c r="G391" s="74"/>
      <c r="H391" s="75">
        <v>0.0</v>
      </c>
      <c r="I391" s="57"/>
      <c r="J391" s="74"/>
      <c r="K391" s="75">
        <v>0.0</v>
      </c>
      <c r="L391" s="57"/>
      <c r="M391" s="74"/>
      <c r="N391" s="75">
        <v>0.0</v>
      </c>
      <c r="O391" s="57"/>
      <c r="P391" s="74"/>
      <c r="Q391" s="75">
        <v>0.0</v>
      </c>
      <c r="R391" s="57"/>
      <c r="S391" s="74"/>
      <c r="T391" s="75">
        <v>0.0</v>
      </c>
      <c r="U391" s="57"/>
      <c r="V391" s="74"/>
      <c r="W391" s="75">
        <v>0.0</v>
      </c>
      <c r="X391" s="57"/>
      <c r="Y391" s="74"/>
      <c r="Z391" s="75">
        <v>0.0</v>
      </c>
      <c r="AA391" s="57"/>
      <c r="AB391" s="74"/>
      <c r="AC391" s="75">
        <v>0.0</v>
      </c>
      <c r="AD391" s="57"/>
      <c r="AE391" s="74"/>
      <c r="AF391" s="75">
        <v>0.0</v>
      </c>
      <c r="AG391" s="57"/>
      <c r="AH391" s="74"/>
      <c r="AI391" s="75">
        <v>0.0</v>
      </c>
      <c r="AJ391" s="57"/>
      <c r="AK391" s="74"/>
      <c r="AL391" s="75">
        <v>0.0</v>
      </c>
      <c r="AM391" s="57"/>
      <c r="AN391" s="74"/>
      <c r="AO391" s="242">
        <v>0.0</v>
      </c>
      <c r="AP391" s="40"/>
      <c r="AQ391" s="40"/>
      <c r="AR391" s="40"/>
      <c r="AS391" s="40"/>
      <c r="AT391" s="40"/>
      <c r="AU391" s="40"/>
      <c r="AV391" s="40"/>
      <c r="AW391" s="40"/>
      <c r="AX391" s="40"/>
      <c r="AY391" s="40"/>
      <c r="AZ391" s="40"/>
      <c r="BA391" s="40"/>
      <c r="BB391" s="40"/>
      <c r="BC391" s="40"/>
      <c r="BD391" s="40"/>
      <c r="BE391" s="40"/>
      <c r="BF391" s="40"/>
      <c r="BG391" s="40"/>
      <c r="BH391" s="40"/>
      <c r="BI391" s="40"/>
    </row>
    <row r="392" ht="20.25" customHeight="1">
      <c r="A392" s="41" t="str">
        <f t="shared" si="7"/>
        <v>BoutiqueDivers</v>
      </c>
      <c r="B392" s="96" t="s">
        <v>139</v>
      </c>
      <c r="C392" s="57"/>
      <c r="D392" s="74"/>
      <c r="E392" s="75">
        <v>0.0</v>
      </c>
      <c r="F392" s="57"/>
      <c r="G392" s="74"/>
      <c r="H392" s="75">
        <v>0.0</v>
      </c>
      <c r="I392" s="57"/>
      <c r="J392" s="74"/>
      <c r="K392" s="75">
        <v>0.0</v>
      </c>
      <c r="L392" s="57"/>
      <c r="M392" s="74"/>
      <c r="N392" s="75">
        <v>0.0</v>
      </c>
      <c r="O392" s="57"/>
      <c r="P392" s="74"/>
      <c r="Q392" s="75">
        <v>0.0</v>
      </c>
      <c r="R392" s="57"/>
      <c r="S392" s="74"/>
      <c r="T392" s="75">
        <v>0.0</v>
      </c>
      <c r="U392" s="57"/>
      <c r="V392" s="74"/>
      <c r="W392" s="75">
        <v>0.0</v>
      </c>
      <c r="X392" s="57"/>
      <c r="Y392" s="74"/>
      <c r="Z392" s="75">
        <v>0.0</v>
      </c>
      <c r="AA392" s="57"/>
      <c r="AB392" s="74"/>
      <c r="AC392" s="75">
        <v>0.0</v>
      </c>
      <c r="AD392" s="57"/>
      <c r="AE392" s="74"/>
      <c r="AF392" s="75">
        <v>0.0</v>
      </c>
      <c r="AG392" s="57"/>
      <c r="AH392" s="74"/>
      <c r="AI392" s="75">
        <v>0.0</v>
      </c>
      <c r="AJ392" s="57"/>
      <c r="AK392" s="74"/>
      <c r="AL392" s="75">
        <v>0.0</v>
      </c>
      <c r="AM392" s="57"/>
      <c r="AN392" s="74"/>
      <c r="AO392" s="242">
        <v>0.0</v>
      </c>
      <c r="AP392" s="40"/>
      <c r="AQ392" s="40"/>
      <c r="AR392" s="40"/>
      <c r="AS392" s="40"/>
      <c r="AT392" s="40"/>
      <c r="AU392" s="40"/>
      <c r="AV392" s="40"/>
      <c r="AW392" s="40"/>
      <c r="AX392" s="40"/>
      <c r="AY392" s="40"/>
      <c r="AZ392" s="40"/>
      <c r="BA392" s="40"/>
      <c r="BB392" s="40"/>
      <c r="BC392" s="40"/>
      <c r="BD392" s="40"/>
      <c r="BE392" s="40"/>
      <c r="BF392" s="40"/>
      <c r="BG392" s="40"/>
      <c r="BH392" s="40"/>
      <c r="BI392" s="40"/>
    </row>
    <row r="393" ht="20.25" customHeight="1">
      <c r="A393" s="41" t="str">
        <f t="shared" si="7"/>
        <v>BoutiqueFormation</v>
      </c>
      <c r="B393" s="96" t="s">
        <v>140</v>
      </c>
      <c r="C393" s="57"/>
      <c r="D393" s="74"/>
      <c r="E393" s="75">
        <v>0.0</v>
      </c>
      <c r="F393" s="57"/>
      <c r="G393" s="74"/>
      <c r="H393" s="75">
        <v>0.0</v>
      </c>
      <c r="I393" s="57"/>
      <c r="J393" s="74"/>
      <c r="K393" s="75">
        <v>0.0</v>
      </c>
      <c r="L393" s="57"/>
      <c r="M393" s="74"/>
      <c r="N393" s="75">
        <v>0.0</v>
      </c>
      <c r="O393" s="57"/>
      <c r="P393" s="74"/>
      <c r="Q393" s="75">
        <v>0.0</v>
      </c>
      <c r="R393" s="57"/>
      <c r="S393" s="74"/>
      <c r="T393" s="75">
        <v>0.0</v>
      </c>
      <c r="U393" s="57"/>
      <c r="V393" s="74"/>
      <c r="W393" s="75">
        <v>0.0</v>
      </c>
      <c r="X393" s="57"/>
      <c r="Y393" s="74"/>
      <c r="Z393" s="75">
        <v>0.0</v>
      </c>
      <c r="AA393" s="57"/>
      <c r="AB393" s="74"/>
      <c r="AC393" s="75">
        <v>0.0</v>
      </c>
      <c r="AD393" s="57"/>
      <c r="AE393" s="74"/>
      <c r="AF393" s="75">
        <v>0.0</v>
      </c>
      <c r="AG393" s="57"/>
      <c r="AH393" s="74"/>
      <c r="AI393" s="75">
        <v>0.0</v>
      </c>
      <c r="AJ393" s="57"/>
      <c r="AK393" s="74"/>
      <c r="AL393" s="75">
        <v>0.0</v>
      </c>
      <c r="AM393" s="57"/>
      <c r="AN393" s="74"/>
      <c r="AO393" s="242">
        <v>0.0</v>
      </c>
      <c r="AP393" s="40"/>
      <c r="AQ393" s="40"/>
      <c r="AR393" s="40"/>
      <c r="AS393" s="40"/>
      <c r="AT393" s="40"/>
      <c r="AU393" s="40"/>
      <c r="AV393" s="40"/>
      <c r="AW393" s="40"/>
      <c r="AX393" s="40"/>
      <c r="AY393" s="40"/>
      <c r="AZ393" s="40"/>
      <c r="BA393" s="40"/>
      <c r="BB393" s="40"/>
      <c r="BC393" s="40"/>
      <c r="BD393" s="40"/>
      <c r="BE393" s="40"/>
      <c r="BF393" s="40"/>
      <c r="BG393" s="40"/>
      <c r="BH393" s="40"/>
      <c r="BI393" s="40"/>
    </row>
    <row r="394" ht="20.25" customHeight="1">
      <c r="A394" s="41" t="str">
        <f t="shared" si="7"/>
        <v>BoutiqueFrais bancaires</v>
      </c>
      <c r="B394" s="96" t="s">
        <v>141</v>
      </c>
      <c r="C394" s="57"/>
      <c r="D394" s="74"/>
      <c r="E394" s="75">
        <v>0.0</v>
      </c>
      <c r="F394" s="57"/>
      <c r="G394" s="74"/>
      <c r="H394" s="75"/>
      <c r="I394" s="57"/>
      <c r="J394" s="74"/>
      <c r="K394" s="75"/>
      <c r="L394" s="57"/>
      <c r="M394" s="74"/>
      <c r="N394" s="75"/>
      <c r="O394" s="57"/>
      <c r="P394" s="74"/>
      <c r="Q394" s="75"/>
      <c r="R394" s="57"/>
      <c r="S394" s="74"/>
      <c r="T394" s="75"/>
      <c r="U394" s="57"/>
      <c r="V394" s="74"/>
      <c r="W394" s="75"/>
      <c r="X394" s="57"/>
      <c r="Y394" s="74"/>
      <c r="Z394" s="75"/>
      <c r="AA394" s="57"/>
      <c r="AB394" s="74"/>
      <c r="AC394" s="75"/>
      <c r="AD394" s="57"/>
      <c r="AE394" s="74"/>
      <c r="AF394" s="75"/>
      <c r="AG394" s="57"/>
      <c r="AH394" s="74"/>
      <c r="AI394" s="75"/>
      <c r="AJ394" s="57"/>
      <c r="AK394" s="74"/>
      <c r="AL394" s="75"/>
      <c r="AM394" s="57"/>
      <c r="AN394" s="74"/>
      <c r="AO394" s="242"/>
      <c r="AP394" s="40"/>
      <c r="AQ394" s="40"/>
      <c r="AR394" s="40"/>
      <c r="AS394" s="40"/>
      <c r="AT394" s="40"/>
      <c r="AU394" s="40"/>
      <c r="AV394" s="40"/>
      <c r="AW394" s="40"/>
      <c r="AX394" s="40"/>
      <c r="AY394" s="40"/>
      <c r="AZ394" s="40"/>
      <c r="BA394" s="40"/>
      <c r="BB394" s="40"/>
      <c r="BC394" s="40"/>
      <c r="BD394" s="40"/>
      <c r="BE394" s="40"/>
      <c r="BF394" s="40"/>
      <c r="BG394" s="40"/>
      <c r="BH394" s="40"/>
      <c r="BI394" s="40"/>
    </row>
    <row r="395" ht="15.75" customHeight="1">
      <c r="A395" s="41" t="str">
        <f t="shared" si="7"/>
        <v>Boutique[...]</v>
      </c>
      <c r="B395" s="96" t="s">
        <v>56</v>
      </c>
      <c r="C395" s="57"/>
      <c r="D395" s="74"/>
      <c r="E395" s="75"/>
      <c r="F395" s="57"/>
      <c r="G395" s="74"/>
      <c r="H395" s="75"/>
      <c r="I395" s="57"/>
      <c r="J395" s="74"/>
      <c r="K395" s="75"/>
      <c r="L395" s="57"/>
      <c r="M395" s="74"/>
      <c r="N395" s="75"/>
      <c r="O395" s="57"/>
      <c r="P395" s="74"/>
      <c r="Q395" s="75"/>
      <c r="R395" s="57"/>
      <c r="S395" s="74"/>
      <c r="T395" s="75"/>
      <c r="U395" s="57"/>
      <c r="V395" s="74"/>
      <c r="W395" s="75"/>
      <c r="X395" s="57"/>
      <c r="Y395" s="74"/>
      <c r="Z395" s="75"/>
      <c r="AA395" s="57"/>
      <c r="AB395" s="74"/>
      <c r="AC395" s="75"/>
      <c r="AD395" s="57"/>
      <c r="AE395" s="74"/>
      <c r="AF395" s="75"/>
      <c r="AG395" s="57"/>
      <c r="AH395" s="74"/>
      <c r="AI395" s="75"/>
      <c r="AJ395" s="57"/>
      <c r="AK395" s="74"/>
      <c r="AL395" s="75"/>
      <c r="AM395" s="57"/>
      <c r="AN395" s="74"/>
      <c r="AO395" s="75"/>
      <c r="AP395" s="40"/>
      <c r="AQ395" s="40"/>
      <c r="AR395" s="40"/>
      <c r="AS395" s="40"/>
      <c r="AT395" s="40"/>
      <c r="AU395" s="40"/>
      <c r="AV395" s="40"/>
      <c r="AW395" s="40"/>
      <c r="AX395" s="40"/>
      <c r="AY395" s="40"/>
      <c r="AZ395" s="40"/>
      <c r="BA395" s="40"/>
      <c r="BB395" s="40"/>
      <c r="BC395" s="40"/>
      <c r="BD395" s="40"/>
      <c r="BE395" s="40"/>
      <c r="BF395" s="40"/>
      <c r="BG395" s="40"/>
      <c r="BH395" s="40"/>
      <c r="BI395" s="40"/>
    </row>
    <row r="396" ht="15.75" customHeight="1">
      <c r="A396" s="41" t="str">
        <f t="shared" si="7"/>
        <v>Boutique[...]</v>
      </c>
      <c r="B396" s="96" t="s">
        <v>56</v>
      </c>
      <c r="C396" s="57"/>
      <c r="D396" s="74"/>
      <c r="E396" s="75"/>
      <c r="F396" s="57"/>
      <c r="G396" s="74"/>
      <c r="H396" s="75"/>
      <c r="I396" s="57"/>
      <c r="J396" s="74"/>
      <c r="K396" s="75"/>
      <c r="L396" s="57"/>
      <c r="M396" s="74"/>
      <c r="N396" s="75"/>
      <c r="O396" s="57"/>
      <c r="P396" s="74"/>
      <c r="Q396" s="75"/>
      <c r="R396" s="57"/>
      <c r="S396" s="74"/>
      <c r="T396" s="75"/>
      <c r="U396" s="57"/>
      <c r="V396" s="74"/>
      <c r="W396" s="75"/>
      <c r="X396" s="57"/>
      <c r="Y396" s="74"/>
      <c r="Z396" s="75"/>
      <c r="AA396" s="57"/>
      <c r="AB396" s="74"/>
      <c r="AC396" s="75"/>
      <c r="AD396" s="57"/>
      <c r="AE396" s="74"/>
      <c r="AF396" s="75"/>
      <c r="AG396" s="57"/>
      <c r="AH396" s="74"/>
      <c r="AI396" s="75"/>
      <c r="AJ396" s="57"/>
      <c r="AK396" s="74"/>
      <c r="AL396" s="75"/>
      <c r="AM396" s="57"/>
      <c r="AN396" s="74"/>
      <c r="AO396" s="75"/>
      <c r="AP396" s="40"/>
      <c r="AQ396" s="40"/>
      <c r="AR396" s="40"/>
      <c r="AS396" s="40"/>
      <c r="AT396" s="40"/>
      <c r="AU396" s="40"/>
      <c r="AV396" s="40"/>
      <c r="AW396" s="40"/>
      <c r="AX396" s="40"/>
      <c r="AY396" s="40"/>
      <c r="AZ396" s="40"/>
      <c r="BA396" s="40"/>
      <c r="BB396" s="40"/>
      <c r="BC396" s="40"/>
      <c r="BD396" s="40"/>
      <c r="BE396" s="40"/>
      <c r="BF396" s="40"/>
      <c r="BG396" s="40"/>
      <c r="BH396" s="40"/>
      <c r="BI396" s="40"/>
    </row>
    <row r="397" ht="15.75" customHeight="1">
      <c r="A397" s="41" t="str">
        <f t="shared" si="7"/>
        <v>Boutique[...]</v>
      </c>
      <c r="B397" s="96" t="s">
        <v>56</v>
      </c>
      <c r="C397" s="53"/>
      <c r="D397" s="100"/>
      <c r="E397" s="75"/>
      <c r="F397" s="53"/>
      <c r="G397" s="100"/>
      <c r="H397" s="75"/>
      <c r="I397" s="53"/>
      <c r="J397" s="100"/>
      <c r="K397" s="75"/>
      <c r="L397" s="53"/>
      <c r="M397" s="100"/>
      <c r="N397" s="75"/>
      <c r="O397" s="53"/>
      <c r="P397" s="100"/>
      <c r="Q397" s="75"/>
      <c r="R397" s="53"/>
      <c r="S397" s="100"/>
      <c r="T397" s="75"/>
      <c r="U397" s="53"/>
      <c r="V397" s="100"/>
      <c r="W397" s="75"/>
      <c r="X397" s="53"/>
      <c r="Y397" s="100"/>
      <c r="Z397" s="75"/>
      <c r="AA397" s="53"/>
      <c r="AB397" s="100"/>
      <c r="AC397" s="75"/>
      <c r="AD397" s="53"/>
      <c r="AE397" s="100"/>
      <c r="AF397" s="75"/>
      <c r="AG397" s="53"/>
      <c r="AH397" s="100"/>
      <c r="AI397" s="75"/>
      <c r="AJ397" s="53"/>
      <c r="AK397" s="100"/>
      <c r="AL397" s="75"/>
      <c r="AM397" s="53"/>
      <c r="AN397" s="100"/>
      <c r="AO397" s="75"/>
      <c r="AP397" s="40"/>
      <c r="AQ397" s="40"/>
      <c r="AR397" s="40"/>
      <c r="AS397" s="40"/>
      <c r="AT397" s="40"/>
      <c r="AU397" s="40"/>
      <c r="AV397" s="40"/>
      <c r="AW397" s="40"/>
      <c r="AX397" s="40"/>
      <c r="AY397" s="40"/>
      <c r="AZ397" s="40"/>
      <c r="BA397" s="40"/>
      <c r="BB397" s="40"/>
      <c r="BC397" s="40"/>
      <c r="BD397" s="40"/>
      <c r="BE397" s="40"/>
      <c r="BF397" s="40"/>
      <c r="BG397" s="40"/>
      <c r="BH397" s="40"/>
      <c r="BI397" s="40"/>
    </row>
    <row r="398" ht="15.75" customHeight="1">
      <c r="A398" s="41" t="str">
        <f t="shared" si="7"/>
        <v>BoutiqueTOTAL SEMI-FIXES</v>
      </c>
      <c r="B398" s="92" t="s">
        <v>142</v>
      </c>
      <c r="C398" s="93" t="s">
        <v>225</v>
      </c>
      <c r="D398" s="94">
        <v>0.0</v>
      </c>
      <c r="E398" s="95">
        <v>0.0</v>
      </c>
      <c r="F398" s="93" t="s">
        <v>225</v>
      </c>
      <c r="G398" s="94">
        <v>0.0</v>
      </c>
      <c r="H398" s="95">
        <v>0.0</v>
      </c>
      <c r="I398" s="93" t="s">
        <v>225</v>
      </c>
      <c r="J398" s="94">
        <v>0.0</v>
      </c>
      <c r="K398" s="95">
        <v>0.0</v>
      </c>
      <c r="L398" s="93" t="s">
        <v>225</v>
      </c>
      <c r="M398" s="94">
        <v>0.0</v>
      </c>
      <c r="N398" s="95">
        <v>0.0</v>
      </c>
      <c r="O398" s="93" t="s">
        <v>225</v>
      </c>
      <c r="P398" s="94">
        <v>0.0</v>
      </c>
      <c r="Q398" s="95">
        <v>0.0</v>
      </c>
      <c r="R398" s="93" t="s">
        <v>225</v>
      </c>
      <c r="S398" s="94">
        <v>0.0</v>
      </c>
      <c r="T398" s="95">
        <v>0.0</v>
      </c>
      <c r="U398" s="93" t="s">
        <v>225</v>
      </c>
      <c r="V398" s="94">
        <v>0.0</v>
      </c>
      <c r="W398" s="95">
        <v>0.0</v>
      </c>
      <c r="X398" s="93" t="s">
        <v>225</v>
      </c>
      <c r="Y398" s="94">
        <v>0.0</v>
      </c>
      <c r="Z398" s="95">
        <v>0.0</v>
      </c>
      <c r="AA398" s="93" t="s">
        <v>225</v>
      </c>
      <c r="AB398" s="94">
        <v>0.0</v>
      </c>
      <c r="AC398" s="95">
        <v>0.0</v>
      </c>
      <c r="AD398" s="93" t="s">
        <v>225</v>
      </c>
      <c r="AE398" s="94">
        <v>0.0</v>
      </c>
      <c r="AF398" s="95">
        <v>0.0</v>
      </c>
      <c r="AG398" s="93" t="s">
        <v>225</v>
      </c>
      <c r="AH398" s="94">
        <v>0.0</v>
      </c>
      <c r="AI398" s="95">
        <v>0.0</v>
      </c>
      <c r="AJ398" s="93" t="s">
        <v>225</v>
      </c>
      <c r="AK398" s="94">
        <v>0.0</v>
      </c>
      <c r="AL398" s="95">
        <v>0.0</v>
      </c>
      <c r="AM398" s="93" t="s">
        <v>225</v>
      </c>
      <c r="AN398" s="94">
        <v>0.0</v>
      </c>
      <c r="AO398" s="95">
        <v>0.0</v>
      </c>
      <c r="AP398" s="40"/>
      <c r="AQ398" s="40"/>
      <c r="AR398" s="40"/>
      <c r="AS398" s="40"/>
      <c r="AT398" s="40"/>
      <c r="AU398" s="40"/>
      <c r="AV398" s="40"/>
      <c r="AW398" s="40"/>
      <c r="AX398" s="40"/>
      <c r="AY398" s="40"/>
      <c r="AZ398" s="40"/>
      <c r="BA398" s="40"/>
      <c r="BB398" s="40"/>
      <c r="BC398" s="40"/>
      <c r="BD398" s="40"/>
      <c r="BE398" s="40"/>
      <c r="BF398" s="40"/>
      <c r="BG398" s="40"/>
      <c r="BH398" s="40"/>
      <c r="BI398" s="40"/>
    </row>
    <row r="399" ht="15.75" customHeight="1">
      <c r="A399" s="41" t="str">
        <f t="shared" si="7"/>
        <v>Boutique</v>
      </c>
      <c r="B399" s="57"/>
      <c r="C399" s="57"/>
      <c r="D399" s="74"/>
      <c r="E399" s="65"/>
      <c r="F399" s="57"/>
      <c r="G399" s="74"/>
      <c r="H399" s="65"/>
      <c r="I399" s="57"/>
      <c r="J399" s="74"/>
      <c r="K399" s="65"/>
      <c r="L399" s="57"/>
      <c r="M399" s="74"/>
      <c r="N399" s="65"/>
      <c r="O399" s="57"/>
      <c r="P399" s="74"/>
      <c r="Q399" s="65"/>
      <c r="R399" s="57"/>
      <c r="S399" s="74"/>
      <c r="T399" s="65"/>
      <c r="U399" s="57"/>
      <c r="V399" s="74"/>
      <c r="W399" s="65"/>
      <c r="X399" s="57"/>
      <c r="Y399" s="74"/>
      <c r="Z399" s="65"/>
      <c r="AA399" s="57"/>
      <c r="AB399" s="74"/>
      <c r="AC399" s="65"/>
      <c r="AD399" s="57"/>
      <c r="AE399" s="74"/>
      <c r="AF399" s="65"/>
      <c r="AG399" s="57"/>
      <c r="AH399" s="74"/>
      <c r="AI399" s="65"/>
      <c r="AJ399" s="57"/>
      <c r="AK399" s="74"/>
      <c r="AL399" s="65"/>
      <c r="AM399" s="57"/>
      <c r="AN399" s="74"/>
      <c r="AO399" s="65"/>
      <c r="AP399" s="40"/>
      <c r="AQ399" s="40"/>
      <c r="AR399" s="40"/>
      <c r="AS399" s="40"/>
      <c r="AT399" s="40"/>
      <c r="AU399" s="40"/>
      <c r="AV399" s="40"/>
      <c r="AW399" s="40"/>
      <c r="AX399" s="40"/>
      <c r="AY399" s="40"/>
      <c r="AZ399" s="40"/>
      <c r="BA399" s="40"/>
      <c r="BB399" s="40"/>
      <c r="BC399" s="40"/>
      <c r="BD399" s="40"/>
      <c r="BE399" s="40"/>
      <c r="BF399" s="40"/>
      <c r="BG399" s="40"/>
      <c r="BH399" s="40"/>
      <c r="BI399" s="40"/>
    </row>
    <row r="400" ht="15.75" customHeight="1">
      <c r="A400" s="41" t="str">
        <f t="shared" si="7"/>
        <v>BoutiqueTOTAL DES DÉPENSES</v>
      </c>
      <c r="B400" s="92" t="s">
        <v>143</v>
      </c>
      <c r="C400" s="93" t="s">
        <v>225</v>
      </c>
      <c r="D400" s="94">
        <v>0.0</v>
      </c>
      <c r="E400" s="95">
        <v>0.0</v>
      </c>
      <c r="F400" s="93" t="s">
        <v>225</v>
      </c>
      <c r="G400" s="94">
        <v>0.0</v>
      </c>
      <c r="H400" s="95">
        <v>0.0</v>
      </c>
      <c r="I400" s="93" t="s">
        <v>225</v>
      </c>
      <c r="J400" s="94">
        <v>0.0</v>
      </c>
      <c r="K400" s="95">
        <v>0.0</v>
      </c>
      <c r="L400" s="93" t="s">
        <v>225</v>
      </c>
      <c r="M400" s="94">
        <v>0.0</v>
      </c>
      <c r="N400" s="95">
        <v>0.0</v>
      </c>
      <c r="O400" s="93" t="s">
        <v>225</v>
      </c>
      <c r="P400" s="94">
        <v>0.0</v>
      </c>
      <c r="Q400" s="95">
        <v>0.0</v>
      </c>
      <c r="R400" s="93" t="s">
        <v>225</v>
      </c>
      <c r="S400" s="94">
        <v>0.0</v>
      </c>
      <c r="T400" s="95">
        <v>0.0</v>
      </c>
      <c r="U400" s="93" t="s">
        <v>225</v>
      </c>
      <c r="V400" s="94">
        <v>0.0</v>
      </c>
      <c r="W400" s="95">
        <v>0.0</v>
      </c>
      <c r="X400" s="93" t="s">
        <v>225</v>
      </c>
      <c r="Y400" s="94">
        <v>0.0</v>
      </c>
      <c r="Z400" s="95">
        <v>0.0</v>
      </c>
      <c r="AA400" s="93" t="s">
        <v>225</v>
      </c>
      <c r="AB400" s="94">
        <v>0.0</v>
      </c>
      <c r="AC400" s="95">
        <v>0.0</v>
      </c>
      <c r="AD400" s="93" t="s">
        <v>225</v>
      </c>
      <c r="AE400" s="94">
        <v>0.0</v>
      </c>
      <c r="AF400" s="95">
        <v>0.0</v>
      </c>
      <c r="AG400" s="93" t="s">
        <v>225</v>
      </c>
      <c r="AH400" s="94">
        <v>0.0</v>
      </c>
      <c r="AI400" s="95">
        <v>0.0</v>
      </c>
      <c r="AJ400" s="93" t="s">
        <v>225</v>
      </c>
      <c r="AK400" s="94">
        <v>0.0</v>
      </c>
      <c r="AL400" s="95">
        <v>0.0</v>
      </c>
      <c r="AM400" s="93" t="s">
        <v>225</v>
      </c>
      <c r="AN400" s="94">
        <v>0.0</v>
      </c>
      <c r="AO400" s="95">
        <v>0.0</v>
      </c>
      <c r="AP400" s="40"/>
      <c r="AQ400" s="40"/>
      <c r="AR400" s="40"/>
      <c r="AS400" s="40"/>
      <c r="AT400" s="40"/>
      <c r="AU400" s="40"/>
      <c r="AV400" s="40"/>
      <c r="AW400" s="40"/>
      <c r="AX400" s="40"/>
      <c r="AY400" s="40"/>
      <c r="AZ400" s="40"/>
      <c r="BA400" s="40"/>
      <c r="BB400" s="40"/>
      <c r="BC400" s="40"/>
      <c r="BD400" s="40"/>
      <c r="BE400" s="40"/>
      <c r="BF400" s="40"/>
      <c r="BG400" s="40"/>
      <c r="BH400" s="40"/>
      <c r="BI400" s="40"/>
    </row>
    <row r="401" ht="15.75" customHeight="1">
      <c r="A401" s="41" t="str">
        <f t="shared" si="7"/>
        <v>Boutique</v>
      </c>
      <c r="B401" s="57"/>
      <c r="C401" s="57"/>
      <c r="D401" s="74"/>
      <c r="E401" s="75"/>
      <c r="F401" s="57"/>
      <c r="G401" s="74"/>
      <c r="H401" s="75"/>
      <c r="I401" s="57"/>
      <c r="J401" s="74"/>
      <c r="K401" s="75"/>
      <c r="L401" s="57"/>
      <c r="M401" s="74"/>
      <c r="N401" s="75"/>
      <c r="O401" s="57"/>
      <c r="P401" s="74"/>
      <c r="Q401" s="75"/>
      <c r="R401" s="57"/>
      <c r="S401" s="74"/>
      <c r="T401" s="75"/>
      <c r="U401" s="57"/>
      <c r="V401" s="74"/>
      <c r="W401" s="75"/>
      <c r="X401" s="57"/>
      <c r="Y401" s="74"/>
      <c r="Z401" s="75"/>
      <c r="AA401" s="57"/>
      <c r="AB401" s="74"/>
      <c r="AC401" s="75"/>
      <c r="AD401" s="57"/>
      <c r="AE401" s="74"/>
      <c r="AF401" s="75"/>
      <c r="AG401" s="57"/>
      <c r="AH401" s="74"/>
      <c r="AI401" s="75"/>
      <c r="AJ401" s="57"/>
      <c r="AK401" s="74"/>
      <c r="AL401" s="75"/>
      <c r="AM401" s="57"/>
      <c r="AN401" s="74"/>
      <c r="AO401" s="75"/>
      <c r="AP401" s="40"/>
      <c r="AQ401" s="40"/>
      <c r="AR401" s="40"/>
      <c r="AS401" s="40"/>
      <c r="AT401" s="40"/>
      <c r="AU401" s="40"/>
      <c r="AV401" s="40"/>
      <c r="AW401" s="40"/>
      <c r="AX401" s="40"/>
      <c r="AY401" s="40"/>
      <c r="AZ401" s="40"/>
      <c r="BA401" s="40"/>
      <c r="BB401" s="40"/>
      <c r="BC401" s="40"/>
      <c r="BD401" s="40"/>
      <c r="BE401" s="40"/>
      <c r="BF401" s="40"/>
      <c r="BG401" s="40"/>
      <c r="BH401" s="40"/>
      <c r="BI401" s="40"/>
    </row>
    <row r="402" ht="15.75" customHeight="1">
      <c r="A402" s="41" t="str">
        <f t="shared" si="7"/>
        <v>BoutiquePROFIT DÉPARTEMENTAL</v>
      </c>
      <c r="B402" s="162" t="s">
        <v>150</v>
      </c>
      <c r="C402" s="163"/>
      <c r="D402" s="164"/>
      <c r="E402" s="165">
        <v>0.0</v>
      </c>
      <c r="F402" s="163"/>
      <c r="G402" s="164"/>
      <c r="H402" s="165">
        <v>0.0</v>
      </c>
      <c r="I402" s="163"/>
      <c r="J402" s="164"/>
      <c r="K402" s="165">
        <v>0.0</v>
      </c>
      <c r="L402" s="163"/>
      <c r="M402" s="164"/>
      <c r="N402" s="165">
        <v>0.0</v>
      </c>
      <c r="O402" s="163"/>
      <c r="P402" s="164"/>
      <c r="Q402" s="165">
        <v>0.0</v>
      </c>
      <c r="R402" s="163"/>
      <c r="S402" s="164"/>
      <c r="T402" s="165">
        <v>0.0</v>
      </c>
      <c r="U402" s="163"/>
      <c r="V402" s="164"/>
      <c r="W402" s="165">
        <v>0.0</v>
      </c>
      <c r="X402" s="163"/>
      <c r="Y402" s="164"/>
      <c r="Z402" s="165">
        <v>0.0</v>
      </c>
      <c r="AA402" s="163"/>
      <c r="AB402" s="164"/>
      <c r="AC402" s="165">
        <v>0.0</v>
      </c>
      <c r="AD402" s="163"/>
      <c r="AE402" s="164"/>
      <c r="AF402" s="165">
        <v>0.0</v>
      </c>
      <c r="AG402" s="163"/>
      <c r="AH402" s="164"/>
      <c r="AI402" s="165">
        <v>0.0</v>
      </c>
      <c r="AJ402" s="163"/>
      <c r="AK402" s="164"/>
      <c r="AL402" s="165">
        <v>0.0</v>
      </c>
      <c r="AM402" s="163"/>
      <c r="AN402" s="164"/>
      <c r="AO402" s="165">
        <v>0.0</v>
      </c>
      <c r="AP402" s="40"/>
      <c r="AQ402" s="40"/>
      <c r="AR402" s="40"/>
      <c r="AS402" s="40"/>
      <c r="AT402" s="40"/>
      <c r="AU402" s="40"/>
      <c r="AV402" s="40"/>
      <c r="AW402" s="40"/>
      <c r="AX402" s="40"/>
      <c r="AY402" s="40"/>
      <c r="AZ402" s="40"/>
      <c r="BA402" s="40"/>
      <c r="BB402" s="40"/>
      <c r="BC402" s="40"/>
      <c r="BD402" s="40"/>
      <c r="BE402" s="40"/>
      <c r="BF402" s="40"/>
      <c r="BG402" s="40"/>
      <c r="BH402" s="40"/>
      <c r="BI402" s="40"/>
    </row>
    <row r="403" ht="15.75" customHeight="1">
      <c r="A403" s="41"/>
      <c r="B403" s="83"/>
      <c r="C403" s="83"/>
      <c r="D403" s="83"/>
      <c r="E403" s="161">
        <v>0.0</v>
      </c>
      <c r="F403" s="83"/>
      <c r="G403" s="83"/>
      <c r="H403" s="161"/>
      <c r="I403" s="83"/>
      <c r="J403" s="83"/>
      <c r="K403" s="161"/>
      <c r="L403" s="83"/>
      <c r="M403" s="83"/>
      <c r="N403" s="161"/>
      <c r="O403" s="83"/>
      <c r="P403" s="83"/>
      <c r="Q403" s="161"/>
      <c r="R403" s="83"/>
      <c r="S403" s="83"/>
      <c r="T403" s="161"/>
      <c r="U403" s="83"/>
      <c r="V403" s="83"/>
      <c r="W403" s="161"/>
      <c r="X403" s="83"/>
      <c r="Y403" s="83"/>
      <c r="Z403" s="161"/>
      <c r="AA403" s="83"/>
      <c r="AB403" s="83"/>
      <c r="AC403" s="161"/>
      <c r="AD403" s="83"/>
      <c r="AE403" s="83"/>
      <c r="AF403" s="161"/>
      <c r="AG403" s="83"/>
      <c r="AH403" s="83"/>
      <c r="AI403" s="161"/>
      <c r="AJ403" s="83"/>
      <c r="AK403" s="83"/>
      <c r="AL403" s="161"/>
      <c r="AM403" s="83"/>
      <c r="AN403" s="83"/>
      <c r="AO403" s="161"/>
      <c r="AP403" s="40"/>
      <c r="AQ403" s="40"/>
      <c r="AR403" s="40"/>
      <c r="AS403" s="40"/>
      <c r="AT403" s="40"/>
      <c r="AU403" s="40"/>
      <c r="AV403" s="40"/>
      <c r="AW403" s="40"/>
      <c r="AX403" s="40"/>
      <c r="AY403" s="40"/>
      <c r="AZ403" s="40"/>
      <c r="BA403" s="40"/>
      <c r="BB403" s="40"/>
      <c r="BC403" s="40"/>
      <c r="BD403" s="40"/>
      <c r="BE403" s="40"/>
      <c r="BF403" s="40"/>
      <c r="BG403" s="40"/>
      <c r="BH403" s="40"/>
      <c r="BI403" s="40"/>
    </row>
    <row r="404" ht="15.75" customHeight="1">
      <c r="A404" s="41"/>
      <c r="B404" s="74"/>
      <c r="C404" s="74"/>
      <c r="D404" s="74"/>
      <c r="E404" s="88"/>
      <c r="F404" s="74"/>
      <c r="G404" s="74"/>
      <c r="H404" s="88">
        <v>0.0</v>
      </c>
      <c r="I404" s="74"/>
      <c r="J404" s="74"/>
      <c r="K404" s="88">
        <v>0.0</v>
      </c>
      <c r="L404" s="74"/>
      <c r="M404" s="74"/>
      <c r="N404" s="88">
        <v>0.0</v>
      </c>
      <c r="O404" s="74"/>
      <c r="P404" s="74"/>
      <c r="Q404" s="88">
        <v>0.0</v>
      </c>
      <c r="R404" s="74"/>
      <c r="S404" s="74"/>
      <c r="T404" s="88">
        <v>0.0</v>
      </c>
      <c r="U404" s="74"/>
      <c r="V404" s="74"/>
      <c r="W404" s="88">
        <v>0.0</v>
      </c>
      <c r="X404" s="74"/>
      <c r="Y404" s="74"/>
      <c r="Z404" s="88">
        <v>0.0</v>
      </c>
      <c r="AA404" s="74"/>
      <c r="AB404" s="74"/>
      <c r="AC404" s="88">
        <v>0.0</v>
      </c>
      <c r="AD404" s="74"/>
      <c r="AE404" s="74"/>
      <c r="AF404" s="88">
        <v>0.0</v>
      </c>
      <c r="AG404" s="74"/>
      <c r="AH404" s="74"/>
      <c r="AI404" s="88">
        <v>0.0</v>
      </c>
      <c r="AJ404" s="74"/>
      <c r="AK404" s="74"/>
      <c r="AL404" s="88">
        <v>0.0</v>
      </c>
      <c r="AM404" s="74"/>
      <c r="AN404" s="74"/>
      <c r="AO404" s="88">
        <v>0.0</v>
      </c>
      <c r="AP404" s="40"/>
      <c r="AQ404" s="40"/>
      <c r="AR404" s="40"/>
      <c r="AS404" s="40"/>
      <c r="AT404" s="40"/>
      <c r="AU404" s="40"/>
      <c r="AV404" s="40"/>
      <c r="AW404" s="40"/>
      <c r="AX404" s="40"/>
      <c r="AY404" s="40"/>
      <c r="AZ404" s="40"/>
      <c r="BA404" s="40"/>
      <c r="BB404" s="40"/>
      <c r="BC404" s="40"/>
      <c r="BD404" s="40"/>
      <c r="BE404" s="40"/>
      <c r="BF404" s="40"/>
      <c r="BG404" s="40"/>
      <c r="BH404" s="40"/>
      <c r="BI404" s="40"/>
    </row>
    <row r="405" ht="15.75" customHeight="1">
      <c r="A405" s="41"/>
      <c r="B405" s="112" t="s">
        <v>220</v>
      </c>
      <c r="C405" s="112" t="s">
        <v>195</v>
      </c>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c r="AG405" s="112"/>
      <c r="AH405" s="112"/>
      <c r="AI405" s="112"/>
      <c r="AJ405" s="112"/>
      <c r="AK405" s="112"/>
      <c r="AL405" s="112"/>
      <c r="AM405" s="112"/>
      <c r="AN405" s="112"/>
      <c r="AO405" s="112"/>
      <c r="AP405" s="40"/>
      <c r="AQ405" s="40"/>
      <c r="AR405" s="40"/>
      <c r="AS405" s="40"/>
      <c r="AT405" s="40"/>
      <c r="AU405" s="40"/>
      <c r="AV405" s="40"/>
      <c r="AW405" s="40"/>
      <c r="AX405" s="40"/>
      <c r="AY405" s="40"/>
      <c r="AZ405" s="40"/>
      <c r="BA405" s="40"/>
      <c r="BB405" s="40"/>
      <c r="BC405" s="40"/>
      <c r="BD405" s="40"/>
      <c r="BE405" s="40"/>
      <c r="BF405" s="40"/>
      <c r="BG405" s="40"/>
      <c r="BH405" s="40"/>
      <c r="BI405" s="40"/>
    </row>
    <row r="406" ht="15.75" customHeight="1">
      <c r="A406" s="41"/>
      <c r="B406" s="166"/>
      <c r="C406" s="168"/>
      <c r="D406" s="168"/>
      <c r="E406" s="168"/>
      <c r="F406" s="168"/>
      <c r="G406" s="168"/>
      <c r="H406" s="254">
        <v>7055316.138950553</v>
      </c>
      <c r="I406" s="168"/>
      <c r="J406" s="168"/>
      <c r="K406" s="254">
        <v>7055316.138950553</v>
      </c>
      <c r="L406" s="168"/>
      <c r="M406" s="168"/>
      <c r="N406" s="254">
        <v>7055316.138950553</v>
      </c>
      <c r="O406" s="168"/>
      <c r="P406" s="168"/>
      <c r="Q406" s="254">
        <v>7055316.138950553</v>
      </c>
      <c r="R406" s="168"/>
      <c r="S406" s="168"/>
      <c r="T406" s="254">
        <v>7055316.138950553</v>
      </c>
      <c r="U406" s="168"/>
      <c r="V406" s="168"/>
      <c r="W406" s="254">
        <v>7055316.138950553</v>
      </c>
      <c r="X406" s="168"/>
      <c r="Y406" s="168"/>
      <c r="Z406" s="254">
        <v>7055316.138950553</v>
      </c>
      <c r="AA406" s="168"/>
      <c r="AB406" s="168"/>
      <c r="AC406" s="254">
        <v>7055316.138950553</v>
      </c>
      <c r="AD406" s="168"/>
      <c r="AE406" s="168"/>
      <c r="AF406" s="254">
        <v>7055316.138950553</v>
      </c>
      <c r="AG406" s="168"/>
      <c r="AH406" s="168"/>
      <c r="AI406" s="254">
        <v>7055316.138950553</v>
      </c>
      <c r="AJ406" s="168"/>
      <c r="AK406" s="168"/>
      <c r="AL406" s="254">
        <v>7055316.138950553</v>
      </c>
      <c r="AM406" s="168"/>
      <c r="AN406" s="168"/>
      <c r="AO406" s="254">
        <v>7055316.138950553</v>
      </c>
      <c r="AP406" s="40"/>
      <c r="AQ406" s="40"/>
      <c r="AR406" s="40"/>
      <c r="AS406" s="40"/>
      <c r="AT406" s="40"/>
      <c r="AU406" s="40"/>
      <c r="AV406" s="40"/>
      <c r="AW406" s="40"/>
      <c r="AX406" s="40"/>
      <c r="AY406" s="40"/>
      <c r="AZ406" s="40"/>
      <c r="BA406" s="40"/>
      <c r="BB406" s="40"/>
      <c r="BC406" s="40"/>
      <c r="BD406" s="40"/>
      <c r="BE406" s="40"/>
      <c r="BF406" s="40"/>
      <c r="BG406" s="40"/>
      <c r="BH406" s="40"/>
      <c r="BI406" s="40"/>
    </row>
    <row r="407" ht="15.75" customHeight="1">
      <c r="A407" s="41"/>
      <c r="B407" s="42" t="s">
        <v>2</v>
      </c>
      <c r="C407" s="114">
        <v>2025.0</v>
      </c>
      <c r="D407" s="115"/>
      <c r="E407" s="116"/>
      <c r="F407" s="114" t="s">
        <v>6</v>
      </c>
      <c r="G407" s="115"/>
      <c r="H407" s="116"/>
      <c r="I407" s="114" t="s">
        <v>8</v>
      </c>
      <c r="J407" s="115"/>
      <c r="K407" s="116"/>
      <c r="L407" s="114" t="s">
        <v>9</v>
      </c>
      <c r="M407" s="115"/>
      <c r="N407" s="116"/>
      <c r="O407" s="114" t="s">
        <v>10</v>
      </c>
      <c r="P407" s="115"/>
      <c r="Q407" s="116"/>
      <c r="R407" s="114" t="s">
        <v>11</v>
      </c>
      <c r="S407" s="115"/>
      <c r="T407" s="116"/>
      <c r="U407" s="114" t="s">
        <v>12</v>
      </c>
      <c r="V407" s="115"/>
      <c r="W407" s="116"/>
      <c r="X407" s="114" t="s">
        <v>14</v>
      </c>
      <c r="Y407" s="115"/>
      <c r="Z407" s="116"/>
      <c r="AA407" s="114" t="s">
        <v>92</v>
      </c>
      <c r="AB407" s="115"/>
      <c r="AC407" s="116"/>
      <c r="AD407" s="114" t="s">
        <v>5</v>
      </c>
      <c r="AE407" s="115"/>
      <c r="AF407" s="116"/>
      <c r="AG407" s="114" t="s">
        <v>18</v>
      </c>
      <c r="AH407" s="115"/>
      <c r="AI407" s="116"/>
      <c r="AJ407" s="114" t="s">
        <v>19</v>
      </c>
      <c r="AK407" s="115"/>
      <c r="AL407" s="116"/>
      <c r="AM407" s="114" t="s">
        <v>20</v>
      </c>
      <c r="AN407" s="115"/>
      <c r="AO407" s="116"/>
      <c r="AP407" s="40"/>
      <c r="AQ407" s="40"/>
      <c r="AR407" s="40"/>
      <c r="AS407" s="40"/>
      <c r="AT407" s="40"/>
      <c r="AU407" s="40"/>
      <c r="AV407" s="40"/>
      <c r="AW407" s="40"/>
      <c r="AX407" s="40"/>
      <c r="AY407" s="40"/>
      <c r="AZ407" s="40"/>
      <c r="BA407" s="40"/>
      <c r="BB407" s="40"/>
      <c r="BC407" s="40"/>
      <c r="BD407" s="40"/>
      <c r="BE407" s="40"/>
      <c r="BF407" s="40"/>
      <c r="BG407" s="40"/>
      <c r="BH407" s="40"/>
      <c r="BI407" s="40"/>
    </row>
    <row r="408" ht="15.75" customHeight="1">
      <c r="A408" s="41"/>
      <c r="B408" s="53"/>
      <c r="C408" s="169" t="s">
        <v>226</v>
      </c>
      <c r="D408" s="170" t="s">
        <v>227</v>
      </c>
      <c r="E408" s="171" t="s">
        <v>228</v>
      </c>
      <c r="F408" s="169" t="s">
        <v>226</v>
      </c>
      <c r="G408" s="170" t="s">
        <v>227</v>
      </c>
      <c r="H408" s="171" t="s">
        <v>228</v>
      </c>
      <c r="I408" s="169" t="s">
        <v>226</v>
      </c>
      <c r="J408" s="170" t="s">
        <v>227</v>
      </c>
      <c r="K408" s="171" t="s">
        <v>228</v>
      </c>
      <c r="L408" s="169" t="s">
        <v>226</v>
      </c>
      <c r="M408" s="170" t="s">
        <v>227</v>
      </c>
      <c r="N408" s="171" t="s">
        <v>228</v>
      </c>
      <c r="O408" s="169" t="s">
        <v>226</v>
      </c>
      <c r="P408" s="170" t="s">
        <v>227</v>
      </c>
      <c r="Q408" s="171" t="s">
        <v>228</v>
      </c>
      <c r="R408" s="169" t="s">
        <v>226</v>
      </c>
      <c r="S408" s="170" t="s">
        <v>227</v>
      </c>
      <c r="T408" s="171" t="s">
        <v>228</v>
      </c>
      <c r="U408" s="169" t="s">
        <v>226</v>
      </c>
      <c r="V408" s="170" t="s">
        <v>227</v>
      </c>
      <c r="W408" s="171" t="s">
        <v>228</v>
      </c>
      <c r="X408" s="169" t="s">
        <v>226</v>
      </c>
      <c r="Y408" s="170" t="s">
        <v>227</v>
      </c>
      <c r="Z408" s="171" t="s">
        <v>228</v>
      </c>
      <c r="AA408" s="169" t="s">
        <v>226</v>
      </c>
      <c r="AB408" s="170" t="s">
        <v>227</v>
      </c>
      <c r="AC408" s="171" t="s">
        <v>228</v>
      </c>
      <c r="AD408" s="169" t="s">
        <v>226</v>
      </c>
      <c r="AE408" s="170" t="s">
        <v>227</v>
      </c>
      <c r="AF408" s="171" t="s">
        <v>228</v>
      </c>
      <c r="AG408" s="169" t="s">
        <v>226</v>
      </c>
      <c r="AH408" s="170" t="s">
        <v>227</v>
      </c>
      <c r="AI408" s="171" t="s">
        <v>228</v>
      </c>
      <c r="AJ408" s="169" t="s">
        <v>226</v>
      </c>
      <c r="AK408" s="170" t="s">
        <v>227</v>
      </c>
      <c r="AL408" s="171" t="s">
        <v>228</v>
      </c>
      <c r="AM408" s="169" t="s">
        <v>226</v>
      </c>
      <c r="AN408" s="170" t="s">
        <v>227</v>
      </c>
      <c r="AO408" s="171"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ht="15.75" customHeight="1">
      <c r="A409" s="41" t="str">
        <f t="shared" ref="A409:A434" si="8">B409</f>
        <v>Ventes nettes</v>
      </c>
      <c r="B409" s="97" t="s">
        <v>96</v>
      </c>
      <c r="C409" s="172"/>
      <c r="D409" s="173"/>
      <c r="E409" s="174"/>
      <c r="F409" s="172"/>
      <c r="G409" s="173"/>
      <c r="H409" s="174"/>
      <c r="I409" s="172"/>
      <c r="J409" s="173"/>
      <c r="K409" s="174"/>
      <c r="L409" s="172"/>
      <c r="M409" s="173"/>
      <c r="N409" s="174"/>
      <c r="O409" s="172"/>
      <c r="P409" s="173"/>
      <c r="Q409" s="174"/>
      <c r="R409" s="172"/>
      <c r="S409" s="173"/>
      <c r="T409" s="174"/>
      <c r="U409" s="172"/>
      <c r="V409" s="173"/>
      <c r="W409" s="174"/>
      <c r="X409" s="172"/>
      <c r="Y409" s="173"/>
      <c r="Z409" s="174"/>
      <c r="AA409" s="172"/>
      <c r="AB409" s="173"/>
      <c r="AC409" s="174"/>
      <c r="AD409" s="172"/>
      <c r="AE409" s="173"/>
      <c r="AF409" s="174"/>
      <c r="AG409" s="172"/>
      <c r="AH409" s="173"/>
      <c r="AI409" s="174"/>
      <c r="AJ409" s="172"/>
      <c r="AK409" s="173"/>
      <c r="AL409" s="174"/>
      <c r="AM409" s="172"/>
      <c r="AN409" s="173"/>
      <c r="AO409" s="174"/>
      <c r="AP409" s="40"/>
      <c r="AQ409" s="40"/>
      <c r="AR409" s="40"/>
      <c r="AS409" s="40"/>
      <c r="AT409" s="40"/>
      <c r="AU409" s="40"/>
      <c r="AV409" s="40"/>
      <c r="AW409" s="40"/>
      <c r="AX409" s="40"/>
      <c r="AY409" s="40"/>
      <c r="AZ409" s="40"/>
      <c r="BA409" s="40"/>
      <c r="BB409" s="40"/>
      <c r="BC409" s="40"/>
      <c r="BD409" s="40"/>
      <c r="BE409" s="40"/>
      <c r="BF409" s="40"/>
      <c r="BG409" s="40"/>
      <c r="BH409" s="40"/>
      <c r="BI409" s="40"/>
    </row>
    <row r="410" ht="15.75" customHeight="1">
      <c r="A410" s="41" t="str">
        <f t="shared" si="8"/>
        <v>Profit brut</v>
      </c>
      <c r="B410" s="175" t="s">
        <v>196</v>
      </c>
      <c r="C410" s="176"/>
      <c r="D410" s="177"/>
      <c r="E410" s="178"/>
      <c r="F410" s="176"/>
      <c r="G410" s="177"/>
      <c r="H410" s="178"/>
      <c r="I410" s="176"/>
      <c r="J410" s="177"/>
      <c r="K410" s="178"/>
      <c r="L410" s="176"/>
      <c r="M410" s="177"/>
      <c r="N410" s="178"/>
      <c r="O410" s="176"/>
      <c r="P410" s="177"/>
      <c r="Q410" s="178"/>
      <c r="R410" s="176"/>
      <c r="S410" s="177"/>
      <c r="T410" s="178"/>
      <c r="U410" s="176"/>
      <c r="V410" s="177"/>
      <c r="W410" s="178"/>
      <c r="X410" s="176"/>
      <c r="Y410" s="177"/>
      <c r="Z410" s="178"/>
      <c r="AA410" s="176"/>
      <c r="AB410" s="177"/>
      <c r="AC410" s="178"/>
      <c r="AD410" s="176"/>
      <c r="AE410" s="177"/>
      <c r="AF410" s="178"/>
      <c r="AG410" s="176"/>
      <c r="AH410" s="177"/>
      <c r="AI410" s="178"/>
      <c r="AJ410" s="176"/>
      <c r="AK410" s="177"/>
      <c r="AL410" s="178"/>
      <c r="AM410" s="176"/>
      <c r="AN410" s="177"/>
      <c r="AO410" s="178"/>
      <c r="AP410" s="40"/>
      <c r="AQ410" s="40"/>
      <c r="AR410" s="40"/>
      <c r="AS410" s="40"/>
      <c r="AT410" s="40"/>
      <c r="AU410" s="40"/>
      <c r="AV410" s="40"/>
      <c r="AW410" s="40"/>
      <c r="AX410" s="40"/>
      <c r="AY410" s="40"/>
      <c r="AZ410" s="40"/>
      <c r="BA410" s="40"/>
      <c r="BB410" s="40"/>
      <c r="BC410" s="40"/>
      <c r="BD410" s="40"/>
      <c r="BE410" s="40"/>
      <c r="BF410" s="40"/>
      <c r="BG410" s="40"/>
      <c r="BH410" s="40"/>
      <c r="BI410" s="40"/>
    </row>
    <row r="411" ht="15.75" customHeight="1">
      <c r="A411" s="41" t="str">
        <f t="shared" si="8"/>
        <v>DÉPENSES</v>
      </c>
      <c r="B411" s="179" t="s">
        <v>197</v>
      </c>
      <c r="C411" s="180"/>
      <c r="D411" s="181"/>
      <c r="E411" s="182"/>
      <c r="F411" s="180"/>
      <c r="G411" s="181"/>
      <c r="H411" s="182"/>
      <c r="I411" s="180"/>
      <c r="J411" s="181"/>
      <c r="K411" s="182"/>
      <c r="L411" s="180"/>
      <c r="M411" s="181"/>
      <c r="N411" s="182"/>
      <c r="O411" s="180"/>
      <c r="P411" s="181"/>
      <c r="Q411" s="182"/>
      <c r="R411" s="180"/>
      <c r="S411" s="181"/>
      <c r="T411" s="182"/>
      <c r="U411" s="180"/>
      <c r="V411" s="181"/>
      <c r="W411" s="182"/>
      <c r="X411" s="180"/>
      <c r="Y411" s="181"/>
      <c r="Z411" s="182"/>
      <c r="AA411" s="180"/>
      <c r="AB411" s="181"/>
      <c r="AC411" s="182"/>
      <c r="AD411" s="180"/>
      <c r="AE411" s="181"/>
      <c r="AF411" s="182"/>
      <c r="AG411" s="180"/>
      <c r="AH411" s="181"/>
      <c r="AI411" s="182"/>
      <c r="AJ411" s="180"/>
      <c r="AK411" s="181"/>
      <c r="AL411" s="182"/>
      <c r="AM411" s="180"/>
      <c r="AN411" s="181"/>
      <c r="AO411" s="182"/>
      <c r="AP411" s="40"/>
      <c r="AQ411" s="40"/>
      <c r="AR411" s="40"/>
      <c r="AS411" s="40"/>
      <c r="AT411" s="40"/>
      <c r="AU411" s="40"/>
      <c r="AV411" s="40"/>
      <c r="AW411" s="40"/>
      <c r="AX411" s="40"/>
      <c r="AY411" s="40"/>
      <c r="AZ411" s="40"/>
      <c r="BA411" s="40"/>
      <c r="BB411" s="40"/>
      <c r="BC411" s="40"/>
      <c r="BD411" s="40"/>
      <c r="BE411" s="40"/>
      <c r="BF411" s="40"/>
      <c r="BG411" s="40"/>
      <c r="BH411" s="40"/>
      <c r="BI411" s="40"/>
    </row>
    <row r="412" ht="15.75" customHeight="1">
      <c r="A412" s="41" t="str">
        <f t="shared" si="8"/>
        <v>Comm. vendeurs</v>
      </c>
      <c r="B412" s="96" t="s">
        <v>111</v>
      </c>
      <c r="C412" s="96"/>
      <c r="D412" s="184"/>
      <c r="E412" s="182"/>
      <c r="F412" s="96"/>
      <c r="G412" s="184"/>
      <c r="H412" s="182"/>
      <c r="I412" s="96"/>
      <c r="J412" s="184"/>
      <c r="K412" s="182"/>
      <c r="L412" s="96"/>
      <c r="M412" s="184"/>
      <c r="N412" s="182"/>
      <c r="O412" s="96"/>
      <c r="P412" s="184"/>
      <c r="Q412" s="182"/>
      <c r="R412" s="96"/>
      <c r="S412" s="184"/>
      <c r="T412" s="182"/>
      <c r="U412" s="96"/>
      <c r="V412" s="184"/>
      <c r="W412" s="182"/>
      <c r="X412" s="96"/>
      <c r="Y412" s="184"/>
      <c r="Z412" s="182"/>
      <c r="AA412" s="96"/>
      <c r="AB412" s="184"/>
      <c r="AC412" s="182"/>
      <c r="AD412" s="96"/>
      <c r="AE412" s="184"/>
      <c r="AF412" s="182"/>
      <c r="AG412" s="96"/>
      <c r="AH412" s="184"/>
      <c r="AI412" s="182"/>
      <c r="AJ412" s="96"/>
      <c r="AK412" s="184"/>
      <c r="AL412" s="182"/>
      <c r="AM412" s="96"/>
      <c r="AN412" s="184"/>
      <c r="AO412" s="182"/>
      <c r="AP412" s="40"/>
      <c r="AQ412" s="40"/>
      <c r="AR412" s="40"/>
      <c r="AS412" s="40"/>
      <c r="AT412" s="40"/>
      <c r="AU412" s="40"/>
      <c r="AV412" s="40"/>
      <c r="AW412" s="40"/>
      <c r="AX412" s="40"/>
      <c r="AY412" s="40"/>
      <c r="AZ412" s="40"/>
      <c r="BA412" s="40"/>
      <c r="BB412" s="40"/>
      <c r="BC412" s="40"/>
      <c r="BD412" s="40"/>
      <c r="BE412" s="40"/>
      <c r="BF412" s="40"/>
      <c r="BG412" s="40"/>
      <c r="BH412" s="40"/>
      <c r="BI412" s="40"/>
    </row>
    <row r="413" ht="15.75" customHeight="1">
      <c r="A413" s="41" t="str">
        <f t="shared" si="8"/>
        <v>Comm. F&amp;I</v>
      </c>
      <c r="B413" s="97" t="s">
        <v>112</v>
      </c>
      <c r="C413" s="97"/>
      <c r="D413" s="186"/>
      <c r="E413" s="174"/>
      <c r="F413" s="97"/>
      <c r="G413" s="186"/>
      <c r="H413" s="174"/>
      <c r="I413" s="97"/>
      <c r="J413" s="186"/>
      <c r="K413" s="174"/>
      <c r="L413" s="97"/>
      <c r="M413" s="186"/>
      <c r="N413" s="174"/>
      <c r="O413" s="97"/>
      <c r="P413" s="186"/>
      <c r="Q413" s="174"/>
      <c r="R413" s="97"/>
      <c r="S413" s="186"/>
      <c r="T413" s="174"/>
      <c r="U413" s="97"/>
      <c r="V413" s="186"/>
      <c r="W413" s="174"/>
      <c r="X413" s="97"/>
      <c r="Y413" s="186"/>
      <c r="Z413" s="174"/>
      <c r="AA413" s="97"/>
      <c r="AB413" s="186"/>
      <c r="AC413" s="174"/>
      <c r="AD413" s="97"/>
      <c r="AE413" s="186"/>
      <c r="AF413" s="174"/>
      <c r="AG413" s="97"/>
      <c r="AH413" s="186"/>
      <c r="AI413" s="174"/>
      <c r="AJ413" s="97"/>
      <c r="AK413" s="186"/>
      <c r="AL413" s="174"/>
      <c r="AM413" s="97"/>
      <c r="AN413" s="186"/>
      <c r="AO413" s="174"/>
      <c r="AP413" s="40"/>
      <c r="AQ413" s="40"/>
      <c r="AR413" s="40"/>
      <c r="AS413" s="40"/>
      <c r="AT413" s="40"/>
      <c r="AU413" s="40"/>
      <c r="AV413" s="40"/>
      <c r="AW413" s="40"/>
      <c r="AX413" s="40"/>
      <c r="AY413" s="40"/>
      <c r="AZ413" s="40"/>
      <c r="BA413" s="40"/>
      <c r="BB413" s="40"/>
      <c r="BC413" s="40"/>
      <c r="BD413" s="40"/>
      <c r="BE413" s="40"/>
      <c r="BF413" s="40"/>
      <c r="BG413" s="40"/>
      <c r="BH413" s="40"/>
      <c r="BI413" s="40"/>
    </row>
    <row r="414" ht="15.75" customHeight="1">
      <c r="A414" s="41" t="str">
        <f t="shared" si="8"/>
        <v>Frais de livraison</v>
      </c>
      <c r="B414" s="96" t="s">
        <v>113</v>
      </c>
      <c r="C414" s="96"/>
      <c r="D414" s="184"/>
      <c r="E414" s="182"/>
      <c r="F414" s="96"/>
      <c r="G414" s="184"/>
      <c r="H414" s="182"/>
      <c r="I414" s="96"/>
      <c r="J414" s="184"/>
      <c r="K414" s="182"/>
      <c r="L414" s="96"/>
      <c r="M414" s="184"/>
      <c r="N414" s="182"/>
      <c r="O414" s="96"/>
      <c r="P414" s="184"/>
      <c r="Q414" s="182"/>
      <c r="R414" s="96"/>
      <c r="S414" s="184"/>
      <c r="T414" s="182"/>
      <c r="U414" s="96"/>
      <c r="V414" s="184"/>
      <c r="W414" s="182"/>
      <c r="X414" s="96"/>
      <c r="Y414" s="184"/>
      <c r="Z414" s="182"/>
      <c r="AA414" s="96"/>
      <c r="AB414" s="184"/>
      <c r="AC414" s="182"/>
      <c r="AD414" s="96"/>
      <c r="AE414" s="184"/>
      <c r="AF414" s="182"/>
      <c r="AG414" s="96"/>
      <c r="AH414" s="184"/>
      <c r="AI414" s="182"/>
      <c r="AJ414" s="96"/>
      <c r="AK414" s="184"/>
      <c r="AL414" s="182"/>
      <c r="AM414" s="96"/>
      <c r="AN414" s="184"/>
      <c r="AO414" s="182"/>
      <c r="AP414" s="40"/>
      <c r="AQ414" s="40"/>
      <c r="AR414" s="40"/>
      <c r="AS414" s="40"/>
      <c r="AT414" s="40"/>
      <c r="AU414" s="40"/>
      <c r="AV414" s="40"/>
      <c r="AW414" s="40"/>
      <c r="AX414" s="40"/>
      <c r="AY414" s="40"/>
      <c r="AZ414" s="40"/>
      <c r="BA414" s="40"/>
      <c r="BB414" s="40"/>
      <c r="BC414" s="40"/>
      <c r="BD414" s="40"/>
      <c r="BE414" s="40"/>
      <c r="BF414" s="40"/>
      <c r="BG414" s="40"/>
      <c r="BH414" s="40"/>
      <c r="BI414" s="40"/>
    </row>
    <row r="415" ht="15.75" customHeight="1">
      <c r="A415" s="41" t="str">
        <f t="shared" si="8"/>
        <v>Service gratuit 1</v>
      </c>
      <c r="B415" s="96" t="s">
        <v>114</v>
      </c>
      <c r="C415" s="96"/>
      <c r="D415" s="184"/>
      <c r="E415" s="182"/>
      <c r="F415" s="96"/>
      <c r="G415" s="184"/>
      <c r="H415" s="182"/>
      <c r="I415" s="96"/>
      <c r="J415" s="184"/>
      <c r="K415" s="182"/>
      <c r="L415" s="96"/>
      <c r="M415" s="184"/>
      <c r="N415" s="182"/>
      <c r="O415" s="96"/>
      <c r="P415" s="184"/>
      <c r="Q415" s="182"/>
      <c r="R415" s="96"/>
      <c r="S415" s="184"/>
      <c r="T415" s="182"/>
      <c r="U415" s="96"/>
      <c r="V415" s="184"/>
      <c r="W415" s="182"/>
      <c r="X415" s="96"/>
      <c r="Y415" s="184"/>
      <c r="Z415" s="182"/>
      <c r="AA415" s="96"/>
      <c r="AB415" s="184"/>
      <c r="AC415" s="182"/>
      <c r="AD415" s="96"/>
      <c r="AE415" s="184"/>
      <c r="AF415" s="182"/>
      <c r="AG415" s="96"/>
      <c r="AH415" s="184"/>
      <c r="AI415" s="182"/>
      <c r="AJ415" s="96"/>
      <c r="AK415" s="184"/>
      <c r="AL415" s="182"/>
      <c r="AM415" s="96"/>
      <c r="AN415" s="184"/>
      <c r="AO415" s="182"/>
      <c r="AP415" s="40"/>
      <c r="AQ415" s="40"/>
      <c r="AR415" s="40"/>
      <c r="AS415" s="40"/>
      <c r="AT415" s="40"/>
      <c r="AU415" s="40"/>
      <c r="AV415" s="40"/>
      <c r="AW415" s="40"/>
      <c r="AX415" s="40"/>
      <c r="AY415" s="40"/>
      <c r="AZ415" s="40"/>
      <c r="BA415" s="40"/>
      <c r="BB415" s="40"/>
      <c r="BC415" s="40"/>
      <c r="BD415" s="40"/>
      <c r="BE415" s="40"/>
      <c r="BF415" s="40"/>
      <c r="BG415" s="40"/>
      <c r="BH415" s="40"/>
      <c r="BI415" s="40"/>
    </row>
    <row r="416" ht="15.75" customHeight="1">
      <c r="A416" s="41" t="str">
        <f t="shared" si="8"/>
        <v>Entretien stock</v>
      </c>
      <c r="B416" s="97" t="s">
        <v>115</v>
      </c>
      <c r="C416" s="97"/>
      <c r="D416" s="186"/>
      <c r="E416" s="174"/>
      <c r="F416" s="97"/>
      <c r="G416" s="186"/>
      <c r="H416" s="174"/>
      <c r="I416" s="97"/>
      <c r="J416" s="186"/>
      <c r="K416" s="174"/>
      <c r="L416" s="97"/>
      <c r="M416" s="186"/>
      <c r="N416" s="174"/>
      <c r="O416" s="97"/>
      <c r="P416" s="186"/>
      <c r="Q416" s="174"/>
      <c r="R416" s="97"/>
      <c r="S416" s="186"/>
      <c r="T416" s="174"/>
      <c r="U416" s="97"/>
      <c r="V416" s="186"/>
      <c r="W416" s="174"/>
      <c r="X416" s="97"/>
      <c r="Y416" s="186"/>
      <c r="Z416" s="174"/>
      <c r="AA416" s="97"/>
      <c r="AB416" s="186"/>
      <c r="AC416" s="174"/>
      <c r="AD416" s="97"/>
      <c r="AE416" s="186"/>
      <c r="AF416" s="174"/>
      <c r="AG416" s="97"/>
      <c r="AH416" s="186"/>
      <c r="AI416" s="174"/>
      <c r="AJ416" s="97"/>
      <c r="AK416" s="186"/>
      <c r="AL416" s="174"/>
      <c r="AM416" s="97"/>
      <c r="AN416" s="186"/>
      <c r="AO416" s="174"/>
      <c r="AP416" s="40"/>
      <c r="AQ416" s="40"/>
      <c r="AR416" s="40"/>
      <c r="AS416" s="40"/>
      <c r="AT416" s="40"/>
      <c r="AU416" s="40"/>
      <c r="AV416" s="40"/>
      <c r="AW416" s="40"/>
      <c r="AX416" s="40"/>
      <c r="AY416" s="40"/>
      <c r="AZ416" s="40"/>
      <c r="BA416" s="40"/>
      <c r="BB416" s="40"/>
      <c r="BC416" s="40"/>
      <c r="BD416" s="40"/>
      <c r="BE416" s="40"/>
      <c r="BF416" s="40"/>
      <c r="BG416" s="40"/>
      <c r="BH416" s="40"/>
      <c r="BI416" s="40"/>
    </row>
    <row r="417" ht="15.75" customHeight="1">
      <c r="A417" s="41" t="str">
        <f t="shared" si="8"/>
        <v>Publicité 1</v>
      </c>
      <c r="B417" s="96" t="s">
        <v>116</v>
      </c>
      <c r="C417" s="96"/>
      <c r="D417" s="184"/>
      <c r="E417" s="182"/>
      <c r="F417" s="96"/>
      <c r="G417" s="184"/>
      <c r="H417" s="182"/>
      <c r="I417" s="96"/>
      <c r="J417" s="184"/>
      <c r="K417" s="182"/>
      <c r="L417" s="96"/>
      <c r="M417" s="184"/>
      <c r="N417" s="182"/>
      <c r="O417" s="96"/>
      <c r="P417" s="184"/>
      <c r="Q417" s="182"/>
      <c r="R417" s="96"/>
      <c r="S417" s="184"/>
      <c r="T417" s="182"/>
      <c r="U417" s="96"/>
      <c r="V417" s="184"/>
      <c r="W417" s="182"/>
      <c r="X417" s="96"/>
      <c r="Y417" s="184"/>
      <c r="Z417" s="182"/>
      <c r="AA417" s="96"/>
      <c r="AB417" s="184"/>
      <c r="AC417" s="182"/>
      <c r="AD417" s="96"/>
      <c r="AE417" s="184"/>
      <c r="AF417" s="182"/>
      <c r="AG417" s="96"/>
      <c r="AH417" s="184"/>
      <c r="AI417" s="182"/>
      <c r="AJ417" s="96"/>
      <c r="AK417" s="184"/>
      <c r="AL417" s="182"/>
      <c r="AM417" s="96"/>
      <c r="AN417" s="184"/>
      <c r="AO417" s="182"/>
      <c r="AP417" s="40"/>
      <c r="AQ417" s="40"/>
      <c r="AR417" s="40"/>
      <c r="AS417" s="40"/>
      <c r="AT417" s="40"/>
      <c r="AU417" s="40"/>
      <c r="AV417" s="40"/>
      <c r="AW417" s="40"/>
      <c r="AX417" s="40"/>
      <c r="AY417" s="40"/>
      <c r="AZ417" s="40"/>
      <c r="BA417" s="40"/>
      <c r="BB417" s="40"/>
      <c r="BC417" s="40"/>
      <c r="BD417" s="40"/>
      <c r="BE417" s="40"/>
      <c r="BF417" s="40"/>
      <c r="BG417" s="40"/>
      <c r="BH417" s="40"/>
      <c r="BI417" s="40"/>
    </row>
    <row r="418" ht="15.75" customHeight="1">
      <c r="A418" s="41" t="str">
        <f t="shared" si="8"/>
        <v>Intérêt de gros</v>
      </c>
      <c r="B418" s="96" t="s">
        <v>117</v>
      </c>
      <c r="C418" s="96"/>
      <c r="D418" s="184"/>
      <c r="E418" s="182"/>
      <c r="F418" s="96"/>
      <c r="G418" s="184"/>
      <c r="H418" s="182"/>
      <c r="I418" s="96"/>
      <c r="J418" s="184"/>
      <c r="K418" s="182"/>
      <c r="L418" s="96"/>
      <c r="M418" s="184"/>
      <c r="N418" s="182"/>
      <c r="O418" s="96"/>
      <c r="P418" s="184"/>
      <c r="Q418" s="182"/>
      <c r="R418" s="96"/>
      <c r="S418" s="184"/>
      <c r="T418" s="182"/>
      <c r="U418" s="96"/>
      <c r="V418" s="184"/>
      <c r="W418" s="182"/>
      <c r="X418" s="96"/>
      <c r="Y418" s="184"/>
      <c r="Z418" s="182"/>
      <c r="AA418" s="96"/>
      <c r="AB418" s="184"/>
      <c r="AC418" s="182"/>
      <c r="AD418" s="96"/>
      <c r="AE418" s="184"/>
      <c r="AF418" s="182"/>
      <c r="AG418" s="96"/>
      <c r="AH418" s="184"/>
      <c r="AI418" s="182"/>
      <c r="AJ418" s="96"/>
      <c r="AK418" s="184"/>
      <c r="AL418" s="182"/>
      <c r="AM418" s="96"/>
      <c r="AN418" s="184"/>
      <c r="AO418" s="182"/>
      <c r="AP418" s="40"/>
      <c r="AQ418" s="40"/>
      <c r="AR418" s="40"/>
      <c r="AS418" s="40"/>
      <c r="AT418" s="40"/>
      <c r="AU418" s="40"/>
      <c r="AV418" s="40"/>
      <c r="AW418" s="40"/>
      <c r="AX418" s="40"/>
      <c r="AY418" s="40"/>
      <c r="AZ418" s="40"/>
      <c r="BA418" s="40"/>
      <c r="BB418" s="40"/>
      <c r="BC418" s="40"/>
      <c r="BD418" s="40"/>
      <c r="BE418" s="40"/>
      <c r="BF418" s="40"/>
      <c r="BG418" s="40"/>
      <c r="BH418" s="40"/>
      <c r="BI418" s="40"/>
    </row>
    <row r="419" ht="15.75" customHeight="1">
      <c r="A419" s="41" t="str">
        <f t="shared" si="8"/>
        <v>[...]</v>
      </c>
      <c r="B419" s="57" t="s">
        <v>56</v>
      </c>
      <c r="C419" s="96"/>
      <c r="D419" s="184"/>
      <c r="E419" s="182"/>
      <c r="F419" s="96"/>
      <c r="G419" s="184"/>
      <c r="H419" s="182"/>
      <c r="I419" s="96"/>
      <c r="J419" s="184"/>
      <c r="K419" s="182"/>
      <c r="L419" s="96"/>
      <c r="M419" s="184"/>
      <c r="N419" s="182"/>
      <c r="O419" s="96"/>
      <c r="P419" s="184"/>
      <c r="Q419" s="182"/>
      <c r="R419" s="96"/>
      <c r="S419" s="184"/>
      <c r="T419" s="182"/>
      <c r="U419" s="96"/>
      <c r="V419" s="184"/>
      <c r="W419" s="182"/>
      <c r="X419" s="96"/>
      <c r="Y419" s="184"/>
      <c r="Z419" s="182"/>
      <c r="AA419" s="96"/>
      <c r="AB419" s="184"/>
      <c r="AC419" s="182"/>
      <c r="AD419" s="96"/>
      <c r="AE419" s="184"/>
      <c r="AF419" s="182"/>
      <c r="AG419" s="96"/>
      <c r="AH419" s="184"/>
      <c r="AI419" s="182"/>
      <c r="AJ419" s="96"/>
      <c r="AK419" s="184"/>
      <c r="AL419" s="182"/>
      <c r="AM419" s="96"/>
      <c r="AN419" s="184"/>
      <c r="AO419" s="182"/>
      <c r="AP419" s="40"/>
      <c r="AQ419" s="40"/>
      <c r="AR419" s="40"/>
      <c r="AS419" s="40"/>
      <c r="AT419" s="40"/>
      <c r="AU419" s="40"/>
      <c r="AV419" s="40"/>
      <c r="AW419" s="40"/>
      <c r="AX419" s="40"/>
      <c r="AY419" s="40"/>
      <c r="AZ419" s="40"/>
      <c r="BA419" s="40"/>
      <c r="BB419" s="40"/>
      <c r="BC419" s="40"/>
      <c r="BD419" s="40"/>
      <c r="BE419" s="40"/>
      <c r="BF419" s="40"/>
      <c r="BG419" s="40"/>
      <c r="BH419" s="40"/>
      <c r="BI419" s="40"/>
    </row>
    <row r="420" ht="15.75" customHeight="1">
      <c r="A420" s="41" t="str">
        <f t="shared" si="8"/>
        <v>[...]</v>
      </c>
      <c r="B420" s="57" t="s">
        <v>56</v>
      </c>
      <c r="C420" s="96"/>
      <c r="D420" s="184"/>
      <c r="E420" s="182"/>
      <c r="F420" s="96"/>
      <c r="G420" s="184"/>
      <c r="H420" s="182"/>
      <c r="I420" s="96"/>
      <c r="J420" s="184"/>
      <c r="K420" s="182"/>
      <c r="L420" s="96"/>
      <c r="M420" s="184"/>
      <c r="N420" s="182"/>
      <c r="O420" s="96"/>
      <c r="P420" s="184"/>
      <c r="Q420" s="182"/>
      <c r="R420" s="96"/>
      <c r="S420" s="184"/>
      <c r="T420" s="182"/>
      <c r="U420" s="96"/>
      <c r="V420" s="184"/>
      <c r="W420" s="182"/>
      <c r="X420" s="96"/>
      <c r="Y420" s="184"/>
      <c r="Z420" s="182"/>
      <c r="AA420" s="96"/>
      <c r="AB420" s="184"/>
      <c r="AC420" s="182"/>
      <c r="AD420" s="96"/>
      <c r="AE420" s="184"/>
      <c r="AF420" s="182"/>
      <c r="AG420" s="96"/>
      <c r="AH420" s="184"/>
      <c r="AI420" s="182"/>
      <c r="AJ420" s="96"/>
      <c r="AK420" s="184"/>
      <c r="AL420" s="182"/>
      <c r="AM420" s="96"/>
      <c r="AN420" s="184"/>
      <c r="AO420" s="182"/>
      <c r="AP420" s="40"/>
      <c r="AQ420" s="40"/>
      <c r="AR420" s="40"/>
      <c r="AS420" s="40"/>
      <c r="AT420" s="40"/>
      <c r="AU420" s="40"/>
      <c r="AV420" s="40"/>
      <c r="AW420" s="40"/>
      <c r="AX420" s="40"/>
      <c r="AY420" s="40"/>
      <c r="AZ420" s="40"/>
      <c r="BA420" s="40"/>
      <c r="BB420" s="40"/>
      <c r="BC420" s="40"/>
      <c r="BD420" s="40"/>
      <c r="BE420" s="40"/>
      <c r="BF420" s="40"/>
      <c r="BG420" s="40"/>
      <c r="BH420" s="40"/>
      <c r="BI420" s="40"/>
    </row>
    <row r="421" ht="15.75" customHeight="1">
      <c r="A421" s="41" t="str">
        <f t="shared" si="8"/>
        <v>[...]</v>
      </c>
      <c r="B421" s="53" t="s">
        <v>56</v>
      </c>
      <c r="C421" s="96"/>
      <c r="D421" s="184"/>
      <c r="E421" s="182"/>
      <c r="F421" s="96"/>
      <c r="G421" s="184"/>
      <c r="H421" s="182"/>
      <c r="I421" s="96"/>
      <c r="J421" s="184"/>
      <c r="K421" s="182"/>
      <c r="L421" s="96"/>
      <c r="M421" s="184"/>
      <c r="N421" s="182"/>
      <c r="O421" s="96"/>
      <c r="P421" s="184"/>
      <c r="Q421" s="182"/>
      <c r="R421" s="96"/>
      <c r="S421" s="184"/>
      <c r="T421" s="182"/>
      <c r="U421" s="96"/>
      <c r="V421" s="184"/>
      <c r="W421" s="182"/>
      <c r="X421" s="96"/>
      <c r="Y421" s="184"/>
      <c r="Z421" s="182"/>
      <c r="AA421" s="96"/>
      <c r="AB421" s="184"/>
      <c r="AC421" s="182"/>
      <c r="AD421" s="96"/>
      <c r="AE421" s="184"/>
      <c r="AF421" s="182"/>
      <c r="AG421" s="96"/>
      <c r="AH421" s="184"/>
      <c r="AI421" s="182"/>
      <c r="AJ421" s="96"/>
      <c r="AK421" s="184"/>
      <c r="AL421" s="182"/>
      <c r="AM421" s="96"/>
      <c r="AN421" s="184"/>
      <c r="AO421" s="182"/>
      <c r="AP421" s="40"/>
      <c r="AQ421" s="40"/>
      <c r="AR421" s="40"/>
      <c r="AS421" s="40"/>
      <c r="AT421" s="40"/>
      <c r="AU421" s="40"/>
      <c r="AV421" s="40"/>
      <c r="AW421" s="40"/>
      <c r="AX421" s="40"/>
      <c r="AY421" s="40"/>
      <c r="AZ421" s="40"/>
      <c r="BA421" s="40"/>
      <c r="BB421" s="40"/>
      <c r="BC421" s="40"/>
      <c r="BD421" s="40"/>
      <c r="BE421" s="40"/>
      <c r="BF421" s="40"/>
      <c r="BG421" s="40"/>
      <c r="BH421" s="40"/>
      <c r="BI421" s="40"/>
    </row>
    <row r="422" ht="15.75" customHeight="1">
      <c r="A422" s="41" t="str">
        <f t="shared" si="8"/>
        <v>TOTAL VARIABLES</v>
      </c>
      <c r="B422" s="187" t="s">
        <v>118</v>
      </c>
      <c r="C422" s="188"/>
      <c r="D422" s="191"/>
      <c r="E422" s="190"/>
      <c r="F422" s="188"/>
      <c r="G422" s="191"/>
      <c r="H422" s="190"/>
      <c r="I422" s="188"/>
      <c r="J422" s="191"/>
      <c r="K422" s="190"/>
      <c r="L422" s="188"/>
      <c r="M422" s="191"/>
      <c r="N422" s="190"/>
      <c r="O422" s="188"/>
      <c r="P422" s="191"/>
      <c r="Q422" s="190"/>
      <c r="R422" s="188"/>
      <c r="S422" s="191"/>
      <c r="T422" s="190"/>
      <c r="U422" s="188"/>
      <c r="V422" s="191"/>
      <c r="W422" s="190"/>
      <c r="X422" s="188"/>
      <c r="Y422" s="191"/>
      <c r="Z422" s="190"/>
      <c r="AA422" s="188"/>
      <c r="AB422" s="191"/>
      <c r="AC422" s="190"/>
      <c r="AD422" s="188"/>
      <c r="AE422" s="191"/>
      <c r="AF422" s="190"/>
      <c r="AG422" s="188"/>
      <c r="AH422" s="191"/>
      <c r="AI422" s="190"/>
      <c r="AJ422" s="188"/>
      <c r="AK422" s="191"/>
      <c r="AL422" s="190"/>
      <c r="AM422" s="188"/>
      <c r="AN422" s="191"/>
      <c r="AO422" s="190"/>
      <c r="AP422" s="40"/>
      <c r="AQ422" s="40"/>
      <c r="AR422" s="40"/>
      <c r="AS422" s="40"/>
      <c r="AT422" s="40"/>
      <c r="AU422" s="40"/>
      <c r="AV422" s="40"/>
      <c r="AW422" s="40"/>
      <c r="AX422" s="40"/>
      <c r="AY422" s="40"/>
      <c r="AZ422" s="40"/>
      <c r="BA422" s="40"/>
      <c r="BB422" s="40"/>
      <c r="BC422" s="40"/>
      <c r="BD422" s="40"/>
      <c r="BE422" s="40"/>
      <c r="BF422" s="40"/>
      <c r="BG422" s="40"/>
      <c r="BH422" s="40"/>
      <c r="BI422" s="40"/>
    </row>
    <row r="423" ht="15.75" customHeight="1">
      <c r="A423" s="41" t="str">
        <f t="shared" si="8"/>
        <v>Salaires propriétaire</v>
      </c>
      <c r="B423" s="96" t="s">
        <v>198</v>
      </c>
      <c r="C423" s="96"/>
      <c r="D423" s="184"/>
      <c r="E423" s="182"/>
      <c r="F423" s="96"/>
      <c r="G423" s="184"/>
      <c r="H423" s="182"/>
      <c r="I423" s="96"/>
      <c r="J423" s="184"/>
      <c r="K423" s="182"/>
      <c r="L423" s="96"/>
      <c r="M423" s="184"/>
      <c r="N423" s="182"/>
      <c r="O423" s="96"/>
      <c r="P423" s="184"/>
      <c r="Q423" s="182"/>
      <c r="R423" s="96"/>
      <c r="S423" s="184"/>
      <c r="T423" s="182"/>
      <c r="U423" s="96"/>
      <c r="V423" s="184"/>
      <c r="W423" s="182"/>
      <c r="X423" s="96"/>
      <c r="Y423" s="184"/>
      <c r="Z423" s="182"/>
      <c r="AA423" s="96"/>
      <c r="AB423" s="184"/>
      <c r="AC423" s="182"/>
      <c r="AD423" s="96"/>
      <c r="AE423" s="184"/>
      <c r="AF423" s="182"/>
      <c r="AG423" s="96"/>
      <c r="AH423" s="184"/>
      <c r="AI423" s="182"/>
      <c r="AJ423" s="96"/>
      <c r="AK423" s="184"/>
      <c r="AL423" s="182"/>
      <c r="AM423" s="96"/>
      <c r="AN423" s="184"/>
      <c r="AO423" s="255"/>
      <c r="AP423" s="40"/>
      <c r="AQ423" s="40"/>
      <c r="AR423" s="40"/>
      <c r="AS423" s="40"/>
      <c r="AT423" s="40"/>
      <c r="AU423" s="40"/>
      <c r="AV423" s="40"/>
      <c r="AW423" s="40"/>
      <c r="AX423" s="40"/>
      <c r="AY423" s="40"/>
      <c r="AZ423" s="40"/>
      <c r="BA423" s="40"/>
      <c r="BB423" s="40"/>
      <c r="BC423" s="40"/>
      <c r="BD423" s="40"/>
      <c r="BE423" s="40"/>
      <c r="BF423" s="40"/>
      <c r="BG423" s="40"/>
      <c r="BH423" s="40"/>
      <c r="BI423" s="40"/>
    </row>
    <row r="424" ht="15.75" customHeight="1">
      <c r="A424" s="41" t="str">
        <f t="shared" si="8"/>
        <v>Salaires cadres</v>
      </c>
      <c r="B424" s="96" t="s">
        <v>119</v>
      </c>
      <c r="C424" s="96"/>
      <c r="D424" s="184"/>
      <c r="E424" s="182"/>
      <c r="F424" s="96"/>
      <c r="G424" s="184"/>
      <c r="H424" s="182"/>
      <c r="I424" s="96"/>
      <c r="J424" s="184"/>
      <c r="K424" s="182"/>
      <c r="L424" s="96"/>
      <c r="M424" s="184"/>
      <c r="N424" s="182"/>
      <c r="O424" s="96"/>
      <c r="P424" s="184"/>
      <c r="Q424" s="182"/>
      <c r="R424" s="96"/>
      <c r="S424" s="184"/>
      <c r="T424" s="182"/>
      <c r="U424" s="96"/>
      <c r="V424" s="184"/>
      <c r="W424" s="182"/>
      <c r="X424" s="96"/>
      <c r="Y424" s="184"/>
      <c r="Z424" s="182"/>
      <c r="AA424" s="96"/>
      <c r="AB424" s="184"/>
      <c r="AC424" s="182"/>
      <c r="AD424" s="96"/>
      <c r="AE424" s="184"/>
      <c r="AF424" s="182"/>
      <c r="AG424" s="96"/>
      <c r="AH424" s="184"/>
      <c r="AI424" s="182"/>
      <c r="AJ424" s="96"/>
      <c r="AK424" s="184"/>
      <c r="AL424" s="182"/>
      <c r="AM424" s="96"/>
      <c r="AN424" s="184"/>
      <c r="AO424" s="182"/>
      <c r="AP424" s="40"/>
      <c r="AQ424" s="40"/>
      <c r="AR424" s="40"/>
      <c r="AS424" s="40"/>
      <c r="AT424" s="40"/>
      <c r="AU424" s="40"/>
      <c r="AV424" s="40"/>
      <c r="AW424" s="40"/>
      <c r="AX424" s="40"/>
      <c r="AY424" s="40"/>
      <c r="AZ424" s="40"/>
      <c r="BA424" s="40"/>
      <c r="BB424" s="40"/>
      <c r="BC424" s="40"/>
      <c r="BD424" s="40"/>
      <c r="BE424" s="40"/>
      <c r="BF424" s="40"/>
      <c r="BG424" s="40"/>
      <c r="BH424" s="40"/>
      <c r="BI424" s="40"/>
    </row>
    <row r="425" ht="15.75" customHeight="1">
      <c r="A425" s="41" t="str">
        <f t="shared" si="8"/>
        <v>Salaires commis</v>
      </c>
      <c r="B425" s="97" t="s">
        <v>120</v>
      </c>
      <c r="C425" s="97"/>
      <c r="D425" s="186"/>
      <c r="E425" s="174"/>
      <c r="F425" s="97"/>
      <c r="G425" s="186"/>
      <c r="H425" s="174"/>
      <c r="I425" s="97"/>
      <c r="J425" s="186"/>
      <c r="K425" s="174"/>
      <c r="L425" s="97"/>
      <c r="M425" s="186"/>
      <c r="N425" s="174"/>
      <c r="O425" s="97"/>
      <c r="P425" s="186"/>
      <c r="Q425" s="174"/>
      <c r="R425" s="97"/>
      <c r="S425" s="186"/>
      <c r="T425" s="174"/>
      <c r="U425" s="97"/>
      <c r="V425" s="186"/>
      <c r="W425" s="174"/>
      <c r="X425" s="97"/>
      <c r="Y425" s="186"/>
      <c r="Z425" s="174"/>
      <c r="AA425" s="97"/>
      <c r="AB425" s="186"/>
      <c r="AC425" s="174"/>
      <c r="AD425" s="97"/>
      <c r="AE425" s="186"/>
      <c r="AF425" s="174"/>
      <c r="AG425" s="97"/>
      <c r="AH425" s="186"/>
      <c r="AI425" s="174"/>
      <c r="AJ425" s="97"/>
      <c r="AK425" s="186"/>
      <c r="AL425" s="174"/>
      <c r="AM425" s="97"/>
      <c r="AN425" s="186"/>
      <c r="AO425" s="174"/>
      <c r="AP425" s="40"/>
      <c r="AQ425" s="40"/>
      <c r="AR425" s="40"/>
      <c r="AS425" s="40"/>
      <c r="AT425" s="40"/>
      <c r="AU425" s="40"/>
      <c r="AV425" s="40"/>
      <c r="AW425" s="40"/>
      <c r="AX425" s="40"/>
      <c r="AY425" s="40"/>
      <c r="AZ425" s="40"/>
      <c r="BA425" s="40"/>
      <c r="BB425" s="40"/>
      <c r="BC425" s="40"/>
      <c r="BD425" s="40"/>
      <c r="BE425" s="40"/>
      <c r="BF425" s="40"/>
      <c r="BG425" s="40"/>
      <c r="BH425" s="40"/>
      <c r="BI425" s="40"/>
    </row>
    <row r="426" ht="15.75" customHeight="1">
      <c r="A426" s="41" t="str">
        <f t="shared" si="8"/>
        <v>Salaires autres</v>
      </c>
      <c r="B426" s="96" t="s">
        <v>121</v>
      </c>
      <c r="C426" s="96"/>
      <c r="D426" s="184"/>
      <c r="E426" s="182"/>
      <c r="F426" s="96"/>
      <c r="G426" s="184"/>
      <c r="H426" s="182"/>
      <c r="I426" s="96"/>
      <c r="J426" s="184"/>
      <c r="K426" s="182"/>
      <c r="L426" s="96"/>
      <c r="M426" s="184"/>
      <c r="N426" s="182"/>
      <c r="O426" s="96"/>
      <c r="P426" s="184"/>
      <c r="Q426" s="182"/>
      <c r="R426" s="96"/>
      <c r="S426" s="184"/>
      <c r="T426" s="182"/>
      <c r="U426" s="96"/>
      <c r="V426" s="184"/>
      <c r="W426" s="182"/>
      <c r="X426" s="96"/>
      <c r="Y426" s="184"/>
      <c r="Z426" s="182"/>
      <c r="AA426" s="96"/>
      <c r="AB426" s="184"/>
      <c r="AC426" s="182"/>
      <c r="AD426" s="96"/>
      <c r="AE426" s="184"/>
      <c r="AF426" s="182"/>
      <c r="AG426" s="96"/>
      <c r="AH426" s="184"/>
      <c r="AI426" s="182"/>
      <c r="AJ426" s="96"/>
      <c r="AK426" s="184"/>
      <c r="AL426" s="182"/>
      <c r="AM426" s="96"/>
      <c r="AN426" s="184"/>
      <c r="AO426" s="182"/>
      <c r="AP426" s="40"/>
      <c r="AQ426" s="40"/>
      <c r="AR426" s="40"/>
      <c r="AS426" s="40"/>
      <c r="AT426" s="40"/>
      <c r="AU426" s="40"/>
      <c r="AV426" s="40"/>
      <c r="AW426" s="40"/>
      <c r="AX426" s="40"/>
      <c r="AY426" s="40"/>
      <c r="AZ426" s="40"/>
      <c r="BA426" s="40"/>
      <c r="BB426" s="40"/>
      <c r="BC426" s="40"/>
      <c r="BD426" s="40"/>
      <c r="BE426" s="40"/>
      <c r="BF426" s="40"/>
      <c r="BG426" s="40"/>
      <c r="BH426" s="40"/>
      <c r="BI426" s="40"/>
    </row>
    <row r="427" ht="15.75" customHeight="1">
      <c r="A427" s="41" t="str">
        <f t="shared" si="8"/>
        <v>Salaires spécialistes</v>
      </c>
      <c r="B427" s="96" t="s">
        <v>122</v>
      </c>
      <c r="C427" s="96"/>
      <c r="D427" s="184"/>
      <c r="E427" s="182"/>
      <c r="F427" s="96"/>
      <c r="G427" s="184"/>
      <c r="H427" s="182"/>
      <c r="I427" s="96"/>
      <c r="J427" s="184"/>
      <c r="K427" s="182"/>
      <c r="L427" s="96"/>
      <c r="M427" s="184"/>
      <c r="N427" s="182"/>
      <c r="O427" s="96"/>
      <c r="P427" s="184"/>
      <c r="Q427" s="182"/>
      <c r="R427" s="96"/>
      <c r="S427" s="184"/>
      <c r="T427" s="182"/>
      <c r="U427" s="96"/>
      <c r="V427" s="184"/>
      <c r="W427" s="182"/>
      <c r="X427" s="96"/>
      <c r="Y427" s="184"/>
      <c r="Z427" s="182"/>
      <c r="AA427" s="96"/>
      <c r="AB427" s="184"/>
      <c r="AC427" s="182"/>
      <c r="AD427" s="96"/>
      <c r="AE427" s="184"/>
      <c r="AF427" s="182"/>
      <c r="AG427" s="96"/>
      <c r="AH427" s="184"/>
      <c r="AI427" s="182"/>
      <c r="AJ427" s="96"/>
      <c r="AK427" s="184"/>
      <c r="AL427" s="182"/>
      <c r="AM427" s="96"/>
      <c r="AN427" s="184"/>
      <c r="AO427" s="182"/>
      <c r="AP427" s="40"/>
      <c r="AQ427" s="40"/>
      <c r="AR427" s="40"/>
      <c r="AS427" s="40"/>
      <c r="AT427" s="40"/>
      <c r="AU427" s="40"/>
      <c r="AV427" s="40"/>
      <c r="AW427" s="40"/>
      <c r="AX427" s="40"/>
      <c r="AY427" s="40"/>
      <c r="AZ427" s="40"/>
      <c r="BA427" s="40"/>
      <c r="BB427" s="40"/>
      <c r="BC427" s="40"/>
      <c r="BD427" s="40"/>
      <c r="BE427" s="40"/>
      <c r="BF427" s="40"/>
      <c r="BG427" s="40"/>
      <c r="BH427" s="40"/>
      <c r="BI427" s="40"/>
    </row>
    <row r="428" ht="15.75" customHeight="1">
      <c r="A428" s="41" t="str">
        <f t="shared" si="8"/>
        <v>[...]</v>
      </c>
      <c r="B428" s="57" t="s">
        <v>56</v>
      </c>
      <c r="C428" s="96"/>
      <c r="D428" s="184"/>
      <c r="E428" s="182"/>
      <c r="F428" s="96"/>
      <c r="G428" s="184"/>
      <c r="H428" s="182"/>
      <c r="I428" s="96"/>
      <c r="J428" s="184"/>
      <c r="K428" s="182"/>
      <c r="L428" s="96"/>
      <c r="M428" s="184"/>
      <c r="N428" s="182"/>
      <c r="O428" s="96"/>
      <c r="P428" s="184"/>
      <c r="Q428" s="182"/>
      <c r="R428" s="96"/>
      <c r="S428" s="184"/>
      <c r="T428" s="182"/>
      <c r="U428" s="96"/>
      <c r="V428" s="184"/>
      <c r="W428" s="182"/>
      <c r="X428" s="96"/>
      <c r="Y428" s="184"/>
      <c r="Z428" s="182"/>
      <c r="AA428" s="96"/>
      <c r="AB428" s="184"/>
      <c r="AC428" s="182"/>
      <c r="AD428" s="96"/>
      <c r="AE428" s="184"/>
      <c r="AF428" s="182"/>
      <c r="AG428" s="96"/>
      <c r="AH428" s="184"/>
      <c r="AI428" s="182"/>
      <c r="AJ428" s="96"/>
      <c r="AK428" s="184"/>
      <c r="AL428" s="182"/>
      <c r="AM428" s="96"/>
      <c r="AN428" s="184"/>
      <c r="AO428" s="182"/>
      <c r="AP428" s="40"/>
      <c r="AQ428" s="40"/>
      <c r="AR428" s="40"/>
      <c r="AS428" s="40"/>
      <c r="AT428" s="40"/>
      <c r="AU428" s="40"/>
      <c r="AV428" s="40"/>
      <c r="AW428" s="40"/>
      <c r="AX428" s="40"/>
      <c r="AY428" s="40"/>
      <c r="AZ428" s="40"/>
      <c r="BA428" s="40"/>
      <c r="BB428" s="40"/>
      <c r="BC428" s="40"/>
      <c r="BD428" s="40"/>
      <c r="BE428" s="40"/>
      <c r="BF428" s="40"/>
      <c r="BG428" s="40"/>
      <c r="BH428" s="40"/>
      <c r="BI428" s="40"/>
    </row>
    <row r="429" ht="15.75" customHeight="1">
      <c r="A429" s="41" t="str">
        <f t="shared" si="8"/>
        <v>[...]</v>
      </c>
      <c r="B429" s="57" t="s">
        <v>56</v>
      </c>
      <c r="C429" s="96"/>
      <c r="D429" s="184"/>
      <c r="E429" s="182"/>
      <c r="F429" s="96"/>
      <c r="G429" s="184"/>
      <c r="H429" s="182"/>
      <c r="I429" s="96"/>
      <c r="J429" s="184"/>
      <c r="K429" s="182"/>
      <c r="L429" s="96"/>
      <c r="M429" s="184"/>
      <c r="N429" s="182"/>
      <c r="O429" s="96"/>
      <c r="P429" s="184"/>
      <c r="Q429" s="182"/>
      <c r="R429" s="96"/>
      <c r="S429" s="184"/>
      <c r="T429" s="182"/>
      <c r="U429" s="96"/>
      <c r="V429" s="184"/>
      <c r="W429" s="182"/>
      <c r="X429" s="96"/>
      <c r="Y429" s="184"/>
      <c r="Z429" s="182"/>
      <c r="AA429" s="96"/>
      <c r="AB429" s="184"/>
      <c r="AC429" s="182"/>
      <c r="AD429" s="96"/>
      <c r="AE429" s="184"/>
      <c r="AF429" s="182"/>
      <c r="AG429" s="96"/>
      <c r="AH429" s="184"/>
      <c r="AI429" s="182"/>
      <c r="AJ429" s="96"/>
      <c r="AK429" s="184"/>
      <c r="AL429" s="182"/>
      <c r="AM429" s="96"/>
      <c r="AN429" s="184"/>
      <c r="AO429" s="182"/>
      <c r="AP429" s="40"/>
      <c r="AQ429" s="40"/>
      <c r="AR429" s="40"/>
      <c r="AS429" s="40"/>
      <c r="AT429" s="40"/>
      <c r="AU429" s="40"/>
      <c r="AV429" s="40"/>
      <c r="AW429" s="40"/>
      <c r="AX429" s="40"/>
      <c r="AY429" s="40"/>
      <c r="AZ429" s="40"/>
      <c r="BA429" s="40"/>
      <c r="BB429" s="40"/>
      <c r="BC429" s="40"/>
      <c r="BD429" s="40"/>
      <c r="BE429" s="40"/>
      <c r="BF429" s="40"/>
      <c r="BG429" s="40"/>
      <c r="BH429" s="40"/>
      <c r="BI429" s="40"/>
    </row>
    <row r="430" ht="15.75" customHeight="1">
      <c r="A430" s="41" t="str">
        <f t="shared" si="8"/>
        <v>[...]</v>
      </c>
      <c r="B430" s="57" t="s">
        <v>56</v>
      </c>
      <c r="C430" s="96"/>
      <c r="D430" s="184"/>
      <c r="E430" s="182"/>
      <c r="F430" s="96"/>
      <c r="G430" s="184"/>
      <c r="H430" s="182"/>
      <c r="I430" s="96"/>
      <c r="J430" s="184"/>
      <c r="K430" s="182"/>
      <c r="L430" s="96"/>
      <c r="M430" s="184"/>
      <c r="N430" s="182"/>
      <c r="O430" s="96"/>
      <c r="P430" s="184"/>
      <c r="Q430" s="182"/>
      <c r="R430" s="96"/>
      <c r="S430" s="184"/>
      <c r="T430" s="182"/>
      <c r="U430" s="96"/>
      <c r="V430" s="184"/>
      <c r="W430" s="182"/>
      <c r="X430" s="96"/>
      <c r="Y430" s="184"/>
      <c r="Z430" s="182"/>
      <c r="AA430" s="96"/>
      <c r="AB430" s="184"/>
      <c r="AC430" s="182"/>
      <c r="AD430" s="96"/>
      <c r="AE430" s="184"/>
      <c r="AF430" s="182"/>
      <c r="AG430" s="96"/>
      <c r="AH430" s="184"/>
      <c r="AI430" s="182"/>
      <c r="AJ430" s="96"/>
      <c r="AK430" s="184"/>
      <c r="AL430" s="182"/>
      <c r="AM430" s="96"/>
      <c r="AN430" s="184"/>
      <c r="AO430" s="182"/>
      <c r="AP430" s="40"/>
      <c r="AQ430" s="40"/>
      <c r="AR430" s="40"/>
      <c r="AS430" s="40"/>
      <c r="AT430" s="40"/>
      <c r="AU430" s="40"/>
      <c r="AV430" s="40"/>
      <c r="AW430" s="40"/>
      <c r="AX430" s="40"/>
      <c r="AY430" s="40"/>
      <c r="AZ430" s="40"/>
      <c r="BA430" s="40"/>
      <c r="BB430" s="40"/>
      <c r="BC430" s="40"/>
      <c r="BD430" s="40"/>
      <c r="BE430" s="40"/>
      <c r="BF430" s="40"/>
      <c r="BG430" s="40"/>
      <c r="BH430" s="40"/>
      <c r="BI430" s="40"/>
    </row>
    <row r="431" ht="15.75" customHeight="1">
      <c r="A431" s="41" t="str">
        <f t="shared" si="8"/>
        <v>Salaires en absences</v>
      </c>
      <c r="B431" s="97" t="s">
        <v>123</v>
      </c>
      <c r="C431" s="97"/>
      <c r="D431" s="192"/>
      <c r="E431" s="174"/>
      <c r="F431" s="97"/>
      <c r="G431" s="192"/>
      <c r="H431" s="174"/>
      <c r="I431" s="97"/>
      <c r="J431" s="192"/>
      <c r="K431" s="174"/>
      <c r="L431" s="97"/>
      <c r="M431" s="192"/>
      <c r="N431" s="174"/>
      <c r="O431" s="97"/>
      <c r="P431" s="192"/>
      <c r="Q431" s="174"/>
      <c r="R431" s="97"/>
      <c r="S431" s="192"/>
      <c r="T431" s="174"/>
      <c r="U431" s="97"/>
      <c r="V431" s="192"/>
      <c r="W431" s="174"/>
      <c r="X431" s="97"/>
      <c r="Y431" s="192"/>
      <c r="Z431" s="174"/>
      <c r="AA431" s="97"/>
      <c r="AB431" s="192"/>
      <c r="AC431" s="174"/>
      <c r="AD431" s="97"/>
      <c r="AE431" s="192"/>
      <c r="AF431" s="174"/>
      <c r="AG431" s="97"/>
      <c r="AH431" s="192"/>
      <c r="AI431" s="174"/>
      <c r="AJ431" s="97"/>
      <c r="AK431" s="192"/>
      <c r="AL431" s="174"/>
      <c r="AM431" s="97"/>
      <c r="AN431" s="192"/>
      <c r="AO431" s="174"/>
      <c r="AP431" s="40"/>
      <c r="AQ431" s="40"/>
      <c r="AR431" s="40"/>
      <c r="AS431" s="40"/>
      <c r="AT431" s="40"/>
      <c r="AU431" s="40"/>
      <c r="AV431" s="40"/>
      <c r="AW431" s="40"/>
      <c r="AX431" s="40"/>
      <c r="AY431" s="40"/>
      <c r="AZ431" s="40"/>
      <c r="BA431" s="40"/>
      <c r="BB431" s="40"/>
      <c r="BC431" s="40"/>
      <c r="BD431" s="40"/>
      <c r="BE431" s="40"/>
      <c r="BF431" s="40"/>
      <c r="BG431" s="40"/>
      <c r="BH431" s="40"/>
      <c r="BI431" s="40"/>
    </row>
    <row r="432" ht="15.75" customHeight="1">
      <c r="A432" s="41" t="str">
        <f t="shared" si="8"/>
        <v>Déduction à la source</v>
      </c>
      <c r="B432" s="96" t="s">
        <v>124</v>
      </c>
      <c r="C432" s="96"/>
      <c r="D432" s="193"/>
      <c r="E432" s="182"/>
      <c r="F432" s="96"/>
      <c r="G432" s="193"/>
      <c r="H432" s="182"/>
      <c r="I432" s="96"/>
      <c r="J432" s="193"/>
      <c r="K432" s="182"/>
      <c r="L432" s="96"/>
      <c r="M432" s="193"/>
      <c r="N432" s="182"/>
      <c r="O432" s="96"/>
      <c r="P432" s="193"/>
      <c r="Q432" s="182"/>
      <c r="R432" s="96"/>
      <c r="S432" s="193"/>
      <c r="T432" s="256"/>
      <c r="U432" s="96"/>
      <c r="V432" s="193"/>
      <c r="W432" s="182"/>
      <c r="X432" s="96"/>
      <c r="Y432" s="193"/>
      <c r="Z432" s="182"/>
      <c r="AA432" s="96"/>
      <c r="AB432" s="193"/>
      <c r="AC432" s="182"/>
      <c r="AD432" s="96"/>
      <c r="AE432" s="193"/>
      <c r="AF432" s="182"/>
      <c r="AG432" s="96"/>
      <c r="AH432" s="193"/>
      <c r="AI432" s="182"/>
      <c r="AJ432" s="96"/>
      <c r="AK432" s="193"/>
      <c r="AL432" s="182"/>
      <c r="AM432" s="96"/>
      <c r="AN432" s="193"/>
      <c r="AO432" s="182"/>
      <c r="AP432" s="40"/>
      <c r="AQ432" s="40"/>
      <c r="AR432" s="40"/>
      <c r="AS432" s="40"/>
      <c r="AT432" s="40"/>
      <c r="AU432" s="40"/>
      <c r="AV432" s="40"/>
      <c r="AW432" s="40"/>
      <c r="AX432" s="40"/>
      <c r="AY432" s="40"/>
      <c r="AZ432" s="40"/>
      <c r="BA432" s="40"/>
      <c r="BB432" s="40"/>
      <c r="BC432" s="40"/>
      <c r="BD432" s="40"/>
      <c r="BE432" s="40"/>
      <c r="BF432" s="40"/>
      <c r="BG432" s="40"/>
      <c r="BH432" s="40"/>
      <c r="BI432" s="40"/>
    </row>
    <row r="433" ht="15.75" customHeight="1">
      <c r="A433" s="41" t="str">
        <f t="shared" si="8"/>
        <v>Bénéfices marginaux</v>
      </c>
      <c r="B433" s="96" t="s">
        <v>125</v>
      </c>
      <c r="C433" s="96"/>
      <c r="D433" s="193"/>
      <c r="E433" s="182"/>
      <c r="F433" s="96"/>
      <c r="G433" s="193"/>
      <c r="H433" s="182"/>
      <c r="I433" s="96"/>
      <c r="J433" s="193"/>
      <c r="K433" s="182"/>
      <c r="L433" s="96"/>
      <c r="M433" s="193"/>
      <c r="N433" s="182"/>
      <c r="O433" s="96"/>
      <c r="P433" s="193"/>
      <c r="Q433" s="182"/>
      <c r="R433" s="96"/>
      <c r="S433" s="193"/>
      <c r="T433" s="182"/>
      <c r="U433" s="96"/>
      <c r="V433" s="193"/>
      <c r="W433" s="182"/>
      <c r="X433" s="96"/>
      <c r="Y433" s="193"/>
      <c r="Z433" s="182"/>
      <c r="AA433" s="96"/>
      <c r="AB433" s="193"/>
      <c r="AC433" s="182"/>
      <c r="AD433" s="96"/>
      <c r="AE433" s="193"/>
      <c r="AF433" s="182"/>
      <c r="AG433" s="96"/>
      <c r="AH433" s="193"/>
      <c r="AI433" s="182"/>
      <c r="AJ433" s="96"/>
      <c r="AK433" s="193"/>
      <c r="AL433" s="182"/>
      <c r="AM433" s="96"/>
      <c r="AN433" s="193"/>
      <c r="AO433" s="182"/>
      <c r="AP433" s="40"/>
      <c r="AQ433" s="40"/>
      <c r="AR433" s="40"/>
      <c r="AS433" s="40"/>
      <c r="AT433" s="40"/>
      <c r="AU433" s="40"/>
      <c r="AV433" s="40"/>
      <c r="AW433" s="40"/>
      <c r="AX433" s="40"/>
      <c r="AY433" s="40"/>
      <c r="AZ433" s="40"/>
      <c r="BA433" s="40"/>
      <c r="BB433" s="40"/>
      <c r="BC433" s="40"/>
      <c r="BD433" s="40"/>
      <c r="BE433" s="40"/>
      <c r="BF433" s="40"/>
      <c r="BG433" s="40"/>
      <c r="BH433" s="40"/>
      <c r="BI433" s="40"/>
    </row>
    <row r="434" ht="15.75" customHeight="1">
      <c r="A434" s="41" t="str">
        <f t="shared" si="8"/>
        <v>Csst</v>
      </c>
      <c r="B434" s="96" t="s">
        <v>126</v>
      </c>
      <c r="C434" s="96"/>
      <c r="D434" s="193"/>
      <c r="E434" s="182"/>
      <c r="F434" s="96"/>
      <c r="G434" s="193"/>
      <c r="H434" s="182"/>
      <c r="I434" s="96"/>
      <c r="J434" s="193"/>
      <c r="K434" s="182"/>
      <c r="L434" s="96"/>
      <c r="M434" s="193"/>
      <c r="N434" s="182"/>
      <c r="O434" s="96"/>
      <c r="P434" s="193"/>
      <c r="Q434" s="182"/>
      <c r="R434" s="96"/>
      <c r="S434" s="193"/>
      <c r="T434" s="256"/>
      <c r="U434" s="96"/>
      <c r="V434" s="193"/>
      <c r="W434" s="182"/>
      <c r="X434" s="96"/>
      <c r="Y434" s="193"/>
      <c r="Z434" s="182"/>
      <c r="AA434" s="96"/>
      <c r="AB434" s="193"/>
      <c r="AC434" s="182"/>
      <c r="AD434" s="96"/>
      <c r="AE434" s="193"/>
      <c r="AF434" s="182"/>
      <c r="AG434" s="96"/>
      <c r="AH434" s="193"/>
      <c r="AI434" s="182"/>
      <c r="AJ434" s="96"/>
      <c r="AK434" s="193"/>
      <c r="AL434" s="182"/>
      <c r="AM434" s="96"/>
      <c r="AN434" s="193"/>
      <c r="AO434" s="182"/>
      <c r="AP434" s="40"/>
      <c r="AQ434" s="40"/>
      <c r="AR434" s="40"/>
      <c r="AS434" s="40"/>
      <c r="AT434" s="40"/>
      <c r="AU434" s="40"/>
      <c r="AV434" s="40"/>
      <c r="AW434" s="40"/>
      <c r="AX434" s="40"/>
      <c r="AY434" s="40"/>
      <c r="AZ434" s="40"/>
      <c r="BA434" s="40"/>
      <c r="BB434" s="40"/>
      <c r="BC434" s="40"/>
      <c r="BD434" s="40"/>
      <c r="BE434" s="40"/>
      <c r="BF434" s="40"/>
      <c r="BG434" s="40"/>
      <c r="BH434" s="40"/>
      <c r="BI434" s="40"/>
    </row>
    <row r="435" ht="15.75" customHeight="1">
      <c r="A435" s="41"/>
      <c r="B435" s="57"/>
      <c r="C435" s="96"/>
      <c r="D435" s="184"/>
      <c r="E435" s="182"/>
      <c r="F435" s="96"/>
      <c r="G435" s="184"/>
      <c r="H435" s="182"/>
      <c r="I435" s="96"/>
      <c r="J435" s="184"/>
      <c r="K435" s="182"/>
      <c r="L435" s="96"/>
      <c r="M435" s="184"/>
      <c r="N435" s="182"/>
      <c r="O435" s="96"/>
      <c r="P435" s="184"/>
      <c r="Q435" s="182"/>
      <c r="R435" s="96"/>
      <c r="S435" s="184"/>
      <c r="T435" s="182"/>
      <c r="U435" s="96"/>
      <c r="V435" s="184"/>
      <c r="W435" s="182"/>
      <c r="X435" s="96"/>
      <c r="Y435" s="184"/>
      <c r="Z435" s="182"/>
      <c r="AA435" s="96"/>
      <c r="AB435" s="184"/>
      <c r="AC435" s="182"/>
      <c r="AD435" s="96"/>
      <c r="AE435" s="184"/>
      <c r="AF435" s="182"/>
      <c r="AG435" s="96"/>
      <c r="AH435" s="184"/>
      <c r="AI435" s="182"/>
      <c r="AJ435" s="96"/>
      <c r="AK435" s="184"/>
      <c r="AL435" s="182"/>
      <c r="AM435" s="96"/>
      <c r="AN435" s="184"/>
      <c r="AO435" s="182"/>
      <c r="AP435" s="40"/>
      <c r="AQ435" s="40"/>
      <c r="AR435" s="40"/>
      <c r="AS435" s="40"/>
      <c r="AT435" s="40"/>
      <c r="AU435" s="40"/>
      <c r="AV435" s="40"/>
      <c r="AW435" s="40"/>
      <c r="AX435" s="40"/>
      <c r="AY435" s="40"/>
      <c r="AZ435" s="40"/>
      <c r="BA435" s="40"/>
      <c r="BB435" s="40"/>
      <c r="BC435" s="40"/>
      <c r="BD435" s="40"/>
      <c r="BE435" s="40"/>
      <c r="BF435" s="40"/>
      <c r="BG435" s="40"/>
      <c r="BH435" s="40"/>
      <c r="BI435" s="40"/>
    </row>
    <row r="436" ht="15.75" customHeight="1">
      <c r="A436" s="41" t="str">
        <f t="shared" ref="A436:A442" si="9">B436</f>
        <v>TOTAL PERSONNEL</v>
      </c>
      <c r="B436" s="187" t="s">
        <v>127</v>
      </c>
      <c r="C436" s="188"/>
      <c r="D436" s="194"/>
      <c r="E436" s="190"/>
      <c r="F436" s="188"/>
      <c r="G436" s="194"/>
      <c r="H436" s="190"/>
      <c r="I436" s="188"/>
      <c r="J436" s="194"/>
      <c r="K436" s="190"/>
      <c r="L436" s="188"/>
      <c r="M436" s="194"/>
      <c r="N436" s="190"/>
      <c r="O436" s="188"/>
      <c r="P436" s="194"/>
      <c r="Q436" s="190"/>
      <c r="R436" s="188"/>
      <c r="S436" s="194"/>
      <c r="T436" s="190"/>
      <c r="U436" s="188"/>
      <c r="V436" s="194"/>
      <c r="W436" s="190"/>
      <c r="X436" s="188"/>
      <c r="Y436" s="194"/>
      <c r="Z436" s="190"/>
      <c r="AA436" s="188"/>
      <c r="AB436" s="194"/>
      <c r="AC436" s="190"/>
      <c r="AD436" s="188"/>
      <c r="AE436" s="194"/>
      <c r="AF436" s="190"/>
      <c r="AG436" s="188"/>
      <c r="AH436" s="194"/>
      <c r="AI436" s="190"/>
      <c r="AJ436" s="188"/>
      <c r="AK436" s="194"/>
      <c r="AL436" s="190"/>
      <c r="AM436" s="188"/>
      <c r="AN436" s="194"/>
      <c r="AO436" s="190"/>
      <c r="AP436" s="40"/>
      <c r="AQ436" s="40"/>
      <c r="AR436" s="40"/>
      <c r="AS436" s="40"/>
      <c r="AT436" s="40"/>
      <c r="AU436" s="40"/>
      <c r="AV436" s="40"/>
      <c r="AW436" s="40"/>
      <c r="AX436" s="40"/>
      <c r="AY436" s="40"/>
      <c r="AZ436" s="40"/>
      <c r="BA436" s="40"/>
      <c r="BB436" s="40"/>
      <c r="BC436" s="40"/>
      <c r="BD436" s="40"/>
      <c r="BE436" s="40"/>
      <c r="BF436" s="40"/>
      <c r="BG436" s="40"/>
      <c r="BH436" s="40"/>
      <c r="BI436" s="40"/>
    </row>
    <row r="437" ht="15.75" customHeight="1">
      <c r="A437" s="41" t="str">
        <f t="shared" si="9"/>
        <v>Publicité 2</v>
      </c>
      <c r="B437" s="150" t="s">
        <v>128</v>
      </c>
      <c r="C437" s="150"/>
      <c r="D437" s="195"/>
      <c r="E437" s="196"/>
      <c r="F437" s="150"/>
      <c r="G437" s="195"/>
      <c r="H437" s="196"/>
      <c r="I437" s="150"/>
      <c r="J437" s="195"/>
      <c r="K437" s="196"/>
      <c r="L437" s="150"/>
      <c r="M437" s="195"/>
      <c r="N437" s="196"/>
      <c r="O437" s="150"/>
      <c r="P437" s="195"/>
      <c r="Q437" s="196"/>
      <c r="R437" s="150"/>
      <c r="S437" s="195"/>
      <c r="T437" s="196"/>
      <c r="U437" s="150"/>
      <c r="V437" s="195"/>
      <c r="W437" s="196"/>
      <c r="X437" s="150"/>
      <c r="Y437" s="195"/>
      <c r="Z437" s="196"/>
      <c r="AA437" s="150"/>
      <c r="AB437" s="195"/>
      <c r="AC437" s="196"/>
      <c r="AD437" s="150"/>
      <c r="AE437" s="195"/>
      <c r="AF437" s="196"/>
      <c r="AG437" s="150"/>
      <c r="AH437" s="195"/>
      <c r="AI437" s="196"/>
      <c r="AJ437" s="150"/>
      <c r="AK437" s="195"/>
      <c r="AL437" s="196"/>
      <c r="AM437" s="150"/>
      <c r="AN437" s="195"/>
      <c r="AO437" s="196"/>
      <c r="AP437" s="40"/>
      <c r="AQ437" s="40"/>
      <c r="AR437" s="40"/>
      <c r="AS437" s="40"/>
      <c r="AT437" s="40"/>
      <c r="AU437" s="40"/>
      <c r="AV437" s="40"/>
      <c r="AW437" s="40"/>
      <c r="AX437" s="40"/>
      <c r="AY437" s="40"/>
      <c r="AZ437" s="40"/>
      <c r="BA437" s="40"/>
      <c r="BB437" s="40"/>
      <c r="BC437" s="40"/>
      <c r="BD437" s="40"/>
      <c r="BE437" s="40"/>
      <c r="BF437" s="40"/>
      <c r="BG437" s="40"/>
      <c r="BH437" s="40"/>
      <c r="BI437" s="40"/>
    </row>
    <row r="438" ht="15.75" customHeight="1">
      <c r="A438" s="41" t="str">
        <f t="shared" si="9"/>
        <v>Service gratuit 2</v>
      </c>
      <c r="B438" s="96" t="s">
        <v>129</v>
      </c>
      <c r="C438" s="96"/>
      <c r="D438" s="184"/>
      <c r="E438" s="182"/>
      <c r="F438" s="96"/>
      <c r="G438" s="184"/>
      <c r="H438" s="182"/>
      <c r="I438" s="96"/>
      <c r="J438" s="184"/>
      <c r="K438" s="182"/>
      <c r="L438" s="96"/>
      <c r="M438" s="184"/>
      <c r="N438" s="182"/>
      <c r="O438" s="96"/>
      <c r="P438" s="184"/>
      <c r="Q438" s="182"/>
      <c r="R438" s="96"/>
      <c r="S438" s="184"/>
      <c r="T438" s="182"/>
      <c r="U438" s="96"/>
      <c r="V438" s="184"/>
      <c r="W438" s="182"/>
      <c r="X438" s="96"/>
      <c r="Y438" s="184"/>
      <c r="Z438" s="182"/>
      <c r="AA438" s="96"/>
      <c r="AB438" s="184"/>
      <c r="AC438" s="182"/>
      <c r="AD438" s="96"/>
      <c r="AE438" s="184"/>
      <c r="AF438" s="182"/>
      <c r="AG438" s="96"/>
      <c r="AH438" s="184"/>
      <c r="AI438" s="182"/>
      <c r="AJ438" s="96"/>
      <c r="AK438" s="184"/>
      <c r="AL438" s="182"/>
      <c r="AM438" s="96"/>
      <c r="AN438" s="184"/>
      <c r="AO438" s="182"/>
      <c r="AP438" s="40"/>
      <c r="AQ438" s="40"/>
      <c r="AR438" s="40"/>
      <c r="AS438" s="40"/>
      <c r="AT438" s="40"/>
      <c r="AU438" s="40"/>
      <c r="AV438" s="40"/>
      <c r="AW438" s="40"/>
      <c r="AX438" s="40"/>
      <c r="AY438" s="40"/>
      <c r="AZ438" s="40"/>
      <c r="BA438" s="40"/>
      <c r="BB438" s="40"/>
      <c r="BC438" s="40"/>
      <c r="BD438" s="40"/>
      <c r="BE438" s="40"/>
      <c r="BF438" s="40"/>
      <c r="BG438" s="40"/>
      <c r="BH438" s="40"/>
      <c r="BI438" s="40"/>
    </row>
    <row r="439" ht="15.75" customHeight="1">
      <c r="A439" s="41" t="str">
        <f t="shared" si="9"/>
        <v>Frais véhicules de cie</v>
      </c>
      <c r="B439" s="97" t="s">
        <v>130</v>
      </c>
      <c r="C439" s="97"/>
      <c r="D439" s="186"/>
      <c r="E439" s="174"/>
      <c r="F439" s="97"/>
      <c r="G439" s="186"/>
      <c r="H439" s="174"/>
      <c r="I439" s="97"/>
      <c r="J439" s="186"/>
      <c r="K439" s="174"/>
      <c r="L439" s="97"/>
      <c r="M439" s="186"/>
      <c r="N439" s="174"/>
      <c r="O439" s="97"/>
      <c r="P439" s="186"/>
      <c r="Q439" s="174"/>
      <c r="R439" s="97"/>
      <c r="S439" s="186"/>
      <c r="T439" s="174"/>
      <c r="U439" s="97"/>
      <c r="V439" s="186"/>
      <c r="W439" s="174"/>
      <c r="X439" s="97"/>
      <c r="Y439" s="186"/>
      <c r="Z439" s="174"/>
      <c r="AA439" s="97"/>
      <c r="AB439" s="186"/>
      <c r="AC439" s="174"/>
      <c r="AD439" s="97"/>
      <c r="AE439" s="186"/>
      <c r="AF439" s="174"/>
      <c r="AG439" s="97"/>
      <c r="AH439" s="186"/>
      <c r="AI439" s="174"/>
      <c r="AJ439" s="97"/>
      <c r="AK439" s="186"/>
      <c r="AL439" s="174"/>
      <c r="AM439" s="97"/>
      <c r="AN439" s="186"/>
      <c r="AO439" s="174"/>
      <c r="AP439" s="40"/>
      <c r="AQ439" s="40"/>
      <c r="AR439" s="40"/>
      <c r="AS439" s="40"/>
      <c r="AT439" s="40"/>
      <c r="AU439" s="40"/>
      <c r="AV439" s="40"/>
      <c r="AW439" s="40"/>
      <c r="AX439" s="40"/>
      <c r="AY439" s="40"/>
      <c r="AZ439" s="40"/>
      <c r="BA439" s="40"/>
      <c r="BB439" s="40"/>
      <c r="BC439" s="40"/>
      <c r="BD439" s="40"/>
      <c r="BE439" s="40"/>
      <c r="BF439" s="40"/>
      <c r="BG439" s="40"/>
      <c r="BH439" s="40"/>
      <c r="BI439" s="40"/>
    </row>
    <row r="440" ht="15.75" customHeight="1">
      <c r="A440" s="41" t="str">
        <f t="shared" si="9"/>
        <v>Informatique</v>
      </c>
      <c r="B440" s="96" t="s">
        <v>131</v>
      </c>
      <c r="C440" s="96"/>
      <c r="D440" s="184"/>
      <c r="E440" s="182"/>
      <c r="F440" s="96"/>
      <c r="G440" s="184"/>
      <c r="H440" s="182"/>
      <c r="I440" s="96"/>
      <c r="J440" s="184"/>
      <c r="K440" s="182"/>
      <c r="L440" s="96"/>
      <c r="M440" s="184"/>
      <c r="N440" s="182"/>
      <c r="O440" s="96"/>
      <c r="P440" s="184"/>
      <c r="Q440" s="182"/>
      <c r="R440" s="96"/>
      <c r="S440" s="184"/>
      <c r="T440" s="182"/>
      <c r="U440" s="96"/>
      <c r="V440" s="184"/>
      <c r="W440" s="182"/>
      <c r="X440" s="96"/>
      <c r="Y440" s="184"/>
      <c r="Z440" s="182"/>
      <c r="AA440" s="96"/>
      <c r="AB440" s="184"/>
      <c r="AC440" s="182"/>
      <c r="AD440" s="96"/>
      <c r="AE440" s="184"/>
      <c r="AF440" s="182"/>
      <c r="AG440" s="96"/>
      <c r="AH440" s="184"/>
      <c r="AI440" s="182"/>
      <c r="AJ440" s="96"/>
      <c r="AK440" s="184"/>
      <c r="AL440" s="182"/>
      <c r="AM440" s="96"/>
      <c r="AN440" s="184"/>
      <c r="AO440" s="182"/>
      <c r="AP440" s="40"/>
      <c r="AQ440" s="40"/>
      <c r="AR440" s="40"/>
      <c r="AS440" s="40"/>
      <c r="AT440" s="40"/>
      <c r="AU440" s="40"/>
      <c r="AV440" s="40"/>
      <c r="AW440" s="40"/>
      <c r="AX440" s="40"/>
      <c r="AY440" s="40"/>
      <c r="AZ440" s="40"/>
      <c r="BA440" s="40"/>
      <c r="BB440" s="40"/>
      <c r="BC440" s="40"/>
      <c r="BD440" s="40"/>
      <c r="BE440" s="40"/>
      <c r="BF440" s="40"/>
      <c r="BG440" s="40"/>
      <c r="BH440" s="40"/>
      <c r="BI440" s="40"/>
    </row>
    <row r="441" ht="15.75" customHeight="1">
      <c r="A441" s="41" t="str">
        <f t="shared" si="9"/>
        <v>Frais de déplacement</v>
      </c>
      <c r="B441" s="96" t="s">
        <v>132</v>
      </c>
      <c r="C441" s="96"/>
      <c r="D441" s="184"/>
      <c r="E441" s="182"/>
      <c r="F441" s="96"/>
      <c r="G441" s="184"/>
      <c r="H441" s="182"/>
      <c r="I441" s="96"/>
      <c r="J441" s="184"/>
      <c r="K441" s="182"/>
      <c r="L441" s="96"/>
      <c r="M441" s="184"/>
      <c r="N441" s="182"/>
      <c r="O441" s="96"/>
      <c r="P441" s="184"/>
      <c r="Q441" s="182"/>
      <c r="R441" s="96"/>
      <c r="S441" s="184"/>
      <c r="T441" s="182"/>
      <c r="U441" s="96"/>
      <c r="V441" s="184"/>
      <c r="W441" s="182"/>
      <c r="X441" s="96"/>
      <c r="Y441" s="184"/>
      <c r="Z441" s="182"/>
      <c r="AA441" s="96"/>
      <c r="AB441" s="184"/>
      <c r="AC441" s="182"/>
      <c r="AD441" s="96"/>
      <c r="AE441" s="184"/>
      <c r="AF441" s="182"/>
      <c r="AG441" s="96"/>
      <c r="AH441" s="184"/>
      <c r="AI441" s="182"/>
      <c r="AJ441" s="96"/>
      <c r="AK441" s="184"/>
      <c r="AL441" s="182"/>
      <c r="AM441" s="96"/>
      <c r="AN441" s="184"/>
      <c r="AO441" s="182"/>
      <c r="AP441" s="40"/>
      <c r="AQ441" s="40"/>
      <c r="AR441" s="40"/>
      <c r="AS441" s="40"/>
      <c r="AT441" s="40"/>
      <c r="AU441" s="40"/>
      <c r="AV441" s="40"/>
      <c r="AW441" s="40"/>
      <c r="AX441" s="40"/>
      <c r="AY441" s="40"/>
      <c r="AZ441" s="40"/>
      <c r="BA441" s="40"/>
      <c r="BB441" s="40"/>
      <c r="BC441" s="40"/>
      <c r="BD441" s="40"/>
      <c r="BE441" s="40"/>
      <c r="BF441" s="40"/>
      <c r="BG441" s="40"/>
      <c r="BH441" s="40"/>
      <c r="BI441" s="40"/>
    </row>
    <row r="442" ht="15.75" customHeight="1">
      <c r="A442" s="41" t="str">
        <f t="shared" si="9"/>
        <v>Services extérieurs</v>
      </c>
      <c r="B442" s="96" t="s">
        <v>133</v>
      </c>
      <c r="C442" s="97"/>
      <c r="D442" s="186"/>
      <c r="E442" s="174"/>
      <c r="F442" s="97"/>
      <c r="G442" s="186"/>
      <c r="H442" s="174"/>
      <c r="I442" s="97"/>
      <c r="J442" s="186"/>
      <c r="K442" s="174"/>
      <c r="L442" s="97"/>
      <c r="M442" s="186"/>
      <c r="N442" s="174"/>
      <c r="O442" s="97"/>
      <c r="P442" s="186"/>
      <c r="Q442" s="174"/>
      <c r="R442" s="97"/>
      <c r="S442" s="186"/>
      <c r="T442" s="174"/>
      <c r="U442" s="97"/>
      <c r="V442" s="186"/>
      <c r="W442" s="174"/>
      <c r="X442" s="97"/>
      <c r="Y442" s="186"/>
      <c r="Z442" s="174"/>
      <c r="AA442" s="97"/>
      <c r="AB442" s="186"/>
      <c r="AC442" s="174"/>
      <c r="AD442" s="97"/>
      <c r="AE442" s="186"/>
      <c r="AF442" s="174"/>
      <c r="AG442" s="97"/>
      <c r="AH442" s="186"/>
      <c r="AI442" s="174"/>
      <c r="AJ442" s="97"/>
      <c r="AK442" s="186"/>
      <c r="AL442" s="174"/>
      <c r="AM442" s="97"/>
      <c r="AN442" s="186"/>
      <c r="AO442" s="174"/>
      <c r="AP442" s="40"/>
      <c r="AQ442" s="40"/>
      <c r="AR442" s="40"/>
      <c r="AS442" s="40"/>
      <c r="AT442" s="40"/>
      <c r="AU442" s="40"/>
      <c r="AV442" s="40"/>
      <c r="AW442" s="40"/>
      <c r="AX442" s="40"/>
      <c r="AY442" s="40"/>
      <c r="AZ442" s="40"/>
      <c r="BA442" s="40"/>
      <c r="BB442" s="40"/>
      <c r="BC442" s="40"/>
      <c r="BD442" s="40"/>
      <c r="BE442" s="40"/>
      <c r="BF442" s="40"/>
      <c r="BG442" s="40"/>
      <c r="BH442" s="40"/>
      <c r="BI442" s="40"/>
    </row>
    <row r="443" ht="15.75" customHeight="1">
      <c r="A443" s="41"/>
      <c r="B443" s="96" t="s">
        <v>173</v>
      </c>
      <c r="C443" s="96"/>
      <c r="D443" s="184"/>
      <c r="E443" s="182"/>
      <c r="F443" s="96"/>
      <c r="G443" s="184"/>
      <c r="H443" s="182"/>
      <c r="I443" s="96"/>
      <c r="J443" s="184"/>
      <c r="K443" s="182"/>
      <c r="L443" s="96"/>
      <c r="M443" s="184"/>
      <c r="N443" s="182"/>
      <c r="O443" s="96"/>
      <c r="P443" s="184"/>
      <c r="Q443" s="182"/>
      <c r="R443" s="96"/>
      <c r="S443" s="184"/>
      <c r="T443" s="182"/>
      <c r="U443" s="96"/>
      <c r="V443" s="184"/>
      <c r="W443" s="182"/>
      <c r="X443" s="96"/>
      <c r="Y443" s="184"/>
      <c r="Z443" s="182"/>
      <c r="AA443" s="96"/>
      <c r="AB443" s="184"/>
      <c r="AC443" s="182"/>
      <c r="AD443" s="96"/>
      <c r="AE443" s="184"/>
      <c r="AF443" s="182"/>
      <c r="AG443" s="96"/>
      <c r="AH443" s="184"/>
      <c r="AI443" s="182"/>
      <c r="AJ443" s="96"/>
      <c r="AK443" s="184"/>
      <c r="AL443" s="182"/>
      <c r="AM443" s="96"/>
      <c r="AN443" s="184"/>
      <c r="AO443" s="182"/>
      <c r="AP443" s="40"/>
      <c r="AQ443" s="40"/>
      <c r="AR443" s="40"/>
      <c r="AS443" s="40"/>
      <c r="AT443" s="40"/>
      <c r="AU443" s="40"/>
      <c r="AV443" s="40"/>
      <c r="AW443" s="40"/>
      <c r="AX443" s="40"/>
      <c r="AY443" s="40"/>
      <c r="AZ443" s="40"/>
      <c r="BA443" s="40"/>
      <c r="BB443" s="40"/>
      <c r="BC443" s="40"/>
      <c r="BD443" s="40"/>
      <c r="BE443" s="40"/>
      <c r="BF443" s="40"/>
      <c r="BG443" s="40"/>
      <c r="BH443" s="40"/>
      <c r="BI443" s="40"/>
    </row>
    <row r="444" ht="15.75" customHeight="1">
      <c r="A444" s="41" t="str">
        <f t="shared" ref="A444:A486" si="10">B444</f>
        <v>Fournitures autres</v>
      </c>
      <c r="B444" s="150" t="s">
        <v>134</v>
      </c>
      <c r="C444" s="96"/>
      <c r="D444" s="184"/>
      <c r="E444" s="182"/>
      <c r="F444" s="96"/>
      <c r="G444" s="184"/>
      <c r="H444" s="182"/>
      <c r="I444" s="96"/>
      <c r="J444" s="184"/>
      <c r="K444" s="182"/>
      <c r="L444" s="96"/>
      <c r="M444" s="184"/>
      <c r="N444" s="182"/>
      <c r="O444" s="96"/>
      <c r="P444" s="184"/>
      <c r="Q444" s="182"/>
      <c r="R444" s="96"/>
      <c r="S444" s="184"/>
      <c r="T444" s="182"/>
      <c r="U444" s="96"/>
      <c r="V444" s="184"/>
      <c r="W444" s="182"/>
      <c r="X444" s="96"/>
      <c r="Y444" s="184"/>
      <c r="Z444" s="182"/>
      <c r="AA444" s="96"/>
      <c r="AB444" s="184"/>
      <c r="AC444" s="182"/>
      <c r="AD444" s="96"/>
      <c r="AE444" s="184"/>
      <c r="AF444" s="182"/>
      <c r="AG444" s="96"/>
      <c r="AH444" s="184"/>
      <c r="AI444" s="182"/>
      <c r="AJ444" s="96"/>
      <c r="AK444" s="184"/>
      <c r="AL444" s="182"/>
      <c r="AM444" s="96"/>
      <c r="AN444" s="184"/>
      <c r="AO444" s="182"/>
      <c r="AP444" s="40"/>
      <c r="AQ444" s="40"/>
      <c r="AR444" s="40"/>
      <c r="AS444" s="40"/>
      <c r="AT444" s="40"/>
      <c r="AU444" s="40"/>
      <c r="AV444" s="40"/>
      <c r="AW444" s="40"/>
      <c r="AX444" s="40"/>
      <c r="AY444" s="40"/>
      <c r="AZ444" s="40"/>
      <c r="BA444" s="40"/>
      <c r="BB444" s="40"/>
      <c r="BC444" s="40"/>
      <c r="BD444" s="40"/>
      <c r="BE444" s="40"/>
      <c r="BF444" s="40"/>
      <c r="BG444" s="40"/>
      <c r="BH444" s="40"/>
      <c r="BI444" s="40"/>
    </row>
    <row r="445" ht="15.75" customHeight="1">
      <c r="A445" s="41" t="str">
        <f t="shared" si="10"/>
        <v>Uniformes</v>
      </c>
      <c r="B445" s="96" t="s">
        <v>135</v>
      </c>
      <c r="C445" s="96"/>
      <c r="D445" s="184"/>
      <c r="E445" s="182"/>
      <c r="F445" s="96"/>
      <c r="G445" s="184"/>
      <c r="H445" s="182"/>
      <c r="I445" s="96"/>
      <c r="J445" s="184"/>
      <c r="K445" s="182"/>
      <c r="L445" s="96"/>
      <c r="M445" s="184"/>
      <c r="N445" s="182"/>
      <c r="O445" s="96"/>
      <c r="P445" s="184"/>
      <c r="Q445" s="182"/>
      <c r="R445" s="96"/>
      <c r="S445" s="184"/>
      <c r="T445" s="182"/>
      <c r="U445" s="96"/>
      <c r="V445" s="184"/>
      <c r="W445" s="182"/>
      <c r="X445" s="96"/>
      <c r="Y445" s="184"/>
      <c r="Z445" s="182"/>
      <c r="AA445" s="96"/>
      <c r="AB445" s="184"/>
      <c r="AC445" s="182"/>
      <c r="AD445" s="96"/>
      <c r="AE445" s="184"/>
      <c r="AF445" s="182"/>
      <c r="AG445" s="96"/>
      <c r="AH445" s="184"/>
      <c r="AI445" s="182"/>
      <c r="AJ445" s="96"/>
      <c r="AK445" s="184"/>
      <c r="AL445" s="182"/>
      <c r="AM445" s="96"/>
      <c r="AN445" s="184"/>
      <c r="AO445" s="182"/>
      <c r="AP445" s="40"/>
      <c r="AQ445" s="40"/>
      <c r="AR445" s="40"/>
      <c r="AS445" s="40"/>
      <c r="AT445" s="40"/>
      <c r="AU445" s="40"/>
      <c r="AV445" s="40"/>
      <c r="AW445" s="40"/>
      <c r="AX445" s="40"/>
      <c r="AY445" s="40"/>
      <c r="AZ445" s="40"/>
      <c r="BA445" s="40"/>
      <c r="BB445" s="40"/>
      <c r="BC445" s="40"/>
      <c r="BD445" s="40"/>
      <c r="BE445" s="40"/>
      <c r="BF445" s="40"/>
      <c r="BG445" s="40"/>
      <c r="BH445" s="40"/>
      <c r="BI445" s="40"/>
    </row>
    <row r="446" ht="15.75" customHeight="1">
      <c r="A446" s="41" t="str">
        <f t="shared" si="10"/>
        <v>Papeterie</v>
      </c>
      <c r="B446" s="96" t="s">
        <v>136</v>
      </c>
      <c r="C446" s="96"/>
      <c r="D446" s="184"/>
      <c r="E446" s="182"/>
      <c r="F446" s="96"/>
      <c r="G446" s="184"/>
      <c r="H446" s="182"/>
      <c r="I446" s="96"/>
      <c r="J446" s="184"/>
      <c r="K446" s="182"/>
      <c r="L446" s="96"/>
      <c r="M446" s="184"/>
      <c r="N446" s="182"/>
      <c r="O446" s="96"/>
      <c r="P446" s="184"/>
      <c r="Q446" s="182"/>
      <c r="R446" s="96"/>
      <c r="S446" s="184"/>
      <c r="T446" s="182"/>
      <c r="U446" s="96"/>
      <c r="V446" s="184"/>
      <c r="W446" s="182"/>
      <c r="X446" s="96"/>
      <c r="Y446" s="184"/>
      <c r="Z446" s="182"/>
      <c r="AA446" s="96"/>
      <c r="AB446" s="184"/>
      <c r="AC446" s="182"/>
      <c r="AD446" s="96"/>
      <c r="AE446" s="184"/>
      <c r="AF446" s="182"/>
      <c r="AG446" s="96"/>
      <c r="AH446" s="184"/>
      <c r="AI446" s="182"/>
      <c r="AJ446" s="96"/>
      <c r="AK446" s="184"/>
      <c r="AL446" s="182"/>
      <c r="AM446" s="96"/>
      <c r="AN446" s="184"/>
      <c r="AO446" s="182"/>
      <c r="AP446" s="40"/>
      <c r="AQ446" s="40"/>
      <c r="AR446" s="40"/>
      <c r="AS446" s="40"/>
      <c r="AT446" s="40"/>
      <c r="AU446" s="40"/>
      <c r="AV446" s="40"/>
      <c r="AW446" s="40"/>
      <c r="AX446" s="40"/>
      <c r="AY446" s="40"/>
      <c r="AZ446" s="40"/>
      <c r="BA446" s="40"/>
      <c r="BB446" s="40"/>
      <c r="BC446" s="40"/>
      <c r="BD446" s="40"/>
      <c r="BE446" s="40"/>
      <c r="BF446" s="40"/>
      <c r="BG446" s="40"/>
      <c r="BH446" s="40"/>
      <c r="BI446" s="40"/>
    </row>
    <row r="447" ht="15.75" customHeight="1">
      <c r="A447" s="41" t="str">
        <f t="shared" si="10"/>
        <v>Téléphone</v>
      </c>
      <c r="B447" s="96" t="s">
        <v>137</v>
      </c>
      <c r="C447" s="96"/>
      <c r="D447" s="184"/>
      <c r="E447" s="182"/>
      <c r="F447" s="96"/>
      <c r="G447" s="184"/>
      <c r="H447" s="182"/>
      <c r="I447" s="96"/>
      <c r="J447" s="184"/>
      <c r="K447" s="182"/>
      <c r="L447" s="96"/>
      <c r="M447" s="184"/>
      <c r="N447" s="182"/>
      <c r="O447" s="96"/>
      <c r="P447" s="184"/>
      <c r="Q447" s="182"/>
      <c r="R447" s="96"/>
      <c r="S447" s="184"/>
      <c r="T447" s="182"/>
      <c r="U447" s="96"/>
      <c r="V447" s="184"/>
      <c r="W447" s="182"/>
      <c r="X447" s="96"/>
      <c r="Y447" s="184"/>
      <c r="Z447" s="182"/>
      <c r="AA447" s="96"/>
      <c r="AB447" s="184"/>
      <c r="AC447" s="182"/>
      <c r="AD447" s="96"/>
      <c r="AE447" s="184"/>
      <c r="AF447" s="182"/>
      <c r="AG447" s="96"/>
      <c r="AH447" s="184"/>
      <c r="AI447" s="182"/>
      <c r="AJ447" s="96"/>
      <c r="AK447" s="184"/>
      <c r="AL447" s="182"/>
      <c r="AM447" s="96"/>
      <c r="AN447" s="184"/>
      <c r="AO447" s="182"/>
      <c r="AP447" s="40"/>
      <c r="AQ447" s="40"/>
      <c r="AR447" s="40"/>
      <c r="AS447" s="40"/>
      <c r="AT447" s="40"/>
      <c r="AU447" s="40"/>
      <c r="AV447" s="40"/>
      <c r="AW447" s="40"/>
      <c r="AX447" s="40"/>
      <c r="AY447" s="40"/>
      <c r="AZ447" s="40"/>
      <c r="BA447" s="40"/>
      <c r="BB447" s="40"/>
      <c r="BC447" s="40"/>
      <c r="BD447" s="40"/>
      <c r="BE447" s="40"/>
      <c r="BF447" s="40"/>
      <c r="BG447" s="40"/>
      <c r="BH447" s="40"/>
      <c r="BI447" s="40"/>
    </row>
    <row r="448" ht="15.75" customHeight="1">
      <c r="A448" s="41" t="str">
        <f t="shared" si="10"/>
        <v>Frais postaux</v>
      </c>
      <c r="B448" s="96" t="s">
        <v>138</v>
      </c>
      <c r="C448" s="96"/>
      <c r="D448" s="184"/>
      <c r="E448" s="182"/>
      <c r="F448" s="96"/>
      <c r="G448" s="184"/>
      <c r="H448" s="182"/>
      <c r="I448" s="96"/>
      <c r="J448" s="184"/>
      <c r="K448" s="182"/>
      <c r="L448" s="96"/>
      <c r="M448" s="184"/>
      <c r="N448" s="182"/>
      <c r="O448" s="96"/>
      <c r="P448" s="184"/>
      <c r="Q448" s="182"/>
      <c r="R448" s="96"/>
      <c r="S448" s="184"/>
      <c r="T448" s="182"/>
      <c r="U448" s="96"/>
      <c r="V448" s="184"/>
      <c r="W448" s="182"/>
      <c r="X448" s="96"/>
      <c r="Y448" s="184"/>
      <c r="Z448" s="182"/>
      <c r="AA448" s="96"/>
      <c r="AB448" s="184"/>
      <c r="AC448" s="182"/>
      <c r="AD448" s="96"/>
      <c r="AE448" s="184"/>
      <c r="AF448" s="182"/>
      <c r="AG448" s="96"/>
      <c r="AH448" s="184"/>
      <c r="AI448" s="182"/>
      <c r="AJ448" s="96"/>
      <c r="AK448" s="184"/>
      <c r="AL448" s="182"/>
      <c r="AM448" s="96"/>
      <c r="AN448" s="184"/>
      <c r="AO448" s="182"/>
      <c r="AP448" s="40"/>
      <c r="AQ448" s="40"/>
      <c r="AR448" s="40"/>
      <c r="AS448" s="40"/>
      <c r="AT448" s="40"/>
      <c r="AU448" s="40"/>
      <c r="AV448" s="40"/>
      <c r="AW448" s="40"/>
      <c r="AX448" s="40"/>
      <c r="AY448" s="40"/>
      <c r="AZ448" s="40"/>
      <c r="BA448" s="40"/>
      <c r="BB448" s="40"/>
      <c r="BC448" s="40"/>
      <c r="BD448" s="40"/>
      <c r="BE448" s="40"/>
      <c r="BF448" s="40"/>
      <c r="BG448" s="40"/>
      <c r="BH448" s="40"/>
      <c r="BI448" s="40"/>
    </row>
    <row r="449" ht="15.75" customHeight="1">
      <c r="A449" s="41" t="str">
        <f t="shared" si="10"/>
        <v>Divers</v>
      </c>
      <c r="B449" s="96" t="s">
        <v>139</v>
      </c>
      <c r="C449" s="96"/>
      <c r="D449" s="184"/>
      <c r="E449" s="182"/>
      <c r="F449" s="96"/>
      <c r="G449" s="184"/>
      <c r="H449" s="182"/>
      <c r="I449" s="96"/>
      <c r="J449" s="184"/>
      <c r="K449" s="182"/>
      <c r="L449" s="96"/>
      <c r="M449" s="184"/>
      <c r="N449" s="182"/>
      <c r="O449" s="96"/>
      <c r="P449" s="184"/>
      <c r="Q449" s="182"/>
      <c r="R449" s="96"/>
      <c r="S449" s="184"/>
      <c r="T449" s="182"/>
      <c r="U449" s="96"/>
      <c r="V449" s="184"/>
      <c r="W449" s="182"/>
      <c r="X449" s="96"/>
      <c r="Y449" s="184"/>
      <c r="Z449" s="182"/>
      <c r="AA449" s="96"/>
      <c r="AB449" s="184"/>
      <c r="AC449" s="182"/>
      <c r="AD449" s="96"/>
      <c r="AE449" s="184"/>
      <c r="AF449" s="182"/>
      <c r="AG449" s="96"/>
      <c r="AH449" s="184"/>
      <c r="AI449" s="182"/>
      <c r="AJ449" s="96"/>
      <c r="AK449" s="184"/>
      <c r="AL449" s="182"/>
      <c r="AM449" s="96"/>
      <c r="AN449" s="184"/>
      <c r="AO449" s="182"/>
      <c r="AP449" s="40"/>
      <c r="AQ449" s="40"/>
      <c r="AR449" s="40"/>
      <c r="AS449" s="40"/>
      <c r="AT449" s="40"/>
      <c r="AU449" s="40"/>
      <c r="AV449" s="40"/>
      <c r="AW449" s="40"/>
      <c r="AX449" s="40"/>
      <c r="AY449" s="40"/>
      <c r="AZ449" s="40"/>
      <c r="BA449" s="40"/>
      <c r="BB449" s="40"/>
      <c r="BC449" s="40"/>
      <c r="BD449" s="40"/>
      <c r="BE449" s="40"/>
      <c r="BF449" s="40"/>
      <c r="BG449" s="40"/>
      <c r="BH449" s="40"/>
      <c r="BI449" s="40"/>
    </row>
    <row r="450" ht="15.75" customHeight="1">
      <c r="A450" s="41" t="str">
        <f t="shared" si="10"/>
        <v>Formation</v>
      </c>
      <c r="B450" s="96" t="s">
        <v>140</v>
      </c>
      <c r="C450" s="96"/>
      <c r="D450" s="184"/>
      <c r="E450" s="182"/>
      <c r="F450" s="96"/>
      <c r="G450" s="184"/>
      <c r="H450" s="182"/>
      <c r="I450" s="96"/>
      <c r="J450" s="184"/>
      <c r="K450" s="182"/>
      <c r="L450" s="96"/>
      <c r="M450" s="184"/>
      <c r="N450" s="182"/>
      <c r="O450" s="96"/>
      <c r="P450" s="184"/>
      <c r="Q450" s="182"/>
      <c r="R450" s="96"/>
      <c r="S450" s="184"/>
      <c r="T450" s="182"/>
      <c r="U450" s="96"/>
      <c r="V450" s="184"/>
      <c r="W450" s="182"/>
      <c r="X450" s="96"/>
      <c r="Y450" s="184"/>
      <c r="Z450" s="182"/>
      <c r="AA450" s="96"/>
      <c r="AB450" s="184"/>
      <c r="AC450" s="182"/>
      <c r="AD450" s="96"/>
      <c r="AE450" s="184"/>
      <c r="AF450" s="182"/>
      <c r="AG450" s="96"/>
      <c r="AH450" s="184"/>
      <c r="AI450" s="182"/>
      <c r="AJ450" s="96"/>
      <c r="AK450" s="184"/>
      <c r="AL450" s="182"/>
      <c r="AM450" s="96"/>
      <c r="AN450" s="184"/>
      <c r="AO450" s="182"/>
      <c r="AP450" s="40"/>
      <c r="AQ450" s="40"/>
      <c r="AR450" s="40"/>
      <c r="AS450" s="40"/>
      <c r="AT450" s="40"/>
      <c r="AU450" s="40"/>
      <c r="AV450" s="40"/>
      <c r="AW450" s="40"/>
      <c r="AX450" s="40"/>
      <c r="AY450" s="40"/>
      <c r="AZ450" s="40"/>
      <c r="BA450" s="40"/>
      <c r="BB450" s="40"/>
      <c r="BC450" s="40"/>
      <c r="BD450" s="40"/>
      <c r="BE450" s="40"/>
      <c r="BF450" s="40"/>
      <c r="BG450" s="40"/>
      <c r="BH450" s="40"/>
      <c r="BI450" s="40"/>
    </row>
    <row r="451" ht="15.75" customHeight="1">
      <c r="A451" s="41" t="str">
        <f t="shared" si="10"/>
        <v>Frais bancaires</v>
      </c>
      <c r="B451" s="96" t="s">
        <v>141</v>
      </c>
      <c r="C451" s="96"/>
      <c r="D451" s="184"/>
      <c r="E451" s="182"/>
      <c r="F451" s="96"/>
      <c r="G451" s="184"/>
      <c r="H451" s="182"/>
      <c r="I451" s="96"/>
      <c r="J451" s="184"/>
      <c r="K451" s="182"/>
      <c r="L451" s="96"/>
      <c r="M451" s="184"/>
      <c r="N451" s="182"/>
      <c r="O451" s="96"/>
      <c r="P451" s="184"/>
      <c r="Q451" s="182"/>
      <c r="R451" s="96"/>
      <c r="S451" s="184"/>
      <c r="T451" s="182"/>
      <c r="U451" s="96"/>
      <c r="V451" s="184"/>
      <c r="W451" s="182"/>
      <c r="X451" s="96"/>
      <c r="Y451" s="184"/>
      <c r="Z451" s="182"/>
      <c r="AA451" s="96"/>
      <c r="AB451" s="184"/>
      <c r="AC451" s="182"/>
      <c r="AD451" s="96"/>
      <c r="AE451" s="184"/>
      <c r="AF451" s="182"/>
      <c r="AG451" s="96"/>
      <c r="AH451" s="184"/>
      <c r="AI451" s="182"/>
      <c r="AJ451" s="96"/>
      <c r="AK451" s="184"/>
      <c r="AL451" s="182"/>
      <c r="AM451" s="96"/>
      <c r="AN451" s="184"/>
      <c r="AO451" s="182"/>
      <c r="AP451" s="40"/>
      <c r="AQ451" s="40"/>
      <c r="AR451" s="40"/>
      <c r="AS451" s="40"/>
      <c r="AT451" s="40"/>
      <c r="AU451" s="40"/>
      <c r="AV451" s="40"/>
      <c r="AW451" s="40"/>
      <c r="AX451" s="40"/>
      <c r="AY451" s="40"/>
      <c r="AZ451" s="40"/>
      <c r="BA451" s="40"/>
      <c r="BB451" s="40"/>
      <c r="BC451" s="40"/>
      <c r="BD451" s="40"/>
      <c r="BE451" s="40"/>
      <c r="BF451" s="40"/>
      <c r="BG451" s="40"/>
      <c r="BH451" s="40"/>
      <c r="BI451" s="40"/>
    </row>
    <row r="452" ht="15.75" customHeight="1">
      <c r="A452" s="41" t="str">
        <f t="shared" si="10"/>
        <v>[...]</v>
      </c>
      <c r="B452" s="96" t="s">
        <v>56</v>
      </c>
      <c r="C452" s="96"/>
      <c r="D452" s="184"/>
      <c r="E452" s="182"/>
      <c r="F452" s="96"/>
      <c r="G452" s="184"/>
      <c r="H452" s="182"/>
      <c r="I452" s="96"/>
      <c r="J452" s="184"/>
      <c r="K452" s="182"/>
      <c r="L452" s="96"/>
      <c r="M452" s="184"/>
      <c r="N452" s="182"/>
      <c r="O452" s="96"/>
      <c r="P452" s="184"/>
      <c r="Q452" s="182"/>
      <c r="R452" s="96"/>
      <c r="S452" s="184"/>
      <c r="T452" s="182"/>
      <c r="U452" s="96"/>
      <c r="V452" s="184"/>
      <c r="W452" s="182"/>
      <c r="X452" s="96"/>
      <c r="Y452" s="184"/>
      <c r="Z452" s="182"/>
      <c r="AA452" s="96"/>
      <c r="AB452" s="184"/>
      <c r="AC452" s="182"/>
      <c r="AD452" s="96"/>
      <c r="AE452" s="184"/>
      <c r="AF452" s="182"/>
      <c r="AG452" s="96"/>
      <c r="AH452" s="184"/>
      <c r="AI452" s="182"/>
      <c r="AJ452" s="96"/>
      <c r="AK452" s="184"/>
      <c r="AL452" s="182"/>
      <c r="AM452" s="96"/>
      <c r="AN452" s="184"/>
      <c r="AO452" s="182"/>
      <c r="AP452" s="40"/>
      <c r="AQ452" s="40"/>
      <c r="AR452" s="40"/>
      <c r="AS452" s="40"/>
      <c r="AT452" s="40"/>
      <c r="AU452" s="40"/>
      <c r="AV452" s="40"/>
      <c r="AW452" s="40"/>
      <c r="AX452" s="40"/>
      <c r="AY452" s="40"/>
      <c r="AZ452" s="40"/>
      <c r="BA452" s="40"/>
      <c r="BB452" s="40"/>
      <c r="BC452" s="40"/>
      <c r="BD452" s="40"/>
      <c r="BE452" s="40"/>
      <c r="BF452" s="40"/>
      <c r="BG452" s="40"/>
      <c r="BH452" s="40"/>
      <c r="BI452" s="40"/>
    </row>
    <row r="453" ht="15.75" customHeight="1">
      <c r="A453" s="41" t="str">
        <f t="shared" si="10"/>
        <v>[...]</v>
      </c>
      <c r="B453" s="96" t="s">
        <v>56</v>
      </c>
      <c r="C453" s="96"/>
      <c r="D453" s="184"/>
      <c r="E453" s="182"/>
      <c r="F453" s="96"/>
      <c r="G453" s="184"/>
      <c r="H453" s="182"/>
      <c r="I453" s="96"/>
      <c r="J453" s="184"/>
      <c r="K453" s="182"/>
      <c r="L453" s="96"/>
      <c r="M453" s="184"/>
      <c r="N453" s="182"/>
      <c r="O453" s="96"/>
      <c r="P453" s="184"/>
      <c r="Q453" s="182"/>
      <c r="R453" s="96"/>
      <c r="S453" s="184"/>
      <c r="T453" s="182"/>
      <c r="U453" s="96"/>
      <c r="V453" s="184"/>
      <c r="W453" s="182"/>
      <c r="X453" s="96"/>
      <c r="Y453" s="184"/>
      <c r="Z453" s="182"/>
      <c r="AA453" s="96"/>
      <c r="AB453" s="184"/>
      <c r="AC453" s="182"/>
      <c r="AD453" s="96"/>
      <c r="AE453" s="184"/>
      <c r="AF453" s="182"/>
      <c r="AG453" s="96"/>
      <c r="AH453" s="184"/>
      <c r="AI453" s="182"/>
      <c r="AJ453" s="96"/>
      <c r="AK453" s="184"/>
      <c r="AL453" s="182"/>
      <c r="AM453" s="96"/>
      <c r="AN453" s="184"/>
      <c r="AO453" s="182"/>
      <c r="AP453" s="40"/>
      <c r="AQ453" s="40"/>
      <c r="AR453" s="40"/>
      <c r="AS453" s="40"/>
      <c r="AT453" s="40"/>
      <c r="AU453" s="40"/>
      <c r="AV453" s="40"/>
      <c r="AW453" s="40"/>
      <c r="AX453" s="40"/>
      <c r="AY453" s="40"/>
      <c r="AZ453" s="40"/>
      <c r="BA453" s="40"/>
      <c r="BB453" s="40"/>
      <c r="BC453" s="40"/>
      <c r="BD453" s="40"/>
      <c r="BE453" s="40"/>
      <c r="BF453" s="40"/>
      <c r="BG453" s="40"/>
      <c r="BH453" s="40"/>
      <c r="BI453" s="40"/>
    </row>
    <row r="454" ht="15.75" customHeight="1">
      <c r="A454" s="41" t="str">
        <f t="shared" si="10"/>
        <v/>
      </c>
      <c r="B454" s="96"/>
      <c r="C454" s="96"/>
      <c r="D454" s="184"/>
      <c r="E454" s="182"/>
      <c r="F454" s="96"/>
      <c r="G454" s="184"/>
      <c r="H454" s="182"/>
      <c r="I454" s="96"/>
      <c r="J454" s="184"/>
      <c r="K454" s="182"/>
      <c r="L454" s="96"/>
      <c r="M454" s="184"/>
      <c r="N454" s="182"/>
      <c r="O454" s="96"/>
      <c r="P454" s="184"/>
      <c r="Q454" s="182"/>
      <c r="R454" s="96"/>
      <c r="S454" s="184"/>
      <c r="T454" s="182"/>
      <c r="U454" s="96"/>
      <c r="V454" s="184"/>
      <c r="W454" s="182"/>
      <c r="X454" s="96"/>
      <c r="Y454" s="184"/>
      <c r="Z454" s="182"/>
      <c r="AA454" s="96"/>
      <c r="AB454" s="184"/>
      <c r="AC454" s="182"/>
      <c r="AD454" s="96"/>
      <c r="AE454" s="184"/>
      <c r="AF454" s="182"/>
      <c r="AG454" s="96"/>
      <c r="AH454" s="184"/>
      <c r="AI454" s="182"/>
      <c r="AJ454" s="96"/>
      <c r="AK454" s="184"/>
      <c r="AL454" s="182"/>
      <c r="AM454" s="96"/>
      <c r="AN454" s="184"/>
      <c r="AO454" s="182"/>
      <c r="AP454" s="40"/>
      <c r="AQ454" s="40"/>
      <c r="AR454" s="40"/>
      <c r="AS454" s="40"/>
      <c r="AT454" s="40"/>
      <c r="AU454" s="40"/>
      <c r="AV454" s="40"/>
      <c r="AW454" s="40"/>
      <c r="AX454" s="40"/>
      <c r="AY454" s="40"/>
      <c r="AZ454" s="40"/>
      <c r="BA454" s="40"/>
      <c r="BB454" s="40"/>
      <c r="BC454" s="40"/>
      <c r="BD454" s="40"/>
      <c r="BE454" s="40"/>
      <c r="BF454" s="40"/>
      <c r="BG454" s="40"/>
      <c r="BH454" s="40"/>
      <c r="BI454" s="40"/>
    </row>
    <row r="455" ht="15.75" customHeight="1">
      <c r="A455" s="41" t="str">
        <f t="shared" si="10"/>
        <v>TOTAL SEMI-FIXES</v>
      </c>
      <c r="B455" s="187" t="s">
        <v>142</v>
      </c>
      <c r="C455" s="188"/>
      <c r="D455" s="191"/>
      <c r="E455" s="190"/>
      <c r="F455" s="188"/>
      <c r="G455" s="191"/>
      <c r="H455" s="190"/>
      <c r="I455" s="188"/>
      <c r="J455" s="191"/>
      <c r="K455" s="190"/>
      <c r="L455" s="188"/>
      <c r="M455" s="191"/>
      <c r="N455" s="190"/>
      <c r="O455" s="188"/>
      <c r="P455" s="191"/>
      <c r="Q455" s="190"/>
      <c r="R455" s="188"/>
      <c r="S455" s="191"/>
      <c r="T455" s="190"/>
      <c r="U455" s="188"/>
      <c r="V455" s="191"/>
      <c r="W455" s="190"/>
      <c r="X455" s="188"/>
      <c r="Y455" s="191"/>
      <c r="Z455" s="190"/>
      <c r="AA455" s="188"/>
      <c r="AB455" s="191"/>
      <c r="AC455" s="190"/>
      <c r="AD455" s="188"/>
      <c r="AE455" s="191"/>
      <c r="AF455" s="190"/>
      <c r="AG455" s="188"/>
      <c r="AH455" s="191"/>
      <c r="AI455" s="190"/>
      <c r="AJ455" s="188"/>
      <c r="AK455" s="191"/>
      <c r="AL455" s="190"/>
      <c r="AM455" s="188"/>
      <c r="AN455" s="191"/>
      <c r="AO455" s="190"/>
      <c r="AP455" s="40"/>
      <c r="AQ455" s="40"/>
      <c r="AR455" s="40"/>
      <c r="AS455" s="40"/>
      <c r="AT455" s="40"/>
      <c r="AU455" s="40"/>
      <c r="AV455" s="40"/>
      <c r="AW455" s="40"/>
      <c r="AX455" s="40"/>
      <c r="AY455" s="40"/>
      <c r="AZ455" s="40"/>
      <c r="BA455" s="40"/>
      <c r="BB455" s="40"/>
      <c r="BC455" s="40"/>
      <c r="BD455" s="40"/>
      <c r="BE455" s="40"/>
      <c r="BF455" s="40"/>
      <c r="BG455" s="40"/>
      <c r="BH455" s="40"/>
      <c r="BI455" s="40"/>
    </row>
    <row r="456" ht="15.75" customHeight="1">
      <c r="A456" s="41" t="str">
        <f t="shared" si="10"/>
        <v>Loyer</v>
      </c>
      <c r="B456" s="96" t="s">
        <v>199</v>
      </c>
      <c r="C456" s="96"/>
      <c r="D456" s="184"/>
      <c r="E456" s="182"/>
      <c r="F456" s="96"/>
      <c r="G456" s="184"/>
      <c r="H456" s="182"/>
      <c r="I456" s="96"/>
      <c r="J456" s="184"/>
      <c r="K456" s="182"/>
      <c r="L456" s="96"/>
      <c r="M456" s="184"/>
      <c r="N456" s="182"/>
      <c r="O456" s="96"/>
      <c r="P456" s="184"/>
      <c r="Q456" s="182"/>
      <c r="R456" s="96"/>
      <c r="S456" s="184"/>
      <c r="T456" s="182"/>
      <c r="U456" s="96"/>
      <c r="V456" s="184"/>
      <c r="W456" s="182"/>
      <c r="X456" s="96"/>
      <c r="Y456" s="184"/>
      <c r="Z456" s="182"/>
      <c r="AA456" s="96"/>
      <c r="AB456" s="184"/>
      <c r="AC456" s="182"/>
      <c r="AD456" s="96"/>
      <c r="AE456" s="184"/>
      <c r="AF456" s="182"/>
      <c r="AG456" s="96"/>
      <c r="AH456" s="184"/>
      <c r="AI456" s="256"/>
      <c r="AJ456" s="96"/>
      <c r="AK456" s="184"/>
      <c r="AL456" s="256"/>
      <c r="AM456" s="96"/>
      <c r="AN456" s="184"/>
      <c r="AO456" s="256"/>
      <c r="AP456" s="40"/>
      <c r="AQ456" s="40"/>
      <c r="AR456" s="40"/>
      <c r="AS456" s="40"/>
      <c r="AT456" s="40"/>
      <c r="AU456" s="40"/>
      <c r="AV456" s="40"/>
      <c r="AW456" s="40"/>
      <c r="AX456" s="40"/>
      <c r="AY456" s="40"/>
      <c r="AZ456" s="40"/>
      <c r="BA456" s="40"/>
      <c r="BB456" s="40"/>
      <c r="BC456" s="40"/>
      <c r="BD456" s="40"/>
      <c r="BE456" s="40"/>
      <c r="BF456" s="40"/>
      <c r="BG456" s="40"/>
      <c r="BH456" s="40"/>
      <c r="BI456" s="40"/>
    </row>
    <row r="457" ht="15.75" customHeight="1">
      <c r="A457" s="41" t="str">
        <f t="shared" si="10"/>
        <v>Taxes foncières</v>
      </c>
      <c r="B457" s="96" t="s">
        <v>200</v>
      </c>
      <c r="C457" s="96"/>
      <c r="D457" s="184"/>
      <c r="E457" s="182"/>
      <c r="F457" s="96"/>
      <c r="G457" s="184"/>
      <c r="H457" s="182"/>
      <c r="I457" s="96"/>
      <c r="J457" s="184"/>
      <c r="K457" s="182"/>
      <c r="L457" s="96"/>
      <c r="M457" s="184"/>
      <c r="N457" s="182"/>
      <c r="O457" s="96"/>
      <c r="P457" s="184"/>
      <c r="Q457" s="182"/>
      <c r="R457" s="96"/>
      <c r="S457" s="184"/>
      <c r="T457" s="182"/>
      <c r="U457" s="96"/>
      <c r="V457" s="184"/>
      <c r="W457" s="182"/>
      <c r="X457" s="96"/>
      <c r="Y457" s="184"/>
      <c r="Z457" s="182"/>
      <c r="AA457" s="96"/>
      <c r="AB457" s="184"/>
      <c r="AC457" s="182"/>
      <c r="AD457" s="96"/>
      <c r="AE457" s="184"/>
      <c r="AF457" s="182"/>
      <c r="AG457" s="96"/>
      <c r="AH457" s="184"/>
      <c r="AI457" s="256"/>
      <c r="AJ457" s="96"/>
      <c r="AK457" s="184"/>
      <c r="AL457" s="256"/>
      <c r="AM457" s="96"/>
      <c r="AN457" s="184"/>
      <c r="AO457" s="256"/>
      <c r="AP457" s="40"/>
      <c r="AQ457" s="40"/>
      <c r="AR457" s="40"/>
      <c r="AS457" s="40"/>
      <c r="AT457" s="40"/>
      <c r="AU457" s="40"/>
      <c r="AV457" s="40"/>
      <c r="AW457" s="40"/>
      <c r="AX457" s="40"/>
      <c r="AY457" s="40"/>
      <c r="AZ457" s="40"/>
      <c r="BA457" s="40"/>
      <c r="BB457" s="40"/>
      <c r="BC457" s="40"/>
      <c r="BD457" s="40"/>
      <c r="BE457" s="40"/>
      <c r="BF457" s="40"/>
      <c r="BG457" s="40"/>
      <c r="BH457" s="40"/>
      <c r="BI457" s="40"/>
    </row>
    <row r="458" ht="15.75" customHeight="1">
      <c r="A458" s="41" t="str">
        <f t="shared" si="10"/>
        <v>Taxes d`affaires</v>
      </c>
      <c r="B458" s="97" t="s">
        <v>201</v>
      </c>
      <c r="C458" s="97"/>
      <c r="D458" s="186"/>
      <c r="E458" s="174"/>
      <c r="F458" s="97"/>
      <c r="G458" s="186"/>
      <c r="H458" s="174"/>
      <c r="I458" s="97"/>
      <c r="J458" s="186"/>
      <c r="K458" s="174"/>
      <c r="L458" s="97"/>
      <c r="M458" s="186"/>
      <c r="N458" s="174"/>
      <c r="O458" s="97"/>
      <c r="P458" s="186"/>
      <c r="Q458" s="174"/>
      <c r="R458" s="97"/>
      <c r="S458" s="186"/>
      <c r="T458" s="174"/>
      <c r="U458" s="97"/>
      <c r="V458" s="186"/>
      <c r="W458" s="174"/>
      <c r="X458" s="97"/>
      <c r="Y458" s="186"/>
      <c r="Z458" s="174"/>
      <c r="AA458" s="97"/>
      <c r="AB458" s="186"/>
      <c r="AC458" s="174"/>
      <c r="AD458" s="97"/>
      <c r="AE458" s="186"/>
      <c r="AF458" s="174"/>
      <c r="AG458" s="97"/>
      <c r="AH458" s="186"/>
      <c r="AI458" s="257"/>
      <c r="AJ458" s="97"/>
      <c r="AK458" s="186"/>
      <c r="AL458" s="257"/>
      <c r="AM458" s="97"/>
      <c r="AN458" s="186"/>
      <c r="AO458" s="257"/>
      <c r="AP458" s="40"/>
      <c r="AQ458" s="40"/>
      <c r="AR458" s="40"/>
      <c r="AS458" s="40"/>
      <c r="AT458" s="40"/>
      <c r="AU458" s="40"/>
      <c r="AV458" s="40"/>
      <c r="AW458" s="40"/>
      <c r="AX458" s="40"/>
      <c r="AY458" s="40"/>
      <c r="AZ458" s="40"/>
      <c r="BA458" s="40"/>
      <c r="BB458" s="40"/>
      <c r="BC458" s="40"/>
      <c r="BD458" s="40"/>
      <c r="BE458" s="40"/>
      <c r="BF458" s="40"/>
      <c r="BG458" s="40"/>
      <c r="BH458" s="40"/>
      <c r="BI458" s="40"/>
    </row>
    <row r="459" ht="15.75" customHeight="1">
      <c r="A459" s="41" t="str">
        <f t="shared" si="10"/>
        <v>Taxe sur le capital</v>
      </c>
      <c r="B459" s="96" t="s">
        <v>202</v>
      </c>
      <c r="C459" s="96"/>
      <c r="D459" s="184"/>
      <c r="E459" s="182"/>
      <c r="F459" s="96"/>
      <c r="G459" s="184"/>
      <c r="H459" s="182"/>
      <c r="I459" s="96"/>
      <c r="J459" s="184"/>
      <c r="K459" s="182"/>
      <c r="L459" s="96"/>
      <c r="M459" s="184"/>
      <c r="N459" s="182"/>
      <c r="O459" s="96"/>
      <c r="P459" s="184"/>
      <c r="Q459" s="182"/>
      <c r="R459" s="96"/>
      <c r="S459" s="184"/>
      <c r="T459" s="182"/>
      <c r="U459" s="96"/>
      <c r="V459" s="184"/>
      <c r="W459" s="182"/>
      <c r="X459" s="96"/>
      <c r="Y459" s="184"/>
      <c r="Z459" s="182"/>
      <c r="AA459" s="96"/>
      <c r="AB459" s="184"/>
      <c r="AC459" s="182"/>
      <c r="AD459" s="96"/>
      <c r="AE459" s="184"/>
      <c r="AF459" s="182"/>
      <c r="AG459" s="96"/>
      <c r="AH459" s="184"/>
      <c r="AI459" s="256"/>
      <c r="AJ459" s="96"/>
      <c r="AK459" s="184"/>
      <c r="AL459" s="256"/>
      <c r="AM459" s="96"/>
      <c r="AN459" s="184"/>
      <c r="AO459" s="256"/>
      <c r="AP459" s="40"/>
      <c r="AQ459" s="40"/>
      <c r="AR459" s="40"/>
      <c r="AS459" s="40"/>
      <c r="AT459" s="40"/>
      <c r="AU459" s="40"/>
      <c r="AV459" s="40"/>
      <c r="AW459" s="40"/>
      <c r="AX459" s="40"/>
      <c r="AY459" s="40"/>
      <c r="AZ459" s="40"/>
      <c r="BA459" s="40"/>
      <c r="BB459" s="40"/>
      <c r="BC459" s="40"/>
      <c r="BD459" s="40"/>
      <c r="BE459" s="40"/>
      <c r="BF459" s="40"/>
      <c r="BG459" s="40"/>
      <c r="BH459" s="40"/>
      <c r="BI459" s="40"/>
    </row>
    <row r="460" ht="15.75" customHeight="1">
      <c r="A460" s="41" t="str">
        <f t="shared" si="10"/>
        <v>Assurances</v>
      </c>
      <c r="B460" s="97" t="s">
        <v>203</v>
      </c>
      <c r="C460" s="97"/>
      <c r="D460" s="186"/>
      <c r="E460" s="174"/>
      <c r="F460" s="97"/>
      <c r="G460" s="186"/>
      <c r="H460" s="174"/>
      <c r="I460" s="97"/>
      <c r="J460" s="186"/>
      <c r="K460" s="174"/>
      <c r="L460" s="97"/>
      <c r="M460" s="186"/>
      <c r="N460" s="174"/>
      <c r="O460" s="97"/>
      <c r="P460" s="186"/>
      <c r="Q460" s="174"/>
      <c r="R460" s="97"/>
      <c r="S460" s="186"/>
      <c r="T460" s="174"/>
      <c r="U460" s="97"/>
      <c r="V460" s="186"/>
      <c r="W460" s="174"/>
      <c r="X460" s="97"/>
      <c r="Y460" s="186"/>
      <c r="Z460" s="174"/>
      <c r="AA460" s="97"/>
      <c r="AB460" s="186"/>
      <c r="AC460" s="174"/>
      <c r="AD460" s="97"/>
      <c r="AE460" s="186"/>
      <c r="AF460" s="174"/>
      <c r="AG460" s="97"/>
      <c r="AH460" s="186"/>
      <c r="AI460" s="257"/>
      <c r="AJ460" s="97"/>
      <c r="AK460" s="186"/>
      <c r="AL460" s="257"/>
      <c r="AM460" s="97"/>
      <c r="AN460" s="186"/>
      <c r="AO460" s="257"/>
      <c r="AP460" s="40"/>
      <c r="AQ460" s="40"/>
      <c r="AR460" s="40"/>
      <c r="AS460" s="40"/>
      <c r="AT460" s="40"/>
      <c r="AU460" s="40"/>
      <c r="AV460" s="40"/>
      <c r="AW460" s="40"/>
      <c r="AX460" s="40"/>
      <c r="AY460" s="40"/>
      <c r="AZ460" s="40"/>
      <c r="BA460" s="40"/>
      <c r="BB460" s="40"/>
      <c r="BC460" s="40"/>
      <c r="BD460" s="40"/>
      <c r="BE460" s="40"/>
      <c r="BF460" s="40"/>
      <c r="BG460" s="40"/>
      <c r="BH460" s="40"/>
      <c r="BI460" s="40"/>
    </row>
    <row r="461" ht="15.75" customHeight="1">
      <c r="A461" s="41" t="str">
        <f t="shared" si="10"/>
        <v>Chauffage, éclairage</v>
      </c>
      <c r="B461" s="96" t="s">
        <v>204</v>
      </c>
      <c r="C461" s="96"/>
      <c r="D461" s="184"/>
      <c r="E461" s="182"/>
      <c r="F461" s="96"/>
      <c r="G461" s="184"/>
      <c r="H461" s="182"/>
      <c r="I461" s="96"/>
      <c r="J461" s="184"/>
      <c r="K461" s="182"/>
      <c r="L461" s="96"/>
      <c r="M461" s="184"/>
      <c r="N461" s="182"/>
      <c r="O461" s="96"/>
      <c r="P461" s="184"/>
      <c r="Q461" s="182"/>
      <c r="R461" s="96"/>
      <c r="S461" s="184"/>
      <c r="T461" s="182"/>
      <c r="U461" s="96"/>
      <c r="V461" s="184"/>
      <c r="W461" s="182"/>
      <c r="X461" s="96"/>
      <c r="Y461" s="184"/>
      <c r="Z461" s="182"/>
      <c r="AA461" s="96"/>
      <c r="AB461" s="184"/>
      <c r="AC461" s="182"/>
      <c r="AD461" s="96"/>
      <c r="AE461" s="184"/>
      <c r="AF461" s="182"/>
      <c r="AG461" s="96"/>
      <c r="AH461" s="184"/>
      <c r="AI461" s="256"/>
      <c r="AJ461" s="96"/>
      <c r="AK461" s="184"/>
      <c r="AL461" s="256"/>
      <c r="AM461" s="96"/>
      <c r="AN461" s="184"/>
      <c r="AO461" s="256"/>
      <c r="AP461" s="40"/>
      <c r="AQ461" s="40"/>
      <c r="AR461" s="40"/>
      <c r="AS461" s="40"/>
      <c r="AT461" s="40"/>
      <c r="AU461" s="40"/>
      <c r="AV461" s="40"/>
      <c r="AW461" s="40"/>
      <c r="AX461" s="40"/>
      <c r="AY461" s="40"/>
      <c r="AZ461" s="40"/>
      <c r="BA461" s="40"/>
      <c r="BB461" s="40"/>
      <c r="BC461" s="40"/>
      <c r="BD461" s="40"/>
      <c r="BE461" s="40"/>
      <c r="BF461" s="40"/>
      <c r="BG461" s="40"/>
      <c r="BH461" s="40"/>
      <c r="BI461" s="40"/>
    </row>
    <row r="462" ht="15.75" customHeight="1">
      <c r="A462" s="41" t="str">
        <f t="shared" si="10"/>
        <v>Honoraires</v>
      </c>
      <c r="B462" s="96" t="s">
        <v>205</v>
      </c>
      <c r="C462" s="96"/>
      <c r="D462" s="184"/>
      <c r="E462" s="182"/>
      <c r="F462" s="96"/>
      <c r="G462" s="184"/>
      <c r="H462" s="182"/>
      <c r="I462" s="96"/>
      <c r="J462" s="184"/>
      <c r="K462" s="182"/>
      <c r="L462" s="96"/>
      <c r="M462" s="184"/>
      <c r="N462" s="182"/>
      <c r="O462" s="96"/>
      <c r="P462" s="184"/>
      <c r="Q462" s="182"/>
      <c r="R462" s="96"/>
      <c r="S462" s="184"/>
      <c r="T462" s="182"/>
      <c r="U462" s="96"/>
      <c r="V462" s="184"/>
      <c r="W462" s="182"/>
      <c r="X462" s="96"/>
      <c r="Y462" s="184"/>
      <c r="Z462" s="182"/>
      <c r="AA462" s="96"/>
      <c r="AB462" s="184"/>
      <c r="AC462" s="182"/>
      <c r="AD462" s="96"/>
      <c r="AE462" s="184"/>
      <c r="AF462" s="182"/>
      <c r="AG462" s="96"/>
      <c r="AH462" s="184"/>
      <c r="AI462" s="256"/>
      <c r="AJ462" s="96"/>
      <c r="AK462" s="184"/>
      <c r="AL462" s="256"/>
      <c r="AM462" s="96"/>
      <c r="AN462" s="184"/>
      <c r="AO462" s="256"/>
      <c r="AP462" s="40"/>
      <c r="AQ462" s="40"/>
      <c r="AR462" s="40"/>
      <c r="AS462" s="40"/>
      <c r="AT462" s="40"/>
      <c r="AU462" s="40"/>
      <c r="AV462" s="40"/>
      <c r="AW462" s="40"/>
      <c r="AX462" s="40"/>
      <c r="AY462" s="40"/>
      <c r="AZ462" s="40"/>
      <c r="BA462" s="40"/>
      <c r="BB462" s="40"/>
      <c r="BC462" s="40"/>
      <c r="BD462" s="40"/>
      <c r="BE462" s="40"/>
      <c r="BF462" s="40"/>
      <c r="BG462" s="40"/>
      <c r="BH462" s="40"/>
      <c r="BI462" s="40"/>
    </row>
    <row r="463" ht="15.75" customHeight="1">
      <c r="A463" s="41" t="str">
        <f t="shared" si="10"/>
        <v>Réparation équipement</v>
      </c>
      <c r="B463" s="97" t="s">
        <v>206</v>
      </c>
      <c r="C463" s="97"/>
      <c r="D463" s="186"/>
      <c r="E463" s="174"/>
      <c r="F463" s="97"/>
      <c r="G463" s="186"/>
      <c r="H463" s="174"/>
      <c r="I463" s="97"/>
      <c r="J463" s="186"/>
      <c r="K463" s="174"/>
      <c r="L463" s="97"/>
      <c r="M463" s="186"/>
      <c r="N463" s="174"/>
      <c r="O463" s="97"/>
      <c r="P463" s="186"/>
      <c r="Q463" s="174"/>
      <c r="R463" s="97"/>
      <c r="S463" s="186"/>
      <c r="T463" s="174"/>
      <c r="U463" s="97"/>
      <c r="V463" s="186"/>
      <c r="W463" s="174"/>
      <c r="X463" s="97"/>
      <c r="Y463" s="186"/>
      <c r="Z463" s="174"/>
      <c r="AA463" s="97"/>
      <c r="AB463" s="186"/>
      <c r="AC463" s="174"/>
      <c r="AD463" s="97"/>
      <c r="AE463" s="186"/>
      <c r="AF463" s="174"/>
      <c r="AG463" s="97"/>
      <c r="AH463" s="186"/>
      <c r="AI463" s="257"/>
      <c r="AJ463" s="97"/>
      <c r="AK463" s="186"/>
      <c r="AL463" s="257"/>
      <c r="AM463" s="97"/>
      <c r="AN463" s="186"/>
      <c r="AO463" s="257"/>
      <c r="AP463" s="40"/>
      <c r="AQ463" s="40"/>
      <c r="AR463" s="40"/>
      <c r="AS463" s="40"/>
      <c r="AT463" s="40"/>
      <c r="AU463" s="40"/>
      <c r="AV463" s="40"/>
      <c r="AW463" s="40"/>
      <c r="AX463" s="40"/>
      <c r="AY463" s="40"/>
      <c r="AZ463" s="40"/>
      <c r="BA463" s="40"/>
      <c r="BB463" s="40"/>
      <c r="BC463" s="40"/>
      <c r="BD463" s="40"/>
      <c r="BE463" s="40"/>
      <c r="BF463" s="40"/>
      <c r="BG463" s="40"/>
      <c r="BH463" s="40"/>
      <c r="BI463" s="40"/>
    </row>
    <row r="464" ht="15.75" customHeight="1">
      <c r="A464" s="41" t="str">
        <f t="shared" si="10"/>
        <v>Location équipement</v>
      </c>
      <c r="B464" s="96" t="s">
        <v>207</v>
      </c>
      <c r="C464" s="96"/>
      <c r="D464" s="184"/>
      <c r="E464" s="182"/>
      <c r="F464" s="96"/>
      <c r="G464" s="184"/>
      <c r="H464" s="182"/>
      <c r="I464" s="96"/>
      <c r="J464" s="184"/>
      <c r="K464" s="182"/>
      <c r="L464" s="96"/>
      <c r="M464" s="184"/>
      <c r="N464" s="182"/>
      <c r="O464" s="96"/>
      <c r="P464" s="184"/>
      <c r="Q464" s="182"/>
      <c r="R464" s="96"/>
      <c r="S464" s="184"/>
      <c r="T464" s="182"/>
      <c r="U464" s="96"/>
      <c r="V464" s="184"/>
      <c r="W464" s="182"/>
      <c r="X464" s="96"/>
      <c r="Y464" s="184"/>
      <c r="Z464" s="182"/>
      <c r="AA464" s="96"/>
      <c r="AB464" s="184"/>
      <c r="AC464" s="182"/>
      <c r="AD464" s="96"/>
      <c r="AE464" s="184"/>
      <c r="AF464" s="182"/>
      <c r="AG464" s="96"/>
      <c r="AH464" s="184"/>
      <c r="AI464" s="256"/>
      <c r="AJ464" s="96"/>
      <c r="AK464" s="184"/>
      <c r="AL464" s="256"/>
      <c r="AM464" s="96"/>
      <c r="AN464" s="184"/>
      <c r="AO464" s="256"/>
      <c r="AP464" s="40"/>
      <c r="AQ464" s="40"/>
      <c r="AR464" s="40"/>
      <c r="AS464" s="40"/>
      <c r="AT464" s="40"/>
      <c r="AU464" s="40"/>
      <c r="AV464" s="40"/>
      <c r="AW464" s="40"/>
      <c r="AX464" s="40"/>
      <c r="AY464" s="40"/>
      <c r="AZ464" s="40"/>
      <c r="BA464" s="40"/>
      <c r="BB464" s="40"/>
      <c r="BC464" s="40"/>
      <c r="BD464" s="40"/>
      <c r="BE464" s="40"/>
      <c r="BF464" s="40"/>
      <c r="BG464" s="40"/>
      <c r="BH464" s="40"/>
      <c r="BI464" s="40"/>
    </row>
    <row r="465" ht="15.75" customHeight="1">
      <c r="A465" s="41" t="str">
        <f t="shared" si="10"/>
        <v>Dons</v>
      </c>
      <c r="B465" s="96" t="s">
        <v>208</v>
      </c>
      <c r="C465" s="96"/>
      <c r="D465" s="184"/>
      <c r="E465" s="182"/>
      <c r="F465" s="96"/>
      <c r="G465" s="184"/>
      <c r="H465" s="182"/>
      <c r="I465" s="96"/>
      <c r="J465" s="184"/>
      <c r="K465" s="182"/>
      <c r="L465" s="96"/>
      <c r="M465" s="184"/>
      <c r="N465" s="182"/>
      <c r="O465" s="96"/>
      <c r="P465" s="184"/>
      <c r="Q465" s="182"/>
      <c r="R465" s="96"/>
      <c r="S465" s="184"/>
      <c r="T465" s="182"/>
      <c r="U465" s="96"/>
      <c r="V465" s="184"/>
      <c r="W465" s="182"/>
      <c r="X465" s="96"/>
      <c r="Y465" s="184"/>
      <c r="Z465" s="182"/>
      <c r="AA465" s="96"/>
      <c r="AB465" s="184"/>
      <c r="AC465" s="182"/>
      <c r="AD465" s="96"/>
      <c r="AE465" s="184"/>
      <c r="AF465" s="182"/>
      <c r="AG465" s="96"/>
      <c r="AH465" s="184"/>
      <c r="AI465" s="256"/>
      <c r="AJ465" s="96"/>
      <c r="AK465" s="184"/>
      <c r="AL465" s="256"/>
      <c r="AM465" s="96"/>
      <c r="AN465" s="184"/>
      <c r="AO465" s="256"/>
      <c r="AP465" s="40"/>
      <c r="AQ465" s="40"/>
      <c r="AR465" s="40"/>
      <c r="AS465" s="40"/>
      <c r="AT465" s="40"/>
      <c r="AU465" s="40"/>
      <c r="AV465" s="40"/>
      <c r="AW465" s="40"/>
      <c r="AX465" s="40"/>
      <c r="AY465" s="40"/>
      <c r="AZ465" s="40"/>
      <c r="BA465" s="40"/>
      <c r="BB465" s="40"/>
      <c r="BC465" s="40"/>
      <c r="BD465" s="40"/>
      <c r="BE465" s="40"/>
      <c r="BF465" s="40"/>
      <c r="BG465" s="40"/>
      <c r="BH465" s="40"/>
      <c r="BI465" s="40"/>
    </row>
    <row r="466" ht="15.75" customHeight="1">
      <c r="A466" s="41" t="str">
        <f t="shared" si="10"/>
        <v>[...]</v>
      </c>
      <c r="B466" s="96" t="s">
        <v>56</v>
      </c>
      <c r="C466" s="96"/>
      <c r="D466" s="184"/>
      <c r="E466" s="182"/>
      <c r="F466" s="96"/>
      <c r="G466" s="184"/>
      <c r="H466" s="182"/>
      <c r="I466" s="96"/>
      <c r="J466" s="184"/>
      <c r="K466" s="182"/>
      <c r="L466" s="96"/>
      <c r="M466" s="184"/>
      <c r="N466" s="182"/>
      <c r="O466" s="96"/>
      <c r="P466" s="184"/>
      <c r="Q466" s="182"/>
      <c r="R466" s="96"/>
      <c r="S466" s="184"/>
      <c r="T466" s="182"/>
      <c r="U466" s="96"/>
      <c r="V466" s="184"/>
      <c r="W466" s="182"/>
      <c r="X466" s="96"/>
      <c r="Y466" s="184"/>
      <c r="Z466" s="182"/>
      <c r="AA466" s="96"/>
      <c r="AB466" s="184"/>
      <c r="AC466" s="182"/>
      <c r="AD466" s="96"/>
      <c r="AE466" s="184"/>
      <c r="AF466" s="182"/>
      <c r="AG466" s="96"/>
      <c r="AH466" s="184"/>
      <c r="AI466" s="182"/>
      <c r="AJ466" s="96"/>
      <c r="AK466" s="184"/>
      <c r="AL466" s="182"/>
      <c r="AM466" s="96"/>
      <c r="AN466" s="184"/>
      <c r="AO466" s="182"/>
      <c r="AP466" s="40"/>
      <c r="AQ466" s="40"/>
      <c r="AR466" s="40"/>
      <c r="AS466" s="40"/>
      <c r="AT466" s="40"/>
      <c r="AU466" s="40"/>
      <c r="AV466" s="40"/>
      <c r="AW466" s="40"/>
      <c r="AX466" s="40"/>
      <c r="AY466" s="40"/>
      <c r="AZ466" s="40"/>
      <c r="BA466" s="40"/>
      <c r="BB466" s="40"/>
      <c r="BC466" s="40"/>
      <c r="BD466" s="40"/>
      <c r="BE466" s="40"/>
      <c r="BF466" s="40"/>
      <c r="BG466" s="40"/>
      <c r="BH466" s="40"/>
      <c r="BI466" s="40"/>
    </row>
    <row r="467" ht="15.75" customHeight="1">
      <c r="A467" s="41" t="str">
        <f t="shared" si="10"/>
        <v>[...]</v>
      </c>
      <c r="B467" s="96" t="s">
        <v>56</v>
      </c>
      <c r="C467" s="96"/>
      <c r="D467" s="184"/>
      <c r="E467" s="182"/>
      <c r="F467" s="96"/>
      <c r="G467" s="184"/>
      <c r="H467" s="182"/>
      <c r="I467" s="96"/>
      <c r="J467" s="184"/>
      <c r="K467" s="182"/>
      <c r="L467" s="96"/>
      <c r="M467" s="184"/>
      <c r="N467" s="182"/>
      <c r="O467" s="96"/>
      <c r="P467" s="184"/>
      <c r="Q467" s="182"/>
      <c r="R467" s="96"/>
      <c r="S467" s="184"/>
      <c r="T467" s="182"/>
      <c r="U467" s="96"/>
      <c r="V467" s="184"/>
      <c r="W467" s="182"/>
      <c r="X467" s="96"/>
      <c r="Y467" s="184"/>
      <c r="Z467" s="182"/>
      <c r="AA467" s="96"/>
      <c r="AB467" s="184"/>
      <c r="AC467" s="182"/>
      <c r="AD467" s="96"/>
      <c r="AE467" s="184"/>
      <c r="AF467" s="182"/>
      <c r="AG467" s="96"/>
      <c r="AH467" s="184"/>
      <c r="AI467" s="182"/>
      <c r="AJ467" s="96"/>
      <c r="AK467" s="184"/>
      <c r="AL467" s="182"/>
      <c r="AM467" s="96"/>
      <c r="AN467" s="184"/>
      <c r="AO467" s="182"/>
      <c r="AP467" s="40"/>
      <c r="AQ467" s="40"/>
      <c r="AR467" s="40"/>
      <c r="AS467" s="40"/>
      <c r="AT467" s="40"/>
      <c r="AU467" s="40"/>
      <c r="AV467" s="40"/>
      <c r="AW467" s="40"/>
      <c r="AX467" s="40"/>
      <c r="AY467" s="40"/>
      <c r="AZ467" s="40"/>
      <c r="BA467" s="40"/>
      <c r="BB467" s="40"/>
      <c r="BC467" s="40"/>
      <c r="BD467" s="40"/>
      <c r="BE467" s="40"/>
      <c r="BF467" s="40"/>
      <c r="BG467" s="40"/>
      <c r="BH467" s="40"/>
      <c r="BI467" s="40"/>
    </row>
    <row r="468" ht="15.75" customHeight="1">
      <c r="A468" s="41" t="str">
        <f t="shared" si="10"/>
        <v>[...]</v>
      </c>
      <c r="B468" s="96" t="s">
        <v>56</v>
      </c>
      <c r="C468" s="96"/>
      <c r="D468" s="184"/>
      <c r="E468" s="182"/>
      <c r="F468" s="96"/>
      <c r="G468" s="184"/>
      <c r="H468" s="182"/>
      <c r="I468" s="96"/>
      <c r="J468" s="184"/>
      <c r="K468" s="182"/>
      <c r="L468" s="96"/>
      <c r="M468" s="184"/>
      <c r="N468" s="182"/>
      <c r="O468" s="96"/>
      <c r="P468" s="184"/>
      <c r="Q468" s="182"/>
      <c r="R468" s="96"/>
      <c r="S468" s="184"/>
      <c r="T468" s="182"/>
      <c r="U468" s="96"/>
      <c r="V468" s="184"/>
      <c r="W468" s="182"/>
      <c r="X468" s="96"/>
      <c r="Y468" s="184"/>
      <c r="Z468" s="182"/>
      <c r="AA468" s="96"/>
      <c r="AB468" s="184"/>
      <c r="AC468" s="182"/>
      <c r="AD468" s="96"/>
      <c r="AE468" s="184"/>
      <c r="AF468" s="182"/>
      <c r="AG468" s="96"/>
      <c r="AH468" s="184"/>
      <c r="AI468" s="182"/>
      <c r="AJ468" s="96"/>
      <c r="AK468" s="184"/>
      <c r="AL468" s="182"/>
      <c r="AM468" s="96"/>
      <c r="AN468" s="184"/>
      <c r="AO468" s="182"/>
      <c r="AP468" s="40"/>
      <c r="AQ468" s="40"/>
      <c r="AR468" s="40"/>
      <c r="AS468" s="40"/>
      <c r="AT468" s="40"/>
      <c r="AU468" s="40"/>
      <c r="AV468" s="40"/>
      <c r="AW468" s="40"/>
      <c r="AX468" s="40"/>
      <c r="AY468" s="40"/>
      <c r="AZ468" s="40"/>
      <c r="BA468" s="40"/>
      <c r="BB468" s="40"/>
      <c r="BC468" s="40"/>
      <c r="BD468" s="40"/>
      <c r="BE468" s="40"/>
      <c r="BF468" s="40"/>
      <c r="BG468" s="40"/>
      <c r="BH468" s="40"/>
      <c r="BI468" s="40"/>
    </row>
    <row r="469" ht="15.75" customHeight="1">
      <c r="A469" s="41" t="str">
        <f t="shared" si="10"/>
        <v>TOTAL DÉPENSES FIXES</v>
      </c>
      <c r="B469" s="187" t="s">
        <v>209</v>
      </c>
      <c r="C469" s="188"/>
      <c r="D469" s="191"/>
      <c r="E469" s="190"/>
      <c r="F469" s="188"/>
      <c r="G469" s="191"/>
      <c r="H469" s="190"/>
      <c r="I469" s="188"/>
      <c r="J469" s="191"/>
      <c r="K469" s="190"/>
      <c r="L469" s="188"/>
      <c r="M469" s="191"/>
      <c r="N469" s="190"/>
      <c r="O469" s="188"/>
      <c r="P469" s="191"/>
      <c r="Q469" s="190"/>
      <c r="R469" s="188"/>
      <c r="S469" s="191"/>
      <c r="T469" s="190"/>
      <c r="U469" s="188"/>
      <c r="V469" s="191"/>
      <c r="W469" s="190"/>
      <c r="X469" s="188"/>
      <c r="Y469" s="191"/>
      <c r="Z469" s="190"/>
      <c r="AA469" s="188"/>
      <c r="AB469" s="191"/>
      <c r="AC469" s="190"/>
      <c r="AD469" s="188"/>
      <c r="AE469" s="191"/>
      <c r="AF469" s="190"/>
      <c r="AG469" s="188"/>
      <c r="AH469" s="191"/>
      <c r="AI469" s="190"/>
      <c r="AJ469" s="188"/>
      <c r="AK469" s="191"/>
      <c r="AL469" s="190"/>
      <c r="AM469" s="188"/>
      <c r="AN469" s="191"/>
      <c r="AO469" s="190"/>
      <c r="AP469" s="40"/>
      <c r="AQ469" s="40"/>
      <c r="AR469" s="40"/>
      <c r="AS469" s="40"/>
      <c r="AT469" s="40"/>
      <c r="AU469" s="40"/>
      <c r="AV469" s="40"/>
      <c r="AW469" s="40"/>
      <c r="AX469" s="40"/>
      <c r="AY469" s="40"/>
      <c r="AZ469" s="40"/>
      <c r="BA469" s="40"/>
      <c r="BB469" s="40"/>
      <c r="BC469" s="40"/>
      <c r="BD469" s="40"/>
      <c r="BE469" s="40"/>
      <c r="BF469" s="40"/>
      <c r="BG469" s="40"/>
      <c r="BH469" s="40"/>
      <c r="BI469" s="40"/>
    </row>
    <row r="470" ht="15.75" customHeight="1">
      <c r="A470" s="41" t="str">
        <f t="shared" si="10"/>
        <v/>
      </c>
      <c r="B470" s="96"/>
      <c r="C470" s="258"/>
      <c r="D470" s="259"/>
      <c r="E470" s="260"/>
      <c r="F470" s="258"/>
      <c r="G470" s="259"/>
      <c r="H470" s="260"/>
      <c r="I470" s="258"/>
      <c r="J470" s="259"/>
      <c r="K470" s="260"/>
      <c r="L470" s="258"/>
      <c r="M470" s="259"/>
      <c r="N470" s="260"/>
      <c r="O470" s="258"/>
      <c r="P470" s="259"/>
      <c r="Q470" s="260"/>
      <c r="R470" s="258"/>
      <c r="S470" s="259"/>
      <c r="T470" s="260"/>
      <c r="U470" s="258"/>
      <c r="V470" s="259"/>
      <c r="W470" s="260"/>
      <c r="X470" s="258"/>
      <c r="Y470" s="259"/>
      <c r="Z470" s="260"/>
      <c r="AA470" s="258"/>
      <c r="AB470" s="259"/>
      <c r="AC470" s="260"/>
      <c r="AD470" s="258"/>
      <c r="AE470" s="259"/>
      <c r="AF470" s="260"/>
      <c r="AG470" s="258"/>
      <c r="AH470" s="259"/>
      <c r="AI470" s="260"/>
      <c r="AJ470" s="258"/>
      <c r="AK470" s="259"/>
      <c r="AL470" s="260"/>
      <c r="AM470" s="258"/>
      <c r="AN470" s="259"/>
      <c r="AO470" s="260"/>
      <c r="AP470" s="40"/>
      <c r="AQ470" s="40"/>
      <c r="AR470" s="40"/>
      <c r="AS470" s="40"/>
      <c r="AT470" s="40"/>
      <c r="AU470" s="40"/>
      <c r="AV470" s="40"/>
      <c r="AW470" s="40"/>
      <c r="AX470" s="40"/>
      <c r="AY470" s="40"/>
      <c r="AZ470" s="40"/>
      <c r="BA470" s="40"/>
      <c r="BB470" s="40"/>
      <c r="BC470" s="40"/>
      <c r="BD470" s="40"/>
      <c r="BE470" s="40"/>
      <c r="BF470" s="40"/>
      <c r="BG470" s="40"/>
      <c r="BH470" s="40"/>
      <c r="BI470" s="40"/>
    </row>
    <row r="471" ht="15.75" customHeight="1">
      <c r="A471" s="41" t="str">
        <f t="shared" si="10"/>
        <v>TOTAL DES DÉPENSES</v>
      </c>
      <c r="B471" s="187" t="s">
        <v>143</v>
      </c>
      <c r="C471" s="188"/>
      <c r="D471" s="191"/>
      <c r="E471" s="190"/>
      <c r="F471" s="188"/>
      <c r="G471" s="191"/>
      <c r="H471" s="190"/>
      <c r="I471" s="188"/>
      <c r="J471" s="191"/>
      <c r="K471" s="190"/>
      <c r="L471" s="188"/>
      <c r="M471" s="191"/>
      <c r="N471" s="190"/>
      <c r="O471" s="188"/>
      <c r="P471" s="191"/>
      <c r="Q471" s="190"/>
      <c r="R471" s="188"/>
      <c r="S471" s="191"/>
      <c r="T471" s="190"/>
      <c r="U471" s="188"/>
      <c r="V471" s="191"/>
      <c r="W471" s="190"/>
      <c r="X471" s="188"/>
      <c r="Y471" s="191"/>
      <c r="Z471" s="190"/>
      <c r="AA471" s="188"/>
      <c r="AB471" s="191"/>
      <c r="AC471" s="190"/>
      <c r="AD471" s="188"/>
      <c r="AE471" s="191"/>
      <c r="AF471" s="190"/>
      <c r="AG471" s="188"/>
      <c r="AH471" s="191"/>
      <c r="AI471" s="190"/>
      <c r="AJ471" s="188"/>
      <c r="AK471" s="191"/>
      <c r="AL471" s="190"/>
      <c r="AM471" s="188"/>
      <c r="AN471" s="191"/>
      <c r="AO471" s="190"/>
      <c r="AP471" s="40"/>
      <c r="AQ471" s="40"/>
      <c r="AR471" s="40"/>
      <c r="AS471" s="40"/>
      <c r="AT471" s="40"/>
      <c r="AU471" s="40"/>
      <c r="AV471" s="40"/>
      <c r="AW471" s="40"/>
      <c r="AX471" s="40"/>
      <c r="AY471" s="40"/>
      <c r="AZ471" s="40"/>
      <c r="BA471" s="40"/>
      <c r="BB471" s="40"/>
      <c r="BC471" s="40"/>
      <c r="BD471" s="40"/>
      <c r="BE471" s="40"/>
      <c r="BF471" s="40"/>
      <c r="BG471" s="40"/>
      <c r="BH471" s="40"/>
      <c r="BI471" s="40"/>
    </row>
    <row r="472" ht="18.0" customHeight="1">
      <c r="A472" s="41" t="str">
        <f t="shared" si="10"/>
        <v>Revenus autres</v>
      </c>
      <c r="B472" s="96" t="s">
        <v>210</v>
      </c>
      <c r="C472" s="198"/>
      <c r="D472" s="199"/>
      <c r="E472" s="196"/>
      <c r="F472" s="198"/>
      <c r="G472" s="199"/>
      <c r="H472" s="196"/>
      <c r="I472" s="198"/>
      <c r="J472" s="199"/>
      <c r="K472" s="196"/>
      <c r="L472" s="198"/>
      <c r="M472" s="199"/>
      <c r="N472" s="196"/>
      <c r="O472" s="198"/>
      <c r="P472" s="199"/>
      <c r="Q472" s="196"/>
      <c r="R472" s="198"/>
      <c r="S472" s="199"/>
      <c r="T472" s="196"/>
      <c r="U472" s="198"/>
      <c r="V472" s="199"/>
      <c r="W472" s="196"/>
      <c r="X472" s="198"/>
      <c r="Y472" s="199"/>
      <c r="Z472" s="196"/>
      <c r="AA472" s="198"/>
      <c r="AB472" s="199"/>
      <c r="AC472" s="196"/>
      <c r="AD472" s="198"/>
      <c r="AE472" s="199"/>
      <c r="AF472" s="196"/>
      <c r="AG472" s="198"/>
      <c r="AH472" s="199"/>
      <c r="AI472" s="261"/>
      <c r="AJ472" s="198"/>
      <c r="AK472" s="199"/>
      <c r="AL472" s="261"/>
      <c r="AM472" s="198"/>
      <c r="AN472" s="199"/>
      <c r="AO472" s="261"/>
      <c r="AP472" s="40"/>
      <c r="AQ472" s="40"/>
      <c r="AR472" s="40"/>
      <c r="AS472" s="40"/>
      <c r="AT472" s="40"/>
      <c r="AU472" s="40"/>
      <c r="AV472" s="40"/>
      <c r="AW472" s="40"/>
      <c r="AX472" s="40"/>
      <c r="AY472" s="40"/>
      <c r="AZ472" s="40"/>
      <c r="BA472" s="40"/>
      <c r="BB472" s="40"/>
      <c r="BC472" s="40"/>
      <c r="BD472" s="40"/>
      <c r="BE472" s="40"/>
      <c r="BF472" s="40"/>
      <c r="BG472" s="40"/>
      <c r="BH472" s="40"/>
      <c r="BI472" s="40"/>
    </row>
    <row r="473" ht="18.0" customHeight="1">
      <c r="A473" s="41" t="str">
        <f t="shared" si="10"/>
        <v>Holdbacks</v>
      </c>
      <c r="B473" s="96" t="s">
        <v>147</v>
      </c>
      <c r="C473" s="200"/>
      <c r="D473" s="201"/>
      <c r="E473" s="182"/>
      <c r="F473" s="200"/>
      <c r="G473" s="201"/>
      <c r="H473" s="182"/>
      <c r="I473" s="200"/>
      <c r="J473" s="201"/>
      <c r="K473" s="182"/>
      <c r="L473" s="200"/>
      <c r="M473" s="201"/>
      <c r="N473" s="182"/>
      <c r="O473" s="200"/>
      <c r="P473" s="201"/>
      <c r="Q473" s="182"/>
      <c r="R473" s="200"/>
      <c r="S473" s="201"/>
      <c r="T473" s="182"/>
      <c r="U473" s="200"/>
      <c r="V473" s="201"/>
      <c r="W473" s="182"/>
      <c r="X473" s="200"/>
      <c r="Y473" s="201"/>
      <c r="Z473" s="182"/>
      <c r="AA473" s="200"/>
      <c r="AB473" s="201"/>
      <c r="AC473" s="182"/>
      <c r="AD473" s="200"/>
      <c r="AE473" s="201"/>
      <c r="AF473" s="182"/>
      <c r="AG473" s="200"/>
      <c r="AH473" s="201"/>
      <c r="AI473" s="256"/>
      <c r="AJ473" s="200"/>
      <c r="AK473" s="201"/>
      <c r="AL473" s="256"/>
      <c r="AM473" s="200"/>
      <c r="AN473" s="201"/>
      <c r="AO473" s="256"/>
      <c r="AP473" s="40"/>
      <c r="AQ473" s="40"/>
      <c r="AR473" s="40"/>
      <c r="AS473" s="40"/>
      <c r="AT473" s="40"/>
      <c r="AU473" s="40"/>
      <c r="AV473" s="40"/>
      <c r="AW473" s="40"/>
      <c r="AX473" s="40"/>
      <c r="AY473" s="40"/>
      <c r="AZ473" s="40"/>
      <c r="BA473" s="40"/>
      <c r="BB473" s="40"/>
      <c r="BC473" s="40"/>
      <c r="BD473" s="40"/>
      <c r="BE473" s="40"/>
      <c r="BF473" s="40"/>
      <c r="BG473" s="40"/>
      <c r="BH473" s="40"/>
      <c r="BI473" s="40"/>
    </row>
    <row r="474" ht="18.0" customHeight="1">
      <c r="A474" s="41" t="str">
        <f t="shared" si="10"/>
        <v>Programme neuf 1</v>
      </c>
      <c r="B474" s="96" t="s">
        <v>144</v>
      </c>
      <c r="C474" s="200"/>
      <c r="D474" s="201"/>
      <c r="E474" s="182"/>
      <c r="F474" s="200"/>
      <c r="G474" s="201"/>
      <c r="H474" s="182"/>
      <c r="I474" s="200"/>
      <c r="J474" s="201"/>
      <c r="K474" s="182"/>
      <c r="L474" s="200"/>
      <c r="M474" s="201"/>
      <c r="N474" s="182"/>
      <c r="O474" s="200"/>
      <c r="P474" s="201"/>
      <c r="Q474" s="182"/>
      <c r="R474" s="200"/>
      <c r="S474" s="201"/>
      <c r="T474" s="182"/>
      <c r="U474" s="200"/>
      <c r="V474" s="201"/>
      <c r="W474" s="182"/>
      <c r="X474" s="200"/>
      <c r="Y474" s="201"/>
      <c r="Z474" s="182"/>
      <c r="AA474" s="200"/>
      <c r="AB474" s="201"/>
      <c r="AC474" s="182"/>
      <c r="AD474" s="200"/>
      <c r="AE474" s="201"/>
      <c r="AF474" s="182"/>
      <c r="AG474" s="200"/>
      <c r="AH474" s="201"/>
      <c r="AI474" s="256"/>
      <c r="AJ474" s="200"/>
      <c r="AK474" s="201"/>
      <c r="AL474" s="256"/>
      <c r="AM474" s="200"/>
      <c r="AN474" s="201"/>
      <c r="AO474" s="256"/>
      <c r="AP474" s="40"/>
      <c r="AQ474" s="40"/>
      <c r="AR474" s="40"/>
      <c r="AS474" s="40"/>
      <c r="AT474" s="40"/>
      <c r="AU474" s="40"/>
      <c r="AV474" s="40"/>
      <c r="AW474" s="40"/>
      <c r="AX474" s="40"/>
      <c r="AY474" s="40"/>
      <c r="AZ474" s="40"/>
      <c r="BA474" s="40"/>
      <c r="BB474" s="40"/>
      <c r="BC474" s="40"/>
      <c r="BD474" s="40"/>
      <c r="BE474" s="40"/>
      <c r="BF474" s="40"/>
      <c r="BG474" s="40"/>
      <c r="BH474" s="40"/>
      <c r="BI474" s="40"/>
    </row>
    <row r="475" ht="18.0" customHeight="1">
      <c r="A475" s="41" t="str">
        <f t="shared" si="10"/>
        <v>Programme neuf 2</v>
      </c>
      <c r="B475" s="96" t="s">
        <v>145</v>
      </c>
      <c r="C475" s="200"/>
      <c r="D475" s="201"/>
      <c r="E475" s="182"/>
      <c r="F475" s="200"/>
      <c r="G475" s="201"/>
      <c r="H475" s="182"/>
      <c r="I475" s="200"/>
      <c r="J475" s="201"/>
      <c r="K475" s="182"/>
      <c r="L475" s="200"/>
      <c r="M475" s="201"/>
      <c r="N475" s="182"/>
      <c r="O475" s="200"/>
      <c r="P475" s="201"/>
      <c r="Q475" s="182"/>
      <c r="R475" s="200"/>
      <c r="S475" s="201"/>
      <c r="T475" s="182"/>
      <c r="U475" s="200"/>
      <c r="V475" s="201"/>
      <c r="W475" s="182"/>
      <c r="X475" s="200"/>
      <c r="Y475" s="201"/>
      <c r="Z475" s="182"/>
      <c r="AA475" s="200"/>
      <c r="AB475" s="201"/>
      <c r="AC475" s="182"/>
      <c r="AD475" s="200"/>
      <c r="AE475" s="201"/>
      <c r="AF475" s="182"/>
      <c r="AG475" s="200"/>
      <c r="AH475" s="201"/>
      <c r="AI475" s="256"/>
      <c r="AJ475" s="200"/>
      <c r="AK475" s="201"/>
      <c r="AL475" s="256"/>
      <c r="AM475" s="200"/>
      <c r="AN475" s="201"/>
      <c r="AO475" s="256"/>
      <c r="AP475" s="40"/>
      <c r="AQ475" s="40"/>
      <c r="AR475" s="40"/>
      <c r="AS475" s="40"/>
      <c r="AT475" s="40"/>
      <c r="AU475" s="40"/>
      <c r="AV475" s="40"/>
      <c r="AW475" s="40"/>
      <c r="AX475" s="40"/>
      <c r="AY475" s="40"/>
      <c r="AZ475" s="40"/>
      <c r="BA475" s="40"/>
      <c r="BB475" s="40"/>
      <c r="BC475" s="40"/>
      <c r="BD475" s="40"/>
      <c r="BE475" s="40"/>
      <c r="BF475" s="40"/>
      <c r="BG475" s="40"/>
      <c r="BH475" s="40"/>
      <c r="BI475" s="40"/>
    </row>
    <row r="476" ht="18.0" customHeight="1">
      <c r="A476" s="41" t="str">
        <f t="shared" si="10"/>
        <v>Programme neuf 3</v>
      </c>
      <c r="B476" s="96" t="s">
        <v>146</v>
      </c>
      <c r="C476" s="200"/>
      <c r="D476" s="201"/>
      <c r="E476" s="182"/>
      <c r="F476" s="200"/>
      <c r="G476" s="201"/>
      <c r="H476" s="182"/>
      <c r="I476" s="200"/>
      <c r="J476" s="201"/>
      <c r="K476" s="182"/>
      <c r="L476" s="200"/>
      <c r="M476" s="201"/>
      <c r="N476" s="182"/>
      <c r="O476" s="200"/>
      <c r="P476" s="201"/>
      <c r="Q476" s="182"/>
      <c r="R476" s="200"/>
      <c r="S476" s="201"/>
      <c r="T476" s="182"/>
      <c r="U476" s="200"/>
      <c r="V476" s="201"/>
      <c r="W476" s="182"/>
      <c r="X476" s="200"/>
      <c r="Y476" s="201"/>
      <c r="Z476" s="182"/>
      <c r="AA476" s="200"/>
      <c r="AB476" s="201"/>
      <c r="AC476" s="182"/>
      <c r="AD476" s="200"/>
      <c r="AE476" s="201"/>
      <c r="AF476" s="182"/>
      <c r="AG476" s="200"/>
      <c r="AH476" s="201"/>
      <c r="AI476" s="256"/>
      <c r="AJ476" s="200"/>
      <c r="AK476" s="201"/>
      <c r="AL476" s="256"/>
      <c r="AM476" s="200"/>
      <c r="AN476" s="201"/>
      <c r="AO476" s="256"/>
      <c r="AP476" s="40"/>
      <c r="AQ476" s="40"/>
      <c r="AR476" s="40"/>
      <c r="AS476" s="40"/>
      <c r="AT476" s="40"/>
      <c r="AU476" s="40"/>
      <c r="AV476" s="40"/>
      <c r="AW476" s="40"/>
      <c r="AX476" s="40"/>
      <c r="AY476" s="40"/>
      <c r="AZ476" s="40"/>
      <c r="BA476" s="40"/>
      <c r="BB476" s="40"/>
      <c r="BC476" s="40"/>
      <c r="BD476" s="40"/>
      <c r="BE476" s="40"/>
      <c r="BF476" s="40"/>
      <c r="BG476" s="40"/>
      <c r="BH476" s="40"/>
      <c r="BI476" s="40"/>
    </row>
    <row r="477" ht="18.0" customHeight="1">
      <c r="A477" s="41" t="str">
        <f t="shared" si="10"/>
        <v>Programme used 1</v>
      </c>
      <c r="B477" s="96" t="s">
        <v>158</v>
      </c>
      <c r="C477" s="200"/>
      <c r="D477" s="201"/>
      <c r="E477" s="182"/>
      <c r="F477" s="200"/>
      <c r="G477" s="201"/>
      <c r="H477" s="182"/>
      <c r="I477" s="200"/>
      <c r="J477" s="201"/>
      <c r="K477" s="182"/>
      <c r="L477" s="200"/>
      <c r="M477" s="201"/>
      <c r="N477" s="182"/>
      <c r="O477" s="200"/>
      <c r="P477" s="201"/>
      <c r="Q477" s="182"/>
      <c r="R477" s="200"/>
      <c r="S477" s="201"/>
      <c r="T477" s="182"/>
      <c r="U477" s="200"/>
      <c r="V477" s="201"/>
      <c r="W477" s="182"/>
      <c r="X477" s="200"/>
      <c r="Y477" s="201"/>
      <c r="Z477" s="182"/>
      <c r="AA477" s="200"/>
      <c r="AB477" s="201"/>
      <c r="AC477" s="182"/>
      <c r="AD477" s="200"/>
      <c r="AE477" s="201"/>
      <c r="AF477" s="182"/>
      <c r="AG477" s="200"/>
      <c r="AH477" s="201"/>
      <c r="AI477" s="256"/>
      <c r="AJ477" s="200"/>
      <c r="AK477" s="201"/>
      <c r="AL477" s="256"/>
      <c r="AM477" s="200"/>
      <c r="AN477" s="201"/>
      <c r="AO477" s="256"/>
      <c r="AP477" s="40"/>
      <c r="AQ477" s="40"/>
      <c r="AR477" s="40"/>
      <c r="AS477" s="40"/>
      <c r="AT477" s="40"/>
      <c r="AU477" s="40"/>
      <c r="AV477" s="40"/>
      <c r="AW477" s="40"/>
      <c r="AX477" s="40"/>
      <c r="AY477" s="40"/>
      <c r="AZ477" s="40"/>
      <c r="BA477" s="40"/>
      <c r="BB477" s="40"/>
      <c r="BC477" s="40"/>
      <c r="BD477" s="40"/>
      <c r="BE477" s="40"/>
      <c r="BF477" s="40"/>
      <c r="BG477" s="40"/>
      <c r="BH477" s="40"/>
      <c r="BI477" s="40"/>
    </row>
    <row r="478" ht="18.0" customHeight="1">
      <c r="A478" s="41" t="str">
        <f t="shared" si="10"/>
        <v>Programme used 2</v>
      </c>
      <c r="B478" s="96" t="s">
        <v>159</v>
      </c>
      <c r="C478" s="200"/>
      <c r="D478" s="201"/>
      <c r="E478" s="182"/>
      <c r="F478" s="200"/>
      <c r="G478" s="201"/>
      <c r="H478" s="182"/>
      <c r="I478" s="200"/>
      <c r="J478" s="201"/>
      <c r="K478" s="182"/>
      <c r="L478" s="200"/>
      <c r="M478" s="201"/>
      <c r="N478" s="182"/>
      <c r="O478" s="200"/>
      <c r="P478" s="201"/>
      <c r="Q478" s="182"/>
      <c r="R478" s="200"/>
      <c r="S478" s="201"/>
      <c r="T478" s="182"/>
      <c r="U478" s="200"/>
      <c r="V478" s="201"/>
      <c r="W478" s="182"/>
      <c r="X478" s="200"/>
      <c r="Y478" s="201"/>
      <c r="Z478" s="182"/>
      <c r="AA478" s="200"/>
      <c r="AB478" s="201"/>
      <c r="AC478" s="182"/>
      <c r="AD478" s="200"/>
      <c r="AE478" s="201"/>
      <c r="AF478" s="182"/>
      <c r="AG478" s="200"/>
      <c r="AH478" s="201"/>
      <c r="AI478" s="256"/>
      <c r="AJ478" s="200"/>
      <c r="AK478" s="201"/>
      <c r="AL478" s="256"/>
      <c r="AM478" s="200"/>
      <c r="AN478" s="201"/>
      <c r="AO478" s="256"/>
      <c r="AP478" s="40"/>
      <c r="AQ478" s="40"/>
      <c r="AR478" s="40"/>
      <c r="AS478" s="40"/>
      <c r="AT478" s="40"/>
      <c r="AU478" s="40"/>
      <c r="AV478" s="40"/>
      <c r="AW478" s="40"/>
      <c r="AX478" s="40"/>
      <c r="AY478" s="40"/>
      <c r="AZ478" s="40"/>
      <c r="BA478" s="40"/>
      <c r="BB478" s="40"/>
      <c r="BC478" s="40"/>
      <c r="BD478" s="40"/>
      <c r="BE478" s="40"/>
      <c r="BF478" s="40"/>
      <c r="BG478" s="40"/>
      <c r="BH478" s="40"/>
      <c r="BI478" s="40"/>
    </row>
    <row r="479" ht="18.0" customHeight="1">
      <c r="A479" s="41" t="str">
        <f t="shared" si="10"/>
        <v>Programme used 3</v>
      </c>
      <c r="B479" s="96" t="s">
        <v>160</v>
      </c>
      <c r="C479" s="200"/>
      <c r="D479" s="201"/>
      <c r="E479" s="182"/>
      <c r="F479" s="200"/>
      <c r="G479" s="201"/>
      <c r="H479" s="182"/>
      <c r="I479" s="200"/>
      <c r="J479" s="201"/>
      <c r="K479" s="182"/>
      <c r="L479" s="200"/>
      <c r="M479" s="201"/>
      <c r="N479" s="182"/>
      <c r="O479" s="200"/>
      <c r="P479" s="201"/>
      <c r="Q479" s="182"/>
      <c r="R479" s="200"/>
      <c r="S479" s="201"/>
      <c r="T479" s="182"/>
      <c r="U479" s="200"/>
      <c r="V479" s="201"/>
      <c r="W479" s="182"/>
      <c r="X479" s="200"/>
      <c r="Y479" s="201"/>
      <c r="Z479" s="182"/>
      <c r="AA479" s="200"/>
      <c r="AB479" s="201"/>
      <c r="AC479" s="182"/>
      <c r="AD479" s="200"/>
      <c r="AE479" s="201"/>
      <c r="AF479" s="182"/>
      <c r="AG479" s="200"/>
      <c r="AH479" s="201"/>
      <c r="AI479" s="256"/>
      <c r="AJ479" s="200"/>
      <c r="AK479" s="201"/>
      <c r="AL479" s="256"/>
      <c r="AM479" s="200"/>
      <c r="AN479" s="201"/>
      <c r="AO479" s="256"/>
      <c r="AP479" s="40"/>
      <c r="AQ479" s="40"/>
      <c r="AR479" s="40"/>
      <c r="AS479" s="40"/>
      <c r="AT479" s="40"/>
      <c r="AU479" s="40"/>
      <c r="AV479" s="40"/>
      <c r="AW479" s="40"/>
      <c r="AX479" s="40"/>
      <c r="AY479" s="40"/>
      <c r="AZ479" s="40"/>
      <c r="BA479" s="40"/>
      <c r="BB479" s="40"/>
      <c r="BC479" s="40"/>
      <c r="BD479" s="40"/>
      <c r="BE479" s="40"/>
      <c r="BF479" s="40"/>
      <c r="BG479" s="40"/>
      <c r="BH479" s="40"/>
      <c r="BI479" s="40"/>
    </row>
    <row r="480" ht="18.0" customHeight="1">
      <c r="A480" s="41" t="str">
        <f t="shared" si="10"/>
        <v>[...]</v>
      </c>
      <c r="B480" s="57" t="s">
        <v>56</v>
      </c>
      <c r="C480" s="200"/>
      <c r="D480" s="201"/>
      <c r="E480" s="182"/>
      <c r="F480" s="200"/>
      <c r="G480" s="201"/>
      <c r="H480" s="182"/>
      <c r="I480" s="200"/>
      <c r="J480" s="201"/>
      <c r="K480" s="182"/>
      <c r="L480" s="200"/>
      <c r="M480" s="201"/>
      <c r="N480" s="182"/>
      <c r="O480" s="200"/>
      <c r="P480" s="201"/>
      <c r="Q480" s="182"/>
      <c r="R480" s="200"/>
      <c r="S480" s="201"/>
      <c r="T480" s="182"/>
      <c r="U480" s="200"/>
      <c r="V480" s="201"/>
      <c r="W480" s="182"/>
      <c r="X480" s="200"/>
      <c r="Y480" s="201"/>
      <c r="Z480" s="182"/>
      <c r="AA480" s="200"/>
      <c r="AB480" s="201"/>
      <c r="AC480" s="182"/>
      <c r="AD480" s="200"/>
      <c r="AE480" s="201"/>
      <c r="AF480" s="182"/>
      <c r="AG480" s="200"/>
      <c r="AH480" s="201"/>
      <c r="AI480" s="256"/>
      <c r="AJ480" s="200"/>
      <c r="AK480" s="201"/>
      <c r="AL480" s="256"/>
      <c r="AM480" s="200"/>
      <c r="AN480" s="201"/>
      <c r="AO480" s="256"/>
      <c r="AP480" s="40"/>
      <c r="AQ480" s="40"/>
      <c r="AR480" s="40"/>
      <c r="AS480" s="40"/>
      <c r="AT480" s="40"/>
      <c r="AU480" s="40"/>
      <c r="AV480" s="40"/>
      <c r="AW480" s="40"/>
      <c r="AX480" s="40"/>
      <c r="AY480" s="40"/>
      <c r="AZ480" s="40"/>
      <c r="BA480" s="40"/>
      <c r="BB480" s="40"/>
      <c r="BC480" s="40"/>
      <c r="BD480" s="40"/>
      <c r="BE480" s="40"/>
      <c r="BF480" s="40"/>
      <c r="BG480" s="40"/>
      <c r="BH480" s="40"/>
      <c r="BI480" s="40"/>
    </row>
    <row r="481" ht="18.0" customHeight="1">
      <c r="A481" s="41" t="str">
        <f t="shared" si="10"/>
        <v>[...]</v>
      </c>
      <c r="B481" s="57" t="s">
        <v>56</v>
      </c>
      <c r="C481" s="200"/>
      <c r="D481" s="201"/>
      <c r="E481" s="182"/>
      <c r="F481" s="200"/>
      <c r="G481" s="201"/>
      <c r="H481" s="182"/>
      <c r="I481" s="200"/>
      <c r="J481" s="201"/>
      <c r="K481" s="182"/>
      <c r="L481" s="200"/>
      <c r="M481" s="201"/>
      <c r="N481" s="182"/>
      <c r="O481" s="200"/>
      <c r="P481" s="201"/>
      <c r="Q481" s="182"/>
      <c r="R481" s="200"/>
      <c r="S481" s="201"/>
      <c r="T481" s="182"/>
      <c r="U481" s="200"/>
      <c r="V481" s="201"/>
      <c r="W481" s="182"/>
      <c r="X481" s="200"/>
      <c r="Y481" s="201"/>
      <c r="Z481" s="182"/>
      <c r="AA481" s="200"/>
      <c r="AB481" s="201"/>
      <c r="AC481" s="182"/>
      <c r="AD481" s="200"/>
      <c r="AE481" s="201"/>
      <c r="AF481" s="182"/>
      <c r="AG481" s="200"/>
      <c r="AH481" s="201"/>
      <c r="AI481" s="256"/>
      <c r="AJ481" s="200"/>
      <c r="AK481" s="201"/>
      <c r="AL481" s="256"/>
      <c r="AM481" s="200"/>
      <c r="AN481" s="201"/>
      <c r="AO481" s="256"/>
      <c r="AP481" s="40"/>
      <c r="AQ481" s="40"/>
      <c r="AR481" s="40"/>
      <c r="AS481" s="40"/>
      <c r="AT481" s="40"/>
      <c r="AU481" s="40"/>
      <c r="AV481" s="40"/>
      <c r="AW481" s="40"/>
      <c r="AX481" s="40"/>
      <c r="AY481" s="40"/>
      <c r="AZ481" s="40"/>
      <c r="BA481" s="40"/>
      <c r="BB481" s="40"/>
      <c r="BC481" s="40"/>
      <c r="BD481" s="40"/>
      <c r="BE481" s="40"/>
      <c r="BF481" s="40"/>
      <c r="BG481" s="40"/>
      <c r="BH481" s="40"/>
      <c r="BI481" s="40"/>
    </row>
    <row r="482" ht="18.0" customHeight="1">
      <c r="A482" s="41" t="str">
        <f t="shared" si="10"/>
        <v>[...]</v>
      </c>
      <c r="B482" s="57" t="s">
        <v>56</v>
      </c>
      <c r="C482" s="200"/>
      <c r="D482" s="201"/>
      <c r="E482" s="182"/>
      <c r="F482" s="200"/>
      <c r="G482" s="201"/>
      <c r="H482" s="182"/>
      <c r="I482" s="200"/>
      <c r="J482" s="201"/>
      <c r="K482" s="182"/>
      <c r="L482" s="200"/>
      <c r="M482" s="201"/>
      <c r="N482" s="182"/>
      <c r="O482" s="200"/>
      <c r="P482" s="201"/>
      <c r="Q482" s="182"/>
      <c r="R482" s="200"/>
      <c r="S482" s="201"/>
      <c r="T482" s="182"/>
      <c r="U482" s="200"/>
      <c r="V482" s="201"/>
      <c r="W482" s="182"/>
      <c r="X482" s="200"/>
      <c r="Y482" s="201"/>
      <c r="Z482" s="182"/>
      <c r="AA482" s="200"/>
      <c r="AB482" s="201"/>
      <c r="AC482" s="182"/>
      <c r="AD482" s="200"/>
      <c r="AE482" s="201"/>
      <c r="AF482" s="182"/>
      <c r="AG482" s="200"/>
      <c r="AH482" s="201"/>
      <c r="AI482" s="256"/>
      <c r="AJ482" s="200"/>
      <c r="AK482" s="201"/>
      <c r="AL482" s="256"/>
      <c r="AM482" s="200"/>
      <c r="AN482" s="201"/>
      <c r="AO482" s="256"/>
      <c r="AP482" s="40"/>
      <c r="AQ482" s="40"/>
      <c r="AR482" s="40"/>
      <c r="AS482" s="40"/>
      <c r="AT482" s="40"/>
      <c r="AU482" s="40"/>
      <c r="AV482" s="40"/>
      <c r="AW482" s="40"/>
      <c r="AX482" s="40"/>
      <c r="AY482" s="40"/>
      <c r="AZ482" s="40"/>
      <c r="BA482" s="40"/>
      <c r="BB482" s="40"/>
      <c r="BC482" s="40"/>
      <c r="BD482" s="40"/>
      <c r="BE482" s="40"/>
      <c r="BF482" s="40"/>
      <c r="BG482" s="40"/>
      <c r="BH482" s="40"/>
      <c r="BI482" s="40"/>
    </row>
    <row r="483" ht="18.0" customHeight="1">
      <c r="A483" s="41" t="str">
        <f t="shared" si="10"/>
        <v>Frais administration</v>
      </c>
      <c r="B483" s="97" t="s">
        <v>148</v>
      </c>
      <c r="C483" s="202"/>
      <c r="D483" s="201"/>
      <c r="E483" s="182"/>
      <c r="F483" s="202"/>
      <c r="G483" s="201"/>
      <c r="H483" s="182"/>
      <c r="I483" s="202"/>
      <c r="J483" s="201"/>
      <c r="K483" s="182"/>
      <c r="L483" s="202"/>
      <c r="M483" s="201"/>
      <c r="N483" s="182"/>
      <c r="O483" s="202"/>
      <c r="P483" s="201"/>
      <c r="Q483" s="182"/>
      <c r="R483" s="202"/>
      <c r="S483" s="201"/>
      <c r="T483" s="182"/>
      <c r="U483" s="202"/>
      <c r="V483" s="201"/>
      <c r="W483" s="182"/>
      <c r="X483" s="202"/>
      <c r="Y483" s="201"/>
      <c r="Z483" s="182"/>
      <c r="AA483" s="202"/>
      <c r="AB483" s="201"/>
      <c r="AC483" s="182"/>
      <c r="AD483" s="202"/>
      <c r="AE483" s="201"/>
      <c r="AF483" s="182"/>
      <c r="AG483" s="202"/>
      <c r="AH483" s="201"/>
      <c r="AI483" s="256"/>
      <c r="AJ483" s="202"/>
      <c r="AK483" s="201"/>
      <c r="AL483" s="256"/>
      <c r="AM483" s="202"/>
      <c r="AN483" s="201"/>
      <c r="AO483" s="256"/>
      <c r="AP483" s="40"/>
      <c r="AQ483" s="40"/>
      <c r="AR483" s="40"/>
      <c r="AS483" s="40"/>
      <c r="AT483" s="40"/>
      <c r="AU483" s="40"/>
      <c r="AV483" s="40"/>
      <c r="AW483" s="40"/>
      <c r="AX483" s="40"/>
      <c r="AY483" s="40"/>
      <c r="AZ483" s="40"/>
      <c r="BA483" s="40"/>
      <c r="BB483" s="40"/>
      <c r="BC483" s="40"/>
      <c r="BD483" s="40"/>
      <c r="BE483" s="40"/>
      <c r="BF483" s="40"/>
      <c r="BG483" s="40"/>
      <c r="BH483" s="40"/>
      <c r="BI483" s="40"/>
    </row>
    <row r="484" ht="15.75" customHeight="1">
      <c r="A484" s="41" t="str">
        <f t="shared" si="10"/>
        <v>TOTAL AUTRES REVENUS</v>
      </c>
      <c r="B484" s="187" t="s">
        <v>211</v>
      </c>
      <c r="C484" s="188"/>
      <c r="D484" s="203"/>
      <c r="E484" s="190"/>
      <c r="F484" s="188"/>
      <c r="G484" s="203"/>
      <c r="H484" s="190"/>
      <c r="I484" s="188"/>
      <c r="J484" s="203"/>
      <c r="K484" s="190"/>
      <c r="L484" s="188"/>
      <c r="M484" s="203"/>
      <c r="N484" s="190"/>
      <c r="O484" s="188"/>
      <c r="P484" s="203"/>
      <c r="Q484" s="190"/>
      <c r="R484" s="188"/>
      <c r="S484" s="203"/>
      <c r="T484" s="190"/>
      <c r="U484" s="188"/>
      <c r="V484" s="203"/>
      <c r="W484" s="190"/>
      <c r="X484" s="188"/>
      <c r="Y484" s="203"/>
      <c r="Z484" s="190"/>
      <c r="AA484" s="188"/>
      <c r="AB484" s="203"/>
      <c r="AC484" s="190"/>
      <c r="AD484" s="188"/>
      <c r="AE484" s="203"/>
      <c r="AF484" s="190"/>
      <c r="AG484" s="188"/>
      <c r="AH484" s="203"/>
      <c r="AI484" s="190"/>
      <c r="AJ484" s="188"/>
      <c r="AK484" s="203"/>
      <c r="AL484" s="190"/>
      <c r="AM484" s="188"/>
      <c r="AN484" s="203"/>
      <c r="AO484" s="190"/>
      <c r="AP484" s="40"/>
      <c r="AQ484" s="40"/>
      <c r="AR484" s="40"/>
      <c r="AS484" s="40"/>
      <c r="AT484" s="40"/>
      <c r="AU484" s="40"/>
      <c r="AV484" s="40"/>
      <c r="AW484" s="40"/>
      <c r="AX484" s="40"/>
      <c r="AY484" s="40"/>
      <c r="AZ484" s="40"/>
      <c r="BA484" s="40"/>
      <c r="BB484" s="40"/>
      <c r="BC484" s="40"/>
      <c r="BD484" s="40"/>
      <c r="BE484" s="40"/>
      <c r="BF484" s="40"/>
      <c r="BG484" s="40"/>
      <c r="BH484" s="40"/>
      <c r="BI484" s="40"/>
    </row>
    <row r="485" ht="15.75" customHeight="1">
      <c r="A485" s="41" t="str">
        <f t="shared" si="10"/>
        <v/>
      </c>
      <c r="B485" s="204"/>
      <c r="C485" s="262"/>
      <c r="D485" s="263"/>
      <c r="E485" s="264"/>
      <c r="F485" s="262"/>
      <c r="G485" s="263"/>
      <c r="H485" s="264"/>
      <c r="I485" s="262"/>
      <c r="J485" s="263"/>
      <c r="K485" s="264"/>
      <c r="L485" s="262"/>
      <c r="M485" s="263"/>
      <c r="N485" s="264"/>
      <c r="O485" s="262"/>
      <c r="P485" s="263"/>
      <c r="Q485" s="264"/>
      <c r="R485" s="262"/>
      <c r="S485" s="263"/>
      <c r="T485" s="264"/>
      <c r="U485" s="262"/>
      <c r="V485" s="263"/>
      <c r="W485" s="264"/>
      <c r="X485" s="262"/>
      <c r="Y485" s="263"/>
      <c r="Z485" s="264"/>
      <c r="AA485" s="262"/>
      <c r="AB485" s="263"/>
      <c r="AC485" s="264"/>
      <c r="AD485" s="262"/>
      <c r="AE485" s="263"/>
      <c r="AF485" s="264"/>
      <c r="AG485" s="262"/>
      <c r="AH485" s="263"/>
      <c r="AI485" s="264"/>
      <c r="AJ485" s="262"/>
      <c r="AK485" s="263"/>
      <c r="AL485" s="264"/>
      <c r="AM485" s="262"/>
      <c r="AN485" s="263"/>
      <c r="AO485" s="264"/>
      <c r="AP485" s="40"/>
      <c r="AQ485" s="40"/>
      <c r="AR485" s="40"/>
      <c r="AS485" s="40"/>
      <c r="AT485" s="40"/>
      <c r="AU485" s="40"/>
      <c r="AV485" s="40"/>
      <c r="AW485" s="40"/>
      <c r="AX485" s="40"/>
      <c r="AY485" s="40"/>
      <c r="AZ485" s="40"/>
      <c r="BA485" s="40"/>
      <c r="BB485" s="40"/>
      <c r="BC485" s="40"/>
      <c r="BD485" s="40"/>
      <c r="BE485" s="40"/>
      <c r="BF485" s="40"/>
      <c r="BG485" s="40"/>
      <c r="BH485" s="40"/>
      <c r="BI485" s="40"/>
    </row>
    <row r="486" ht="15.75" customHeight="1">
      <c r="A486" s="41" t="str">
        <f t="shared" si="10"/>
        <v>BAIIA OPÉRATIONNEL</v>
      </c>
      <c r="B486" s="206" t="s">
        <v>212</v>
      </c>
      <c r="C486" s="207"/>
      <c r="D486" s="208"/>
      <c r="E486" s="209"/>
      <c r="F486" s="207"/>
      <c r="G486" s="208"/>
      <c r="H486" s="209"/>
      <c r="I486" s="207"/>
      <c r="J486" s="208"/>
      <c r="K486" s="209"/>
      <c r="L486" s="207"/>
      <c r="M486" s="208"/>
      <c r="N486" s="209"/>
      <c r="O486" s="207"/>
      <c r="P486" s="208"/>
      <c r="Q486" s="209"/>
      <c r="R486" s="207"/>
      <c r="S486" s="208"/>
      <c r="T486" s="209"/>
      <c r="U486" s="207"/>
      <c r="V486" s="208"/>
      <c r="W486" s="209"/>
      <c r="X486" s="207"/>
      <c r="Y486" s="208"/>
      <c r="Z486" s="209"/>
      <c r="AA486" s="207"/>
      <c r="AB486" s="208"/>
      <c r="AC486" s="209"/>
      <c r="AD486" s="207"/>
      <c r="AE486" s="208"/>
      <c r="AF486" s="209"/>
      <c r="AG486" s="207"/>
      <c r="AH486" s="208"/>
      <c r="AI486" s="209"/>
      <c r="AJ486" s="207"/>
      <c r="AK486" s="208"/>
      <c r="AL486" s="209"/>
      <c r="AM486" s="207"/>
      <c r="AN486" s="208"/>
      <c r="AO486" s="209"/>
      <c r="AP486" s="40"/>
      <c r="AQ486" s="40"/>
      <c r="AR486" s="40"/>
      <c r="AS486" s="40"/>
      <c r="AT486" s="40"/>
      <c r="AU486" s="40"/>
      <c r="AV486" s="40"/>
      <c r="AW486" s="40"/>
      <c r="AX486" s="40"/>
      <c r="AY486" s="40"/>
      <c r="AZ486" s="40"/>
      <c r="BA486" s="40"/>
      <c r="BB486" s="40"/>
      <c r="BC486" s="40"/>
      <c r="BD486" s="40"/>
      <c r="BE486" s="40"/>
      <c r="BF486" s="40"/>
      <c r="BG486" s="40"/>
      <c r="BH486" s="40"/>
      <c r="BI486" s="40"/>
    </row>
    <row r="487" ht="15.75" customHeight="1">
      <c r="A487" s="41"/>
      <c r="B487" s="112"/>
      <c r="C487" s="74"/>
      <c r="D487" s="74"/>
      <c r="E487" s="210">
        <v>2211033.1199999936</v>
      </c>
      <c r="F487" s="74"/>
      <c r="G487" s="74"/>
      <c r="H487" s="210"/>
      <c r="I487" s="74"/>
      <c r="J487" s="74"/>
      <c r="K487" s="210"/>
      <c r="L487" s="74"/>
      <c r="M487" s="74"/>
      <c r="N487" s="210"/>
      <c r="O487" s="74"/>
      <c r="P487" s="74"/>
      <c r="Q487" s="210"/>
      <c r="R487" s="74"/>
      <c r="S487" s="74"/>
      <c r="T487" s="210"/>
      <c r="U487" s="74"/>
      <c r="V487" s="74"/>
      <c r="W487" s="210"/>
      <c r="X487" s="74"/>
      <c r="Y487" s="74"/>
      <c r="Z487" s="210"/>
      <c r="AA487" s="74"/>
      <c r="AB487" s="74"/>
      <c r="AC487" s="210"/>
      <c r="AD487" s="74"/>
      <c r="AE487" s="74"/>
      <c r="AF487" s="210"/>
      <c r="AG487" s="74"/>
      <c r="AH487" s="74"/>
      <c r="AI487" s="210"/>
      <c r="AJ487" s="74"/>
      <c r="AK487" s="74"/>
      <c r="AL487" s="210"/>
      <c r="AM487" s="74"/>
      <c r="AN487" s="74"/>
      <c r="AO487" s="210"/>
      <c r="AP487" s="40"/>
      <c r="AQ487" s="40"/>
      <c r="AR487" s="40"/>
      <c r="AS487" s="40"/>
      <c r="AT487" s="40"/>
      <c r="AU487" s="40"/>
      <c r="AV487" s="40"/>
      <c r="AW487" s="40"/>
      <c r="AX487" s="40"/>
      <c r="AY487" s="40"/>
      <c r="AZ487" s="40"/>
      <c r="BA487" s="40"/>
      <c r="BB487" s="40"/>
      <c r="BC487" s="40"/>
      <c r="BD487" s="40"/>
      <c r="BE487" s="40"/>
      <c r="BF487" s="40"/>
      <c r="BG487" s="40"/>
      <c r="BH487" s="40"/>
      <c r="BI487" s="40"/>
    </row>
    <row r="488" ht="15.75" customHeight="1">
      <c r="A488" s="41"/>
      <c r="B488" s="112" t="s">
        <v>220</v>
      </c>
      <c r="C488" s="112" t="s">
        <v>213</v>
      </c>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c r="AG488" s="112"/>
      <c r="AH488" s="112"/>
      <c r="AI488" s="112"/>
      <c r="AJ488" s="112"/>
      <c r="AK488" s="112"/>
      <c r="AL488" s="112"/>
      <c r="AM488" s="112"/>
      <c r="AN488" s="112"/>
      <c r="AO488" s="112"/>
      <c r="AP488" s="40"/>
      <c r="AQ488" s="40"/>
      <c r="AR488" s="40"/>
      <c r="AS488" s="40"/>
      <c r="AT488" s="40"/>
      <c r="AU488" s="40"/>
      <c r="AV488" s="40"/>
      <c r="AW488" s="40"/>
      <c r="AX488" s="40"/>
      <c r="AY488" s="40"/>
      <c r="AZ488" s="40"/>
      <c r="BA488" s="40"/>
      <c r="BB488" s="40"/>
      <c r="BC488" s="40"/>
      <c r="BD488" s="40"/>
      <c r="BE488" s="40"/>
      <c r="BF488" s="40"/>
      <c r="BG488" s="40"/>
      <c r="BH488" s="40"/>
      <c r="BI488" s="40"/>
    </row>
    <row r="489" ht="15.75" customHeight="1">
      <c r="A489" s="41"/>
      <c r="B489" s="112"/>
      <c r="C489" s="74"/>
      <c r="D489" s="74"/>
      <c r="E489" s="210"/>
      <c r="F489" s="74"/>
      <c r="G489" s="74"/>
      <c r="H489" s="210"/>
      <c r="I489" s="74"/>
      <c r="J489" s="74"/>
      <c r="K489" s="210"/>
      <c r="L489" s="74"/>
      <c r="M489" s="74"/>
      <c r="N489" s="210"/>
      <c r="O489" s="74"/>
      <c r="P489" s="74"/>
      <c r="Q489" s="210"/>
      <c r="R489" s="74"/>
      <c r="S489" s="74"/>
      <c r="T489" s="210"/>
      <c r="U489" s="74"/>
      <c r="V489" s="74"/>
      <c r="W489" s="210"/>
      <c r="X489" s="74"/>
      <c r="Y489" s="74"/>
      <c r="Z489" s="210"/>
      <c r="AA489" s="74"/>
      <c r="AB489" s="74"/>
      <c r="AC489" s="210"/>
      <c r="AD489" s="74"/>
      <c r="AE489" s="74"/>
      <c r="AF489" s="210"/>
      <c r="AG489" s="74"/>
      <c r="AH489" s="74"/>
      <c r="AI489" s="210"/>
      <c r="AJ489" s="74"/>
      <c r="AK489" s="74"/>
      <c r="AL489" s="210"/>
      <c r="AM489" s="74"/>
      <c r="AN489" s="74"/>
      <c r="AO489" s="210"/>
      <c r="AP489" s="40"/>
      <c r="AQ489" s="40"/>
      <c r="AR489" s="40"/>
      <c r="AS489" s="40"/>
      <c r="AT489" s="40"/>
      <c r="AU489" s="40"/>
      <c r="AV489" s="40"/>
      <c r="AW489" s="40"/>
      <c r="AX489" s="40"/>
      <c r="AY489" s="40"/>
      <c r="AZ489" s="40"/>
      <c r="BA489" s="40"/>
      <c r="BB489" s="40"/>
      <c r="BC489" s="40"/>
      <c r="BD489" s="40"/>
      <c r="BE489" s="40"/>
      <c r="BF489" s="40"/>
      <c r="BG489" s="40"/>
      <c r="BH489" s="40"/>
      <c r="BI489" s="40"/>
    </row>
    <row r="490" ht="15.75" customHeight="1">
      <c r="A490" s="41"/>
      <c r="B490" s="112"/>
      <c r="C490" s="74"/>
      <c r="D490" s="74"/>
      <c r="E490" s="210"/>
      <c r="F490" s="74"/>
      <c r="G490" s="74"/>
      <c r="H490" s="210"/>
      <c r="I490" s="74"/>
      <c r="J490" s="74"/>
      <c r="K490" s="210"/>
      <c r="L490" s="74"/>
      <c r="M490" s="74"/>
      <c r="N490" s="210"/>
      <c r="O490" s="74"/>
      <c r="P490" s="74"/>
      <c r="Q490" s="210"/>
      <c r="R490" s="74"/>
      <c r="S490" s="74"/>
      <c r="T490" s="210"/>
      <c r="U490" s="74"/>
      <c r="V490" s="74"/>
      <c r="W490" s="210"/>
      <c r="X490" s="74"/>
      <c r="Y490" s="74"/>
      <c r="Z490" s="210"/>
      <c r="AA490" s="74"/>
      <c r="AB490" s="74"/>
      <c r="AC490" s="210"/>
      <c r="AD490" s="74"/>
      <c r="AE490" s="74"/>
      <c r="AF490" s="210"/>
      <c r="AG490" s="74"/>
      <c r="AH490" s="74"/>
      <c r="AI490" s="210"/>
      <c r="AJ490" s="74"/>
      <c r="AK490" s="74"/>
      <c r="AL490" s="210"/>
      <c r="AM490" s="74"/>
      <c r="AN490" s="74"/>
      <c r="AO490" s="210"/>
      <c r="AP490" s="40"/>
      <c r="AQ490" s="40"/>
      <c r="AR490" s="40"/>
      <c r="AS490" s="40"/>
      <c r="AT490" s="40"/>
      <c r="AU490" s="40"/>
      <c r="AV490" s="40"/>
      <c r="AW490" s="40"/>
      <c r="AX490" s="40"/>
      <c r="AY490" s="40"/>
      <c r="AZ490" s="40"/>
      <c r="BA490" s="40"/>
      <c r="BB490" s="40"/>
      <c r="BC490" s="40"/>
      <c r="BD490" s="40"/>
      <c r="BE490" s="40"/>
      <c r="BF490" s="40"/>
      <c r="BG490" s="40"/>
      <c r="BH490" s="40"/>
      <c r="BI490" s="40"/>
    </row>
    <row r="491" ht="15.75" customHeight="1">
      <c r="A491" s="41"/>
      <c r="B491" s="112" t="s">
        <v>229</v>
      </c>
      <c r="C491" s="215"/>
      <c r="D491" s="213"/>
      <c r="E491" s="216"/>
      <c r="F491" s="215"/>
      <c r="G491" s="213"/>
      <c r="H491" s="216"/>
      <c r="I491" s="215"/>
      <c r="J491" s="213"/>
      <c r="K491" s="216"/>
      <c r="L491" s="215"/>
      <c r="M491" s="213"/>
      <c r="N491" s="216"/>
      <c r="O491" s="215"/>
      <c r="P491" s="213"/>
      <c r="Q491" s="216"/>
      <c r="R491" s="215"/>
      <c r="S491" s="213"/>
      <c r="T491" s="216"/>
      <c r="U491" s="215"/>
      <c r="V491" s="213"/>
      <c r="W491" s="216"/>
      <c r="X491" s="215"/>
      <c r="Y491" s="213"/>
      <c r="Z491" s="216"/>
      <c r="AA491" s="215"/>
      <c r="AB491" s="213"/>
      <c r="AC491" s="216"/>
      <c r="AD491" s="215"/>
      <c r="AE491" s="213"/>
      <c r="AF491" s="216"/>
      <c r="AG491" s="215"/>
      <c r="AH491" s="213"/>
      <c r="AI491" s="216"/>
      <c r="AJ491" s="215"/>
      <c r="AK491" s="213"/>
      <c r="AL491" s="216"/>
      <c r="AM491" s="215"/>
      <c r="AN491" s="213"/>
      <c r="AO491" s="216"/>
      <c r="AP491" s="40"/>
      <c r="AQ491" s="40"/>
      <c r="AR491" s="40"/>
      <c r="AS491" s="40"/>
      <c r="AT491" s="40"/>
      <c r="AU491" s="40"/>
      <c r="AV491" s="40"/>
      <c r="AW491" s="40"/>
      <c r="AX491" s="40"/>
      <c r="AY491" s="40"/>
      <c r="AZ491" s="40"/>
      <c r="BA491" s="40"/>
      <c r="BB491" s="40"/>
      <c r="BC491" s="40"/>
      <c r="BD491" s="40"/>
      <c r="BE491" s="40"/>
      <c r="BF491" s="40"/>
      <c r="BG491" s="40"/>
      <c r="BH491" s="40"/>
      <c r="BI491" s="40"/>
    </row>
    <row r="492" ht="15.75" customHeight="1">
      <c r="A492" s="41"/>
      <c r="B492" s="211" t="s">
        <v>212</v>
      </c>
      <c r="C492" s="215"/>
      <c r="D492" s="213"/>
      <c r="E492" s="216"/>
      <c r="F492" s="215"/>
      <c r="G492" s="213"/>
      <c r="H492" s="216"/>
      <c r="I492" s="215"/>
      <c r="J492" s="213"/>
      <c r="K492" s="216"/>
      <c r="L492" s="215"/>
      <c r="M492" s="213"/>
      <c r="N492" s="216"/>
      <c r="O492" s="215"/>
      <c r="P492" s="213"/>
      <c r="Q492" s="216"/>
      <c r="R492" s="215"/>
      <c r="S492" s="213"/>
      <c r="T492" s="216"/>
      <c r="U492" s="215"/>
      <c r="V492" s="213"/>
      <c r="W492" s="216"/>
      <c r="X492" s="215"/>
      <c r="Y492" s="213"/>
      <c r="Z492" s="216"/>
      <c r="AA492" s="215"/>
      <c r="AB492" s="213"/>
      <c r="AC492" s="216"/>
      <c r="AD492" s="215"/>
      <c r="AE492" s="213"/>
      <c r="AF492" s="216"/>
      <c r="AG492" s="215"/>
      <c r="AH492" s="213"/>
      <c r="AI492" s="216"/>
      <c r="AJ492" s="215"/>
      <c r="AK492" s="213"/>
      <c r="AL492" s="216"/>
      <c r="AM492" s="215"/>
      <c r="AN492" s="213"/>
      <c r="AO492" s="216"/>
      <c r="AP492" s="40"/>
      <c r="AQ492" s="40"/>
      <c r="AR492" s="40"/>
      <c r="AS492" s="40"/>
      <c r="AT492" s="40"/>
      <c r="AU492" s="40"/>
      <c r="AV492" s="40"/>
      <c r="AW492" s="40"/>
      <c r="AX492" s="40"/>
      <c r="AY492" s="40"/>
      <c r="AZ492" s="40"/>
      <c r="BA492" s="40"/>
      <c r="BB492" s="40"/>
      <c r="BC492" s="40"/>
      <c r="BD492" s="40"/>
      <c r="BE492" s="40"/>
      <c r="BF492" s="40"/>
      <c r="BG492" s="40"/>
      <c r="BH492" s="40"/>
      <c r="BI492" s="40"/>
    </row>
    <row r="493" ht="15.75" customHeight="1">
      <c r="A493" s="41"/>
      <c r="B493" s="217"/>
      <c r="C493" s="218"/>
      <c r="D493" s="111"/>
      <c r="E493" s="219"/>
      <c r="F493" s="218"/>
      <c r="G493" s="111"/>
      <c r="H493" s="219"/>
      <c r="I493" s="218"/>
      <c r="J493" s="111"/>
      <c r="K493" s="219"/>
      <c r="L493" s="218"/>
      <c r="M493" s="111"/>
      <c r="N493" s="219"/>
      <c r="O493" s="218"/>
      <c r="P493" s="111"/>
      <c r="Q493" s="219"/>
      <c r="R493" s="218"/>
      <c r="S493" s="111"/>
      <c r="T493" s="219"/>
      <c r="U493" s="218"/>
      <c r="V493" s="111"/>
      <c r="W493" s="219"/>
      <c r="X493" s="218"/>
      <c r="Y493" s="111"/>
      <c r="Z493" s="219"/>
      <c r="AA493" s="218"/>
      <c r="AB493" s="111"/>
      <c r="AC493" s="219"/>
      <c r="AD493" s="218"/>
      <c r="AE493" s="111"/>
      <c r="AF493" s="219"/>
      <c r="AG493" s="218"/>
      <c r="AH493" s="111"/>
      <c r="AI493" s="219"/>
      <c r="AJ493" s="218"/>
      <c r="AK493" s="111"/>
      <c r="AL493" s="219"/>
      <c r="AM493" s="218"/>
      <c r="AN493" s="111"/>
      <c r="AO493" s="219"/>
      <c r="AP493" s="40"/>
      <c r="AQ493" s="40"/>
      <c r="AR493" s="40"/>
      <c r="AS493" s="40"/>
      <c r="AT493" s="40"/>
      <c r="AU493" s="40"/>
      <c r="AV493" s="40"/>
      <c r="AW493" s="40"/>
      <c r="AX493" s="40"/>
      <c r="AY493" s="40"/>
      <c r="AZ493" s="40"/>
      <c r="BA493" s="40"/>
      <c r="BB493" s="40"/>
      <c r="BC493" s="40"/>
      <c r="BD493" s="40"/>
      <c r="BE493" s="40"/>
      <c r="BF493" s="40"/>
      <c r="BG493" s="40"/>
      <c r="BH493" s="40"/>
      <c r="BI493" s="40"/>
    </row>
    <row r="494" ht="15.75" customHeight="1">
      <c r="A494" s="41" t="str">
        <f t="shared" ref="A494:A500" si="11">B494</f>
        <v>Amortissement</v>
      </c>
      <c r="B494" s="220" t="s">
        <v>214</v>
      </c>
      <c r="C494" s="96"/>
      <c r="D494" s="184"/>
      <c r="E494" s="182"/>
      <c r="F494" s="96"/>
      <c r="G494" s="184"/>
      <c r="H494" s="182"/>
      <c r="I494" s="96"/>
      <c r="J494" s="184"/>
      <c r="K494" s="182"/>
      <c r="L494" s="96"/>
      <c r="M494" s="184"/>
      <c r="N494" s="182"/>
      <c r="O494" s="96"/>
      <c r="P494" s="184"/>
      <c r="Q494" s="182"/>
      <c r="R494" s="96"/>
      <c r="S494" s="184"/>
      <c r="T494" s="182"/>
      <c r="U494" s="96"/>
      <c r="V494" s="184"/>
      <c r="W494" s="182"/>
      <c r="X494" s="96"/>
      <c r="Y494" s="184"/>
      <c r="Z494" s="182"/>
      <c r="AA494" s="96"/>
      <c r="AB494" s="184"/>
      <c r="AC494" s="182"/>
      <c r="AD494" s="96"/>
      <c r="AE494" s="184"/>
      <c r="AF494" s="182"/>
      <c r="AG494" s="96"/>
      <c r="AH494" s="184"/>
      <c r="AI494" s="182"/>
      <c r="AJ494" s="96"/>
      <c r="AK494" s="184"/>
      <c r="AL494" s="182"/>
      <c r="AM494" s="96"/>
      <c r="AN494" s="184"/>
      <c r="AO494" s="255"/>
      <c r="AP494" s="40"/>
      <c r="AQ494" s="40"/>
      <c r="AR494" s="40"/>
      <c r="AS494" s="40"/>
      <c r="AT494" s="40"/>
      <c r="AU494" s="40"/>
      <c r="AV494" s="40"/>
      <c r="AW494" s="40"/>
      <c r="AX494" s="40"/>
      <c r="AY494" s="40"/>
      <c r="AZ494" s="40"/>
      <c r="BA494" s="40"/>
      <c r="BB494" s="40"/>
      <c r="BC494" s="40"/>
      <c r="BD494" s="40"/>
      <c r="BE494" s="40"/>
      <c r="BF494" s="40"/>
      <c r="BG494" s="40"/>
      <c r="BH494" s="40"/>
      <c r="BI494" s="40"/>
    </row>
    <row r="495" ht="15.75" customHeight="1">
      <c r="A495" s="41" t="str">
        <f t="shared" si="11"/>
        <v>Intérêts sur marge</v>
      </c>
      <c r="B495" s="220" t="s">
        <v>215</v>
      </c>
      <c r="C495" s="218"/>
      <c r="D495" s="74"/>
      <c r="E495" s="182"/>
      <c r="F495" s="218"/>
      <c r="G495" s="74"/>
      <c r="H495" s="182"/>
      <c r="I495" s="218"/>
      <c r="J495" s="74"/>
      <c r="K495" s="182"/>
      <c r="L495" s="218"/>
      <c r="M495" s="74"/>
      <c r="N495" s="182"/>
      <c r="O495" s="218"/>
      <c r="P495" s="74"/>
      <c r="Q495" s="182"/>
      <c r="R495" s="218"/>
      <c r="S495" s="74"/>
      <c r="T495" s="182"/>
      <c r="U495" s="218"/>
      <c r="V495" s="74"/>
      <c r="W495" s="182"/>
      <c r="X495" s="218"/>
      <c r="Y495" s="74"/>
      <c r="Z495" s="182"/>
      <c r="AA495" s="218"/>
      <c r="AB495" s="74"/>
      <c r="AC495" s="182"/>
      <c r="AD495" s="218"/>
      <c r="AE495" s="74"/>
      <c r="AF495" s="182"/>
      <c r="AG495" s="218"/>
      <c r="AH495" s="74"/>
      <c r="AI495" s="182"/>
      <c r="AJ495" s="218"/>
      <c r="AK495" s="74"/>
      <c r="AL495" s="182"/>
      <c r="AM495" s="218"/>
      <c r="AN495" s="74"/>
      <c r="AO495" s="255"/>
      <c r="AP495" s="40"/>
      <c r="AQ495" s="40"/>
      <c r="AR495" s="40"/>
      <c r="AS495" s="40"/>
      <c r="AT495" s="40"/>
      <c r="AU495" s="40"/>
      <c r="AV495" s="40"/>
      <c r="AW495" s="40"/>
      <c r="AX495" s="40"/>
      <c r="AY495" s="40"/>
      <c r="AZ495" s="40"/>
      <c r="BA495" s="40"/>
      <c r="BB495" s="40"/>
      <c r="BC495" s="40"/>
      <c r="BD495" s="40"/>
      <c r="BE495" s="40"/>
      <c r="BF495" s="40"/>
      <c r="BG495" s="40"/>
      <c r="BH495" s="40"/>
      <c r="BI495" s="40"/>
    </row>
    <row r="496" ht="15.75" customHeight="1">
      <c r="A496" s="41" t="str">
        <f t="shared" si="11"/>
        <v>Intérêts sur prêt</v>
      </c>
      <c r="B496" s="220" t="s">
        <v>216</v>
      </c>
      <c r="C496" s="57"/>
      <c r="D496" s="74"/>
      <c r="E496" s="182"/>
      <c r="F496" s="57"/>
      <c r="G496" s="74"/>
      <c r="H496" s="182"/>
      <c r="I496" s="57"/>
      <c r="J496" s="74"/>
      <c r="K496" s="182"/>
      <c r="L496" s="57"/>
      <c r="M496" s="74"/>
      <c r="N496" s="182"/>
      <c r="O496" s="57"/>
      <c r="P496" s="74"/>
      <c r="Q496" s="182"/>
      <c r="R496" s="57"/>
      <c r="S496" s="74"/>
      <c r="T496" s="182"/>
      <c r="U496" s="57"/>
      <c r="V496" s="74"/>
      <c r="W496" s="182"/>
      <c r="X496" s="57"/>
      <c r="Y496" s="74"/>
      <c r="Z496" s="182"/>
      <c r="AA496" s="57"/>
      <c r="AB496" s="74"/>
      <c r="AC496" s="182"/>
      <c r="AD496" s="57"/>
      <c r="AE496" s="74"/>
      <c r="AF496" s="182"/>
      <c r="AG496" s="57"/>
      <c r="AH496" s="74"/>
      <c r="AI496" s="182"/>
      <c r="AJ496" s="57"/>
      <c r="AK496" s="74"/>
      <c r="AL496" s="182"/>
      <c r="AM496" s="57"/>
      <c r="AN496" s="74"/>
      <c r="AO496" s="255"/>
      <c r="AP496" s="40"/>
      <c r="AQ496" s="40"/>
      <c r="AR496" s="40"/>
      <c r="AS496" s="40"/>
      <c r="AT496" s="40"/>
      <c r="AU496" s="40"/>
      <c r="AV496" s="40"/>
      <c r="AW496" s="40"/>
      <c r="AX496" s="40"/>
      <c r="AY496" s="40"/>
      <c r="AZ496" s="40"/>
      <c r="BA496" s="40"/>
      <c r="BB496" s="40"/>
      <c r="BC496" s="40"/>
      <c r="BD496" s="40"/>
      <c r="BE496" s="40"/>
      <c r="BF496" s="40"/>
      <c r="BG496" s="40"/>
      <c r="BH496" s="40"/>
      <c r="BI496" s="40"/>
    </row>
    <row r="497" ht="15.75" customHeight="1">
      <c r="A497" s="41" t="str">
        <f t="shared" si="11"/>
        <v>Intérêts sur avance</v>
      </c>
      <c r="B497" s="220" t="s">
        <v>217</v>
      </c>
      <c r="C497" s="70"/>
      <c r="D497" s="83"/>
      <c r="E497" s="182"/>
      <c r="F497" s="70"/>
      <c r="G497" s="83"/>
      <c r="H497" s="182"/>
      <c r="I497" s="70"/>
      <c r="J497" s="83"/>
      <c r="K497" s="182"/>
      <c r="L497" s="70"/>
      <c r="M497" s="83"/>
      <c r="N497" s="182"/>
      <c r="O497" s="70"/>
      <c r="P497" s="83"/>
      <c r="Q497" s="182"/>
      <c r="R497" s="70"/>
      <c r="S497" s="83"/>
      <c r="T497" s="182"/>
      <c r="U497" s="70"/>
      <c r="V497" s="83"/>
      <c r="W497" s="182"/>
      <c r="X497" s="70"/>
      <c r="Y497" s="83"/>
      <c r="Z497" s="182"/>
      <c r="AA497" s="70"/>
      <c r="AB497" s="83"/>
      <c r="AC497" s="182"/>
      <c r="AD497" s="70"/>
      <c r="AE497" s="83"/>
      <c r="AF497" s="182"/>
      <c r="AG497" s="70"/>
      <c r="AH497" s="83"/>
      <c r="AI497" s="182"/>
      <c r="AJ497" s="70"/>
      <c r="AK497" s="83"/>
      <c r="AL497" s="182"/>
      <c r="AM497" s="70"/>
      <c r="AN497" s="83"/>
      <c r="AO497" s="255"/>
      <c r="AP497" s="40"/>
      <c r="AQ497" s="40"/>
      <c r="AR497" s="40"/>
      <c r="AS497" s="40"/>
      <c r="AT497" s="40"/>
      <c r="AU497" s="40"/>
      <c r="AV497" s="40"/>
      <c r="AW497" s="40"/>
      <c r="AX497" s="40"/>
      <c r="AY497" s="40"/>
      <c r="AZ497" s="40"/>
      <c r="BA497" s="40"/>
      <c r="BB497" s="40"/>
      <c r="BC497" s="40"/>
      <c r="BD497" s="40"/>
      <c r="BE497" s="40"/>
      <c r="BF497" s="40"/>
      <c r="BG497" s="40"/>
      <c r="BH497" s="40"/>
      <c r="BI497" s="40"/>
    </row>
    <row r="498" ht="15.75" customHeight="1">
      <c r="A498" s="41" t="str">
        <f t="shared" si="11"/>
        <v>Intérêts sur hypothèque</v>
      </c>
      <c r="B498" s="222" t="s">
        <v>230</v>
      </c>
      <c r="C498" s="70"/>
      <c r="D498" s="83"/>
      <c r="E498" s="182"/>
      <c r="F498" s="70"/>
      <c r="G498" s="83"/>
      <c r="H498" s="182"/>
      <c r="I498" s="70"/>
      <c r="J498" s="83"/>
      <c r="K498" s="182"/>
      <c r="L498" s="70"/>
      <c r="M498" s="83"/>
      <c r="N498" s="182"/>
      <c r="O498" s="70"/>
      <c r="P498" s="83"/>
      <c r="Q498" s="182"/>
      <c r="R498" s="70"/>
      <c r="S498" s="83"/>
      <c r="T498" s="182"/>
      <c r="U498" s="70"/>
      <c r="V498" s="83"/>
      <c r="W498" s="182"/>
      <c r="X498" s="70"/>
      <c r="Y498" s="83"/>
      <c r="Z498" s="182"/>
      <c r="AA498" s="70"/>
      <c r="AB498" s="83"/>
      <c r="AC498" s="182"/>
      <c r="AD498" s="70"/>
      <c r="AE498" s="83"/>
      <c r="AF498" s="182"/>
      <c r="AG498" s="70"/>
      <c r="AH498" s="83"/>
      <c r="AI498" s="182"/>
      <c r="AJ498" s="70"/>
      <c r="AK498" s="83"/>
      <c r="AL498" s="182"/>
      <c r="AM498" s="70"/>
      <c r="AN498" s="83"/>
      <c r="AO498" s="182"/>
      <c r="AP498" s="40"/>
      <c r="AQ498" s="40"/>
      <c r="AR498" s="40"/>
      <c r="AS498" s="40"/>
      <c r="AT498" s="40"/>
      <c r="AU498" s="40"/>
      <c r="AV498" s="40"/>
      <c r="AW498" s="40"/>
      <c r="AX498" s="40"/>
      <c r="AY498" s="40"/>
      <c r="AZ498" s="40"/>
      <c r="BA498" s="40"/>
      <c r="BB498" s="40"/>
      <c r="BC498" s="40"/>
      <c r="BD498" s="40"/>
      <c r="BE498" s="40"/>
      <c r="BF498" s="40"/>
      <c r="BG498" s="40"/>
      <c r="BH498" s="40"/>
      <c r="BI498" s="40"/>
    </row>
    <row r="499" ht="15.75" customHeight="1">
      <c r="A499" s="41" t="str">
        <f t="shared" si="11"/>
        <v>Revenus d'intérêts Floor plan</v>
      </c>
      <c r="B499" s="222" t="s">
        <v>231</v>
      </c>
      <c r="C499" s="70"/>
      <c r="D499" s="83"/>
      <c r="E499" s="182"/>
      <c r="F499" s="70"/>
      <c r="G499" s="83"/>
      <c r="H499" s="182"/>
      <c r="I499" s="70"/>
      <c r="J499" s="83"/>
      <c r="K499" s="182"/>
      <c r="L499" s="70"/>
      <c r="M499" s="83"/>
      <c r="N499" s="182"/>
      <c r="O499" s="70"/>
      <c r="P499" s="83"/>
      <c r="Q499" s="182"/>
      <c r="R499" s="70"/>
      <c r="S499" s="83"/>
      <c r="T499" s="182"/>
      <c r="U499" s="70"/>
      <c r="V499" s="83"/>
      <c r="W499" s="182"/>
      <c r="X499" s="70"/>
      <c r="Y499" s="83"/>
      <c r="Z499" s="182"/>
      <c r="AA499" s="70"/>
      <c r="AB499" s="83"/>
      <c r="AC499" s="182"/>
      <c r="AD499" s="70"/>
      <c r="AE499" s="83"/>
      <c r="AF499" s="182"/>
      <c r="AG499" s="70"/>
      <c r="AH499" s="83"/>
      <c r="AI499" s="182"/>
      <c r="AJ499" s="70"/>
      <c r="AK499" s="83"/>
      <c r="AL499" s="182"/>
      <c r="AM499" s="70"/>
      <c r="AN499" s="83"/>
      <c r="AO499" s="182"/>
      <c r="AP499" s="40"/>
      <c r="AQ499" s="40"/>
      <c r="AR499" s="40"/>
      <c r="AS499" s="40"/>
      <c r="AT499" s="40"/>
      <c r="AU499" s="40"/>
      <c r="AV499" s="40"/>
      <c r="AW499" s="40"/>
      <c r="AX499" s="40"/>
      <c r="AY499" s="40"/>
      <c r="AZ499" s="40"/>
      <c r="BA499" s="40"/>
      <c r="BB499" s="40"/>
      <c r="BC499" s="40"/>
      <c r="BD499" s="40"/>
      <c r="BE499" s="40"/>
      <c r="BF499" s="40"/>
      <c r="BG499" s="40"/>
      <c r="BH499" s="40"/>
      <c r="BI499" s="40"/>
    </row>
    <row r="500" ht="15.75" customHeight="1">
      <c r="A500" s="41" t="str">
        <f t="shared" si="11"/>
        <v>[...]</v>
      </c>
      <c r="B500" s="223" t="s">
        <v>56</v>
      </c>
      <c r="C500" s="70"/>
      <c r="D500" s="83"/>
      <c r="E500" s="182"/>
      <c r="F500" s="70"/>
      <c r="G500" s="83"/>
      <c r="H500" s="182"/>
      <c r="I500" s="70"/>
      <c r="J500" s="83"/>
      <c r="K500" s="182"/>
      <c r="L500" s="70"/>
      <c r="M500" s="83"/>
      <c r="N500" s="182"/>
      <c r="O500" s="70"/>
      <c r="P500" s="83"/>
      <c r="Q500" s="182"/>
      <c r="R500" s="70"/>
      <c r="S500" s="83"/>
      <c r="T500" s="182"/>
      <c r="U500" s="70"/>
      <c r="V500" s="83"/>
      <c r="W500" s="182"/>
      <c r="X500" s="70"/>
      <c r="Y500" s="83"/>
      <c r="Z500" s="182"/>
      <c r="AA500" s="70"/>
      <c r="AB500" s="83"/>
      <c r="AC500" s="182"/>
      <c r="AD500" s="70"/>
      <c r="AE500" s="83"/>
      <c r="AF500" s="182"/>
      <c r="AG500" s="70"/>
      <c r="AH500" s="83"/>
      <c r="AI500" s="182"/>
      <c r="AJ500" s="70"/>
      <c r="AK500" s="83"/>
      <c r="AL500" s="182"/>
      <c r="AM500" s="70"/>
      <c r="AN500" s="83"/>
      <c r="AO500" s="182"/>
      <c r="AP500" s="40"/>
      <c r="AQ500" s="40"/>
      <c r="AR500" s="40"/>
      <c r="AS500" s="40"/>
      <c r="AT500" s="40"/>
      <c r="AU500" s="40"/>
      <c r="AV500" s="40"/>
      <c r="AW500" s="40"/>
      <c r="AX500" s="40"/>
      <c r="AY500" s="40"/>
      <c r="AZ500" s="40"/>
      <c r="BA500" s="40"/>
      <c r="BB500" s="40"/>
      <c r="BC500" s="40"/>
      <c r="BD500" s="40"/>
      <c r="BE500" s="40"/>
      <c r="BF500" s="40"/>
      <c r="BG500" s="40"/>
      <c r="BH500" s="40"/>
      <c r="BI500" s="40"/>
    </row>
    <row r="501" ht="15.75" customHeight="1">
      <c r="A501" s="33"/>
      <c r="B501" s="224" t="s">
        <v>219</v>
      </c>
      <c r="C501" s="207"/>
      <c r="D501" s="208"/>
      <c r="E501" s="209"/>
      <c r="F501" s="207"/>
      <c r="G501" s="208"/>
      <c r="H501" s="209"/>
      <c r="I501" s="207"/>
      <c r="J501" s="208"/>
      <c r="K501" s="209"/>
      <c r="L501" s="207"/>
      <c r="M501" s="208"/>
      <c r="N501" s="209"/>
      <c r="O501" s="207"/>
      <c r="P501" s="208"/>
      <c r="Q501" s="209"/>
      <c r="R501" s="207"/>
      <c r="S501" s="208"/>
      <c r="T501" s="209"/>
      <c r="U501" s="207"/>
      <c r="V501" s="208"/>
      <c r="W501" s="209"/>
      <c r="X501" s="207"/>
      <c r="Y501" s="208"/>
      <c r="Z501" s="209"/>
      <c r="AA501" s="207"/>
      <c r="AB501" s="208"/>
      <c r="AC501" s="209"/>
      <c r="AD501" s="207"/>
      <c r="AE501" s="208"/>
      <c r="AF501" s="209"/>
      <c r="AG501" s="207"/>
      <c r="AH501" s="208"/>
      <c r="AI501" s="209"/>
      <c r="AJ501" s="207"/>
      <c r="AK501" s="208"/>
      <c r="AL501" s="209"/>
      <c r="AM501" s="207"/>
      <c r="AN501" s="208"/>
      <c r="AO501" s="209"/>
      <c r="AP501" s="40"/>
      <c r="AQ501" s="40"/>
      <c r="AR501" s="40"/>
      <c r="AS501" s="40"/>
      <c r="AT501" s="40"/>
      <c r="AU501" s="40"/>
      <c r="AV501" s="40"/>
      <c r="AW501" s="40"/>
      <c r="AX501" s="40"/>
      <c r="AY501" s="40"/>
      <c r="AZ501" s="40"/>
      <c r="BA501" s="40"/>
      <c r="BB501" s="40"/>
      <c r="BC501" s="40"/>
      <c r="BD501" s="40"/>
      <c r="BE501" s="40"/>
      <c r="BF501" s="40"/>
      <c r="BG501" s="40"/>
      <c r="BH501" s="40"/>
      <c r="BI501" s="40"/>
    </row>
    <row r="502" ht="15.75" customHeight="1">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ht="15.75" customHeight="1">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ht="15.75" customHeight="1">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ht="15.75" customHeight="1">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ht="15.75" customHeight="1">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ht="15.75" customHeight="1">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ht="15.75" customHeight="1">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ht="15.75" customHeight="1">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ht="15.75" customHeight="1">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ht="15.75" customHeight="1">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ht="15.75" customHeight="1">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ht="15.75" customHeight="1">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ht="15.75" customHeight="1">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ht="15.75" customHeight="1">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ht="15.75" customHeight="1">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ht="15.75" customHeight="1">
      <c r="A517" s="33"/>
      <c r="B517" s="227"/>
      <c r="C517" s="228"/>
      <c r="D517" s="228"/>
      <c r="E517" s="228"/>
      <c r="F517" s="228"/>
      <c r="G517" s="228"/>
      <c r="H517" s="228"/>
      <c r="I517" s="228"/>
      <c r="J517" s="228"/>
      <c r="K517" s="228"/>
      <c r="L517" s="228"/>
      <c r="M517" s="228"/>
      <c r="N517" s="228"/>
      <c r="O517" s="228"/>
      <c r="P517" s="228"/>
      <c r="Q517" s="228"/>
      <c r="R517" s="228"/>
      <c r="S517" s="228"/>
      <c r="T517" s="228"/>
      <c r="U517" s="228"/>
      <c r="V517" s="228"/>
      <c r="W517" s="228"/>
      <c r="X517" s="228"/>
      <c r="Y517" s="228"/>
      <c r="Z517" s="228"/>
      <c r="AA517" s="228"/>
      <c r="AB517" s="228"/>
      <c r="AC517" s="228"/>
      <c r="AD517" s="228"/>
      <c r="AE517" s="228"/>
      <c r="AF517" s="228"/>
      <c r="AG517" s="228"/>
      <c r="AH517" s="228"/>
      <c r="AI517" s="228"/>
      <c r="AJ517" s="228"/>
      <c r="AK517" s="228"/>
      <c r="AL517" s="228"/>
      <c r="AM517" s="228"/>
      <c r="AN517" s="228"/>
      <c r="AO517" s="228"/>
      <c r="AP517" s="40"/>
      <c r="AQ517" s="40"/>
      <c r="AR517" s="40"/>
      <c r="AS517" s="40"/>
      <c r="AT517" s="40"/>
      <c r="AU517" s="40"/>
      <c r="AV517" s="40"/>
      <c r="AW517" s="40"/>
      <c r="AX517" s="40"/>
      <c r="AY517" s="40"/>
      <c r="AZ517" s="40"/>
      <c r="BA517" s="40"/>
      <c r="BB517" s="40"/>
      <c r="BC517" s="40"/>
      <c r="BD517" s="40"/>
      <c r="BE517" s="40"/>
      <c r="BF517" s="40"/>
      <c r="BG517" s="40"/>
      <c r="BH517" s="40"/>
      <c r="BI517" s="40"/>
    </row>
    <row r="518" ht="15.75" customHeight="1">
      <c r="A518" s="33"/>
      <c r="B518" s="229"/>
      <c r="C518" s="228"/>
      <c r="D518" s="228"/>
      <c r="E518" s="228"/>
      <c r="F518" s="228"/>
      <c r="G518" s="228"/>
      <c r="H518" s="228"/>
      <c r="I518" s="228"/>
      <c r="J518" s="228"/>
      <c r="K518" s="228"/>
      <c r="L518" s="228"/>
      <c r="M518" s="228"/>
      <c r="N518" s="228"/>
      <c r="O518" s="228"/>
      <c r="P518" s="228"/>
      <c r="Q518" s="228"/>
      <c r="R518" s="228"/>
      <c r="S518" s="228"/>
      <c r="T518" s="228"/>
      <c r="U518" s="228"/>
      <c r="V518" s="228"/>
      <c r="W518" s="228"/>
      <c r="X518" s="228"/>
      <c r="Y518" s="228"/>
      <c r="Z518" s="228"/>
      <c r="AA518" s="228"/>
      <c r="AB518" s="228"/>
      <c r="AC518" s="228"/>
      <c r="AD518" s="228"/>
      <c r="AE518" s="228"/>
      <c r="AF518" s="228"/>
      <c r="AG518" s="228"/>
      <c r="AH518" s="228"/>
      <c r="AI518" s="228"/>
      <c r="AJ518" s="228"/>
      <c r="AK518" s="228"/>
      <c r="AL518" s="228"/>
      <c r="AM518" s="228"/>
      <c r="AN518" s="228"/>
      <c r="AO518" s="228"/>
      <c r="AP518" s="40"/>
      <c r="AQ518" s="40"/>
      <c r="AR518" s="40"/>
      <c r="AS518" s="40"/>
      <c r="AT518" s="40"/>
      <c r="AU518" s="40"/>
      <c r="AV518" s="40"/>
      <c r="AW518" s="40"/>
      <c r="AX518" s="40"/>
      <c r="AY518" s="40"/>
      <c r="AZ518" s="40"/>
      <c r="BA518" s="40"/>
      <c r="BB518" s="40"/>
      <c r="BC518" s="40"/>
      <c r="BD518" s="40"/>
      <c r="BE518" s="40"/>
      <c r="BF518" s="40"/>
      <c r="BG518" s="40"/>
      <c r="BH518" s="40"/>
      <c r="BI518" s="40"/>
    </row>
    <row r="519" ht="15.75" customHeight="1">
      <c r="A519" s="33"/>
      <c r="B519" s="228"/>
      <c r="C519" s="228"/>
      <c r="D519" s="228"/>
      <c r="E519" s="228"/>
      <c r="F519" s="228"/>
      <c r="G519" s="228"/>
      <c r="H519" s="228"/>
      <c r="I519" s="228"/>
      <c r="J519" s="228"/>
      <c r="K519" s="228"/>
      <c r="L519" s="228"/>
      <c r="M519" s="228"/>
      <c r="N519" s="228"/>
      <c r="O519" s="228"/>
      <c r="P519" s="228"/>
      <c r="Q519" s="228"/>
      <c r="R519" s="228"/>
      <c r="S519" s="228"/>
      <c r="T519" s="228"/>
      <c r="U519" s="228"/>
      <c r="V519" s="228"/>
      <c r="W519" s="228"/>
      <c r="X519" s="228"/>
      <c r="Y519" s="228"/>
      <c r="Z519" s="228"/>
      <c r="AA519" s="228"/>
      <c r="AB519" s="228"/>
      <c r="AC519" s="228"/>
      <c r="AD519" s="228"/>
      <c r="AE519" s="228"/>
      <c r="AF519" s="228"/>
      <c r="AG519" s="228"/>
      <c r="AH519" s="228"/>
      <c r="AI519" s="228"/>
      <c r="AJ519" s="228"/>
      <c r="AK519" s="228"/>
      <c r="AL519" s="228"/>
      <c r="AM519" s="228"/>
      <c r="AN519" s="228"/>
      <c r="AO519" s="228"/>
      <c r="AP519" s="40"/>
      <c r="AQ519" s="40"/>
      <c r="AR519" s="40"/>
      <c r="AS519" s="40"/>
      <c r="AT519" s="40"/>
      <c r="AU519" s="40"/>
      <c r="AV519" s="40"/>
      <c r="AW519" s="40"/>
      <c r="AX519" s="40"/>
      <c r="AY519" s="40"/>
      <c r="AZ519" s="40"/>
      <c r="BA519" s="40"/>
      <c r="BB519" s="40"/>
      <c r="BC519" s="40"/>
      <c r="BD519" s="40"/>
      <c r="BE519" s="40"/>
      <c r="BF519" s="40"/>
      <c r="BG519" s="40"/>
      <c r="BH519" s="40"/>
      <c r="BI519" s="40"/>
    </row>
    <row r="520" ht="15.75" customHeight="1">
      <c r="A520" s="33"/>
      <c r="B520" s="228"/>
      <c r="C520" s="227"/>
      <c r="D520" s="227"/>
      <c r="E520" s="227"/>
      <c r="F520" s="227"/>
      <c r="G520" s="227"/>
      <c r="H520" s="227"/>
      <c r="I520" s="227"/>
      <c r="J520" s="227"/>
      <c r="K520" s="227"/>
      <c r="L520" s="227"/>
      <c r="M520" s="227"/>
      <c r="N520" s="227"/>
      <c r="O520" s="227"/>
      <c r="P520" s="227"/>
      <c r="Q520" s="227"/>
      <c r="R520" s="227"/>
      <c r="S520" s="227"/>
      <c r="T520" s="227"/>
      <c r="U520" s="227"/>
      <c r="V520" s="227"/>
      <c r="W520" s="227"/>
      <c r="X520" s="227"/>
      <c r="Y520" s="227"/>
      <c r="Z520" s="227"/>
      <c r="AA520" s="227"/>
      <c r="AB520" s="227"/>
      <c r="AC520" s="227"/>
      <c r="AD520" s="227"/>
      <c r="AE520" s="227"/>
      <c r="AF520" s="227"/>
      <c r="AG520" s="227"/>
      <c r="AH520" s="227"/>
      <c r="AI520" s="227"/>
      <c r="AJ520" s="227"/>
      <c r="AK520" s="227"/>
      <c r="AL520" s="227"/>
      <c r="AM520" s="227"/>
      <c r="AN520" s="227"/>
      <c r="AO520" s="227"/>
      <c r="AP520" s="40"/>
      <c r="AQ520" s="40"/>
      <c r="AR520" s="40"/>
      <c r="AS520" s="40"/>
      <c r="AT520" s="40"/>
      <c r="AU520" s="40"/>
      <c r="AV520" s="40"/>
      <c r="AW520" s="40"/>
      <c r="AX520" s="40"/>
      <c r="AY520" s="40"/>
      <c r="AZ520" s="40"/>
      <c r="BA520" s="40"/>
      <c r="BB520" s="40"/>
      <c r="BC520" s="40"/>
      <c r="BD520" s="40"/>
      <c r="BE520" s="40"/>
      <c r="BF520" s="40"/>
      <c r="BG520" s="40"/>
      <c r="BH520" s="40"/>
      <c r="BI520" s="40"/>
    </row>
    <row r="521" ht="15.75" customHeight="1">
      <c r="A521" s="33"/>
      <c r="B521" s="228"/>
      <c r="C521" s="228"/>
      <c r="D521" s="228"/>
      <c r="E521" s="228"/>
      <c r="F521" s="228"/>
      <c r="G521" s="228"/>
      <c r="H521" s="228"/>
      <c r="I521" s="228"/>
      <c r="J521" s="228"/>
      <c r="K521" s="228"/>
      <c r="L521" s="228"/>
      <c r="M521" s="228"/>
      <c r="N521" s="228"/>
      <c r="O521" s="228"/>
      <c r="P521" s="228"/>
      <c r="Q521" s="228"/>
      <c r="R521" s="228"/>
      <c r="S521" s="228"/>
      <c r="T521" s="228"/>
      <c r="U521" s="228"/>
      <c r="V521" s="228"/>
      <c r="W521" s="228"/>
      <c r="X521" s="228"/>
      <c r="Y521" s="228"/>
      <c r="Z521" s="228"/>
      <c r="AA521" s="228"/>
      <c r="AB521" s="228"/>
      <c r="AC521" s="228"/>
      <c r="AD521" s="228"/>
      <c r="AE521" s="228"/>
      <c r="AF521" s="228"/>
      <c r="AG521" s="228"/>
      <c r="AH521" s="228"/>
      <c r="AI521" s="228"/>
      <c r="AJ521" s="228"/>
      <c r="AK521" s="228"/>
      <c r="AL521" s="228"/>
      <c r="AM521" s="228"/>
      <c r="AN521" s="228"/>
      <c r="AO521" s="228"/>
      <c r="AP521" s="40"/>
      <c r="AQ521" s="40"/>
      <c r="AR521" s="40"/>
      <c r="AS521" s="40"/>
      <c r="AT521" s="40"/>
      <c r="AU521" s="40"/>
      <c r="AV521" s="40"/>
      <c r="AW521" s="40"/>
      <c r="AX521" s="40"/>
      <c r="AY521" s="40"/>
      <c r="AZ521" s="40"/>
      <c r="BA521" s="40"/>
      <c r="BB521" s="40"/>
      <c r="BC521" s="40"/>
      <c r="BD521" s="40"/>
      <c r="BE521" s="40"/>
      <c r="BF521" s="40"/>
      <c r="BG521" s="40"/>
      <c r="BH521" s="40"/>
      <c r="BI521" s="40"/>
    </row>
    <row r="522" ht="15.75" customHeight="1">
      <c r="A522" s="33"/>
      <c r="B522" s="228"/>
      <c r="C522" s="228"/>
      <c r="D522" s="228"/>
      <c r="E522" s="228"/>
      <c r="F522" s="228"/>
      <c r="G522" s="228"/>
      <c r="H522" s="228"/>
      <c r="I522" s="228"/>
      <c r="J522" s="228"/>
      <c r="K522" s="228"/>
      <c r="L522" s="228"/>
      <c r="M522" s="228"/>
      <c r="N522" s="228"/>
      <c r="O522" s="228"/>
      <c r="P522" s="228"/>
      <c r="Q522" s="228"/>
      <c r="R522" s="228"/>
      <c r="S522" s="228"/>
      <c r="T522" s="228"/>
      <c r="U522" s="228"/>
      <c r="V522" s="228"/>
      <c r="W522" s="228"/>
      <c r="X522" s="228"/>
      <c r="Y522" s="228"/>
      <c r="Z522" s="228"/>
      <c r="AA522" s="228"/>
      <c r="AB522" s="228"/>
      <c r="AC522" s="228"/>
      <c r="AD522" s="228"/>
      <c r="AE522" s="228"/>
      <c r="AF522" s="228"/>
      <c r="AG522" s="228"/>
      <c r="AH522" s="228"/>
      <c r="AI522" s="228"/>
      <c r="AJ522" s="228"/>
      <c r="AK522" s="228"/>
      <c r="AL522" s="228"/>
      <c r="AM522" s="228"/>
      <c r="AN522" s="228"/>
      <c r="AO522" s="228"/>
      <c r="AP522" s="40"/>
      <c r="AQ522" s="40"/>
      <c r="AR522" s="40"/>
      <c r="AS522" s="40"/>
      <c r="AT522" s="40"/>
      <c r="AU522" s="40"/>
      <c r="AV522" s="40"/>
      <c r="AW522" s="40"/>
      <c r="AX522" s="40"/>
      <c r="AY522" s="40"/>
      <c r="AZ522" s="40"/>
      <c r="BA522" s="40"/>
      <c r="BB522" s="40"/>
      <c r="BC522" s="40"/>
      <c r="BD522" s="40"/>
      <c r="BE522" s="40"/>
      <c r="BF522" s="40"/>
      <c r="BG522" s="40"/>
      <c r="BH522" s="40"/>
      <c r="BI522" s="40"/>
    </row>
    <row r="523" ht="15.75" customHeight="1">
      <c r="A523" s="33"/>
      <c r="B523" s="228"/>
      <c r="C523" s="228"/>
      <c r="D523" s="228"/>
      <c r="E523" s="228"/>
      <c r="F523" s="228"/>
      <c r="G523" s="228"/>
      <c r="H523" s="228"/>
      <c r="I523" s="228"/>
      <c r="J523" s="228"/>
      <c r="K523" s="228"/>
      <c r="L523" s="228"/>
      <c r="M523" s="228"/>
      <c r="N523" s="228"/>
      <c r="O523" s="228"/>
      <c r="P523" s="228"/>
      <c r="Q523" s="228"/>
      <c r="R523" s="228"/>
      <c r="S523" s="228"/>
      <c r="T523" s="228"/>
      <c r="U523" s="228"/>
      <c r="V523" s="228"/>
      <c r="W523" s="228"/>
      <c r="X523" s="228"/>
      <c r="Y523" s="228"/>
      <c r="Z523" s="228"/>
      <c r="AA523" s="228"/>
      <c r="AB523" s="228"/>
      <c r="AC523" s="228"/>
      <c r="AD523" s="228"/>
      <c r="AE523" s="228"/>
      <c r="AF523" s="228"/>
      <c r="AG523" s="228"/>
      <c r="AH523" s="228"/>
      <c r="AI523" s="228"/>
      <c r="AJ523" s="228"/>
      <c r="AK523" s="228"/>
      <c r="AL523" s="228"/>
      <c r="AM523" s="228"/>
      <c r="AN523" s="228"/>
      <c r="AO523" s="228"/>
      <c r="AP523" s="40"/>
      <c r="AQ523" s="40"/>
      <c r="AR523" s="40"/>
      <c r="AS523" s="40"/>
      <c r="AT523" s="40"/>
      <c r="AU523" s="40"/>
      <c r="AV523" s="40"/>
      <c r="AW523" s="40"/>
      <c r="AX523" s="40"/>
      <c r="AY523" s="40"/>
      <c r="AZ523" s="40"/>
      <c r="BA523" s="40"/>
      <c r="BB523" s="40"/>
      <c r="BC523" s="40"/>
      <c r="BD523" s="40"/>
      <c r="BE523" s="40"/>
      <c r="BF523" s="40"/>
      <c r="BG523" s="40"/>
      <c r="BH523" s="40"/>
      <c r="BI523" s="40"/>
    </row>
    <row r="524" ht="15.75" customHeight="1">
      <c r="A524" s="33"/>
      <c r="B524" s="228"/>
      <c r="C524" s="228"/>
      <c r="D524" s="228"/>
      <c r="E524" s="228"/>
      <c r="F524" s="228"/>
      <c r="G524" s="228"/>
      <c r="H524" s="228"/>
      <c r="I524" s="228"/>
      <c r="J524" s="228"/>
      <c r="K524" s="228"/>
      <c r="L524" s="228"/>
      <c r="M524" s="228"/>
      <c r="N524" s="228"/>
      <c r="O524" s="228"/>
      <c r="P524" s="228"/>
      <c r="Q524" s="228"/>
      <c r="R524" s="228"/>
      <c r="S524" s="228"/>
      <c r="T524" s="228"/>
      <c r="U524" s="228"/>
      <c r="V524" s="228"/>
      <c r="W524" s="228"/>
      <c r="X524" s="228"/>
      <c r="Y524" s="228"/>
      <c r="Z524" s="228"/>
      <c r="AA524" s="228"/>
      <c r="AB524" s="228"/>
      <c r="AC524" s="228"/>
      <c r="AD524" s="228"/>
      <c r="AE524" s="228"/>
      <c r="AF524" s="228"/>
      <c r="AG524" s="228"/>
      <c r="AH524" s="228"/>
      <c r="AI524" s="228"/>
      <c r="AJ524" s="228"/>
      <c r="AK524" s="228"/>
      <c r="AL524" s="228"/>
      <c r="AM524" s="228"/>
      <c r="AN524" s="228"/>
      <c r="AO524" s="228"/>
      <c r="AP524" s="40"/>
      <c r="AQ524" s="40"/>
      <c r="AR524" s="40"/>
      <c r="AS524" s="40"/>
      <c r="AT524" s="40"/>
      <c r="AU524" s="40"/>
      <c r="AV524" s="40"/>
      <c r="AW524" s="40"/>
      <c r="AX524" s="40"/>
      <c r="AY524" s="40"/>
      <c r="AZ524" s="40"/>
      <c r="BA524" s="40"/>
      <c r="BB524" s="40"/>
      <c r="BC524" s="40"/>
      <c r="BD524" s="40"/>
      <c r="BE524" s="40"/>
      <c r="BF524" s="40"/>
      <c r="BG524" s="40"/>
      <c r="BH524" s="40"/>
      <c r="BI524" s="40"/>
    </row>
    <row r="525" ht="15.75" customHeight="1">
      <c r="A525" s="33"/>
      <c r="B525" s="228"/>
      <c r="C525" s="227"/>
      <c r="D525" s="227"/>
      <c r="E525" s="227"/>
      <c r="F525" s="227"/>
      <c r="G525" s="227"/>
      <c r="H525" s="227"/>
      <c r="I525" s="227"/>
      <c r="J525" s="227"/>
      <c r="K525" s="227"/>
      <c r="L525" s="227"/>
      <c r="M525" s="227"/>
      <c r="N525" s="227"/>
      <c r="O525" s="227"/>
      <c r="P525" s="227"/>
      <c r="Q525" s="227"/>
      <c r="R525" s="227"/>
      <c r="S525" s="227"/>
      <c r="T525" s="227"/>
      <c r="U525" s="227"/>
      <c r="V525" s="227"/>
      <c r="W525" s="227"/>
      <c r="X525" s="227"/>
      <c r="Y525" s="227"/>
      <c r="Z525" s="227"/>
      <c r="AA525" s="227"/>
      <c r="AB525" s="227"/>
      <c r="AC525" s="227"/>
      <c r="AD525" s="227"/>
      <c r="AE525" s="227"/>
      <c r="AF525" s="227"/>
      <c r="AG525" s="227"/>
      <c r="AH525" s="227"/>
      <c r="AI525" s="227"/>
      <c r="AJ525" s="227"/>
      <c r="AK525" s="227"/>
      <c r="AL525" s="227"/>
      <c r="AM525" s="227"/>
      <c r="AN525" s="227"/>
      <c r="AO525" s="227"/>
      <c r="AP525" s="40"/>
      <c r="AQ525" s="40"/>
      <c r="AR525" s="40"/>
      <c r="AS525" s="40"/>
      <c r="AT525" s="40"/>
      <c r="AU525" s="40"/>
      <c r="AV525" s="40"/>
      <c r="AW525" s="40"/>
      <c r="AX525" s="40"/>
      <c r="AY525" s="40"/>
      <c r="AZ525" s="40"/>
      <c r="BA525" s="40"/>
      <c r="BB525" s="40"/>
      <c r="BC525" s="40"/>
      <c r="BD525" s="40"/>
      <c r="BE525" s="40"/>
      <c r="BF525" s="40"/>
      <c r="BG525" s="40"/>
      <c r="BH525" s="40"/>
      <c r="BI525" s="40"/>
    </row>
    <row r="526" ht="15.75" customHeight="1">
      <c r="A526" s="33"/>
      <c r="B526" s="228"/>
      <c r="C526" s="228"/>
      <c r="D526" s="228"/>
      <c r="E526" s="228"/>
      <c r="F526" s="228"/>
      <c r="G526" s="228"/>
      <c r="H526" s="228"/>
      <c r="I526" s="228"/>
      <c r="J526" s="228"/>
      <c r="K526" s="228"/>
      <c r="L526" s="228"/>
      <c r="M526" s="228"/>
      <c r="N526" s="228"/>
      <c r="O526" s="228"/>
      <c r="P526" s="228"/>
      <c r="Q526" s="228"/>
      <c r="R526" s="228"/>
      <c r="S526" s="228"/>
      <c r="T526" s="228"/>
      <c r="U526" s="228"/>
      <c r="V526" s="228"/>
      <c r="W526" s="228"/>
      <c r="X526" s="228"/>
      <c r="Y526" s="228"/>
      <c r="Z526" s="228"/>
      <c r="AA526" s="228"/>
      <c r="AB526" s="228"/>
      <c r="AC526" s="228"/>
      <c r="AD526" s="228"/>
      <c r="AE526" s="228"/>
      <c r="AF526" s="228"/>
      <c r="AG526" s="228"/>
      <c r="AH526" s="228"/>
      <c r="AI526" s="228"/>
      <c r="AJ526" s="228"/>
      <c r="AK526" s="228"/>
      <c r="AL526" s="228"/>
      <c r="AM526" s="228"/>
      <c r="AN526" s="228"/>
      <c r="AO526" s="228"/>
      <c r="AP526" s="40"/>
      <c r="AQ526" s="40"/>
      <c r="AR526" s="40"/>
      <c r="AS526" s="40"/>
      <c r="AT526" s="40"/>
      <c r="AU526" s="40"/>
      <c r="AV526" s="40"/>
      <c r="AW526" s="40"/>
      <c r="AX526" s="40"/>
      <c r="AY526" s="40"/>
      <c r="AZ526" s="40"/>
      <c r="BA526" s="40"/>
      <c r="BB526" s="40"/>
      <c r="BC526" s="40"/>
      <c r="BD526" s="40"/>
      <c r="BE526" s="40"/>
      <c r="BF526" s="40"/>
      <c r="BG526" s="40"/>
      <c r="BH526" s="40"/>
      <c r="BI526" s="40"/>
    </row>
    <row r="527" ht="15.75" customHeight="1">
      <c r="A527" s="33"/>
      <c r="B527" s="228"/>
      <c r="C527" s="228"/>
      <c r="D527" s="228"/>
      <c r="E527" s="228"/>
      <c r="F527" s="228"/>
      <c r="G527" s="228"/>
      <c r="H527" s="228"/>
      <c r="I527" s="228"/>
      <c r="J527" s="228"/>
      <c r="K527" s="228"/>
      <c r="L527" s="228"/>
      <c r="M527" s="228"/>
      <c r="N527" s="228"/>
      <c r="O527" s="228"/>
      <c r="P527" s="228"/>
      <c r="Q527" s="228"/>
      <c r="R527" s="228"/>
      <c r="S527" s="228"/>
      <c r="T527" s="228"/>
      <c r="U527" s="228"/>
      <c r="V527" s="228"/>
      <c r="W527" s="228"/>
      <c r="X527" s="228"/>
      <c r="Y527" s="228"/>
      <c r="Z527" s="228"/>
      <c r="AA527" s="228"/>
      <c r="AB527" s="228"/>
      <c r="AC527" s="228"/>
      <c r="AD527" s="228"/>
      <c r="AE527" s="228"/>
      <c r="AF527" s="228"/>
      <c r="AG527" s="228"/>
      <c r="AH527" s="228"/>
      <c r="AI527" s="228"/>
      <c r="AJ527" s="228"/>
      <c r="AK527" s="228"/>
      <c r="AL527" s="228"/>
      <c r="AM527" s="228"/>
      <c r="AN527" s="228"/>
      <c r="AO527" s="228"/>
      <c r="AP527" s="40"/>
      <c r="AQ527" s="40"/>
      <c r="AR527" s="40"/>
      <c r="AS527" s="40"/>
      <c r="AT527" s="40"/>
      <c r="AU527" s="40"/>
      <c r="AV527" s="40"/>
      <c r="AW527" s="40"/>
      <c r="AX527" s="40"/>
      <c r="AY527" s="40"/>
      <c r="AZ527" s="40"/>
      <c r="BA527" s="40"/>
      <c r="BB527" s="40"/>
      <c r="BC527" s="40"/>
      <c r="BD527" s="40"/>
      <c r="BE527" s="40"/>
      <c r="BF527" s="40"/>
      <c r="BG527" s="40"/>
      <c r="BH527" s="40"/>
      <c r="BI527" s="40"/>
    </row>
    <row r="528" ht="15.75" customHeight="1">
      <c r="A528" s="33"/>
      <c r="B528" s="228"/>
      <c r="C528" s="228"/>
      <c r="D528" s="228"/>
      <c r="E528" s="228"/>
      <c r="F528" s="228"/>
      <c r="G528" s="228"/>
      <c r="H528" s="228"/>
      <c r="I528" s="228"/>
      <c r="J528" s="228"/>
      <c r="K528" s="228"/>
      <c r="L528" s="228"/>
      <c r="M528" s="228"/>
      <c r="N528" s="228"/>
      <c r="O528" s="228"/>
      <c r="P528" s="228"/>
      <c r="Q528" s="228"/>
      <c r="R528" s="228"/>
      <c r="S528" s="228"/>
      <c r="T528" s="228"/>
      <c r="U528" s="228"/>
      <c r="V528" s="228"/>
      <c r="W528" s="228"/>
      <c r="X528" s="228"/>
      <c r="Y528" s="228"/>
      <c r="Z528" s="228"/>
      <c r="AA528" s="228"/>
      <c r="AB528" s="228"/>
      <c r="AC528" s="228"/>
      <c r="AD528" s="228"/>
      <c r="AE528" s="228"/>
      <c r="AF528" s="228"/>
      <c r="AG528" s="228"/>
      <c r="AH528" s="228"/>
      <c r="AI528" s="228"/>
      <c r="AJ528" s="228"/>
      <c r="AK528" s="228"/>
      <c r="AL528" s="228"/>
      <c r="AM528" s="228"/>
      <c r="AN528" s="228"/>
      <c r="AO528" s="228"/>
      <c r="AP528" s="40"/>
      <c r="AQ528" s="40"/>
      <c r="AR528" s="40"/>
      <c r="AS528" s="40"/>
      <c r="AT528" s="40"/>
      <c r="AU528" s="40"/>
      <c r="AV528" s="40"/>
      <c r="AW528" s="40"/>
      <c r="AX528" s="40"/>
      <c r="AY528" s="40"/>
      <c r="AZ528" s="40"/>
      <c r="BA528" s="40"/>
      <c r="BB528" s="40"/>
      <c r="BC528" s="40"/>
      <c r="BD528" s="40"/>
      <c r="BE528" s="40"/>
      <c r="BF528" s="40"/>
      <c r="BG528" s="40"/>
      <c r="BH528" s="40"/>
      <c r="BI528" s="40"/>
    </row>
    <row r="529" ht="15.75" customHeight="1">
      <c r="A529" s="33"/>
      <c r="B529" s="230"/>
      <c r="C529" s="231"/>
      <c r="D529" s="231"/>
      <c r="E529" s="231"/>
      <c r="F529" s="231"/>
      <c r="G529" s="231"/>
      <c r="H529" s="231"/>
      <c r="I529" s="231"/>
      <c r="J529" s="231"/>
      <c r="K529" s="231"/>
      <c r="L529" s="231"/>
      <c r="M529" s="231"/>
      <c r="N529" s="231"/>
      <c r="O529" s="231"/>
      <c r="P529" s="231"/>
      <c r="Q529" s="231"/>
      <c r="R529" s="231"/>
      <c r="S529" s="231"/>
      <c r="T529" s="231"/>
      <c r="U529" s="231"/>
      <c r="V529" s="231"/>
      <c r="W529" s="231"/>
      <c r="X529" s="231"/>
      <c r="Y529" s="231"/>
      <c r="Z529" s="231"/>
      <c r="AA529" s="231"/>
      <c r="AB529" s="231"/>
      <c r="AC529" s="231"/>
      <c r="AD529" s="231"/>
      <c r="AE529" s="231"/>
      <c r="AF529" s="231"/>
      <c r="AG529" s="231"/>
      <c r="AH529" s="231"/>
      <c r="AI529" s="231"/>
      <c r="AJ529" s="231"/>
      <c r="AK529" s="231"/>
      <c r="AL529" s="231"/>
      <c r="AM529" s="231"/>
      <c r="AN529" s="231"/>
      <c r="AO529" s="231"/>
      <c r="AP529" s="40"/>
      <c r="AQ529" s="40"/>
      <c r="AR529" s="40"/>
      <c r="AS529" s="40"/>
      <c r="AT529" s="40"/>
      <c r="AU529" s="40"/>
      <c r="AV529" s="40"/>
      <c r="AW529" s="40"/>
      <c r="AX529" s="40"/>
      <c r="AY529" s="40"/>
      <c r="AZ529" s="40"/>
      <c r="BA529" s="40"/>
      <c r="BB529" s="40"/>
      <c r="BC529" s="40"/>
      <c r="BD529" s="40"/>
      <c r="BE529" s="40"/>
      <c r="BF529" s="40"/>
      <c r="BG529" s="40"/>
      <c r="BH529" s="40"/>
      <c r="BI529" s="40"/>
    </row>
    <row r="530" ht="15.75" customHeight="1">
      <c r="A530" s="33"/>
      <c r="B530" s="228"/>
      <c r="C530" s="228"/>
      <c r="D530" s="228"/>
      <c r="E530" s="228"/>
      <c r="F530" s="228"/>
      <c r="G530" s="228"/>
      <c r="H530" s="228"/>
      <c r="I530" s="228"/>
      <c r="J530" s="228"/>
      <c r="K530" s="228"/>
      <c r="L530" s="228"/>
      <c r="M530" s="228"/>
      <c r="N530" s="228"/>
      <c r="O530" s="228"/>
      <c r="P530" s="228"/>
      <c r="Q530" s="228"/>
      <c r="R530" s="228"/>
      <c r="S530" s="228"/>
      <c r="T530" s="228"/>
      <c r="U530" s="228"/>
      <c r="V530" s="228"/>
      <c r="W530" s="228"/>
      <c r="X530" s="228"/>
      <c r="Y530" s="228"/>
      <c r="Z530" s="228"/>
      <c r="AA530" s="228"/>
      <c r="AB530" s="228"/>
      <c r="AC530" s="228"/>
      <c r="AD530" s="228"/>
      <c r="AE530" s="228"/>
      <c r="AF530" s="228"/>
      <c r="AG530" s="228"/>
      <c r="AH530" s="228"/>
      <c r="AI530" s="228"/>
      <c r="AJ530" s="228"/>
      <c r="AK530" s="228"/>
      <c r="AL530" s="228"/>
      <c r="AM530" s="228"/>
      <c r="AN530" s="228"/>
      <c r="AO530" s="228"/>
      <c r="AP530" s="40"/>
      <c r="AQ530" s="40"/>
      <c r="AR530" s="40"/>
      <c r="AS530" s="40"/>
      <c r="AT530" s="40"/>
      <c r="AU530" s="40"/>
      <c r="AV530" s="40"/>
      <c r="AW530" s="40"/>
      <c r="AX530" s="40"/>
      <c r="AY530" s="40"/>
      <c r="AZ530" s="40"/>
      <c r="BA530" s="40"/>
      <c r="BB530" s="40"/>
      <c r="BC530" s="40"/>
      <c r="BD530" s="40"/>
      <c r="BE530" s="40"/>
      <c r="BF530" s="40"/>
      <c r="BG530" s="40"/>
      <c r="BH530" s="40"/>
      <c r="BI530" s="40"/>
    </row>
    <row r="531" ht="15.75" customHeight="1">
      <c r="A531" s="33"/>
      <c r="B531" s="228"/>
      <c r="C531" s="228"/>
      <c r="D531" s="228"/>
      <c r="E531" s="232"/>
      <c r="F531" s="228"/>
      <c r="G531" s="228"/>
      <c r="H531" s="232"/>
      <c r="I531" s="228"/>
      <c r="J531" s="228"/>
      <c r="K531" s="232"/>
      <c r="L531" s="228"/>
      <c r="M531" s="228"/>
      <c r="N531" s="232"/>
      <c r="O531" s="228"/>
      <c r="P531" s="228"/>
      <c r="Q531" s="232"/>
      <c r="R531" s="228"/>
      <c r="S531" s="228"/>
      <c r="T531" s="232"/>
      <c r="U531" s="228"/>
      <c r="V531" s="228"/>
      <c r="W531" s="232"/>
      <c r="X531" s="228"/>
      <c r="Y531" s="228"/>
      <c r="Z531" s="232"/>
      <c r="AA531" s="228"/>
      <c r="AB531" s="228"/>
      <c r="AC531" s="232"/>
      <c r="AD531" s="228"/>
      <c r="AE531" s="228"/>
      <c r="AF531" s="232"/>
      <c r="AG531" s="228"/>
      <c r="AH531" s="228"/>
      <c r="AI531" s="232"/>
      <c r="AJ531" s="228"/>
      <c r="AK531" s="228"/>
      <c r="AL531" s="232"/>
      <c r="AM531" s="228"/>
      <c r="AN531" s="228"/>
      <c r="AO531" s="232"/>
      <c r="AP531" s="40"/>
      <c r="AQ531" s="40"/>
      <c r="AR531" s="40"/>
      <c r="AS531" s="40"/>
      <c r="AT531" s="40"/>
      <c r="AU531" s="40"/>
      <c r="AV531" s="40"/>
      <c r="AW531" s="40"/>
      <c r="AX531" s="40"/>
      <c r="AY531" s="40"/>
      <c r="AZ531" s="40"/>
      <c r="BA531" s="40"/>
      <c r="BB531" s="40"/>
      <c r="BC531" s="40"/>
      <c r="BD531" s="40"/>
      <c r="BE531" s="40"/>
      <c r="BF531" s="40"/>
      <c r="BG531" s="40"/>
      <c r="BH531" s="40"/>
      <c r="BI531" s="40"/>
    </row>
    <row r="532" ht="15.75" customHeight="1">
      <c r="A532" s="33"/>
      <c r="B532" s="228"/>
      <c r="C532" s="233"/>
      <c r="D532" s="227"/>
      <c r="E532" s="232"/>
      <c r="F532" s="233"/>
      <c r="G532" s="227"/>
      <c r="H532" s="232"/>
      <c r="I532" s="233"/>
      <c r="J532" s="227"/>
      <c r="K532" s="232"/>
      <c r="L532" s="233"/>
      <c r="M532" s="227"/>
      <c r="N532" s="232"/>
      <c r="O532" s="233"/>
      <c r="P532" s="227"/>
      <c r="Q532" s="232"/>
      <c r="R532" s="233"/>
      <c r="S532" s="227"/>
      <c r="T532" s="232"/>
      <c r="U532" s="233"/>
      <c r="V532" s="227"/>
      <c r="W532" s="232"/>
      <c r="X532" s="233"/>
      <c r="Y532" s="227"/>
      <c r="Z532" s="232"/>
      <c r="AA532" s="233"/>
      <c r="AB532" s="227"/>
      <c r="AC532" s="232"/>
      <c r="AD532" s="233"/>
      <c r="AE532" s="227"/>
      <c r="AF532" s="232"/>
      <c r="AG532" s="233"/>
      <c r="AH532" s="227"/>
      <c r="AI532" s="232"/>
      <c r="AJ532" s="233"/>
      <c r="AK532" s="227"/>
      <c r="AL532" s="232"/>
      <c r="AM532" s="233"/>
      <c r="AN532" s="227"/>
      <c r="AO532" s="232"/>
      <c r="AP532" s="40"/>
      <c r="AQ532" s="40"/>
      <c r="AR532" s="40"/>
      <c r="AS532" s="40"/>
      <c r="AT532" s="40"/>
      <c r="AU532" s="40"/>
      <c r="AV532" s="40"/>
      <c r="AW532" s="40"/>
      <c r="AX532" s="40"/>
      <c r="AY532" s="40"/>
      <c r="AZ532" s="40"/>
      <c r="BA532" s="40"/>
      <c r="BB532" s="40"/>
      <c r="BC532" s="40"/>
      <c r="BD532" s="40"/>
      <c r="BE532" s="40"/>
      <c r="BF532" s="40"/>
      <c r="BG532" s="40"/>
      <c r="BH532" s="40"/>
      <c r="BI532" s="40"/>
    </row>
    <row r="533" ht="15.75" customHeight="1">
      <c r="A533" s="33"/>
      <c r="B533" s="228"/>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c r="Y533" s="234"/>
      <c r="Z533" s="234"/>
      <c r="AA533" s="234"/>
      <c r="AB533" s="234"/>
      <c r="AC533" s="234"/>
      <c r="AD533" s="234"/>
      <c r="AE533" s="234"/>
      <c r="AF533" s="234"/>
      <c r="AG533" s="234"/>
      <c r="AH533" s="234"/>
      <c r="AI533" s="234"/>
      <c r="AJ533" s="234"/>
      <c r="AK533" s="234"/>
      <c r="AL533" s="234"/>
      <c r="AM533" s="234"/>
      <c r="AN533" s="234"/>
      <c r="AO533" s="234"/>
      <c r="AP533" s="40"/>
      <c r="AQ533" s="40"/>
      <c r="AR533" s="40"/>
      <c r="AS533" s="40"/>
      <c r="AT533" s="40"/>
      <c r="AU533" s="40"/>
      <c r="AV533" s="40"/>
      <c r="AW533" s="40"/>
      <c r="AX533" s="40"/>
      <c r="AY533" s="40"/>
      <c r="AZ533" s="40"/>
      <c r="BA533" s="40"/>
      <c r="BB533" s="40"/>
      <c r="BC533" s="40"/>
      <c r="BD533" s="40"/>
      <c r="BE533" s="40"/>
      <c r="BF533" s="40"/>
      <c r="BG533" s="40"/>
      <c r="BH533" s="40"/>
      <c r="BI533" s="40"/>
    </row>
    <row r="534" ht="15.75" customHeight="1">
      <c r="A534" s="33"/>
      <c r="B534" s="227"/>
      <c r="C534" s="228"/>
      <c r="D534" s="228"/>
      <c r="E534" s="228"/>
      <c r="F534" s="228"/>
      <c r="G534" s="228"/>
      <c r="H534" s="228"/>
      <c r="I534" s="228"/>
      <c r="J534" s="228"/>
      <c r="K534" s="228"/>
      <c r="L534" s="228"/>
      <c r="M534" s="228"/>
      <c r="N534" s="228"/>
      <c r="O534" s="228"/>
      <c r="P534" s="228"/>
      <c r="Q534" s="228"/>
      <c r="R534" s="228"/>
      <c r="S534" s="228"/>
      <c r="T534" s="228"/>
      <c r="U534" s="228"/>
      <c r="V534" s="228"/>
      <c r="W534" s="228"/>
      <c r="X534" s="228"/>
      <c r="Y534" s="228"/>
      <c r="Z534" s="228"/>
      <c r="AA534" s="228"/>
      <c r="AB534" s="228"/>
      <c r="AC534" s="228"/>
      <c r="AD534" s="228"/>
      <c r="AE534" s="228"/>
      <c r="AF534" s="228"/>
      <c r="AG534" s="228"/>
      <c r="AH534" s="228"/>
      <c r="AI534" s="228"/>
      <c r="AJ534" s="228"/>
      <c r="AK534" s="228"/>
      <c r="AL534" s="228"/>
      <c r="AM534" s="228"/>
      <c r="AN534" s="228"/>
      <c r="AO534" s="228"/>
      <c r="AP534" s="40"/>
      <c r="AQ534" s="40"/>
      <c r="AR534" s="40"/>
      <c r="AS534" s="40"/>
      <c r="AT534" s="40"/>
      <c r="AU534" s="40"/>
      <c r="AV534" s="40"/>
      <c r="AW534" s="40"/>
      <c r="AX534" s="40"/>
      <c r="AY534" s="40"/>
      <c r="AZ534" s="40"/>
      <c r="BA534" s="40"/>
      <c r="BB534" s="40"/>
      <c r="BC534" s="40"/>
      <c r="BD534" s="40"/>
      <c r="BE534" s="40"/>
      <c r="BF534" s="40"/>
      <c r="BG534" s="40"/>
      <c r="BH534" s="40"/>
      <c r="BI534" s="40"/>
    </row>
    <row r="535" ht="15.75" customHeight="1">
      <c r="A535" s="33"/>
      <c r="B535" s="228"/>
      <c r="C535" s="228"/>
      <c r="D535" s="228"/>
      <c r="E535" s="228"/>
      <c r="F535" s="228"/>
      <c r="G535" s="228"/>
      <c r="H535" s="228"/>
      <c r="I535" s="228"/>
      <c r="J535" s="228"/>
      <c r="K535" s="228"/>
      <c r="L535" s="228"/>
      <c r="M535" s="228"/>
      <c r="N535" s="228"/>
      <c r="O535" s="228"/>
      <c r="P535" s="228"/>
      <c r="Q535" s="228"/>
      <c r="R535" s="228"/>
      <c r="S535" s="228"/>
      <c r="T535" s="228"/>
      <c r="U535" s="228"/>
      <c r="V535" s="228"/>
      <c r="W535" s="228"/>
      <c r="X535" s="228"/>
      <c r="Y535" s="228"/>
      <c r="Z535" s="228"/>
      <c r="AA535" s="228"/>
      <c r="AB535" s="228"/>
      <c r="AC535" s="228"/>
      <c r="AD535" s="228"/>
      <c r="AE535" s="228"/>
      <c r="AF535" s="228"/>
      <c r="AG535" s="228"/>
      <c r="AH535" s="228"/>
      <c r="AI535" s="228"/>
      <c r="AJ535" s="228"/>
      <c r="AK535" s="228"/>
      <c r="AL535" s="228"/>
      <c r="AM535" s="228"/>
      <c r="AN535" s="228"/>
      <c r="AO535" s="228"/>
      <c r="AP535" s="40"/>
      <c r="AQ535" s="40"/>
      <c r="AR535" s="40"/>
      <c r="AS535" s="40"/>
      <c r="AT535" s="40"/>
      <c r="AU535" s="40"/>
      <c r="AV535" s="40"/>
      <c r="AW535" s="40"/>
      <c r="AX535" s="40"/>
      <c r="AY535" s="40"/>
      <c r="AZ535" s="40"/>
      <c r="BA535" s="40"/>
      <c r="BB535" s="40"/>
      <c r="BC535" s="40"/>
      <c r="BD535" s="40"/>
      <c r="BE535" s="40"/>
      <c r="BF535" s="40"/>
      <c r="BG535" s="40"/>
      <c r="BH535" s="40"/>
      <c r="BI535" s="40"/>
    </row>
    <row r="536" ht="15.75" customHeight="1">
      <c r="A536" s="33"/>
      <c r="B536" s="228"/>
      <c r="C536" s="235"/>
      <c r="D536" s="236"/>
      <c r="E536" s="235"/>
      <c r="F536" s="235"/>
      <c r="G536" s="236"/>
      <c r="H536" s="235"/>
      <c r="I536" s="235"/>
      <c r="J536" s="236"/>
      <c r="K536" s="235"/>
      <c r="L536" s="235"/>
      <c r="M536" s="236"/>
      <c r="N536" s="235"/>
      <c r="O536" s="235"/>
      <c r="P536" s="236"/>
      <c r="Q536" s="235"/>
      <c r="R536" s="235"/>
      <c r="S536" s="236"/>
      <c r="T536" s="235"/>
      <c r="U536" s="235"/>
      <c r="V536" s="236"/>
      <c r="W536" s="235"/>
      <c r="X536" s="235"/>
      <c r="Y536" s="236"/>
      <c r="Z536" s="235"/>
      <c r="AA536" s="235"/>
      <c r="AB536" s="236"/>
      <c r="AC536" s="235"/>
      <c r="AD536" s="235"/>
      <c r="AE536" s="236"/>
      <c r="AF536" s="235"/>
      <c r="AG536" s="235"/>
      <c r="AH536" s="236"/>
      <c r="AI536" s="235"/>
      <c r="AJ536" s="235"/>
      <c r="AK536" s="236"/>
      <c r="AL536" s="235"/>
      <c r="AM536" s="235"/>
      <c r="AN536" s="236"/>
      <c r="AO536" s="235"/>
      <c r="AP536" s="40"/>
      <c r="AQ536" s="40"/>
      <c r="AR536" s="40"/>
      <c r="AS536" s="40"/>
      <c r="AT536" s="40"/>
      <c r="AU536" s="40"/>
      <c r="AV536" s="40"/>
      <c r="AW536" s="40"/>
      <c r="AX536" s="40"/>
      <c r="AY536" s="40"/>
      <c r="AZ536" s="40"/>
      <c r="BA536" s="40"/>
      <c r="BB536" s="40"/>
      <c r="BC536" s="40"/>
      <c r="BD536" s="40"/>
      <c r="BE536" s="40"/>
      <c r="BF536" s="40"/>
      <c r="BG536" s="40"/>
      <c r="BH536" s="40"/>
      <c r="BI536" s="40"/>
    </row>
    <row r="537" ht="15.75" customHeight="1">
      <c r="A537" s="33"/>
      <c r="B537" s="228"/>
      <c r="C537" s="235"/>
      <c r="D537" s="236"/>
      <c r="E537" s="235"/>
      <c r="F537" s="235"/>
      <c r="G537" s="236"/>
      <c r="H537" s="235"/>
      <c r="I537" s="235"/>
      <c r="J537" s="236"/>
      <c r="K537" s="235"/>
      <c r="L537" s="235"/>
      <c r="M537" s="236"/>
      <c r="N537" s="235"/>
      <c r="O537" s="235"/>
      <c r="P537" s="236"/>
      <c r="Q537" s="235"/>
      <c r="R537" s="235"/>
      <c r="S537" s="236"/>
      <c r="T537" s="235"/>
      <c r="U537" s="235"/>
      <c r="V537" s="236"/>
      <c r="W537" s="235"/>
      <c r="X537" s="235"/>
      <c r="Y537" s="236"/>
      <c r="Z537" s="235"/>
      <c r="AA537" s="235"/>
      <c r="AB537" s="236"/>
      <c r="AC537" s="235"/>
      <c r="AD537" s="235"/>
      <c r="AE537" s="236"/>
      <c r="AF537" s="235"/>
      <c r="AG537" s="235"/>
      <c r="AH537" s="236"/>
      <c r="AI537" s="235"/>
      <c r="AJ537" s="235"/>
      <c r="AK537" s="236"/>
      <c r="AL537" s="235"/>
      <c r="AM537" s="235"/>
      <c r="AN537" s="236"/>
      <c r="AO537" s="235"/>
      <c r="AP537" s="40"/>
      <c r="AQ537" s="40"/>
      <c r="AR537" s="40"/>
      <c r="AS537" s="40"/>
      <c r="AT537" s="40"/>
      <c r="AU537" s="40"/>
      <c r="AV537" s="40"/>
      <c r="AW537" s="40"/>
      <c r="AX537" s="40"/>
      <c r="AY537" s="40"/>
      <c r="AZ537" s="40"/>
      <c r="BA537" s="40"/>
      <c r="BB537" s="40"/>
      <c r="BC537" s="40"/>
      <c r="BD537" s="40"/>
      <c r="BE537" s="40"/>
      <c r="BF537" s="40"/>
      <c r="BG537" s="40"/>
      <c r="BH537" s="40"/>
      <c r="BI537" s="40"/>
    </row>
    <row r="538" ht="15.75" customHeight="1">
      <c r="A538" s="33"/>
      <c r="B538" s="228"/>
      <c r="C538" s="235"/>
      <c r="D538" s="236"/>
      <c r="E538" s="235"/>
      <c r="F538" s="235"/>
      <c r="G538" s="236"/>
      <c r="H538" s="235"/>
      <c r="I538" s="235"/>
      <c r="J538" s="236"/>
      <c r="K538" s="235"/>
      <c r="L538" s="235"/>
      <c r="M538" s="236"/>
      <c r="N538" s="235"/>
      <c r="O538" s="235"/>
      <c r="P538" s="236"/>
      <c r="Q538" s="235"/>
      <c r="R538" s="235"/>
      <c r="S538" s="236"/>
      <c r="T538" s="235"/>
      <c r="U538" s="235"/>
      <c r="V538" s="236"/>
      <c r="W538" s="235"/>
      <c r="X538" s="235"/>
      <c r="Y538" s="236"/>
      <c r="Z538" s="235"/>
      <c r="AA538" s="235"/>
      <c r="AB538" s="236"/>
      <c r="AC538" s="235"/>
      <c r="AD538" s="235"/>
      <c r="AE538" s="236"/>
      <c r="AF538" s="235"/>
      <c r="AG538" s="235"/>
      <c r="AH538" s="236"/>
      <c r="AI538" s="235"/>
      <c r="AJ538" s="235"/>
      <c r="AK538" s="236"/>
      <c r="AL538" s="235"/>
      <c r="AM538" s="235"/>
      <c r="AN538" s="236"/>
      <c r="AO538" s="235"/>
      <c r="AP538" s="40"/>
      <c r="AQ538" s="40"/>
      <c r="AR538" s="40"/>
      <c r="AS538" s="40"/>
      <c r="AT538" s="40"/>
      <c r="AU538" s="40"/>
      <c r="AV538" s="40"/>
      <c r="AW538" s="40"/>
      <c r="AX538" s="40"/>
      <c r="AY538" s="40"/>
      <c r="AZ538" s="40"/>
      <c r="BA538" s="40"/>
      <c r="BB538" s="40"/>
      <c r="BC538" s="40"/>
      <c r="BD538" s="40"/>
      <c r="BE538" s="40"/>
      <c r="BF538" s="40"/>
      <c r="BG538" s="40"/>
      <c r="BH538" s="40"/>
      <c r="BI538" s="40"/>
    </row>
    <row r="539" ht="15.75" customHeight="1">
      <c r="A539" s="33"/>
      <c r="B539" s="228"/>
      <c r="C539" s="235"/>
      <c r="D539" s="236"/>
      <c r="E539" s="235"/>
      <c r="F539" s="235"/>
      <c r="G539" s="236"/>
      <c r="H539" s="235"/>
      <c r="I539" s="235"/>
      <c r="J539" s="236"/>
      <c r="K539" s="235"/>
      <c r="L539" s="235"/>
      <c r="M539" s="236"/>
      <c r="N539" s="235"/>
      <c r="O539" s="235"/>
      <c r="P539" s="236"/>
      <c r="Q539" s="235"/>
      <c r="R539" s="235"/>
      <c r="S539" s="236"/>
      <c r="T539" s="235"/>
      <c r="U539" s="235"/>
      <c r="V539" s="236"/>
      <c r="W539" s="235"/>
      <c r="X539" s="235"/>
      <c r="Y539" s="236"/>
      <c r="Z539" s="235"/>
      <c r="AA539" s="235"/>
      <c r="AB539" s="236"/>
      <c r="AC539" s="235"/>
      <c r="AD539" s="235"/>
      <c r="AE539" s="236"/>
      <c r="AF539" s="235"/>
      <c r="AG539" s="235"/>
      <c r="AH539" s="236"/>
      <c r="AI539" s="235"/>
      <c r="AJ539" s="235"/>
      <c r="AK539" s="236"/>
      <c r="AL539" s="235"/>
      <c r="AM539" s="235"/>
      <c r="AN539" s="236"/>
      <c r="AO539" s="235"/>
      <c r="AP539" s="40"/>
      <c r="AQ539" s="40"/>
      <c r="AR539" s="40"/>
      <c r="AS539" s="40"/>
      <c r="AT539" s="40"/>
      <c r="AU539" s="40"/>
      <c r="AV539" s="40"/>
      <c r="AW539" s="40"/>
      <c r="AX539" s="40"/>
      <c r="AY539" s="40"/>
      <c r="AZ539" s="40"/>
      <c r="BA539" s="40"/>
      <c r="BB539" s="40"/>
      <c r="BC539" s="40"/>
      <c r="BD539" s="40"/>
      <c r="BE539" s="40"/>
      <c r="BF539" s="40"/>
      <c r="BG539" s="40"/>
      <c r="BH539" s="40"/>
      <c r="BI539" s="40"/>
    </row>
    <row r="540" ht="15.75" customHeight="1">
      <c r="A540" s="33"/>
      <c r="B540" s="228"/>
      <c r="C540" s="235"/>
      <c r="D540" s="236"/>
      <c r="E540" s="235"/>
      <c r="F540" s="235"/>
      <c r="G540" s="236"/>
      <c r="H540" s="235"/>
      <c r="I540" s="235"/>
      <c r="J540" s="236"/>
      <c r="K540" s="235"/>
      <c r="L540" s="235"/>
      <c r="M540" s="236"/>
      <c r="N540" s="235"/>
      <c r="O540" s="235"/>
      <c r="P540" s="236"/>
      <c r="Q540" s="235"/>
      <c r="R540" s="235"/>
      <c r="S540" s="236"/>
      <c r="T540" s="235"/>
      <c r="U540" s="235"/>
      <c r="V540" s="236"/>
      <c r="W540" s="235"/>
      <c r="X540" s="235"/>
      <c r="Y540" s="236"/>
      <c r="Z540" s="235"/>
      <c r="AA540" s="235"/>
      <c r="AB540" s="236"/>
      <c r="AC540" s="235"/>
      <c r="AD540" s="235"/>
      <c r="AE540" s="236"/>
      <c r="AF540" s="235"/>
      <c r="AG540" s="235"/>
      <c r="AH540" s="236"/>
      <c r="AI540" s="235"/>
      <c r="AJ540" s="235"/>
      <c r="AK540" s="236"/>
      <c r="AL540" s="235"/>
      <c r="AM540" s="235"/>
      <c r="AN540" s="236"/>
      <c r="AO540" s="235"/>
      <c r="AP540" s="40"/>
      <c r="AQ540" s="40"/>
      <c r="AR540" s="40"/>
      <c r="AS540" s="40"/>
      <c r="AT540" s="40"/>
      <c r="AU540" s="40"/>
      <c r="AV540" s="40"/>
      <c r="AW540" s="40"/>
      <c r="AX540" s="40"/>
      <c r="AY540" s="40"/>
      <c r="AZ540" s="40"/>
      <c r="BA540" s="40"/>
      <c r="BB540" s="40"/>
      <c r="BC540" s="40"/>
      <c r="BD540" s="40"/>
      <c r="BE540" s="40"/>
      <c r="BF540" s="40"/>
      <c r="BG540" s="40"/>
      <c r="BH540" s="40"/>
      <c r="BI540" s="40"/>
    </row>
    <row r="541" ht="15.75" customHeight="1">
      <c r="A541" s="33"/>
      <c r="B541" s="228"/>
      <c r="C541" s="235"/>
      <c r="D541" s="236"/>
      <c r="E541" s="235"/>
      <c r="F541" s="235"/>
      <c r="G541" s="236"/>
      <c r="H541" s="235"/>
      <c r="I541" s="235"/>
      <c r="J541" s="236"/>
      <c r="K541" s="235"/>
      <c r="L541" s="235"/>
      <c r="M541" s="236"/>
      <c r="N541" s="235"/>
      <c r="O541" s="235"/>
      <c r="P541" s="236"/>
      <c r="Q541" s="235"/>
      <c r="R541" s="235"/>
      <c r="S541" s="236"/>
      <c r="T541" s="235"/>
      <c r="U541" s="235"/>
      <c r="V541" s="236"/>
      <c r="W541" s="235"/>
      <c r="X541" s="235"/>
      <c r="Y541" s="236"/>
      <c r="Z541" s="235"/>
      <c r="AA541" s="235"/>
      <c r="AB541" s="236"/>
      <c r="AC541" s="235"/>
      <c r="AD541" s="235"/>
      <c r="AE541" s="236"/>
      <c r="AF541" s="235"/>
      <c r="AG541" s="235"/>
      <c r="AH541" s="236"/>
      <c r="AI541" s="235"/>
      <c r="AJ541" s="235"/>
      <c r="AK541" s="236"/>
      <c r="AL541" s="235"/>
      <c r="AM541" s="235"/>
      <c r="AN541" s="236"/>
      <c r="AO541" s="235"/>
      <c r="AP541" s="40"/>
      <c r="AQ541" s="40"/>
      <c r="AR541" s="40"/>
      <c r="AS541" s="40"/>
      <c r="AT541" s="40"/>
      <c r="AU541" s="40"/>
      <c r="AV541" s="40"/>
      <c r="AW541" s="40"/>
      <c r="AX541" s="40"/>
      <c r="AY541" s="40"/>
      <c r="AZ541" s="40"/>
      <c r="BA541" s="40"/>
      <c r="BB541" s="40"/>
      <c r="BC541" s="40"/>
      <c r="BD541" s="40"/>
      <c r="BE541" s="40"/>
      <c r="BF541" s="40"/>
      <c r="BG541" s="40"/>
      <c r="BH541" s="40"/>
      <c r="BI541" s="40"/>
    </row>
    <row r="542" ht="15.75" customHeight="1">
      <c r="A542" s="33"/>
      <c r="B542" s="228"/>
      <c r="C542" s="235"/>
      <c r="D542" s="236"/>
      <c r="E542" s="235"/>
      <c r="F542" s="235"/>
      <c r="G542" s="236"/>
      <c r="H542" s="235"/>
      <c r="I542" s="235"/>
      <c r="J542" s="236"/>
      <c r="K542" s="235"/>
      <c r="L542" s="235"/>
      <c r="M542" s="236"/>
      <c r="N542" s="235"/>
      <c r="O542" s="235"/>
      <c r="P542" s="236"/>
      <c r="Q542" s="235"/>
      <c r="R542" s="235"/>
      <c r="S542" s="236"/>
      <c r="T542" s="235"/>
      <c r="U542" s="235"/>
      <c r="V542" s="236"/>
      <c r="W542" s="235"/>
      <c r="X542" s="235"/>
      <c r="Y542" s="236"/>
      <c r="Z542" s="235"/>
      <c r="AA542" s="235"/>
      <c r="AB542" s="236"/>
      <c r="AC542" s="235"/>
      <c r="AD542" s="235"/>
      <c r="AE542" s="236"/>
      <c r="AF542" s="235"/>
      <c r="AG542" s="235"/>
      <c r="AH542" s="236"/>
      <c r="AI542" s="235"/>
      <c r="AJ542" s="235"/>
      <c r="AK542" s="236"/>
      <c r="AL542" s="235"/>
      <c r="AM542" s="235"/>
      <c r="AN542" s="236"/>
      <c r="AO542" s="235"/>
      <c r="AP542" s="40"/>
      <c r="AQ542" s="40"/>
      <c r="AR542" s="40"/>
      <c r="AS542" s="40"/>
      <c r="AT542" s="40"/>
      <c r="AU542" s="40"/>
      <c r="AV542" s="40"/>
      <c r="AW542" s="40"/>
      <c r="AX542" s="40"/>
      <c r="AY542" s="40"/>
      <c r="AZ542" s="40"/>
      <c r="BA542" s="40"/>
      <c r="BB542" s="40"/>
      <c r="BC542" s="40"/>
      <c r="BD542" s="40"/>
      <c r="BE542" s="40"/>
      <c r="BF542" s="40"/>
      <c r="BG542" s="40"/>
      <c r="BH542" s="40"/>
      <c r="BI542" s="40"/>
    </row>
    <row r="543" ht="15.75" customHeight="1">
      <c r="A543" s="33"/>
      <c r="B543" s="227"/>
      <c r="C543" s="237"/>
      <c r="D543" s="238"/>
      <c r="E543" s="237"/>
      <c r="F543" s="237"/>
      <c r="G543" s="238"/>
      <c r="H543" s="237"/>
      <c r="I543" s="237"/>
      <c r="J543" s="238"/>
      <c r="K543" s="237"/>
      <c r="L543" s="237"/>
      <c r="M543" s="238"/>
      <c r="N543" s="237"/>
      <c r="O543" s="237"/>
      <c r="P543" s="238"/>
      <c r="Q543" s="237"/>
      <c r="R543" s="237"/>
      <c r="S543" s="238"/>
      <c r="T543" s="237"/>
      <c r="U543" s="237"/>
      <c r="V543" s="238"/>
      <c r="W543" s="237"/>
      <c r="X543" s="237"/>
      <c r="Y543" s="238"/>
      <c r="Z543" s="237"/>
      <c r="AA543" s="237"/>
      <c r="AB543" s="238"/>
      <c r="AC543" s="237"/>
      <c r="AD543" s="237"/>
      <c r="AE543" s="238"/>
      <c r="AF543" s="237"/>
      <c r="AG543" s="237"/>
      <c r="AH543" s="238"/>
      <c r="AI543" s="237"/>
      <c r="AJ543" s="237"/>
      <c r="AK543" s="238"/>
      <c r="AL543" s="237"/>
      <c r="AM543" s="237"/>
      <c r="AN543" s="238"/>
      <c r="AO543" s="237"/>
      <c r="AP543" s="40"/>
      <c r="AQ543" s="40"/>
      <c r="AR543" s="40"/>
      <c r="AS543" s="40"/>
      <c r="AT543" s="40"/>
      <c r="AU543" s="40"/>
      <c r="AV543" s="40"/>
      <c r="AW543" s="40"/>
      <c r="AX543" s="40"/>
      <c r="AY543" s="40"/>
      <c r="AZ543" s="40"/>
      <c r="BA543" s="40"/>
      <c r="BB543" s="40"/>
      <c r="BC543" s="40"/>
      <c r="BD543" s="40"/>
      <c r="BE543" s="40"/>
      <c r="BF543" s="40"/>
      <c r="BG543" s="40"/>
      <c r="BH543" s="40"/>
      <c r="BI543" s="40"/>
    </row>
    <row r="544" ht="15.75" customHeight="1">
      <c r="A544" s="33"/>
      <c r="B544" s="228"/>
      <c r="C544" s="235"/>
      <c r="D544" s="236"/>
      <c r="E544" s="235"/>
      <c r="F544" s="235"/>
      <c r="G544" s="236"/>
      <c r="H544" s="235"/>
      <c r="I544" s="235"/>
      <c r="J544" s="236"/>
      <c r="K544" s="235"/>
      <c r="L544" s="235"/>
      <c r="M544" s="236"/>
      <c r="N544" s="235"/>
      <c r="O544" s="235"/>
      <c r="P544" s="236"/>
      <c r="Q544" s="235"/>
      <c r="R544" s="235"/>
      <c r="S544" s="236"/>
      <c r="T544" s="235"/>
      <c r="U544" s="235"/>
      <c r="V544" s="236"/>
      <c r="W544" s="235"/>
      <c r="X544" s="235"/>
      <c r="Y544" s="236"/>
      <c r="Z544" s="235"/>
      <c r="AA544" s="235"/>
      <c r="AB544" s="236"/>
      <c r="AC544" s="235"/>
      <c r="AD544" s="235"/>
      <c r="AE544" s="236"/>
      <c r="AF544" s="235"/>
      <c r="AG544" s="235"/>
      <c r="AH544" s="236"/>
      <c r="AI544" s="235"/>
      <c r="AJ544" s="235"/>
      <c r="AK544" s="236"/>
      <c r="AL544" s="235"/>
      <c r="AM544" s="235"/>
      <c r="AN544" s="236"/>
      <c r="AO544" s="235"/>
      <c r="AP544" s="40"/>
      <c r="AQ544" s="40"/>
      <c r="AR544" s="40"/>
      <c r="AS544" s="40"/>
      <c r="AT544" s="40"/>
      <c r="AU544" s="40"/>
      <c r="AV544" s="40"/>
      <c r="AW544" s="40"/>
      <c r="AX544" s="40"/>
      <c r="AY544" s="40"/>
      <c r="AZ544" s="40"/>
      <c r="BA544" s="40"/>
      <c r="BB544" s="40"/>
      <c r="BC544" s="40"/>
      <c r="BD544" s="40"/>
      <c r="BE544" s="40"/>
      <c r="BF544" s="40"/>
      <c r="BG544" s="40"/>
      <c r="BH544" s="40"/>
      <c r="BI544" s="40"/>
    </row>
    <row r="545" ht="15.75" customHeight="1">
      <c r="A545" s="33"/>
      <c r="B545" s="228"/>
      <c r="C545" s="235"/>
      <c r="D545" s="236"/>
      <c r="E545" s="235"/>
      <c r="F545" s="235"/>
      <c r="G545" s="236"/>
      <c r="H545" s="235"/>
      <c r="I545" s="235"/>
      <c r="J545" s="236"/>
      <c r="K545" s="235"/>
      <c r="L545" s="235"/>
      <c r="M545" s="236"/>
      <c r="N545" s="235"/>
      <c r="O545" s="235"/>
      <c r="P545" s="236"/>
      <c r="Q545" s="235"/>
      <c r="R545" s="235"/>
      <c r="S545" s="236"/>
      <c r="T545" s="235"/>
      <c r="U545" s="235"/>
      <c r="V545" s="236"/>
      <c r="W545" s="235"/>
      <c r="X545" s="235"/>
      <c r="Y545" s="236"/>
      <c r="Z545" s="235"/>
      <c r="AA545" s="235"/>
      <c r="AB545" s="236"/>
      <c r="AC545" s="235"/>
      <c r="AD545" s="235"/>
      <c r="AE545" s="236"/>
      <c r="AF545" s="235"/>
      <c r="AG545" s="235"/>
      <c r="AH545" s="236"/>
      <c r="AI545" s="235"/>
      <c r="AJ545" s="235"/>
      <c r="AK545" s="236"/>
      <c r="AL545" s="235"/>
      <c r="AM545" s="235"/>
      <c r="AN545" s="236"/>
      <c r="AO545" s="235"/>
      <c r="AP545" s="40"/>
      <c r="AQ545" s="40"/>
      <c r="AR545" s="40"/>
      <c r="AS545" s="40"/>
      <c r="AT545" s="40"/>
      <c r="AU545" s="40"/>
      <c r="AV545" s="40"/>
      <c r="AW545" s="40"/>
      <c r="AX545" s="40"/>
      <c r="AY545" s="40"/>
      <c r="AZ545" s="40"/>
      <c r="BA545" s="40"/>
      <c r="BB545" s="40"/>
      <c r="BC545" s="40"/>
      <c r="BD545" s="40"/>
      <c r="BE545" s="40"/>
      <c r="BF545" s="40"/>
      <c r="BG545" s="40"/>
      <c r="BH545" s="40"/>
      <c r="BI545" s="40"/>
    </row>
    <row r="546" ht="15.75" customHeight="1">
      <c r="A546" s="33"/>
      <c r="B546" s="227"/>
      <c r="C546" s="235"/>
      <c r="D546" s="236"/>
      <c r="E546" s="235"/>
      <c r="F546" s="235"/>
      <c r="G546" s="236"/>
      <c r="H546" s="235"/>
      <c r="I546" s="235"/>
      <c r="J546" s="236"/>
      <c r="K546" s="235"/>
      <c r="L546" s="235"/>
      <c r="M546" s="236"/>
      <c r="N546" s="235"/>
      <c r="O546" s="235"/>
      <c r="P546" s="236"/>
      <c r="Q546" s="235"/>
      <c r="R546" s="235"/>
      <c r="S546" s="236"/>
      <c r="T546" s="235"/>
      <c r="U546" s="235"/>
      <c r="V546" s="236"/>
      <c r="W546" s="235"/>
      <c r="X546" s="235"/>
      <c r="Y546" s="236"/>
      <c r="Z546" s="235"/>
      <c r="AA546" s="235"/>
      <c r="AB546" s="236"/>
      <c r="AC546" s="235"/>
      <c r="AD546" s="235"/>
      <c r="AE546" s="236"/>
      <c r="AF546" s="235"/>
      <c r="AG546" s="235"/>
      <c r="AH546" s="236"/>
      <c r="AI546" s="235"/>
      <c r="AJ546" s="235"/>
      <c r="AK546" s="236"/>
      <c r="AL546" s="235"/>
      <c r="AM546" s="235"/>
      <c r="AN546" s="236"/>
      <c r="AO546" s="235"/>
      <c r="AP546" s="40"/>
      <c r="AQ546" s="40"/>
      <c r="AR546" s="40"/>
      <c r="AS546" s="40"/>
      <c r="AT546" s="40"/>
      <c r="AU546" s="40"/>
      <c r="AV546" s="40"/>
      <c r="AW546" s="40"/>
      <c r="AX546" s="40"/>
      <c r="AY546" s="40"/>
      <c r="AZ546" s="40"/>
      <c r="BA546" s="40"/>
      <c r="BB546" s="40"/>
      <c r="BC546" s="40"/>
      <c r="BD546" s="40"/>
      <c r="BE546" s="40"/>
      <c r="BF546" s="40"/>
      <c r="BG546" s="40"/>
      <c r="BH546" s="40"/>
      <c r="BI546" s="40"/>
    </row>
    <row r="547" ht="15.75" customHeight="1">
      <c r="A547" s="33"/>
      <c r="B547" s="228"/>
      <c r="C547" s="228"/>
      <c r="D547" s="228"/>
      <c r="E547" s="228"/>
      <c r="F547" s="228"/>
      <c r="G547" s="228"/>
      <c r="H547" s="228"/>
      <c r="I547" s="228"/>
      <c r="J547" s="228"/>
      <c r="K547" s="228"/>
      <c r="L547" s="228"/>
      <c r="M547" s="228"/>
      <c r="N547" s="228"/>
      <c r="O547" s="228"/>
      <c r="P547" s="228"/>
      <c r="Q547" s="228"/>
      <c r="R547" s="228"/>
      <c r="S547" s="228"/>
      <c r="T547" s="228"/>
      <c r="U547" s="228"/>
      <c r="V547" s="228"/>
      <c r="W547" s="228"/>
      <c r="X547" s="228"/>
      <c r="Y547" s="228"/>
      <c r="Z547" s="228"/>
      <c r="AA547" s="228"/>
      <c r="AB547" s="228"/>
      <c r="AC547" s="228"/>
      <c r="AD547" s="228"/>
      <c r="AE547" s="228"/>
      <c r="AF547" s="228"/>
      <c r="AG547" s="228"/>
      <c r="AH547" s="228"/>
      <c r="AI547" s="228"/>
      <c r="AJ547" s="228"/>
      <c r="AK547" s="228"/>
      <c r="AL547" s="228"/>
      <c r="AM547" s="228"/>
      <c r="AN547" s="228"/>
      <c r="AO547" s="228"/>
      <c r="AP547" s="40"/>
      <c r="AQ547" s="40"/>
      <c r="AR547" s="40"/>
      <c r="AS547" s="40"/>
      <c r="AT547" s="40"/>
      <c r="AU547" s="40"/>
      <c r="AV547" s="40"/>
      <c r="AW547" s="40"/>
      <c r="AX547" s="40"/>
      <c r="AY547" s="40"/>
      <c r="AZ547" s="40"/>
      <c r="BA547" s="40"/>
      <c r="BB547" s="40"/>
      <c r="BC547" s="40"/>
      <c r="BD547" s="40"/>
      <c r="BE547" s="40"/>
      <c r="BF547" s="40"/>
      <c r="BG547" s="40"/>
      <c r="BH547" s="40"/>
      <c r="BI547" s="40"/>
    </row>
    <row r="548" ht="15.75" customHeight="1">
      <c r="A548" s="33"/>
      <c r="B548" s="228"/>
      <c r="C548" s="235"/>
      <c r="D548" s="228"/>
      <c r="E548" s="235"/>
      <c r="F548" s="235"/>
      <c r="G548" s="228"/>
      <c r="H548" s="235"/>
      <c r="I548" s="235"/>
      <c r="J548" s="228"/>
      <c r="K548" s="235"/>
      <c r="L548" s="235"/>
      <c r="M548" s="228"/>
      <c r="N548" s="235"/>
      <c r="O548" s="235"/>
      <c r="P548" s="228"/>
      <c r="Q548" s="235"/>
      <c r="R548" s="235"/>
      <c r="S548" s="228"/>
      <c r="T548" s="235"/>
      <c r="U548" s="235"/>
      <c r="V548" s="228"/>
      <c r="W548" s="235"/>
      <c r="X548" s="235"/>
      <c r="Y548" s="228"/>
      <c r="Z548" s="235"/>
      <c r="AA548" s="235"/>
      <c r="AB548" s="228"/>
      <c r="AC548" s="235"/>
      <c r="AD548" s="235"/>
      <c r="AE548" s="228"/>
      <c r="AF548" s="235"/>
      <c r="AG548" s="235"/>
      <c r="AH548" s="228"/>
      <c r="AI548" s="235"/>
      <c r="AJ548" s="235"/>
      <c r="AK548" s="228"/>
      <c r="AL548" s="235"/>
      <c r="AM548" s="235"/>
      <c r="AN548" s="228"/>
      <c r="AO548" s="235"/>
      <c r="AP548" s="40"/>
      <c r="AQ548" s="40"/>
      <c r="AR548" s="40"/>
      <c r="AS548" s="40"/>
      <c r="AT548" s="40"/>
      <c r="AU548" s="40"/>
      <c r="AV548" s="40"/>
      <c r="AW548" s="40"/>
      <c r="AX548" s="40"/>
      <c r="AY548" s="40"/>
      <c r="AZ548" s="40"/>
      <c r="BA548" s="40"/>
      <c r="BB548" s="40"/>
      <c r="BC548" s="40"/>
      <c r="BD548" s="40"/>
      <c r="BE548" s="40"/>
      <c r="BF548" s="40"/>
      <c r="BG548" s="40"/>
      <c r="BH548" s="40"/>
      <c r="BI548" s="40"/>
    </row>
    <row r="549" ht="15.75" customHeight="1">
      <c r="A549" s="33"/>
      <c r="B549" s="228"/>
      <c r="C549" s="235"/>
      <c r="D549" s="236"/>
      <c r="E549" s="235"/>
      <c r="F549" s="235"/>
      <c r="G549" s="236"/>
      <c r="H549" s="235"/>
      <c r="I549" s="235"/>
      <c r="J549" s="236"/>
      <c r="K549" s="235"/>
      <c r="L549" s="235"/>
      <c r="M549" s="236"/>
      <c r="N549" s="235"/>
      <c r="O549" s="235"/>
      <c r="P549" s="236"/>
      <c r="Q549" s="235"/>
      <c r="R549" s="235"/>
      <c r="S549" s="236"/>
      <c r="T549" s="235"/>
      <c r="U549" s="235"/>
      <c r="V549" s="236"/>
      <c r="W549" s="235"/>
      <c r="X549" s="235"/>
      <c r="Y549" s="236"/>
      <c r="Z549" s="235"/>
      <c r="AA549" s="235"/>
      <c r="AB549" s="236"/>
      <c r="AC549" s="235"/>
      <c r="AD549" s="235"/>
      <c r="AE549" s="236"/>
      <c r="AF549" s="235"/>
      <c r="AG549" s="235"/>
      <c r="AH549" s="236"/>
      <c r="AI549" s="235"/>
      <c r="AJ549" s="235"/>
      <c r="AK549" s="236"/>
      <c r="AL549" s="235"/>
      <c r="AM549" s="235"/>
      <c r="AN549" s="236"/>
      <c r="AO549" s="235"/>
      <c r="AP549" s="40"/>
      <c r="AQ549" s="40"/>
      <c r="AR549" s="40"/>
      <c r="AS549" s="40"/>
      <c r="AT549" s="40"/>
      <c r="AU549" s="40"/>
      <c r="AV549" s="40"/>
      <c r="AW549" s="40"/>
      <c r="AX549" s="40"/>
      <c r="AY549" s="40"/>
      <c r="AZ549" s="40"/>
      <c r="BA549" s="40"/>
      <c r="BB549" s="40"/>
      <c r="BC549" s="40"/>
      <c r="BD549" s="40"/>
      <c r="BE549" s="40"/>
      <c r="BF549" s="40"/>
      <c r="BG549" s="40"/>
      <c r="BH549" s="40"/>
      <c r="BI549" s="40"/>
    </row>
    <row r="550" ht="15.75" customHeight="1">
      <c r="A550" s="33"/>
      <c r="B550" s="228"/>
      <c r="C550" s="235"/>
      <c r="D550" s="236"/>
      <c r="E550" s="235"/>
      <c r="F550" s="235"/>
      <c r="G550" s="236"/>
      <c r="H550" s="235"/>
      <c r="I550" s="235"/>
      <c r="J550" s="236"/>
      <c r="K550" s="235"/>
      <c r="L550" s="235"/>
      <c r="M550" s="236"/>
      <c r="N550" s="235"/>
      <c r="O550" s="235"/>
      <c r="P550" s="236"/>
      <c r="Q550" s="235"/>
      <c r="R550" s="235"/>
      <c r="S550" s="236"/>
      <c r="T550" s="235"/>
      <c r="U550" s="235"/>
      <c r="V550" s="236"/>
      <c r="W550" s="235"/>
      <c r="X550" s="235"/>
      <c r="Y550" s="236"/>
      <c r="Z550" s="235"/>
      <c r="AA550" s="235"/>
      <c r="AB550" s="236"/>
      <c r="AC550" s="235"/>
      <c r="AD550" s="235"/>
      <c r="AE550" s="236"/>
      <c r="AF550" s="235"/>
      <c r="AG550" s="235"/>
      <c r="AH550" s="236"/>
      <c r="AI550" s="235"/>
      <c r="AJ550" s="235"/>
      <c r="AK550" s="236"/>
      <c r="AL550" s="235"/>
      <c r="AM550" s="235"/>
      <c r="AN550" s="236"/>
      <c r="AO550" s="235"/>
      <c r="AP550" s="40"/>
      <c r="AQ550" s="40"/>
      <c r="AR550" s="40"/>
      <c r="AS550" s="40"/>
      <c r="AT550" s="40"/>
      <c r="AU550" s="40"/>
      <c r="AV550" s="40"/>
      <c r="AW550" s="40"/>
      <c r="AX550" s="40"/>
      <c r="AY550" s="40"/>
      <c r="AZ550" s="40"/>
      <c r="BA550" s="40"/>
      <c r="BB550" s="40"/>
      <c r="BC550" s="40"/>
      <c r="BD550" s="40"/>
      <c r="BE550" s="40"/>
      <c r="BF550" s="40"/>
      <c r="BG550" s="40"/>
      <c r="BH550" s="40"/>
      <c r="BI550" s="40"/>
    </row>
    <row r="551" ht="15.75" customHeight="1">
      <c r="A551" s="33"/>
      <c r="B551" s="228"/>
      <c r="C551" s="235"/>
      <c r="D551" s="236"/>
      <c r="E551" s="235"/>
      <c r="F551" s="235"/>
      <c r="G551" s="236"/>
      <c r="H551" s="235"/>
      <c r="I551" s="235"/>
      <c r="J551" s="236"/>
      <c r="K551" s="235"/>
      <c r="L551" s="235"/>
      <c r="M551" s="236"/>
      <c r="N551" s="235"/>
      <c r="O551" s="235"/>
      <c r="P551" s="236"/>
      <c r="Q551" s="235"/>
      <c r="R551" s="235"/>
      <c r="S551" s="236"/>
      <c r="T551" s="235"/>
      <c r="U551" s="235"/>
      <c r="V551" s="236"/>
      <c r="W551" s="235"/>
      <c r="X551" s="235"/>
      <c r="Y551" s="236"/>
      <c r="Z551" s="235"/>
      <c r="AA551" s="235"/>
      <c r="AB551" s="236"/>
      <c r="AC551" s="235"/>
      <c r="AD551" s="235"/>
      <c r="AE551" s="236"/>
      <c r="AF551" s="235"/>
      <c r="AG551" s="235"/>
      <c r="AH551" s="236"/>
      <c r="AI551" s="235"/>
      <c r="AJ551" s="235"/>
      <c r="AK551" s="236"/>
      <c r="AL551" s="235"/>
      <c r="AM551" s="235"/>
      <c r="AN551" s="236"/>
      <c r="AO551" s="235"/>
      <c r="AP551" s="40"/>
      <c r="AQ551" s="40"/>
      <c r="AR551" s="40"/>
      <c r="AS551" s="40"/>
      <c r="AT551" s="40"/>
      <c r="AU551" s="40"/>
      <c r="AV551" s="40"/>
      <c r="AW551" s="40"/>
      <c r="AX551" s="40"/>
      <c r="AY551" s="40"/>
      <c r="AZ551" s="40"/>
      <c r="BA551" s="40"/>
      <c r="BB551" s="40"/>
      <c r="BC551" s="40"/>
      <c r="BD551" s="40"/>
      <c r="BE551" s="40"/>
      <c r="BF551" s="40"/>
      <c r="BG551" s="40"/>
      <c r="BH551" s="40"/>
      <c r="BI551" s="40"/>
    </row>
    <row r="552" ht="15.75" customHeight="1">
      <c r="A552" s="33"/>
      <c r="B552" s="227"/>
      <c r="C552" s="237"/>
      <c r="D552" s="238"/>
      <c r="E552" s="237"/>
      <c r="F552" s="237"/>
      <c r="G552" s="238"/>
      <c r="H552" s="237"/>
      <c r="I552" s="237"/>
      <c r="J552" s="238"/>
      <c r="K552" s="237"/>
      <c r="L552" s="237"/>
      <c r="M552" s="238"/>
      <c r="N552" s="237"/>
      <c r="O552" s="237"/>
      <c r="P552" s="238"/>
      <c r="Q552" s="237"/>
      <c r="R552" s="237"/>
      <c r="S552" s="238"/>
      <c r="T552" s="237"/>
      <c r="U552" s="237"/>
      <c r="V552" s="238"/>
      <c r="W552" s="237"/>
      <c r="X552" s="237"/>
      <c r="Y552" s="238"/>
      <c r="Z552" s="237"/>
      <c r="AA552" s="237"/>
      <c r="AB552" s="238"/>
      <c r="AC552" s="237"/>
      <c r="AD552" s="237"/>
      <c r="AE552" s="238"/>
      <c r="AF552" s="237"/>
      <c r="AG552" s="237"/>
      <c r="AH552" s="238"/>
      <c r="AI552" s="237"/>
      <c r="AJ552" s="237"/>
      <c r="AK552" s="238"/>
      <c r="AL552" s="237"/>
      <c r="AM552" s="237"/>
      <c r="AN552" s="238"/>
      <c r="AO552" s="237"/>
      <c r="AP552" s="40"/>
      <c r="AQ552" s="40"/>
      <c r="AR552" s="40"/>
      <c r="AS552" s="40"/>
      <c r="AT552" s="40"/>
      <c r="AU552" s="40"/>
      <c r="AV552" s="40"/>
      <c r="AW552" s="40"/>
      <c r="AX552" s="40"/>
      <c r="AY552" s="40"/>
      <c r="AZ552" s="40"/>
      <c r="BA552" s="40"/>
      <c r="BB552" s="40"/>
      <c r="BC552" s="40"/>
      <c r="BD552" s="40"/>
      <c r="BE552" s="40"/>
      <c r="BF552" s="40"/>
      <c r="BG552" s="40"/>
      <c r="BH552" s="40"/>
      <c r="BI552" s="40"/>
    </row>
    <row r="553" ht="15.75" customHeight="1">
      <c r="A553" s="33"/>
      <c r="B553" s="228"/>
      <c r="C553" s="228"/>
      <c r="D553" s="228"/>
      <c r="E553" s="228"/>
      <c r="F553" s="228"/>
      <c r="G553" s="228"/>
      <c r="H553" s="228"/>
      <c r="I553" s="228"/>
      <c r="J553" s="228"/>
      <c r="K553" s="228"/>
      <c r="L553" s="228"/>
      <c r="M553" s="228"/>
      <c r="N553" s="228"/>
      <c r="O553" s="228"/>
      <c r="P553" s="228"/>
      <c r="Q553" s="228"/>
      <c r="R553" s="228"/>
      <c r="S553" s="228"/>
      <c r="T553" s="228"/>
      <c r="U553" s="228"/>
      <c r="V553" s="228"/>
      <c r="W553" s="228"/>
      <c r="X553" s="228"/>
      <c r="Y553" s="228"/>
      <c r="Z553" s="228"/>
      <c r="AA553" s="228"/>
      <c r="AB553" s="228"/>
      <c r="AC553" s="228"/>
      <c r="AD553" s="228"/>
      <c r="AE553" s="228"/>
      <c r="AF553" s="228"/>
      <c r="AG553" s="228"/>
      <c r="AH553" s="228"/>
      <c r="AI553" s="228"/>
      <c r="AJ553" s="228"/>
      <c r="AK553" s="228"/>
      <c r="AL553" s="228"/>
      <c r="AM553" s="228"/>
      <c r="AN553" s="228"/>
      <c r="AO553" s="228"/>
      <c r="AP553" s="40"/>
      <c r="AQ553" s="40"/>
      <c r="AR553" s="40"/>
      <c r="AS553" s="40"/>
      <c r="AT553" s="40"/>
      <c r="AU553" s="40"/>
      <c r="AV553" s="40"/>
      <c r="AW553" s="40"/>
      <c r="AX553" s="40"/>
      <c r="AY553" s="40"/>
      <c r="AZ553" s="40"/>
      <c r="BA553" s="40"/>
      <c r="BB553" s="40"/>
      <c r="BC553" s="40"/>
      <c r="BD553" s="40"/>
      <c r="BE553" s="40"/>
      <c r="BF553" s="40"/>
      <c r="BG553" s="40"/>
      <c r="BH553" s="40"/>
      <c r="BI553" s="40"/>
    </row>
    <row r="554" ht="15.75" customHeight="1">
      <c r="A554" s="33"/>
      <c r="B554" s="228"/>
      <c r="C554" s="235"/>
      <c r="D554" s="236"/>
      <c r="E554" s="235"/>
      <c r="F554" s="235"/>
      <c r="G554" s="236"/>
      <c r="H554" s="235"/>
      <c r="I554" s="235"/>
      <c r="J554" s="236"/>
      <c r="K554" s="235"/>
      <c r="L554" s="235"/>
      <c r="M554" s="236"/>
      <c r="N554" s="235"/>
      <c r="O554" s="235"/>
      <c r="P554" s="236"/>
      <c r="Q554" s="235"/>
      <c r="R554" s="235"/>
      <c r="S554" s="236"/>
      <c r="T554" s="235"/>
      <c r="U554" s="235"/>
      <c r="V554" s="236"/>
      <c r="W554" s="235"/>
      <c r="X554" s="235"/>
      <c r="Y554" s="236"/>
      <c r="Z554" s="235"/>
      <c r="AA554" s="235"/>
      <c r="AB554" s="236"/>
      <c r="AC554" s="235"/>
      <c r="AD554" s="235"/>
      <c r="AE554" s="236"/>
      <c r="AF554" s="235"/>
      <c r="AG554" s="235"/>
      <c r="AH554" s="236"/>
      <c r="AI554" s="235"/>
      <c r="AJ554" s="235"/>
      <c r="AK554" s="236"/>
      <c r="AL554" s="235"/>
      <c r="AM554" s="235"/>
      <c r="AN554" s="236"/>
      <c r="AO554" s="235"/>
      <c r="AP554" s="40"/>
      <c r="AQ554" s="40"/>
      <c r="AR554" s="40"/>
      <c r="AS554" s="40"/>
      <c r="AT554" s="40"/>
      <c r="AU554" s="40"/>
      <c r="AV554" s="40"/>
      <c r="AW554" s="40"/>
      <c r="AX554" s="40"/>
      <c r="AY554" s="40"/>
      <c r="AZ554" s="40"/>
      <c r="BA554" s="40"/>
      <c r="BB554" s="40"/>
      <c r="BC554" s="40"/>
      <c r="BD554" s="40"/>
      <c r="BE554" s="40"/>
      <c r="BF554" s="40"/>
      <c r="BG554" s="40"/>
      <c r="BH554" s="40"/>
      <c r="BI554" s="40"/>
    </row>
    <row r="555" ht="15.75" customHeight="1">
      <c r="A555" s="33"/>
      <c r="B555" s="227"/>
      <c r="C555" s="235"/>
      <c r="D555" s="236"/>
      <c r="E555" s="235"/>
      <c r="F555" s="235"/>
      <c r="G555" s="236"/>
      <c r="H555" s="235"/>
      <c r="I555" s="235"/>
      <c r="J555" s="236"/>
      <c r="K555" s="235"/>
      <c r="L555" s="235"/>
      <c r="M555" s="236"/>
      <c r="N555" s="235"/>
      <c r="O555" s="235"/>
      <c r="P555" s="236"/>
      <c r="Q555" s="235"/>
      <c r="R555" s="235"/>
      <c r="S555" s="236"/>
      <c r="T555" s="235"/>
      <c r="U555" s="235"/>
      <c r="V555" s="236"/>
      <c r="W555" s="235"/>
      <c r="X555" s="235"/>
      <c r="Y555" s="236"/>
      <c r="Z555" s="235"/>
      <c r="AA555" s="235"/>
      <c r="AB555" s="236"/>
      <c r="AC555" s="235"/>
      <c r="AD555" s="235"/>
      <c r="AE555" s="236"/>
      <c r="AF555" s="235"/>
      <c r="AG555" s="235"/>
      <c r="AH555" s="236"/>
      <c r="AI555" s="235"/>
      <c r="AJ555" s="235"/>
      <c r="AK555" s="236"/>
      <c r="AL555" s="235"/>
      <c r="AM555" s="235"/>
      <c r="AN555" s="236"/>
      <c r="AO555" s="235"/>
      <c r="AP555" s="40"/>
      <c r="AQ555" s="40"/>
      <c r="AR555" s="40"/>
      <c r="AS555" s="40"/>
      <c r="AT555" s="40"/>
      <c r="AU555" s="40"/>
      <c r="AV555" s="40"/>
      <c r="AW555" s="40"/>
      <c r="AX555" s="40"/>
      <c r="AY555" s="40"/>
      <c r="AZ555" s="40"/>
      <c r="BA555" s="40"/>
      <c r="BB555" s="40"/>
      <c r="BC555" s="40"/>
      <c r="BD555" s="40"/>
      <c r="BE555" s="40"/>
      <c r="BF555" s="40"/>
      <c r="BG555" s="40"/>
      <c r="BH555" s="40"/>
      <c r="BI555" s="40"/>
    </row>
    <row r="556" ht="15.75" customHeight="1">
      <c r="A556" s="33"/>
      <c r="B556" s="228"/>
      <c r="C556" s="235"/>
      <c r="D556" s="236"/>
      <c r="E556" s="235"/>
      <c r="F556" s="235"/>
      <c r="G556" s="236"/>
      <c r="H556" s="235"/>
      <c r="I556" s="235"/>
      <c r="J556" s="236"/>
      <c r="K556" s="235"/>
      <c r="L556" s="235"/>
      <c r="M556" s="236"/>
      <c r="N556" s="235"/>
      <c r="O556" s="235"/>
      <c r="P556" s="236"/>
      <c r="Q556" s="235"/>
      <c r="R556" s="235"/>
      <c r="S556" s="236"/>
      <c r="T556" s="235"/>
      <c r="U556" s="235"/>
      <c r="V556" s="236"/>
      <c r="W556" s="235"/>
      <c r="X556" s="235"/>
      <c r="Y556" s="236"/>
      <c r="Z556" s="235"/>
      <c r="AA556" s="235"/>
      <c r="AB556" s="236"/>
      <c r="AC556" s="235"/>
      <c r="AD556" s="235"/>
      <c r="AE556" s="236"/>
      <c r="AF556" s="235"/>
      <c r="AG556" s="235"/>
      <c r="AH556" s="236"/>
      <c r="AI556" s="235"/>
      <c r="AJ556" s="235"/>
      <c r="AK556" s="236"/>
      <c r="AL556" s="235"/>
      <c r="AM556" s="235"/>
      <c r="AN556" s="236"/>
      <c r="AO556" s="235"/>
      <c r="AP556" s="40"/>
      <c r="AQ556" s="40"/>
      <c r="AR556" s="40"/>
      <c r="AS556" s="40"/>
      <c r="AT556" s="40"/>
      <c r="AU556" s="40"/>
      <c r="AV556" s="40"/>
      <c r="AW556" s="40"/>
      <c r="AX556" s="40"/>
      <c r="AY556" s="40"/>
      <c r="AZ556" s="40"/>
      <c r="BA556" s="40"/>
      <c r="BB556" s="40"/>
      <c r="BC556" s="40"/>
      <c r="BD556" s="40"/>
      <c r="BE556" s="40"/>
      <c r="BF556" s="40"/>
      <c r="BG556" s="40"/>
      <c r="BH556" s="40"/>
      <c r="BI556" s="40"/>
    </row>
    <row r="557" ht="15.75" customHeight="1">
      <c r="A557" s="33"/>
      <c r="B557" s="228"/>
      <c r="C557" s="228"/>
      <c r="D557" s="228"/>
      <c r="E557" s="228"/>
      <c r="F557" s="228"/>
      <c r="G557" s="228"/>
      <c r="H557" s="228"/>
      <c r="I557" s="228"/>
      <c r="J557" s="228"/>
      <c r="K557" s="228"/>
      <c r="L557" s="228"/>
      <c r="M557" s="228"/>
      <c r="N557" s="228"/>
      <c r="O557" s="228"/>
      <c r="P557" s="228"/>
      <c r="Q557" s="228"/>
      <c r="R557" s="228"/>
      <c r="S557" s="228"/>
      <c r="T557" s="228"/>
      <c r="U557" s="228"/>
      <c r="V557" s="228"/>
      <c r="W557" s="228"/>
      <c r="X557" s="228"/>
      <c r="Y557" s="228"/>
      <c r="Z557" s="228"/>
      <c r="AA557" s="228"/>
      <c r="AB557" s="228"/>
      <c r="AC557" s="228"/>
      <c r="AD557" s="228"/>
      <c r="AE557" s="228"/>
      <c r="AF557" s="228"/>
      <c r="AG557" s="228"/>
      <c r="AH557" s="228"/>
      <c r="AI557" s="228"/>
      <c r="AJ557" s="228"/>
      <c r="AK557" s="228"/>
      <c r="AL557" s="228"/>
      <c r="AM557" s="228"/>
      <c r="AN557" s="228"/>
      <c r="AO557" s="228"/>
      <c r="AP557" s="40"/>
      <c r="AQ557" s="40"/>
      <c r="AR557" s="40"/>
      <c r="AS557" s="40"/>
      <c r="AT557" s="40"/>
      <c r="AU557" s="40"/>
      <c r="AV557" s="40"/>
      <c r="AW557" s="40"/>
      <c r="AX557" s="40"/>
      <c r="AY557" s="40"/>
      <c r="AZ557" s="40"/>
      <c r="BA557" s="40"/>
      <c r="BB557" s="40"/>
      <c r="BC557" s="40"/>
      <c r="BD557" s="40"/>
      <c r="BE557" s="40"/>
      <c r="BF557" s="40"/>
      <c r="BG557" s="40"/>
      <c r="BH557" s="40"/>
      <c r="BI557" s="40"/>
    </row>
    <row r="558" ht="15.75" customHeight="1">
      <c r="A558" s="33"/>
      <c r="B558" s="228"/>
      <c r="C558" s="228"/>
      <c r="D558" s="228"/>
      <c r="E558" s="228"/>
      <c r="F558" s="228"/>
      <c r="G558" s="228"/>
      <c r="H558" s="228"/>
      <c r="I558" s="228"/>
      <c r="J558" s="228"/>
      <c r="K558" s="228"/>
      <c r="L558" s="228"/>
      <c r="M558" s="228"/>
      <c r="N558" s="228"/>
      <c r="O558" s="228"/>
      <c r="P558" s="228"/>
      <c r="Q558" s="228"/>
      <c r="R558" s="228"/>
      <c r="S558" s="228"/>
      <c r="T558" s="228"/>
      <c r="U558" s="228"/>
      <c r="V558" s="228"/>
      <c r="W558" s="228"/>
      <c r="X558" s="228"/>
      <c r="Y558" s="228"/>
      <c r="Z558" s="228"/>
      <c r="AA558" s="228"/>
      <c r="AB558" s="228"/>
      <c r="AC558" s="228"/>
      <c r="AD558" s="228"/>
      <c r="AE558" s="228"/>
      <c r="AF558" s="228"/>
      <c r="AG558" s="228"/>
      <c r="AH558" s="228"/>
      <c r="AI558" s="228"/>
      <c r="AJ558" s="228"/>
      <c r="AK558" s="228"/>
      <c r="AL558" s="228"/>
      <c r="AM558" s="228"/>
      <c r="AN558" s="228"/>
      <c r="AO558" s="228"/>
      <c r="AP558" s="40"/>
      <c r="AQ558" s="40"/>
      <c r="AR558" s="40"/>
      <c r="AS558" s="40"/>
      <c r="AT558" s="40"/>
      <c r="AU558" s="40"/>
      <c r="AV558" s="40"/>
      <c r="AW558" s="40"/>
      <c r="AX558" s="40"/>
      <c r="AY558" s="40"/>
      <c r="AZ558" s="40"/>
      <c r="BA558" s="40"/>
      <c r="BB558" s="40"/>
      <c r="BC558" s="40"/>
      <c r="BD558" s="40"/>
      <c r="BE558" s="40"/>
      <c r="BF558" s="40"/>
      <c r="BG558" s="40"/>
      <c r="BH558" s="40"/>
      <c r="BI558" s="40"/>
    </row>
    <row r="559" ht="15.75" customHeight="1">
      <c r="A559" s="33"/>
      <c r="B559" s="228"/>
      <c r="C559" s="228"/>
      <c r="D559" s="228"/>
      <c r="E559" s="228"/>
      <c r="F559" s="228"/>
      <c r="G559" s="228"/>
      <c r="H559" s="228"/>
      <c r="I559" s="228"/>
      <c r="J559" s="228"/>
      <c r="K559" s="228"/>
      <c r="L559" s="228"/>
      <c r="M559" s="228"/>
      <c r="N559" s="228"/>
      <c r="O559" s="228"/>
      <c r="P559" s="228"/>
      <c r="Q559" s="228"/>
      <c r="R559" s="228"/>
      <c r="S559" s="228"/>
      <c r="T559" s="228"/>
      <c r="U559" s="228"/>
      <c r="V559" s="228"/>
      <c r="W559" s="228"/>
      <c r="X559" s="228"/>
      <c r="Y559" s="228"/>
      <c r="Z559" s="228"/>
      <c r="AA559" s="228"/>
      <c r="AB559" s="228"/>
      <c r="AC559" s="228"/>
      <c r="AD559" s="228"/>
      <c r="AE559" s="228"/>
      <c r="AF559" s="228"/>
      <c r="AG559" s="228"/>
      <c r="AH559" s="228"/>
      <c r="AI559" s="228"/>
      <c r="AJ559" s="228"/>
      <c r="AK559" s="228"/>
      <c r="AL559" s="228"/>
      <c r="AM559" s="228"/>
      <c r="AN559" s="228"/>
      <c r="AO559" s="228"/>
      <c r="AP559" s="40"/>
      <c r="AQ559" s="40"/>
      <c r="AR559" s="40"/>
      <c r="AS559" s="40"/>
      <c r="AT559" s="40"/>
      <c r="AU559" s="40"/>
      <c r="AV559" s="40"/>
      <c r="AW559" s="40"/>
      <c r="AX559" s="40"/>
      <c r="AY559" s="40"/>
      <c r="AZ559" s="40"/>
      <c r="BA559" s="40"/>
      <c r="BB559" s="40"/>
      <c r="BC559" s="40"/>
      <c r="BD559" s="40"/>
      <c r="BE559" s="40"/>
      <c r="BF559" s="40"/>
      <c r="BG559" s="40"/>
      <c r="BH559" s="40"/>
      <c r="BI559" s="40"/>
    </row>
    <row r="560" ht="15.75" customHeight="1">
      <c r="A560" s="33"/>
      <c r="B560" s="228"/>
      <c r="C560" s="228"/>
      <c r="D560" s="228"/>
      <c r="E560" s="228"/>
      <c r="F560" s="228"/>
      <c r="G560" s="228"/>
      <c r="H560" s="228"/>
      <c r="I560" s="228"/>
      <c r="J560" s="228"/>
      <c r="K560" s="228"/>
      <c r="L560" s="228"/>
      <c r="M560" s="228"/>
      <c r="N560" s="228"/>
      <c r="O560" s="228"/>
      <c r="P560" s="228"/>
      <c r="Q560" s="228"/>
      <c r="R560" s="228"/>
      <c r="S560" s="228"/>
      <c r="T560" s="228"/>
      <c r="U560" s="228"/>
      <c r="V560" s="228"/>
      <c r="W560" s="228"/>
      <c r="X560" s="228"/>
      <c r="Y560" s="228"/>
      <c r="Z560" s="228"/>
      <c r="AA560" s="228"/>
      <c r="AB560" s="228"/>
      <c r="AC560" s="228"/>
      <c r="AD560" s="228"/>
      <c r="AE560" s="228"/>
      <c r="AF560" s="228"/>
      <c r="AG560" s="228"/>
      <c r="AH560" s="228"/>
      <c r="AI560" s="228"/>
      <c r="AJ560" s="228"/>
      <c r="AK560" s="228"/>
      <c r="AL560" s="228"/>
      <c r="AM560" s="228"/>
      <c r="AN560" s="228"/>
      <c r="AO560" s="228"/>
      <c r="AP560" s="40"/>
      <c r="AQ560" s="40"/>
      <c r="AR560" s="40"/>
      <c r="AS560" s="40"/>
      <c r="AT560" s="40"/>
      <c r="AU560" s="40"/>
      <c r="AV560" s="40"/>
      <c r="AW560" s="40"/>
      <c r="AX560" s="40"/>
      <c r="AY560" s="40"/>
      <c r="AZ560" s="40"/>
      <c r="BA560" s="40"/>
      <c r="BB560" s="40"/>
      <c r="BC560" s="40"/>
      <c r="BD560" s="40"/>
      <c r="BE560" s="40"/>
      <c r="BF560" s="40"/>
      <c r="BG560" s="40"/>
      <c r="BH560" s="40"/>
      <c r="BI560" s="40"/>
    </row>
    <row r="561" ht="15.75" customHeight="1">
      <c r="A561" s="33"/>
      <c r="B561" s="228"/>
      <c r="C561" s="228"/>
      <c r="D561" s="228"/>
      <c r="E561" s="228"/>
      <c r="F561" s="228"/>
      <c r="G561" s="228"/>
      <c r="H561" s="228"/>
      <c r="I561" s="228"/>
      <c r="J561" s="228"/>
      <c r="K561" s="228"/>
      <c r="L561" s="228"/>
      <c r="M561" s="228"/>
      <c r="N561" s="228"/>
      <c r="O561" s="228"/>
      <c r="P561" s="228"/>
      <c r="Q561" s="228"/>
      <c r="R561" s="228"/>
      <c r="S561" s="228"/>
      <c r="T561" s="228"/>
      <c r="U561" s="228"/>
      <c r="V561" s="228"/>
      <c r="W561" s="228"/>
      <c r="X561" s="228"/>
      <c r="Y561" s="228"/>
      <c r="Z561" s="228"/>
      <c r="AA561" s="228"/>
      <c r="AB561" s="228"/>
      <c r="AC561" s="228"/>
      <c r="AD561" s="228"/>
      <c r="AE561" s="228"/>
      <c r="AF561" s="228"/>
      <c r="AG561" s="228"/>
      <c r="AH561" s="228"/>
      <c r="AI561" s="228"/>
      <c r="AJ561" s="228"/>
      <c r="AK561" s="228"/>
      <c r="AL561" s="228"/>
      <c r="AM561" s="228"/>
      <c r="AN561" s="228"/>
      <c r="AO561" s="228"/>
      <c r="AP561" s="40"/>
      <c r="AQ561" s="40"/>
      <c r="AR561" s="40"/>
      <c r="AS561" s="40"/>
      <c r="AT561" s="40"/>
      <c r="AU561" s="40"/>
      <c r="AV561" s="40"/>
      <c r="AW561" s="40"/>
      <c r="AX561" s="40"/>
      <c r="AY561" s="40"/>
      <c r="AZ561" s="40"/>
      <c r="BA561" s="40"/>
      <c r="BB561" s="40"/>
      <c r="BC561" s="40"/>
      <c r="BD561" s="40"/>
      <c r="BE561" s="40"/>
      <c r="BF561" s="40"/>
      <c r="BG561" s="40"/>
      <c r="BH561" s="40"/>
      <c r="BI561" s="40"/>
    </row>
    <row r="562" ht="15.75" customHeight="1">
      <c r="A562" s="33"/>
      <c r="B562" s="228"/>
      <c r="C562" s="228"/>
      <c r="D562" s="228"/>
      <c r="E562" s="228"/>
      <c r="F562" s="228"/>
      <c r="G562" s="228"/>
      <c r="H562" s="228"/>
      <c r="I562" s="228"/>
      <c r="J562" s="228"/>
      <c r="K562" s="228"/>
      <c r="L562" s="228"/>
      <c r="M562" s="228"/>
      <c r="N562" s="228"/>
      <c r="O562" s="228"/>
      <c r="P562" s="228"/>
      <c r="Q562" s="228"/>
      <c r="R562" s="228"/>
      <c r="S562" s="228"/>
      <c r="T562" s="228"/>
      <c r="U562" s="228"/>
      <c r="V562" s="228"/>
      <c r="W562" s="228"/>
      <c r="X562" s="228"/>
      <c r="Y562" s="228"/>
      <c r="Z562" s="228"/>
      <c r="AA562" s="228"/>
      <c r="AB562" s="228"/>
      <c r="AC562" s="228"/>
      <c r="AD562" s="228"/>
      <c r="AE562" s="228"/>
      <c r="AF562" s="228"/>
      <c r="AG562" s="228"/>
      <c r="AH562" s="228"/>
      <c r="AI562" s="228"/>
      <c r="AJ562" s="228"/>
      <c r="AK562" s="228"/>
      <c r="AL562" s="228"/>
      <c r="AM562" s="228"/>
      <c r="AN562" s="228"/>
      <c r="AO562" s="228"/>
      <c r="AP562" s="40"/>
      <c r="AQ562" s="40"/>
      <c r="AR562" s="40"/>
      <c r="AS562" s="40"/>
      <c r="AT562" s="40"/>
      <c r="AU562" s="40"/>
      <c r="AV562" s="40"/>
      <c r="AW562" s="40"/>
      <c r="AX562" s="40"/>
      <c r="AY562" s="40"/>
      <c r="AZ562" s="40"/>
      <c r="BA562" s="40"/>
      <c r="BB562" s="40"/>
      <c r="BC562" s="40"/>
      <c r="BD562" s="40"/>
      <c r="BE562" s="40"/>
      <c r="BF562" s="40"/>
      <c r="BG562" s="40"/>
      <c r="BH562" s="40"/>
      <c r="BI562" s="40"/>
    </row>
    <row r="563" ht="15.75" customHeight="1">
      <c r="A563" s="33"/>
      <c r="B563" s="228"/>
      <c r="C563" s="228"/>
      <c r="D563" s="228"/>
      <c r="E563" s="228"/>
      <c r="F563" s="228"/>
      <c r="G563" s="228"/>
      <c r="H563" s="228"/>
      <c r="I563" s="228"/>
      <c r="J563" s="228"/>
      <c r="K563" s="228"/>
      <c r="L563" s="228"/>
      <c r="M563" s="228"/>
      <c r="N563" s="228"/>
      <c r="O563" s="228"/>
      <c r="P563" s="228"/>
      <c r="Q563" s="228"/>
      <c r="R563" s="228"/>
      <c r="S563" s="228"/>
      <c r="T563" s="228"/>
      <c r="U563" s="228"/>
      <c r="V563" s="228"/>
      <c r="W563" s="228"/>
      <c r="X563" s="228"/>
      <c r="Y563" s="228"/>
      <c r="Z563" s="228"/>
      <c r="AA563" s="228"/>
      <c r="AB563" s="228"/>
      <c r="AC563" s="228"/>
      <c r="AD563" s="228"/>
      <c r="AE563" s="228"/>
      <c r="AF563" s="228"/>
      <c r="AG563" s="228"/>
      <c r="AH563" s="228"/>
      <c r="AI563" s="228"/>
      <c r="AJ563" s="228"/>
      <c r="AK563" s="228"/>
      <c r="AL563" s="228"/>
      <c r="AM563" s="228"/>
      <c r="AN563" s="228"/>
      <c r="AO563" s="228"/>
      <c r="AP563" s="40"/>
      <c r="AQ563" s="40"/>
      <c r="AR563" s="40"/>
      <c r="AS563" s="40"/>
      <c r="AT563" s="40"/>
      <c r="AU563" s="40"/>
      <c r="AV563" s="40"/>
      <c r="AW563" s="40"/>
      <c r="AX563" s="40"/>
      <c r="AY563" s="40"/>
      <c r="AZ563" s="40"/>
      <c r="BA563" s="40"/>
      <c r="BB563" s="40"/>
      <c r="BC563" s="40"/>
      <c r="BD563" s="40"/>
      <c r="BE563" s="40"/>
      <c r="BF563" s="40"/>
      <c r="BG563" s="40"/>
      <c r="BH563" s="40"/>
      <c r="BI563" s="40"/>
    </row>
    <row r="564" ht="15.75" customHeight="1">
      <c r="A564" s="33"/>
      <c r="B564" s="228"/>
      <c r="C564" s="228"/>
      <c r="D564" s="228"/>
      <c r="E564" s="228"/>
      <c r="F564" s="228"/>
      <c r="G564" s="228"/>
      <c r="H564" s="228"/>
      <c r="I564" s="228"/>
      <c r="J564" s="228"/>
      <c r="K564" s="228"/>
      <c r="L564" s="228"/>
      <c r="M564" s="228"/>
      <c r="N564" s="228"/>
      <c r="O564" s="228"/>
      <c r="P564" s="228"/>
      <c r="Q564" s="228"/>
      <c r="R564" s="228"/>
      <c r="S564" s="228"/>
      <c r="T564" s="228"/>
      <c r="U564" s="228"/>
      <c r="V564" s="228"/>
      <c r="W564" s="228"/>
      <c r="X564" s="228"/>
      <c r="Y564" s="228"/>
      <c r="Z564" s="228"/>
      <c r="AA564" s="228"/>
      <c r="AB564" s="228"/>
      <c r="AC564" s="228"/>
      <c r="AD564" s="228"/>
      <c r="AE564" s="228"/>
      <c r="AF564" s="228"/>
      <c r="AG564" s="228"/>
      <c r="AH564" s="228"/>
      <c r="AI564" s="228"/>
      <c r="AJ564" s="228"/>
      <c r="AK564" s="228"/>
      <c r="AL564" s="228"/>
      <c r="AM564" s="228"/>
      <c r="AN564" s="228"/>
      <c r="AO564" s="228"/>
      <c r="AP564" s="40"/>
      <c r="AQ564" s="40"/>
      <c r="AR564" s="40"/>
      <c r="AS564" s="40"/>
      <c r="AT564" s="40"/>
      <c r="AU564" s="40"/>
      <c r="AV564" s="40"/>
      <c r="AW564" s="40"/>
      <c r="AX564" s="40"/>
      <c r="AY564" s="40"/>
      <c r="AZ564" s="40"/>
      <c r="BA564" s="40"/>
      <c r="BB564" s="40"/>
      <c r="BC564" s="40"/>
      <c r="BD564" s="40"/>
      <c r="BE564" s="40"/>
      <c r="BF564" s="40"/>
      <c r="BG564" s="40"/>
      <c r="BH564" s="40"/>
      <c r="BI564" s="40"/>
    </row>
    <row r="565" ht="15.75" customHeight="1">
      <c r="A565" s="33"/>
      <c r="B565" s="227"/>
      <c r="C565" s="228"/>
      <c r="D565" s="228"/>
      <c r="E565" s="228"/>
      <c r="F565" s="228"/>
      <c r="G565" s="228"/>
      <c r="H565" s="228"/>
      <c r="I565" s="228"/>
      <c r="J565" s="228"/>
      <c r="K565" s="228"/>
      <c r="L565" s="228"/>
      <c r="M565" s="228"/>
      <c r="N565" s="228"/>
      <c r="O565" s="228"/>
      <c r="P565" s="228"/>
      <c r="Q565" s="228"/>
      <c r="R565" s="228"/>
      <c r="S565" s="228"/>
      <c r="T565" s="228"/>
      <c r="U565" s="228"/>
      <c r="V565" s="228"/>
      <c r="W565" s="228"/>
      <c r="X565" s="228"/>
      <c r="Y565" s="228"/>
      <c r="Z565" s="228"/>
      <c r="AA565" s="228"/>
      <c r="AB565" s="228"/>
      <c r="AC565" s="228"/>
      <c r="AD565" s="228"/>
      <c r="AE565" s="228"/>
      <c r="AF565" s="228"/>
      <c r="AG565" s="228"/>
      <c r="AH565" s="228"/>
      <c r="AI565" s="228"/>
      <c r="AJ565" s="228"/>
      <c r="AK565" s="228"/>
      <c r="AL565" s="228"/>
      <c r="AM565" s="228"/>
      <c r="AN565" s="228"/>
      <c r="AO565" s="228"/>
      <c r="AP565" s="40"/>
      <c r="AQ565" s="40"/>
      <c r="AR565" s="40"/>
      <c r="AS565" s="40"/>
      <c r="AT565" s="40"/>
      <c r="AU565" s="40"/>
      <c r="AV565" s="40"/>
      <c r="AW565" s="40"/>
      <c r="AX565" s="40"/>
      <c r="AY565" s="40"/>
      <c r="AZ565" s="40"/>
      <c r="BA565" s="40"/>
      <c r="BB565" s="40"/>
      <c r="BC565" s="40"/>
      <c r="BD565" s="40"/>
      <c r="BE565" s="40"/>
      <c r="BF565" s="40"/>
      <c r="BG565" s="40"/>
      <c r="BH565" s="40"/>
      <c r="BI565" s="40"/>
    </row>
    <row r="566" ht="15.75" customHeight="1">
      <c r="A566" s="33"/>
      <c r="B566" s="228"/>
      <c r="C566" s="228"/>
      <c r="D566" s="228"/>
      <c r="E566" s="228"/>
      <c r="F566" s="228"/>
      <c r="G566" s="228"/>
      <c r="H566" s="228"/>
      <c r="I566" s="228"/>
      <c r="J566" s="228"/>
      <c r="K566" s="228"/>
      <c r="L566" s="228"/>
      <c r="M566" s="228"/>
      <c r="N566" s="228"/>
      <c r="O566" s="228"/>
      <c r="P566" s="228"/>
      <c r="Q566" s="228"/>
      <c r="R566" s="228"/>
      <c r="S566" s="228"/>
      <c r="T566" s="228"/>
      <c r="U566" s="228"/>
      <c r="V566" s="228"/>
      <c r="W566" s="228"/>
      <c r="X566" s="228"/>
      <c r="Y566" s="228"/>
      <c r="Z566" s="228"/>
      <c r="AA566" s="228"/>
      <c r="AB566" s="228"/>
      <c r="AC566" s="228"/>
      <c r="AD566" s="228"/>
      <c r="AE566" s="228"/>
      <c r="AF566" s="228"/>
      <c r="AG566" s="228"/>
      <c r="AH566" s="228"/>
      <c r="AI566" s="228"/>
      <c r="AJ566" s="228"/>
      <c r="AK566" s="228"/>
      <c r="AL566" s="228"/>
      <c r="AM566" s="228"/>
      <c r="AN566" s="228"/>
      <c r="AO566" s="228"/>
      <c r="AP566" s="40"/>
      <c r="AQ566" s="40"/>
      <c r="AR566" s="40"/>
      <c r="AS566" s="40"/>
      <c r="AT566" s="40"/>
      <c r="AU566" s="40"/>
      <c r="AV566" s="40"/>
      <c r="AW566" s="40"/>
      <c r="AX566" s="40"/>
      <c r="AY566" s="40"/>
      <c r="AZ566" s="40"/>
      <c r="BA566" s="40"/>
      <c r="BB566" s="40"/>
      <c r="BC566" s="40"/>
      <c r="BD566" s="40"/>
      <c r="BE566" s="40"/>
      <c r="BF566" s="40"/>
      <c r="BG566" s="40"/>
      <c r="BH566" s="40"/>
      <c r="BI566" s="40"/>
    </row>
    <row r="567" ht="15.75" customHeight="1">
      <c r="A567" s="33"/>
      <c r="B567" s="228"/>
      <c r="C567" s="228"/>
      <c r="D567" s="228"/>
      <c r="E567" s="228"/>
      <c r="F567" s="228"/>
      <c r="G567" s="228"/>
      <c r="H567" s="228"/>
      <c r="I567" s="228"/>
      <c r="J567" s="228"/>
      <c r="K567" s="228"/>
      <c r="L567" s="228"/>
      <c r="M567" s="228"/>
      <c r="N567" s="228"/>
      <c r="O567" s="228"/>
      <c r="P567" s="228"/>
      <c r="Q567" s="228"/>
      <c r="R567" s="228"/>
      <c r="S567" s="228"/>
      <c r="T567" s="228"/>
      <c r="U567" s="228"/>
      <c r="V567" s="228"/>
      <c r="W567" s="228"/>
      <c r="X567" s="228"/>
      <c r="Y567" s="228"/>
      <c r="Z567" s="228"/>
      <c r="AA567" s="228"/>
      <c r="AB567" s="228"/>
      <c r="AC567" s="228"/>
      <c r="AD567" s="228"/>
      <c r="AE567" s="228"/>
      <c r="AF567" s="228"/>
      <c r="AG567" s="228"/>
      <c r="AH567" s="228"/>
      <c r="AI567" s="228"/>
      <c r="AJ567" s="228"/>
      <c r="AK567" s="228"/>
      <c r="AL567" s="228"/>
      <c r="AM567" s="228"/>
      <c r="AN567" s="228"/>
      <c r="AO567" s="228"/>
      <c r="AP567" s="40"/>
      <c r="AQ567" s="40"/>
      <c r="AR567" s="40"/>
      <c r="AS567" s="40"/>
      <c r="AT567" s="40"/>
      <c r="AU567" s="40"/>
      <c r="AV567" s="40"/>
      <c r="AW567" s="40"/>
      <c r="AX567" s="40"/>
      <c r="AY567" s="40"/>
      <c r="AZ567" s="40"/>
      <c r="BA567" s="40"/>
      <c r="BB567" s="40"/>
      <c r="BC567" s="40"/>
      <c r="BD567" s="40"/>
      <c r="BE567" s="40"/>
      <c r="BF567" s="40"/>
      <c r="BG567" s="40"/>
      <c r="BH567" s="40"/>
      <c r="BI567" s="40"/>
    </row>
    <row r="568" ht="15.75" customHeight="1">
      <c r="A568" s="33"/>
      <c r="B568" s="228"/>
      <c r="C568" s="228"/>
      <c r="D568" s="228"/>
      <c r="E568" s="228"/>
      <c r="F568" s="228"/>
      <c r="G568" s="228"/>
      <c r="H568" s="228"/>
      <c r="I568" s="228"/>
      <c r="J568" s="228"/>
      <c r="K568" s="228"/>
      <c r="L568" s="228"/>
      <c r="M568" s="228"/>
      <c r="N568" s="228"/>
      <c r="O568" s="228"/>
      <c r="P568" s="228"/>
      <c r="Q568" s="228"/>
      <c r="R568" s="228"/>
      <c r="S568" s="228"/>
      <c r="T568" s="228"/>
      <c r="U568" s="228"/>
      <c r="V568" s="228"/>
      <c r="W568" s="228"/>
      <c r="X568" s="228"/>
      <c r="Y568" s="228"/>
      <c r="Z568" s="228"/>
      <c r="AA568" s="228"/>
      <c r="AB568" s="228"/>
      <c r="AC568" s="228"/>
      <c r="AD568" s="228"/>
      <c r="AE568" s="228"/>
      <c r="AF568" s="228"/>
      <c r="AG568" s="228"/>
      <c r="AH568" s="228"/>
      <c r="AI568" s="228"/>
      <c r="AJ568" s="228"/>
      <c r="AK568" s="228"/>
      <c r="AL568" s="228"/>
      <c r="AM568" s="228"/>
      <c r="AN568" s="228"/>
      <c r="AO568" s="228"/>
      <c r="AP568" s="40"/>
      <c r="AQ568" s="40"/>
      <c r="AR568" s="40"/>
      <c r="AS568" s="40"/>
      <c r="AT568" s="40"/>
      <c r="AU568" s="40"/>
      <c r="AV568" s="40"/>
      <c r="AW568" s="40"/>
      <c r="AX568" s="40"/>
      <c r="AY568" s="40"/>
      <c r="AZ568" s="40"/>
      <c r="BA568" s="40"/>
      <c r="BB568" s="40"/>
      <c r="BC568" s="40"/>
      <c r="BD568" s="40"/>
      <c r="BE568" s="40"/>
      <c r="BF568" s="40"/>
      <c r="BG568" s="40"/>
      <c r="BH568" s="40"/>
      <c r="BI568" s="40"/>
    </row>
    <row r="569" ht="15.75" customHeight="1">
      <c r="A569" s="33"/>
      <c r="B569" s="227"/>
      <c r="C569" s="228"/>
      <c r="D569" s="228"/>
      <c r="E569" s="228"/>
      <c r="F569" s="228"/>
      <c r="G569" s="228"/>
      <c r="H569" s="228"/>
      <c r="I569" s="228"/>
      <c r="J569" s="228"/>
      <c r="K569" s="228"/>
      <c r="L569" s="228"/>
      <c r="M569" s="228"/>
      <c r="N569" s="228"/>
      <c r="O569" s="228"/>
      <c r="P569" s="228"/>
      <c r="Q569" s="228"/>
      <c r="R569" s="228"/>
      <c r="S569" s="228"/>
      <c r="T569" s="228"/>
      <c r="U569" s="228"/>
      <c r="V569" s="228"/>
      <c r="W569" s="228"/>
      <c r="X569" s="228"/>
      <c r="Y569" s="228"/>
      <c r="Z569" s="228"/>
      <c r="AA569" s="228"/>
      <c r="AB569" s="228"/>
      <c r="AC569" s="228"/>
      <c r="AD569" s="228"/>
      <c r="AE569" s="228"/>
      <c r="AF569" s="228"/>
      <c r="AG569" s="228"/>
      <c r="AH569" s="228"/>
      <c r="AI569" s="228"/>
      <c r="AJ569" s="228"/>
      <c r="AK569" s="228"/>
      <c r="AL569" s="228"/>
      <c r="AM569" s="228"/>
      <c r="AN569" s="228"/>
      <c r="AO569" s="228"/>
      <c r="AP569" s="40"/>
      <c r="AQ569" s="40"/>
      <c r="AR569" s="40"/>
      <c r="AS569" s="40"/>
      <c r="AT569" s="40"/>
      <c r="AU569" s="40"/>
      <c r="AV569" s="40"/>
      <c r="AW569" s="40"/>
      <c r="AX569" s="40"/>
      <c r="AY569" s="40"/>
      <c r="AZ569" s="40"/>
      <c r="BA569" s="40"/>
      <c r="BB569" s="40"/>
      <c r="BC569" s="40"/>
      <c r="BD569" s="40"/>
      <c r="BE569" s="40"/>
      <c r="BF569" s="40"/>
      <c r="BG569" s="40"/>
      <c r="BH569" s="40"/>
      <c r="BI569" s="40"/>
    </row>
    <row r="570" ht="15.75" customHeight="1">
      <c r="A570" s="33"/>
      <c r="B570" s="228"/>
      <c r="C570" s="228"/>
      <c r="D570" s="228"/>
      <c r="E570" s="228"/>
      <c r="F570" s="228"/>
      <c r="G570" s="228"/>
      <c r="H570" s="228"/>
      <c r="I570" s="228"/>
      <c r="J570" s="228"/>
      <c r="K570" s="228"/>
      <c r="L570" s="228"/>
      <c r="M570" s="228"/>
      <c r="N570" s="228"/>
      <c r="O570" s="228"/>
      <c r="P570" s="228"/>
      <c r="Q570" s="228"/>
      <c r="R570" s="228"/>
      <c r="S570" s="228"/>
      <c r="T570" s="228"/>
      <c r="U570" s="228"/>
      <c r="V570" s="228"/>
      <c r="W570" s="228"/>
      <c r="X570" s="228"/>
      <c r="Y570" s="228"/>
      <c r="Z570" s="228"/>
      <c r="AA570" s="228"/>
      <c r="AB570" s="228"/>
      <c r="AC570" s="228"/>
      <c r="AD570" s="228"/>
      <c r="AE570" s="228"/>
      <c r="AF570" s="228"/>
      <c r="AG570" s="228"/>
      <c r="AH570" s="228"/>
      <c r="AI570" s="228"/>
      <c r="AJ570" s="228"/>
      <c r="AK570" s="228"/>
      <c r="AL570" s="228"/>
      <c r="AM570" s="228"/>
      <c r="AN570" s="228"/>
      <c r="AO570" s="228"/>
      <c r="AP570" s="40"/>
      <c r="AQ570" s="40"/>
      <c r="AR570" s="40"/>
      <c r="AS570" s="40"/>
      <c r="AT570" s="40"/>
      <c r="AU570" s="40"/>
      <c r="AV570" s="40"/>
      <c r="AW570" s="40"/>
      <c r="AX570" s="40"/>
      <c r="AY570" s="40"/>
      <c r="AZ570" s="40"/>
      <c r="BA570" s="40"/>
      <c r="BB570" s="40"/>
      <c r="BC570" s="40"/>
      <c r="BD570" s="40"/>
      <c r="BE570" s="40"/>
      <c r="BF570" s="40"/>
      <c r="BG570" s="40"/>
      <c r="BH570" s="40"/>
      <c r="BI570" s="40"/>
    </row>
    <row r="571" ht="15.75" customHeight="1">
      <c r="A571" s="33"/>
      <c r="B571" s="228"/>
      <c r="C571" s="228"/>
      <c r="D571" s="228"/>
      <c r="E571" s="228"/>
      <c r="F571" s="228"/>
      <c r="G571" s="228"/>
      <c r="H571" s="228"/>
      <c r="I571" s="228"/>
      <c r="J571" s="228"/>
      <c r="K571" s="228"/>
      <c r="L571" s="228"/>
      <c r="M571" s="228"/>
      <c r="N571" s="228"/>
      <c r="O571" s="228"/>
      <c r="P571" s="228"/>
      <c r="Q571" s="228"/>
      <c r="R571" s="228"/>
      <c r="S571" s="228"/>
      <c r="T571" s="228"/>
      <c r="U571" s="228"/>
      <c r="V571" s="228"/>
      <c r="W571" s="228"/>
      <c r="X571" s="228"/>
      <c r="Y571" s="228"/>
      <c r="Z571" s="228"/>
      <c r="AA571" s="228"/>
      <c r="AB571" s="228"/>
      <c r="AC571" s="228"/>
      <c r="AD571" s="228"/>
      <c r="AE571" s="228"/>
      <c r="AF571" s="228"/>
      <c r="AG571" s="228"/>
      <c r="AH571" s="228"/>
      <c r="AI571" s="228"/>
      <c r="AJ571" s="228"/>
      <c r="AK571" s="228"/>
      <c r="AL571" s="228"/>
      <c r="AM571" s="228"/>
      <c r="AN571" s="228"/>
      <c r="AO571" s="228"/>
      <c r="AP571" s="40"/>
      <c r="AQ571" s="40"/>
      <c r="AR571" s="40"/>
      <c r="AS571" s="40"/>
      <c r="AT571" s="40"/>
      <c r="AU571" s="40"/>
      <c r="AV571" s="40"/>
      <c r="AW571" s="40"/>
      <c r="AX571" s="40"/>
      <c r="AY571" s="40"/>
      <c r="AZ571" s="40"/>
      <c r="BA571" s="40"/>
      <c r="BB571" s="40"/>
      <c r="BC571" s="40"/>
      <c r="BD571" s="40"/>
      <c r="BE571" s="40"/>
      <c r="BF571" s="40"/>
      <c r="BG571" s="40"/>
      <c r="BH571" s="40"/>
      <c r="BI571" s="40"/>
    </row>
    <row r="572" ht="15.75" customHeight="1">
      <c r="A572" s="33"/>
      <c r="B572" s="227"/>
      <c r="C572" s="228"/>
      <c r="D572" s="228"/>
      <c r="E572" s="228"/>
      <c r="F572" s="228"/>
      <c r="G572" s="228"/>
      <c r="H572" s="228"/>
      <c r="I572" s="228"/>
      <c r="J572" s="228"/>
      <c r="K572" s="228"/>
      <c r="L572" s="228"/>
      <c r="M572" s="228"/>
      <c r="N572" s="228"/>
      <c r="O572" s="228"/>
      <c r="P572" s="228"/>
      <c r="Q572" s="228"/>
      <c r="R572" s="228"/>
      <c r="S572" s="228"/>
      <c r="T572" s="228"/>
      <c r="U572" s="228"/>
      <c r="V572" s="228"/>
      <c r="W572" s="228"/>
      <c r="X572" s="228"/>
      <c r="Y572" s="228"/>
      <c r="Z572" s="228"/>
      <c r="AA572" s="228"/>
      <c r="AB572" s="228"/>
      <c r="AC572" s="228"/>
      <c r="AD572" s="228"/>
      <c r="AE572" s="228"/>
      <c r="AF572" s="228"/>
      <c r="AG572" s="228"/>
      <c r="AH572" s="228"/>
      <c r="AI572" s="228"/>
      <c r="AJ572" s="228"/>
      <c r="AK572" s="228"/>
      <c r="AL572" s="228"/>
      <c r="AM572" s="228"/>
      <c r="AN572" s="228"/>
      <c r="AO572" s="228"/>
      <c r="AP572" s="40"/>
      <c r="AQ572" s="40"/>
      <c r="AR572" s="40"/>
      <c r="AS572" s="40"/>
      <c r="AT572" s="40"/>
      <c r="AU572" s="40"/>
      <c r="AV572" s="40"/>
      <c r="AW572" s="40"/>
      <c r="AX572" s="40"/>
      <c r="AY572" s="40"/>
      <c r="AZ572" s="40"/>
      <c r="BA572" s="40"/>
      <c r="BB572" s="40"/>
      <c r="BC572" s="40"/>
      <c r="BD572" s="40"/>
      <c r="BE572" s="40"/>
      <c r="BF572" s="40"/>
      <c r="BG572" s="40"/>
      <c r="BH572" s="40"/>
      <c r="BI572" s="40"/>
    </row>
    <row r="573" ht="15.75" customHeight="1">
      <c r="A573" s="33"/>
      <c r="B573" s="228"/>
      <c r="C573" s="228"/>
      <c r="D573" s="228"/>
      <c r="E573" s="228"/>
      <c r="F573" s="228"/>
      <c r="G573" s="228"/>
      <c r="H573" s="228"/>
      <c r="I573" s="228"/>
      <c r="J573" s="228"/>
      <c r="K573" s="228"/>
      <c r="L573" s="228"/>
      <c r="M573" s="228"/>
      <c r="N573" s="228"/>
      <c r="O573" s="228"/>
      <c r="P573" s="228"/>
      <c r="Q573" s="228"/>
      <c r="R573" s="228"/>
      <c r="S573" s="228"/>
      <c r="T573" s="228"/>
      <c r="U573" s="228"/>
      <c r="V573" s="228"/>
      <c r="W573" s="228"/>
      <c r="X573" s="228"/>
      <c r="Y573" s="228"/>
      <c r="Z573" s="228"/>
      <c r="AA573" s="228"/>
      <c r="AB573" s="228"/>
      <c r="AC573" s="228"/>
      <c r="AD573" s="228"/>
      <c r="AE573" s="228"/>
      <c r="AF573" s="228"/>
      <c r="AG573" s="228"/>
      <c r="AH573" s="228"/>
      <c r="AI573" s="228"/>
      <c r="AJ573" s="228"/>
      <c r="AK573" s="228"/>
      <c r="AL573" s="228"/>
      <c r="AM573" s="228"/>
      <c r="AN573" s="228"/>
      <c r="AO573" s="228"/>
      <c r="AP573" s="40"/>
      <c r="AQ573" s="40"/>
      <c r="AR573" s="40"/>
      <c r="AS573" s="40"/>
      <c r="AT573" s="40"/>
      <c r="AU573" s="40"/>
      <c r="AV573" s="40"/>
      <c r="AW573" s="40"/>
      <c r="AX573" s="40"/>
      <c r="AY573" s="40"/>
      <c r="AZ573" s="40"/>
      <c r="BA573" s="40"/>
      <c r="BB573" s="40"/>
      <c r="BC573" s="40"/>
      <c r="BD573" s="40"/>
      <c r="BE573" s="40"/>
      <c r="BF573" s="40"/>
      <c r="BG573" s="40"/>
      <c r="BH573" s="40"/>
      <c r="BI573" s="40"/>
    </row>
    <row r="574" ht="15.75" customHeight="1">
      <c r="A574" s="33"/>
      <c r="B574" s="228"/>
      <c r="C574" s="235"/>
      <c r="D574" s="236"/>
      <c r="E574" s="235"/>
      <c r="F574" s="235"/>
      <c r="G574" s="236"/>
      <c r="H574" s="235"/>
      <c r="I574" s="235"/>
      <c r="J574" s="236"/>
      <c r="K574" s="235"/>
      <c r="L574" s="235"/>
      <c r="M574" s="236"/>
      <c r="N574" s="235"/>
      <c r="O574" s="235"/>
      <c r="P574" s="236"/>
      <c r="Q574" s="235"/>
      <c r="R574" s="235"/>
      <c r="S574" s="236"/>
      <c r="T574" s="235"/>
      <c r="U574" s="235"/>
      <c r="V574" s="236"/>
      <c r="W574" s="235"/>
      <c r="X574" s="235"/>
      <c r="Y574" s="236"/>
      <c r="Z574" s="235"/>
      <c r="AA574" s="235"/>
      <c r="AB574" s="236"/>
      <c r="AC574" s="235"/>
      <c r="AD574" s="235"/>
      <c r="AE574" s="236"/>
      <c r="AF574" s="235"/>
      <c r="AG574" s="235"/>
      <c r="AH574" s="236"/>
      <c r="AI574" s="235"/>
      <c r="AJ574" s="235"/>
      <c r="AK574" s="236"/>
      <c r="AL574" s="235"/>
      <c r="AM574" s="235"/>
      <c r="AN574" s="236"/>
      <c r="AO574" s="235"/>
      <c r="AP574" s="40"/>
      <c r="AQ574" s="40"/>
      <c r="AR574" s="40"/>
      <c r="AS574" s="40"/>
      <c r="AT574" s="40"/>
      <c r="AU574" s="40"/>
      <c r="AV574" s="40"/>
      <c r="AW574" s="40"/>
      <c r="AX574" s="40"/>
      <c r="AY574" s="40"/>
      <c r="AZ574" s="40"/>
      <c r="BA574" s="40"/>
      <c r="BB574" s="40"/>
      <c r="BC574" s="40"/>
      <c r="BD574" s="40"/>
      <c r="BE574" s="40"/>
      <c r="BF574" s="40"/>
      <c r="BG574" s="40"/>
      <c r="BH574" s="40"/>
      <c r="BI574" s="40"/>
    </row>
    <row r="575" ht="15.75" customHeight="1">
      <c r="A575" s="33"/>
      <c r="B575" s="227"/>
      <c r="C575" s="237"/>
      <c r="D575" s="238"/>
      <c r="E575" s="237"/>
      <c r="F575" s="237"/>
      <c r="G575" s="238"/>
      <c r="H575" s="237"/>
      <c r="I575" s="237"/>
      <c r="J575" s="238"/>
      <c r="K575" s="237"/>
      <c r="L575" s="237"/>
      <c r="M575" s="238"/>
      <c r="N575" s="237"/>
      <c r="O575" s="237"/>
      <c r="P575" s="238"/>
      <c r="Q575" s="237"/>
      <c r="R575" s="237"/>
      <c r="S575" s="238"/>
      <c r="T575" s="237"/>
      <c r="U575" s="237"/>
      <c r="V575" s="238"/>
      <c r="W575" s="237"/>
      <c r="X575" s="237"/>
      <c r="Y575" s="238"/>
      <c r="Z575" s="237"/>
      <c r="AA575" s="237"/>
      <c r="AB575" s="238"/>
      <c r="AC575" s="237"/>
      <c r="AD575" s="237"/>
      <c r="AE575" s="238"/>
      <c r="AF575" s="237"/>
      <c r="AG575" s="237"/>
      <c r="AH575" s="238"/>
      <c r="AI575" s="237"/>
      <c r="AJ575" s="237"/>
      <c r="AK575" s="238"/>
      <c r="AL575" s="237"/>
      <c r="AM575" s="237"/>
      <c r="AN575" s="238"/>
      <c r="AO575" s="237"/>
      <c r="AP575" s="40"/>
      <c r="AQ575" s="40"/>
      <c r="AR575" s="40"/>
      <c r="AS575" s="40"/>
      <c r="AT575" s="40"/>
      <c r="AU575" s="40"/>
      <c r="AV575" s="40"/>
      <c r="AW575" s="40"/>
      <c r="AX575" s="40"/>
      <c r="AY575" s="40"/>
      <c r="AZ575" s="40"/>
      <c r="BA575" s="40"/>
      <c r="BB575" s="40"/>
      <c r="BC575" s="40"/>
      <c r="BD575" s="40"/>
      <c r="BE575" s="40"/>
      <c r="BF575" s="40"/>
      <c r="BG575" s="40"/>
      <c r="BH575" s="40"/>
      <c r="BI575" s="40"/>
    </row>
    <row r="576" ht="15.75" customHeight="1">
      <c r="A576" s="33"/>
      <c r="B576" s="228"/>
      <c r="C576" s="236"/>
      <c r="D576" s="235"/>
      <c r="E576" s="236"/>
      <c r="F576" s="236"/>
      <c r="G576" s="235"/>
      <c r="H576" s="236"/>
      <c r="I576" s="236"/>
      <c r="J576" s="235"/>
      <c r="K576" s="236"/>
      <c r="L576" s="236"/>
      <c r="M576" s="235"/>
      <c r="N576" s="236"/>
      <c r="O576" s="236"/>
      <c r="P576" s="235"/>
      <c r="Q576" s="236"/>
      <c r="R576" s="236"/>
      <c r="S576" s="235"/>
      <c r="T576" s="236"/>
      <c r="U576" s="236"/>
      <c r="V576" s="235"/>
      <c r="W576" s="236"/>
      <c r="X576" s="236"/>
      <c r="Y576" s="235"/>
      <c r="Z576" s="236"/>
      <c r="AA576" s="236"/>
      <c r="AB576" s="235"/>
      <c r="AC576" s="236"/>
      <c r="AD576" s="236"/>
      <c r="AE576" s="235"/>
      <c r="AF576" s="236"/>
      <c r="AG576" s="236"/>
      <c r="AH576" s="235"/>
      <c r="AI576" s="236"/>
      <c r="AJ576" s="236"/>
      <c r="AK576" s="235"/>
      <c r="AL576" s="236"/>
      <c r="AM576" s="236"/>
      <c r="AN576" s="235"/>
      <c r="AO576" s="236"/>
      <c r="AP576" s="40"/>
      <c r="AQ576" s="40"/>
      <c r="AR576" s="40"/>
      <c r="AS576" s="40"/>
      <c r="AT576" s="40"/>
      <c r="AU576" s="40"/>
      <c r="AV576" s="40"/>
      <c r="AW576" s="40"/>
      <c r="AX576" s="40"/>
      <c r="AY576" s="40"/>
      <c r="AZ576" s="40"/>
      <c r="BA576" s="40"/>
      <c r="BB576" s="40"/>
      <c r="BC576" s="40"/>
      <c r="BD576" s="40"/>
      <c r="BE576" s="40"/>
      <c r="BF576" s="40"/>
      <c r="BG576" s="40"/>
      <c r="BH576" s="40"/>
      <c r="BI576" s="40"/>
    </row>
    <row r="577" ht="15.75" customHeight="1">
      <c r="A577" s="33"/>
      <c r="B577" s="228"/>
      <c r="C577" s="236"/>
      <c r="D577" s="235"/>
      <c r="E577" s="236"/>
      <c r="F577" s="236"/>
      <c r="G577" s="235"/>
      <c r="H577" s="236"/>
      <c r="I577" s="236"/>
      <c r="J577" s="235"/>
      <c r="K577" s="236"/>
      <c r="L577" s="236"/>
      <c r="M577" s="235"/>
      <c r="N577" s="236"/>
      <c r="O577" s="236"/>
      <c r="P577" s="235"/>
      <c r="Q577" s="236"/>
      <c r="R577" s="236"/>
      <c r="S577" s="235"/>
      <c r="T577" s="236"/>
      <c r="U577" s="236"/>
      <c r="V577" s="235"/>
      <c r="W577" s="236"/>
      <c r="X577" s="236"/>
      <c r="Y577" s="235"/>
      <c r="Z577" s="236"/>
      <c r="AA577" s="236"/>
      <c r="AB577" s="235"/>
      <c r="AC577" s="236"/>
      <c r="AD577" s="236"/>
      <c r="AE577" s="235"/>
      <c r="AF577" s="236"/>
      <c r="AG577" s="236"/>
      <c r="AH577" s="235"/>
      <c r="AI577" s="236"/>
      <c r="AJ577" s="236"/>
      <c r="AK577" s="235"/>
      <c r="AL577" s="236"/>
      <c r="AM577" s="236"/>
      <c r="AN577" s="235"/>
      <c r="AO577" s="236"/>
      <c r="AP577" s="40"/>
      <c r="AQ577" s="40"/>
      <c r="AR577" s="40"/>
      <c r="AS577" s="40"/>
      <c r="AT577" s="40"/>
      <c r="AU577" s="40"/>
      <c r="AV577" s="40"/>
      <c r="AW577" s="40"/>
      <c r="AX577" s="40"/>
      <c r="AY577" s="40"/>
      <c r="AZ577" s="40"/>
      <c r="BA577" s="40"/>
      <c r="BB577" s="40"/>
      <c r="BC577" s="40"/>
      <c r="BD577" s="40"/>
      <c r="BE577" s="40"/>
      <c r="BF577" s="40"/>
      <c r="BG577" s="40"/>
      <c r="BH577" s="40"/>
      <c r="BI577" s="40"/>
    </row>
    <row r="578" ht="15.75" customHeight="1">
      <c r="A578" s="33"/>
      <c r="B578" s="228"/>
      <c r="C578" s="228"/>
      <c r="D578" s="228"/>
      <c r="E578" s="228"/>
      <c r="F578" s="228"/>
      <c r="G578" s="228"/>
      <c r="H578" s="228"/>
      <c r="I578" s="228"/>
      <c r="J578" s="228"/>
      <c r="K578" s="228"/>
      <c r="L578" s="228"/>
      <c r="M578" s="228"/>
      <c r="N578" s="228"/>
      <c r="O578" s="228"/>
      <c r="P578" s="228"/>
      <c r="Q578" s="228"/>
      <c r="R578" s="228"/>
      <c r="S578" s="228"/>
      <c r="T578" s="228"/>
      <c r="U578" s="228"/>
      <c r="V578" s="228"/>
      <c r="W578" s="228"/>
      <c r="X578" s="228"/>
      <c r="Y578" s="228"/>
      <c r="Z578" s="228"/>
      <c r="AA578" s="228"/>
      <c r="AB578" s="228"/>
      <c r="AC578" s="228"/>
      <c r="AD578" s="228"/>
      <c r="AE578" s="228"/>
      <c r="AF578" s="228"/>
      <c r="AG578" s="228"/>
      <c r="AH578" s="228"/>
      <c r="AI578" s="228"/>
      <c r="AJ578" s="228"/>
      <c r="AK578" s="228"/>
      <c r="AL578" s="228"/>
      <c r="AM578" s="228"/>
      <c r="AN578" s="228"/>
      <c r="AO578" s="228"/>
      <c r="AP578" s="40"/>
      <c r="AQ578" s="40"/>
      <c r="AR578" s="40"/>
      <c r="AS578" s="40"/>
      <c r="AT578" s="40"/>
      <c r="AU578" s="40"/>
      <c r="AV578" s="40"/>
      <c r="AW578" s="40"/>
      <c r="AX578" s="40"/>
      <c r="AY578" s="40"/>
      <c r="AZ578" s="40"/>
      <c r="BA578" s="40"/>
      <c r="BB578" s="40"/>
      <c r="BC578" s="40"/>
      <c r="BD578" s="40"/>
      <c r="BE578" s="40"/>
      <c r="BF578" s="40"/>
      <c r="BG578" s="40"/>
      <c r="BH578" s="40"/>
      <c r="BI578" s="40"/>
    </row>
    <row r="579" ht="15.75" customHeight="1">
      <c r="A579" s="33"/>
      <c r="B579" s="228"/>
      <c r="C579" s="236"/>
      <c r="D579" s="235"/>
      <c r="E579" s="236"/>
      <c r="F579" s="236"/>
      <c r="G579" s="235"/>
      <c r="H579" s="236"/>
      <c r="I579" s="236"/>
      <c r="J579" s="235"/>
      <c r="K579" s="236"/>
      <c r="L579" s="236"/>
      <c r="M579" s="235"/>
      <c r="N579" s="236"/>
      <c r="O579" s="236"/>
      <c r="P579" s="235"/>
      <c r="Q579" s="236"/>
      <c r="R579" s="236"/>
      <c r="S579" s="235"/>
      <c r="T579" s="236"/>
      <c r="U579" s="236"/>
      <c r="V579" s="235"/>
      <c r="W579" s="236"/>
      <c r="X579" s="236"/>
      <c r="Y579" s="235"/>
      <c r="Z579" s="236"/>
      <c r="AA579" s="236"/>
      <c r="AB579" s="235"/>
      <c r="AC579" s="236"/>
      <c r="AD579" s="236"/>
      <c r="AE579" s="235"/>
      <c r="AF579" s="236"/>
      <c r="AG579" s="236"/>
      <c r="AH579" s="235"/>
      <c r="AI579" s="236"/>
      <c r="AJ579" s="236"/>
      <c r="AK579" s="235"/>
      <c r="AL579" s="236"/>
      <c r="AM579" s="236"/>
      <c r="AN579" s="235"/>
      <c r="AO579" s="236"/>
      <c r="AP579" s="40"/>
      <c r="AQ579" s="40"/>
      <c r="AR579" s="40"/>
      <c r="AS579" s="40"/>
      <c r="AT579" s="40"/>
      <c r="AU579" s="40"/>
      <c r="AV579" s="40"/>
      <c r="AW579" s="40"/>
      <c r="AX579" s="40"/>
      <c r="AY579" s="40"/>
      <c r="AZ579" s="40"/>
      <c r="BA579" s="40"/>
      <c r="BB579" s="40"/>
      <c r="BC579" s="40"/>
      <c r="BD579" s="40"/>
      <c r="BE579" s="40"/>
      <c r="BF579" s="40"/>
      <c r="BG579" s="40"/>
      <c r="BH579" s="40"/>
      <c r="BI579" s="40"/>
    </row>
    <row r="580" ht="15.75" customHeight="1">
      <c r="A580" s="33"/>
      <c r="B580" s="228"/>
      <c r="C580" s="236"/>
      <c r="D580" s="235"/>
      <c r="E580" s="236"/>
      <c r="F580" s="236"/>
      <c r="G580" s="235"/>
      <c r="H580" s="236"/>
      <c r="I580" s="236"/>
      <c r="J580" s="235"/>
      <c r="K580" s="236"/>
      <c r="L580" s="236"/>
      <c r="M580" s="235"/>
      <c r="N580" s="236"/>
      <c r="O580" s="236"/>
      <c r="P580" s="235"/>
      <c r="Q580" s="236"/>
      <c r="R580" s="236"/>
      <c r="S580" s="235"/>
      <c r="T580" s="236"/>
      <c r="U580" s="236"/>
      <c r="V580" s="235"/>
      <c r="W580" s="236"/>
      <c r="X580" s="236"/>
      <c r="Y580" s="235"/>
      <c r="Z580" s="236"/>
      <c r="AA580" s="236"/>
      <c r="AB580" s="235"/>
      <c r="AC580" s="236"/>
      <c r="AD580" s="236"/>
      <c r="AE580" s="235"/>
      <c r="AF580" s="236"/>
      <c r="AG580" s="236"/>
      <c r="AH580" s="235"/>
      <c r="AI580" s="236"/>
      <c r="AJ580" s="236"/>
      <c r="AK580" s="235"/>
      <c r="AL580" s="236"/>
      <c r="AM580" s="236"/>
      <c r="AN580" s="235"/>
      <c r="AO580" s="236"/>
      <c r="AP580" s="40"/>
      <c r="AQ580" s="40"/>
      <c r="AR580" s="40"/>
      <c r="AS580" s="40"/>
      <c r="AT580" s="40"/>
      <c r="AU580" s="40"/>
      <c r="AV580" s="40"/>
      <c r="AW580" s="40"/>
      <c r="AX580" s="40"/>
      <c r="AY580" s="40"/>
      <c r="AZ580" s="40"/>
      <c r="BA580" s="40"/>
      <c r="BB580" s="40"/>
      <c r="BC580" s="40"/>
      <c r="BD580" s="40"/>
      <c r="BE580" s="40"/>
      <c r="BF580" s="40"/>
      <c r="BG580" s="40"/>
      <c r="BH580" s="40"/>
      <c r="BI580" s="40"/>
    </row>
    <row r="581" ht="15.75" customHeight="1">
      <c r="A581" s="33"/>
      <c r="B581" s="228"/>
      <c r="C581" s="236"/>
      <c r="D581" s="235"/>
      <c r="E581" s="236"/>
      <c r="F581" s="236"/>
      <c r="G581" s="235"/>
      <c r="H581" s="236"/>
      <c r="I581" s="236"/>
      <c r="J581" s="235"/>
      <c r="K581" s="236"/>
      <c r="L581" s="236"/>
      <c r="M581" s="235"/>
      <c r="N581" s="236"/>
      <c r="O581" s="236"/>
      <c r="P581" s="235"/>
      <c r="Q581" s="236"/>
      <c r="R581" s="236"/>
      <c r="S581" s="235"/>
      <c r="T581" s="236"/>
      <c r="U581" s="236"/>
      <c r="V581" s="235"/>
      <c r="W581" s="236"/>
      <c r="X581" s="236"/>
      <c r="Y581" s="235"/>
      <c r="Z581" s="236"/>
      <c r="AA581" s="236"/>
      <c r="AB581" s="235"/>
      <c r="AC581" s="236"/>
      <c r="AD581" s="236"/>
      <c r="AE581" s="235"/>
      <c r="AF581" s="236"/>
      <c r="AG581" s="236"/>
      <c r="AH581" s="235"/>
      <c r="AI581" s="236"/>
      <c r="AJ581" s="236"/>
      <c r="AK581" s="235"/>
      <c r="AL581" s="236"/>
      <c r="AM581" s="236"/>
      <c r="AN581" s="235"/>
      <c r="AO581" s="236"/>
      <c r="AP581" s="40"/>
      <c r="AQ581" s="40"/>
      <c r="AR581" s="40"/>
      <c r="AS581" s="40"/>
      <c r="AT581" s="40"/>
      <c r="AU581" s="40"/>
      <c r="AV581" s="40"/>
      <c r="AW581" s="40"/>
      <c r="AX581" s="40"/>
      <c r="AY581" s="40"/>
      <c r="AZ581" s="40"/>
      <c r="BA581" s="40"/>
      <c r="BB581" s="40"/>
      <c r="BC581" s="40"/>
      <c r="BD581" s="40"/>
      <c r="BE581" s="40"/>
      <c r="BF581" s="40"/>
      <c r="BG581" s="40"/>
      <c r="BH581" s="40"/>
      <c r="BI581" s="40"/>
    </row>
    <row r="582" ht="15.75" customHeight="1">
      <c r="A582" s="33"/>
      <c r="B582" s="228"/>
      <c r="C582" s="236"/>
      <c r="D582" s="235"/>
      <c r="E582" s="236"/>
      <c r="F582" s="236"/>
      <c r="G582" s="235"/>
      <c r="H582" s="236"/>
      <c r="I582" s="236"/>
      <c r="J582" s="235"/>
      <c r="K582" s="236"/>
      <c r="L582" s="236"/>
      <c r="M582" s="235"/>
      <c r="N582" s="236"/>
      <c r="O582" s="236"/>
      <c r="P582" s="235"/>
      <c r="Q582" s="236"/>
      <c r="R582" s="236"/>
      <c r="S582" s="235"/>
      <c r="T582" s="236"/>
      <c r="U582" s="236"/>
      <c r="V582" s="235"/>
      <c r="W582" s="236"/>
      <c r="X582" s="236"/>
      <c r="Y582" s="235"/>
      <c r="Z582" s="236"/>
      <c r="AA582" s="236"/>
      <c r="AB582" s="235"/>
      <c r="AC582" s="236"/>
      <c r="AD582" s="236"/>
      <c r="AE582" s="235"/>
      <c r="AF582" s="236"/>
      <c r="AG582" s="236"/>
      <c r="AH582" s="235"/>
      <c r="AI582" s="236"/>
      <c r="AJ582" s="236"/>
      <c r="AK582" s="235"/>
      <c r="AL582" s="236"/>
      <c r="AM582" s="236"/>
      <c r="AN582" s="235"/>
      <c r="AO582" s="236"/>
      <c r="AP582" s="40"/>
      <c r="AQ582" s="40"/>
      <c r="AR582" s="40"/>
      <c r="AS582" s="40"/>
      <c r="AT582" s="40"/>
      <c r="AU582" s="40"/>
      <c r="AV582" s="40"/>
      <c r="AW582" s="40"/>
      <c r="AX582" s="40"/>
      <c r="AY582" s="40"/>
      <c r="AZ582" s="40"/>
      <c r="BA582" s="40"/>
      <c r="BB582" s="40"/>
      <c r="BC582" s="40"/>
      <c r="BD582" s="40"/>
      <c r="BE582" s="40"/>
      <c r="BF582" s="40"/>
      <c r="BG582" s="40"/>
      <c r="BH582" s="40"/>
      <c r="BI582" s="40"/>
    </row>
    <row r="583" ht="15.75" customHeight="1">
      <c r="A583" s="33"/>
      <c r="B583" s="228"/>
      <c r="C583" s="236"/>
      <c r="D583" s="235"/>
      <c r="E583" s="236"/>
      <c r="F583" s="236"/>
      <c r="G583" s="235"/>
      <c r="H583" s="236"/>
      <c r="I583" s="236"/>
      <c r="J583" s="235"/>
      <c r="K583" s="236"/>
      <c r="L583" s="236"/>
      <c r="M583" s="235"/>
      <c r="N583" s="236"/>
      <c r="O583" s="236"/>
      <c r="P583" s="235"/>
      <c r="Q583" s="236"/>
      <c r="R583" s="236"/>
      <c r="S583" s="235"/>
      <c r="T583" s="236"/>
      <c r="U583" s="236"/>
      <c r="V583" s="235"/>
      <c r="W583" s="236"/>
      <c r="X583" s="236"/>
      <c r="Y583" s="235"/>
      <c r="Z583" s="236"/>
      <c r="AA583" s="236"/>
      <c r="AB583" s="235"/>
      <c r="AC583" s="236"/>
      <c r="AD583" s="236"/>
      <c r="AE583" s="235"/>
      <c r="AF583" s="236"/>
      <c r="AG583" s="236"/>
      <c r="AH583" s="235"/>
      <c r="AI583" s="236"/>
      <c r="AJ583" s="236"/>
      <c r="AK583" s="235"/>
      <c r="AL583" s="236"/>
      <c r="AM583" s="236"/>
      <c r="AN583" s="235"/>
      <c r="AO583" s="236"/>
      <c r="AP583" s="40"/>
      <c r="AQ583" s="40"/>
      <c r="AR583" s="40"/>
      <c r="AS583" s="40"/>
      <c r="AT583" s="40"/>
      <c r="AU583" s="40"/>
      <c r="AV583" s="40"/>
      <c r="AW583" s="40"/>
      <c r="AX583" s="40"/>
      <c r="AY583" s="40"/>
      <c r="AZ583" s="40"/>
      <c r="BA583" s="40"/>
      <c r="BB583" s="40"/>
      <c r="BC583" s="40"/>
      <c r="BD583" s="40"/>
      <c r="BE583" s="40"/>
      <c r="BF583" s="40"/>
      <c r="BG583" s="40"/>
      <c r="BH583" s="40"/>
      <c r="BI583" s="40"/>
    </row>
    <row r="584" ht="15.75" customHeight="1">
      <c r="A584" s="33"/>
      <c r="B584" s="228"/>
      <c r="C584" s="236"/>
      <c r="D584" s="235"/>
      <c r="E584" s="236"/>
      <c r="F584" s="236"/>
      <c r="G584" s="235"/>
      <c r="H584" s="236"/>
      <c r="I584" s="236"/>
      <c r="J584" s="235"/>
      <c r="K584" s="236"/>
      <c r="L584" s="236"/>
      <c r="M584" s="235"/>
      <c r="N584" s="236"/>
      <c r="O584" s="236"/>
      <c r="P584" s="235"/>
      <c r="Q584" s="236"/>
      <c r="R584" s="236"/>
      <c r="S584" s="235"/>
      <c r="T584" s="236"/>
      <c r="U584" s="236"/>
      <c r="V584" s="235"/>
      <c r="W584" s="236"/>
      <c r="X584" s="236"/>
      <c r="Y584" s="235"/>
      <c r="Z584" s="236"/>
      <c r="AA584" s="236"/>
      <c r="AB584" s="235"/>
      <c r="AC584" s="236"/>
      <c r="AD584" s="236"/>
      <c r="AE584" s="235"/>
      <c r="AF584" s="236"/>
      <c r="AG584" s="236"/>
      <c r="AH584" s="235"/>
      <c r="AI584" s="236"/>
      <c r="AJ584" s="236"/>
      <c r="AK584" s="235"/>
      <c r="AL584" s="236"/>
      <c r="AM584" s="236"/>
      <c r="AN584" s="235"/>
      <c r="AO584" s="236"/>
      <c r="AP584" s="40"/>
      <c r="AQ584" s="40"/>
      <c r="AR584" s="40"/>
      <c r="AS584" s="40"/>
      <c r="AT584" s="40"/>
      <c r="AU584" s="40"/>
      <c r="AV584" s="40"/>
      <c r="AW584" s="40"/>
      <c r="AX584" s="40"/>
      <c r="AY584" s="40"/>
      <c r="AZ584" s="40"/>
      <c r="BA584" s="40"/>
      <c r="BB584" s="40"/>
      <c r="BC584" s="40"/>
      <c r="BD584" s="40"/>
      <c r="BE584" s="40"/>
      <c r="BF584" s="40"/>
      <c r="BG584" s="40"/>
      <c r="BH584" s="40"/>
      <c r="BI584" s="40"/>
    </row>
    <row r="585" ht="15.75" customHeight="1">
      <c r="A585" s="33"/>
      <c r="B585" s="228"/>
      <c r="C585" s="236"/>
      <c r="D585" s="235"/>
      <c r="E585" s="236"/>
      <c r="F585" s="236"/>
      <c r="G585" s="235"/>
      <c r="H585" s="236"/>
      <c r="I585" s="236"/>
      <c r="J585" s="235"/>
      <c r="K585" s="236"/>
      <c r="L585" s="236"/>
      <c r="M585" s="235"/>
      <c r="N585" s="236"/>
      <c r="O585" s="236"/>
      <c r="P585" s="235"/>
      <c r="Q585" s="236"/>
      <c r="R585" s="236"/>
      <c r="S585" s="235"/>
      <c r="T585" s="236"/>
      <c r="U585" s="236"/>
      <c r="V585" s="235"/>
      <c r="W585" s="236"/>
      <c r="X585" s="236"/>
      <c r="Y585" s="235"/>
      <c r="Z585" s="236"/>
      <c r="AA585" s="236"/>
      <c r="AB585" s="235"/>
      <c r="AC585" s="236"/>
      <c r="AD585" s="236"/>
      <c r="AE585" s="235"/>
      <c r="AF585" s="236"/>
      <c r="AG585" s="236"/>
      <c r="AH585" s="235"/>
      <c r="AI585" s="236"/>
      <c r="AJ585" s="236"/>
      <c r="AK585" s="235"/>
      <c r="AL585" s="236"/>
      <c r="AM585" s="236"/>
      <c r="AN585" s="235"/>
      <c r="AO585" s="236"/>
      <c r="AP585" s="40"/>
      <c r="AQ585" s="40"/>
      <c r="AR585" s="40"/>
      <c r="AS585" s="40"/>
      <c r="AT585" s="40"/>
      <c r="AU585" s="40"/>
      <c r="AV585" s="40"/>
      <c r="AW585" s="40"/>
      <c r="AX585" s="40"/>
      <c r="AY585" s="40"/>
      <c r="AZ585" s="40"/>
      <c r="BA585" s="40"/>
      <c r="BB585" s="40"/>
      <c r="BC585" s="40"/>
      <c r="BD585" s="40"/>
      <c r="BE585" s="40"/>
      <c r="BF585" s="40"/>
      <c r="BG585" s="40"/>
      <c r="BH585" s="40"/>
      <c r="BI585" s="40"/>
    </row>
    <row r="586" ht="15.75" customHeight="1">
      <c r="A586" s="33"/>
      <c r="B586" s="228"/>
      <c r="C586" s="228"/>
      <c r="D586" s="228"/>
      <c r="E586" s="228"/>
      <c r="F586" s="228"/>
      <c r="G586" s="228"/>
      <c r="H586" s="228"/>
      <c r="I586" s="228"/>
      <c r="J586" s="228"/>
      <c r="K586" s="228"/>
      <c r="L586" s="228"/>
      <c r="M586" s="228"/>
      <c r="N586" s="228"/>
      <c r="O586" s="228"/>
      <c r="P586" s="228"/>
      <c r="Q586" s="228"/>
      <c r="R586" s="228"/>
      <c r="S586" s="228"/>
      <c r="T586" s="228"/>
      <c r="U586" s="228"/>
      <c r="V586" s="228"/>
      <c r="W586" s="228"/>
      <c r="X586" s="228"/>
      <c r="Y586" s="228"/>
      <c r="Z586" s="228"/>
      <c r="AA586" s="228"/>
      <c r="AB586" s="228"/>
      <c r="AC586" s="228"/>
      <c r="AD586" s="228"/>
      <c r="AE586" s="228"/>
      <c r="AF586" s="228"/>
      <c r="AG586" s="228"/>
      <c r="AH586" s="228"/>
      <c r="AI586" s="228"/>
      <c r="AJ586" s="228"/>
      <c r="AK586" s="228"/>
      <c r="AL586" s="228"/>
      <c r="AM586" s="228"/>
      <c r="AN586" s="228"/>
      <c r="AO586" s="228"/>
      <c r="AP586" s="40"/>
      <c r="AQ586" s="40"/>
      <c r="AR586" s="40"/>
      <c r="AS586" s="40"/>
      <c r="AT586" s="40"/>
      <c r="AU586" s="40"/>
      <c r="AV586" s="40"/>
      <c r="AW586" s="40"/>
      <c r="AX586" s="40"/>
      <c r="AY586" s="40"/>
      <c r="AZ586" s="40"/>
      <c r="BA586" s="40"/>
      <c r="BB586" s="40"/>
      <c r="BC586" s="40"/>
      <c r="BD586" s="40"/>
      <c r="BE586" s="40"/>
      <c r="BF586" s="40"/>
      <c r="BG586" s="40"/>
      <c r="BH586" s="40"/>
      <c r="BI586" s="40"/>
    </row>
    <row r="587" ht="15.75" customHeight="1">
      <c r="A587" s="33"/>
      <c r="B587" s="228"/>
      <c r="C587" s="228"/>
      <c r="D587" s="228"/>
      <c r="E587" s="228"/>
      <c r="F587" s="228"/>
      <c r="G587" s="228"/>
      <c r="H587" s="228"/>
      <c r="I587" s="228"/>
      <c r="J587" s="228"/>
      <c r="K587" s="228"/>
      <c r="L587" s="228"/>
      <c r="M587" s="228"/>
      <c r="N587" s="228"/>
      <c r="O587" s="228"/>
      <c r="P587" s="228"/>
      <c r="Q587" s="228"/>
      <c r="R587" s="228"/>
      <c r="S587" s="228"/>
      <c r="T587" s="228"/>
      <c r="U587" s="228"/>
      <c r="V587" s="228"/>
      <c r="W587" s="228"/>
      <c r="X587" s="228"/>
      <c r="Y587" s="228"/>
      <c r="Z587" s="228"/>
      <c r="AA587" s="228"/>
      <c r="AB587" s="228"/>
      <c r="AC587" s="228"/>
      <c r="AD587" s="228"/>
      <c r="AE587" s="228"/>
      <c r="AF587" s="228"/>
      <c r="AG587" s="228"/>
      <c r="AH587" s="228"/>
      <c r="AI587" s="228"/>
      <c r="AJ587" s="228"/>
      <c r="AK587" s="228"/>
      <c r="AL587" s="228"/>
      <c r="AM587" s="228"/>
      <c r="AN587" s="228"/>
      <c r="AO587" s="228"/>
      <c r="AP587" s="40"/>
      <c r="AQ587" s="40"/>
      <c r="AR587" s="40"/>
      <c r="AS587" s="40"/>
      <c r="AT587" s="40"/>
      <c r="AU587" s="40"/>
      <c r="AV587" s="40"/>
      <c r="AW587" s="40"/>
      <c r="AX587" s="40"/>
      <c r="AY587" s="40"/>
      <c r="AZ587" s="40"/>
      <c r="BA587" s="40"/>
      <c r="BB587" s="40"/>
      <c r="BC587" s="40"/>
      <c r="BD587" s="40"/>
      <c r="BE587" s="40"/>
      <c r="BF587" s="40"/>
      <c r="BG587" s="40"/>
      <c r="BH587" s="40"/>
      <c r="BI587" s="40"/>
    </row>
    <row r="588" ht="15.75" customHeight="1">
      <c r="A588" s="33"/>
      <c r="B588" s="228"/>
      <c r="C588" s="228"/>
      <c r="D588" s="228"/>
      <c r="E588" s="228"/>
      <c r="F588" s="228"/>
      <c r="G588" s="228"/>
      <c r="H588" s="228"/>
      <c r="I588" s="228"/>
      <c r="J588" s="228"/>
      <c r="K588" s="228"/>
      <c r="L588" s="228"/>
      <c r="M588" s="228"/>
      <c r="N588" s="228"/>
      <c r="O588" s="228"/>
      <c r="P588" s="228"/>
      <c r="Q588" s="228"/>
      <c r="R588" s="228"/>
      <c r="S588" s="228"/>
      <c r="T588" s="228"/>
      <c r="U588" s="228"/>
      <c r="V588" s="228"/>
      <c r="W588" s="228"/>
      <c r="X588" s="228"/>
      <c r="Y588" s="228"/>
      <c r="Z588" s="228"/>
      <c r="AA588" s="228"/>
      <c r="AB588" s="228"/>
      <c r="AC588" s="228"/>
      <c r="AD588" s="228"/>
      <c r="AE588" s="228"/>
      <c r="AF588" s="228"/>
      <c r="AG588" s="228"/>
      <c r="AH588" s="228"/>
      <c r="AI588" s="228"/>
      <c r="AJ588" s="228"/>
      <c r="AK588" s="228"/>
      <c r="AL588" s="228"/>
      <c r="AM588" s="228"/>
      <c r="AN588" s="228"/>
      <c r="AO588" s="228"/>
      <c r="AP588" s="40"/>
      <c r="AQ588" s="40"/>
      <c r="AR588" s="40"/>
      <c r="AS588" s="40"/>
      <c r="AT588" s="40"/>
      <c r="AU588" s="40"/>
      <c r="AV588" s="40"/>
      <c r="AW588" s="40"/>
      <c r="AX588" s="40"/>
      <c r="AY588" s="40"/>
      <c r="AZ588" s="40"/>
      <c r="BA588" s="40"/>
      <c r="BB588" s="40"/>
      <c r="BC588" s="40"/>
      <c r="BD588" s="40"/>
      <c r="BE588" s="40"/>
      <c r="BF588" s="40"/>
      <c r="BG588" s="40"/>
      <c r="BH588" s="40"/>
      <c r="BI588" s="40"/>
    </row>
    <row r="589" ht="15.75" customHeight="1">
      <c r="A589" s="33"/>
      <c r="B589" s="228"/>
      <c r="C589" s="228"/>
      <c r="D589" s="228"/>
      <c r="E589" s="228"/>
      <c r="F589" s="228"/>
      <c r="G589" s="228"/>
      <c r="H589" s="228"/>
      <c r="I589" s="228"/>
      <c r="J589" s="228"/>
      <c r="K589" s="228"/>
      <c r="L589" s="228"/>
      <c r="M589" s="228"/>
      <c r="N589" s="228"/>
      <c r="O589" s="228"/>
      <c r="P589" s="228"/>
      <c r="Q589" s="228"/>
      <c r="R589" s="228"/>
      <c r="S589" s="228"/>
      <c r="T589" s="228"/>
      <c r="U589" s="228"/>
      <c r="V589" s="228"/>
      <c r="W589" s="228"/>
      <c r="X589" s="228"/>
      <c r="Y589" s="228"/>
      <c r="Z589" s="228"/>
      <c r="AA589" s="228"/>
      <c r="AB589" s="228"/>
      <c r="AC589" s="228"/>
      <c r="AD589" s="228"/>
      <c r="AE589" s="228"/>
      <c r="AF589" s="228"/>
      <c r="AG589" s="228"/>
      <c r="AH589" s="228"/>
      <c r="AI589" s="228"/>
      <c r="AJ589" s="228"/>
      <c r="AK589" s="228"/>
      <c r="AL589" s="228"/>
      <c r="AM589" s="228"/>
      <c r="AN589" s="228"/>
      <c r="AO589" s="228"/>
      <c r="AP589" s="40"/>
      <c r="AQ589" s="40"/>
      <c r="AR589" s="40"/>
      <c r="AS589" s="40"/>
      <c r="AT589" s="40"/>
      <c r="AU589" s="40"/>
      <c r="AV589" s="40"/>
      <c r="AW589" s="40"/>
      <c r="AX589" s="40"/>
      <c r="AY589" s="40"/>
      <c r="AZ589" s="40"/>
      <c r="BA589" s="40"/>
      <c r="BB589" s="40"/>
      <c r="BC589" s="40"/>
      <c r="BD589" s="40"/>
      <c r="BE589" s="40"/>
      <c r="BF589" s="40"/>
      <c r="BG589" s="40"/>
      <c r="BH589" s="40"/>
      <c r="BI589" s="40"/>
    </row>
    <row r="590" ht="15.75" customHeight="1">
      <c r="A590" s="33"/>
      <c r="B590" s="228"/>
      <c r="C590" s="228"/>
      <c r="D590" s="228"/>
      <c r="E590" s="228"/>
      <c r="F590" s="228"/>
      <c r="G590" s="228"/>
      <c r="H590" s="228"/>
      <c r="I590" s="228"/>
      <c r="J590" s="228"/>
      <c r="K590" s="228"/>
      <c r="L590" s="228"/>
      <c r="M590" s="228"/>
      <c r="N590" s="228"/>
      <c r="O590" s="228"/>
      <c r="P590" s="228"/>
      <c r="Q590" s="228"/>
      <c r="R590" s="228"/>
      <c r="S590" s="228"/>
      <c r="T590" s="228"/>
      <c r="U590" s="228"/>
      <c r="V590" s="228"/>
      <c r="W590" s="228"/>
      <c r="X590" s="228"/>
      <c r="Y590" s="228"/>
      <c r="Z590" s="228"/>
      <c r="AA590" s="228"/>
      <c r="AB590" s="228"/>
      <c r="AC590" s="228"/>
      <c r="AD590" s="228"/>
      <c r="AE590" s="228"/>
      <c r="AF590" s="228"/>
      <c r="AG590" s="228"/>
      <c r="AH590" s="228"/>
      <c r="AI590" s="228"/>
      <c r="AJ590" s="228"/>
      <c r="AK590" s="228"/>
      <c r="AL590" s="228"/>
      <c r="AM590" s="228"/>
      <c r="AN590" s="228"/>
      <c r="AO590" s="228"/>
      <c r="AP590" s="40"/>
      <c r="AQ590" s="40"/>
      <c r="AR590" s="40"/>
      <c r="AS590" s="40"/>
      <c r="AT590" s="40"/>
      <c r="AU590" s="40"/>
      <c r="AV590" s="40"/>
      <c r="AW590" s="40"/>
      <c r="AX590" s="40"/>
      <c r="AY590" s="40"/>
      <c r="AZ590" s="40"/>
      <c r="BA590" s="40"/>
      <c r="BB590" s="40"/>
      <c r="BC590" s="40"/>
      <c r="BD590" s="40"/>
      <c r="BE590" s="40"/>
      <c r="BF590" s="40"/>
      <c r="BG590" s="40"/>
      <c r="BH590" s="40"/>
      <c r="BI590" s="40"/>
    </row>
    <row r="591" ht="15.75" customHeight="1">
      <c r="A591" s="33"/>
      <c r="B591" s="228"/>
      <c r="C591" s="228"/>
      <c r="D591" s="228"/>
      <c r="E591" s="228"/>
      <c r="F591" s="228"/>
      <c r="G591" s="228"/>
      <c r="H591" s="228"/>
      <c r="I591" s="228"/>
      <c r="J591" s="228"/>
      <c r="K591" s="228"/>
      <c r="L591" s="228"/>
      <c r="M591" s="228"/>
      <c r="N591" s="228"/>
      <c r="O591" s="228"/>
      <c r="P591" s="228"/>
      <c r="Q591" s="228"/>
      <c r="R591" s="228"/>
      <c r="S591" s="228"/>
      <c r="T591" s="228"/>
      <c r="U591" s="228"/>
      <c r="V591" s="228"/>
      <c r="W591" s="228"/>
      <c r="X591" s="228"/>
      <c r="Y591" s="228"/>
      <c r="Z591" s="228"/>
      <c r="AA591" s="228"/>
      <c r="AB591" s="228"/>
      <c r="AC591" s="228"/>
      <c r="AD591" s="228"/>
      <c r="AE591" s="228"/>
      <c r="AF591" s="228"/>
      <c r="AG591" s="228"/>
      <c r="AH591" s="228"/>
      <c r="AI591" s="228"/>
      <c r="AJ591" s="228"/>
      <c r="AK591" s="228"/>
      <c r="AL591" s="228"/>
      <c r="AM591" s="228"/>
      <c r="AN591" s="228"/>
      <c r="AO591" s="228"/>
      <c r="AP591" s="40"/>
      <c r="AQ591" s="40"/>
      <c r="AR591" s="40"/>
      <c r="AS591" s="40"/>
      <c r="AT591" s="40"/>
      <c r="AU591" s="40"/>
      <c r="AV591" s="40"/>
      <c r="AW591" s="40"/>
      <c r="AX591" s="40"/>
      <c r="AY591" s="40"/>
      <c r="AZ591" s="40"/>
      <c r="BA591" s="40"/>
      <c r="BB591" s="40"/>
      <c r="BC591" s="40"/>
      <c r="BD591" s="40"/>
      <c r="BE591" s="40"/>
      <c r="BF591" s="40"/>
      <c r="BG591" s="40"/>
      <c r="BH591" s="40"/>
      <c r="BI591" s="40"/>
    </row>
    <row r="592" ht="15.75" customHeight="1">
      <c r="A592" s="33"/>
      <c r="B592" s="228"/>
      <c r="C592" s="228"/>
      <c r="D592" s="228"/>
      <c r="E592" s="228"/>
      <c r="F592" s="228"/>
      <c r="G592" s="228"/>
      <c r="H592" s="228"/>
      <c r="I592" s="228"/>
      <c r="J592" s="228"/>
      <c r="K592" s="228"/>
      <c r="L592" s="228"/>
      <c r="M592" s="228"/>
      <c r="N592" s="228"/>
      <c r="O592" s="228"/>
      <c r="P592" s="228"/>
      <c r="Q592" s="228"/>
      <c r="R592" s="228"/>
      <c r="S592" s="228"/>
      <c r="T592" s="228"/>
      <c r="U592" s="228"/>
      <c r="V592" s="228"/>
      <c r="W592" s="228"/>
      <c r="X592" s="228"/>
      <c r="Y592" s="228"/>
      <c r="Z592" s="228"/>
      <c r="AA592" s="228"/>
      <c r="AB592" s="228"/>
      <c r="AC592" s="228"/>
      <c r="AD592" s="228"/>
      <c r="AE592" s="228"/>
      <c r="AF592" s="228"/>
      <c r="AG592" s="228"/>
      <c r="AH592" s="228"/>
      <c r="AI592" s="228"/>
      <c r="AJ592" s="228"/>
      <c r="AK592" s="228"/>
      <c r="AL592" s="228"/>
      <c r="AM592" s="228"/>
      <c r="AN592" s="228"/>
      <c r="AO592" s="228"/>
      <c r="AP592" s="40"/>
      <c r="AQ592" s="40"/>
      <c r="AR592" s="40"/>
      <c r="AS592" s="40"/>
      <c r="AT592" s="40"/>
      <c r="AU592" s="40"/>
      <c r="AV592" s="40"/>
      <c r="AW592" s="40"/>
      <c r="AX592" s="40"/>
      <c r="AY592" s="40"/>
      <c r="AZ592" s="40"/>
      <c r="BA592" s="40"/>
      <c r="BB592" s="40"/>
      <c r="BC592" s="40"/>
      <c r="BD592" s="40"/>
      <c r="BE592" s="40"/>
      <c r="BF592" s="40"/>
      <c r="BG592" s="40"/>
      <c r="BH592" s="40"/>
      <c r="BI592" s="40"/>
    </row>
    <row r="593" ht="15.75" customHeight="1">
      <c r="A593" s="33"/>
      <c r="B593" s="228"/>
      <c r="C593" s="228"/>
      <c r="D593" s="228"/>
      <c r="E593" s="228"/>
      <c r="F593" s="228"/>
      <c r="G593" s="228"/>
      <c r="H593" s="228"/>
      <c r="I593" s="228"/>
      <c r="J593" s="228"/>
      <c r="K593" s="228"/>
      <c r="L593" s="228"/>
      <c r="M593" s="228"/>
      <c r="N593" s="228"/>
      <c r="O593" s="228"/>
      <c r="P593" s="228"/>
      <c r="Q593" s="228"/>
      <c r="R593" s="228"/>
      <c r="S593" s="228"/>
      <c r="T593" s="228"/>
      <c r="U593" s="228"/>
      <c r="V593" s="228"/>
      <c r="W593" s="228"/>
      <c r="X593" s="228"/>
      <c r="Y593" s="228"/>
      <c r="Z593" s="228"/>
      <c r="AA593" s="228"/>
      <c r="AB593" s="228"/>
      <c r="AC593" s="228"/>
      <c r="AD593" s="228"/>
      <c r="AE593" s="228"/>
      <c r="AF593" s="228"/>
      <c r="AG593" s="228"/>
      <c r="AH593" s="228"/>
      <c r="AI593" s="228"/>
      <c r="AJ593" s="228"/>
      <c r="AK593" s="228"/>
      <c r="AL593" s="228"/>
      <c r="AM593" s="228"/>
      <c r="AN593" s="228"/>
      <c r="AO593" s="228"/>
      <c r="AP593" s="40"/>
      <c r="AQ593" s="40"/>
      <c r="AR593" s="40"/>
      <c r="AS593" s="40"/>
      <c r="AT593" s="40"/>
      <c r="AU593" s="40"/>
      <c r="AV593" s="40"/>
      <c r="AW593" s="40"/>
      <c r="AX593" s="40"/>
      <c r="AY593" s="40"/>
      <c r="AZ593" s="40"/>
      <c r="BA593" s="40"/>
      <c r="BB593" s="40"/>
      <c r="BC593" s="40"/>
      <c r="BD593" s="40"/>
      <c r="BE593" s="40"/>
      <c r="BF593" s="40"/>
      <c r="BG593" s="40"/>
      <c r="BH593" s="40"/>
      <c r="BI593" s="40"/>
    </row>
    <row r="594" ht="15.75" customHeight="1">
      <c r="A594" s="33"/>
      <c r="B594" s="228"/>
      <c r="C594" s="228"/>
      <c r="D594" s="228"/>
      <c r="E594" s="228"/>
      <c r="F594" s="228"/>
      <c r="G594" s="228"/>
      <c r="H594" s="228"/>
      <c r="I594" s="228"/>
      <c r="J594" s="228"/>
      <c r="K594" s="228"/>
      <c r="L594" s="228"/>
      <c r="M594" s="228"/>
      <c r="N594" s="228"/>
      <c r="O594" s="228"/>
      <c r="P594" s="228"/>
      <c r="Q594" s="228"/>
      <c r="R594" s="228"/>
      <c r="S594" s="228"/>
      <c r="T594" s="228"/>
      <c r="U594" s="228"/>
      <c r="V594" s="228"/>
      <c r="W594" s="228"/>
      <c r="X594" s="228"/>
      <c r="Y594" s="228"/>
      <c r="Z594" s="228"/>
      <c r="AA594" s="228"/>
      <c r="AB594" s="228"/>
      <c r="AC594" s="228"/>
      <c r="AD594" s="228"/>
      <c r="AE594" s="228"/>
      <c r="AF594" s="228"/>
      <c r="AG594" s="228"/>
      <c r="AH594" s="228"/>
      <c r="AI594" s="228"/>
      <c r="AJ594" s="228"/>
      <c r="AK594" s="228"/>
      <c r="AL594" s="228"/>
      <c r="AM594" s="228"/>
      <c r="AN594" s="228"/>
      <c r="AO594" s="228"/>
      <c r="AP594" s="40"/>
      <c r="AQ594" s="40"/>
      <c r="AR594" s="40"/>
      <c r="AS594" s="40"/>
      <c r="AT594" s="40"/>
      <c r="AU594" s="40"/>
      <c r="AV594" s="40"/>
      <c r="AW594" s="40"/>
      <c r="AX594" s="40"/>
      <c r="AY594" s="40"/>
      <c r="AZ594" s="40"/>
      <c r="BA594" s="40"/>
      <c r="BB594" s="40"/>
      <c r="BC594" s="40"/>
      <c r="BD594" s="40"/>
      <c r="BE594" s="40"/>
      <c r="BF594" s="40"/>
      <c r="BG594" s="40"/>
      <c r="BH594" s="40"/>
      <c r="BI594" s="40"/>
    </row>
    <row r="595" ht="15.75" customHeight="1">
      <c r="A595" s="33"/>
      <c r="B595" s="228"/>
      <c r="C595" s="228"/>
      <c r="D595" s="228"/>
      <c r="E595" s="228"/>
      <c r="F595" s="228"/>
      <c r="G595" s="228"/>
      <c r="H595" s="228"/>
      <c r="I595" s="228"/>
      <c r="J595" s="228"/>
      <c r="K595" s="228"/>
      <c r="L595" s="228"/>
      <c r="M595" s="228"/>
      <c r="N595" s="228"/>
      <c r="O595" s="228"/>
      <c r="P595" s="228"/>
      <c r="Q595" s="228"/>
      <c r="R595" s="228"/>
      <c r="S595" s="228"/>
      <c r="T595" s="228"/>
      <c r="U595" s="228"/>
      <c r="V595" s="228"/>
      <c r="W595" s="228"/>
      <c r="X595" s="228"/>
      <c r="Y595" s="228"/>
      <c r="Z595" s="228"/>
      <c r="AA595" s="228"/>
      <c r="AB595" s="228"/>
      <c r="AC595" s="228"/>
      <c r="AD595" s="228"/>
      <c r="AE595" s="228"/>
      <c r="AF595" s="228"/>
      <c r="AG595" s="228"/>
      <c r="AH595" s="228"/>
      <c r="AI595" s="228"/>
      <c r="AJ595" s="228"/>
      <c r="AK595" s="228"/>
      <c r="AL595" s="228"/>
      <c r="AM595" s="228"/>
      <c r="AN595" s="228"/>
      <c r="AO595" s="228"/>
      <c r="AP595" s="40"/>
      <c r="AQ595" s="40"/>
      <c r="AR595" s="40"/>
      <c r="AS595" s="40"/>
      <c r="AT595" s="40"/>
      <c r="AU595" s="40"/>
      <c r="AV595" s="40"/>
      <c r="AW595" s="40"/>
      <c r="AX595" s="40"/>
      <c r="AY595" s="40"/>
      <c r="AZ595" s="40"/>
      <c r="BA595" s="40"/>
      <c r="BB595" s="40"/>
      <c r="BC595" s="40"/>
      <c r="BD595" s="40"/>
      <c r="BE595" s="40"/>
      <c r="BF595" s="40"/>
      <c r="BG595" s="40"/>
      <c r="BH595" s="40"/>
      <c r="BI595" s="40"/>
    </row>
    <row r="596" ht="15.75" customHeight="1">
      <c r="A596" s="33"/>
      <c r="B596" s="228"/>
      <c r="C596" s="228"/>
      <c r="D596" s="228"/>
      <c r="E596" s="228"/>
      <c r="F596" s="228"/>
      <c r="G596" s="228"/>
      <c r="H596" s="228"/>
      <c r="I596" s="228"/>
      <c r="J596" s="228"/>
      <c r="K596" s="228"/>
      <c r="L596" s="228"/>
      <c r="M596" s="228"/>
      <c r="N596" s="228"/>
      <c r="O596" s="228"/>
      <c r="P596" s="228"/>
      <c r="Q596" s="228"/>
      <c r="R596" s="228"/>
      <c r="S596" s="228"/>
      <c r="T596" s="228"/>
      <c r="U596" s="228"/>
      <c r="V596" s="228"/>
      <c r="W596" s="228"/>
      <c r="X596" s="228"/>
      <c r="Y596" s="228"/>
      <c r="Z596" s="228"/>
      <c r="AA596" s="228"/>
      <c r="AB596" s="228"/>
      <c r="AC596" s="228"/>
      <c r="AD596" s="228"/>
      <c r="AE596" s="228"/>
      <c r="AF596" s="228"/>
      <c r="AG596" s="228"/>
      <c r="AH596" s="228"/>
      <c r="AI596" s="228"/>
      <c r="AJ596" s="228"/>
      <c r="AK596" s="228"/>
      <c r="AL596" s="228"/>
      <c r="AM596" s="228"/>
      <c r="AN596" s="228"/>
      <c r="AO596" s="228"/>
      <c r="AP596" s="40"/>
      <c r="AQ596" s="40"/>
      <c r="AR596" s="40"/>
      <c r="AS596" s="40"/>
      <c r="AT596" s="40"/>
      <c r="AU596" s="40"/>
      <c r="AV596" s="40"/>
      <c r="AW596" s="40"/>
      <c r="AX596" s="40"/>
      <c r="AY596" s="40"/>
      <c r="AZ596" s="40"/>
      <c r="BA596" s="40"/>
      <c r="BB596" s="40"/>
      <c r="BC596" s="40"/>
      <c r="BD596" s="40"/>
      <c r="BE596" s="40"/>
      <c r="BF596" s="40"/>
      <c r="BG596" s="40"/>
      <c r="BH596" s="40"/>
      <c r="BI596" s="40"/>
    </row>
    <row r="597" ht="15.75" customHeight="1">
      <c r="A597" s="33"/>
      <c r="B597" s="228"/>
      <c r="C597" s="228"/>
      <c r="D597" s="228"/>
      <c r="E597" s="228"/>
      <c r="F597" s="228"/>
      <c r="G597" s="228"/>
      <c r="H597" s="228"/>
      <c r="I597" s="228"/>
      <c r="J597" s="228"/>
      <c r="K597" s="228"/>
      <c r="L597" s="228"/>
      <c r="M597" s="228"/>
      <c r="N597" s="228"/>
      <c r="O597" s="228"/>
      <c r="P597" s="228"/>
      <c r="Q597" s="228"/>
      <c r="R597" s="228"/>
      <c r="S597" s="228"/>
      <c r="T597" s="228"/>
      <c r="U597" s="228"/>
      <c r="V597" s="228"/>
      <c r="W597" s="228"/>
      <c r="X597" s="228"/>
      <c r="Y597" s="228"/>
      <c r="Z597" s="228"/>
      <c r="AA597" s="228"/>
      <c r="AB597" s="228"/>
      <c r="AC597" s="228"/>
      <c r="AD597" s="228"/>
      <c r="AE597" s="228"/>
      <c r="AF597" s="228"/>
      <c r="AG597" s="228"/>
      <c r="AH597" s="228"/>
      <c r="AI597" s="228"/>
      <c r="AJ597" s="228"/>
      <c r="AK597" s="228"/>
      <c r="AL597" s="228"/>
      <c r="AM597" s="228"/>
      <c r="AN597" s="228"/>
      <c r="AO597" s="228"/>
      <c r="AP597" s="40"/>
      <c r="AQ597" s="40"/>
      <c r="AR597" s="40"/>
      <c r="AS597" s="40"/>
      <c r="AT597" s="40"/>
      <c r="AU597" s="40"/>
      <c r="AV597" s="40"/>
      <c r="AW597" s="40"/>
      <c r="AX597" s="40"/>
      <c r="AY597" s="40"/>
      <c r="AZ597" s="40"/>
      <c r="BA597" s="40"/>
      <c r="BB597" s="40"/>
      <c r="BC597" s="40"/>
      <c r="BD597" s="40"/>
      <c r="BE597" s="40"/>
      <c r="BF597" s="40"/>
      <c r="BG597" s="40"/>
      <c r="BH597" s="40"/>
      <c r="BI597" s="40"/>
    </row>
    <row r="598" ht="15.75" customHeight="1">
      <c r="A598" s="33"/>
      <c r="B598" s="228"/>
      <c r="C598" s="228"/>
      <c r="D598" s="228"/>
      <c r="E598" s="228"/>
      <c r="F598" s="228"/>
      <c r="G598" s="228"/>
      <c r="H598" s="228"/>
      <c r="I598" s="228"/>
      <c r="J598" s="228"/>
      <c r="K598" s="228"/>
      <c r="L598" s="228"/>
      <c r="M598" s="228"/>
      <c r="N598" s="228"/>
      <c r="O598" s="228"/>
      <c r="P598" s="228"/>
      <c r="Q598" s="228"/>
      <c r="R598" s="228"/>
      <c r="S598" s="228"/>
      <c r="T598" s="228"/>
      <c r="U598" s="228"/>
      <c r="V598" s="228"/>
      <c r="W598" s="228"/>
      <c r="X598" s="228"/>
      <c r="Y598" s="228"/>
      <c r="Z598" s="228"/>
      <c r="AA598" s="228"/>
      <c r="AB598" s="228"/>
      <c r="AC598" s="228"/>
      <c r="AD598" s="228"/>
      <c r="AE598" s="228"/>
      <c r="AF598" s="228"/>
      <c r="AG598" s="228"/>
      <c r="AH598" s="228"/>
      <c r="AI598" s="228"/>
      <c r="AJ598" s="228"/>
      <c r="AK598" s="228"/>
      <c r="AL598" s="228"/>
      <c r="AM598" s="228"/>
      <c r="AN598" s="228"/>
      <c r="AO598" s="228"/>
      <c r="AP598" s="40"/>
      <c r="AQ598" s="40"/>
      <c r="AR598" s="40"/>
      <c r="AS598" s="40"/>
      <c r="AT598" s="40"/>
      <c r="AU598" s="40"/>
      <c r="AV598" s="40"/>
      <c r="AW598" s="40"/>
      <c r="AX598" s="40"/>
      <c r="AY598" s="40"/>
      <c r="AZ598" s="40"/>
      <c r="BA598" s="40"/>
      <c r="BB598" s="40"/>
      <c r="BC598" s="40"/>
      <c r="BD598" s="40"/>
      <c r="BE598" s="40"/>
      <c r="BF598" s="40"/>
      <c r="BG598" s="40"/>
      <c r="BH598" s="40"/>
      <c r="BI598" s="40"/>
    </row>
    <row r="599" ht="15.75" customHeight="1">
      <c r="A599" s="33"/>
      <c r="B599" s="228"/>
      <c r="C599" s="228"/>
      <c r="D599" s="228"/>
      <c r="E599" s="228"/>
      <c r="F599" s="228"/>
      <c r="G599" s="228"/>
      <c r="H599" s="228"/>
      <c r="I599" s="228"/>
      <c r="J599" s="228"/>
      <c r="K599" s="228"/>
      <c r="L599" s="228"/>
      <c r="M599" s="228"/>
      <c r="N599" s="228"/>
      <c r="O599" s="228"/>
      <c r="P599" s="228"/>
      <c r="Q599" s="228"/>
      <c r="R599" s="228"/>
      <c r="S599" s="228"/>
      <c r="T599" s="228"/>
      <c r="U599" s="228"/>
      <c r="V599" s="228"/>
      <c r="W599" s="228"/>
      <c r="X599" s="228"/>
      <c r="Y599" s="228"/>
      <c r="Z599" s="228"/>
      <c r="AA599" s="228"/>
      <c r="AB599" s="228"/>
      <c r="AC599" s="228"/>
      <c r="AD599" s="228"/>
      <c r="AE599" s="228"/>
      <c r="AF599" s="228"/>
      <c r="AG599" s="228"/>
      <c r="AH599" s="228"/>
      <c r="AI599" s="228"/>
      <c r="AJ599" s="228"/>
      <c r="AK599" s="228"/>
      <c r="AL599" s="228"/>
      <c r="AM599" s="228"/>
      <c r="AN599" s="228"/>
      <c r="AO599" s="228"/>
      <c r="AP599" s="40"/>
      <c r="AQ599" s="40"/>
      <c r="AR599" s="40"/>
      <c r="AS599" s="40"/>
      <c r="AT599" s="40"/>
      <c r="AU599" s="40"/>
      <c r="AV599" s="40"/>
      <c r="AW599" s="40"/>
      <c r="AX599" s="40"/>
      <c r="AY599" s="40"/>
      <c r="AZ599" s="40"/>
      <c r="BA599" s="40"/>
      <c r="BB599" s="40"/>
      <c r="BC599" s="40"/>
      <c r="BD599" s="40"/>
      <c r="BE599" s="40"/>
      <c r="BF599" s="40"/>
      <c r="BG599" s="40"/>
      <c r="BH599" s="40"/>
      <c r="BI599" s="40"/>
    </row>
    <row r="600" ht="15.75" customHeight="1">
      <c r="A600" s="33"/>
      <c r="B600" s="228"/>
      <c r="C600" s="228"/>
      <c r="D600" s="228"/>
      <c r="E600" s="228"/>
      <c r="F600" s="228"/>
      <c r="G600" s="228"/>
      <c r="H600" s="228"/>
      <c r="I600" s="228"/>
      <c r="J600" s="228"/>
      <c r="K600" s="228"/>
      <c r="L600" s="228"/>
      <c r="M600" s="228"/>
      <c r="N600" s="228"/>
      <c r="O600" s="228"/>
      <c r="P600" s="228"/>
      <c r="Q600" s="228"/>
      <c r="R600" s="228"/>
      <c r="S600" s="228"/>
      <c r="T600" s="228"/>
      <c r="U600" s="228"/>
      <c r="V600" s="228"/>
      <c r="W600" s="228"/>
      <c r="X600" s="228"/>
      <c r="Y600" s="228"/>
      <c r="Z600" s="228"/>
      <c r="AA600" s="228"/>
      <c r="AB600" s="228"/>
      <c r="AC600" s="228"/>
      <c r="AD600" s="228"/>
      <c r="AE600" s="228"/>
      <c r="AF600" s="228"/>
      <c r="AG600" s="228"/>
      <c r="AH600" s="228"/>
      <c r="AI600" s="228"/>
      <c r="AJ600" s="228"/>
      <c r="AK600" s="228"/>
      <c r="AL600" s="228"/>
      <c r="AM600" s="228"/>
      <c r="AN600" s="228"/>
      <c r="AO600" s="228"/>
      <c r="AP600" s="40"/>
      <c r="AQ600" s="40"/>
      <c r="AR600" s="40"/>
      <c r="AS600" s="40"/>
      <c r="AT600" s="40"/>
      <c r="AU600" s="40"/>
      <c r="AV600" s="40"/>
      <c r="AW600" s="40"/>
      <c r="AX600" s="40"/>
      <c r="AY600" s="40"/>
      <c r="AZ600" s="40"/>
      <c r="BA600" s="40"/>
      <c r="BB600" s="40"/>
      <c r="BC600" s="40"/>
      <c r="BD600" s="40"/>
      <c r="BE600" s="40"/>
      <c r="BF600" s="40"/>
      <c r="BG600" s="40"/>
      <c r="BH600" s="40"/>
      <c r="BI600" s="40"/>
    </row>
    <row r="601" ht="15.75" customHeight="1">
      <c r="A601" s="33"/>
      <c r="B601" s="228"/>
      <c r="C601" s="228"/>
      <c r="D601" s="228"/>
      <c r="E601" s="228"/>
      <c r="F601" s="228"/>
      <c r="G601" s="228"/>
      <c r="H601" s="228"/>
      <c r="I601" s="228"/>
      <c r="J601" s="228"/>
      <c r="K601" s="228"/>
      <c r="L601" s="228"/>
      <c r="M601" s="228"/>
      <c r="N601" s="228"/>
      <c r="O601" s="228"/>
      <c r="P601" s="228"/>
      <c r="Q601" s="228"/>
      <c r="R601" s="228"/>
      <c r="S601" s="228"/>
      <c r="T601" s="228"/>
      <c r="U601" s="228"/>
      <c r="V601" s="228"/>
      <c r="W601" s="228"/>
      <c r="X601" s="228"/>
      <c r="Y601" s="228"/>
      <c r="Z601" s="228"/>
      <c r="AA601" s="228"/>
      <c r="AB601" s="228"/>
      <c r="AC601" s="228"/>
      <c r="AD601" s="228"/>
      <c r="AE601" s="228"/>
      <c r="AF601" s="228"/>
      <c r="AG601" s="228"/>
      <c r="AH601" s="228"/>
      <c r="AI601" s="228"/>
      <c r="AJ601" s="228"/>
      <c r="AK601" s="228"/>
      <c r="AL601" s="228"/>
      <c r="AM601" s="228"/>
      <c r="AN601" s="228"/>
      <c r="AO601" s="228"/>
      <c r="AP601" s="40"/>
      <c r="AQ601" s="40"/>
      <c r="AR601" s="40"/>
      <c r="AS601" s="40"/>
      <c r="AT601" s="40"/>
      <c r="AU601" s="40"/>
      <c r="AV601" s="40"/>
      <c r="AW601" s="40"/>
      <c r="AX601" s="40"/>
      <c r="AY601" s="40"/>
      <c r="AZ601" s="40"/>
      <c r="BA601" s="40"/>
      <c r="BB601" s="40"/>
      <c r="BC601" s="40"/>
      <c r="BD601" s="40"/>
      <c r="BE601" s="40"/>
      <c r="BF601" s="40"/>
      <c r="BG601" s="40"/>
      <c r="BH601" s="40"/>
      <c r="BI601" s="40"/>
    </row>
    <row r="602" ht="15.75" customHeight="1">
      <c r="A602" s="33"/>
      <c r="B602" s="228"/>
      <c r="C602" s="228"/>
      <c r="D602" s="228"/>
      <c r="E602" s="228"/>
      <c r="F602" s="228"/>
      <c r="G602" s="228"/>
      <c r="H602" s="228"/>
      <c r="I602" s="228"/>
      <c r="J602" s="228"/>
      <c r="K602" s="228"/>
      <c r="L602" s="228"/>
      <c r="M602" s="228"/>
      <c r="N602" s="228"/>
      <c r="O602" s="228"/>
      <c r="P602" s="228"/>
      <c r="Q602" s="228"/>
      <c r="R602" s="228"/>
      <c r="S602" s="228"/>
      <c r="T602" s="228"/>
      <c r="U602" s="228"/>
      <c r="V602" s="228"/>
      <c r="W602" s="228"/>
      <c r="X602" s="228"/>
      <c r="Y602" s="228"/>
      <c r="Z602" s="228"/>
      <c r="AA602" s="228"/>
      <c r="AB602" s="228"/>
      <c r="AC602" s="228"/>
      <c r="AD602" s="228"/>
      <c r="AE602" s="228"/>
      <c r="AF602" s="228"/>
      <c r="AG602" s="228"/>
      <c r="AH602" s="228"/>
      <c r="AI602" s="228"/>
      <c r="AJ602" s="228"/>
      <c r="AK602" s="228"/>
      <c r="AL602" s="228"/>
      <c r="AM602" s="228"/>
      <c r="AN602" s="228"/>
      <c r="AO602" s="228"/>
      <c r="AP602" s="40"/>
      <c r="AQ602" s="40"/>
      <c r="AR602" s="40"/>
      <c r="AS602" s="40"/>
      <c r="AT602" s="40"/>
      <c r="AU602" s="40"/>
      <c r="AV602" s="40"/>
      <c r="AW602" s="40"/>
      <c r="AX602" s="40"/>
      <c r="AY602" s="40"/>
      <c r="AZ602" s="40"/>
      <c r="BA602" s="40"/>
      <c r="BB602" s="40"/>
      <c r="BC602" s="40"/>
      <c r="BD602" s="40"/>
      <c r="BE602" s="40"/>
      <c r="BF602" s="40"/>
      <c r="BG602" s="40"/>
      <c r="BH602" s="40"/>
      <c r="BI602" s="40"/>
    </row>
    <row r="603" ht="15.75" customHeight="1">
      <c r="A603" s="33"/>
      <c r="B603" s="228"/>
      <c r="C603" s="228"/>
      <c r="D603" s="228"/>
      <c r="E603" s="228"/>
      <c r="F603" s="228"/>
      <c r="G603" s="228"/>
      <c r="H603" s="228"/>
      <c r="I603" s="228"/>
      <c r="J603" s="228"/>
      <c r="K603" s="228"/>
      <c r="L603" s="228"/>
      <c r="M603" s="228"/>
      <c r="N603" s="228"/>
      <c r="O603" s="228"/>
      <c r="P603" s="228"/>
      <c r="Q603" s="228"/>
      <c r="R603" s="228"/>
      <c r="S603" s="228"/>
      <c r="T603" s="228"/>
      <c r="U603" s="228"/>
      <c r="V603" s="228"/>
      <c r="W603" s="228"/>
      <c r="X603" s="228"/>
      <c r="Y603" s="228"/>
      <c r="Z603" s="228"/>
      <c r="AA603" s="228"/>
      <c r="AB603" s="228"/>
      <c r="AC603" s="228"/>
      <c r="AD603" s="228"/>
      <c r="AE603" s="228"/>
      <c r="AF603" s="228"/>
      <c r="AG603" s="228"/>
      <c r="AH603" s="228"/>
      <c r="AI603" s="228"/>
      <c r="AJ603" s="228"/>
      <c r="AK603" s="228"/>
      <c r="AL603" s="228"/>
      <c r="AM603" s="228"/>
      <c r="AN603" s="228"/>
      <c r="AO603" s="228"/>
      <c r="AP603" s="40"/>
      <c r="AQ603" s="40"/>
      <c r="AR603" s="40"/>
      <c r="AS603" s="40"/>
      <c r="AT603" s="40"/>
      <c r="AU603" s="40"/>
      <c r="AV603" s="40"/>
      <c r="AW603" s="40"/>
      <c r="AX603" s="40"/>
      <c r="AY603" s="40"/>
      <c r="AZ603" s="40"/>
      <c r="BA603" s="40"/>
      <c r="BB603" s="40"/>
      <c r="BC603" s="40"/>
      <c r="BD603" s="40"/>
      <c r="BE603" s="40"/>
      <c r="BF603" s="40"/>
      <c r="BG603" s="40"/>
      <c r="BH603" s="40"/>
      <c r="BI603" s="40"/>
    </row>
    <row r="604" ht="15.75" customHeight="1">
      <c r="A604" s="33"/>
      <c r="B604" s="228"/>
      <c r="C604" s="228"/>
      <c r="D604" s="228"/>
      <c r="E604" s="228"/>
      <c r="F604" s="228"/>
      <c r="G604" s="228"/>
      <c r="H604" s="228"/>
      <c r="I604" s="228"/>
      <c r="J604" s="228"/>
      <c r="K604" s="228"/>
      <c r="L604" s="228"/>
      <c r="M604" s="228"/>
      <c r="N604" s="228"/>
      <c r="O604" s="228"/>
      <c r="P604" s="228"/>
      <c r="Q604" s="228"/>
      <c r="R604" s="228"/>
      <c r="S604" s="228"/>
      <c r="T604" s="228"/>
      <c r="U604" s="228"/>
      <c r="V604" s="228"/>
      <c r="W604" s="228"/>
      <c r="X604" s="228"/>
      <c r="Y604" s="228"/>
      <c r="Z604" s="228"/>
      <c r="AA604" s="228"/>
      <c r="AB604" s="228"/>
      <c r="AC604" s="228"/>
      <c r="AD604" s="228"/>
      <c r="AE604" s="228"/>
      <c r="AF604" s="228"/>
      <c r="AG604" s="228"/>
      <c r="AH604" s="228"/>
      <c r="AI604" s="228"/>
      <c r="AJ604" s="228"/>
      <c r="AK604" s="228"/>
      <c r="AL604" s="228"/>
      <c r="AM604" s="228"/>
      <c r="AN604" s="228"/>
      <c r="AO604" s="228"/>
      <c r="AP604" s="40"/>
      <c r="AQ604" s="40"/>
      <c r="AR604" s="40"/>
      <c r="AS604" s="40"/>
      <c r="AT604" s="40"/>
      <c r="AU604" s="40"/>
      <c r="AV604" s="40"/>
      <c r="AW604" s="40"/>
      <c r="AX604" s="40"/>
      <c r="AY604" s="40"/>
      <c r="AZ604" s="40"/>
      <c r="BA604" s="40"/>
      <c r="BB604" s="40"/>
      <c r="BC604" s="40"/>
      <c r="BD604" s="40"/>
      <c r="BE604" s="40"/>
      <c r="BF604" s="40"/>
      <c r="BG604" s="40"/>
      <c r="BH604" s="40"/>
      <c r="BI604" s="40"/>
    </row>
    <row r="605" ht="15.75" customHeight="1">
      <c r="A605" s="33"/>
      <c r="B605" s="228"/>
      <c r="C605" s="228"/>
      <c r="D605" s="228"/>
      <c r="E605" s="228"/>
      <c r="F605" s="228"/>
      <c r="G605" s="228"/>
      <c r="H605" s="228"/>
      <c r="I605" s="228"/>
      <c r="J605" s="228"/>
      <c r="K605" s="228"/>
      <c r="L605" s="228"/>
      <c r="M605" s="228"/>
      <c r="N605" s="228"/>
      <c r="O605" s="228"/>
      <c r="P605" s="228"/>
      <c r="Q605" s="228"/>
      <c r="R605" s="228"/>
      <c r="S605" s="228"/>
      <c r="T605" s="228"/>
      <c r="U605" s="228"/>
      <c r="V605" s="228"/>
      <c r="W605" s="228"/>
      <c r="X605" s="228"/>
      <c r="Y605" s="228"/>
      <c r="Z605" s="228"/>
      <c r="AA605" s="228"/>
      <c r="AB605" s="228"/>
      <c r="AC605" s="228"/>
      <c r="AD605" s="228"/>
      <c r="AE605" s="228"/>
      <c r="AF605" s="228"/>
      <c r="AG605" s="228"/>
      <c r="AH605" s="228"/>
      <c r="AI605" s="228"/>
      <c r="AJ605" s="228"/>
      <c r="AK605" s="228"/>
      <c r="AL605" s="228"/>
      <c r="AM605" s="228"/>
      <c r="AN605" s="228"/>
      <c r="AO605" s="228"/>
      <c r="AP605" s="40"/>
      <c r="AQ605" s="40"/>
      <c r="AR605" s="40"/>
      <c r="AS605" s="40"/>
      <c r="AT605" s="40"/>
      <c r="AU605" s="40"/>
      <c r="AV605" s="40"/>
      <c r="AW605" s="40"/>
      <c r="AX605" s="40"/>
      <c r="AY605" s="40"/>
      <c r="AZ605" s="40"/>
      <c r="BA605" s="40"/>
      <c r="BB605" s="40"/>
      <c r="BC605" s="40"/>
      <c r="BD605" s="40"/>
      <c r="BE605" s="40"/>
      <c r="BF605" s="40"/>
      <c r="BG605" s="40"/>
      <c r="BH605" s="40"/>
      <c r="BI605" s="40"/>
    </row>
    <row r="606" ht="15.75" customHeight="1">
      <c r="A606" s="33"/>
      <c r="B606" s="228"/>
      <c r="C606" s="228"/>
      <c r="D606" s="228"/>
      <c r="E606" s="228"/>
      <c r="F606" s="228"/>
      <c r="G606" s="228"/>
      <c r="H606" s="228"/>
      <c r="I606" s="228"/>
      <c r="J606" s="228"/>
      <c r="K606" s="228"/>
      <c r="L606" s="228"/>
      <c r="M606" s="228"/>
      <c r="N606" s="228"/>
      <c r="O606" s="228"/>
      <c r="P606" s="228"/>
      <c r="Q606" s="228"/>
      <c r="R606" s="228"/>
      <c r="S606" s="228"/>
      <c r="T606" s="228"/>
      <c r="U606" s="228"/>
      <c r="V606" s="228"/>
      <c r="W606" s="228"/>
      <c r="X606" s="228"/>
      <c r="Y606" s="228"/>
      <c r="Z606" s="228"/>
      <c r="AA606" s="228"/>
      <c r="AB606" s="228"/>
      <c r="AC606" s="228"/>
      <c r="AD606" s="228"/>
      <c r="AE606" s="228"/>
      <c r="AF606" s="228"/>
      <c r="AG606" s="228"/>
      <c r="AH606" s="228"/>
      <c r="AI606" s="228"/>
      <c r="AJ606" s="228"/>
      <c r="AK606" s="228"/>
      <c r="AL606" s="228"/>
      <c r="AM606" s="228"/>
      <c r="AN606" s="228"/>
      <c r="AO606" s="228"/>
      <c r="AP606" s="40"/>
      <c r="AQ606" s="40"/>
      <c r="AR606" s="40"/>
      <c r="AS606" s="40"/>
      <c r="AT606" s="40"/>
      <c r="AU606" s="40"/>
      <c r="AV606" s="40"/>
      <c r="AW606" s="40"/>
      <c r="AX606" s="40"/>
      <c r="AY606" s="40"/>
      <c r="AZ606" s="40"/>
      <c r="BA606" s="40"/>
      <c r="BB606" s="40"/>
      <c r="BC606" s="40"/>
      <c r="BD606" s="40"/>
      <c r="BE606" s="40"/>
      <c r="BF606" s="40"/>
      <c r="BG606" s="40"/>
      <c r="BH606" s="40"/>
      <c r="BI606" s="40"/>
    </row>
    <row r="607" ht="15.75" customHeight="1">
      <c r="A607" s="33"/>
      <c r="B607" s="228"/>
      <c r="C607" s="228"/>
      <c r="D607" s="228"/>
      <c r="E607" s="228"/>
      <c r="F607" s="228"/>
      <c r="G607" s="228"/>
      <c r="H607" s="228"/>
      <c r="I607" s="228"/>
      <c r="J607" s="228"/>
      <c r="K607" s="228"/>
      <c r="L607" s="228"/>
      <c r="M607" s="228"/>
      <c r="N607" s="228"/>
      <c r="O607" s="228"/>
      <c r="P607" s="228"/>
      <c r="Q607" s="228"/>
      <c r="R607" s="228"/>
      <c r="S607" s="228"/>
      <c r="T607" s="228"/>
      <c r="U607" s="228"/>
      <c r="V607" s="228"/>
      <c r="W607" s="228"/>
      <c r="X607" s="228"/>
      <c r="Y607" s="228"/>
      <c r="Z607" s="228"/>
      <c r="AA607" s="228"/>
      <c r="AB607" s="228"/>
      <c r="AC607" s="228"/>
      <c r="AD607" s="228"/>
      <c r="AE607" s="228"/>
      <c r="AF607" s="228"/>
      <c r="AG607" s="228"/>
      <c r="AH607" s="228"/>
      <c r="AI607" s="228"/>
      <c r="AJ607" s="228"/>
      <c r="AK607" s="228"/>
      <c r="AL607" s="228"/>
      <c r="AM607" s="228"/>
      <c r="AN607" s="228"/>
      <c r="AO607" s="228"/>
      <c r="AP607" s="40"/>
      <c r="AQ607" s="40"/>
      <c r="AR607" s="40"/>
      <c r="AS607" s="40"/>
      <c r="AT607" s="40"/>
      <c r="AU607" s="40"/>
      <c r="AV607" s="40"/>
      <c r="AW607" s="40"/>
      <c r="AX607" s="40"/>
      <c r="AY607" s="40"/>
      <c r="AZ607" s="40"/>
      <c r="BA607" s="40"/>
      <c r="BB607" s="40"/>
      <c r="BC607" s="40"/>
      <c r="BD607" s="40"/>
      <c r="BE607" s="40"/>
      <c r="BF607" s="40"/>
      <c r="BG607" s="40"/>
      <c r="BH607" s="40"/>
      <c r="BI607" s="40"/>
    </row>
    <row r="608" ht="15.75" customHeight="1">
      <c r="A608" s="33"/>
      <c r="B608" s="228"/>
      <c r="C608" s="228"/>
      <c r="D608" s="228"/>
      <c r="E608" s="228"/>
      <c r="F608" s="228"/>
      <c r="G608" s="228"/>
      <c r="H608" s="228"/>
      <c r="I608" s="228"/>
      <c r="J608" s="228"/>
      <c r="K608" s="228"/>
      <c r="L608" s="228"/>
      <c r="M608" s="228"/>
      <c r="N608" s="228"/>
      <c r="O608" s="228"/>
      <c r="P608" s="228"/>
      <c r="Q608" s="228"/>
      <c r="R608" s="228"/>
      <c r="S608" s="228"/>
      <c r="T608" s="228"/>
      <c r="U608" s="228"/>
      <c r="V608" s="228"/>
      <c r="W608" s="228"/>
      <c r="X608" s="228"/>
      <c r="Y608" s="228"/>
      <c r="Z608" s="228"/>
      <c r="AA608" s="228"/>
      <c r="AB608" s="228"/>
      <c r="AC608" s="228"/>
      <c r="AD608" s="228"/>
      <c r="AE608" s="228"/>
      <c r="AF608" s="228"/>
      <c r="AG608" s="228"/>
      <c r="AH608" s="228"/>
      <c r="AI608" s="228"/>
      <c r="AJ608" s="228"/>
      <c r="AK608" s="228"/>
      <c r="AL608" s="228"/>
      <c r="AM608" s="228"/>
      <c r="AN608" s="228"/>
      <c r="AO608" s="228"/>
      <c r="AP608" s="40"/>
      <c r="AQ608" s="40"/>
      <c r="AR608" s="40"/>
      <c r="AS608" s="40"/>
      <c r="AT608" s="40"/>
      <c r="AU608" s="40"/>
      <c r="AV608" s="40"/>
      <c r="AW608" s="40"/>
      <c r="AX608" s="40"/>
      <c r="AY608" s="40"/>
      <c r="AZ608" s="40"/>
      <c r="BA608" s="40"/>
      <c r="BB608" s="40"/>
      <c r="BC608" s="40"/>
      <c r="BD608" s="40"/>
      <c r="BE608" s="40"/>
      <c r="BF608" s="40"/>
      <c r="BG608" s="40"/>
      <c r="BH608" s="40"/>
      <c r="BI608" s="40"/>
    </row>
    <row r="609" ht="15.75" customHeight="1">
      <c r="A609" s="33"/>
      <c r="B609" s="228"/>
      <c r="C609" s="228"/>
      <c r="D609" s="228"/>
      <c r="E609" s="228"/>
      <c r="F609" s="228"/>
      <c r="G609" s="228"/>
      <c r="H609" s="228"/>
      <c r="I609" s="228"/>
      <c r="J609" s="228"/>
      <c r="K609" s="228"/>
      <c r="L609" s="228"/>
      <c r="M609" s="228"/>
      <c r="N609" s="228"/>
      <c r="O609" s="228"/>
      <c r="P609" s="228"/>
      <c r="Q609" s="228"/>
      <c r="R609" s="228"/>
      <c r="S609" s="228"/>
      <c r="T609" s="228"/>
      <c r="U609" s="228"/>
      <c r="V609" s="228"/>
      <c r="W609" s="228"/>
      <c r="X609" s="228"/>
      <c r="Y609" s="228"/>
      <c r="Z609" s="228"/>
      <c r="AA609" s="228"/>
      <c r="AB609" s="228"/>
      <c r="AC609" s="228"/>
      <c r="AD609" s="228"/>
      <c r="AE609" s="228"/>
      <c r="AF609" s="228"/>
      <c r="AG609" s="228"/>
      <c r="AH609" s="228"/>
      <c r="AI609" s="228"/>
      <c r="AJ609" s="228"/>
      <c r="AK609" s="228"/>
      <c r="AL609" s="228"/>
      <c r="AM609" s="228"/>
      <c r="AN609" s="228"/>
      <c r="AO609" s="228"/>
      <c r="AP609" s="40"/>
      <c r="AQ609" s="40"/>
      <c r="AR609" s="40"/>
      <c r="AS609" s="40"/>
      <c r="AT609" s="40"/>
      <c r="AU609" s="40"/>
      <c r="AV609" s="40"/>
      <c r="AW609" s="40"/>
      <c r="AX609" s="40"/>
      <c r="AY609" s="40"/>
      <c r="AZ609" s="40"/>
      <c r="BA609" s="40"/>
      <c r="BB609" s="40"/>
      <c r="BC609" s="40"/>
      <c r="BD609" s="40"/>
      <c r="BE609" s="40"/>
      <c r="BF609" s="40"/>
      <c r="BG609" s="40"/>
      <c r="BH609" s="40"/>
      <c r="BI609" s="40"/>
    </row>
    <row r="610" ht="15.75" customHeight="1">
      <c r="A610" s="33"/>
      <c r="B610" s="228"/>
      <c r="C610" s="228"/>
      <c r="D610" s="228"/>
      <c r="E610" s="228"/>
      <c r="F610" s="228"/>
      <c r="G610" s="228"/>
      <c r="H610" s="228"/>
      <c r="I610" s="228"/>
      <c r="J610" s="228"/>
      <c r="K610" s="228"/>
      <c r="L610" s="228"/>
      <c r="M610" s="228"/>
      <c r="N610" s="228"/>
      <c r="O610" s="228"/>
      <c r="P610" s="228"/>
      <c r="Q610" s="228"/>
      <c r="R610" s="228"/>
      <c r="S610" s="228"/>
      <c r="T610" s="228"/>
      <c r="U610" s="228"/>
      <c r="V610" s="228"/>
      <c r="W610" s="228"/>
      <c r="X610" s="228"/>
      <c r="Y610" s="228"/>
      <c r="Z610" s="228"/>
      <c r="AA610" s="228"/>
      <c r="AB610" s="228"/>
      <c r="AC610" s="228"/>
      <c r="AD610" s="228"/>
      <c r="AE610" s="228"/>
      <c r="AF610" s="228"/>
      <c r="AG610" s="228"/>
      <c r="AH610" s="228"/>
      <c r="AI610" s="228"/>
      <c r="AJ610" s="228"/>
      <c r="AK610" s="228"/>
      <c r="AL610" s="228"/>
      <c r="AM610" s="228"/>
      <c r="AN610" s="228"/>
      <c r="AO610" s="228"/>
      <c r="AP610" s="40"/>
      <c r="AQ610" s="40"/>
      <c r="AR610" s="40"/>
      <c r="AS610" s="40"/>
      <c r="AT610" s="40"/>
      <c r="AU610" s="40"/>
      <c r="AV610" s="40"/>
      <c r="AW610" s="40"/>
      <c r="AX610" s="40"/>
      <c r="AY610" s="40"/>
      <c r="AZ610" s="40"/>
      <c r="BA610" s="40"/>
      <c r="BB610" s="40"/>
      <c r="BC610" s="40"/>
      <c r="BD610" s="40"/>
      <c r="BE610" s="40"/>
      <c r="BF610" s="40"/>
      <c r="BG610" s="40"/>
      <c r="BH610" s="40"/>
      <c r="BI610" s="40"/>
    </row>
    <row r="611" ht="15.75" customHeight="1">
      <c r="A611" s="33"/>
      <c r="B611" s="228"/>
      <c r="C611" s="228"/>
      <c r="D611" s="228"/>
      <c r="E611" s="228"/>
      <c r="F611" s="228"/>
      <c r="G611" s="228"/>
      <c r="H611" s="228"/>
      <c r="I611" s="228"/>
      <c r="J611" s="228"/>
      <c r="K611" s="228"/>
      <c r="L611" s="228"/>
      <c r="M611" s="228"/>
      <c r="N611" s="228"/>
      <c r="O611" s="228"/>
      <c r="P611" s="228"/>
      <c r="Q611" s="228"/>
      <c r="R611" s="228"/>
      <c r="S611" s="228"/>
      <c r="T611" s="228"/>
      <c r="U611" s="228"/>
      <c r="V611" s="228"/>
      <c r="W611" s="228"/>
      <c r="X611" s="228"/>
      <c r="Y611" s="228"/>
      <c r="Z611" s="228"/>
      <c r="AA611" s="228"/>
      <c r="AB611" s="228"/>
      <c r="AC611" s="228"/>
      <c r="AD611" s="228"/>
      <c r="AE611" s="228"/>
      <c r="AF611" s="228"/>
      <c r="AG611" s="228"/>
      <c r="AH611" s="228"/>
      <c r="AI611" s="228"/>
      <c r="AJ611" s="228"/>
      <c r="AK611" s="228"/>
      <c r="AL611" s="228"/>
      <c r="AM611" s="228"/>
      <c r="AN611" s="228"/>
      <c r="AO611" s="228"/>
      <c r="AP611" s="40"/>
      <c r="AQ611" s="40"/>
      <c r="AR611" s="40"/>
      <c r="AS611" s="40"/>
      <c r="AT611" s="40"/>
      <c r="AU611" s="40"/>
      <c r="AV611" s="40"/>
      <c r="AW611" s="40"/>
      <c r="AX611" s="40"/>
      <c r="AY611" s="40"/>
      <c r="AZ611" s="40"/>
      <c r="BA611" s="40"/>
      <c r="BB611" s="40"/>
      <c r="BC611" s="40"/>
      <c r="BD611" s="40"/>
      <c r="BE611" s="40"/>
      <c r="BF611" s="40"/>
      <c r="BG611" s="40"/>
      <c r="BH611" s="40"/>
      <c r="BI611" s="40"/>
    </row>
    <row r="612" ht="15.75" customHeight="1">
      <c r="A612" s="33"/>
      <c r="B612" s="228"/>
      <c r="C612" s="228"/>
      <c r="D612" s="228"/>
      <c r="E612" s="228"/>
      <c r="F612" s="228"/>
      <c r="G612" s="228"/>
      <c r="H612" s="228"/>
      <c r="I612" s="228"/>
      <c r="J612" s="228"/>
      <c r="K612" s="228"/>
      <c r="L612" s="228"/>
      <c r="M612" s="228"/>
      <c r="N612" s="228"/>
      <c r="O612" s="228"/>
      <c r="P612" s="228"/>
      <c r="Q612" s="228"/>
      <c r="R612" s="228"/>
      <c r="S612" s="228"/>
      <c r="T612" s="228"/>
      <c r="U612" s="228"/>
      <c r="V612" s="228"/>
      <c r="W612" s="228"/>
      <c r="X612" s="228"/>
      <c r="Y612" s="228"/>
      <c r="Z612" s="228"/>
      <c r="AA612" s="228"/>
      <c r="AB612" s="228"/>
      <c r="AC612" s="228"/>
      <c r="AD612" s="228"/>
      <c r="AE612" s="228"/>
      <c r="AF612" s="228"/>
      <c r="AG612" s="228"/>
      <c r="AH612" s="228"/>
      <c r="AI612" s="228"/>
      <c r="AJ612" s="228"/>
      <c r="AK612" s="228"/>
      <c r="AL612" s="228"/>
      <c r="AM612" s="228"/>
      <c r="AN612" s="228"/>
      <c r="AO612" s="228"/>
      <c r="AP612" s="40"/>
      <c r="AQ612" s="40"/>
      <c r="AR612" s="40"/>
      <c r="AS612" s="40"/>
      <c r="AT612" s="40"/>
      <c r="AU612" s="40"/>
      <c r="AV612" s="40"/>
      <c r="AW612" s="40"/>
      <c r="AX612" s="40"/>
      <c r="AY612" s="40"/>
      <c r="AZ612" s="40"/>
      <c r="BA612" s="40"/>
      <c r="BB612" s="40"/>
      <c r="BC612" s="40"/>
      <c r="BD612" s="40"/>
      <c r="BE612" s="40"/>
      <c r="BF612" s="40"/>
      <c r="BG612" s="40"/>
      <c r="BH612" s="40"/>
      <c r="BI612" s="40"/>
    </row>
    <row r="613" ht="15.75" customHeight="1">
      <c r="A613" s="33"/>
      <c r="B613" s="228"/>
      <c r="C613" s="228"/>
      <c r="D613" s="228"/>
      <c r="E613" s="228"/>
      <c r="F613" s="228"/>
      <c r="G613" s="228"/>
      <c r="H613" s="228"/>
      <c r="I613" s="228"/>
      <c r="J613" s="228"/>
      <c r="K613" s="228"/>
      <c r="L613" s="228"/>
      <c r="M613" s="228"/>
      <c r="N613" s="228"/>
      <c r="O613" s="228"/>
      <c r="P613" s="228"/>
      <c r="Q613" s="228"/>
      <c r="R613" s="228"/>
      <c r="S613" s="228"/>
      <c r="T613" s="228"/>
      <c r="U613" s="228"/>
      <c r="V613" s="228"/>
      <c r="W613" s="228"/>
      <c r="X613" s="228"/>
      <c r="Y613" s="228"/>
      <c r="Z613" s="228"/>
      <c r="AA613" s="228"/>
      <c r="AB613" s="228"/>
      <c r="AC613" s="228"/>
      <c r="AD613" s="228"/>
      <c r="AE613" s="228"/>
      <c r="AF613" s="228"/>
      <c r="AG613" s="228"/>
      <c r="AH613" s="228"/>
      <c r="AI613" s="228"/>
      <c r="AJ613" s="228"/>
      <c r="AK613" s="228"/>
      <c r="AL613" s="228"/>
      <c r="AM613" s="228"/>
      <c r="AN613" s="228"/>
      <c r="AO613" s="228"/>
      <c r="AP613" s="40"/>
      <c r="AQ613" s="40"/>
      <c r="AR613" s="40"/>
      <c r="AS613" s="40"/>
      <c r="AT613" s="40"/>
      <c r="AU613" s="40"/>
      <c r="AV613" s="40"/>
      <c r="AW613" s="40"/>
      <c r="AX613" s="40"/>
      <c r="AY613" s="40"/>
      <c r="AZ613" s="40"/>
      <c r="BA613" s="40"/>
      <c r="BB613" s="40"/>
      <c r="BC613" s="40"/>
      <c r="BD613" s="40"/>
      <c r="BE613" s="40"/>
      <c r="BF613" s="40"/>
      <c r="BG613" s="40"/>
      <c r="BH613" s="40"/>
      <c r="BI613" s="40"/>
    </row>
    <row r="614" ht="15.75" customHeight="1">
      <c r="A614" s="33"/>
      <c r="B614" s="228"/>
      <c r="C614" s="228"/>
      <c r="D614" s="228"/>
      <c r="E614" s="228"/>
      <c r="F614" s="228"/>
      <c r="G614" s="228"/>
      <c r="H614" s="228"/>
      <c r="I614" s="228"/>
      <c r="J614" s="228"/>
      <c r="K614" s="228"/>
      <c r="L614" s="228"/>
      <c r="M614" s="228"/>
      <c r="N614" s="228"/>
      <c r="O614" s="228"/>
      <c r="P614" s="228"/>
      <c r="Q614" s="228"/>
      <c r="R614" s="228"/>
      <c r="S614" s="228"/>
      <c r="T614" s="228"/>
      <c r="U614" s="228"/>
      <c r="V614" s="228"/>
      <c r="W614" s="228"/>
      <c r="X614" s="228"/>
      <c r="Y614" s="228"/>
      <c r="Z614" s="228"/>
      <c r="AA614" s="228"/>
      <c r="AB614" s="228"/>
      <c r="AC614" s="228"/>
      <c r="AD614" s="228"/>
      <c r="AE614" s="228"/>
      <c r="AF614" s="228"/>
      <c r="AG614" s="228"/>
      <c r="AH614" s="228"/>
      <c r="AI614" s="228"/>
      <c r="AJ614" s="228"/>
      <c r="AK614" s="228"/>
      <c r="AL614" s="228"/>
      <c r="AM614" s="228"/>
      <c r="AN614" s="228"/>
      <c r="AO614" s="228"/>
      <c r="AP614" s="40"/>
      <c r="AQ614" s="40"/>
      <c r="AR614" s="40"/>
      <c r="AS614" s="40"/>
      <c r="AT614" s="40"/>
      <c r="AU614" s="40"/>
      <c r="AV614" s="40"/>
      <c r="AW614" s="40"/>
      <c r="AX614" s="40"/>
      <c r="AY614" s="40"/>
      <c r="AZ614" s="40"/>
      <c r="BA614" s="40"/>
      <c r="BB614" s="40"/>
      <c r="BC614" s="40"/>
      <c r="BD614" s="40"/>
      <c r="BE614" s="40"/>
      <c r="BF614" s="40"/>
      <c r="BG614" s="40"/>
      <c r="BH614" s="40"/>
      <c r="BI614" s="40"/>
    </row>
    <row r="615" ht="15.75" customHeight="1">
      <c r="A615" s="33"/>
      <c r="B615" s="228"/>
      <c r="C615" s="228"/>
      <c r="D615" s="228"/>
      <c r="E615" s="228"/>
      <c r="F615" s="228"/>
      <c r="G615" s="228"/>
      <c r="H615" s="228"/>
      <c r="I615" s="228"/>
      <c r="J615" s="228"/>
      <c r="K615" s="228"/>
      <c r="L615" s="228"/>
      <c r="M615" s="228"/>
      <c r="N615" s="228"/>
      <c r="O615" s="228"/>
      <c r="P615" s="228"/>
      <c r="Q615" s="228"/>
      <c r="R615" s="228"/>
      <c r="S615" s="228"/>
      <c r="T615" s="228"/>
      <c r="U615" s="228"/>
      <c r="V615" s="228"/>
      <c r="W615" s="228"/>
      <c r="X615" s="228"/>
      <c r="Y615" s="228"/>
      <c r="Z615" s="228"/>
      <c r="AA615" s="228"/>
      <c r="AB615" s="228"/>
      <c r="AC615" s="228"/>
      <c r="AD615" s="228"/>
      <c r="AE615" s="228"/>
      <c r="AF615" s="228"/>
      <c r="AG615" s="228"/>
      <c r="AH615" s="228"/>
      <c r="AI615" s="228"/>
      <c r="AJ615" s="228"/>
      <c r="AK615" s="228"/>
      <c r="AL615" s="228"/>
      <c r="AM615" s="228"/>
      <c r="AN615" s="228"/>
      <c r="AO615" s="228"/>
      <c r="AP615" s="40"/>
      <c r="AQ615" s="40"/>
      <c r="AR615" s="40"/>
      <c r="AS615" s="40"/>
      <c r="AT615" s="40"/>
      <c r="AU615" s="40"/>
      <c r="AV615" s="40"/>
      <c r="AW615" s="40"/>
      <c r="AX615" s="40"/>
      <c r="AY615" s="40"/>
      <c r="AZ615" s="40"/>
      <c r="BA615" s="40"/>
      <c r="BB615" s="40"/>
      <c r="BC615" s="40"/>
      <c r="BD615" s="40"/>
      <c r="BE615" s="40"/>
      <c r="BF615" s="40"/>
      <c r="BG615" s="40"/>
      <c r="BH615" s="40"/>
      <c r="BI615" s="40"/>
    </row>
    <row r="616" ht="15.75" customHeight="1">
      <c r="A616" s="33"/>
      <c r="B616" s="228"/>
      <c r="C616" s="228"/>
      <c r="D616" s="228"/>
      <c r="E616" s="228"/>
      <c r="F616" s="228"/>
      <c r="G616" s="228"/>
      <c r="H616" s="228"/>
      <c r="I616" s="228"/>
      <c r="J616" s="228"/>
      <c r="K616" s="228"/>
      <c r="L616" s="228"/>
      <c r="M616" s="228"/>
      <c r="N616" s="228"/>
      <c r="O616" s="228"/>
      <c r="P616" s="228"/>
      <c r="Q616" s="228"/>
      <c r="R616" s="228"/>
      <c r="S616" s="228"/>
      <c r="T616" s="228"/>
      <c r="U616" s="228"/>
      <c r="V616" s="228"/>
      <c r="W616" s="228"/>
      <c r="X616" s="228"/>
      <c r="Y616" s="228"/>
      <c r="Z616" s="228"/>
      <c r="AA616" s="228"/>
      <c r="AB616" s="228"/>
      <c r="AC616" s="228"/>
      <c r="AD616" s="228"/>
      <c r="AE616" s="228"/>
      <c r="AF616" s="228"/>
      <c r="AG616" s="228"/>
      <c r="AH616" s="228"/>
      <c r="AI616" s="228"/>
      <c r="AJ616" s="228"/>
      <c r="AK616" s="228"/>
      <c r="AL616" s="228"/>
      <c r="AM616" s="228"/>
      <c r="AN616" s="228"/>
      <c r="AO616" s="228"/>
      <c r="AP616" s="40"/>
      <c r="AQ616" s="40"/>
      <c r="AR616" s="40"/>
      <c r="AS616" s="40"/>
      <c r="AT616" s="40"/>
      <c r="AU616" s="40"/>
      <c r="AV616" s="40"/>
      <c r="AW616" s="40"/>
      <c r="AX616" s="40"/>
      <c r="AY616" s="40"/>
      <c r="AZ616" s="40"/>
      <c r="BA616" s="40"/>
      <c r="BB616" s="40"/>
      <c r="BC616" s="40"/>
      <c r="BD616" s="40"/>
      <c r="BE616" s="40"/>
      <c r="BF616" s="40"/>
      <c r="BG616" s="40"/>
      <c r="BH616" s="40"/>
      <c r="BI616" s="40"/>
    </row>
    <row r="617" ht="15.75" customHeight="1">
      <c r="A617" s="33"/>
      <c r="B617" s="228"/>
      <c r="C617" s="228"/>
      <c r="D617" s="228"/>
      <c r="E617" s="228"/>
      <c r="F617" s="228"/>
      <c r="G617" s="228"/>
      <c r="H617" s="228"/>
      <c r="I617" s="228"/>
      <c r="J617" s="228"/>
      <c r="K617" s="228"/>
      <c r="L617" s="228"/>
      <c r="M617" s="228"/>
      <c r="N617" s="228"/>
      <c r="O617" s="228"/>
      <c r="P617" s="228"/>
      <c r="Q617" s="228"/>
      <c r="R617" s="228"/>
      <c r="S617" s="228"/>
      <c r="T617" s="228"/>
      <c r="U617" s="228"/>
      <c r="V617" s="228"/>
      <c r="W617" s="228"/>
      <c r="X617" s="228"/>
      <c r="Y617" s="228"/>
      <c r="Z617" s="228"/>
      <c r="AA617" s="228"/>
      <c r="AB617" s="228"/>
      <c r="AC617" s="228"/>
      <c r="AD617" s="228"/>
      <c r="AE617" s="228"/>
      <c r="AF617" s="228"/>
      <c r="AG617" s="228"/>
      <c r="AH617" s="228"/>
      <c r="AI617" s="228"/>
      <c r="AJ617" s="228"/>
      <c r="AK617" s="228"/>
      <c r="AL617" s="228"/>
      <c r="AM617" s="228"/>
      <c r="AN617" s="228"/>
      <c r="AO617" s="228"/>
      <c r="AP617" s="40"/>
      <c r="AQ617" s="40"/>
      <c r="AR617" s="40"/>
      <c r="AS617" s="40"/>
      <c r="AT617" s="40"/>
      <c r="AU617" s="40"/>
      <c r="AV617" s="40"/>
      <c r="AW617" s="40"/>
      <c r="AX617" s="40"/>
      <c r="AY617" s="40"/>
      <c r="AZ617" s="40"/>
      <c r="BA617" s="40"/>
      <c r="BB617" s="40"/>
      <c r="BC617" s="40"/>
      <c r="BD617" s="40"/>
      <c r="BE617" s="40"/>
      <c r="BF617" s="40"/>
      <c r="BG617" s="40"/>
      <c r="BH617" s="40"/>
      <c r="BI617" s="40"/>
    </row>
    <row r="618" ht="15.75" customHeight="1">
      <c r="A618" s="33"/>
      <c r="B618" s="228"/>
      <c r="C618" s="228"/>
      <c r="D618" s="228"/>
      <c r="E618" s="228"/>
      <c r="F618" s="228"/>
      <c r="G618" s="228"/>
      <c r="H618" s="228"/>
      <c r="I618" s="228"/>
      <c r="J618" s="228"/>
      <c r="K618" s="228"/>
      <c r="L618" s="228"/>
      <c r="M618" s="228"/>
      <c r="N618" s="228"/>
      <c r="O618" s="228"/>
      <c r="P618" s="228"/>
      <c r="Q618" s="228"/>
      <c r="R618" s="228"/>
      <c r="S618" s="228"/>
      <c r="T618" s="228"/>
      <c r="U618" s="228"/>
      <c r="V618" s="228"/>
      <c r="W618" s="228"/>
      <c r="X618" s="228"/>
      <c r="Y618" s="228"/>
      <c r="Z618" s="228"/>
      <c r="AA618" s="228"/>
      <c r="AB618" s="228"/>
      <c r="AC618" s="228"/>
      <c r="AD618" s="228"/>
      <c r="AE618" s="228"/>
      <c r="AF618" s="228"/>
      <c r="AG618" s="228"/>
      <c r="AH618" s="228"/>
      <c r="AI618" s="228"/>
      <c r="AJ618" s="228"/>
      <c r="AK618" s="228"/>
      <c r="AL618" s="228"/>
      <c r="AM618" s="228"/>
      <c r="AN618" s="228"/>
      <c r="AO618" s="228"/>
      <c r="AP618" s="40"/>
      <c r="AQ618" s="40"/>
      <c r="AR618" s="40"/>
      <c r="AS618" s="40"/>
      <c r="AT618" s="40"/>
      <c r="AU618" s="40"/>
      <c r="AV618" s="40"/>
      <c r="AW618" s="40"/>
      <c r="AX618" s="40"/>
      <c r="AY618" s="40"/>
      <c r="AZ618" s="40"/>
      <c r="BA618" s="40"/>
      <c r="BB618" s="40"/>
      <c r="BC618" s="40"/>
      <c r="BD618" s="40"/>
      <c r="BE618" s="40"/>
      <c r="BF618" s="40"/>
      <c r="BG618" s="40"/>
      <c r="BH618" s="40"/>
      <c r="BI618" s="40"/>
    </row>
    <row r="619" ht="15.75" customHeight="1">
      <c r="A619" s="33"/>
      <c r="B619" s="228"/>
      <c r="C619" s="228"/>
      <c r="D619" s="228"/>
      <c r="E619" s="228"/>
      <c r="F619" s="228"/>
      <c r="G619" s="228"/>
      <c r="H619" s="228"/>
      <c r="I619" s="228"/>
      <c r="J619" s="228"/>
      <c r="K619" s="228"/>
      <c r="L619" s="228"/>
      <c r="M619" s="228"/>
      <c r="N619" s="228"/>
      <c r="O619" s="228"/>
      <c r="P619" s="228"/>
      <c r="Q619" s="228"/>
      <c r="R619" s="228"/>
      <c r="S619" s="228"/>
      <c r="T619" s="228"/>
      <c r="U619" s="228"/>
      <c r="V619" s="228"/>
      <c r="W619" s="228"/>
      <c r="X619" s="228"/>
      <c r="Y619" s="228"/>
      <c r="Z619" s="228"/>
      <c r="AA619" s="228"/>
      <c r="AB619" s="228"/>
      <c r="AC619" s="228"/>
      <c r="AD619" s="228"/>
      <c r="AE619" s="228"/>
      <c r="AF619" s="228"/>
      <c r="AG619" s="228"/>
      <c r="AH619" s="228"/>
      <c r="AI619" s="228"/>
      <c r="AJ619" s="228"/>
      <c r="AK619" s="228"/>
      <c r="AL619" s="228"/>
      <c r="AM619" s="228"/>
      <c r="AN619" s="228"/>
      <c r="AO619" s="228"/>
      <c r="AP619" s="40"/>
      <c r="AQ619" s="40"/>
      <c r="AR619" s="40"/>
      <c r="AS619" s="40"/>
      <c r="AT619" s="40"/>
      <c r="AU619" s="40"/>
      <c r="AV619" s="40"/>
      <c r="AW619" s="40"/>
      <c r="AX619" s="40"/>
      <c r="AY619" s="40"/>
      <c r="AZ619" s="40"/>
      <c r="BA619" s="40"/>
      <c r="BB619" s="40"/>
      <c r="BC619" s="40"/>
      <c r="BD619" s="40"/>
      <c r="BE619" s="40"/>
      <c r="BF619" s="40"/>
      <c r="BG619" s="40"/>
      <c r="BH619" s="40"/>
      <c r="BI619" s="40"/>
    </row>
    <row r="620" ht="15.75" customHeight="1">
      <c r="A620" s="33"/>
      <c r="B620" s="228"/>
      <c r="C620" s="228"/>
      <c r="D620" s="228"/>
      <c r="E620" s="228"/>
      <c r="F620" s="228"/>
      <c r="G620" s="228"/>
      <c r="H620" s="228"/>
      <c r="I620" s="228"/>
      <c r="J620" s="228"/>
      <c r="K620" s="228"/>
      <c r="L620" s="228"/>
      <c r="M620" s="228"/>
      <c r="N620" s="228"/>
      <c r="O620" s="228"/>
      <c r="P620" s="228"/>
      <c r="Q620" s="228"/>
      <c r="R620" s="228"/>
      <c r="S620" s="228"/>
      <c r="T620" s="228"/>
      <c r="U620" s="228"/>
      <c r="V620" s="228"/>
      <c r="W620" s="228"/>
      <c r="X620" s="228"/>
      <c r="Y620" s="228"/>
      <c r="Z620" s="228"/>
      <c r="AA620" s="228"/>
      <c r="AB620" s="228"/>
      <c r="AC620" s="228"/>
      <c r="AD620" s="228"/>
      <c r="AE620" s="228"/>
      <c r="AF620" s="228"/>
      <c r="AG620" s="228"/>
      <c r="AH620" s="228"/>
      <c r="AI620" s="228"/>
      <c r="AJ620" s="228"/>
      <c r="AK620" s="228"/>
      <c r="AL620" s="228"/>
      <c r="AM620" s="228"/>
      <c r="AN620" s="228"/>
      <c r="AO620" s="228"/>
      <c r="AP620" s="40"/>
      <c r="AQ620" s="40"/>
      <c r="AR620" s="40"/>
      <c r="AS620" s="40"/>
      <c r="AT620" s="40"/>
      <c r="AU620" s="40"/>
      <c r="AV620" s="40"/>
      <c r="AW620" s="40"/>
      <c r="AX620" s="40"/>
      <c r="AY620" s="40"/>
      <c r="AZ620" s="40"/>
      <c r="BA620" s="40"/>
      <c r="BB620" s="40"/>
      <c r="BC620" s="40"/>
      <c r="BD620" s="40"/>
      <c r="BE620" s="40"/>
      <c r="BF620" s="40"/>
      <c r="BG620" s="40"/>
      <c r="BH620" s="40"/>
      <c r="BI620" s="40"/>
    </row>
    <row r="621" ht="15.75" customHeight="1">
      <c r="A621" s="33"/>
      <c r="B621" s="228"/>
      <c r="C621" s="228"/>
      <c r="D621" s="228"/>
      <c r="E621" s="228"/>
      <c r="F621" s="228"/>
      <c r="G621" s="228"/>
      <c r="H621" s="228"/>
      <c r="I621" s="228"/>
      <c r="J621" s="228"/>
      <c r="K621" s="228"/>
      <c r="L621" s="228"/>
      <c r="M621" s="228"/>
      <c r="N621" s="228"/>
      <c r="O621" s="228"/>
      <c r="P621" s="228"/>
      <c r="Q621" s="228"/>
      <c r="R621" s="228"/>
      <c r="S621" s="228"/>
      <c r="T621" s="228"/>
      <c r="U621" s="228"/>
      <c r="V621" s="228"/>
      <c r="W621" s="228"/>
      <c r="X621" s="228"/>
      <c r="Y621" s="228"/>
      <c r="Z621" s="228"/>
      <c r="AA621" s="228"/>
      <c r="AB621" s="228"/>
      <c r="AC621" s="228"/>
      <c r="AD621" s="228"/>
      <c r="AE621" s="228"/>
      <c r="AF621" s="228"/>
      <c r="AG621" s="228"/>
      <c r="AH621" s="228"/>
      <c r="AI621" s="228"/>
      <c r="AJ621" s="228"/>
      <c r="AK621" s="228"/>
      <c r="AL621" s="228"/>
      <c r="AM621" s="228"/>
      <c r="AN621" s="228"/>
      <c r="AO621" s="228"/>
      <c r="AP621" s="40"/>
      <c r="AQ621" s="40"/>
      <c r="AR621" s="40"/>
      <c r="AS621" s="40"/>
      <c r="AT621" s="40"/>
      <c r="AU621" s="40"/>
      <c r="AV621" s="40"/>
      <c r="AW621" s="40"/>
      <c r="AX621" s="40"/>
      <c r="AY621" s="40"/>
      <c r="AZ621" s="40"/>
      <c r="BA621" s="40"/>
      <c r="BB621" s="40"/>
      <c r="BC621" s="40"/>
      <c r="BD621" s="40"/>
      <c r="BE621" s="40"/>
      <c r="BF621" s="40"/>
      <c r="BG621" s="40"/>
      <c r="BH621" s="40"/>
      <c r="BI621" s="40"/>
    </row>
    <row r="622" ht="15.75" customHeight="1">
      <c r="A622" s="33"/>
      <c r="B622" s="228"/>
      <c r="C622" s="228"/>
      <c r="D622" s="228"/>
      <c r="E622" s="228"/>
      <c r="F622" s="228"/>
      <c r="G622" s="228"/>
      <c r="H622" s="228"/>
      <c r="I622" s="228"/>
      <c r="J622" s="228"/>
      <c r="K622" s="228"/>
      <c r="L622" s="228"/>
      <c r="M622" s="228"/>
      <c r="N622" s="228"/>
      <c r="O622" s="228"/>
      <c r="P622" s="228"/>
      <c r="Q622" s="228"/>
      <c r="R622" s="228"/>
      <c r="S622" s="228"/>
      <c r="T622" s="228"/>
      <c r="U622" s="228"/>
      <c r="V622" s="228"/>
      <c r="W622" s="228"/>
      <c r="X622" s="228"/>
      <c r="Y622" s="228"/>
      <c r="Z622" s="228"/>
      <c r="AA622" s="228"/>
      <c r="AB622" s="228"/>
      <c r="AC622" s="228"/>
      <c r="AD622" s="228"/>
      <c r="AE622" s="228"/>
      <c r="AF622" s="228"/>
      <c r="AG622" s="228"/>
      <c r="AH622" s="228"/>
      <c r="AI622" s="228"/>
      <c r="AJ622" s="228"/>
      <c r="AK622" s="228"/>
      <c r="AL622" s="228"/>
      <c r="AM622" s="228"/>
      <c r="AN622" s="228"/>
      <c r="AO622" s="228"/>
      <c r="AP622" s="40"/>
      <c r="AQ622" s="40"/>
      <c r="AR622" s="40"/>
      <c r="AS622" s="40"/>
      <c r="AT622" s="40"/>
      <c r="AU622" s="40"/>
      <c r="AV622" s="40"/>
      <c r="AW622" s="40"/>
      <c r="AX622" s="40"/>
      <c r="AY622" s="40"/>
      <c r="AZ622" s="40"/>
      <c r="BA622" s="40"/>
      <c r="BB622" s="40"/>
      <c r="BC622" s="40"/>
      <c r="BD622" s="40"/>
      <c r="BE622" s="40"/>
      <c r="BF622" s="40"/>
      <c r="BG622" s="40"/>
      <c r="BH622" s="40"/>
      <c r="BI622" s="40"/>
    </row>
    <row r="623" ht="15.75" customHeight="1">
      <c r="A623" s="33"/>
      <c r="B623" s="228"/>
      <c r="C623" s="228"/>
      <c r="D623" s="228"/>
      <c r="E623" s="228"/>
      <c r="F623" s="228"/>
      <c r="G623" s="228"/>
      <c r="H623" s="228"/>
      <c r="I623" s="228"/>
      <c r="J623" s="228"/>
      <c r="K623" s="228"/>
      <c r="L623" s="228"/>
      <c r="M623" s="228"/>
      <c r="N623" s="228"/>
      <c r="O623" s="228"/>
      <c r="P623" s="228"/>
      <c r="Q623" s="228"/>
      <c r="R623" s="228"/>
      <c r="S623" s="228"/>
      <c r="T623" s="228"/>
      <c r="U623" s="228"/>
      <c r="V623" s="228"/>
      <c r="W623" s="228"/>
      <c r="X623" s="228"/>
      <c r="Y623" s="228"/>
      <c r="Z623" s="228"/>
      <c r="AA623" s="228"/>
      <c r="AB623" s="228"/>
      <c r="AC623" s="228"/>
      <c r="AD623" s="228"/>
      <c r="AE623" s="228"/>
      <c r="AF623" s="228"/>
      <c r="AG623" s="228"/>
      <c r="AH623" s="228"/>
      <c r="AI623" s="228"/>
      <c r="AJ623" s="228"/>
      <c r="AK623" s="228"/>
      <c r="AL623" s="228"/>
      <c r="AM623" s="228"/>
      <c r="AN623" s="228"/>
      <c r="AO623" s="228"/>
      <c r="AP623" s="40"/>
      <c r="AQ623" s="40"/>
      <c r="AR623" s="40"/>
      <c r="AS623" s="40"/>
      <c r="AT623" s="40"/>
      <c r="AU623" s="40"/>
      <c r="AV623" s="40"/>
      <c r="AW623" s="40"/>
      <c r="AX623" s="40"/>
      <c r="AY623" s="40"/>
      <c r="AZ623" s="40"/>
      <c r="BA623" s="40"/>
      <c r="BB623" s="40"/>
      <c r="BC623" s="40"/>
      <c r="BD623" s="40"/>
      <c r="BE623" s="40"/>
      <c r="BF623" s="40"/>
      <c r="BG623" s="40"/>
      <c r="BH623" s="40"/>
      <c r="BI623" s="40"/>
    </row>
    <row r="624" ht="15.75" customHeight="1">
      <c r="A624" s="33"/>
      <c r="B624" s="228"/>
      <c r="C624" s="228"/>
      <c r="D624" s="228"/>
      <c r="E624" s="228"/>
      <c r="F624" s="228"/>
      <c r="G624" s="228"/>
      <c r="H624" s="228"/>
      <c r="I624" s="228"/>
      <c r="J624" s="228"/>
      <c r="K624" s="228"/>
      <c r="L624" s="228"/>
      <c r="M624" s="228"/>
      <c r="N624" s="228"/>
      <c r="O624" s="228"/>
      <c r="P624" s="228"/>
      <c r="Q624" s="228"/>
      <c r="R624" s="228"/>
      <c r="S624" s="228"/>
      <c r="T624" s="228"/>
      <c r="U624" s="228"/>
      <c r="V624" s="228"/>
      <c r="W624" s="228"/>
      <c r="X624" s="228"/>
      <c r="Y624" s="228"/>
      <c r="Z624" s="228"/>
      <c r="AA624" s="228"/>
      <c r="AB624" s="228"/>
      <c r="AC624" s="228"/>
      <c r="AD624" s="228"/>
      <c r="AE624" s="228"/>
      <c r="AF624" s="228"/>
      <c r="AG624" s="228"/>
      <c r="AH624" s="228"/>
      <c r="AI624" s="228"/>
      <c r="AJ624" s="228"/>
      <c r="AK624" s="228"/>
      <c r="AL624" s="228"/>
      <c r="AM624" s="228"/>
      <c r="AN624" s="228"/>
      <c r="AO624" s="228"/>
      <c r="AP624" s="40"/>
      <c r="AQ624" s="40"/>
      <c r="AR624" s="40"/>
      <c r="AS624" s="40"/>
      <c r="AT624" s="40"/>
      <c r="AU624" s="40"/>
      <c r="AV624" s="40"/>
      <c r="AW624" s="40"/>
      <c r="AX624" s="40"/>
      <c r="AY624" s="40"/>
      <c r="AZ624" s="40"/>
      <c r="BA624" s="40"/>
      <c r="BB624" s="40"/>
      <c r="BC624" s="40"/>
      <c r="BD624" s="40"/>
      <c r="BE624" s="40"/>
      <c r="BF624" s="40"/>
      <c r="BG624" s="40"/>
      <c r="BH624" s="40"/>
      <c r="BI624" s="40"/>
    </row>
    <row r="625" ht="15.75" customHeight="1">
      <c r="A625" s="33"/>
      <c r="B625" s="228"/>
      <c r="C625" s="228"/>
      <c r="D625" s="228"/>
      <c r="E625" s="228"/>
      <c r="F625" s="228"/>
      <c r="G625" s="228"/>
      <c r="H625" s="228"/>
      <c r="I625" s="228"/>
      <c r="J625" s="228"/>
      <c r="K625" s="228"/>
      <c r="L625" s="228"/>
      <c r="M625" s="228"/>
      <c r="N625" s="228"/>
      <c r="O625" s="228"/>
      <c r="P625" s="228"/>
      <c r="Q625" s="228"/>
      <c r="R625" s="228"/>
      <c r="S625" s="228"/>
      <c r="T625" s="228"/>
      <c r="U625" s="228"/>
      <c r="V625" s="228"/>
      <c r="W625" s="228"/>
      <c r="X625" s="228"/>
      <c r="Y625" s="228"/>
      <c r="Z625" s="228"/>
      <c r="AA625" s="228"/>
      <c r="AB625" s="228"/>
      <c r="AC625" s="228"/>
      <c r="AD625" s="228"/>
      <c r="AE625" s="228"/>
      <c r="AF625" s="228"/>
      <c r="AG625" s="228"/>
      <c r="AH625" s="228"/>
      <c r="AI625" s="228"/>
      <c r="AJ625" s="228"/>
      <c r="AK625" s="228"/>
      <c r="AL625" s="228"/>
      <c r="AM625" s="228"/>
      <c r="AN625" s="228"/>
      <c r="AO625" s="228"/>
      <c r="AP625" s="40"/>
      <c r="AQ625" s="40"/>
      <c r="AR625" s="40"/>
      <c r="AS625" s="40"/>
      <c r="AT625" s="40"/>
      <c r="AU625" s="40"/>
      <c r="AV625" s="40"/>
      <c r="AW625" s="40"/>
      <c r="AX625" s="40"/>
      <c r="AY625" s="40"/>
      <c r="AZ625" s="40"/>
      <c r="BA625" s="40"/>
      <c r="BB625" s="40"/>
      <c r="BC625" s="40"/>
      <c r="BD625" s="40"/>
      <c r="BE625" s="40"/>
      <c r="BF625" s="40"/>
      <c r="BG625" s="40"/>
      <c r="BH625" s="40"/>
      <c r="BI625" s="40"/>
    </row>
    <row r="626" ht="15.75" customHeight="1">
      <c r="A626" s="33"/>
      <c r="B626" s="228"/>
      <c r="C626" s="228"/>
      <c r="D626" s="228"/>
      <c r="E626" s="228"/>
      <c r="F626" s="228"/>
      <c r="G626" s="228"/>
      <c r="H626" s="228"/>
      <c r="I626" s="228"/>
      <c r="J626" s="228"/>
      <c r="K626" s="228"/>
      <c r="L626" s="228"/>
      <c r="M626" s="228"/>
      <c r="N626" s="228"/>
      <c r="O626" s="228"/>
      <c r="P626" s="228"/>
      <c r="Q626" s="228"/>
      <c r="R626" s="228"/>
      <c r="S626" s="228"/>
      <c r="T626" s="228"/>
      <c r="U626" s="228"/>
      <c r="V626" s="228"/>
      <c r="W626" s="228"/>
      <c r="X626" s="228"/>
      <c r="Y626" s="228"/>
      <c r="Z626" s="228"/>
      <c r="AA626" s="228"/>
      <c r="AB626" s="228"/>
      <c r="AC626" s="228"/>
      <c r="AD626" s="228"/>
      <c r="AE626" s="228"/>
      <c r="AF626" s="228"/>
      <c r="AG626" s="228"/>
      <c r="AH626" s="228"/>
      <c r="AI626" s="228"/>
      <c r="AJ626" s="228"/>
      <c r="AK626" s="228"/>
      <c r="AL626" s="228"/>
      <c r="AM626" s="228"/>
      <c r="AN626" s="228"/>
      <c r="AO626" s="228"/>
      <c r="AP626" s="40"/>
      <c r="AQ626" s="40"/>
      <c r="AR626" s="40"/>
      <c r="AS626" s="40"/>
      <c r="AT626" s="40"/>
      <c r="AU626" s="40"/>
      <c r="AV626" s="40"/>
      <c r="AW626" s="40"/>
      <c r="AX626" s="40"/>
      <c r="AY626" s="40"/>
      <c r="AZ626" s="40"/>
      <c r="BA626" s="40"/>
      <c r="BB626" s="40"/>
      <c r="BC626" s="40"/>
      <c r="BD626" s="40"/>
      <c r="BE626" s="40"/>
      <c r="BF626" s="40"/>
      <c r="BG626" s="40"/>
      <c r="BH626" s="40"/>
      <c r="BI626" s="40"/>
    </row>
    <row r="627" ht="15.75" customHeight="1">
      <c r="A627" s="33"/>
      <c r="B627" s="228"/>
      <c r="C627" s="228"/>
      <c r="D627" s="228"/>
      <c r="E627" s="228"/>
      <c r="F627" s="228"/>
      <c r="G627" s="228"/>
      <c r="H627" s="228"/>
      <c r="I627" s="228"/>
      <c r="J627" s="228"/>
      <c r="K627" s="228"/>
      <c r="L627" s="228"/>
      <c r="M627" s="228"/>
      <c r="N627" s="228"/>
      <c r="O627" s="228"/>
      <c r="P627" s="228"/>
      <c r="Q627" s="228"/>
      <c r="R627" s="228"/>
      <c r="S627" s="228"/>
      <c r="T627" s="228"/>
      <c r="U627" s="228"/>
      <c r="V627" s="228"/>
      <c r="W627" s="228"/>
      <c r="X627" s="228"/>
      <c r="Y627" s="228"/>
      <c r="Z627" s="228"/>
      <c r="AA627" s="228"/>
      <c r="AB627" s="228"/>
      <c r="AC627" s="228"/>
      <c r="AD627" s="228"/>
      <c r="AE627" s="228"/>
      <c r="AF627" s="228"/>
      <c r="AG627" s="228"/>
      <c r="AH627" s="228"/>
      <c r="AI627" s="228"/>
      <c r="AJ627" s="228"/>
      <c r="AK627" s="228"/>
      <c r="AL627" s="228"/>
      <c r="AM627" s="228"/>
      <c r="AN627" s="228"/>
      <c r="AO627" s="228"/>
      <c r="AP627" s="40"/>
      <c r="AQ627" s="40"/>
      <c r="AR627" s="40"/>
      <c r="AS627" s="40"/>
      <c r="AT627" s="40"/>
      <c r="AU627" s="40"/>
      <c r="AV627" s="40"/>
      <c r="AW627" s="40"/>
      <c r="AX627" s="40"/>
      <c r="AY627" s="40"/>
      <c r="AZ627" s="40"/>
      <c r="BA627" s="40"/>
      <c r="BB627" s="40"/>
      <c r="BC627" s="40"/>
      <c r="BD627" s="40"/>
      <c r="BE627" s="40"/>
      <c r="BF627" s="40"/>
      <c r="BG627" s="40"/>
      <c r="BH627" s="40"/>
      <c r="BI627" s="40"/>
    </row>
    <row r="628" ht="15.75" customHeight="1">
      <c r="A628" s="33"/>
      <c r="B628" s="228"/>
      <c r="C628" s="228"/>
      <c r="D628" s="228"/>
      <c r="E628" s="228"/>
      <c r="F628" s="228"/>
      <c r="G628" s="228"/>
      <c r="H628" s="228"/>
      <c r="I628" s="228"/>
      <c r="J628" s="228"/>
      <c r="K628" s="228"/>
      <c r="L628" s="228"/>
      <c r="M628" s="228"/>
      <c r="N628" s="228"/>
      <c r="O628" s="228"/>
      <c r="P628" s="228"/>
      <c r="Q628" s="228"/>
      <c r="R628" s="228"/>
      <c r="S628" s="228"/>
      <c r="T628" s="228"/>
      <c r="U628" s="228"/>
      <c r="V628" s="228"/>
      <c r="W628" s="228"/>
      <c r="X628" s="228"/>
      <c r="Y628" s="228"/>
      <c r="Z628" s="228"/>
      <c r="AA628" s="228"/>
      <c r="AB628" s="228"/>
      <c r="AC628" s="228"/>
      <c r="AD628" s="228"/>
      <c r="AE628" s="228"/>
      <c r="AF628" s="228"/>
      <c r="AG628" s="228"/>
      <c r="AH628" s="228"/>
      <c r="AI628" s="228"/>
      <c r="AJ628" s="228"/>
      <c r="AK628" s="228"/>
      <c r="AL628" s="228"/>
      <c r="AM628" s="228"/>
      <c r="AN628" s="228"/>
      <c r="AO628" s="228"/>
      <c r="AP628" s="40"/>
      <c r="AQ628" s="40"/>
      <c r="AR628" s="40"/>
      <c r="AS628" s="40"/>
      <c r="AT628" s="40"/>
      <c r="AU628" s="40"/>
      <c r="AV628" s="40"/>
      <c r="AW628" s="40"/>
      <c r="AX628" s="40"/>
      <c r="AY628" s="40"/>
      <c r="AZ628" s="40"/>
      <c r="BA628" s="40"/>
      <c r="BB628" s="40"/>
      <c r="BC628" s="40"/>
      <c r="BD628" s="40"/>
      <c r="BE628" s="40"/>
      <c r="BF628" s="40"/>
      <c r="BG628" s="40"/>
      <c r="BH628" s="40"/>
      <c r="BI628" s="40"/>
    </row>
    <row r="629" ht="15.75" customHeight="1">
      <c r="A629" s="33"/>
      <c r="B629" s="228"/>
      <c r="C629" s="228"/>
      <c r="D629" s="228"/>
      <c r="E629" s="228"/>
      <c r="F629" s="228"/>
      <c r="G629" s="228"/>
      <c r="H629" s="228"/>
      <c r="I629" s="228"/>
      <c r="J629" s="228"/>
      <c r="K629" s="228"/>
      <c r="L629" s="228"/>
      <c r="M629" s="228"/>
      <c r="N629" s="228"/>
      <c r="O629" s="228"/>
      <c r="P629" s="228"/>
      <c r="Q629" s="228"/>
      <c r="R629" s="228"/>
      <c r="S629" s="228"/>
      <c r="T629" s="228"/>
      <c r="U629" s="228"/>
      <c r="V629" s="228"/>
      <c r="W629" s="228"/>
      <c r="X629" s="228"/>
      <c r="Y629" s="228"/>
      <c r="Z629" s="228"/>
      <c r="AA629" s="228"/>
      <c r="AB629" s="228"/>
      <c r="AC629" s="228"/>
      <c r="AD629" s="228"/>
      <c r="AE629" s="228"/>
      <c r="AF629" s="228"/>
      <c r="AG629" s="228"/>
      <c r="AH629" s="228"/>
      <c r="AI629" s="228"/>
      <c r="AJ629" s="228"/>
      <c r="AK629" s="228"/>
      <c r="AL629" s="228"/>
      <c r="AM629" s="228"/>
      <c r="AN629" s="228"/>
      <c r="AO629" s="228"/>
      <c r="AP629" s="40"/>
      <c r="AQ629" s="40"/>
      <c r="AR629" s="40"/>
      <c r="AS629" s="40"/>
      <c r="AT629" s="40"/>
      <c r="AU629" s="40"/>
      <c r="AV629" s="40"/>
      <c r="AW629" s="40"/>
      <c r="AX629" s="40"/>
      <c r="AY629" s="40"/>
      <c r="AZ629" s="40"/>
      <c r="BA629" s="40"/>
      <c r="BB629" s="40"/>
      <c r="BC629" s="40"/>
      <c r="BD629" s="40"/>
      <c r="BE629" s="40"/>
      <c r="BF629" s="40"/>
      <c r="BG629" s="40"/>
      <c r="BH629" s="40"/>
      <c r="BI629" s="40"/>
    </row>
    <row r="630" ht="15.75" customHeight="1">
      <c r="A630" s="33"/>
      <c r="B630" s="228"/>
      <c r="C630" s="228"/>
      <c r="D630" s="228"/>
      <c r="E630" s="228"/>
      <c r="F630" s="228"/>
      <c r="G630" s="228"/>
      <c r="H630" s="228"/>
      <c r="I630" s="228"/>
      <c r="J630" s="228"/>
      <c r="K630" s="228"/>
      <c r="L630" s="228"/>
      <c r="M630" s="228"/>
      <c r="N630" s="228"/>
      <c r="O630" s="228"/>
      <c r="P630" s="228"/>
      <c r="Q630" s="228"/>
      <c r="R630" s="228"/>
      <c r="S630" s="228"/>
      <c r="T630" s="228"/>
      <c r="U630" s="228"/>
      <c r="V630" s="228"/>
      <c r="W630" s="228"/>
      <c r="X630" s="228"/>
      <c r="Y630" s="228"/>
      <c r="Z630" s="228"/>
      <c r="AA630" s="228"/>
      <c r="AB630" s="228"/>
      <c r="AC630" s="228"/>
      <c r="AD630" s="228"/>
      <c r="AE630" s="228"/>
      <c r="AF630" s="228"/>
      <c r="AG630" s="228"/>
      <c r="AH630" s="228"/>
      <c r="AI630" s="228"/>
      <c r="AJ630" s="228"/>
      <c r="AK630" s="228"/>
      <c r="AL630" s="228"/>
      <c r="AM630" s="228"/>
      <c r="AN630" s="228"/>
      <c r="AO630" s="228"/>
      <c r="AP630" s="40"/>
      <c r="AQ630" s="40"/>
      <c r="AR630" s="40"/>
      <c r="AS630" s="40"/>
      <c r="AT630" s="40"/>
      <c r="AU630" s="40"/>
      <c r="AV630" s="40"/>
      <c r="AW630" s="40"/>
      <c r="AX630" s="40"/>
      <c r="AY630" s="40"/>
      <c r="AZ630" s="40"/>
      <c r="BA630" s="40"/>
      <c r="BB630" s="40"/>
      <c r="BC630" s="40"/>
      <c r="BD630" s="40"/>
      <c r="BE630" s="40"/>
      <c r="BF630" s="40"/>
      <c r="BG630" s="40"/>
      <c r="BH630" s="40"/>
      <c r="BI630" s="40"/>
    </row>
    <row r="631" ht="15.75" customHeight="1">
      <c r="A631" s="33"/>
      <c r="B631" s="228"/>
      <c r="C631" s="228"/>
      <c r="D631" s="228"/>
      <c r="E631" s="228"/>
      <c r="F631" s="228"/>
      <c r="G631" s="228"/>
      <c r="H631" s="228"/>
      <c r="I631" s="228"/>
      <c r="J631" s="228"/>
      <c r="K631" s="228"/>
      <c r="L631" s="228"/>
      <c r="M631" s="228"/>
      <c r="N631" s="228"/>
      <c r="O631" s="228"/>
      <c r="P631" s="228"/>
      <c r="Q631" s="228"/>
      <c r="R631" s="228"/>
      <c r="S631" s="228"/>
      <c r="T631" s="228"/>
      <c r="U631" s="228"/>
      <c r="V631" s="228"/>
      <c r="W631" s="228"/>
      <c r="X631" s="228"/>
      <c r="Y631" s="228"/>
      <c r="Z631" s="228"/>
      <c r="AA631" s="228"/>
      <c r="AB631" s="228"/>
      <c r="AC631" s="228"/>
      <c r="AD631" s="228"/>
      <c r="AE631" s="228"/>
      <c r="AF631" s="228"/>
      <c r="AG631" s="228"/>
      <c r="AH631" s="228"/>
      <c r="AI631" s="228"/>
      <c r="AJ631" s="228"/>
      <c r="AK631" s="228"/>
      <c r="AL631" s="228"/>
      <c r="AM631" s="228"/>
      <c r="AN631" s="228"/>
      <c r="AO631" s="228"/>
      <c r="AP631" s="40"/>
      <c r="AQ631" s="40"/>
      <c r="AR631" s="40"/>
      <c r="AS631" s="40"/>
      <c r="AT631" s="40"/>
      <c r="AU631" s="40"/>
      <c r="AV631" s="40"/>
      <c r="AW631" s="40"/>
      <c r="AX631" s="40"/>
      <c r="AY631" s="40"/>
      <c r="AZ631" s="40"/>
      <c r="BA631" s="40"/>
      <c r="BB631" s="40"/>
      <c r="BC631" s="40"/>
      <c r="BD631" s="40"/>
      <c r="BE631" s="40"/>
      <c r="BF631" s="40"/>
      <c r="BG631" s="40"/>
      <c r="BH631" s="40"/>
      <c r="BI631" s="40"/>
    </row>
    <row r="632" ht="15.75" customHeight="1">
      <c r="A632" s="33"/>
      <c r="B632" s="228"/>
      <c r="C632" s="228"/>
      <c r="D632" s="228"/>
      <c r="E632" s="228"/>
      <c r="F632" s="228"/>
      <c r="G632" s="228"/>
      <c r="H632" s="228"/>
      <c r="I632" s="228"/>
      <c r="J632" s="228"/>
      <c r="K632" s="228"/>
      <c r="L632" s="228"/>
      <c r="M632" s="228"/>
      <c r="N632" s="228"/>
      <c r="O632" s="228"/>
      <c r="P632" s="228"/>
      <c r="Q632" s="228"/>
      <c r="R632" s="228"/>
      <c r="S632" s="228"/>
      <c r="T632" s="228"/>
      <c r="U632" s="228"/>
      <c r="V632" s="228"/>
      <c r="W632" s="228"/>
      <c r="X632" s="228"/>
      <c r="Y632" s="228"/>
      <c r="Z632" s="228"/>
      <c r="AA632" s="228"/>
      <c r="AB632" s="228"/>
      <c r="AC632" s="228"/>
      <c r="AD632" s="228"/>
      <c r="AE632" s="228"/>
      <c r="AF632" s="228"/>
      <c r="AG632" s="228"/>
      <c r="AH632" s="228"/>
      <c r="AI632" s="228"/>
      <c r="AJ632" s="228"/>
      <c r="AK632" s="228"/>
      <c r="AL632" s="228"/>
      <c r="AM632" s="228"/>
      <c r="AN632" s="228"/>
      <c r="AO632" s="228"/>
      <c r="AP632" s="40"/>
      <c r="AQ632" s="40"/>
      <c r="AR632" s="40"/>
      <c r="AS632" s="40"/>
      <c r="AT632" s="40"/>
      <c r="AU632" s="40"/>
      <c r="AV632" s="40"/>
      <c r="AW632" s="40"/>
      <c r="AX632" s="40"/>
      <c r="AY632" s="40"/>
      <c r="AZ632" s="40"/>
      <c r="BA632" s="40"/>
      <c r="BB632" s="40"/>
      <c r="BC632" s="40"/>
      <c r="BD632" s="40"/>
      <c r="BE632" s="40"/>
      <c r="BF632" s="40"/>
      <c r="BG632" s="40"/>
      <c r="BH632" s="40"/>
      <c r="BI632" s="40"/>
    </row>
    <row r="633" ht="15.75" customHeight="1">
      <c r="A633" s="33"/>
      <c r="B633" s="228"/>
      <c r="C633" s="228"/>
      <c r="D633" s="228"/>
      <c r="E633" s="228"/>
      <c r="F633" s="228"/>
      <c r="G633" s="228"/>
      <c r="H633" s="228"/>
      <c r="I633" s="228"/>
      <c r="J633" s="228"/>
      <c r="K633" s="228"/>
      <c r="L633" s="228"/>
      <c r="M633" s="228"/>
      <c r="N633" s="228"/>
      <c r="O633" s="228"/>
      <c r="P633" s="228"/>
      <c r="Q633" s="228"/>
      <c r="R633" s="228"/>
      <c r="S633" s="228"/>
      <c r="T633" s="228"/>
      <c r="U633" s="228"/>
      <c r="V633" s="228"/>
      <c r="W633" s="228"/>
      <c r="X633" s="228"/>
      <c r="Y633" s="228"/>
      <c r="Z633" s="228"/>
      <c r="AA633" s="228"/>
      <c r="AB633" s="228"/>
      <c r="AC633" s="228"/>
      <c r="AD633" s="228"/>
      <c r="AE633" s="228"/>
      <c r="AF633" s="228"/>
      <c r="AG633" s="228"/>
      <c r="AH633" s="228"/>
      <c r="AI633" s="228"/>
      <c r="AJ633" s="228"/>
      <c r="AK633" s="228"/>
      <c r="AL633" s="228"/>
      <c r="AM633" s="228"/>
      <c r="AN633" s="228"/>
      <c r="AO633" s="228"/>
      <c r="AP633" s="40"/>
      <c r="AQ633" s="40"/>
      <c r="AR633" s="40"/>
      <c r="AS633" s="40"/>
      <c r="AT633" s="40"/>
      <c r="AU633" s="40"/>
      <c r="AV633" s="40"/>
      <c r="AW633" s="40"/>
      <c r="AX633" s="40"/>
      <c r="AY633" s="40"/>
      <c r="AZ633" s="40"/>
      <c r="BA633" s="40"/>
      <c r="BB633" s="40"/>
      <c r="BC633" s="40"/>
      <c r="BD633" s="40"/>
      <c r="BE633" s="40"/>
      <c r="BF633" s="40"/>
      <c r="BG633" s="40"/>
      <c r="BH633" s="40"/>
      <c r="BI633" s="40"/>
    </row>
    <row r="634" ht="15.75" customHeight="1">
      <c r="A634" s="33"/>
      <c r="B634" s="228"/>
      <c r="C634" s="228"/>
      <c r="D634" s="228"/>
      <c r="E634" s="228"/>
      <c r="F634" s="228"/>
      <c r="G634" s="228"/>
      <c r="H634" s="228"/>
      <c r="I634" s="228"/>
      <c r="J634" s="228"/>
      <c r="K634" s="228"/>
      <c r="L634" s="228"/>
      <c r="M634" s="228"/>
      <c r="N634" s="228"/>
      <c r="O634" s="228"/>
      <c r="P634" s="228"/>
      <c r="Q634" s="228"/>
      <c r="R634" s="228"/>
      <c r="S634" s="228"/>
      <c r="T634" s="228"/>
      <c r="U634" s="228"/>
      <c r="V634" s="228"/>
      <c r="W634" s="228"/>
      <c r="X634" s="228"/>
      <c r="Y634" s="228"/>
      <c r="Z634" s="228"/>
      <c r="AA634" s="228"/>
      <c r="AB634" s="228"/>
      <c r="AC634" s="228"/>
      <c r="AD634" s="228"/>
      <c r="AE634" s="228"/>
      <c r="AF634" s="228"/>
      <c r="AG634" s="228"/>
      <c r="AH634" s="228"/>
      <c r="AI634" s="228"/>
      <c r="AJ634" s="228"/>
      <c r="AK634" s="228"/>
      <c r="AL634" s="228"/>
      <c r="AM634" s="228"/>
      <c r="AN634" s="228"/>
      <c r="AO634" s="228"/>
      <c r="AP634" s="40"/>
      <c r="AQ634" s="40"/>
      <c r="AR634" s="40"/>
      <c r="AS634" s="40"/>
      <c r="AT634" s="40"/>
      <c r="AU634" s="40"/>
      <c r="AV634" s="40"/>
      <c r="AW634" s="40"/>
      <c r="AX634" s="40"/>
      <c r="AY634" s="40"/>
      <c r="AZ634" s="40"/>
      <c r="BA634" s="40"/>
      <c r="BB634" s="40"/>
      <c r="BC634" s="40"/>
      <c r="BD634" s="40"/>
      <c r="BE634" s="40"/>
      <c r="BF634" s="40"/>
      <c r="BG634" s="40"/>
      <c r="BH634" s="40"/>
      <c r="BI634" s="40"/>
    </row>
    <row r="635" ht="15.75" customHeight="1">
      <c r="A635" s="33"/>
      <c r="B635" s="228"/>
      <c r="C635" s="228"/>
      <c r="D635" s="228"/>
      <c r="E635" s="228"/>
      <c r="F635" s="228"/>
      <c r="G635" s="228"/>
      <c r="H635" s="228"/>
      <c r="I635" s="228"/>
      <c r="J635" s="228"/>
      <c r="K635" s="228"/>
      <c r="L635" s="228"/>
      <c r="M635" s="228"/>
      <c r="N635" s="228"/>
      <c r="O635" s="228"/>
      <c r="P635" s="228"/>
      <c r="Q635" s="228"/>
      <c r="R635" s="228"/>
      <c r="S635" s="228"/>
      <c r="T635" s="228"/>
      <c r="U635" s="228"/>
      <c r="V635" s="228"/>
      <c r="W635" s="228"/>
      <c r="X635" s="228"/>
      <c r="Y635" s="228"/>
      <c r="Z635" s="228"/>
      <c r="AA635" s="228"/>
      <c r="AB635" s="228"/>
      <c r="AC635" s="228"/>
      <c r="AD635" s="228"/>
      <c r="AE635" s="228"/>
      <c r="AF635" s="228"/>
      <c r="AG635" s="228"/>
      <c r="AH635" s="228"/>
      <c r="AI635" s="228"/>
      <c r="AJ635" s="228"/>
      <c r="AK635" s="228"/>
      <c r="AL635" s="228"/>
      <c r="AM635" s="228"/>
      <c r="AN635" s="228"/>
      <c r="AO635" s="228"/>
      <c r="AP635" s="40"/>
      <c r="AQ635" s="40"/>
      <c r="AR635" s="40"/>
      <c r="AS635" s="40"/>
      <c r="AT635" s="40"/>
      <c r="AU635" s="40"/>
      <c r="AV635" s="40"/>
      <c r="AW635" s="40"/>
      <c r="AX635" s="40"/>
      <c r="AY635" s="40"/>
      <c r="AZ635" s="40"/>
      <c r="BA635" s="40"/>
      <c r="BB635" s="40"/>
      <c r="BC635" s="40"/>
      <c r="BD635" s="40"/>
      <c r="BE635" s="40"/>
      <c r="BF635" s="40"/>
      <c r="BG635" s="40"/>
      <c r="BH635" s="40"/>
      <c r="BI635" s="40"/>
    </row>
    <row r="636" ht="15.75" customHeight="1">
      <c r="A636" s="33"/>
      <c r="B636" s="228"/>
      <c r="C636" s="228"/>
      <c r="D636" s="228"/>
      <c r="E636" s="228"/>
      <c r="F636" s="228"/>
      <c r="G636" s="228"/>
      <c r="H636" s="228"/>
      <c r="I636" s="228"/>
      <c r="J636" s="228"/>
      <c r="K636" s="228"/>
      <c r="L636" s="228"/>
      <c r="M636" s="228"/>
      <c r="N636" s="228"/>
      <c r="O636" s="228"/>
      <c r="P636" s="228"/>
      <c r="Q636" s="228"/>
      <c r="R636" s="228"/>
      <c r="S636" s="228"/>
      <c r="T636" s="228"/>
      <c r="U636" s="228"/>
      <c r="V636" s="228"/>
      <c r="W636" s="228"/>
      <c r="X636" s="228"/>
      <c r="Y636" s="228"/>
      <c r="Z636" s="228"/>
      <c r="AA636" s="228"/>
      <c r="AB636" s="228"/>
      <c r="AC636" s="228"/>
      <c r="AD636" s="228"/>
      <c r="AE636" s="228"/>
      <c r="AF636" s="228"/>
      <c r="AG636" s="228"/>
      <c r="AH636" s="228"/>
      <c r="AI636" s="228"/>
      <c r="AJ636" s="228"/>
      <c r="AK636" s="228"/>
      <c r="AL636" s="228"/>
      <c r="AM636" s="228"/>
      <c r="AN636" s="228"/>
      <c r="AO636" s="228"/>
      <c r="AP636" s="40"/>
      <c r="AQ636" s="40"/>
      <c r="AR636" s="40"/>
      <c r="AS636" s="40"/>
      <c r="AT636" s="40"/>
      <c r="AU636" s="40"/>
      <c r="AV636" s="40"/>
      <c r="AW636" s="40"/>
      <c r="AX636" s="40"/>
      <c r="AY636" s="40"/>
      <c r="AZ636" s="40"/>
      <c r="BA636" s="40"/>
      <c r="BB636" s="40"/>
      <c r="BC636" s="40"/>
      <c r="BD636" s="40"/>
      <c r="BE636" s="40"/>
      <c r="BF636" s="40"/>
      <c r="BG636" s="40"/>
      <c r="BH636" s="40"/>
      <c r="BI636" s="40"/>
    </row>
    <row r="637" ht="15.75" customHeight="1">
      <c r="A637" s="33"/>
      <c r="B637" s="228"/>
      <c r="C637" s="228"/>
      <c r="D637" s="228"/>
      <c r="E637" s="228"/>
      <c r="F637" s="228"/>
      <c r="G637" s="228"/>
      <c r="H637" s="228"/>
      <c r="I637" s="228"/>
      <c r="J637" s="228"/>
      <c r="K637" s="228"/>
      <c r="L637" s="228"/>
      <c r="M637" s="228"/>
      <c r="N637" s="228"/>
      <c r="O637" s="228"/>
      <c r="P637" s="228"/>
      <c r="Q637" s="228"/>
      <c r="R637" s="228"/>
      <c r="S637" s="228"/>
      <c r="T637" s="228"/>
      <c r="U637" s="228"/>
      <c r="V637" s="228"/>
      <c r="W637" s="228"/>
      <c r="X637" s="228"/>
      <c r="Y637" s="228"/>
      <c r="Z637" s="228"/>
      <c r="AA637" s="228"/>
      <c r="AB637" s="228"/>
      <c r="AC637" s="228"/>
      <c r="AD637" s="228"/>
      <c r="AE637" s="228"/>
      <c r="AF637" s="228"/>
      <c r="AG637" s="228"/>
      <c r="AH637" s="228"/>
      <c r="AI637" s="228"/>
      <c r="AJ637" s="228"/>
      <c r="AK637" s="228"/>
      <c r="AL637" s="228"/>
      <c r="AM637" s="228"/>
      <c r="AN637" s="228"/>
      <c r="AO637" s="228"/>
      <c r="AP637" s="40"/>
      <c r="AQ637" s="40"/>
      <c r="AR637" s="40"/>
      <c r="AS637" s="40"/>
      <c r="AT637" s="40"/>
      <c r="AU637" s="40"/>
      <c r="AV637" s="40"/>
      <c r="AW637" s="40"/>
      <c r="AX637" s="40"/>
      <c r="AY637" s="40"/>
      <c r="AZ637" s="40"/>
      <c r="BA637" s="40"/>
      <c r="BB637" s="40"/>
      <c r="BC637" s="40"/>
      <c r="BD637" s="40"/>
      <c r="BE637" s="40"/>
      <c r="BF637" s="40"/>
      <c r="BG637" s="40"/>
      <c r="BH637" s="40"/>
      <c r="BI637" s="40"/>
    </row>
    <row r="638" ht="15.75" customHeight="1">
      <c r="A638" s="33"/>
      <c r="B638" s="228"/>
      <c r="C638" s="228"/>
      <c r="D638" s="228"/>
      <c r="E638" s="228"/>
      <c r="F638" s="228"/>
      <c r="G638" s="228"/>
      <c r="H638" s="228"/>
      <c r="I638" s="228"/>
      <c r="J638" s="228"/>
      <c r="K638" s="228"/>
      <c r="L638" s="228"/>
      <c r="M638" s="228"/>
      <c r="N638" s="228"/>
      <c r="O638" s="228"/>
      <c r="P638" s="228"/>
      <c r="Q638" s="228"/>
      <c r="R638" s="228"/>
      <c r="S638" s="228"/>
      <c r="T638" s="228"/>
      <c r="U638" s="228"/>
      <c r="V638" s="228"/>
      <c r="W638" s="228"/>
      <c r="X638" s="228"/>
      <c r="Y638" s="228"/>
      <c r="Z638" s="228"/>
      <c r="AA638" s="228"/>
      <c r="AB638" s="228"/>
      <c r="AC638" s="228"/>
      <c r="AD638" s="228"/>
      <c r="AE638" s="228"/>
      <c r="AF638" s="228"/>
      <c r="AG638" s="228"/>
      <c r="AH638" s="228"/>
      <c r="AI638" s="228"/>
      <c r="AJ638" s="228"/>
      <c r="AK638" s="228"/>
      <c r="AL638" s="228"/>
      <c r="AM638" s="228"/>
      <c r="AN638" s="228"/>
      <c r="AO638" s="228"/>
      <c r="AP638" s="40"/>
      <c r="AQ638" s="40"/>
      <c r="AR638" s="40"/>
      <c r="AS638" s="40"/>
      <c r="AT638" s="40"/>
      <c r="AU638" s="40"/>
      <c r="AV638" s="40"/>
      <c r="AW638" s="40"/>
      <c r="AX638" s="40"/>
      <c r="AY638" s="40"/>
      <c r="AZ638" s="40"/>
      <c r="BA638" s="40"/>
      <c r="BB638" s="40"/>
      <c r="BC638" s="40"/>
      <c r="BD638" s="40"/>
      <c r="BE638" s="40"/>
      <c r="BF638" s="40"/>
      <c r="BG638" s="40"/>
      <c r="BH638" s="40"/>
      <c r="BI638" s="40"/>
    </row>
    <row r="639" ht="15.75" customHeight="1">
      <c r="A639" s="33"/>
      <c r="B639" s="228"/>
      <c r="C639" s="228"/>
      <c r="D639" s="228"/>
      <c r="E639" s="228"/>
      <c r="F639" s="228"/>
      <c r="G639" s="228"/>
      <c r="H639" s="228"/>
      <c r="I639" s="228"/>
      <c r="J639" s="228"/>
      <c r="K639" s="228"/>
      <c r="L639" s="228"/>
      <c r="M639" s="228"/>
      <c r="N639" s="228"/>
      <c r="O639" s="228"/>
      <c r="P639" s="228"/>
      <c r="Q639" s="228"/>
      <c r="R639" s="228"/>
      <c r="S639" s="228"/>
      <c r="T639" s="228"/>
      <c r="U639" s="228"/>
      <c r="V639" s="228"/>
      <c r="W639" s="228"/>
      <c r="X639" s="228"/>
      <c r="Y639" s="228"/>
      <c r="Z639" s="228"/>
      <c r="AA639" s="228"/>
      <c r="AB639" s="228"/>
      <c r="AC639" s="228"/>
      <c r="AD639" s="228"/>
      <c r="AE639" s="228"/>
      <c r="AF639" s="228"/>
      <c r="AG639" s="228"/>
      <c r="AH639" s="228"/>
      <c r="AI639" s="228"/>
      <c r="AJ639" s="228"/>
      <c r="AK639" s="228"/>
      <c r="AL639" s="228"/>
      <c r="AM639" s="228"/>
      <c r="AN639" s="228"/>
      <c r="AO639" s="228"/>
      <c r="AP639" s="40"/>
      <c r="AQ639" s="40"/>
      <c r="AR639" s="40"/>
      <c r="AS639" s="40"/>
      <c r="AT639" s="40"/>
      <c r="AU639" s="40"/>
      <c r="AV639" s="40"/>
      <c r="AW639" s="40"/>
      <c r="AX639" s="40"/>
      <c r="AY639" s="40"/>
      <c r="AZ639" s="40"/>
      <c r="BA639" s="40"/>
      <c r="BB639" s="40"/>
      <c r="BC639" s="40"/>
      <c r="BD639" s="40"/>
      <c r="BE639" s="40"/>
      <c r="BF639" s="40"/>
      <c r="BG639" s="40"/>
      <c r="BH639" s="40"/>
      <c r="BI639" s="40"/>
    </row>
    <row r="640" ht="15.75" customHeight="1">
      <c r="A640" s="33"/>
      <c r="B640" s="228"/>
      <c r="C640" s="228"/>
      <c r="D640" s="228"/>
      <c r="E640" s="228"/>
      <c r="F640" s="228"/>
      <c r="G640" s="228"/>
      <c r="H640" s="228"/>
      <c r="I640" s="228"/>
      <c r="J640" s="228"/>
      <c r="K640" s="228"/>
      <c r="L640" s="228"/>
      <c r="M640" s="228"/>
      <c r="N640" s="228"/>
      <c r="O640" s="228"/>
      <c r="P640" s="228"/>
      <c r="Q640" s="228"/>
      <c r="R640" s="228"/>
      <c r="S640" s="228"/>
      <c r="T640" s="228"/>
      <c r="U640" s="228"/>
      <c r="V640" s="228"/>
      <c r="W640" s="228"/>
      <c r="X640" s="228"/>
      <c r="Y640" s="228"/>
      <c r="Z640" s="228"/>
      <c r="AA640" s="228"/>
      <c r="AB640" s="228"/>
      <c r="AC640" s="228"/>
      <c r="AD640" s="228"/>
      <c r="AE640" s="228"/>
      <c r="AF640" s="228"/>
      <c r="AG640" s="228"/>
      <c r="AH640" s="228"/>
      <c r="AI640" s="228"/>
      <c r="AJ640" s="228"/>
      <c r="AK640" s="228"/>
      <c r="AL640" s="228"/>
      <c r="AM640" s="228"/>
      <c r="AN640" s="228"/>
      <c r="AO640" s="228"/>
      <c r="AP640" s="40"/>
      <c r="AQ640" s="40"/>
      <c r="AR640" s="40"/>
      <c r="AS640" s="40"/>
      <c r="AT640" s="40"/>
      <c r="AU640" s="40"/>
      <c r="AV640" s="40"/>
      <c r="AW640" s="40"/>
      <c r="AX640" s="40"/>
      <c r="AY640" s="40"/>
      <c r="AZ640" s="40"/>
      <c r="BA640" s="40"/>
      <c r="BB640" s="40"/>
      <c r="BC640" s="40"/>
      <c r="BD640" s="40"/>
      <c r="BE640" s="40"/>
      <c r="BF640" s="40"/>
      <c r="BG640" s="40"/>
      <c r="BH640" s="40"/>
      <c r="BI640" s="40"/>
    </row>
    <row r="641" ht="15.75" customHeight="1">
      <c r="A641" s="33"/>
      <c r="B641" s="228"/>
      <c r="C641" s="228"/>
      <c r="D641" s="228"/>
      <c r="E641" s="228"/>
      <c r="F641" s="228"/>
      <c r="G641" s="228"/>
      <c r="H641" s="228"/>
      <c r="I641" s="228"/>
      <c r="J641" s="228"/>
      <c r="K641" s="228"/>
      <c r="L641" s="228"/>
      <c r="M641" s="228"/>
      <c r="N641" s="228"/>
      <c r="O641" s="228"/>
      <c r="P641" s="228"/>
      <c r="Q641" s="228"/>
      <c r="R641" s="228"/>
      <c r="S641" s="228"/>
      <c r="T641" s="228"/>
      <c r="U641" s="228"/>
      <c r="V641" s="228"/>
      <c r="W641" s="228"/>
      <c r="X641" s="228"/>
      <c r="Y641" s="228"/>
      <c r="Z641" s="228"/>
      <c r="AA641" s="228"/>
      <c r="AB641" s="228"/>
      <c r="AC641" s="228"/>
      <c r="AD641" s="228"/>
      <c r="AE641" s="228"/>
      <c r="AF641" s="228"/>
      <c r="AG641" s="228"/>
      <c r="AH641" s="228"/>
      <c r="AI641" s="228"/>
      <c r="AJ641" s="228"/>
      <c r="AK641" s="228"/>
      <c r="AL641" s="228"/>
      <c r="AM641" s="228"/>
      <c r="AN641" s="228"/>
      <c r="AO641" s="228"/>
      <c r="AP641" s="40"/>
      <c r="AQ641" s="40"/>
      <c r="AR641" s="40"/>
      <c r="AS641" s="40"/>
      <c r="AT641" s="40"/>
      <c r="AU641" s="40"/>
      <c r="AV641" s="40"/>
      <c r="AW641" s="40"/>
      <c r="AX641" s="40"/>
      <c r="AY641" s="40"/>
      <c r="AZ641" s="40"/>
      <c r="BA641" s="40"/>
      <c r="BB641" s="40"/>
      <c r="BC641" s="40"/>
      <c r="BD641" s="40"/>
      <c r="BE641" s="40"/>
      <c r="BF641" s="40"/>
      <c r="BG641" s="40"/>
      <c r="BH641" s="40"/>
      <c r="BI641" s="40"/>
    </row>
    <row r="642" ht="15.75" customHeight="1">
      <c r="A642" s="33"/>
      <c r="B642" s="228"/>
      <c r="C642" s="228"/>
      <c r="D642" s="228"/>
      <c r="E642" s="228"/>
      <c r="F642" s="228"/>
      <c r="G642" s="228"/>
      <c r="H642" s="228"/>
      <c r="I642" s="228"/>
      <c r="J642" s="228"/>
      <c r="K642" s="228"/>
      <c r="L642" s="228"/>
      <c r="M642" s="228"/>
      <c r="N642" s="228"/>
      <c r="O642" s="228"/>
      <c r="P642" s="228"/>
      <c r="Q642" s="228"/>
      <c r="R642" s="228"/>
      <c r="S642" s="228"/>
      <c r="T642" s="228"/>
      <c r="U642" s="228"/>
      <c r="V642" s="228"/>
      <c r="W642" s="228"/>
      <c r="X642" s="228"/>
      <c r="Y642" s="228"/>
      <c r="Z642" s="228"/>
      <c r="AA642" s="228"/>
      <c r="AB642" s="228"/>
      <c r="AC642" s="228"/>
      <c r="AD642" s="228"/>
      <c r="AE642" s="228"/>
      <c r="AF642" s="228"/>
      <c r="AG642" s="228"/>
      <c r="AH642" s="228"/>
      <c r="AI642" s="228"/>
      <c r="AJ642" s="228"/>
      <c r="AK642" s="228"/>
      <c r="AL642" s="228"/>
      <c r="AM642" s="228"/>
      <c r="AN642" s="228"/>
      <c r="AO642" s="228"/>
      <c r="AP642" s="40"/>
      <c r="AQ642" s="40"/>
      <c r="AR642" s="40"/>
      <c r="AS642" s="40"/>
      <c r="AT642" s="40"/>
      <c r="AU642" s="40"/>
      <c r="AV642" s="40"/>
      <c r="AW642" s="40"/>
      <c r="AX642" s="40"/>
      <c r="AY642" s="40"/>
      <c r="AZ642" s="40"/>
      <c r="BA642" s="40"/>
      <c r="BB642" s="40"/>
      <c r="BC642" s="40"/>
      <c r="BD642" s="40"/>
      <c r="BE642" s="40"/>
      <c r="BF642" s="40"/>
      <c r="BG642" s="40"/>
      <c r="BH642" s="40"/>
      <c r="BI642" s="40"/>
    </row>
    <row r="643" ht="15.75" customHeight="1">
      <c r="A643" s="33"/>
      <c r="B643" s="228"/>
      <c r="C643" s="228"/>
      <c r="D643" s="228"/>
      <c r="E643" s="228"/>
      <c r="F643" s="228"/>
      <c r="G643" s="228"/>
      <c r="H643" s="228"/>
      <c r="I643" s="228"/>
      <c r="J643" s="228"/>
      <c r="K643" s="228"/>
      <c r="L643" s="228"/>
      <c r="M643" s="228"/>
      <c r="N643" s="228"/>
      <c r="O643" s="228"/>
      <c r="P643" s="228"/>
      <c r="Q643" s="228"/>
      <c r="R643" s="228"/>
      <c r="S643" s="228"/>
      <c r="T643" s="228"/>
      <c r="U643" s="228"/>
      <c r="V643" s="228"/>
      <c r="W643" s="228"/>
      <c r="X643" s="228"/>
      <c r="Y643" s="228"/>
      <c r="Z643" s="228"/>
      <c r="AA643" s="228"/>
      <c r="AB643" s="228"/>
      <c r="AC643" s="228"/>
      <c r="AD643" s="228"/>
      <c r="AE643" s="228"/>
      <c r="AF643" s="228"/>
      <c r="AG643" s="228"/>
      <c r="AH643" s="228"/>
      <c r="AI643" s="228"/>
      <c r="AJ643" s="228"/>
      <c r="AK643" s="228"/>
      <c r="AL643" s="228"/>
      <c r="AM643" s="228"/>
      <c r="AN643" s="228"/>
      <c r="AO643" s="228"/>
      <c r="AP643" s="40"/>
      <c r="AQ643" s="40"/>
      <c r="AR643" s="40"/>
      <c r="AS643" s="40"/>
      <c r="AT643" s="40"/>
      <c r="AU643" s="40"/>
      <c r="AV643" s="40"/>
      <c r="AW643" s="40"/>
      <c r="AX643" s="40"/>
      <c r="AY643" s="40"/>
      <c r="AZ643" s="40"/>
      <c r="BA643" s="40"/>
      <c r="BB643" s="40"/>
      <c r="BC643" s="40"/>
      <c r="BD643" s="40"/>
      <c r="BE643" s="40"/>
      <c r="BF643" s="40"/>
      <c r="BG643" s="40"/>
      <c r="BH643" s="40"/>
      <c r="BI643" s="40"/>
    </row>
    <row r="644" ht="15.75" customHeight="1">
      <c r="A644" s="33"/>
      <c r="B644" s="228"/>
      <c r="C644" s="228"/>
      <c r="D644" s="228"/>
      <c r="E644" s="228"/>
      <c r="F644" s="228"/>
      <c r="G644" s="228"/>
      <c r="H644" s="228"/>
      <c r="I644" s="228"/>
      <c r="J644" s="228"/>
      <c r="K644" s="228"/>
      <c r="L644" s="228"/>
      <c r="M644" s="228"/>
      <c r="N644" s="228"/>
      <c r="O644" s="228"/>
      <c r="P644" s="228"/>
      <c r="Q644" s="228"/>
      <c r="R644" s="228"/>
      <c r="S644" s="228"/>
      <c r="T644" s="228"/>
      <c r="U644" s="228"/>
      <c r="V644" s="228"/>
      <c r="W644" s="228"/>
      <c r="X644" s="228"/>
      <c r="Y644" s="228"/>
      <c r="Z644" s="228"/>
      <c r="AA644" s="228"/>
      <c r="AB644" s="228"/>
      <c r="AC644" s="228"/>
      <c r="AD644" s="228"/>
      <c r="AE644" s="228"/>
      <c r="AF644" s="228"/>
      <c r="AG644" s="228"/>
      <c r="AH644" s="228"/>
      <c r="AI644" s="228"/>
      <c r="AJ644" s="228"/>
      <c r="AK644" s="228"/>
      <c r="AL644" s="228"/>
      <c r="AM644" s="228"/>
      <c r="AN644" s="228"/>
      <c r="AO644" s="228"/>
      <c r="AP644" s="40"/>
      <c r="AQ644" s="40"/>
      <c r="AR644" s="40"/>
      <c r="AS644" s="40"/>
      <c r="AT644" s="40"/>
      <c r="AU644" s="40"/>
      <c r="AV644" s="40"/>
      <c r="AW644" s="40"/>
      <c r="AX644" s="40"/>
      <c r="AY644" s="40"/>
      <c r="AZ644" s="40"/>
      <c r="BA644" s="40"/>
      <c r="BB644" s="40"/>
      <c r="BC644" s="40"/>
      <c r="BD644" s="40"/>
      <c r="BE644" s="40"/>
      <c r="BF644" s="40"/>
      <c r="BG644" s="40"/>
      <c r="BH644" s="40"/>
      <c r="BI644" s="40"/>
    </row>
    <row r="645" ht="15.75" customHeight="1">
      <c r="A645" s="33"/>
      <c r="B645" s="228"/>
      <c r="C645" s="228"/>
      <c r="D645" s="228"/>
      <c r="E645" s="228"/>
      <c r="F645" s="228"/>
      <c r="G645" s="228"/>
      <c r="H645" s="228"/>
      <c r="I645" s="228"/>
      <c r="J645" s="228"/>
      <c r="K645" s="228"/>
      <c r="L645" s="228"/>
      <c r="M645" s="228"/>
      <c r="N645" s="228"/>
      <c r="O645" s="228"/>
      <c r="P645" s="228"/>
      <c r="Q645" s="228"/>
      <c r="R645" s="228"/>
      <c r="S645" s="228"/>
      <c r="T645" s="228"/>
      <c r="U645" s="228"/>
      <c r="V645" s="228"/>
      <c r="W645" s="228"/>
      <c r="X645" s="228"/>
      <c r="Y645" s="228"/>
      <c r="Z645" s="228"/>
      <c r="AA645" s="228"/>
      <c r="AB645" s="228"/>
      <c r="AC645" s="228"/>
      <c r="AD645" s="228"/>
      <c r="AE645" s="228"/>
      <c r="AF645" s="228"/>
      <c r="AG645" s="228"/>
      <c r="AH645" s="228"/>
      <c r="AI645" s="228"/>
      <c r="AJ645" s="228"/>
      <c r="AK645" s="228"/>
      <c r="AL645" s="228"/>
      <c r="AM645" s="228"/>
      <c r="AN645" s="228"/>
      <c r="AO645" s="228"/>
      <c r="AP645" s="40"/>
      <c r="AQ645" s="40"/>
      <c r="AR645" s="40"/>
      <c r="AS645" s="40"/>
      <c r="AT645" s="40"/>
      <c r="AU645" s="40"/>
      <c r="AV645" s="40"/>
      <c r="AW645" s="40"/>
      <c r="AX645" s="40"/>
      <c r="AY645" s="40"/>
      <c r="AZ645" s="40"/>
      <c r="BA645" s="40"/>
      <c r="BB645" s="40"/>
      <c r="BC645" s="40"/>
      <c r="BD645" s="40"/>
      <c r="BE645" s="40"/>
      <c r="BF645" s="40"/>
      <c r="BG645" s="40"/>
      <c r="BH645" s="40"/>
      <c r="BI645" s="40"/>
    </row>
    <row r="646" ht="15.75" customHeight="1">
      <c r="A646" s="33"/>
      <c r="B646" s="228"/>
      <c r="C646" s="228"/>
      <c r="D646" s="228"/>
      <c r="E646" s="228"/>
      <c r="F646" s="228"/>
      <c r="G646" s="228"/>
      <c r="H646" s="228"/>
      <c r="I646" s="228"/>
      <c r="J646" s="228"/>
      <c r="K646" s="228"/>
      <c r="L646" s="228"/>
      <c r="M646" s="228"/>
      <c r="N646" s="228"/>
      <c r="O646" s="228"/>
      <c r="P646" s="228"/>
      <c r="Q646" s="228"/>
      <c r="R646" s="228"/>
      <c r="S646" s="228"/>
      <c r="T646" s="228"/>
      <c r="U646" s="228"/>
      <c r="V646" s="228"/>
      <c r="W646" s="228"/>
      <c r="X646" s="228"/>
      <c r="Y646" s="228"/>
      <c r="Z646" s="228"/>
      <c r="AA646" s="228"/>
      <c r="AB646" s="228"/>
      <c r="AC646" s="228"/>
      <c r="AD646" s="228"/>
      <c r="AE646" s="228"/>
      <c r="AF646" s="228"/>
      <c r="AG646" s="228"/>
      <c r="AH646" s="228"/>
      <c r="AI646" s="228"/>
      <c r="AJ646" s="228"/>
      <c r="AK646" s="228"/>
      <c r="AL646" s="228"/>
      <c r="AM646" s="228"/>
      <c r="AN646" s="228"/>
      <c r="AO646" s="228"/>
      <c r="AP646" s="40"/>
      <c r="AQ646" s="40"/>
      <c r="AR646" s="40"/>
      <c r="AS646" s="40"/>
      <c r="AT646" s="40"/>
      <c r="AU646" s="40"/>
      <c r="AV646" s="40"/>
      <c r="AW646" s="40"/>
      <c r="AX646" s="40"/>
      <c r="AY646" s="40"/>
      <c r="AZ646" s="40"/>
      <c r="BA646" s="40"/>
      <c r="BB646" s="40"/>
      <c r="BC646" s="40"/>
      <c r="BD646" s="40"/>
      <c r="BE646" s="40"/>
      <c r="BF646" s="40"/>
      <c r="BG646" s="40"/>
      <c r="BH646" s="40"/>
      <c r="BI646" s="40"/>
    </row>
    <row r="647" ht="15.75" customHeight="1">
      <c r="A647" s="33"/>
      <c r="B647" s="228"/>
      <c r="C647" s="228"/>
      <c r="D647" s="228"/>
      <c r="E647" s="228"/>
      <c r="F647" s="228"/>
      <c r="G647" s="228"/>
      <c r="H647" s="228"/>
      <c r="I647" s="228"/>
      <c r="J647" s="228"/>
      <c r="K647" s="228"/>
      <c r="L647" s="228"/>
      <c r="M647" s="228"/>
      <c r="N647" s="228"/>
      <c r="O647" s="228"/>
      <c r="P647" s="228"/>
      <c r="Q647" s="228"/>
      <c r="R647" s="228"/>
      <c r="S647" s="228"/>
      <c r="T647" s="228"/>
      <c r="U647" s="228"/>
      <c r="V647" s="228"/>
      <c r="W647" s="228"/>
      <c r="X647" s="228"/>
      <c r="Y647" s="228"/>
      <c r="Z647" s="228"/>
      <c r="AA647" s="228"/>
      <c r="AB647" s="228"/>
      <c r="AC647" s="228"/>
      <c r="AD647" s="228"/>
      <c r="AE647" s="228"/>
      <c r="AF647" s="228"/>
      <c r="AG647" s="228"/>
      <c r="AH647" s="228"/>
      <c r="AI647" s="228"/>
      <c r="AJ647" s="228"/>
      <c r="AK647" s="228"/>
      <c r="AL647" s="228"/>
      <c r="AM647" s="228"/>
      <c r="AN647" s="228"/>
      <c r="AO647" s="228"/>
      <c r="AP647" s="40"/>
      <c r="AQ647" s="40"/>
      <c r="AR647" s="40"/>
      <c r="AS647" s="40"/>
      <c r="AT647" s="40"/>
      <c r="AU647" s="40"/>
      <c r="AV647" s="40"/>
      <c r="AW647" s="40"/>
      <c r="AX647" s="40"/>
      <c r="AY647" s="40"/>
      <c r="AZ647" s="40"/>
      <c r="BA647" s="40"/>
      <c r="BB647" s="40"/>
      <c r="BC647" s="40"/>
      <c r="BD647" s="40"/>
      <c r="BE647" s="40"/>
      <c r="BF647" s="40"/>
      <c r="BG647" s="40"/>
      <c r="BH647" s="40"/>
      <c r="BI647" s="40"/>
    </row>
    <row r="648" ht="15.75" customHeight="1">
      <c r="A648" s="33"/>
      <c r="B648" s="228"/>
      <c r="C648" s="228"/>
      <c r="D648" s="228"/>
      <c r="E648" s="228"/>
      <c r="F648" s="228"/>
      <c r="G648" s="228"/>
      <c r="H648" s="228"/>
      <c r="I648" s="228"/>
      <c r="J648" s="228"/>
      <c r="K648" s="228"/>
      <c r="L648" s="228"/>
      <c r="M648" s="228"/>
      <c r="N648" s="228"/>
      <c r="O648" s="228"/>
      <c r="P648" s="228"/>
      <c r="Q648" s="228"/>
      <c r="R648" s="228"/>
      <c r="S648" s="228"/>
      <c r="T648" s="228"/>
      <c r="U648" s="228"/>
      <c r="V648" s="228"/>
      <c r="W648" s="228"/>
      <c r="X648" s="228"/>
      <c r="Y648" s="228"/>
      <c r="Z648" s="228"/>
      <c r="AA648" s="228"/>
      <c r="AB648" s="228"/>
      <c r="AC648" s="228"/>
      <c r="AD648" s="228"/>
      <c r="AE648" s="228"/>
      <c r="AF648" s="228"/>
      <c r="AG648" s="228"/>
      <c r="AH648" s="228"/>
      <c r="AI648" s="228"/>
      <c r="AJ648" s="228"/>
      <c r="AK648" s="228"/>
      <c r="AL648" s="228"/>
      <c r="AM648" s="228"/>
      <c r="AN648" s="228"/>
      <c r="AO648" s="228"/>
      <c r="AP648" s="40"/>
      <c r="AQ648" s="40"/>
      <c r="AR648" s="40"/>
      <c r="AS648" s="40"/>
      <c r="AT648" s="40"/>
      <c r="AU648" s="40"/>
      <c r="AV648" s="40"/>
      <c r="AW648" s="40"/>
      <c r="AX648" s="40"/>
      <c r="AY648" s="40"/>
      <c r="AZ648" s="40"/>
      <c r="BA648" s="40"/>
      <c r="BB648" s="40"/>
      <c r="BC648" s="40"/>
      <c r="BD648" s="40"/>
      <c r="BE648" s="40"/>
      <c r="BF648" s="40"/>
      <c r="BG648" s="40"/>
      <c r="BH648" s="40"/>
      <c r="BI648" s="40"/>
    </row>
    <row r="649" ht="15.75" customHeight="1">
      <c r="A649" s="33"/>
      <c r="B649" s="239"/>
      <c r="C649" s="228"/>
      <c r="D649" s="228"/>
      <c r="E649" s="228"/>
      <c r="F649" s="228"/>
      <c r="G649" s="228"/>
      <c r="H649" s="228"/>
      <c r="I649" s="228"/>
      <c r="J649" s="228"/>
      <c r="K649" s="228"/>
      <c r="L649" s="228"/>
      <c r="M649" s="228"/>
      <c r="N649" s="228"/>
      <c r="O649" s="228"/>
      <c r="P649" s="228"/>
      <c r="Q649" s="228"/>
      <c r="R649" s="228"/>
      <c r="S649" s="228"/>
      <c r="T649" s="228"/>
      <c r="U649" s="228"/>
      <c r="V649" s="228"/>
      <c r="W649" s="228"/>
      <c r="X649" s="228"/>
      <c r="Y649" s="228"/>
      <c r="Z649" s="228"/>
      <c r="AA649" s="228"/>
      <c r="AB649" s="228"/>
      <c r="AC649" s="228"/>
      <c r="AD649" s="228"/>
      <c r="AE649" s="228"/>
      <c r="AF649" s="228"/>
      <c r="AG649" s="228"/>
      <c r="AH649" s="228"/>
      <c r="AI649" s="228"/>
      <c r="AJ649" s="228"/>
      <c r="AK649" s="228"/>
      <c r="AL649" s="228"/>
      <c r="AM649" s="228"/>
      <c r="AN649" s="228"/>
      <c r="AO649" s="228"/>
      <c r="AP649" s="40"/>
      <c r="AQ649" s="40"/>
      <c r="AR649" s="40"/>
      <c r="AS649" s="40"/>
      <c r="AT649" s="40"/>
      <c r="AU649" s="40"/>
      <c r="AV649" s="40"/>
      <c r="AW649" s="40"/>
      <c r="AX649" s="40"/>
      <c r="AY649" s="40"/>
      <c r="AZ649" s="40"/>
      <c r="BA649" s="40"/>
      <c r="BB649" s="40"/>
      <c r="BC649" s="40"/>
      <c r="BD649" s="40"/>
      <c r="BE649" s="40"/>
      <c r="BF649" s="40"/>
      <c r="BG649" s="40"/>
      <c r="BH649" s="40"/>
      <c r="BI649" s="40"/>
    </row>
    <row r="650" ht="15.75" customHeight="1">
      <c r="A650" s="33"/>
      <c r="B650" s="230"/>
      <c r="C650" s="233"/>
      <c r="D650" s="233"/>
      <c r="E650" s="233"/>
      <c r="F650" s="233"/>
      <c r="G650" s="233"/>
      <c r="H650" s="233"/>
      <c r="I650" s="233"/>
      <c r="J650" s="233"/>
      <c r="K650" s="233"/>
      <c r="L650" s="233"/>
      <c r="M650" s="233"/>
      <c r="N650" s="233"/>
      <c r="O650" s="233"/>
      <c r="P650" s="233"/>
      <c r="Q650" s="233"/>
      <c r="R650" s="233"/>
      <c r="S650" s="233"/>
      <c r="T650" s="233"/>
      <c r="U650" s="233"/>
      <c r="V650" s="233"/>
      <c r="W650" s="233"/>
      <c r="X650" s="233"/>
      <c r="Y650" s="233"/>
      <c r="Z650" s="233"/>
      <c r="AA650" s="233"/>
      <c r="AB650" s="233"/>
      <c r="AC650" s="233"/>
      <c r="AD650" s="233"/>
      <c r="AE650" s="233"/>
      <c r="AF650" s="233"/>
      <c r="AG650" s="233"/>
      <c r="AH650" s="233"/>
      <c r="AI650" s="233"/>
      <c r="AJ650" s="233"/>
      <c r="AK650" s="233"/>
      <c r="AL650" s="233"/>
      <c r="AM650" s="233"/>
      <c r="AN650" s="233"/>
      <c r="AO650" s="233"/>
      <c r="AP650" s="40"/>
      <c r="AQ650" s="40"/>
      <c r="AR650" s="40"/>
      <c r="AS650" s="40"/>
      <c r="AT650" s="40"/>
      <c r="AU650" s="40"/>
      <c r="AV650" s="40"/>
      <c r="AW650" s="40"/>
      <c r="AX650" s="40"/>
      <c r="AY650" s="40"/>
      <c r="AZ650" s="40"/>
      <c r="BA650" s="40"/>
      <c r="BB650" s="40"/>
      <c r="BC650" s="40"/>
      <c r="BD650" s="40"/>
      <c r="BE650" s="40"/>
      <c r="BF650" s="40"/>
      <c r="BG650" s="40"/>
      <c r="BH650" s="40"/>
      <c r="BI650" s="40"/>
    </row>
    <row r="651" ht="15.75" customHeight="1">
      <c r="A651" s="33"/>
      <c r="B651" s="228"/>
      <c r="C651" s="234"/>
      <c r="D651" s="234"/>
      <c r="E651" s="240"/>
      <c r="F651" s="234"/>
      <c r="G651" s="234"/>
      <c r="H651" s="240"/>
      <c r="I651" s="234"/>
      <c r="J651" s="234"/>
      <c r="K651" s="240"/>
      <c r="L651" s="234"/>
      <c r="M651" s="234"/>
      <c r="N651" s="240"/>
      <c r="O651" s="234"/>
      <c r="P651" s="234"/>
      <c r="Q651" s="240"/>
      <c r="R651" s="234"/>
      <c r="S651" s="234"/>
      <c r="T651" s="240"/>
      <c r="U651" s="234"/>
      <c r="V651" s="234"/>
      <c r="W651" s="240"/>
      <c r="X651" s="234"/>
      <c r="Y651" s="234"/>
      <c r="Z651" s="240"/>
      <c r="AA651" s="234"/>
      <c r="AB651" s="234"/>
      <c r="AC651" s="240"/>
      <c r="AD651" s="234"/>
      <c r="AE651" s="234"/>
      <c r="AF651" s="240"/>
      <c r="AG651" s="234"/>
      <c r="AH651" s="234"/>
      <c r="AI651" s="240"/>
      <c r="AJ651" s="234"/>
      <c r="AK651" s="234"/>
      <c r="AL651" s="240"/>
      <c r="AM651" s="234"/>
      <c r="AN651" s="234"/>
      <c r="AO651" s="240"/>
      <c r="AP651" s="40"/>
      <c r="AQ651" s="40"/>
      <c r="AR651" s="40"/>
      <c r="AS651" s="40"/>
      <c r="AT651" s="40"/>
      <c r="AU651" s="40"/>
      <c r="AV651" s="40"/>
      <c r="AW651" s="40"/>
      <c r="AX651" s="40"/>
      <c r="AY651" s="40"/>
      <c r="AZ651" s="40"/>
      <c r="BA651" s="40"/>
      <c r="BB651" s="40"/>
      <c r="BC651" s="40"/>
      <c r="BD651" s="40"/>
      <c r="BE651" s="40"/>
      <c r="BF651" s="40"/>
      <c r="BG651" s="40"/>
      <c r="BH651" s="40"/>
      <c r="BI651" s="40"/>
    </row>
    <row r="652" ht="15.75" customHeight="1">
      <c r="A652" s="33"/>
      <c r="B652" s="241"/>
      <c r="C652" s="233"/>
      <c r="D652" s="233"/>
      <c r="E652" s="228"/>
      <c r="F652" s="233"/>
      <c r="G652" s="233"/>
      <c r="H652" s="228"/>
      <c r="I652" s="233"/>
      <c r="J652" s="233"/>
      <c r="K652" s="228"/>
      <c r="L652" s="233"/>
      <c r="M652" s="233"/>
      <c r="N652" s="228"/>
      <c r="O652" s="233"/>
      <c r="P652" s="233"/>
      <c r="Q652" s="228"/>
      <c r="R652" s="233"/>
      <c r="S652" s="233"/>
      <c r="T652" s="228"/>
      <c r="U652" s="233"/>
      <c r="V652" s="233"/>
      <c r="W652" s="228"/>
      <c r="X652" s="233"/>
      <c r="Y652" s="233"/>
      <c r="Z652" s="228"/>
      <c r="AA652" s="233"/>
      <c r="AB652" s="233"/>
      <c r="AC652" s="228"/>
      <c r="AD652" s="233"/>
      <c r="AE652" s="233"/>
      <c r="AF652" s="228"/>
      <c r="AG652" s="233"/>
      <c r="AH652" s="233"/>
      <c r="AI652" s="228"/>
      <c r="AJ652" s="233"/>
      <c r="AK652" s="233"/>
      <c r="AL652" s="228"/>
      <c r="AM652" s="233"/>
      <c r="AN652" s="233"/>
      <c r="AO652" s="228"/>
      <c r="AP652" s="40"/>
      <c r="AQ652" s="40"/>
      <c r="AR652" s="40"/>
      <c r="AS652" s="40"/>
      <c r="AT652" s="40"/>
      <c r="AU652" s="40"/>
      <c r="AV652" s="40"/>
      <c r="AW652" s="40"/>
      <c r="AX652" s="40"/>
      <c r="AY652" s="40"/>
      <c r="AZ652" s="40"/>
      <c r="BA652" s="40"/>
      <c r="BB652" s="40"/>
      <c r="BC652" s="40"/>
      <c r="BD652" s="40"/>
      <c r="BE652" s="40"/>
      <c r="BF652" s="40"/>
      <c r="BG652" s="40"/>
      <c r="BH652" s="40"/>
      <c r="BI652" s="40"/>
    </row>
    <row r="653" ht="15.75" customHeight="1">
      <c r="A653" s="33"/>
      <c r="B653" s="228"/>
      <c r="C653" s="236"/>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c r="AA653" s="236"/>
      <c r="AB653" s="236"/>
      <c r="AC653" s="236"/>
      <c r="AD653" s="236"/>
      <c r="AE653" s="236"/>
      <c r="AF653" s="236"/>
      <c r="AG653" s="236"/>
      <c r="AH653" s="236"/>
      <c r="AI653" s="236"/>
      <c r="AJ653" s="236"/>
      <c r="AK653" s="236"/>
      <c r="AL653" s="236"/>
      <c r="AM653" s="236"/>
      <c r="AN653" s="236"/>
      <c r="AO653" s="236"/>
      <c r="AP653" s="40"/>
      <c r="AQ653" s="40"/>
      <c r="AR653" s="40"/>
      <c r="AS653" s="40"/>
      <c r="AT653" s="40"/>
      <c r="AU653" s="40"/>
      <c r="AV653" s="40"/>
      <c r="AW653" s="40"/>
      <c r="AX653" s="40"/>
      <c r="AY653" s="40"/>
      <c r="AZ653" s="40"/>
      <c r="BA653" s="40"/>
      <c r="BB653" s="40"/>
      <c r="BC653" s="40"/>
      <c r="BD653" s="40"/>
      <c r="BE653" s="40"/>
      <c r="BF653" s="40"/>
      <c r="BG653" s="40"/>
      <c r="BH653" s="40"/>
      <c r="BI653" s="40"/>
    </row>
    <row r="654" ht="15.75" customHeight="1">
      <c r="A654" s="33"/>
      <c r="B654" s="227"/>
      <c r="C654" s="238"/>
      <c r="D654" s="238"/>
      <c r="E654" s="238"/>
      <c r="F654" s="238"/>
      <c r="G654" s="238"/>
      <c r="H654" s="238"/>
      <c r="I654" s="238"/>
      <c r="J654" s="238"/>
      <c r="K654" s="238"/>
      <c r="L654" s="238"/>
      <c r="M654" s="238"/>
      <c r="N654" s="238"/>
      <c r="O654" s="238"/>
      <c r="P654" s="238"/>
      <c r="Q654" s="238"/>
      <c r="R654" s="238"/>
      <c r="S654" s="238"/>
      <c r="T654" s="238"/>
      <c r="U654" s="238"/>
      <c r="V654" s="238"/>
      <c r="W654" s="238"/>
      <c r="X654" s="238"/>
      <c r="Y654" s="238"/>
      <c r="Z654" s="238"/>
      <c r="AA654" s="238"/>
      <c r="AB654" s="238"/>
      <c r="AC654" s="238"/>
      <c r="AD654" s="238"/>
      <c r="AE654" s="238"/>
      <c r="AF654" s="238"/>
      <c r="AG654" s="238"/>
      <c r="AH654" s="238"/>
      <c r="AI654" s="238"/>
      <c r="AJ654" s="238"/>
      <c r="AK654" s="238"/>
      <c r="AL654" s="238"/>
      <c r="AM654" s="238"/>
      <c r="AN654" s="238"/>
      <c r="AO654" s="238"/>
      <c r="AP654" s="40"/>
      <c r="AQ654" s="40"/>
      <c r="AR654" s="40"/>
      <c r="AS654" s="40"/>
      <c r="AT654" s="40"/>
      <c r="AU654" s="40"/>
      <c r="AV654" s="40"/>
      <c r="AW654" s="40"/>
      <c r="AX654" s="40"/>
      <c r="AY654" s="40"/>
      <c r="AZ654" s="40"/>
      <c r="BA654" s="40"/>
      <c r="BB654" s="40"/>
      <c r="BC654" s="40"/>
      <c r="BD654" s="40"/>
      <c r="BE654" s="40"/>
      <c r="BF654" s="40"/>
      <c r="BG654" s="40"/>
      <c r="BH654" s="40"/>
      <c r="BI654" s="40"/>
    </row>
    <row r="655" ht="15.75" customHeight="1">
      <c r="A655" s="33"/>
      <c r="B655" s="228"/>
      <c r="C655" s="236"/>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c r="AA655" s="236"/>
      <c r="AB655" s="236"/>
      <c r="AC655" s="236"/>
      <c r="AD655" s="236"/>
      <c r="AE655" s="236"/>
      <c r="AF655" s="236"/>
      <c r="AG655" s="236"/>
      <c r="AH655" s="236"/>
      <c r="AI655" s="236"/>
      <c r="AJ655" s="236"/>
      <c r="AK655" s="236"/>
      <c r="AL655" s="236"/>
      <c r="AM655" s="236"/>
      <c r="AN655" s="236"/>
      <c r="AO655" s="236"/>
      <c r="AP655" s="40"/>
      <c r="AQ655" s="40"/>
      <c r="AR655" s="40"/>
      <c r="AS655" s="40"/>
      <c r="AT655" s="40"/>
      <c r="AU655" s="40"/>
      <c r="AV655" s="40"/>
      <c r="AW655" s="40"/>
      <c r="AX655" s="40"/>
      <c r="AY655" s="40"/>
      <c r="AZ655" s="40"/>
      <c r="BA655" s="40"/>
      <c r="BB655" s="40"/>
      <c r="BC655" s="40"/>
      <c r="BD655" s="40"/>
      <c r="BE655" s="40"/>
      <c r="BF655" s="40"/>
      <c r="BG655" s="40"/>
      <c r="BH655" s="40"/>
      <c r="BI655" s="40"/>
    </row>
    <row r="656" ht="15.75" customHeight="1">
      <c r="A656" s="33"/>
      <c r="B656" s="228"/>
      <c r="C656" s="228"/>
      <c r="D656" s="236"/>
      <c r="E656" s="236"/>
      <c r="F656" s="228"/>
      <c r="G656" s="236"/>
      <c r="H656" s="236"/>
      <c r="I656" s="228"/>
      <c r="J656" s="236"/>
      <c r="K656" s="236"/>
      <c r="L656" s="228"/>
      <c r="M656" s="236"/>
      <c r="N656" s="236"/>
      <c r="O656" s="228"/>
      <c r="P656" s="236"/>
      <c r="Q656" s="236"/>
      <c r="R656" s="228"/>
      <c r="S656" s="236"/>
      <c r="T656" s="236"/>
      <c r="U656" s="228"/>
      <c r="V656" s="236"/>
      <c r="W656" s="236"/>
      <c r="X656" s="228"/>
      <c r="Y656" s="236"/>
      <c r="Z656" s="236"/>
      <c r="AA656" s="228"/>
      <c r="AB656" s="236"/>
      <c r="AC656" s="236"/>
      <c r="AD656" s="228"/>
      <c r="AE656" s="236"/>
      <c r="AF656" s="236"/>
      <c r="AG656" s="228"/>
      <c r="AH656" s="236"/>
      <c r="AI656" s="236"/>
      <c r="AJ656" s="228"/>
      <c r="AK656" s="236"/>
      <c r="AL656" s="236"/>
      <c r="AM656" s="228"/>
      <c r="AN656" s="236"/>
      <c r="AO656" s="236"/>
      <c r="AP656" s="40"/>
      <c r="AQ656" s="40"/>
      <c r="AR656" s="40"/>
      <c r="AS656" s="40"/>
      <c r="AT656" s="40"/>
      <c r="AU656" s="40"/>
      <c r="AV656" s="40"/>
      <c r="AW656" s="40"/>
      <c r="AX656" s="40"/>
      <c r="AY656" s="40"/>
      <c r="AZ656" s="40"/>
      <c r="BA656" s="40"/>
      <c r="BB656" s="40"/>
      <c r="BC656" s="40"/>
      <c r="BD656" s="40"/>
      <c r="BE656" s="40"/>
      <c r="BF656" s="40"/>
      <c r="BG656" s="40"/>
      <c r="BH656" s="40"/>
      <c r="BI656" s="40"/>
    </row>
    <row r="657" ht="15.75" customHeight="1">
      <c r="A657" s="33"/>
      <c r="B657" s="228"/>
      <c r="C657" s="228"/>
      <c r="D657" s="236"/>
      <c r="E657" s="236"/>
      <c r="F657" s="228"/>
      <c r="G657" s="236"/>
      <c r="H657" s="236"/>
      <c r="I657" s="228"/>
      <c r="J657" s="236"/>
      <c r="K657" s="236"/>
      <c r="L657" s="228"/>
      <c r="M657" s="236"/>
      <c r="N657" s="236"/>
      <c r="O657" s="228"/>
      <c r="P657" s="236"/>
      <c r="Q657" s="236"/>
      <c r="R657" s="228"/>
      <c r="S657" s="236"/>
      <c r="T657" s="236"/>
      <c r="U657" s="228"/>
      <c r="V657" s="236"/>
      <c r="W657" s="236"/>
      <c r="X657" s="228"/>
      <c r="Y657" s="236"/>
      <c r="Z657" s="236"/>
      <c r="AA657" s="228"/>
      <c r="AB657" s="236"/>
      <c r="AC657" s="236"/>
      <c r="AD657" s="228"/>
      <c r="AE657" s="236"/>
      <c r="AF657" s="236"/>
      <c r="AG657" s="228"/>
      <c r="AH657" s="236"/>
      <c r="AI657" s="236"/>
      <c r="AJ657" s="228"/>
      <c r="AK657" s="236"/>
      <c r="AL657" s="236"/>
      <c r="AM657" s="228"/>
      <c r="AN657" s="236"/>
      <c r="AO657" s="236"/>
      <c r="AP657" s="40"/>
      <c r="AQ657" s="40"/>
      <c r="AR657" s="40"/>
      <c r="AS657" s="40"/>
      <c r="AT657" s="40"/>
      <c r="AU657" s="40"/>
      <c r="AV657" s="40"/>
      <c r="AW657" s="40"/>
      <c r="AX657" s="40"/>
      <c r="AY657" s="40"/>
      <c r="AZ657" s="40"/>
      <c r="BA657" s="40"/>
      <c r="BB657" s="40"/>
      <c r="BC657" s="40"/>
      <c r="BD657" s="40"/>
      <c r="BE657" s="40"/>
      <c r="BF657" s="40"/>
      <c r="BG657" s="40"/>
      <c r="BH657" s="40"/>
      <c r="BI657" s="40"/>
    </row>
    <row r="658" ht="15.75" customHeight="1">
      <c r="A658" s="33"/>
      <c r="B658" s="228"/>
      <c r="C658" s="228"/>
      <c r="D658" s="236"/>
      <c r="E658" s="236"/>
      <c r="F658" s="228"/>
      <c r="G658" s="236"/>
      <c r="H658" s="236"/>
      <c r="I658" s="228"/>
      <c r="J658" s="236"/>
      <c r="K658" s="236"/>
      <c r="L658" s="228"/>
      <c r="M658" s="236"/>
      <c r="N658" s="236"/>
      <c r="O658" s="228"/>
      <c r="P658" s="236"/>
      <c r="Q658" s="236"/>
      <c r="R658" s="228"/>
      <c r="S658" s="236"/>
      <c r="T658" s="236"/>
      <c r="U658" s="228"/>
      <c r="V658" s="236"/>
      <c r="W658" s="236"/>
      <c r="X658" s="228"/>
      <c r="Y658" s="236"/>
      <c r="Z658" s="236"/>
      <c r="AA658" s="228"/>
      <c r="AB658" s="236"/>
      <c r="AC658" s="236"/>
      <c r="AD658" s="228"/>
      <c r="AE658" s="236"/>
      <c r="AF658" s="236"/>
      <c r="AG658" s="228"/>
      <c r="AH658" s="236"/>
      <c r="AI658" s="236"/>
      <c r="AJ658" s="228"/>
      <c r="AK658" s="236"/>
      <c r="AL658" s="236"/>
      <c r="AM658" s="228"/>
      <c r="AN658" s="236"/>
      <c r="AO658" s="236"/>
      <c r="AP658" s="40"/>
      <c r="AQ658" s="40"/>
      <c r="AR658" s="40"/>
      <c r="AS658" s="40"/>
      <c r="AT658" s="40"/>
      <c r="AU658" s="40"/>
      <c r="AV658" s="40"/>
      <c r="AW658" s="40"/>
      <c r="AX658" s="40"/>
      <c r="AY658" s="40"/>
      <c r="AZ658" s="40"/>
      <c r="BA658" s="40"/>
      <c r="BB658" s="40"/>
      <c r="BC658" s="40"/>
      <c r="BD658" s="40"/>
      <c r="BE658" s="40"/>
      <c r="BF658" s="40"/>
      <c r="BG658" s="40"/>
      <c r="BH658" s="40"/>
      <c r="BI658" s="40"/>
    </row>
    <row r="659" ht="15.75" customHeight="1">
      <c r="A659" s="33"/>
      <c r="B659" s="228"/>
      <c r="C659" s="228"/>
      <c r="D659" s="236"/>
      <c r="E659" s="236"/>
      <c r="F659" s="228"/>
      <c r="G659" s="236"/>
      <c r="H659" s="236"/>
      <c r="I659" s="228"/>
      <c r="J659" s="236"/>
      <c r="K659" s="236"/>
      <c r="L659" s="228"/>
      <c r="M659" s="236"/>
      <c r="N659" s="236"/>
      <c r="O659" s="228"/>
      <c r="P659" s="236"/>
      <c r="Q659" s="236"/>
      <c r="R659" s="228"/>
      <c r="S659" s="236"/>
      <c r="T659" s="236"/>
      <c r="U659" s="228"/>
      <c r="V659" s="236"/>
      <c r="W659" s="236"/>
      <c r="X659" s="228"/>
      <c r="Y659" s="236"/>
      <c r="Z659" s="236"/>
      <c r="AA659" s="228"/>
      <c r="AB659" s="236"/>
      <c r="AC659" s="236"/>
      <c r="AD659" s="228"/>
      <c r="AE659" s="236"/>
      <c r="AF659" s="236"/>
      <c r="AG659" s="228"/>
      <c r="AH659" s="236"/>
      <c r="AI659" s="236"/>
      <c r="AJ659" s="228"/>
      <c r="AK659" s="236"/>
      <c r="AL659" s="236"/>
      <c r="AM659" s="228"/>
      <c r="AN659" s="236"/>
      <c r="AO659" s="236"/>
      <c r="AP659" s="40"/>
      <c r="AQ659" s="40"/>
      <c r="AR659" s="40"/>
      <c r="AS659" s="40"/>
      <c r="AT659" s="40"/>
      <c r="AU659" s="40"/>
      <c r="AV659" s="40"/>
      <c r="AW659" s="40"/>
      <c r="AX659" s="40"/>
      <c r="AY659" s="40"/>
      <c r="AZ659" s="40"/>
      <c r="BA659" s="40"/>
      <c r="BB659" s="40"/>
      <c r="BC659" s="40"/>
      <c r="BD659" s="40"/>
      <c r="BE659" s="40"/>
      <c r="BF659" s="40"/>
      <c r="BG659" s="40"/>
      <c r="BH659" s="40"/>
      <c r="BI659" s="40"/>
    </row>
    <row r="660" ht="15.75" customHeight="1">
      <c r="A660" s="33"/>
      <c r="B660" s="228"/>
      <c r="C660" s="228"/>
      <c r="D660" s="236"/>
      <c r="E660" s="236"/>
      <c r="F660" s="228"/>
      <c r="G660" s="236"/>
      <c r="H660" s="236"/>
      <c r="I660" s="228"/>
      <c r="J660" s="236"/>
      <c r="K660" s="236"/>
      <c r="L660" s="228"/>
      <c r="M660" s="236"/>
      <c r="N660" s="236"/>
      <c r="O660" s="228"/>
      <c r="P660" s="236"/>
      <c r="Q660" s="236"/>
      <c r="R660" s="228"/>
      <c r="S660" s="236"/>
      <c r="T660" s="236"/>
      <c r="U660" s="228"/>
      <c r="V660" s="236"/>
      <c r="W660" s="236"/>
      <c r="X660" s="228"/>
      <c r="Y660" s="236"/>
      <c r="Z660" s="236"/>
      <c r="AA660" s="228"/>
      <c r="AB660" s="236"/>
      <c r="AC660" s="236"/>
      <c r="AD660" s="228"/>
      <c r="AE660" s="236"/>
      <c r="AF660" s="236"/>
      <c r="AG660" s="228"/>
      <c r="AH660" s="236"/>
      <c r="AI660" s="236"/>
      <c r="AJ660" s="228"/>
      <c r="AK660" s="236"/>
      <c r="AL660" s="236"/>
      <c r="AM660" s="228"/>
      <c r="AN660" s="236"/>
      <c r="AO660" s="236"/>
      <c r="AP660" s="40"/>
      <c r="AQ660" s="40"/>
      <c r="AR660" s="40"/>
      <c r="AS660" s="40"/>
      <c r="AT660" s="40"/>
      <c r="AU660" s="40"/>
      <c r="AV660" s="40"/>
      <c r="AW660" s="40"/>
      <c r="AX660" s="40"/>
      <c r="AY660" s="40"/>
      <c r="AZ660" s="40"/>
      <c r="BA660" s="40"/>
      <c r="BB660" s="40"/>
      <c r="BC660" s="40"/>
      <c r="BD660" s="40"/>
      <c r="BE660" s="40"/>
      <c r="BF660" s="40"/>
      <c r="BG660" s="40"/>
      <c r="BH660" s="40"/>
      <c r="BI660" s="40"/>
    </row>
    <row r="661" ht="15.75" customHeight="1">
      <c r="A661" s="33"/>
      <c r="B661" s="228"/>
      <c r="C661" s="228"/>
      <c r="D661" s="236"/>
      <c r="E661" s="238"/>
      <c r="F661" s="228"/>
      <c r="G661" s="236"/>
      <c r="H661" s="238"/>
      <c r="I661" s="228"/>
      <c r="J661" s="236"/>
      <c r="K661" s="238"/>
      <c r="L661" s="228"/>
      <c r="M661" s="236"/>
      <c r="N661" s="238"/>
      <c r="O661" s="228"/>
      <c r="P661" s="236"/>
      <c r="Q661" s="238"/>
      <c r="R661" s="228"/>
      <c r="S661" s="236"/>
      <c r="T661" s="238"/>
      <c r="U661" s="228"/>
      <c r="V661" s="236"/>
      <c r="W661" s="238"/>
      <c r="X661" s="228"/>
      <c r="Y661" s="236"/>
      <c r="Z661" s="238"/>
      <c r="AA661" s="228"/>
      <c r="AB661" s="236"/>
      <c r="AC661" s="238"/>
      <c r="AD661" s="228"/>
      <c r="AE661" s="236"/>
      <c r="AF661" s="238"/>
      <c r="AG661" s="228"/>
      <c r="AH661" s="236"/>
      <c r="AI661" s="238"/>
      <c r="AJ661" s="228"/>
      <c r="AK661" s="236"/>
      <c r="AL661" s="238"/>
      <c r="AM661" s="228"/>
      <c r="AN661" s="236"/>
      <c r="AO661" s="238"/>
      <c r="AP661" s="40"/>
      <c r="AQ661" s="40"/>
      <c r="AR661" s="40"/>
      <c r="AS661" s="40"/>
      <c r="AT661" s="40"/>
      <c r="AU661" s="40"/>
      <c r="AV661" s="40"/>
      <c r="AW661" s="40"/>
      <c r="AX661" s="40"/>
      <c r="AY661" s="40"/>
      <c r="AZ661" s="40"/>
      <c r="BA661" s="40"/>
      <c r="BB661" s="40"/>
      <c r="BC661" s="40"/>
      <c r="BD661" s="40"/>
      <c r="BE661" s="40"/>
      <c r="BF661" s="40"/>
      <c r="BG661" s="40"/>
      <c r="BH661" s="40"/>
      <c r="BI661" s="40"/>
    </row>
    <row r="662" ht="15.75" customHeight="1">
      <c r="A662" s="33"/>
      <c r="B662" s="228"/>
      <c r="C662" s="228"/>
      <c r="D662" s="236"/>
      <c r="E662" s="236"/>
      <c r="F662" s="228"/>
      <c r="G662" s="236"/>
      <c r="H662" s="236"/>
      <c r="I662" s="228"/>
      <c r="J662" s="236"/>
      <c r="K662" s="236"/>
      <c r="L662" s="228"/>
      <c r="M662" s="236"/>
      <c r="N662" s="236"/>
      <c r="O662" s="228"/>
      <c r="P662" s="236"/>
      <c r="Q662" s="236"/>
      <c r="R662" s="228"/>
      <c r="S662" s="236"/>
      <c r="T662" s="236"/>
      <c r="U662" s="228"/>
      <c r="V662" s="236"/>
      <c r="W662" s="236"/>
      <c r="X662" s="228"/>
      <c r="Y662" s="236"/>
      <c r="Z662" s="236"/>
      <c r="AA662" s="228"/>
      <c r="AB662" s="236"/>
      <c r="AC662" s="236"/>
      <c r="AD662" s="228"/>
      <c r="AE662" s="236"/>
      <c r="AF662" s="236"/>
      <c r="AG662" s="228"/>
      <c r="AH662" s="236"/>
      <c r="AI662" s="236"/>
      <c r="AJ662" s="228"/>
      <c r="AK662" s="236"/>
      <c r="AL662" s="236"/>
      <c r="AM662" s="228"/>
      <c r="AN662" s="236"/>
      <c r="AO662" s="236"/>
      <c r="AP662" s="40"/>
      <c r="AQ662" s="40"/>
      <c r="AR662" s="40"/>
      <c r="AS662" s="40"/>
      <c r="AT662" s="40"/>
      <c r="AU662" s="40"/>
      <c r="AV662" s="40"/>
      <c r="AW662" s="40"/>
      <c r="AX662" s="40"/>
      <c r="AY662" s="40"/>
      <c r="AZ662" s="40"/>
      <c r="BA662" s="40"/>
      <c r="BB662" s="40"/>
      <c r="BC662" s="40"/>
      <c r="BD662" s="40"/>
      <c r="BE662" s="40"/>
      <c r="BF662" s="40"/>
      <c r="BG662" s="40"/>
      <c r="BH662" s="40"/>
      <c r="BI662" s="40"/>
    </row>
    <row r="663" ht="15.75" customHeight="1">
      <c r="A663" s="33"/>
      <c r="B663" s="228"/>
      <c r="C663" s="228"/>
      <c r="D663" s="228"/>
      <c r="E663" s="228"/>
      <c r="F663" s="228"/>
      <c r="G663" s="228"/>
      <c r="H663" s="228"/>
      <c r="I663" s="228"/>
      <c r="J663" s="228"/>
      <c r="K663" s="228"/>
      <c r="L663" s="228"/>
      <c r="M663" s="228"/>
      <c r="N663" s="228"/>
      <c r="O663" s="228"/>
      <c r="P663" s="228"/>
      <c r="Q663" s="228"/>
      <c r="R663" s="228"/>
      <c r="S663" s="228"/>
      <c r="T663" s="228"/>
      <c r="U663" s="228"/>
      <c r="V663" s="228"/>
      <c r="W663" s="228"/>
      <c r="X663" s="228"/>
      <c r="Y663" s="228"/>
      <c r="Z663" s="228"/>
      <c r="AA663" s="228"/>
      <c r="AB663" s="228"/>
      <c r="AC663" s="228"/>
      <c r="AD663" s="228"/>
      <c r="AE663" s="228"/>
      <c r="AF663" s="228"/>
      <c r="AG663" s="228"/>
      <c r="AH663" s="228"/>
      <c r="AI663" s="228"/>
      <c r="AJ663" s="228"/>
      <c r="AK663" s="228"/>
      <c r="AL663" s="228"/>
      <c r="AM663" s="228"/>
      <c r="AN663" s="228"/>
      <c r="AO663" s="228"/>
      <c r="AP663" s="40"/>
      <c r="AQ663" s="40"/>
      <c r="AR663" s="40"/>
      <c r="AS663" s="40"/>
      <c r="AT663" s="40"/>
      <c r="AU663" s="40"/>
      <c r="AV663" s="40"/>
      <c r="AW663" s="40"/>
      <c r="AX663" s="40"/>
      <c r="AY663" s="40"/>
      <c r="AZ663" s="40"/>
      <c r="BA663" s="40"/>
      <c r="BB663" s="40"/>
      <c r="BC663" s="40"/>
      <c r="BD663" s="40"/>
      <c r="BE663" s="40"/>
      <c r="BF663" s="40"/>
      <c r="BG663" s="40"/>
      <c r="BH663" s="40"/>
      <c r="BI663" s="40"/>
    </row>
    <row r="664" ht="15.75" customHeight="1">
      <c r="A664" s="33"/>
      <c r="B664" s="228"/>
      <c r="C664" s="228"/>
      <c r="D664" s="238"/>
      <c r="E664" s="238"/>
      <c r="F664" s="228"/>
      <c r="G664" s="238"/>
      <c r="H664" s="238"/>
      <c r="I664" s="228"/>
      <c r="J664" s="238"/>
      <c r="K664" s="238"/>
      <c r="L664" s="228"/>
      <c r="M664" s="238"/>
      <c r="N664" s="238"/>
      <c r="O664" s="228"/>
      <c r="P664" s="238"/>
      <c r="Q664" s="238"/>
      <c r="R664" s="228"/>
      <c r="S664" s="238"/>
      <c r="T664" s="238"/>
      <c r="U664" s="228"/>
      <c r="V664" s="238"/>
      <c r="W664" s="238"/>
      <c r="X664" s="228"/>
      <c r="Y664" s="238"/>
      <c r="Z664" s="238"/>
      <c r="AA664" s="228"/>
      <c r="AB664" s="238"/>
      <c r="AC664" s="238"/>
      <c r="AD664" s="228"/>
      <c r="AE664" s="238"/>
      <c r="AF664" s="238"/>
      <c r="AG664" s="228"/>
      <c r="AH664" s="238"/>
      <c r="AI664" s="238"/>
      <c r="AJ664" s="228"/>
      <c r="AK664" s="238"/>
      <c r="AL664" s="238"/>
      <c r="AM664" s="228"/>
      <c r="AN664" s="238"/>
      <c r="AO664" s="238"/>
      <c r="AP664" s="40"/>
      <c r="AQ664" s="40"/>
      <c r="AR664" s="40"/>
      <c r="AS664" s="40"/>
      <c r="AT664" s="40"/>
      <c r="AU664" s="40"/>
      <c r="AV664" s="40"/>
      <c r="AW664" s="40"/>
      <c r="AX664" s="40"/>
      <c r="AY664" s="40"/>
      <c r="AZ664" s="40"/>
      <c r="BA664" s="40"/>
      <c r="BB664" s="40"/>
      <c r="BC664" s="40"/>
      <c r="BD664" s="40"/>
      <c r="BE664" s="40"/>
      <c r="BF664" s="40"/>
      <c r="BG664" s="40"/>
      <c r="BH664" s="40"/>
      <c r="BI664" s="40"/>
    </row>
    <row r="665" ht="15.75" customHeight="1">
      <c r="A665" s="33"/>
      <c r="B665" s="228"/>
      <c r="C665" s="228"/>
      <c r="D665" s="236"/>
      <c r="E665" s="236"/>
      <c r="F665" s="228"/>
      <c r="G665" s="236"/>
      <c r="H665" s="236"/>
      <c r="I665" s="228"/>
      <c r="J665" s="236"/>
      <c r="K665" s="236"/>
      <c r="L665" s="228"/>
      <c r="M665" s="236"/>
      <c r="N665" s="236"/>
      <c r="O665" s="228"/>
      <c r="P665" s="236"/>
      <c r="Q665" s="236"/>
      <c r="R665" s="228"/>
      <c r="S665" s="236"/>
      <c r="T665" s="236"/>
      <c r="U665" s="228"/>
      <c r="V665" s="236"/>
      <c r="W665" s="236"/>
      <c r="X665" s="228"/>
      <c r="Y665" s="236"/>
      <c r="Z665" s="236"/>
      <c r="AA665" s="228"/>
      <c r="AB665" s="236"/>
      <c r="AC665" s="236"/>
      <c r="AD665" s="228"/>
      <c r="AE665" s="236"/>
      <c r="AF665" s="236"/>
      <c r="AG665" s="228"/>
      <c r="AH665" s="236"/>
      <c r="AI665" s="236"/>
      <c r="AJ665" s="228"/>
      <c r="AK665" s="236"/>
      <c r="AL665" s="236"/>
      <c r="AM665" s="228"/>
      <c r="AN665" s="236"/>
      <c r="AO665" s="236"/>
      <c r="AP665" s="40"/>
      <c r="AQ665" s="40"/>
      <c r="AR665" s="40"/>
      <c r="AS665" s="40"/>
      <c r="AT665" s="40"/>
      <c r="AU665" s="40"/>
      <c r="AV665" s="40"/>
      <c r="AW665" s="40"/>
      <c r="AX665" s="40"/>
      <c r="AY665" s="40"/>
      <c r="AZ665" s="40"/>
      <c r="BA665" s="40"/>
      <c r="BB665" s="40"/>
      <c r="BC665" s="40"/>
      <c r="BD665" s="40"/>
      <c r="BE665" s="40"/>
      <c r="BF665" s="40"/>
      <c r="BG665" s="40"/>
      <c r="BH665" s="40"/>
      <c r="BI665" s="40"/>
    </row>
    <row r="666" ht="15.75" customHeight="1">
      <c r="A666" s="33"/>
      <c r="B666" s="228"/>
      <c r="C666" s="228"/>
      <c r="D666" s="236"/>
      <c r="E666" s="236"/>
      <c r="F666" s="228"/>
      <c r="G666" s="236"/>
      <c r="H666" s="236"/>
      <c r="I666" s="228"/>
      <c r="J666" s="236"/>
      <c r="K666" s="236"/>
      <c r="L666" s="228"/>
      <c r="M666" s="236"/>
      <c r="N666" s="236"/>
      <c r="O666" s="228"/>
      <c r="P666" s="236"/>
      <c r="Q666" s="236"/>
      <c r="R666" s="228"/>
      <c r="S666" s="236"/>
      <c r="T666" s="236"/>
      <c r="U666" s="228"/>
      <c r="V666" s="236"/>
      <c r="W666" s="236"/>
      <c r="X666" s="228"/>
      <c r="Y666" s="236"/>
      <c r="Z666" s="236"/>
      <c r="AA666" s="228"/>
      <c r="AB666" s="236"/>
      <c r="AC666" s="236"/>
      <c r="AD666" s="228"/>
      <c r="AE666" s="236"/>
      <c r="AF666" s="236"/>
      <c r="AG666" s="228"/>
      <c r="AH666" s="236"/>
      <c r="AI666" s="236"/>
      <c r="AJ666" s="228"/>
      <c r="AK666" s="236"/>
      <c r="AL666" s="236"/>
      <c r="AM666" s="228"/>
      <c r="AN666" s="236"/>
      <c r="AO666" s="236"/>
      <c r="AP666" s="40"/>
      <c r="AQ666" s="40"/>
      <c r="AR666" s="40"/>
      <c r="AS666" s="40"/>
      <c r="AT666" s="40"/>
      <c r="AU666" s="40"/>
      <c r="AV666" s="40"/>
      <c r="AW666" s="40"/>
      <c r="AX666" s="40"/>
      <c r="AY666" s="40"/>
      <c r="AZ666" s="40"/>
      <c r="BA666" s="40"/>
      <c r="BB666" s="40"/>
      <c r="BC666" s="40"/>
      <c r="BD666" s="40"/>
      <c r="BE666" s="40"/>
      <c r="BF666" s="40"/>
      <c r="BG666" s="40"/>
      <c r="BH666" s="40"/>
      <c r="BI666" s="40"/>
    </row>
    <row r="667" ht="15.75" customHeight="1">
      <c r="A667" s="33"/>
      <c r="B667" s="228"/>
      <c r="C667" s="228"/>
      <c r="D667" s="236"/>
      <c r="E667" s="236"/>
      <c r="F667" s="228"/>
      <c r="G667" s="236"/>
      <c r="H667" s="236"/>
      <c r="I667" s="228"/>
      <c r="J667" s="236"/>
      <c r="K667" s="236"/>
      <c r="L667" s="228"/>
      <c r="M667" s="236"/>
      <c r="N667" s="236"/>
      <c r="O667" s="228"/>
      <c r="P667" s="236"/>
      <c r="Q667" s="236"/>
      <c r="R667" s="228"/>
      <c r="S667" s="236"/>
      <c r="T667" s="236"/>
      <c r="U667" s="228"/>
      <c r="V667" s="236"/>
      <c r="W667" s="236"/>
      <c r="X667" s="228"/>
      <c r="Y667" s="236"/>
      <c r="Z667" s="236"/>
      <c r="AA667" s="228"/>
      <c r="AB667" s="236"/>
      <c r="AC667" s="236"/>
      <c r="AD667" s="228"/>
      <c r="AE667" s="236"/>
      <c r="AF667" s="236"/>
      <c r="AG667" s="228"/>
      <c r="AH667" s="236"/>
      <c r="AI667" s="236"/>
      <c r="AJ667" s="228"/>
      <c r="AK667" s="236"/>
      <c r="AL667" s="236"/>
      <c r="AM667" s="228"/>
      <c r="AN667" s="236"/>
      <c r="AO667" s="236"/>
      <c r="AP667" s="40"/>
      <c r="AQ667" s="40"/>
      <c r="AR667" s="40"/>
      <c r="AS667" s="40"/>
      <c r="AT667" s="40"/>
      <c r="AU667" s="40"/>
      <c r="AV667" s="40"/>
      <c r="AW667" s="40"/>
      <c r="AX667" s="40"/>
      <c r="AY667" s="40"/>
      <c r="AZ667" s="40"/>
      <c r="BA667" s="40"/>
      <c r="BB667" s="40"/>
      <c r="BC667" s="40"/>
      <c r="BD667" s="40"/>
      <c r="BE667" s="40"/>
      <c r="BF667" s="40"/>
      <c r="BG667" s="40"/>
      <c r="BH667" s="40"/>
      <c r="BI667" s="40"/>
    </row>
    <row r="668" ht="15.75" customHeight="1">
      <c r="A668" s="33"/>
      <c r="B668" s="228"/>
      <c r="C668" s="228"/>
      <c r="D668" s="236"/>
      <c r="E668" s="236"/>
      <c r="F668" s="228"/>
      <c r="G668" s="236"/>
      <c r="H668" s="236"/>
      <c r="I668" s="228"/>
      <c r="J668" s="236"/>
      <c r="K668" s="236"/>
      <c r="L668" s="228"/>
      <c r="M668" s="236"/>
      <c r="N668" s="236"/>
      <c r="O668" s="228"/>
      <c r="P668" s="236"/>
      <c r="Q668" s="236"/>
      <c r="R668" s="228"/>
      <c r="S668" s="236"/>
      <c r="T668" s="236"/>
      <c r="U668" s="228"/>
      <c r="V668" s="236"/>
      <c r="W668" s="236"/>
      <c r="X668" s="228"/>
      <c r="Y668" s="236"/>
      <c r="Z668" s="236"/>
      <c r="AA668" s="228"/>
      <c r="AB668" s="236"/>
      <c r="AC668" s="236"/>
      <c r="AD668" s="228"/>
      <c r="AE668" s="236"/>
      <c r="AF668" s="236"/>
      <c r="AG668" s="228"/>
      <c r="AH668" s="236"/>
      <c r="AI668" s="236"/>
      <c r="AJ668" s="228"/>
      <c r="AK668" s="236"/>
      <c r="AL668" s="236"/>
      <c r="AM668" s="228"/>
      <c r="AN668" s="236"/>
      <c r="AO668" s="236"/>
      <c r="AP668" s="40"/>
      <c r="AQ668" s="40"/>
      <c r="AR668" s="40"/>
      <c r="AS668" s="40"/>
      <c r="AT668" s="40"/>
      <c r="AU668" s="40"/>
      <c r="AV668" s="40"/>
      <c r="AW668" s="40"/>
      <c r="AX668" s="40"/>
      <c r="AY668" s="40"/>
      <c r="AZ668" s="40"/>
      <c r="BA668" s="40"/>
      <c r="BB668" s="40"/>
      <c r="BC668" s="40"/>
      <c r="BD668" s="40"/>
      <c r="BE668" s="40"/>
      <c r="BF668" s="40"/>
      <c r="BG668" s="40"/>
      <c r="BH668" s="40"/>
      <c r="BI668" s="40"/>
    </row>
    <row r="669" ht="15.75" customHeight="1">
      <c r="A669" s="33"/>
      <c r="B669" s="228"/>
      <c r="C669" s="228"/>
      <c r="D669" s="236"/>
      <c r="E669" s="236"/>
      <c r="F669" s="228"/>
      <c r="G669" s="236"/>
      <c r="H669" s="236"/>
      <c r="I669" s="228"/>
      <c r="J669" s="236"/>
      <c r="K669" s="236"/>
      <c r="L669" s="228"/>
      <c r="M669" s="236"/>
      <c r="N669" s="236"/>
      <c r="O669" s="228"/>
      <c r="P669" s="236"/>
      <c r="Q669" s="236"/>
      <c r="R669" s="228"/>
      <c r="S669" s="236"/>
      <c r="T669" s="236"/>
      <c r="U669" s="228"/>
      <c r="V669" s="236"/>
      <c r="W669" s="236"/>
      <c r="X669" s="228"/>
      <c r="Y669" s="236"/>
      <c r="Z669" s="236"/>
      <c r="AA669" s="228"/>
      <c r="AB669" s="236"/>
      <c r="AC669" s="236"/>
      <c r="AD669" s="228"/>
      <c r="AE669" s="236"/>
      <c r="AF669" s="236"/>
      <c r="AG669" s="228"/>
      <c r="AH669" s="236"/>
      <c r="AI669" s="236"/>
      <c r="AJ669" s="228"/>
      <c r="AK669" s="236"/>
      <c r="AL669" s="236"/>
      <c r="AM669" s="228"/>
      <c r="AN669" s="236"/>
      <c r="AO669" s="236"/>
      <c r="AP669" s="40"/>
      <c r="AQ669" s="40"/>
      <c r="AR669" s="40"/>
      <c r="AS669" s="40"/>
      <c r="AT669" s="40"/>
      <c r="AU669" s="40"/>
      <c r="AV669" s="40"/>
      <c r="AW669" s="40"/>
      <c r="AX669" s="40"/>
      <c r="AY669" s="40"/>
      <c r="AZ669" s="40"/>
      <c r="BA669" s="40"/>
      <c r="BB669" s="40"/>
      <c r="BC669" s="40"/>
      <c r="BD669" s="40"/>
      <c r="BE669" s="40"/>
      <c r="BF669" s="40"/>
      <c r="BG669" s="40"/>
      <c r="BH669" s="40"/>
      <c r="BI669" s="40"/>
    </row>
    <row r="670" ht="15.75" customHeight="1">
      <c r="A670" s="33"/>
      <c r="B670" s="228"/>
      <c r="C670" s="228"/>
      <c r="D670" s="236"/>
      <c r="E670" s="236"/>
      <c r="F670" s="228"/>
      <c r="G670" s="236"/>
      <c r="H670" s="236"/>
      <c r="I670" s="228"/>
      <c r="J670" s="236"/>
      <c r="K670" s="236"/>
      <c r="L670" s="228"/>
      <c r="M670" s="236"/>
      <c r="N670" s="236"/>
      <c r="O670" s="228"/>
      <c r="P670" s="236"/>
      <c r="Q670" s="236"/>
      <c r="R670" s="228"/>
      <c r="S670" s="236"/>
      <c r="T670" s="236"/>
      <c r="U670" s="228"/>
      <c r="V670" s="236"/>
      <c r="W670" s="236"/>
      <c r="X670" s="228"/>
      <c r="Y670" s="236"/>
      <c r="Z670" s="236"/>
      <c r="AA670" s="228"/>
      <c r="AB670" s="236"/>
      <c r="AC670" s="236"/>
      <c r="AD670" s="228"/>
      <c r="AE670" s="236"/>
      <c r="AF670" s="236"/>
      <c r="AG670" s="228"/>
      <c r="AH670" s="236"/>
      <c r="AI670" s="236"/>
      <c r="AJ670" s="228"/>
      <c r="AK670" s="236"/>
      <c r="AL670" s="236"/>
      <c r="AM670" s="228"/>
      <c r="AN670" s="236"/>
      <c r="AO670" s="236"/>
      <c r="AP670" s="40"/>
      <c r="AQ670" s="40"/>
      <c r="AR670" s="40"/>
      <c r="AS670" s="40"/>
      <c r="AT670" s="40"/>
      <c r="AU670" s="40"/>
      <c r="AV670" s="40"/>
      <c r="AW670" s="40"/>
      <c r="AX670" s="40"/>
      <c r="AY670" s="40"/>
      <c r="AZ670" s="40"/>
      <c r="BA670" s="40"/>
      <c r="BB670" s="40"/>
      <c r="BC670" s="40"/>
      <c r="BD670" s="40"/>
      <c r="BE670" s="40"/>
      <c r="BF670" s="40"/>
      <c r="BG670" s="40"/>
      <c r="BH670" s="40"/>
      <c r="BI670" s="40"/>
    </row>
    <row r="671" ht="15.75" customHeight="1">
      <c r="A671" s="33"/>
      <c r="B671" s="228"/>
      <c r="C671" s="228"/>
      <c r="D671" s="236"/>
      <c r="E671" s="236"/>
      <c r="F671" s="228"/>
      <c r="G671" s="236"/>
      <c r="H671" s="236"/>
      <c r="I671" s="228"/>
      <c r="J671" s="236"/>
      <c r="K671" s="236"/>
      <c r="L671" s="228"/>
      <c r="M671" s="236"/>
      <c r="N671" s="236"/>
      <c r="O671" s="228"/>
      <c r="P671" s="236"/>
      <c r="Q671" s="236"/>
      <c r="R671" s="228"/>
      <c r="S671" s="236"/>
      <c r="T671" s="236"/>
      <c r="U671" s="228"/>
      <c r="V671" s="236"/>
      <c r="W671" s="236"/>
      <c r="X671" s="228"/>
      <c r="Y671" s="236"/>
      <c r="Z671" s="236"/>
      <c r="AA671" s="228"/>
      <c r="AB671" s="236"/>
      <c r="AC671" s="236"/>
      <c r="AD671" s="228"/>
      <c r="AE671" s="236"/>
      <c r="AF671" s="236"/>
      <c r="AG671" s="228"/>
      <c r="AH671" s="236"/>
      <c r="AI671" s="236"/>
      <c r="AJ671" s="228"/>
      <c r="AK671" s="236"/>
      <c r="AL671" s="236"/>
      <c r="AM671" s="228"/>
      <c r="AN671" s="236"/>
      <c r="AO671" s="236"/>
      <c r="AP671" s="40"/>
      <c r="AQ671" s="40"/>
      <c r="AR671" s="40"/>
      <c r="AS671" s="40"/>
      <c r="AT671" s="40"/>
      <c r="AU671" s="40"/>
      <c r="AV671" s="40"/>
      <c r="AW671" s="40"/>
      <c r="AX671" s="40"/>
      <c r="AY671" s="40"/>
      <c r="AZ671" s="40"/>
      <c r="BA671" s="40"/>
      <c r="BB671" s="40"/>
      <c r="BC671" s="40"/>
      <c r="BD671" s="40"/>
      <c r="BE671" s="40"/>
      <c r="BF671" s="40"/>
      <c r="BG671" s="40"/>
      <c r="BH671" s="40"/>
      <c r="BI671" s="40"/>
    </row>
    <row r="672" ht="15.75" customHeight="1">
      <c r="A672" s="33"/>
      <c r="B672" s="228"/>
      <c r="C672" s="228"/>
      <c r="D672" s="236"/>
      <c r="E672" s="236"/>
      <c r="F672" s="228"/>
      <c r="G672" s="236"/>
      <c r="H672" s="236"/>
      <c r="I672" s="228"/>
      <c r="J672" s="236"/>
      <c r="K672" s="236"/>
      <c r="L672" s="228"/>
      <c r="M672" s="236"/>
      <c r="N672" s="236"/>
      <c r="O672" s="228"/>
      <c r="P672" s="236"/>
      <c r="Q672" s="236"/>
      <c r="R672" s="228"/>
      <c r="S672" s="236"/>
      <c r="T672" s="236"/>
      <c r="U672" s="228"/>
      <c r="V672" s="236"/>
      <c r="W672" s="236"/>
      <c r="X672" s="228"/>
      <c r="Y672" s="236"/>
      <c r="Z672" s="236"/>
      <c r="AA672" s="228"/>
      <c r="AB672" s="236"/>
      <c r="AC672" s="236"/>
      <c r="AD672" s="228"/>
      <c r="AE672" s="236"/>
      <c r="AF672" s="236"/>
      <c r="AG672" s="228"/>
      <c r="AH672" s="236"/>
      <c r="AI672" s="236"/>
      <c r="AJ672" s="228"/>
      <c r="AK672" s="236"/>
      <c r="AL672" s="236"/>
      <c r="AM672" s="228"/>
      <c r="AN672" s="236"/>
      <c r="AO672" s="236"/>
      <c r="AP672" s="40"/>
      <c r="AQ672" s="40"/>
      <c r="AR672" s="40"/>
      <c r="AS672" s="40"/>
      <c r="AT672" s="40"/>
      <c r="AU672" s="40"/>
      <c r="AV672" s="40"/>
      <c r="AW672" s="40"/>
      <c r="AX672" s="40"/>
      <c r="AY672" s="40"/>
      <c r="AZ672" s="40"/>
      <c r="BA672" s="40"/>
      <c r="BB672" s="40"/>
      <c r="BC672" s="40"/>
      <c r="BD672" s="40"/>
      <c r="BE672" s="40"/>
      <c r="BF672" s="40"/>
      <c r="BG672" s="40"/>
      <c r="BH672" s="40"/>
      <c r="BI672" s="40"/>
    </row>
    <row r="673" ht="15.75" customHeight="1">
      <c r="A673" s="33"/>
      <c r="B673" s="228"/>
      <c r="C673" s="228"/>
      <c r="D673" s="236"/>
      <c r="E673" s="236"/>
      <c r="F673" s="228"/>
      <c r="G673" s="236"/>
      <c r="H673" s="236"/>
      <c r="I673" s="228"/>
      <c r="J673" s="236"/>
      <c r="K673" s="236"/>
      <c r="L673" s="228"/>
      <c r="M673" s="236"/>
      <c r="N673" s="236"/>
      <c r="O673" s="228"/>
      <c r="P673" s="236"/>
      <c r="Q673" s="236"/>
      <c r="R673" s="228"/>
      <c r="S673" s="236"/>
      <c r="T673" s="236"/>
      <c r="U673" s="228"/>
      <c r="V673" s="236"/>
      <c r="W673" s="236"/>
      <c r="X673" s="228"/>
      <c r="Y673" s="236"/>
      <c r="Z673" s="236"/>
      <c r="AA673" s="228"/>
      <c r="AB673" s="236"/>
      <c r="AC673" s="236"/>
      <c r="AD673" s="228"/>
      <c r="AE673" s="236"/>
      <c r="AF673" s="236"/>
      <c r="AG673" s="228"/>
      <c r="AH673" s="236"/>
      <c r="AI673" s="236"/>
      <c r="AJ673" s="228"/>
      <c r="AK673" s="236"/>
      <c r="AL673" s="236"/>
      <c r="AM673" s="228"/>
      <c r="AN673" s="236"/>
      <c r="AO673" s="236"/>
      <c r="AP673" s="40"/>
      <c r="AQ673" s="40"/>
      <c r="AR673" s="40"/>
      <c r="AS673" s="40"/>
      <c r="AT673" s="40"/>
      <c r="AU673" s="40"/>
      <c r="AV673" s="40"/>
      <c r="AW673" s="40"/>
      <c r="AX673" s="40"/>
      <c r="AY673" s="40"/>
      <c r="AZ673" s="40"/>
      <c r="BA673" s="40"/>
      <c r="BB673" s="40"/>
      <c r="BC673" s="40"/>
      <c r="BD673" s="40"/>
      <c r="BE673" s="40"/>
      <c r="BF673" s="40"/>
      <c r="BG673" s="40"/>
      <c r="BH673" s="40"/>
      <c r="BI673" s="40"/>
    </row>
    <row r="674" ht="15.75" customHeight="1">
      <c r="A674" s="33"/>
      <c r="B674" s="228"/>
      <c r="C674" s="228"/>
      <c r="D674" s="238"/>
      <c r="E674" s="238"/>
      <c r="F674" s="228"/>
      <c r="G674" s="238"/>
      <c r="H674" s="238"/>
      <c r="I674" s="228"/>
      <c r="J674" s="238"/>
      <c r="K674" s="238"/>
      <c r="L674" s="228"/>
      <c r="M674" s="238"/>
      <c r="N674" s="238"/>
      <c r="O674" s="228"/>
      <c r="P674" s="238"/>
      <c r="Q674" s="238"/>
      <c r="R674" s="228"/>
      <c r="S674" s="238"/>
      <c r="T674" s="238"/>
      <c r="U674" s="228"/>
      <c r="V674" s="238"/>
      <c r="W674" s="238"/>
      <c r="X674" s="228"/>
      <c r="Y674" s="238"/>
      <c r="Z674" s="238"/>
      <c r="AA674" s="228"/>
      <c r="AB674" s="238"/>
      <c r="AC674" s="238"/>
      <c r="AD674" s="228"/>
      <c r="AE674" s="238"/>
      <c r="AF674" s="238"/>
      <c r="AG674" s="228"/>
      <c r="AH674" s="238"/>
      <c r="AI674" s="238"/>
      <c r="AJ674" s="228"/>
      <c r="AK674" s="238"/>
      <c r="AL674" s="238"/>
      <c r="AM674" s="228"/>
      <c r="AN674" s="238"/>
      <c r="AO674" s="238"/>
      <c r="AP674" s="40"/>
      <c r="AQ674" s="40"/>
      <c r="AR674" s="40"/>
      <c r="AS674" s="40"/>
      <c r="AT674" s="40"/>
      <c r="AU674" s="40"/>
      <c r="AV674" s="40"/>
      <c r="AW674" s="40"/>
      <c r="AX674" s="40"/>
      <c r="AY674" s="40"/>
      <c r="AZ674" s="40"/>
      <c r="BA674" s="40"/>
      <c r="BB674" s="40"/>
      <c r="BC674" s="40"/>
      <c r="BD674" s="40"/>
      <c r="BE674" s="40"/>
      <c r="BF674" s="40"/>
      <c r="BG674" s="40"/>
      <c r="BH674" s="40"/>
      <c r="BI674" s="40"/>
    </row>
    <row r="675" ht="15.75" customHeight="1">
      <c r="A675" s="33"/>
      <c r="B675" s="228"/>
      <c r="C675" s="228"/>
      <c r="D675" s="236"/>
      <c r="E675" s="236"/>
      <c r="F675" s="228"/>
      <c r="G675" s="236"/>
      <c r="H675" s="236"/>
      <c r="I675" s="228"/>
      <c r="J675" s="236"/>
      <c r="K675" s="236"/>
      <c r="L675" s="228"/>
      <c r="M675" s="236"/>
      <c r="N675" s="236"/>
      <c r="O675" s="228"/>
      <c r="P675" s="236"/>
      <c r="Q675" s="236"/>
      <c r="R675" s="228"/>
      <c r="S675" s="236"/>
      <c r="T675" s="236"/>
      <c r="U675" s="228"/>
      <c r="V675" s="236"/>
      <c r="W675" s="236"/>
      <c r="X675" s="228"/>
      <c r="Y675" s="236"/>
      <c r="Z675" s="236"/>
      <c r="AA675" s="228"/>
      <c r="AB675" s="236"/>
      <c r="AC675" s="236"/>
      <c r="AD675" s="228"/>
      <c r="AE675" s="236"/>
      <c r="AF675" s="236"/>
      <c r="AG675" s="228"/>
      <c r="AH675" s="236"/>
      <c r="AI675" s="236"/>
      <c r="AJ675" s="228"/>
      <c r="AK675" s="236"/>
      <c r="AL675" s="236"/>
      <c r="AM675" s="228"/>
      <c r="AN675" s="236"/>
      <c r="AO675" s="236"/>
      <c r="AP675" s="40"/>
      <c r="AQ675" s="40"/>
      <c r="AR675" s="40"/>
      <c r="AS675" s="40"/>
      <c r="AT675" s="40"/>
      <c r="AU675" s="40"/>
      <c r="AV675" s="40"/>
      <c r="AW675" s="40"/>
      <c r="AX675" s="40"/>
      <c r="AY675" s="40"/>
      <c r="AZ675" s="40"/>
      <c r="BA675" s="40"/>
      <c r="BB675" s="40"/>
      <c r="BC675" s="40"/>
      <c r="BD675" s="40"/>
      <c r="BE675" s="40"/>
      <c r="BF675" s="40"/>
      <c r="BG675" s="40"/>
      <c r="BH675" s="40"/>
      <c r="BI675" s="40"/>
    </row>
    <row r="676" ht="15.75" customHeight="1">
      <c r="A676" s="33"/>
      <c r="B676" s="228"/>
      <c r="C676" s="228"/>
      <c r="D676" s="236"/>
      <c r="E676" s="236"/>
      <c r="F676" s="228"/>
      <c r="G676" s="236"/>
      <c r="H676" s="236"/>
      <c r="I676" s="228"/>
      <c r="J676" s="236"/>
      <c r="K676" s="236"/>
      <c r="L676" s="228"/>
      <c r="M676" s="236"/>
      <c r="N676" s="236"/>
      <c r="O676" s="228"/>
      <c r="P676" s="236"/>
      <c r="Q676" s="236"/>
      <c r="R676" s="228"/>
      <c r="S676" s="236"/>
      <c r="T676" s="236"/>
      <c r="U676" s="228"/>
      <c r="V676" s="236"/>
      <c r="W676" s="236"/>
      <c r="X676" s="228"/>
      <c r="Y676" s="236"/>
      <c r="Z676" s="236"/>
      <c r="AA676" s="228"/>
      <c r="AB676" s="236"/>
      <c r="AC676" s="236"/>
      <c r="AD676" s="228"/>
      <c r="AE676" s="236"/>
      <c r="AF676" s="236"/>
      <c r="AG676" s="228"/>
      <c r="AH676" s="236"/>
      <c r="AI676" s="236"/>
      <c r="AJ676" s="228"/>
      <c r="AK676" s="236"/>
      <c r="AL676" s="236"/>
      <c r="AM676" s="228"/>
      <c r="AN676" s="236"/>
      <c r="AO676" s="236"/>
      <c r="AP676" s="40"/>
      <c r="AQ676" s="40"/>
      <c r="AR676" s="40"/>
      <c r="AS676" s="40"/>
      <c r="AT676" s="40"/>
      <c r="AU676" s="40"/>
      <c r="AV676" s="40"/>
      <c r="AW676" s="40"/>
      <c r="AX676" s="40"/>
      <c r="AY676" s="40"/>
      <c r="AZ676" s="40"/>
      <c r="BA676" s="40"/>
      <c r="BB676" s="40"/>
      <c r="BC676" s="40"/>
      <c r="BD676" s="40"/>
      <c r="BE676" s="40"/>
      <c r="BF676" s="40"/>
      <c r="BG676" s="40"/>
      <c r="BH676" s="40"/>
      <c r="BI676" s="40"/>
    </row>
    <row r="677" ht="15.75" customHeight="1">
      <c r="A677" s="33"/>
      <c r="B677" s="228"/>
      <c r="C677" s="228"/>
      <c r="D677" s="236"/>
      <c r="E677" s="236"/>
      <c r="F677" s="228"/>
      <c r="G677" s="236"/>
      <c r="H677" s="236"/>
      <c r="I677" s="228"/>
      <c r="J677" s="236"/>
      <c r="K677" s="236"/>
      <c r="L677" s="228"/>
      <c r="M677" s="236"/>
      <c r="N677" s="236"/>
      <c r="O677" s="228"/>
      <c r="P677" s="236"/>
      <c r="Q677" s="236"/>
      <c r="R677" s="228"/>
      <c r="S677" s="236"/>
      <c r="T677" s="236"/>
      <c r="U677" s="228"/>
      <c r="V677" s="236"/>
      <c r="W677" s="236"/>
      <c r="X677" s="228"/>
      <c r="Y677" s="236"/>
      <c r="Z677" s="236"/>
      <c r="AA677" s="228"/>
      <c r="AB677" s="236"/>
      <c r="AC677" s="236"/>
      <c r="AD677" s="228"/>
      <c r="AE677" s="236"/>
      <c r="AF677" s="236"/>
      <c r="AG677" s="228"/>
      <c r="AH677" s="236"/>
      <c r="AI677" s="236"/>
      <c r="AJ677" s="228"/>
      <c r="AK677" s="236"/>
      <c r="AL677" s="236"/>
      <c r="AM677" s="228"/>
      <c r="AN677" s="236"/>
      <c r="AO677" s="236"/>
      <c r="AP677" s="40"/>
      <c r="AQ677" s="40"/>
      <c r="AR677" s="40"/>
      <c r="AS677" s="40"/>
      <c r="AT677" s="40"/>
      <c r="AU677" s="40"/>
      <c r="AV677" s="40"/>
      <c r="AW677" s="40"/>
      <c r="AX677" s="40"/>
      <c r="AY677" s="40"/>
      <c r="AZ677" s="40"/>
      <c r="BA677" s="40"/>
      <c r="BB677" s="40"/>
      <c r="BC677" s="40"/>
      <c r="BD677" s="40"/>
      <c r="BE677" s="40"/>
      <c r="BF677" s="40"/>
      <c r="BG677" s="40"/>
      <c r="BH677" s="40"/>
      <c r="BI677" s="40"/>
    </row>
    <row r="678" ht="15.75" customHeight="1">
      <c r="A678" s="33"/>
      <c r="B678" s="228"/>
      <c r="C678" s="228"/>
      <c r="D678" s="236"/>
      <c r="E678" s="236"/>
      <c r="F678" s="228"/>
      <c r="G678" s="236"/>
      <c r="H678" s="236"/>
      <c r="I678" s="228"/>
      <c r="J678" s="236"/>
      <c r="K678" s="236"/>
      <c r="L678" s="228"/>
      <c r="M678" s="236"/>
      <c r="N678" s="236"/>
      <c r="O678" s="228"/>
      <c r="P678" s="236"/>
      <c r="Q678" s="236"/>
      <c r="R678" s="228"/>
      <c r="S678" s="236"/>
      <c r="T678" s="236"/>
      <c r="U678" s="228"/>
      <c r="V678" s="236"/>
      <c r="W678" s="236"/>
      <c r="X678" s="228"/>
      <c r="Y678" s="236"/>
      <c r="Z678" s="236"/>
      <c r="AA678" s="228"/>
      <c r="AB678" s="236"/>
      <c r="AC678" s="236"/>
      <c r="AD678" s="228"/>
      <c r="AE678" s="236"/>
      <c r="AF678" s="236"/>
      <c r="AG678" s="228"/>
      <c r="AH678" s="236"/>
      <c r="AI678" s="236"/>
      <c r="AJ678" s="228"/>
      <c r="AK678" s="236"/>
      <c r="AL678" s="236"/>
      <c r="AM678" s="228"/>
      <c r="AN678" s="236"/>
      <c r="AO678" s="236"/>
      <c r="AP678" s="40"/>
      <c r="AQ678" s="40"/>
      <c r="AR678" s="40"/>
      <c r="AS678" s="40"/>
      <c r="AT678" s="40"/>
      <c r="AU678" s="40"/>
      <c r="AV678" s="40"/>
      <c r="AW678" s="40"/>
      <c r="AX678" s="40"/>
      <c r="AY678" s="40"/>
      <c r="AZ678" s="40"/>
      <c r="BA678" s="40"/>
      <c r="BB678" s="40"/>
      <c r="BC678" s="40"/>
      <c r="BD678" s="40"/>
      <c r="BE678" s="40"/>
      <c r="BF678" s="40"/>
      <c r="BG678" s="40"/>
      <c r="BH678" s="40"/>
      <c r="BI678" s="40"/>
    </row>
    <row r="679" ht="15.75" customHeight="1">
      <c r="A679" s="33"/>
      <c r="B679" s="228"/>
      <c r="C679" s="228"/>
      <c r="D679" s="236"/>
      <c r="E679" s="236"/>
      <c r="F679" s="228"/>
      <c r="G679" s="236"/>
      <c r="H679" s="236"/>
      <c r="I679" s="228"/>
      <c r="J679" s="236"/>
      <c r="K679" s="236"/>
      <c r="L679" s="228"/>
      <c r="M679" s="236"/>
      <c r="N679" s="236"/>
      <c r="O679" s="228"/>
      <c r="P679" s="236"/>
      <c r="Q679" s="236"/>
      <c r="R679" s="228"/>
      <c r="S679" s="236"/>
      <c r="T679" s="236"/>
      <c r="U679" s="228"/>
      <c r="V679" s="236"/>
      <c r="W679" s="236"/>
      <c r="X679" s="228"/>
      <c r="Y679" s="236"/>
      <c r="Z679" s="236"/>
      <c r="AA679" s="228"/>
      <c r="AB679" s="236"/>
      <c r="AC679" s="236"/>
      <c r="AD679" s="228"/>
      <c r="AE679" s="236"/>
      <c r="AF679" s="236"/>
      <c r="AG679" s="228"/>
      <c r="AH679" s="236"/>
      <c r="AI679" s="236"/>
      <c r="AJ679" s="228"/>
      <c r="AK679" s="236"/>
      <c r="AL679" s="236"/>
      <c r="AM679" s="228"/>
      <c r="AN679" s="236"/>
      <c r="AO679" s="236"/>
      <c r="AP679" s="40"/>
      <c r="AQ679" s="40"/>
      <c r="AR679" s="40"/>
      <c r="AS679" s="40"/>
      <c r="AT679" s="40"/>
      <c r="AU679" s="40"/>
      <c r="AV679" s="40"/>
      <c r="AW679" s="40"/>
      <c r="AX679" s="40"/>
      <c r="AY679" s="40"/>
      <c r="AZ679" s="40"/>
      <c r="BA679" s="40"/>
      <c r="BB679" s="40"/>
      <c r="BC679" s="40"/>
      <c r="BD679" s="40"/>
      <c r="BE679" s="40"/>
      <c r="BF679" s="40"/>
      <c r="BG679" s="40"/>
      <c r="BH679" s="40"/>
      <c r="BI679" s="40"/>
    </row>
    <row r="680" ht="15.75" customHeight="1">
      <c r="A680" s="33"/>
      <c r="B680" s="228"/>
      <c r="C680" s="228"/>
      <c r="D680" s="236"/>
      <c r="E680" s="236"/>
      <c r="F680" s="228"/>
      <c r="G680" s="236"/>
      <c r="H680" s="236"/>
      <c r="I680" s="228"/>
      <c r="J680" s="236"/>
      <c r="K680" s="236"/>
      <c r="L680" s="228"/>
      <c r="M680" s="236"/>
      <c r="N680" s="236"/>
      <c r="O680" s="228"/>
      <c r="P680" s="236"/>
      <c r="Q680" s="236"/>
      <c r="R680" s="228"/>
      <c r="S680" s="236"/>
      <c r="T680" s="236"/>
      <c r="U680" s="228"/>
      <c r="V680" s="236"/>
      <c r="W680" s="236"/>
      <c r="X680" s="228"/>
      <c r="Y680" s="236"/>
      <c r="Z680" s="236"/>
      <c r="AA680" s="228"/>
      <c r="AB680" s="236"/>
      <c r="AC680" s="236"/>
      <c r="AD680" s="228"/>
      <c r="AE680" s="236"/>
      <c r="AF680" s="236"/>
      <c r="AG680" s="228"/>
      <c r="AH680" s="236"/>
      <c r="AI680" s="236"/>
      <c r="AJ680" s="228"/>
      <c r="AK680" s="236"/>
      <c r="AL680" s="236"/>
      <c r="AM680" s="228"/>
      <c r="AN680" s="236"/>
      <c r="AO680" s="236"/>
      <c r="AP680" s="40"/>
      <c r="AQ680" s="40"/>
      <c r="AR680" s="40"/>
      <c r="AS680" s="40"/>
      <c r="AT680" s="40"/>
      <c r="AU680" s="40"/>
      <c r="AV680" s="40"/>
      <c r="AW680" s="40"/>
      <c r="AX680" s="40"/>
      <c r="AY680" s="40"/>
      <c r="AZ680" s="40"/>
      <c r="BA680" s="40"/>
      <c r="BB680" s="40"/>
      <c r="BC680" s="40"/>
      <c r="BD680" s="40"/>
      <c r="BE680" s="40"/>
      <c r="BF680" s="40"/>
      <c r="BG680" s="40"/>
      <c r="BH680" s="40"/>
      <c r="BI680" s="40"/>
    </row>
    <row r="681" ht="15.75" customHeight="1">
      <c r="A681" s="33"/>
      <c r="B681" s="228"/>
      <c r="C681" s="228"/>
      <c r="D681" s="236"/>
      <c r="E681" s="236"/>
      <c r="F681" s="228"/>
      <c r="G681" s="236"/>
      <c r="H681" s="236"/>
      <c r="I681" s="228"/>
      <c r="J681" s="236"/>
      <c r="K681" s="236"/>
      <c r="L681" s="228"/>
      <c r="M681" s="236"/>
      <c r="N681" s="236"/>
      <c r="O681" s="228"/>
      <c r="P681" s="236"/>
      <c r="Q681" s="236"/>
      <c r="R681" s="228"/>
      <c r="S681" s="236"/>
      <c r="T681" s="236"/>
      <c r="U681" s="228"/>
      <c r="V681" s="236"/>
      <c r="W681" s="236"/>
      <c r="X681" s="228"/>
      <c r="Y681" s="236"/>
      <c r="Z681" s="236"/>
      <c r="AA681" s="228"/>
      <c r="AB681" s="236"/>
      <c r="AC681" s="236"/>
      <c r="AD681" s="228"/>
      <c r="AE681" s="236"/>
      <c r="AF681" s="236"/>
      <c r="AG681" s="228"/>
      <c r="AH681" s="236"/>
      <c r="AI681" s="236"/>
      <c r="AJ681" s="228"/>
      <c r="AK681" s="236"/>
      <c r="AL681" s="236"/>
      <c r="AM681" s="228"/>
      <c r="AN681" s="236"/>
      <c r="AO681" s="236"/>
      <c r="AP681" s="40"/>
      <c r="AQ681" s="40"/>
      <c r="AR681" s="40"/>
      <c r="AS681" s="40"/>
      <c r="AT681" s="40"/>
      <c r="AU681" s="40"/>
      <c r="AV681" s="40"/>
      <c r="AW681" s="40"/>
      <c r="AX681" s="40"/>
      <c r="AY681" s="40"/>
      <c r="AZ681" s="40"/>
      <c r="BA681" s="40"/>
      <c r="BB681" s="40"/>
      <c r="BC681" s="40"/>
      <c r="BD681" s="40"/>
      <c r="BE681" s="40"/>
      <c r="BF681" s="40"/>
      <c r="BG681" s="40"/>
      <c r="BH681" s="40"/>
      <c r="BI681" s="40"/>
    </row>
    <row r="682" ht="15.75" customHeight="1">
      <c r="A682" s="33"/>
      <c r="B682" s="228"/>
      <c r="C682" s="228"/>
      <c r="D682" s="236"/>
      <c r="E682" s="236"/>
      <c r="F682" s="228"/>
      <c r="G682" s="236"/>
      <c r="H682" s="236"/>
      <c r="I682" s="228"/>
      <c r="J682" s="236"/>
      <c r="K682" s="236"/>
      <c r="L682" s="228"/>
      <c r="M682" s="236"/>
      <c r="N682" s="236"/>
      <c r="O682" s="228"/>
      <c r="P682" s="236"/>
      <c r="Q682" s="236"/>
      <c r="R682" s="228"/>
      <c r="S682" s="236"/>
      <c r="T682" s="236"/>
      <c r="U682" s="228"/>
      <c r="V682" s="236"/>
      <c r="W682" s="236"/>
      <c r="X682" s="228"/>
      <c r="Y682" s="236"/>
      <c r="Z682" s="236"/>
      <c r="AA682" s="228"/>
      <c r="AB682" s="236"/>
      <c r="AC682" s="236"/>
      <c r="AD682" s="228"/>
      <c r="AE682" s="236"/>
      <c r="AF682" s="236"/>
      <c r="AG682" s="228"/>
      <c r="AH682" s="236"/>
      <c r="AI682" s="236"/>
      <c r="AJ682" s="228"/>
      <c r="AK682" s="236"/>
      <c r="AL682" s="236"/>
      <c r="AM682" s="228"/>
      <c r="AN682" s="236"/>
      <c r="AO682" s="236"/>
      <c r="AP682" s="40"/>
      <c r="AQ682" s="40"/>
      <c r="AR682" s="40"/>
      <c r="AS682" s="40"/>
      <c r="AT682" s="40"/>
      <c r="AU682" s="40"/>
      <c r="AV682" s="40"/>
      <c r="AW682" s="40"/>
      <c r="AX682" s="40"/>
      <c r="AY682" s="40"/>
      <c r="AZ682" s="40"/>
      <c r="BA682" s="40"/>
      <c r="BB682" s="40"/>
      <c r="BC682" s="40"/>
      <c r="BD682" s="40"/>
      <c r="BE682" s="40"/>
      <c r="BF682" s="40"/>
      <c r="BG682" s="40"/>
      <c r="BH682" s="40"/>
      <c r="BI682" s="40"/>
    </row>
    <row r="683" ht="15.75" customHeight="1">
      <c r="A683" s="33"/>
      <c r="B683" s="228"/>
      <c r="C683" s="228"/>
      <c r="D683" s="236"/>
      <c r="E683" s="236"/>
      <c r="F683" s="228"/>
      <c r="G683" s="236"/>
      <c r="H683" s="236"/>
      <c r="I683" s="228"/>
      <c r="J683" s="236"/>
      <c r="K683" s="236"/>
      <c r="L683" s="228"/>
      <c r="M683" s="236"/>
      <c r="N683" s="236"/>
      <c r="O683" s="228"/>
      <c r="P683" s="236"/>
      <c r="Q683" s="236"/>
      <c r="R683" s="228"/>
      <c r="S683" s="236"/>
      <c r="T683" s="236"/>
      <c r="U683" s="228"/>
      <c r="V683" s="236"/>
      <c r="W683" s="236"/>
      <c r="X683" s="228"/>
      <c r="Y683" s="236"/>
      <c r="Z683" s="236"/>
      <c r="AA683" s="228"/>
      <c r="AB683" s="236"/>
      <c r="AC683" s="236"/>
      <c r="AD683" s="228"/>
      <c r="AE683" s="236"/>
      <c r="AF683" s="236"/>
      <c r="AG683" s="228"/>
      <c r="AH683" s="236"/>
      <c r="AI683" s="236"/>
      <c r="AJ683" s="228"/>
      <c r="AK683" s="236"/>
      <c r="AL683" s="236"/>
      <c r="AM683" s="228"/>
      <c r="AN683" s="236"/>
      <c r="AO683" s="236"/>
      <c r="AP683" s="40"/>
      <c r="AQ683" s="40"/>
      <c r="AR683" s="40"/>
      <c r="AS683" s="40"/>
      <c r="AT683" s="40"/>
      <c r="AU683" s="40"/>
      <c r="AV683" s="40"/>
      <c r="AW683" s="40"/>
      <c r="AX683" s="40"/>
      <c r="AY683" s="40"/>
      <c r="AZ683" s="40"/>
      <c r="BA683" s="40"/>
      <c r="BB683" s="40"/>
      <c r="BC683" s="40"/>
      <c r="BD683" s="40"/>
      <c r="BE683" s="40"/>
      <c r="BF683" s="40"/>
      <c r="BG683" s="40"/>
      <c r="BH683" s="40"/>
      <c r="BI683" s="40"/>
    </row>
    <row r="684" ht="15.75" customHeight="1">
      <c r="A684" s="33"/>
      <c r="B684" s="228"/>
      <c r="C684" s="228"/>
      <c r="D684" s="236"/>
      <c r="E684" s="236"/>
      <c r="F684" s="228"/>
      <c r="G684" s="236"/>
      <c r="H684" s="236"/>
      <c r="I684" s="228"/>
      <c r="J684" s="236"/>
      <c r="K684" s="236"/>
      <c r="L684" s="228"/>
      <c r="M684" s="236"/>
      <c r="N684" s="236"/>
      <c r="O684" s="228"/>
      <c r="P684" s="236"/>
      <c r="Q684" s="236"/>
      <c r="R684" s="228"/>
      <c r="S684" s="236"/>
      <c r="T684" s="236"/>
      <c r="U684" s="228"/>
      <c r="V684" s="236"/>
      <c r="W684" s="236"/>
      <c r="X684" s="228"/>
      <c r="Y684" s="236"/>
      <c r="Z684" s="236"/>
      <c r="AA684" s="228"/>
      <c r="AB684" s="236"/>
      <c r="AC684" s="236"/>
      <c r="AD684" s="228"/>
      <c r="AE684" s="236"/>
      <c r="AF684" s="236"/>
      <c r="AG684" s="228"/>
      <c r="AH684" s="236"/>
      <c r="AI684" s="236"/>
      <c r="AJ684" s="228"/>
      <c r="AK684" s="236"/>
      <c r="AL684" s="236"/>
      <c r="AM684" s="228"/>
      <c r="AN684" s="236"/>
      <c r="AO684" s="236"/>
      <c r="AP684" s="40"/>
      <c r="AQ684" s="40"/>
      <c r="AR684" s="40"/>
      <c r="AS684" s="40"/>
      <c r="AT684" s="40"/>
      <c r="AU684" s="40"/>
      <c r="AV684" s="40"/>
      <c r="AW684" s="40"/>
      <c r="AX684" s="40"/>
      <c r="AY684" s="40"/>
      <c r="AZ684" s="40"/>
      <c r="BA684" s="40"/>
      <c r="BB684" s="40"/>
      <c r="BC684" s="40"/>
      <c r="BD684" s="40"/>
      <c r="BE684" s="40"/>
      <c r="BF684" s="40"/>
      <c r="BG684" s="40"/>
      <c r="BH684" s="40"/>
      <c r="BI684" s="40"/>
    </row>
    <row r="685" ht="15.75" customHeight="1">
      <c r="A685" s="33"/>
      <c r="B685" s="228"/>
      <c r="C685" s="228"/>
      <c r="D685" s="236"/>
      <c r="E685" s="236"/>
      <c r="F685" s="228"/>
      <c r="G685" s="236"/>
      <c r="H685" s="236"/>
      <c r="I685" s="228"/>
      <c r="J685" s="236"/>
      <c r="K685" s="236"/>
      <c r="L685" s="228"/>
      <c r="M685" s="236"/>
      <c r="N685" s="236"/>
      <c r="O685" s="228"/>
      <c r="P685" s="236"/>
      <c r="Q685" s="236"/>
      <c r="R685" s="228"/>
      <c r="S685" s="236"/>
      <c r="T685" s="236"/>
      <c r="U685" s="228"/>
      <c r="V685" s="236"/>
      <c r="W685" s="236"/>
      <c r="X685" s="228"/>
      <c r="Y685" s="236"/>
      <c r="Z685" s="236"/>
      <c r="AA685" s="228"/>
      <c r="AB685" s="236"/>
      <c r="AC685" s="236"/>
      <c r="AD685" s="228"/>
      <c r="AE685" s="236"/>
      <c r="AF685" s="236"/>
      <c r="AG685" s="228"/>
      <c r="AH685" s="236"/>
      <c r="AI685" s="236"/>
      <c r="AJ685" s="228"/>
      <c r="AK685" s="236"/>
      <c r="AL685" s="236"/>
      <c r="AM685" s="228"/>
      <c r="AN685" s="236"/>
      <c r="AO685" s="236"/>
      <c r="AP685" s="40"/>
      <c r="AQ685" s="40"/>
      <c r="AR685" s="40"/>
      <c r="AS685" s="40"/>
      <c r="AT685" s="40"/>
      <c r="AU685" s="40"/>
      <c r="AV685" s="40"/>
      <c r="AW685" s="40"/>
      <c r="AX685" s="40"/>
      <c r="AY685" s="40"/>
      <c r="AZ685" s="40"/>
      <c r="BA685" s="40"/>
      <c r="BB685" s="40"/>
      <c r="BC685" s="40"/>
      <c r="BD685" s="40"/>
      <c r="BE685" s="40"/>
      <c r="BF685" s="40"/>
      <c r="BG685" s="40"/>
      <c r="BH685" s="40"/>
      <c r="BI685" s="40"/>
    </row>
    <row r="686" ht="15.75" customHeight="1">
      <c r="A686" s="33"/>
      <c r="B686" s="228"/>
      <c r="C686" s="228"/>
      <c r="D686" s="236"/>
      <c r="E686" s="236"/>
      <c r="F686" s="228"/>
      <c r="G686" s="236"/>
      <c r="H686" s="236"/>
      <c r="I686" s="228"/>
      <c r="J686" s="236"/>
      <c r="K686" s="236"/>
      <c r="L686" s="228"/>
      <c r="M686" s="236"/>
      <c r="N686" s="236"/>
      <c r="O686" s="228"/>
      <c r="P686" s="236"/>
      <c r="Q686" s="236"/>
      <c r="R686" s="228"/>
      <c r="S686" s="236"/>
      <c r="T686" s="236"/>
      <c r="U686" s="228"/>
      <c r="V686" s="236"/>
      <c r="W686" s="236"/>
      <c r="X686" s="228"/>
      <c r="Y686" s="236"/>
      <c r="Z686" s="236"/>
      <c r="AA686" s="228"/>
      <c r="AB686" s="236"/>
      <c r="AC686" s="236"/>
      <c r="AD686" s="228"/>
      <c r="AE686" s="236"/>
      <c r="AF686" s="236"/>
      <c r="AG686" s="228"/>
      <c r="AH686" s="236"/>
      <c r="AI686" s="236"/>
      <c r="AJ686" s="228"/>
      <c r="AK686" s="236"/>
      <c r="AL686" s="236"/>
      <c r="AM686" s="228"/>
      <c r="AN686" s="236"/>
      <c r="AO686" s="236"/>
      <c r="AP686" s="40"/>
      <c r="AQ686" s="40"/>
      <c r="AR686" s="40"/>
      <c r="AS686" s="40"/>
      <c r="AT686" s="40"/>
      <c r="AU686" s="40"/>
      <c r="AV686" s="40"/>
      <c r="AW686" s="40"/>
      <c r="AX686" s="40"/>
      <c r="AY686" s="40"/>
      <c r="AZ686" s="40"/>
      <c r="BA686" s="40"/>
      <c r="BB686" s="40"/>
      <c r="BC686" s="40"/>
      <c r="BD686" s="40"/>
      <c r="BE686" s="40"/>
      <c r="BF686" s="40"/>
      <c r="BG686" s="40"/>
      <c r="BH686" s="40"/>
      <c r="BI686" s="40"/>
    </row>
    <row r="687" ht="15.75" customHeight="1">
      <c r="A687" s="33"/>
      <c r="B687" s="228"/>
      <c r="C687" s="228"/>
      <c r="D687" s="236"/>
      <c r="E687" s="236"/>
      <c r="F687" s="228"/>
      <c r="G687" s="236"/>
      <c r="H687" s="236"/>
      <c r="I687" s="228"/>
      <c r="J687" s="236"/>
      <c r="K687" s="236"/>
      <c r="L687" s="228"/>
      <c r="M687" s="236"/>
      <c r="N687" s="236"/>
      <c r="O687" s="228"/>
      <c r="P687" s="236"/>
      <c r="Q687" s="236"/>
      <c r="R687" s="228"/>
      <c r="S687" s="236"/>
      <c r="T687" s="236"/>
      <c r="U687" s="228"/>
      <c r="V687" s="236"/>
      <c r="W687" s="236"/>
      <c r="X687" s="228"/>
      <c r="Y687" s="236"/>
      <c r="Z687" s="236"/>
      <c r="AA687" s="228"/>
      <c r="AB687" s="236"/>
      <c r="AC687" s="236"/>
      <c r="AD687" s="228"/>
      <c r="AE687" s="236"/>
      <c r="AF687" s="236"/>
      <c r="AG687" s="228"/>
      <c r="AH687" s="236"/>
      <c r="AI687" s="236"/>
      <c r="AJ687" s="228"/>
      <c r="AK687" s="236"/>
      <c r="AL687" s="236"/>
      <c r="AM687" s="228"/>
      <c r="AN687" s="236"/>
      <c r="AO687" s="236"/>
      <c r="AP687" s="40"/>
      <c r="AQ687" s="40"/>
      <c r="AR687" s="40"/>
      <c r="AS687" s="40"/>
      <c r="AT687" s="40"/>
      <c r="AU687" s="40"/>
      <c r="AV687" s="40"/>
      <c r="AW687" s="40"/>
      <c r="AX687" s="40"/>
      <c r="AY687" s="40"/>
      <c r="AZ687" s="40"/>
      <c r="BA687" s="40"/>
      <c r="BB687" s="40"/>
      <c r="BC687" s="40"/>
      <c r="BD687" s="40"/>
      <c r="BE687" s="40"/>
      <c r="BF687" s="40"/>
      <c r="BG687" s="40"/>
      <c r="BH687" s="40"/>
      <c r="BI687" s="40"/>
    </row>
    <row r="688" ht="15.75" customHeight="1">
      <c r="A688" s="33"/>
      <c r="B688" s="228"/>
      <c r="C688" s="228"/>
      <c r="D688" s="236"/>
      <c r="E688" s="236"/>
      <c r="F688" s="228"/>
      <c r="G688" s="236"/>
      <c r="H688" s="236"/>
      <c r="I688" s="228"/>
      <c r="J688" s="236"/>
      <c r="K688" s="236"/>
      <c r="L688" s="228"/>
      <c r="M688" s="236"/>
      <c r="N688" s="236"/>
      <c r="O688" s="228"/>
      <c r="P688" s="236"/>
      <c r="Q688" s="236"/>
      <c r="R688" s="228"/>
      <c r="S688" s="236"/>
      <c r="T688" s="236"/>
      <c r="U688" s="228"/>
      <c r="V688" s="236"/>
      <c r="W688" s="236"/>
      <c r="X688" s="228"/>
      <c r="Y688" s="236"/>
      <c r="Z688" s="236"/>
      <c r="AA688" s="228"/>
      <c r="AB688" s="236"/>
      <c r="AC688" s="236"/>
      <c r="AD688" s="228"/>
      <c r="AE688" s="236"/>
      <c r="AF688" s="236"/>
      <c r="AG688" s="228"/>
      <c r="AH688" s="236"/>
      <c r="AI688" s="236"/>
      <c r="AJ688" s="228"/>
      <c r="AK688" s="236"/>
      <c r="AL688" s="236"/>
      <c r="AM688" s="228"/>
      <c r="AN688" s="236"/>
      <c r="AO688" s="236"/>
      <c r="AP688" s="40"/>
      <c r="AQ688" s="40"/>
      <c r="AR688" s="40"/>
      <c r="AS688" s="40"/>
      <c r="AT688" s="40"/>
      <c r="AU688" s="40"/>
      <c r="AV688" s="40"/>
      <c r="AW688" s="40"/>
      <c r="AX688" s="40"/>
      <c r="AY688" s="40"/>
      <c r="AZ688" s="40"/>
      <c r="BA688" s="40"/>
      <c r="BB688" s="40"/>
      <c r="BC688" s="40"/>
      <c r="BD688" s="40"/>
      <c r="BE688" s="40"/>
      <c r="BF688" s="40"/>
      <c r="BG688" s="40"/>
      <c r="BH688" s="40"/>
      <c r="BI688" s="40"/>
    </row>
    <row r="689" ht="15.75" customHeight="1">
      <c r="A689" s="33"/>
      <c r="B689" s="228"/>
      <c r="C689" s="228"/>
      <c r="D689" s="236"/>
      <c r="E689" s="236"/>
      <c r="F689" s="228"/>
      <c r="G689" s="236"/>
      <c r="H689" s="236"/>
      <c r="I689" s="228"/>
      <c r="J689" s="236"/>
      <c r="K689" s="236"/>
      <c r="L689" s="228"/>
      <c r="M689" s="236"/>
      <c r="N689" s="236"/>
      <c r="O689" s="228"/>
      <c r="P689" s="236"/>
      <c r="Q689" s="236"/>
      <c r="R689" s="228"/>
      <c r="S689" s="236"/>
      <c r="T689" s="236"/>
      <c r="U689" s="228"/>
      <c r="V689" s="236"/>
      <c r="W689" s="236"/>
      <c r="X689" s="228"/>
      <c r="Y689" s="236"/>
      <c r="Z689" s="236"/>
      <c r="AA689" s="228"/>
      <c r="AB689" s="236"/>
      <c r="AC689" s="236"/>
      <c r="AD689" s="228"/>
      <c r="AE689" s="236"/>
      <c r="AF689" s="236"/>
      <c r="AG689" s="228"/>
      <c r="AH689" s="236"/>
      <c r="AI689" s="236"/>
      <c r="AJ689" s="228"/>
      <c r="AK689" s="236"/>
      <c r="AL689" s="236"/>
      <c r="AM689" s="228"/>
      <c r="AN689" s="236"/>
      <c r="AO689" s="236"/>
      <c r="AP689" s="40"/>
      <c r="AQ689" s="40"/>
      <c r="AR689" s="40"/>
      <c r="AS689" s="40"/>
      <c r="AT689" s="40"/>
      <c r="AU689" s="40"/>
      <c r="AV689" s="40"/>
      <c r="AW689" s="40"/>
      <c r="AX689" s="40"/>
      <c r="AY689" s="40"/>
      <c r="AZ689" s="40"/>
      <c r="BA689" s="40"/>
      <c r="BB689" s="40"/>
      <c r="BC689" s="40"/>
      <c r="BD689" s="40"/>
      <c r="BE689" s="40"/>
      <c r="BF689" s="40"/>
      <c r="BG689" s="40"/>
      <c r="BH689" s="40"/>
      <c r="BI689" s="40"/>
    </row>
    <row r="690" ht="15.75" customHeight="1">
      <c r="A690" s="33"/>
      <c r="B690" s="228"/>
      <c r="C690" s="228"/>
      <c r="D690" s="228"/>
      <c r="E690" s="228"/>
      <c r="F690" s="228"/>
      <c r="G690" s="228"/>
      <c r="H690" s="228"/>
      <c r="I690" s="228"/>
      <c r="J690" s="228"/>
      <c r="K690" s="228"/>
      <c r="L690" s="228"/>
      <c r="M690" s="228"/>
      <c r="N690" s="228"/>
      <c r="O690" s="228"/>
      <c r="P690" s="228"/>
      <c r="Q690" s="228"/>
      <c r="R690" s="228"/>
      <c r="S690" s="228"/>
      <c r="T690" s="228"/>
      <c r="U690" s="228"/>
      <c r="V690" s="228"/>
      <c r="W690" s="228"/>
      <c r="X690" s="228"/>
      <c r="Y690" s="228"/>
      <c r="Z690" s="228"/>
      <c r="AA690" s="228"/>
      <c r="AB690" s="228"/>
      <c r="AC690" s="228"/>
      <c r="AD690" s="228"/>
      <c r="AE690" s="228"/>
      <c r="AF690" s="228"/>
      <c r="AG690" s="228"/>
      <c r="AH690" s="228"/>
      <c r="AI690" s="228"/>
      <c r="AJ690" s="228"/>
      <c r="AK690" s="228"/>
      <c r="AL690" s="228"/>
      <c r="AM690" s="228"/>
      <c r="AN690" s="228"/>
      <c r="AO690" s="228"/>
      <c r="AP690" s="40"/>
      <c r="AQ690" s="40"/>
      <c r="AR690" s="40"/>
      <c r="AS690" s="40"/>
      <c r="AT690" s="40"/>
      <c r="AU690" s="40"/>
      <c r="AV690" s="40"/>
      <c r="AW690" s="40"/>
      <c r="AX690" s="40"/>
      <c r="AY690" s="40"/>
      <c r="AZ690" s="40"/>
      <c r="BA690" s="40"/>
      <c r="BB690" s="40"/>
      <c r="BC690" s="40"/>
      <c r="BD690" s="40"/>
      <c r="BE690" s="40"/>
      <c r="BF690" s="40"/>
      <c r="BG690" s="40"/>
      <c r="BH690" s="40"/>
      <c r="BI690" s="40"/>
    </row>
    <row r="691" ht="15.75" customHeight="1">
      <c r="A691" s="33"/>
      <c r="B691" s="228"/>
      <c r="C691" s="228"/>
      <c r="D691" s="238"/>
      <c r="E691" s="238"/>
      <c r="F691" s="228"/>
      <c r="G691" s="238"/>
      <c r="H691" s="238"/>
      <c r="I691" s="228"/>
      <c r="J691" s="238"/>
      <c r="K691" s="238"/>
      <c r="L691" s="228"/>
      <c r="M691" s="238"/>
      <c r="N691" s="238"/>
      <c r="O691" s="228"/>
      <c r="P691" s="238"/>
      <c r="Q691" s="238"/>
      <c r="R691" s="228"/>
      <c r="S691" s="238"/>
      <c r="T691" s="238"/>
      <c r="U691" s="228"/>
      <c r="V691" s="238"/>
      <c r="W691" s="238"/>
      <c r="X691" s="228"/>
      <c r="Y691" s="238"/>
      <c r="Z691" s="238"/>
      <c r="AA691" s="228"/>
      <c r="AB691" s="238"/>
      <c r="AC691" s="238"/>
      <c r="AD691" s="228"/>
      <c r="AE691" s="238"/>
      <c r="AF691" s="238"/>
      <c r="AG691" s="228"/>
      <c r="AH691" s="238"/>
      <c r="AI691" s="238"/>
      <c r="AJ691" s="228"/>
      <c r="AK691" s="238"/>
      <c r="AL691" s="238"/>
      <c r="AM691" s="228"/>
      <c r="AN691" s="238"/>
      <c r="AO691" s="238"/>
      <c r="AP691" s="40"/>
      <c r="AQ691" s="40"/>
      <c r="AR691" s="40"/>
      <c r="AS691" s="40"/>
      <c r="AT691" s="40"/>
      <c r="AU691" s="40"/>
      <c r="AV691" s="40"/>
      <c r="AW691" s="40"/>
      <c r="AX691" s="40"/>
      <c r="AY691" s="40"/>
      <c r="AZ691" s="40"/>
      <c r="BA691" s="40"/>
      <c r="BB691" s="40"/>
      <c r="BC691" s="40"/>
      <c r="BD691" s="40"/>
      <c r="BE691" s="40"/>
      <c r="BF691" s="40"/>
      <c r="BG691" s="40"/>
      <c r="BH691" s="40"/>
      <c r="BI691" s="40"/>
    </row>
    <row r="692" ht="15.75" customHeight="1">
      <c r="A692" s="33"/>
      <c r="B692" s="228"/>
      <c r="C692" s="228"/>
      <c r="D692" s="236"/>
      <c r="E692" s="236"/>
      <c r="F692" s="228"/>
      <c r="G692" s="236"/>
      <c r="H692" s="236"/>
      <c r="I692" s="228"/>
      <c r="J692" s="236"/>
      <c r="K692" s="236"/>
      <c r="L692" s="228"/>
      <c r="M692" s="236"/>
      <c r="N692" s="236"/>
      <c r="O692" s="228"/>
      <c r="P692" s="236"/>
      <c r="Q692" s="236"/>
      <c r="R692" s="228"/>
      <c r="S692" s="236"/>
      <c r="T692" s="236"/>
      <c r="U692" s="228"/>
      <c r="V692" s="236"/>
      <c r="W692" s="236"/>
      <c r="X692" s="228"/>
      <c r="Y692" s="236"/>
      <c r="Z692" s="236"/>
      <c r="AA692" s="228"/>
      <c r="AB692" s="236"/>
      <c r="AC692" s="236"/>
      <c r="AD692" s="228"/>
      <c r="AE692" s="236"/>
      <c r="AF692" s="236"/>
      <c r="AG692" s="228"/>
      <c r="AH692" s="236"/>
      <c r="AI692" s="236"/>
      <c r="AJ692" s="228"/>
      <c r="AK692" s="236"/>
      <c r="AL692" s="236"/>
      <c r="AM692" s="228"/>
      <c r="AN692" s="236"/>
      <c r="AO692" s="236"/>
      <c r="AP692" s="40"/>
      <c r="AQ692" s="40"/>
      <c r="AR692" s="40"/>
      <c r="AS692" s="40"/>
      <c r="AT692" s="40"/>
      <c r="AU692" s="40"/>
      <c r="AV692" s="40"/>
      <c r="AW692" s="40"/>
      <c r="AX692" s="40"/>
      <c r="AY692" s="40"/>
      <c r="AZ692" s="40"/>
      <c r="BA692" s="40"/>
      <c r="BB692" s="40"/>
      <c r="BC692" s="40"/>
      <c r="BD692" s="40"/>
      <c r="BE692" s="40"/>
      <c r="BF692" s="40"/>
      <c r="BG692" s="40"/>
      <c r="BH692" s="40"/>
      <c r="BI692" s="40"/>
    </row>
    <row r="693" ht="15.75" customHeight="1">
      <c r="A693" s="33"/>
      <c r="B693" s="228"/>
      <c r="C693" s="228"/>
      <c r="D693" s="236"/>
      <c r="E693" s="236"/>
      <c r="F693" s="228"/>
      <c r="G693" s="236"/>
      <c r="H693" s="236"/>
      <c r="I693" s="228"/>
      <c r="J693" s="236"/>
      <c r="K693" s="236"/>
      <c r="L693" s="228"/>
      <c r="M693" s="236"/>
      <c r="N693" s="236"/>
      <c r="O693" s="228"/>
      <c r="P693" s="236"/>
      <c r="Q693" s="236"/>
      <c r="R693" s="228"/>
      <c r="S693" s="236"/>
      <c r="T693" s="236"/>
      <c r="U693" s="228"/>
      <c r="V693" s="236"/>
      <c r="W693" s="236"/>
      <c r="X693" s="228"/>
      <c r="Y693" s="236"/>
      <c r="Z693" s="236"/>
      <c r="AA693" s="228"/>
      <c r="AB693" s="236"/>
      <c r="AC693" s="236"/>
      <c r="AD693" s="228"/>
      <c r="AE693" s="236"/>
      <c r="AF693" s="236"/>
      <c r="AG693" s="228"/>
      <c r="AH693" s="236"/>
      <c r="AI693" s="236"/>
      <c r="AJ693" s="228"/>
      <c r="AK693" s="236"/>
      <c r="AL693" s="236"/>
      <c r="AM693" s="228"/>
      <c r="AN693" s="236"/>
      <c r="AO693" s="236"/>
      <c r="AP693" s="40"/>
      <c r="AQ693" s="40"/>
      <c r="AR693" s="40"/>
      <c r="AS693" s="40"/>
      <c r="AT693" s="40"/>
      <c r="AU693" s="40"/>
      <c r="AV693" s="40"/>
      <c r="AW693" s="40"/>
      <c r="AX693" s="40"/>
      <c r="AY693" s="40"/>
      <c r="AZ693" s="40"/>
      <c r="BA693" s="40"/>
      <c r="BB693" s="40"/>
      <c r="BC693" s="40"/>
      <c r="BD693" s="40"/>
      <c r="BE693" s="40"/>
      <c r="BF693" s="40"/>
      <c r="BG693" s="40"/>
      <c r="BH693" s="40"/>
      <c r="BI693" s="40"/>
    </row>
    <row r="694" ht="15.75" customHeight="1">
      <c r="A694" s="33"/>
      <c r="B694" s="228"/>
      <c r="C694" s="228"/>
      <c r="D694" s="236"/>
      <c r="E694" s="236"/>
      <c r="F694" s="228"/>
      <c r="G694" s="236"/>
      <c r="H694" s="236"/>
      <c r="I694" s="228"/>
      <c r="J694" s="236"/>
      <c r="K694" s="236"/>
      <c r="L694" s="228"/>
      <c r="M694" s="236"/>
      <c r="N694" s="236"/>
      <c r="O694" s="228"/>
      <c r="P694" s="236"/>
      <c r="Q694" s="236"/>
      <c r="R694" s="228"/>
      <c r="S694" s="236"/>
      <c r="T694" s="236"/>
      <c r="U694" s="228"/>
      <c r="V694" s="236"/>
      <c r="W694" s="236"/>
      <c r="X694" s="228"/>
      <c r="Y694" s="236"/>
      <c r="Z694" s="236"/>
      <c r="AA694" s="228"/>
      <c r="AB694" s="236"/>
      <c r="AC694" s="236"/>
      <c r="AD694" s="228"/>
      <c r="AE694" s="236"/>
      <c r="AF694" s="236"/>
      <c r="AG694" s="228"/>
      <c r="AH694" s="236"/>
      <c r="AI694" s="236"/>
      <c r="AJ694" s="228"/>
      <c r="AK694" s="236"/>
      <c r="AL694" s="236"/>
      <c r="AM694" s="228"/>
      <c r="AN694" s="236"/>
      <c r="AO694" s="236"/>
      <c r="AP694" s="40"/>
      <c r="AQ694" s="40"/>
      <c r="AR694" s="40"/>
      <c r="AS694" s="40"/>
      <c r="AT694" s="40"/>
      <c r="AU694" s="40"/>
      <c r="AV694" s="40"/>
      <c r="AW694" s="40"/>
      <c r="AX694" s="40"/>
      <c r="AY694" s="40"/>
      <c r="AZ694" s="40"/>
      <c r="BA694" s="40"/>
      <c r="BB694" s="40"/>
      <c r="BC694" s="40"/>
      <c r="BD694" s="40"/>
      <c r="BE694" s="40"/>
      <c r="BF694" s="40"/>
      <c r="BG694" s="40"/>
      <c r="BH694" s="40"/>
      <c r="BI694" s="40"/>
    </row>
    <row r="695" ht="15.75" customHeight="1">
      <c r="A695" s="33"/>
      <c r="B695" s="228"/>
      <c r="C695" s="228"/>
      <c r="D695" s="236"/>
      <c r="E695" s="236"/>
      <c r="F695" s="228"/>
      <c r="G695" s="236"/>
      <c r="H695" s="236"/>
      <c r="I695" s="228"/>
      <c r="J695" s="236"/>
      <c r="K695" s="236"/>
      <c r="L695" s="228"/>
      <c r="M695" s="236"/>
      <c r="N695" s="236"/>
      <c r="O695" s="228"/>
      <c r="P695" s="236"/>
      <c r="Q695" s="236"/>
      <c r="R695" s="228"/>
      <c r="S695" s="236"/>
      <c r="T695" s="236"/>
      <c r="U695" s="228"/>
      <c r="V695" s="236"/>
      <c r="W695" s="236"/>
      <c r="X695" s="228"/>
      <c r="Y695" s="236"/>
      <c r="Z695" s="236"/>
      <c r="AA695" s="228"/>
      <c r="AB695" s="236"/>
      <c r="AC695" s="236"/>
      <c r="AD695" s="228"/>
      <c r="AE695" s="236"/>
      <c r="AF695" s="236"/>
      <c r="AG695" s="228"/>
      <c r="AH695" s="236"/>
      <c r="AI695" s="236"/>
      <c r="AJ695" s="228"/>
      <c r="AK695" s="236"/>
      <c r="AL695" s="236"/>
      <c r="AM695" s="228"/>
      <c r="AN695" s="236"/>
      <c r="AO695" s="236"/>
      <c r="AP695" s="40"/>
      <c r="AQ695" s="40"/>
      <c r="AR695" s="40"/>
      <c r="AS695" s="40"/>
      <c r="AT695" s="40"/>
      <c r="AU695" s="40"/>
      <c r="AV695" s="40"/>
      <c r="AW695" s="40"/>
      <c r="AX695" s="40"/>
      <c r="AY695" s="40"/>
      <c r="AZ695" s="40"/>
      <c r="BA695" s="40"/>
      <c r="BB695" s="40"/>
      <c r="BC695" s="40"/>
      <c r="BD695" s="40"/>
      <c r="BE695" s="40"/>
      <c r="BF695" s="40"/>
      <c r="BG695" s="40"/>
      <c r="BH695" s="40"/>
      <c r="BI695" s="40"/>
    </row>
    <row r="696" ht="15.75" customHeight="1">
      <c r="A696" s="33"/>
      <c r="B696" s="228"/>
      <c r="C696" s="228"/>
      <c r="D696" s="236"/>
      <c r="E696" s="236"/>
      <c r="F696" s="228"/>
      <c r="G696" s="236"/>
      <c r="H696" s="236"/>
      <c r="I696" s="228"/>
      <c r="J696" s="236"/>
      <c r="K696" s="236"/>
      <c r="L696" s="228"/>
      <c r="M696" s="236"/>
      <c r="N696" s="236"/>
      <c r="O696" s="228"/>
      <c r="P696" s="236"/>
      <c r="Q696" s="236"/>
      <c r="R696" s="228"/>
      <c r="S696" s="236"/>
      <c r="T696" s="236"/>
      <c r="U696" s="228"/>
      <c r="V696" s="236"/>
      <c r="W696" s="236"/>
      <c r="X696" s="228"/>
      <c r="Y696" s="236"/>
      <c r="Z696" s="236"/>
      <c r="AA696" s="228"/>
      <c r="AB696" s="236"/>
      <c r="AC696" s="236"/>
      <c r="AD696" s="228"/>
      <c r="AE696" s="236"/>
      <c r="AF696" s="236"/>
      <c r="AG696" s="228"/>
      <c r="AH696" s="236"/>
      <c r="AI696" s="236"/>
      <c r="AJ696" s="228"/>
      <c r="AK696" s="236"/>
      <c r="AL696" s="236"/>
      <c r="AM696" s="228"/>
      <c r="AN696" s="236"/>
      <c r="AO696" s="236"/>
      <c r="AP696" s="40"/>
      <c r="AQ696" s="40"/>
      <c r="AR696" s="40"/>
      <c r="AS696" s="40"/>
      <c r="AT696" s="40"/>
      <c r="AU696" s="40"/>
      <c r="AV696" s="40"/>
      <c r="AW696" s="40"/>
      <c r="AX696" s="40"/>
      <c r="AY696" s="40"/>
      <c r="AZ696" s="40"/>
      <c r="BA696" s="40"/>
      <c r="BB696" s="40"/>
      <c r="BC696" s="40"/>
      <c r="BD696" s="40"/>
      <c r="BE696" s="40"/>
      <c r="BF696" s="40"/>
      <c r="BG696" s="40"/>
      <c r="BH696" s="40"/>
      <c r="BI696" s="40"/>
    </row>
    <row r="697" ht="15.75" customHeight="1">
      <c r="A697" s="33"/>
      <c r="B697" s="228"/>
      <c r="C697" s="228"/>
      <c r="D697" s="236"/>
      <c r="E697" s="236"/>
      <c r="F697" s="228"/>
      <c r="G697" s="236"/>
      <c r="H697" s="236"/>
      <c r="I697" s="228"/>
      <c r="J697" s="236"/>
      <c r="K697" s="236"/>
      <c r="L697" s="228"/>
      <c r="M697" s="236"/>
      <c r="N697" s="236"/>
      <c r="O697" s="228"/>
      <c r="P697" s="236"/>
      <c r="Q697" s="236"/>
      <c r="R697" s="228"/>
      <c r="S697" s="236"/>
      <c r="T697" s="236"/>
      <c r="U697" s="228"/>
      <c r="V697" s="236"/>
      <c r="W697" s="236"/>
      <c r="X697" s="228"/>
      <c r="Y697" s="236"/>
      <c r="Z697" s="236"/>
      <c r="AA697" s="228"/>
      <c r="AB697" s="236"/>
      <c r="AC697" s="236"/>
      <c r="AD697" s="228"/>
      <c r="AE697" s="236"/>
      <c r="AF697" s="236"/>
      <c r="AG697" s="228"/>
      <c r="AH697" s="236"/>
      <c r="AI697" s="236"/>
      <c r="AJ697" s="228"/>
      <c r="AK697" s="236"/>
      <c r="AL697" s="236"/>
      <c r="AM697" s="228"/>
      <c r="AN697" s="236"/>
      <c r="AO697" s="236"/>
      <c r="AP697" s="40"/>
      <c r="AQ697" s="40"/>
      <c r="AR697" s="40"/>
      <c r="AS697" s="40"/>
      <c r="AT697" s="40"/>
      <c r="AU697" s="40"/>
      <c r="AV697" s="40"/>
      <c r="AW697" s="40"/>
      <c r="AX697" s="40"/>
      <c r="AY697" s="40"/>
      <c r="AZ697" s="40"/>
      <c r="BA697" s="40"/>
      <c r="BB697" s="40"/>
      <c r="BC697" s="40"/>
      <c r="BD697" s="40"/>
      <c r="BE697" s="40"/>
      <c r="BF697" s="40"/>
      <c r="BG697" s="40"/>
      <c r="BH697" s="40"/>
      <c r="BI697" s="40"/>
    </row>
    <row r="698" ht="15.75" customHeight="1">
      <c r="A698" s="33"/>
      <c r="B698" s="228"/>
      <c r="C698" s="228"/>
      <c r="D698" s="236"/>
      <c r="E698" s="238"/>
      <c r="F698" s="228"/>
      <c r="G698" s="236"/>
      <c r="H698" s="238"/>
      <c r="I698" s="228"/>
      <c r="J698" s="236"/>
      <c r="K698" s="238"/>
      <c r="L698" s="228"/>
      <c r="M698" s="236"/>
      <c r="N698" s="238"/>
      <c r="O698" s="228"/>
      <c r="P698" s="236"/>
      <c r="Q698" s="238"/>
      <c r="R698" s="228"/>
      <c r="S698" s="236"/>
      <c r="T698" s="238"/>
      <c r="U698" s="228"/>
      <c r="V698" s="236"/>
      <c r="W698" s="238"/>
      <c r="X698" s="228"/>
      <c r="Y698" s="236"/>
      <c r="Z698" s="238"/>
      <c r="AA698" s="228"/>
      <c r="AB698" s="236"/>
      <c r="AC698" s="238"/>
      <c r="AD698" s="228"/>
      <c r="AE698" s="236"/>
      <c r="AF698" s="238"/>
      <c r="AG698" s="228"/>
      <c r="AH698" s="236"/>
      <c r="AI698" s="238"/>
      <c r="AJ698" s="228"/>
      <c r="AK698" s="236"/>
      <c r="AL698" s="238"/>
      <c r="AM698" s="228"/>
      <c r="AN698" s="236"/>
      <c r="AO698" s="238"/>
      <c r="AP698" s="40"/>
      <c r="AQ698" s="40"/>
      <c r="AR698" s="40"/>
      <c r="AS698" s="40"/>
      <c r="AT698" s="40"/>
      <c r="AU698" s="40"/>
      <c r="AV698" s="40"/>
      <c r="AW698" s="40"/>
      <c r="AX698" s="40"/>
      <c r="AY698" s="40"/>
      <c r="AZ698" s="40"/>
      <c r="BA698" s="40"/>
      <c r="BB698" s="40"/>
      <c r="BC698" s="40"/>
      <c r="BD698" s="40"/>
      <c r="BE698" s="40"/>
      <c r="BF698" s="40"/>
      <c r="BG698" s="40"/>
      <c r="BH698" s="40"/>
      <c r="BI698" s="40"/>
    </row>
    <row r="699" ht="15.75" customHeight="1">
      <c r="A699" s="33"/>
      <c r="B699" s="228"/>
      <c r="C699" s="228"/>
      <c r="D699" s="236"/>
      <c r="E699" s="236"/>
      <c r="F699" s="228"/>
      <c r="G699" s="236"/>
      <c r="H699" s="236"/>
      <c r="I699" s="228"/>
      <c r="J699" s="236"/>
      <c r="K699" s="236"/>
      <c r="L699" s="228"/>
      <c r="M699" s="236"/>
      <c r="N699" s="236"/>
      <c r="O699" s="228"/>
      <c r="P699" s="236"/>
      <c r="Q699" s="236"/>
      <c r="R699" s="228"/>
      <c r="S699" s="236"/>
      <c r="T699" s="236"/>
      <c r="U699" s="228"/>
      <c r="V699" s="236"/>
      <c r="W699" s="236"/>
      <c r="X699" s="228"/>
      <c r="Y699" s="236"/>
      <c r="Z699" s="236"/>
      <c r="AA699" s="228"/>
      <c r="AB699" s="236"/>
      <c r="AC699" s="236"/>
      <c r="AD699" s="228"/>
      <c r="AE699" s="236"/>
      <c r="AF699" s="236"/>
      <c r="AG699" s="228"/>
      <c r="AH699" s="236"/>
      <c r="AI699" s="236"/>
      <c r="AJ699" s="228"/>
      <c r="AK699" s="236"/>
      <c r="AL699" s="236"/>
      <c r="AM699" s="228"/>
      <c r="AN699" s="236"/>
      <c r="AO699" s="236"/>
      <c r="AP699" s="40"/>
      <c r="AQ699" s="40"/>
      <c r="AR699" s="40"/>
      <c r="AS699" s="40"/>
      <c r="AT699" s="40"/>
      <c r="AU699" s="40"/>
      <c r="AV699" s="40"/>
      <c r="AW699" s="40"/>
      <c r="AX699" s="40"/>
      <c r="AY699" s="40"/>
      <c r="AZ699" s="40"/>
      <c r="BA699" s="40"/>
      <c r="BB699" s="40"/>
      <c r="BC699" s="40"/>
      <c r="BD699" s="40"/>
      <c r="BE699" s="40"/>
      <c r="BF699" s="40"/>
      <c r="BG699" s="40"/>
      <c r="BH699" s="40"/>
      <c r="BI699" s="40"/>
    </row>
    <row r="700" ht="15.75" customHeight="1">
      <c r="A700" s="33"/>
      <c r="B700" s="228"/>
      <c r="C700" s="228"/>
      <c r="D700" s="236"/>
      <c r="E700" s="236"/>
      <c r="F700" s="228"/>
      <c r="G700" s="236"/>
      <c r="H700" s="236"/>
      <c r="I700" s="228"/>
      <c r="J700" s="236"/>
      <c r="K700" s="236"/>
      <c r="L700" s="228"/>
      <c r="M700" s="236"/>
      <c r="N700" s="236"/>
      <c r="O700" s="228"/>
      <c r="P700" s="236"/>
      <c r="Q700" s="236"/>
      <c r="R700" s="228"/>
      <c r="S700" s="236"/>
      <c r="T700" s="236"/>
      <c r="U700" s="228"/>
      <c r="V700" s="236"/>
      <c r="W700" s="236"/>
      <c r="X700" s="228"/>
      <c r="Y700" s="236"/>
      <c r="Z700" s="236"/>
      <c r="AA700" s="228"/>
      <c r="AB700" s="236"/>
      <c r="AC700" s="236"/>
      <c r="AD700" s="228"/>
      <c r="AE700" s="236"/>
      <c r="AF700" s="236"/>
      <c r="AG700" s="228"/>
      <c r="AH700" s="236"/>
      <c r="AI700" s="236"/>
      <c r="AJ700" s="228"/>
      <c r="AK700" s="236"/>
      <c r="AL700" s="236"/>
      <c r="AM700" s="228"/>
      <c r="AN700" s="236"/>
      <c r="AO700" s="236"/>
      <c r="AP700" s="40"/>
      <c r="AQ700" s="40"/>
      <c r="AR700" s="40"/>
      <c r="AS700" s="40"/>
      <c r="AT700" s="40"/>
      <c r="AU700" s="40"/>
      <c r="AV700" s="40"/>
      <c r="AW700" s="40"/>
      <c r="AX700" s="40"/>
      <c r="AY700" s="40"/>
      <c r="AZ700" s="40"/>
      <c r="BA700" s="40"/>
      <c r="BB700" s="40"/>
      <c r="BC700" s="40"/>
      <c r="BD700" s="40"/>
      <c r="BE700" s="40"/>
      <c r="BF700" s="40"/>
      <c r="BG700" s="40"/>
      <c r="BH700" s="40"/>
      <c r="BI700" s="40"/>
    </row>
    <row r="701" ht="15.75" customHeight="1">
      <c r="A701" s="33"/>
      <c r="B701" s="228"/>
      <c r="C701" s="228"/>
      <c r="D701" s="236"/>
      <c r="E701" s="236"/>
      <c r="F701" s="228"/>
      <c r="G701" s="236"/>
      <c r="H701" s="236"/>
      <c r="I701" s="228"/>
      <c r="J701" s="236"/>
      <c r="K701" s="236"/>
      <c r="L701" s="228"/>
      <c r="M701" s="236"/>
      <c r="N701" s="236"/>
      <c r="O701" s="228"/>
      <c r="P701" s="236"/>
      <c r="Q701" s="236"/>
      <c r="R701" s="228"/>
      <c r="S701" s="236"/>
      <c r="T701" s="236"/>
      <c r="U701" s="228"/>
      <c r="V701" s="236"/>
      <c r="W701" s="236"/>
      <c r="X701" s="228"/>
      <c r="Y701" s="236"/>
      <c r="Z701" s="236"/>
      <c r="AA701" s="228"/>
      <c r="AB701" s="236"/>
      <c r="AC701" s="236"/>
      <c r="AD701" s="228"/>
      <c r="AE701" s="236"/>
      <c r="AF701" s="236"/>
      <c r="AG701" s="228"/>
      <c r="AH701" s="236"/>
      <c r="AI701" s="236"/>
      <c r="AJ701" s="228"/>
      <c r="AK701" s="236"/>
      <c r="AL701" s="236"/>
      <c r="AM701" s="228"/>
      <c r="AN701" s="236"/>
      <c r="AO701" s="236"/>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0" priority="1" stopIfTrue="1">
      <formula>"esterreur(reference)"</formula>
    </cfRule>
  </conditionalFormatting>
  <conditionalFormatting sqref="C9 C11:C17 C19:C27 C97:AO121 C168:D170 C213:D213 C232:D232 C236:D238 C269:D269 C292:D293 C297:E332 C333:D333 C356:D358 C403:D403 D122:E124 E253:E254 F298:K319 F320:G331 F332:K332 H321:H331 I320:J331 K321:K331">
    <cfRule type="expression" dxfId="0" priority="2" stopIfTrue="1">
      <formula>"esterreur(reference)"</formula>
    </cfRule>
  </conditionalFormatting>
  <conditionalFormatting sqref="C94">
    <cfRule type="expression" dxfId="0" priority="3" stopIfTrue="1">
      <formula>"esterreur(reference)"</formula>
    </cfRule>
  </conditionalFormatting>
  <conditionalFormatting sqref="C173">
    <cfRule type="expression" dxfId="0" priority="4" stopIfTrue="1">
      <formula>"esterreur(reference)"</formula>
    </cfRule>
  </conditionalFormatting>
  <conditionalFormatting sqref="C241">
    <cfRule type="expression" dxfId="0" priority="5" stopIfTrue="1">
      <formula>"esterreur(reference)"</formula>
    </cfRule>
  </conditionalFormatting>
  <conditionalFormatting sqref="C296">
    <cfRule type="expression" dxfId="0" priority="6" stopIfTrue="1">
      <formula>"esterreur(reference)"</formula>
    </cfRule>
  </conditionalFormatting>
  <conditionalFormatting sqref="C361">
    <cfRule type="expression" dxfId="0" priority="7" stopIfTrue="1">
      <formula>"esterreur(reference)"</formula>
    </cfRule>
  </conditionalFormatting>
  <conditionalFormatting sqref="C407">
    <cfRule type="expression" dxfId="0" priority="8" stopIfTrue="1">
      <formula>"esterreur(reference)"</formula>
    </cfRule>
  </conditionalFormatting>
  <conditionalFormatting sqref="C253:D257">
    <cfRule type="expression" dxfId="0" priority="9" stopIfTrue="1">
      <formula>"esterreur(reference)"</formula>
    </cfRule>
  </conditionalFormatting>
  <conditionalFormatting sqref="C28:AO75">
    <cfRule type="expression" dxfId="0" priority="10" stopIfTrue="1">
      <formula>"esterreur(reference)"</formula>
    </cfRule>
  </conditionalFormatting>
  <conditionalFormatting sqref="C86:AO91">
    <cfRule type="expression" dxfId="0" priority="11" stopIfTrue="1">
      <formula>"esterreur(reference)"</formula>
    </cfRule>
  </conditionalFormatting>
  <conditionalFormatting sqref="C93:AO93 C172:AO172 C240:AO240 C295:AO295 E169:AO170 E237:AO238 E293:AO293 F356:G358 F403:G403 I356:J358 I403:J403">
    <cfRule type="expression" dxfId="0" priority="12" stopIfTrue="1">
      <formula>"esterreur(reference)"</formula>
    </cfRule>
  </conditionalFormatting>
  <conditionalFormatting sqref="C138:AO156">
    <cfRule type="expression" dxfId="0" priority="13" stopIfTrue="1">
      <formula>"esterreur(reference)"</formula>
    </cfRule>
  </conditionalFormatting>
  <conditionalFormatting sqref="C174:AO212">
    <cfRule type="expression" dxfId="0" priority="14" stopIfTrue="1">
      <formula>"esterreur(reference)"</formula>
    </cfRule>
  </conditionalFormatting>
  <conditionalFormatting sqref="C246:AO246">
    <cfRule type="expression" dxfId="0" priority="15" stopIfTrue="1">
      <formula>"esterreur(reference)"</formula>
    </cfRule>
  </conditionalFormatting>
  <conditionalFormatting sqref="C270:AO288 AH291:AI291 AH292 AK291:AL291 AK292 AN291:AO291 AN292">
    <cfRule type="expression" dxfId="0" priority="16" stopIfTrue="1">
      <formula>"esterreur(reference)"</formula>
    </cfRule>
  </conditionalFormatting>
  <conditionalFormatting sqref="C334:AO352 AH355:AI355 AH356 AK355:AL355 AK356 AN355:AO355 AN356">
    <cfRule type="expression" dxfId="0" priority="17" stopIfTrue="1">
      <formula>"esterreur(reference)"</formula>
    </cfRule>
  </conditionalFormatting>
  <conditionalFormatting sqref="C360:AO360">
    <cfRule type="expression" dxfId="0" priority="18" stopIfTrue="1">
      <formula>"esterreur(reference)"</formula>
    </cfRule>
  </conditionalFormatting>
  <conditionalFormatting sqref="C362:AO397">
    <cfRule type="expression" dxfId="0" priority="19" stopIfTrue="1">
      <formula>"esterreur(reference)"</formula>
    </cfRule>
  </conditionalFormatting>
  <conditionalFormatting sqref="C399:AO402">
    <cfRule type="expression" dxfId="0" priority="20" stopIfTrue="1">
      <formula>"esterreur(reference)"</formula>
    </cfRule>
  </conditionalFormatting>
  <conditionalFormatting sqref="D398">
    <cfRule type="expression" dxfId="0" priority="21" stopIfTrue="1">
      <formula>"esterreur(reference)"</formula>
    </cfRule>
  </conditionalFormatting>
  <conditionalFormatting sqref="C125:Q137 C159:AO160 C167:AF167 C214:AO231 C235:AF235 C242:AO243 C252:AF252 C255:AO268 C291:AF291 C355:AF355 E9:F9 E11:F17 E19:F27 F168:G168 F213:G213 F232:G232 F236:G236 F269:G269 F292:G292 F333:G333 G122:H124 H9:I9 H11:I17 H19:I27 H253:H254 I168:J168 I213:J213 I232:J232 I236:J236 I269:J269 I292:J292 I333:J333 J122:K124 K9:K17 K19:L27 K253:K254">
    <cfRule type="expression" dxfId="0" priority="22" stopIfTrue="1">
      <formula>"esterreur(reference)"</formula>
    </cfRule>
  </conditionalFormatting>
  <conditionalFormatting sqref="F6 I6 L6 O6 R6 U6 X6 AA6 AD6 AG6 AJ6 AM6">
    <cfRule type="expression" dxfId="0" priority="23" stopIfTrue="1">
      <formula>"esterreur(reference)"</formula>
    </cfRule>
  </conditionalFormatting>
  <conditionalFormatting sqref="F94">
    <cfRule type="expression" dxfId="0" priority="24" stopIfTrue="1">
      <formula>"esterreur(reference)"</formula>
    </cfRule>
  </conditionalFormatting>
  <conditionalFormatting sqref="F173">
    <cfRule type="expression" dxfId="0" priority="25" stopIfTrue="1">
      <formula>"esterreur(reference)"</formula>
    </cfRule>
  </conditionalFormatting>
  <conditionalFormatting sqref="F241">
    <cfRule type="expression" dxfId="0" priority="26" stopIfTrue="1">
      <formula>"esterreur(reference)"</formula>
    </cfRule>
  </conditionalFormatting>
  <conditionalFormatting sqref="F296:F297">
    <cfRule type="expression" dxfId="0" priority="27" stopIfTrue="1">
      <formula>"esterreur(reference)"</formula>
    </cfRule>
  </conditionalFormatting>
  <conditionalFormatting sqref="F361">
    <cfRule type="expression" dxfId="0" priority="28" stopIfTrue="1">
      <formula>"esterreur(reference)"</formula>
    </cfRule>
  </conditionalFormatting>
  <conditionalFormatting sqref="F407">
    <cfRule type="expression" dxfId="0" priority="29" stopIfTrue="1">
      <formula>"esterreur(reference)"</formula>
    </cfRule>
  </conditionalFormatting>
  <conditionalFormatting sqref="F253:G257 I253:J257">
    <cfRule type="expression" dxfId="0" priority="30" stopIfTrue="1">
      <formula>"esterreur(reference)"</formula>
    </cfRule>
  </conditionalFormatting>
  <conditionalFormatting sqref="G398 J398">
    <cfRule type="expression" dxfId="0" priority="31" stopIfTrue="1">
      <formula>"esterreur(reference)"</formula>
    </cfRule>
  </conditionalFormatting>
  <conditionalFormatting sqref="G297:K297">
    <cfRule type="expression" dxfId="0" priority="32" stopIfTrue="1">
      <formula>"esterreur(reference)"</formula>
    </cfRule>
  </conditionalFormatting>
  <conditionalFormatting sqref="I94 L94 O94 R94">
    <cfRule type="expression" dxfId="0" priority="33" stopIfTrue="1">
      <formula>"esterreur(reference)"</formula>
    </cfRule>
  </conditionalFormatting>
  <conditionalFormatting sqref="I173 L173 O173 R173">
    <cfRule type="expression" dxfId="0" priority="34" stopIfTrue="1">
      <formula>"esterreur(reference)"</formula>
    </cfRule>
  </conditionalFormatting>
  <conditionalFormatting sqref="I241 L241 O241 R241">
    <cfRule type="expression" dxfId="0" priority="35" stopIfTrue="1">
      <formula>"esterreur(reference)"</formula>
    </cfRule>
  </conditionalFormatting>
  <conditionalFormatting sqref="I296 L296 O296 R296">
    <cfRule type="expression" dxfId="0" priority="36" stopIfTrue="1">
      <formula>"esterreur(reference)"</formula>
    </cfRule>
  </conditionalFormatting>
  <conditionalFormatting sqref="I361 L361 O361 R361">
    <cfRule type="expression" dxfId="0" priority="37" stopIfTrue="1">
      <formula>"esterreur(reference)"</formula>
    </cfRule>
  </conditionalFormatting>
  <conditionalFormatting sqref="I407 L407 O407 R407">
    <cfRule type="expression" dxfId="0" priority="38" stopIfTrue="1">
      <formula>"esterreur(reference)"</formula>
    </cfRule>
  </conditionalFormatting>
  <conditionalFormatting sqref="L9 L11:L17 L168:M168 L213:M213 L232:M232 L236:M236 L269:M269 L292:M292 L333:M333 M122:N124 N9:O9 N11:O17 N19:O27 N253:N254 O168:P168 O213:P213 O232:P232 O236:P236 O269:P269 O292:P292 O333:P333 P122:Q124 Q9:R9 Q11:R17 Q19:R27 Q253:Q254 R168:S168 R213:S213 R232:S232 R236:S236 R269:S269 R292:S292 R333:S333 S122:T125 T9:U9 T11:U17 T19:U27 T253:T254 U168:V168 U213:V213 U232:V232 U236:V236 U269:V269 U292:V292 U333:V333 V122:W125 W9:X9 W11:X17 W19:X27 W253:W254 X168:Y168 X213:Y213 X232:Y232 X236:Y236 X269:Y269 X292:Y292 X333:Y333 Y122:Z125 Z9:AA9 Z11:AA17 Z19:AA27 Z253:Z254 AA168:AB168 AA213:AB213 AA232:AB232 AA236:AB236 AA269:AB269 AA292:AB292 AA333:AB333 AB122:AC125 AC9:AD9 AC11:AD17 AC19:AD27 AC253:AC254 AD168:AE168 AD213:AE213 AD232:AE232 AD236:AE236 AD269:AE269 AD292:AE292 AD333:AE333 AE122:AF125 AF253:AF254">
    <cfRule type="expression" dxfId="0" priority="39" stopIfTrue="1">
      <formula>"esterreur(reference)"</formula>
    </cfRule>
  </conditionalFormatting>
  <conditionalFormatting sqref="L253:M257 O253:P257 R253:S257 U253:V257 X253:Y257">
    <cfRule type="expression" dxfId="0" priority="40" stopIfTrue="1">
      <formula>"esterreur(reference)"</formula>
    </cfRule>
  </conditionalFormatting>
  <conditionalFormatting sqref="L356:M358 L403:M403 O356:P358 O403:P403 R356:S358 R403:S403 U356:V358 U403:V403 X356:Y358 X403:Y403 AA356:AB358 AA403:AB403 AD356:AE358 AD403:AE403">
    <cfRule type="expression" dxfId="0" priority="41" stopIfTrue="1">
      <formula>"esterreur(reference)"</formula>
    </cfRule>
  </conditionalFormatting>
  <conditionalFormatting sqref="L297:AO332">
    <cfRule type="expression" dxfId="0" priority="42" stopIfTrue="1">
      <formula>"esterreur(reference)"</formula>
    </cfRule>
  </conditionalFormatting>
  <conditionalFormatting sqref="M398 P398 S398 V398">
    <cfRule type="expression" dxfId="0" priority="43" stopIfTrue="1">
      <formula>"esterreur(reference)"</formula>
    </cfRule>
  </conditionalFormatting>
  <conditionalFormatting sqref="U94">
    <cfRule type="expression" dxfId="0" priority="44" stopIfTrue="1">
      <formula>"esterreur(reference)"</formula>
    </cfRule>
  </conditionalFormatting>
  <conditionalFormatting sqref="U173">
    <cfRule type="expression" dxfId="0" priority="45" stopIfTrue="1">
      <formula>"esterreur(reference)"</formula>
    </cfRule>
  </conditionalFormatting>
  <conditionalFormatting sqref="U241">
    <cfRule type="expression" dxfId="0" priority="46" stopIfTrue="1">
      <formula>"esterreur(reference)"</formula>
    </cfRule>
  </conditionalFormatting>
  <conditionalFormatting sqref="U296">
    <cfRule type="expression" dxfId="0" priority="47" stopIfTrue="1">
      <formula>"esterreur(reference)"</formula>
    </cfRule>
  </conditionalFormatting>
  <conditionalFormatting sqref="U361">
    <cfRule type="expression" dxfId="0" priority="48" stopIfTrue="1">
      <formula>"esterreur(reference)"</formula>
    </cfRule>
  </conditionalFormatting>
  <conditionalFormatting sqref="U407">
    <cfRule type="expression" dxfId="0" priority="49" stopIfTrue="1">
      <formula>"esterreur(reference)"</formula>
    </cfRule>
  </conditionalFormatting>
  <conditionalFormatting sqref="X94">
    <cfRule type="expression" dxfId="0" priority="50" stopIfTrue="1">
      <formula>"esterreur(reference)"</formula>
    </cfRule>
  </conditionalFormatting>
  <conditionalFormatting sqref="X173">
    <cfRule type="expression" dxfId="0" priority="51" stopIfTrue="1">
      <formula>"esterreur(reference)"</formula>
    </cfRule>
  </conditionalFormatting>
  <conditionalFormatting sqref="X241">
    <cfRule type="expression" dxfId="0" priority="52" stopIfTrue="1">
      <formula>"esterreur(reference)"</formula>
    </cfRule>
  </conditionalFormatting>
  <conditionalFormatting sqref="X296">
    <cfRule type="expression" dxfId="0" priority="53" stopIfTrue="1">
      <formula>"esterreur(reference)"</formula>
    </cfRule>
  </conditionalFormatting>
  <conditionalFormatting sqref="X361">
    <cfRule type="expression" dxfId="0" priority="54" stopIfTrue="1">
      <formula>"esterreur(reference)"</formula>
    </cfRule>
  </conditionalFormatting>
  <conditionalFormatting sqref="X407">
    <cfRule type="expression" dxfId="0" priority="55" stopIfTrue="1">
      <formula>"esterreur(reference)"</formula>
    </cfRule>
  </conditionalFormatting>
  <conditionalFormatting sqref="Y398">
    <cfRule type="expression" dxfId="0" priority="56" stopIfTrue="1">
      <formula>"esterreur(reference)"</formula>
    </cfRule>
  </conditionalFormatting>
  <conditionalFormatting sqref="AA94">
    <cfRule type="expression" dxfId="0" priority="57" stopIfTrue="1">
      <formula>"esterreur(reference)"</formula>
    </cfRule>
  </conditionalFormatting>
  <conditionalFormatting sqref="AA173">
    <cfRule type="expression" dxfId="0" priority="58" stopIfTrue="1">
      <formula>"esterreur(reference)"</formula>
    </cfRule>
  </conditionalFormatting>
  <conditionalFormatting sqref="AA241">
    <cfRule type="expression" dxfId="0" priority="59" stopIfTrue="1">
      <formula>"esterreur(reference)"</formula>
    </cfRule>
  </conditionalFormatting>
  <conditionalFormatting sqref="AA296">
    <cfRule type="expression" dxfId="0" priority="60" stopIfTrue="1">
      <formula>"esterreur(reference)"</formula>
    </cfRule>
  </conditionalFormatting>
  <conditionalFormatting sqref="AA361">
    <cfRule type="expression" dxfId="0" priority="61" stopIfTrue="1">
      <formula>"esterreur(reference)"</formula>
    </cfRule>
  </conditionalFormatting>
  <conditionalFormatting sqref="AA407">
    <cfRule type="expression" dxfId="0" priority="62" stopIfTrue="1">
      <formula>"esterreur(reference)"</formula>
    </cfRule>
  </conditionalFormatting>
  <conditionalFormatting sqref="AA253:AB257">
    <cfRule type="expression" dxfId="0" priority="63" stopIfTrue="1">
      <formula>"esterreur(reference)"</formula>
    </cfRule>
  </conditionalFormatting>
  <conditionalFormatting sqref="AB398">
    <cfRule type="expression" dxfId="0" priority="64" stopIfTrue="1">
      <formula>"esterreur(reference)"</formula>
    </cfRule>
  </conditionalFormatting>
  <conditionalFormatting sqref="AD94">
    <cfRule type="expression" dxfId="0" priority="65" stopIfTrue="1">
      <formula>"esterreur(reference)"</formula>
    </cfRule>
  </conditionalFormatting>
  <conditionalFormatting sqref="AD173">
    <cfRule type="expression" dxfId="0" priority="66" stopIfTrue="1">
      <formula>"esterreur(reference)"</formula>
    </cfRule>
  </conditionalFormatting>
  <conditionalFormatting sqref="AD241">
    <cfRule type="expression" dxfId="0" priority="67" stopIfTrue="1">
      <formula>"esterreur(reference)"</formula>
    </cfRule>
  </conditionalFormatting>
  <conditionalFormatting sqref="AD296">
    <cfRule type="expression" dxfId="0" priority="68" stopIfTrue="1">
      <formula>"esterreur(reference)"</formula>
    </cfRule>
  </conditionalFormatting>
  <conditionalFormatting sqref="AD361">
    <cfRule type="expression" dxfId="0" priority="69" stopIfTrue="1">
      <formula>"esterreur(reference)"</formula>
    </cfRule>
  </conditionalFormatting>
  <conditionalFormatting sqref="AD407">
    <cfRule type="expression" dxfId="0" priority="70" stopIfTrue="1">
      <formula>"esterreur(reference)"</formula>
    </cfRule>
  </conditionalFormatting>
  <conditionalFormatting sqref="AD253:AE257">
    <cfRule type="expression" dxfId="0" priority="71" stopIfTrue="1">
      <formula>"esterreur(reference)"</formula>
    </cfRule>
  </conditionalFormatting>
  <conditionalFormatting sqref="AE398">
    <cfRule type="expression" dxfId="0" priority="72" stopIfTrue="1">
      <formula>"esterreur(reference)"</formula>
    </cfRule>
  </conditionalFormatting>
  <conditionalFormatting sqref="R126:AO137 AF9:AG9 AG167:AH168 AG235:AG236 AG291:AG292 AG355:AG356 AI9:AJ9 AJ167:AK168 AJ235:AJ236 AJ291:AJ292 AJ355:AJ356 AL9:AM9">
    <cfRule type="expression" dxfId="0" priority="73" stopIfTrue="1">
      <formula>"esterreur(reference)"</formula>
    </cfRule>
  </conditionalFormatting>
  <conditionalFormatting sqref="AF11:AG17 AI11:AJ17">
    <cfRule type="expression" dxfId="0" priority="74" stopIfTrue="1">
      <formula>"esterreur(reference)"</formula>
    </cfRule>
  </conditionalFormatting>
  <conditionalFormatting sqref="AF19:AG27 AI19:AJ27">
    <cfRule type="expression" dxfId="0" priority="75" stopIfTrue="1">
      <formula>"esterreur(reference)"</formula>
    </cfRule>
  </conditionalFormatting>
  <conditionalFormatting sqref="AG94">
    <cfRule type="expression" dxfId="0" priority="76" stopIfTrue="1">
      <formula>"esterreur(reference)"</formula>
    </cfRule>
  </conditionalFormatting>
  <conditionalFormatting sqref="AG173">
    <cfRule type="expression" dxfId="0" priority="77" stopIfTrue="1">
      <formula>"esterreur(reference)"</formula>
    </cfRule>
  </conditionalFormatting>
  <conditionalFormatting sqref="AG241">
    <cfRule type="expression" dxfId="0" priority="78" stopIfTrue="1">
      <formula>"esterreur(reference)"</formula>
    </cfRule>
  </conditionalFormatting>
  <conditionalFormatting sqref="AG296">
    <cfRule type="expression" dxfId="0" priority="79" stopIfTrue="1">
      <formula>"esterreur(reference)"</formula>
    </cfRule>
  </conditionalFormatting>
  <conditionalFormatting sqref="AG361">
    <cfRule type="expression" dxfId="0" priority="80" stopIfTrue="1">
      <formula>"esterreur(reference)"</formula>
    </cfRule>
  </conditionalFormatting>
  <conditionalFormatting sqref="AG407">
    <cfRule type="expression" dxfId="0" priority="81" stopIfTrue="1">
      <formula>"esterreur(reference)"</formula>
    </cfRule>
  </conditionalFormatting>
  <conditionalFormatting sqref="AG213:AH213">
    <cfRule type="expression" dxfId="0" priority="82" stopIfTrue="1">
      <formula>"esterreur(reference)"</formula>
    </cfRule>
  </conditionalFormatting>
  <conditionalFormatting sqref="AG232:AH232 AH235:AI235 AH236 AJ232:AK232 AK235:AL235 AK236 AM232:AN232 AN235:AO235 AN236">
    <cfRule type="expression" dxfId="0" priority="83" stopIfTrue="1">
      <formula>"esterreur(reference)"</formula>
    </cfRule>
  </conditionalFormatting>
  <conditionalFormatting sqref="AG255:AH257">
    <cfRule type="expression" dxfId="0" priority="84" stopIfTrue="1">
      <formula>"esterreur(reference)"</formula>
    </cfRule>
  </conditionalFormatting>
  <conditionalFormatting sqref="AG269:AH269 AJ269:AK269 AM269:AN269">
    <cfRule type="expression" dxfId="0" priority="85" stopIfTrue="1">
      <formula>"esterreur(reference)"</formula>
    </cfRule>
  </conditionalFormatting>
  <conditionalFormatting sqref="AG333:AH333">
    <cfRule type="expression" dxfId="0" priority="86" stopIfTrue="1">
      <formula>"esterreur(reference)"</formula>
    </cfRule>
  </conditionalFormatting>
  <conditionalFormatting sqref="AG357:AH358 AG403:AH403 AJ357:AK358 AJ403:AK403">
    <cfRule type="expression" dxfId="0" priority="87" stopIfTrue="1">
      <formula>"esterreur(reference)"</formula>
    </cfRule>
  </conditionalFormatting>
  <conditionalFormatting sqref="AG252:AO254">
    <cfRule type="expression" dxfId="0" priority="88" stopIfTrue="1">
      <formula>"esterreur(reference)"</formula>
    </cfRule>
  </conditionalFormatting>
  <conditionalFormatting sqref="AH77">
    <cfRule type="expression" dxfId="0" priority="89" stopIfTrue="1">
      <formula>"esterreur(reference)"</formula>
    </cfRule>
  </conditionalFormatting>
  <conditionalFormatting sqref="AG125:AH125 AH122:AH124">
    <cfRule type="expression" dxfId="0" priority="90" stopIfTrue="1">
      <formula>"esterreur(reference)"</formula>
    </cfRule>
  </conditionalFormatting>
  <conditionalFormatting sqref="AH158">
    <cfRule type="expression" dxfId="0" priority="91" stopIfTrue="1">
      <formula>"esterreur(reference)"</formula>
    </cfRule>
  </conditionalFormatting>
  <conditionalFormatting sqref="AH234 AK234 AN234">
    <cfRule type="expression" dxfId="0" priority="92" stopIfTrue="1">
      <formula>"esterreur(reference)"</formula>
    </cfRule>
  </conditionalFormatting>
  <conditionalFormatting sqref="AH290 AK290 AN290">
    <cfRule type="expression" dxfId="0" priority="93" stopIfTrue="1">
      <formula>"esterreur(reference)"</formula>
    </cfRule>
  </conditionalFormatting>
  <conditionalFormatting sqref="AH398 AK398 AN398">
    <cfRule type="expression" dxfId="0" priority="94" stopIfTrue="1">
      <formula>"esterreur(reference)"</formula>
    </cfRule>
  </conditionalFormatting>
  <conditionalFormatting sqref="AI122:AI125 AL122:AL125 AO122:AO125">
    <cfRule type="expression" dxfId="0" priority="95" stopIfTrue="1">
      <formula>"esterreur(reference)"</formula>
    </cfRule>
  </conditionalFormatting>
  <conditionalFormatting sqref="AI167">
    <cfRule type="expression" dxfId="0" priority="96" stopIfTrue="1">
      <formula>"esterreur(reference)"</formula>
    </cfRule>
  </conditionalFormatting>
  <conditionalFormatting sqref="AJ94">
    <cfRule type="expression" dxfId="0" priority="97" stopIfTrue="1">
      <formula>"esterreur(reference)"</formula>
    </cfRule>
  </conditionalFormatting>
  <conditionalFormatting sqref="AJ173">
    <cfRule type="expression" dxfId="0" priority="98" stopIfTrue="1">
      <formula>"esterreur(reference)"</formula>
    </cfRule>
  </conditionalFormatting>
  <conditionalFormatting sqref="AJ241">
    <cfRule type="expression" dxfId="0" priority="99" stopIfTrue="1">
      <formula>"esterreur(reference)"</formula>
    </cfRule>
  </conditionalFormatting>
  <conditionalFormatting sqref="AJ296">
    <cfRule type="expression" dxfId="0" priority="100" stopIfTrue="1">
      <formula>"esterreur(reference)"</formula>
    </cfRule>
  </conditionalFormatting>
  <conditionalFormatting sqref="AJ361">
    <cfRule type="expression" dxfId="0" priority="101" stopIfTrue="1">
      <formula>"esterreur(reference)"</formula>
    </cfRule>
  </conditionalFormatting>
  <conditionalFormatting sqref="AJ407">
    <cfRule type="expression" dxfId="0" priority="102" stopIfTrue="1">
      <formula>"esterreur(reference)"</formula>
    </cfRule>
  </conditionalFormatting>
  <conditionalFormatting sqref="AJ213:AK213">
    <cfRule type="expression" dxfId="0" priority="103" stopIfTrue="1">
      <formula>"esterreur(reference)"</formula>
    </cfRule>
  </conditionalFormatting>
  <conditionalFormatting sqref="AJ255:AK257">
    <cfRule type="expression" dxfId="0" priority="104" stopIfTrue="1">
      <formula>"esterreur(reference)"</formula>
    </cfRule>
  </conditionalFormatting>
  <conditionalFormatting sqref="AJ333:AK333">
    <cfRule type="expression" dxfId="0" priority="105" stopIfTrue="1">
      <formula>"esterreur(reference)"</formula>
    </cfRule>
  </conditionalFormatting>
  <conditionalFormatting sqref="AK77">
    <cfRule type="expression" dxfId="0" priority="106" stopIfTrue="1">
      <formula>"esterreur(reference)"</formula>
    </cfRule>
  </conditionalFormatting>
  <conditionalFormatting sqref="AJ125:AK125 AK122:AK124">
    <cfRule type="expression" dxfId="0" priority="107" stopIfTrue="1">
      <formula>"esterreur(reference)"</formula>
    </cfRule>
  </conditionalFormatting>
  <conditionalFormatting sqref="AK158">
    <cfRule type="expression" dxfId="0" priority="108" stopIfTrue="1">
      <formula>"esterreur(reference)"</formula>
    </cfRule>
  </conditionalFormatting>
  <conditionalFormatting sqref="AL167">
    <cfRule type="expression" dxfId="0" priority="109" stopIfTrue="1">
      <formula>"esterreur(reference)"</formula>
    </cfRule>
  </conditionalFormatting>
  <conditionalFormatting sqref="AL11:AM17 AO11:AO17">
    <cfRule type="expression" dxfId="0" priority="110" stopIfTrue="1">
      <formula>"esterreur(reference)"</formula>
    </cfRule>
  </conditionalFormatting>
  <conditionalFormatting sqref="AL19:AM27 AO19:AO27">
    <cfRule type="expression" dxfId="0" priority="111" stopIfTrue="1">
      <formula>"esterreur(reference)"</formula>
    </cfRule>
  </conditionalFormatting>
  <conditionalFormatting sqref="AM94">
    <cfRule type="expression" dxfId="0" priority="112" stopIfTrue="1">
      <formula>"esterreur(reference)"</formula>
    </cfRule>
  </conditionalFormatting>
  <conditionalFormatting sqref="AM173">
    <cfRule type="expression" dxfId="0" priority="113" stopIfTrue="1">
      <formula>"esterreur(reference)"</formula>
    </cfRule>
  </conditionalFormatting>
  <conditionalFormatting sqref="AM241">
    <cfRule type="expression" dxfId="0" priority="114" stopIfTrue="1">
      <formula>"esterreur(reference)"</formula>
    </cfRule>
  </conditionalFormatting>
  <conditionalFormatting sqref="AM296">
    <cfRule type="expression" dxfId="0" priority="115" stopIfTrue="1">
      <formula>"esterreur(reference)"</formula>
    </cfRule>
  </conditionalFormatting>
  <conditionalFormatting sqref="AM361">
    <cfRule type="expression" dxfId="0" priority="116" stopIfTrue="1">
      <formula>"esterreur(reference)"</formula>
    </cfRule>
  </conditionalFormatting>
  <conditionalFormatting sqref="AM407">
    <cfRule type="expression" dxfId="0" priority="117" stopIfTrue="1">
      <formula>"esterreur(reference)"</formula>
    </cfRule>
  </conditionalFormatting>
  <conditionalFormatting sqref="AM213:AN213">
    <cfRule type="expression" dxfId="0" priority="118" stopIfTrue="1">
      <formula>"esterreur(reference)"</formula>
    </cfRule>
  </conditionalFormatting>
  <conditionalFormatting sqref="AM255:AN257">
    <cfRule type="expression" dxfId="0" priority="119" stopIfTrue="1">
      <formula>"esterreur(reference)"</formula>
    </cfRule>
  </conditionalFormatting>
  <conditionalFormatting sqref="AM333:AN333">
    <cfRule type="expression" dxfId="0" priority="120" stopIfTrue="1">
      <formula>"esterreur(reference)"</formula>
    </cfRule>
  </conditionalFormatting>
  <conditionalFormatting sqref="AM357:AN358 AM403:AN403">
    <cfRule type="expression" dxfId="0" priority="121" stopIfTrue="1">
      <formula>"esterreur(reference)"</formula>
    </cfRule>
  </conditionalFormatting>
  <conditionalFormatting sqref="AN77">
    <cfRule type="expression" dxfId="0" priority="122" stopIfTrue="1">
      <formula>"esterreur(reference)"</formula>
    </cfRule>
  </conditionalFormatting>
  <conditionalFormatting sqref="AM125:AN125 AN122:AN124">
    <cfRule type="expression" dxfId="0" priority="123" stopIfTrue="1">
      <formula>"esterreur(reference)"</formula>
    </cfRule>
  </conditionalFormatting>
  <conditionalFormatting sqref="AN158">
    <cfRule type="expression" dxfId="0" priority="124" stopIfTrue="1">
      <formula>"esterreur(reference)"</formula>
    </cfRule>
  </conditionalFormatting>
  <conditionalFormatting sqref="AM167:AN168 AM235:AM236 AM291:AM292 AM355:AM356 AO9">
    <cfRule type="expression" dxfId="0" priority="125" stopIfTrue="1">
      <formula>"esterreur(reference)"</formula>
    </cfRule>
  </conditionalFormatting>
  <conditionalFormatting sqref="AO167">
    <cfRule type="expression" dxfId="0" priority="126" stopIfTrue="1">
      <formula>"esterreur(reference)"</formula>
    </cfRule>
  </conditionalFormatting>
  <printOptions horizontalCentered="1"/>
  <pageMargins bottom="0.0" footer="0.0" header="0.0" left="0.0" right="0.0" top="0.0"/>
  <pageSetup paperSize="5" orientation="landscape"/>
  <rowBreaks count="6" manualBreakCount="6">
    <brk id="402" man="1"/>
    <brk id="356" man="1"/>
    <brk id="292" man="1"/>
    <brk id="168" man="1"/>
    <brk id="88" man="1"/>
    <brk id="236" man="1"/>
  </rowBrea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2.63" defaultRowHeight="15.0"/>
  <cols>
    <col customWidth="1" hidden="1" min="1" max="1" width="11.63"/>
    <col customWidth="1" min="2" max="2" width="12.13"/>
    <col customWidth="1" min="3" max="3" width="27.0"/>
    <col customWidth="1" min="4" max="4" width="22.75"/>
    <col customWidth="1" min="5" max="7" width="13.63"/>
    <col customWidth="1" min="8" max="19" width="10.5"/>
    <col customWidth="1" min="20" max="20" width="37.88"/>
    <col customWidth="1" min="21" max="26" width="11.0"/>
  </cols>
  <sheetData>
    <row r="1">
      <c r="A1" s="265" t="s">
        <v>232</v>
      </c>
      <c r="B1" s="265" t="s">
        <v>232</v>
      </c>
      <c r="C1" s="3"/>
      <c r="D1" s="265"/>
      <c r="E1" s="265"/>
      <c r="F1" s="265"/>
      <c r="G1" s="265"/>
      <c r="H1" s="265"/>
      <c r="I1" s="265"/>
      <c r="J1" s="265"/>
      <c r="K1" s="265"/>
      <c r="L1" s="265"/>
      <c r="M1" s="265"/>
      <c r="N1" s="265"/>
      <c r="O1" s="265"/>
      <c r="P1" s="265"/>
      <c r="Q1" s="265"/>
      <c r="R1" s="265"/>
      <c r="S1" s="265"/>
      <c r="T1" s="265"/>
      <c r="U1" s="3"/>
      <c r="V1" s="3"/>
      <c r="W1" s="3"/>
      <c r="X1" s="3"/>
      <c r="Y1" s="3"/>
      <c r="Z1" s="3"/>
    </row>
    <row r="2">
      <c r="A2" s="266" t="s">
        <v>233</v>
      </c>
      <c r="B2" s="266" t="s">
        <v>234</v>
      </c>
      <c r="C2" s="3"/>
      <c r="D2" s="266"/>
      <c r="E2" s="266"/>
      <c r="F2" s="266"/>
      <c r="G2" s="266"/>
      <c r="H2" s="267">
        <v>1.0</v>
      </c>
      <c r="I2" s="267">
        <v>2.0</v>
      </c>
      <c r="J2" s="267">
        <v>3.0</v>
      </c>
      <c r="K2" s="267">
        <v>4.0</v>
      </c>
      <c r="L2" s="267">
        <v>5.0</v>
      </c>
      <c r="M2" s="267">
        <v>6.0</v>
      </c>
      <c r="N2" s="267">
        <v>7.0</v>
      </c>
      <c r="O2" s="267">
        <v>8.0</v>
      </c>
      <c r="P2" s="267">
        <v>9.0</v>
      </c>
      <c r="Q2" s="267">
        <v>10.0</v>
      </c>
      <c r="R2" s="267">
        <v>11.0</v>
      </c>
      <c r="S2" s="267">
        <v>12.0</v>
      </c>
      <c r="T2" s="266"/>
      <c r="U2" s="3"/>
      <c r="V2" s="3"/>
      <c r="W2" s="3"/>
      <c r="X2" s="3"/>
      <c r="Y2" s="3"/>
      <c r="Z2" s="3"/>
    </row>
    <row r="3">
      <c r="A3" s="3"/>
      <c r="B3" s="3"/>
      <c r="C3" s="3"/>
      <c r="D3" s="33"/>
      <c r="E3" s="33"/>
      <c r="F3" s="33"/>
      <c r="G3" s="33"/>
      <c r="H3" s="268" t="str">
        <f>+IF(VLOOKUP(H2,Parametres!$L$3:$N$14,3,0)="X","REEL","FORECAST")</f>
        <v>REEL</v>
      </c>
      <c r="I3" s="268" t="str">
        <f>+IF(VLOOKUP(I2,Parametres!$L$3:$N$14,3,0)="X","REEL","FORECAST")</f>
        <v>REEL</v>
      </c>
      <c r="J3" s="268" t="str">
        <f>+IF(VLOOKUP(J2,Parametres!$L$3:$N$14,3,0)="X","REEL","FORECAST")</f>
        <v>REEL</v>
      </c>
      <c r="K3" s="268" t="str">
        <f>+IF(VLOOKUP(K2,Parametres!$L$3:$N$14,3,0)="X","REEL","FORECAST")</f>
        <v>REEL</v>
      </c>
      <c r="L3" s="268" t="str">
        <f>+IF(VLOOKUP(L2,Parametres!$L$3:$N$14,3,0)="X","REEL","FORECAST")</f>
        <v>REEL</v>
      </c>
      <c r="M3" s="268" t="str">
        <f>+IF(VLOOKUP(M2,Parametres!$L$3:$N$14,3,0)="X","REEL","FORECAST")</f>
        <v>REEL</v>
      </c>
      <c r="N3" s="268" t="str">
        <f>+IF(VLOOKUP(N2,Parametres!$L$3:$N$14,3,0)="X","REEL","FORECAST")</f>
        <v>REEL</v>
      </c>
      <c r="O3" s="268" t="str">
        <f>+IF(VLOOKUP(O2,Parametres!$L$3:$N$14,3,0)="X","REEL","FORECAST")</f>
        <v>REEL</v>
      </c>
      <c r="P3" s="268" t="str">
        <f>+IF(VLOOKUP(P2,Parametres!$L$3:$N$14,3,0)="X","REEL","FORECAST")</f>
        <v>REEL</v>
      </c>
      <c r="Q3" s="268" t="str">
        <f>+IF(VLOOKUP(Q2,Parametres!$L$3:$N$14,3,0)="X","REEL","FORECAST")</f>
        <v>FORECAST</v>
      </c>
      <c r="R3" s="268" t="str">
        <f>+IF(VLOOKUP(R2,Parametres!$L$3:$N$14,3,0)="X","REEL","FORECAST")</f>
        <v>FORECAST</v>
      </c>
      <c r="S3" s="268" t="str">
        <f>+IF(VLOOKUP(S2,Parametres!$L$3:$N$14,3,0)="X","REEL","FORECAST")</f>
        <v>FORECAST</v>
      </c>
      <c r="T3" s="3"/>
      <c r="U3" s="3"/>
      <c r="V3" s="3"/>
      <c r="W3" s="3"/>
      <c r="X3" s="3"/>
      <c r="Y3" s="3"/>
      <c r="Z3" s="3"/>
    </row>
    <row r="4" ht="30.0" customHeight="1">
      <c r="A4" s="269" t="s">
        <v>235</v>
      </c>
      <c r="B4" s="269" t="s">
        <v>236</v>
      </c>
      <c r="C4" s="270" t="s">
        <v>237</v>
      </c>
      <c r="D4" s="271" t="s">
        <v>238</v>
      </c>
      <c r="E4" s="272" t="s">
        <v>239</v>
      </c>
      <c r="F4" s="270" t="s">
        <v>240</v>
      </c>
      <c r="G4" s="270" t="s">
        <v>241</v>
      </c>
      <c r="H4" s="272" t="s">
        <v>242</v>
      </c>
      <c r="I4" s="270" t="s">
        <v>243</v>
      </c>
      <c r="J4" s="270" t="s">
        <v>244</v>
      </c>
      <c r="K4" s="270" t="s">
        <v>245</v>
      </c>
      <c r="L4" s="270" t="s">
        <v>246</v>
      </c>
      <c r="M4" s="270" t="s">
        <v>247</v>
      </c>
      <c r="N4" s="270" t="s">
        <v>248</v>
      </c>
      <c r="O4" s="270" t="s">
        <v>249</v>
      </c>
      <c r="P4" s="270" t="s">
        <v>250</v>
      </c>
      <c r="Q4" s="270" t="s">
        <v>251</v>
      </c>
      <c r="R4" s="270" t="s">
        <v>252</v>
      </c>
      <c r="S4" s="270" t="s">
        <v>253</v>
      </c>
      <c r="T4" s="273" t="s">
        <v>254</v>
      </c>
      <c r="U4" s="1"/>
      <c r="V4" s="1"/>
      <c r="W4" s="1"/>
      <c r="X4" s="1"/>
      <c r="Y4" s="1"/>
      <c r="Z4" s="1"/>
    </row>
    <row r="5" ht="30.0" customHeight="1">
      <c r="A5" s="274"/>
      <c r="B5" s="274"/>
      <c r="C5" s="275" t="s">
        <v>255</v>
      </c>
      <c r="D5" s="276"/>
      <c r="E5" s="277">
        <f t="shared" ref="E5:S5" si="1">+SUM(E6:E20)</f>
        <v>30931.3</v>
      </c>
      <c r="F5" s="278">
        <f t="shared" si="1"/>
        <v>40000</v>
      </c>
      <c r="G5" s="278">
        <f t="shared" si="1"/>
        <v>-9068.7</v>
      </c>
      <c r="H5" s="279">
        <f t="shared" si="1"/>
        <v>30931.3</v>
      </c>
      <c r="I5" s="280">
        <f t="shared" si="1"/>
        <v>0</v>
      </c>
      <c r="J5" s="280">
        <f t="shared" si="1"/>
        <v>0</v>
      </c>
      <c r="K5" s="280">
        <f t="shared" si="1"/>
        <v>0</v>
      </c>
      <c r="L5" s="280">
        <f t="shared" si="1"/>
        <v>0</v>
      </c>
      <c r="M5" s="280">
        <f t="shared" si="1"/>
        <v>0</v>
      </c>
      <c r="N5" s="280">
        <f t="shared" si="1"/>
        <v>0</v>
      </c>
      <c r="O5" s="280">
        <f t="shared" si="1"/>
        <v>0</v>
      </c>
      <c r="P5" s="280">
        <f t="shared" si="1"/>
        <v>0</v>
      </c>
      <c r="Q5" s="280">
        <f t="shared" si="1"/>
        <v>0</v>
      </c>
      <c r="R5" s="280">
        <f t="shared" si="1"/>
        <v>0</v>
      </c>
      <c r="S5" s="280">
        <f t="shared" si="1"/>
        <v>0</v>
      </c>
      <c r="T5" s="281"/>
      <c r="U5" s="3"/>
      <c r="V5" s="3"/>
      <c r="W5" s="3"/>
      <c r="X5" s="1" t="s">
        <v>63</v>
      </c>
      <c r="Y5" s="3"/>
      <c r="Z5" s="3"/>
    </row>
    <row r="6" ht="30.0" customHeight="1">
      <c r="A6" s="282" t="str">
        <f>+Parametres!$B$1</f>
        <v>Ste-Marie Auto</v>
      </c>
      <c r="B6" s="283" t="s">
        <v>256</v>
      </c>
      <c r="C6" s="284" t="s">
        <v>257</v>
      </c>
      <c r="D6" s="285"/>
      <c r="E6" s="286">
        <f t="shared" ref="E6:E20" si="2">+SUM(H6:S6)</f>
        <v>0</v>
      </c>
      <c r="F6" s="286">
        <v>40000.0</v>
      </c>
      <c r="G6" s="286">
        <f t="shared" ref="G6:G20" si="3">+E6-F6</f>
        <v>-40000</v>
      </c>
      <c r="H6" s="287"/>
      <c r="I6" s="286"/>
      <c r="J6" s="286"/>
      <c r="K6" s="286"/>
      <c r="L6" s="286"/>
      <c r="M6" s="286"/>
      <c r="N6" s="286"/>
      <c r="O6" s="286"/>
      <c r="P6" s="286"/>
      <c r="Q6" s="286"/>
      <c r="R6" s="286"/>
      <c r="S6" s="286"/>
      <c r="T6" s="288"/>
      <c r="U6" s="3"/>
      <c r="V6" s="3"/>
      <c r="W6" s="3"/>
      <c r="X6" s="3" t="s">
        <v>65</v>
      </c>
      <c r="Y6" s="3"/>
      <c r="Z6" s="3"/>
    </row>
    <row r="7" ht="30.0" customHeight="1">
      <c r="A7" s="288" t="str">
        <f>+Parametres!$B$1</f>
        <v>Ste-Marie Auto</v>
      </c>
      <c r="B7" s="289" t="s">
        <v>258</v>
      </c>
      <c r="C7" s="284" t="s">
        <v>259</v>
      </c>
      <c r="D7" s="285"/>
      <c r="E7" s="287">
        <f t="shared" si="2"/>
        <v>0</v>
      </c>
      <c r="F7" s="286"/>
      <c r="G7" s="286">
        <f t="shared" si="3"/>
        <v>0</v>
      </c>
      <c r="H7" s="287"/>
      <c r="I7" s="286"/>
      <c r="J7" s="286"/>
      <c r="K7" s="286"/>
      <c r="L7" s="286"/>
      <c r="M7" s="286"/>
      <c r="N7" s="286"/>
      <c r="O7" s="286"/>
      <c r="P7" s="286"/>
      <c r="Q7" s="286"/>
      <c r="R7" s="286"/>
      <c r="S7" s="286"/>
      <c r="T7" s="288"/>
      <c r="U7" s="3"/>
      <c r="V7" s="3"/>
      <c r="W7" s="3"/>
      <c r="X7" s="3" t="s">
        <v>67</v>
      </c>
      <c r="Y7" s="3"/>
      <c r="Z7" s="3"/>
    </row>
    <row r="8" ht="30.0" customHeight="1">
      <c r="A8" s="288" t="str">
        <f>+Parametres!$B$1</f>
        <v>Ste-Marie Auto</v>
      </c>
      <c r="B8" s="289"/>
      <c r="C8" s="284" t="s">
        <v>260</v>
      </c>
      <c r="D8" s="285"/>
      <c r="E8" s="287">
        <f t="shared" si="2"/>
        <v>30931.3</v>
      </c>
      <c r="F8" s="286"/>
      <c r="G8" s="286">
        <f t="shared" si="3"/>
        <v>30931.3</v>
      </c>
      <c r="H8" s="287">
        <v>30931.3</v>
      </c>
      <c r="I8" s="286"/>
      <c r="J8" s="286"/>
      <c r="K8" s="286"/>
      <c r="L8" s="286"/>
      <c r="M8" s="33"/>
      <c r="N8" s="286"/>
      <c r="O8" s="286"/>
      <c r="P8" s="286"/>
      <c r="Q8" s="286"/>
      <c r="R8" s="286"/>
      <c r="S8" s="286"/>
      <c r="T8" s="288"/>
      <c r="U8" s="3"/>
      <c r="V8" s="3"/>
      <c r="W8" s="3"/>
      <c r="X8" s="3" t="s">
        <v>72</v>
      </c>
      <c r="Y8" s="3"/>
      <c r="Z8" s="3"/>
    </row>
    <row r="9" ht="30.0" customHeight="1">
      <c r="A9" s="288" t="str">
        <f>+Parametres!$B$1</f>
        <v>Ste-Marie Auto</v>
      </c>
      <c r="B9" s="289"/>
      <c r="D9" s="285"/>
      <c r="E9" s="287">
        <f t="shared" si="2"/>
        <v>0</v>
      </c>
      <c r="F9" s="286"/>
      <c r="G9" s="286">
        <f t="shared" si="3"/>
        <v>0</v>
      </c>
      <c r="H9" s="287"/>
      <c r="I9" s="286"/>
      <c r="J9" s="286"/>
      <c r="K9" s="286"/>
      <c r="L9" s="286"/>
      <c r="M9" s="33"/>
      <c r="N9" s="286"/>
      <c r="O9" s="286"/>
      <c r="P9" s="286"/>
      <c r="Q9" s="286"/>
      <c r="R9" s="286"/>
      <c r="S9" s="286"/>
      <c r="T9" s="288"/>
      <c r="U9" s="3"/>
      <c r="V9" s="3"/>
      <c r="W9" s="3"/>
      <c r="X9" s="3" t="s">
        <v>73</v>
      </c>
      <c r="Y9" s="3"/>
      <c r="Z9" s="3"/>
    </row>
    <row r="10" ht="30.0" customHeight="1">
      <c r="A10" s="288" t="str">
        <f>+Parametres!$B$1</f>
        <v>Ste-Marie Auto</v>
      </c>
      <c r="B10" s="289"/>
      <c r="D10" s="285"/>
      <c r="E10" s="287">
        <f t="shared" si="2"/>
        <v>0</v>
      </c>
      <c r="F10" s="286"/>
      <c r="G10" s="286">
        <f t="shared" si="3"/>
        <v>0</v>
      </c>
      <c r="H10" s="287"/>
      <c r="I10" s="286"/>
      <c r="J10" s="286"/>
      <c r="K10" s="286"/>
      <c r="L10" s="286"/>
      <c r="M10" s="286"/>
      <c r="N10" s="286"/>
      <c r="O10" s="286"/>
      <c r="P10" s="286"/>
      <c r="Q10" s="286"/>
      <c r="R10" s="286"/>
      <c r="S10" s="286"/>
      <c r="T10" s="288"/>
      <c r="U10" s="3"/>
      <c r="V10" s="3"/>
      <c r="W10" s="3"/>
      <c r="X10" s="3" t="s">
        <v>74</v>
      </c>
      <c r="Y10" s="3"/>
      <c r="Z10" s="3"/>
    </row>
    <row r="11" ht="30.0" customHeight="1">
      <c r="A11" s="288" t="str">
        <f>+Parametres!$B$1</f>
        <v>Ste-Marie Auto</v>
      </c>
      <c r="B11" s="289"/>
      <c r="C11" s="290"/>
      <c r="D11" s="285"/>
      <c r="E11" s="287">
        <f t="shared" si="2"/>
        <v>0</v>
      </c>
      <c r="F11" s="286"/>
      <c r="G11" s="286">
        <f t="shared" si="3"/>
        <v>0</v>
      </c>
      <c r="H11" s="287"/>
      <c r="I11" s="286"/>
      <c r="J11" s="33"/>
      <c r="K11" s="33"/>
      <c r="L11" s="286"/>
      <c r="M11" s="286"/>
      <c r="N11" s="286"/>
      <c r="O11" s="286"/>
      <c r="P11" s="286"/>
      <c r="Q11" s="286"/>
      <c r="R11" s="286"/>
      <c r="S11" s="286"/>
      <c r="T11" s="288"/>
      <c r="U11" s="3"/>
      <c r="V11" s="3"/>
      <c r="W11" s="3"/>
      <c r="X11" s="3" t="s">
        <v>76</v>
      </c>
      <c r="Y11" s="3"/>
      <c r="Z11" s="3"/>
    </row>
    <row r="12" ht="30.0" customHeight="1">
      <c r="A12" s="288" t="str">
        <f>+Parametres!$B$1</f>
        <v>Ste-Marie Auto</v>
      </c>
      <c r="B12" s="289"/>
      <c r="C12" s="290"/>
      <c r="D12" s="285"/>
      <c r="E12" s="287">
        <f t="shared" si="2"/>
        <v>0</v>
      </c>
      <c r="F12" s="286"/>
      <c r="G12" s="286">
        <f t="shared" si="3"/>
        <v>0</v>
      </c>
      <c r="H12" s="287"/>
      <c r="I12" s="286"/>
      <c r="J12" s="33"/>
      <c r="K12" s="286"/>
      <c r="L12" s="286"/>
      <c r="M12" s="286"/>
      <c r="N12" s="286"/>
      <c r="O12" s="286"/>
      <c r="P12" s="286"/>
      <c r="Q12" s="286"/>
      <c r="R12" s="286"/>
      <c r="S12" s="286"/>
      <c r="T12" s="288"/>
      <c r="U12" s="3"/>
      <c r="V12" s="3"/>
      <c r="W12" s="3"/>
      <c r="X12" s="3"/>
      <c r="Y12" s="3"/>
      <c r="Z12" s="3"/>
    </row>
    <row r="13" ht="30.0" customHeight="1">
      <c r="A13" s="288" t="str">
        <f>+Parametres!$B$1</f>
        <v>Ste-Marie Auto</v>
      </c>
      <c r="B13" s="289"/>
      <c r="C13" s="290"/>
      <c r="D13" s="285"/>
      <c r="E13" s="287">
        <f t="shared" si="2"/>
        <v>0</v>
      </c>
      <c r="F13" s="286"/>
      <c r="G13" s="286">
        <f t="shared" si="3"/>
        <v>0</v>
      </c>
      <c r="H13" s="287"/>
      <c r="I13" s="286"/>
      <c r="J13" s="286"/>
      <c r="K13" s="286"/>
      <c r="L13" s="286"/>
      <c r="M13" s="286"/>
      <c r="N13" s="286"/>
      <c r="O13" s="286"/>
      <c r="P13" s="286"/>
      <c r="Q13" s="286"/>
      <c r="R13" s="286"/>
      <c r="S13" s="286"/>
      <c r="T13" s="288"/>
      <c r="U13" s="3"/>
      <c r="V13" s="3"/>
      <c r="W13" s="3"/>
      <c r="X13" s="3"/>
      <c r="Y13" s="3"/>
      <c r="Z13" s="3"/>
    </row>
    <row r="14" ht="30.0" customHeight="1">
      <c r="A14" s="288" t="str">
        <f>+Parametres!$B$1</f>
        <v>Ste-Marie Auto</v>
      </c>
      <c r="B14" s="289"/>
      <c r="C14" s="290"/>
      <c r="D14" s="285"/>
      <c r="E14" s="287">
        <f t="shared" si="2"/>
        <v>0</v>
      </c>
      <c r="F14" s="286"/>
      <c r="G14" s="286">
        <f t="shared" si="3"/>
        <v>0</v>
      </c>
      <c r="H14" s="287"/>
      <c r="I14" s="286"/>
      <c r="J14" s="286"/>
      <c r="K14" s="286"/>
      <c r="L14" s="286"/>
      <c r="M14" s="286"/>
      <c r="N14" s="286"/>
      <c r="O14" s="286"/>
      <c r="P14" s="286"/>
      <c r="Q14" s="286"/>
      <c r="R14" s="286"/>
      <c r="S14" s="286"/>
      <c r="T14" s="288"/>
      <c r="U14" s="3"/>
      <c r="V14" s="3"/>
      <c r="W14" s="3"/>
      <c r="X14" s="3"/>
      <c r="Y14" s="3"/>
      <c r="Z14" s="3"/>
    </row>
    <row r="15" ht="30.0" customHeight="1">
      <c r="A15" s="288" t="str">
        <f>+Parametres!$B$1</f>
        <v>Ste-Marie Auto</v>
      </c>
      <c r="B15" s="289"/>
      <c r="C15" s="290"/>
      <c r="D15" s="285"/>
      <c r="E15" s="287">
        <f t="shared" si="2"/>
        <v>0</v>
      </c>
      <c r="F15" s="286"/>
      <c r="G15" s="286">
        <f t="shared" si="3"/>
        <v>0</v>
      </c>
      <c r="H15" s="287"/>
      <c r="I15" s="286"/>
      <c r="J15" s="286"/>
      <c r="K15" s="286"/>
      <c r="L15" s="286"/>
      <c r="M15" s="286"/>
      <c r="N15" s="286"/>
      <c r="O15" s="286"/>
      <c r="P15" s="286"/>
      <c r="Q15" s="286"/>
      <c r="R15" s="286"/>
      <c r="S15" s="286"/>
      <c r="T15" s="288"/>
      <c r="U15" s="3"/>
      <c r="V15" s="3"/>
      <c r="W15" s="3"/>
      <c r="X15" s="3"/>
      <c r="Y15" s="3"/>
      <c r="Z15" s="3"/>
    </row>
    <row r="16" ht="30.0" customHeight="1">
      <c r="A16" s="288" t="str">
        <f>+Parametres!$B$1</f>
        <v>Ste-Marie Auto</v>
      </c>
      <c r="B16" s="289"/>
      <c r="C16" s="290"/>
      <c r="D16" s="285"/>
      <c r="E16" s="287">
        <f t="shared" si="2"/>
        <v>0</v>
      </c>
      <c r="F16" s="286"/>
      <c r="G16" s="286">
        <f t="shared" si="3"/>
        <v>0</v>
      </c>
      <c r="H16" s="287"/>
      <c r="I16" s="286"/>
      <c r="J16" s="286"/>
      <c r="K16" s="286"/>
      <c r="L16" s="286"/>
      <c r="M16" s="286"/>
      <c r="N16" s="286"/>
      <c r="O16" s="286"/>
      <c r="P16" s="286"/>
      <c r="Q16" s="286"/>
      <c r="R16" s="286"/>
      <c r="S16" s="286"/>
      <c r="T16" s="288"/>
      <c r="U16" s="3"/>
      <c r="V16" s="3"/>
      <c r="W16" s="3"/>
      <c r="X16" s="3"/>
      <c r="Y16" s="3"/>
      <c r="Z16" s="3"/>
    </row>
    <row r="17" ht="30.0" customHeight="1">
      <c r="A17" s="288" t="str">
        <f>+Parametres!$B$1</f>
        <v>Ste-Marie Auto</v>
      </c>
      <c r="B17" s="289"/>
      <c r="C17" s="290"/>
      <c r="D17" s="291"/>
      <c r="E17" s="287">
        <f t="shared" si="2"/>
        <v>0</v>
      </c>
      <c r="F17" s="286"/>
      <c r="G17" s="286">
        <f t="shared" si="3"/>
        <v>0</v>
      </c>
      <c r="H17" s="287"/>
      <c r="I17" s="286"/>
      <c r="J17" s="286"/>
      <c r="K17" s="286"/>
      <c r="L17" s="286"/>
      <c r="M17" s="286"/>
      <c r="N17" s="286"/>
      <c r="O17" s="286"/>
      <c r="P17" s="286"/>
      <c r="Q17" s="286"/>
      <c r="R17" s="286"/>
      <c r="S17" s="286"/>
      <c r="T17" s="288"/>
      <c r="U17" s="3"/>
      <c r="V17" s="3"/>
      <c r="W17" s="3"/>
      <c r="X17" s="3" t="s">
        <v>258</v>
      </c>
      <c r="Y17" s="3"/>
      <c r="Z17" s="3"/>
    </row>
    <row r="18" ht="30.0" customHeight="1">
      <c r="A18" s="288" t="str">
        <f>+Parametres!$B$1</f>
        <v>Ste-Marie Auto</v>
      </c>
      <c r="B18" s="289"/>
      <c r="C18" s="290"/>
      <c r="D18" s="285"/>
      <c r="E18" s="287">
        <f t="shared" si="2"/>
        <v>0</v>
      </c>
      <c r="F18" s="286"/>
      <c r="G18" s="286">
        <f t="shared" si="3"/>
        <v>0</v>
      </c>
      <c r="H18" s="287"/>
      <c r="I18" s="286"/>
      <c r="J18" s="286"/>
      <c r="K18" s="286"/>
      <c r="L18" s="286"/>
      <c r="M18" s="286"/>
      <c r="N18" s="33"/>
      <c r="O18" s="286"/>
      <c r="P18" s="286"/>
      <c r="Q18" s="286"/>
      <c r="R18" s="286"/>
      <c r="S18" s="286"/>
      <c r="T18" s="288"/>
      <c r="U18" s="3"/>
      <c r="V18" s="3"/>
      <c r="W18" s="3"/>
      <c r="X18" s="3"/>
      <c r="Y18" s="3"/>
      <c r="Z18" s="3"/>
    </row>
    <row r="19" ht="30.0" customHeight="1">
      <c r="A19" s="288" t="str">
        <f>+Parametres!$B$1</f>
        <v>Ste-Marie Auto</v>
      </c>
      <c r="B19" s="289"/>
      <c r="C19" s="292"/>
      <c r="D19" s="291"/>
      <c r="E19" s="287">
        <f t="shared" si="2"/>
        <v>0</v>
      </c>
      <c r="F19" s="286"/>
      <c r="G19" s="286">
        <f t="shared" si="3"/>
        <v>0</v>
      </c>
      <c r="H19" s="287"/>
      <c r="I19" s="286"/>
      <c r="J19" s="286"/>
      <c r="K19" s="286"/>
      <c r="L19" s="286"/>
      <c r="M19" s="286"/>
      <c r="N19" s="286"/>
      <c r="O19" s="286"/>
      <c r="P19" s="286"/>
      <c r="Q19" s="286"/>
      <c r="R19" s="286"/>
      <c r="S19" s="286"/>
      <c r="T19" s="288"/>
      <c r="U19" s="3"/>
      <c r="V19" s="3"/>
      <c r="W19" s="3"/>
      <c r="X19" s="3"/>
      <c r="Y19" s="3"/>
      <c r="Z19" s="3"/>
    </row>
    <row r="20" ht="30.0" customHeight="1">
      <c r="A20" s="293" t="str">
        <f>+Parametres!$B$1</f>
        <v>Ste-Marie Auto</v>
      </c>
      <c r="B20" s="294"/>
      <c r="C20" s="295"/>
      <c r="D20" s="296"/>
      <c r="E20" s="297">
        <f t="shared" si="2"/>
        <v>0</v>
      </c>
      <c r="F20" s="298"/>
      <c r="G20" s="298">
        <f t="shared" si="3"/>
        <v>0</v>
      </c>
      <c r="H20" s="297"/>
      <c r="I20" s="298"/>
      <c r="J20" s="298"/>
      <c r="K20" s="298"/>
      <c r="L20" s="298"/>
      <c r="M20" s="298"/>
      <c r="N20" s="298"/>
      <c r="O20" s="298"/>
      <c r="P20" s="298"/>
      <c r="Q20" s="298"/>
      <c r="R20" s="298"/>
      <c r="S20" s="298"/>
      <c r="T20" s="293"/>
      <c r="U20" s="3"/>
      <c r="V20" s="3"/>
      <c r="W20" s="3"/>
      <c r="X20" s="3"/>
      <c r="Y20" s="3"/>
      <c r="Z20" s="3"/>
    </row>
    <row r="21" ht="15.75" customHeight="1">
      <c r="A21" s="3"/>
      <c r="B21" s="3"/>
      <c r="C21" s="3"/>
      <c r="D21" s="33"/>
      <c r="E21" s="33"/>
      <c r="F21" s="33"/>
      <c r="G21" s="33"/>
      <c r="H21" s="33"/>
      <c r="I21" s="33"/>
      <c r="J21" s="33"/>
      <c r="K21" s="33"/>
      <c r="L21" s="33"/>
      <c r="M21" s="33"/>
      <c r="N21" s="33"/>
      <c r="O21" s="33"/>
      <c r="P21" s="33"/>
      <c r="Q21" s="33"/>
      <c r="R21" s="33"/>
      <c r="S21" s="33"/>
      <c r="T21" s="299"/>
      <c r="U21" s="3"/>
      <c r="V21" s="3"/>
      <c r="W21" s="3"/>
      <c r="X21" s="3"/>
      <c r="Y21" s="3"/>
      <c r="Z21" s="3"/>
    </row>
    <row r="22" ht="30.0" customHeight="1">
      <c r="A22" s="3"/>
      <c r="B22" s="3"/>
      <c r="C22" s="300"/>
      <c r="D22" s="300"/>
      <c r="E22" s="33"/>
      <c r="F22" s="33"/>
      <c r="G22" s="301"/>
      <c r="H22" s="302"/>
      <c r="I22" s="302"/>
      <c r="J22" s="302"/>
      <c r="K22" s="302"/>
      <c r="L22" s="302"/>
      <c r="M22" s="302"/>
      <c r="N22" s="302"/>
      <c r="O22" s="302"/>
      <c r="P22" s="302"/>
      <c r="Q22" s="302"/>
      <c r="R22" s="302"/>
      <c r="S22" s="302"/>
      <c r="T22" s="299"/>
      <c r="U22" s="3"/>
      <c r="V22" s="3"/>
      <c r="W22" s="3"/>
      <c r="X22" s="3"/>
      <c r="Y22" s="3"/>
      <c r="Z22" s="3"/>
    </row>
    <row r="23" ht="30.0" customHeight="1">
      <c r="A23" s="303"/>
      <c r="B23" s="304"/>
      <c r="C23" s="305"/>
      <c r="D23" s="306"/>
      <c r="E23" s="307"/>
      <c r="F23" s="33"/>
      <c r="G23" s="33"/>
      <c r="H23" s="33"/>
      <c r="I23" s="33"/>
      <c r="J23" s="33"/>
      <c r="K23" s="33"/>
      <c r="L23" s="33"/>
      <c r="M23" s="33"/>
      <c r="N23" s="33"/>
      <c r="O23" s="33"/>
      <c r="P23" s="33"/>
      <c r="Q23" s="302"/>
      <c r="R23" s="33"/>
      <c r="S23" s="33"/>
      <c r="T23" s="299"/>
      <c r="U23" s="3"/>
      <c r="V23" s="3"/>
      <c r="W23" s="3"/>
      <c r="X23" s="3"/>
      <c r="Y23" s="3"/>
      <c r="Z23" s="3"/>
    </row>
    <row r="24" ht="15.75" customHeight="1">
      <c r="A24" s="301"/>
      <c r="B24" s="308"/>
      <c r="C24" s="309"/>
      <c r="D24" s="302"/>
      <c r="E24" s="302"/>
      <c r="F24" s="33"/>
      <c r="G24" s="33"/>
      <c r="H24" s="33"/>
      <c r="I24" s="33"/>
      <c r="J24" s="33"/>
      <c r="K24" s="33"/>
      <c r="L24" s="33"/>
      <c r="M24" s="33"/>
      <c r="N24" s="33"/>
      <c r="O24" s="33"/>
      <c r="P24" s="33"/>
      <c r="Q24" s="33"/>
      <c r="R24" s="33"/>
      <c r="S24" s="33"/>
      <c r="T24" s="299"/>
      <c r="U24" s="3"/>
      <c r="V24" s="3"/>
      <c r="W24" s="3"/>
      <c r="X24" s="3"/>
      <c r="Y24" s="3"/>
      <c r="Z24" s="3"/>
    </row>
    <row r="25" ht="15.75" customHeight="1">
      <c r="A25" s="301"/>
      <c r="B25" s="308"/>
      <c r="C25" s="309"/>
      <c r="D25" s="302"/>
      <c r="E25" s="302"/>
      <c r="F25" s="33"/>
      <c r="G25" s="33"/>
      <c r="H25" s="33"/>
      <c r="I25" s="33"/>
      <c r="J25" s="33"/>
      <c r="K25" s="33"/>
      <c r="L25" s="33"/>
      <c r="M25" s="33"/>
      <c r="N25" s="33"/>
      <c r="O25" s="33"/>
      <c r="P25" s="33"/>
      <c r="Q25" s="302"/>
      <c r="R25" s="33"/>
      <c r="S25" s="33"/>
      <c r="T25" s="299"/>
      <c r="U25" s="3"/>
      <c r="V25" s="3"/>
      <c r="W25" s="3"/>
      <c r="X25" s="3"/>
      <c r="Y25" s="3"/>
      <c r="Z25" s="3"/>
    </row>
    <row r="26" ht="15.75" customHeight="1">
      <c r="A26" s="301"/>
      <c r="B26" s="308"/>
      <c r="C26" s="309"/>
      <c r="D26" s="302"/>
      <c r="E26" s="302"/>
      <c r="F26" s="33"/>
      <c r="G26" s="33"/>
      <c r="H26" s="33"/>
      <c r="I26" s="33"/>
      <c r="J26" s="33"/>
      <c r="K26" s="33"/>
      <c r="L26" s="33"/>
      <c r="M26" s="33"/>
      <c r="N26" s="33"/>
      <c r="O26" s="33"/>
      <c r="P26" s="33"/>
      <c r="Q26" s="33"/>
      <c r="R26" s="33"/>
      <c r="S26" s="33"/>
      <c r="T26" s="299"/>
      <c r="U26" s="3"/>
      <c r="V26" s="3"/>
      <c r="W26" s="3"/>
      <c r="X26" s="3"/>
      <c r="Y26" s="3"/>
      <c r="Z26" s="3"/>
    </row>
    <row r="27" ht="15.75" customHeight="1">
      <c r="A27" s="301"/>
      <c r="B27" s="308"/>
      <c r="C27" s="309"/>
      <c r="D27" s="302"/>
      <c r="E27" s="302"/>
      <c r="F27" s="33"/>
      <c r="G27" s="33"/>
      <c r="H27" s="33"/>
      <c r="I27" s="33"/>
      <c r="J27" s="33"/>
      <c r="K27" s="33"/>
      <c r="L27" s="33"/>
      <c r="M27" s="33"/>
      <c r="N27" s="33"/>
      <c r="O27" s="33"/>
      <c r="P27" s="33"/>
      <c r="Q27" s="33"/>
      <c r="R27" s="33"/>
      <c r="S27" s="33"/>
      <c r="T27" s="299"/>
      <c r="U27" s="3"/>
      <c r="V27" s="3"/>
      <c r="W27" s="3"/>
      <c r="X27" s="3"/>
      <c r="Y27" s="3"/>
      <c r="Z27" s="3"/>
    </row>
    <row r="28" ht="15.75" customHeight="1">
      <c r="A28" s="301"/>
      <c r="B28" s="308"/>
      <c r="C28" s="309"/>
      <c r="D28" s="302"/>
      <c r="E28" s="302"/>
      <c r="F28" s="33"/>
      <c r="G28" s="33"/>
      <c r="H28" s="33"/>
      <c r="I28" s="33"/>
      <c r="J28" s="33"/>
      <c r="K28" s="33"/>
      <c r="L28" s="33"/>
      <c r="M28" s="33"/>
      <c r="N28" s="33"/>
      <c r="O28" s="33"/>
      <c r="P28" s="33"/>
      <c r="Q28" s="33"/>
      <c r="R28" s="33"/>
      <c r="S28" s="33"/>
      <c r="T28" s="299"/>
      <c r="U28" s="3"/>
      <c r="V28" s="3"/>
      <c r="W28" s="3"/>
      <c r="X28" s="3"/>
      <c r="Y28" s="3"/>
      <c r="Z28" s="3"/>
    </row>
    <row r="29" ht="15.75" customHeight="1">
      <c r="A29" s="301"/>
      <c r="B29" s="308"/>
      <c r="C29" s="309"/>
      <c r="D29" s="302"/>
      <c r="E29" s="302"/>
      <c r="F29" s="33"/>
      <c r="G29" s="33"/>
      <c r="H29" s="33"/>
      <c r="I29" s="33"/>
      <c r="J29" s="33"/>
      <c r="K29" s="33"/>
      <c r="L29" s="33"/>
      <c r="M29" s="33"/>
      <c r="N29" s="33"/>
      <c r="O29" s="33"/>
      <c r="P29" s="33"/>
      <c r="Q29" s="33"/>
      <c r="R29" s="33"/>
      <c r="S29" s="33"/>
      <c r="T29" s="299"/>
      <c r="U29" s="3"/>
      <c r="V29" s="3"/>
      <c r="W29" s="3"/>
      <c r="X29" s="3"/>
      <c r="Y29" s="3"/>
      <c r="Z29" s="3"/>
    </row>
    <row r="30" ht="15.75" customHeight="1">
      <c r="A30" s="301"/>
      <c r="B30" s="308"/>
      <c r="C30" s="309"/>
      <c r="D30" s="302"/>
      <c r="E30" s="302"/>
      <c r="F30" s="33"/>
      <c r="G30" s="33"/>
      <c r="H30" s="33"/>
      <c r="I30" s="33"/>
      <c r="J30" s="33"/>
      <c r="K30" s="33"/>
      <c r="L30" s="33"/>
      <c r="M30" s="33"/>
      <c r="N30" s="33"/>
      <c r="O30" s="33"/>
      <c r="P30" s="33"/>
      <c r="Q30" s="33"/>
      <c r="R30" s="33"/>
      <c r="S30" s="33"/>
      <c r="T30" s="299"/>
      <c r="U30" s="3"/>
      <c r="V30" s="3"/>
      <c r="W30" s="3"/>
      <c r="X30" s="3"/>
      <c r="Y30" s="3"/>
      <c r="Z30" s="3"/>
    </row>
    <row r="31" ht="15.75" customHeight="1">
      <c r="A31" s="301"/>
      <c r="B31" s="308"/>
      <c r="C31" s="309"/>
      <c r="D31" s="302"/>
      <c r="E31" s="302"/>
      <c r="F31" s="33"/>
      <c r="G31" s="33"/>
      <c r="H31" s="33"/>
      <c r="I31" s="33"/>
      <c r="J31" s="33"/>
      <c r="K31" s="33"/>
      <c r="L31" s="33"/>
      <c r="M31" s="33"/>
      <c r="N31" s="33"/>
      <c r="O31" s="33"/>
      <c r="P31" s="33"/>
      <c r="Q31" s="33"/>
      <c r="R31" s="33"/>
      <c r="S31" s="33"/>
      <c r="T31" s="299"/>
      <c r="U31" s="3"/>
      <c r="V31" s="3"/>
      <c r="W31" s="3"/>
      <c r="X31" s="3"/>
      <c r="Y31" s="3"/>
      <c r="Z31" s="3"/>
    </row>
    <row r="32" ht="15.75" customHeight="1">
      <c r="A32" s="301"/>
      <c r="B32" s="3"/>
      <c r="C32" s="310"/>
      <c r="D32" s="310"/>
      <c r="E32" s="310"/>
      <c r="F32" s="33"/>
      <c r="G32" s="33"/>
      <c r="H32" s="33"/>
      <c r="I32" s="33"/>
      <c r="J32" s="33"/>
      <c r="K32" s="33"/>
      <c r="L32" s="33"/>
      <c r="M32" s="33"/>
      <c r="N32" s="33"/>
      <c r="O32" s="33"/>
      <c r="P32" s="33"/>
      <c r="Q32" s="33"/>
      <c r="R32" s="33"/>
      <c r="S32" s="33"/>
      <c r="T32" s="299"/>
      <c r="U32" s="3"/>
      <c r="V32" s="3"/>
      <c r="W32" s="3"/>
      <c r="X32" s="3"/>
      <c r="Y32" s="3"/>
      <c r="Z32" s="3"/>
    </row>
    <row r="33" ht="15.75" customHeight="1">
      <c r="A33" s="301"/>
      <c r="B33" s="3"/>
      <c r="C33" s="3"/>
      <c r="D33" s="33"/>
      <c r="E33" s="33"/>
      <c r="F33" s="33"/>
      <c r="G33" s="33"/>
      <c r="H33" s="33"/>
      <c r="I33" s="33"/>
      <c r="J33" s="33"/>
      <c r="K33" s="33"/>
      <c r="L33" s="33"/>
      <c r="M33" s="33"/>
      <c r="N33" s="33"/>
      <c r="O33" s="33"/>
      <c r="P33" s="33"/>
      <c r="Q33" s="33"/>
      <c r="R33" s="33"/>
      <c r="S33" s="33"/>
      <c r="T33" s="299"/>
      <c r="U33" s="3"/>
      <c r="V33" s="3"/>
      <c r="W33" s="3"/>
      <c r="X33" s="3"/>
      <c r="Y33" s="3"/>
      <c r="Z33" s="3"/>
    </row>
    <row r="34" ht="15.75" customHeight="1">
      <c r="A34" s="301"/>
      <c r="B34" s="308"/>
      <c r="C34" s="309"/>
      <c r="D34" s="302"/>
      <c r="E34" s="302"/>
      <c r="F34" s="33"/>
      <c r="G34" s="33"/>
      <c r="H34" s="33"/>
      <c r="I34" s="33"/>
      <c r="J34" s="33"/>
      <c r="K34" s="33"/>
      <c r="L34" s="33"/>
      <c r="M34" s="33"/>
      <c r="N34" s="33"/>
      <c r="O34" s="33"/>
      <c r="P34" s="33"/>
      <c r="Q34" s="33"/>
      <c r="R34" s="33"/>
      <c r="S34" s="33"/>
      <c r="T34" s="299"/>
      <c r="U34" s="3"/>
      <c r="V34" s="3"/>
      <c r="W34" s="3"/>
      <c r="X34" s="3"/>
      <c r="Y34" s="3"/>
      <c r="Z34" s="3"/>
    </row>
    <row r="35" ht="15.75" customHeight="1">
      <c r="A35" s="301"/>
      <c r="B35" s="308"/>
      <c r="C35" s="309"/>
      <c r="D35" s="302"/>
      <c r="E35" s="302"/>
      <c r="F35" s="33"/>
      <c r="G35" s="33"/>
      <c r="H35" s="33"/>
      <c r="I35" s="33"/>
      <c r="J35" s="33"/>
      <c r="K35" s="33"/>
      <c r="L35" s="33"/>
      <c r="M35" s="33"/>
      <c r="N35" s="33"/>
      <c r="O35" s="33"/>
      <c r="P35" s="33"/>
      <c r="Q35" s="33"/>
      <c r="R35" s="33"/>
      <c r="S35" s="33"/>
      <c r="T35" s="299"/>
      <c r="U35" s="3"/>
      <c r="V35" s="3"/>
      <c r="W35" s="3"/>
      <c r="X35" s="3"/>
      <c r="Y35" s="3"/>
      <c r="Z35" s="3"/>
    </row>
    <row r="36" ht="15.75" customHeight="1">
      <c r="A36" s="301"/>
      <c r="B36" s="308"/>
      <c r="C36" s="309"/>
      <c r="D36" s="302"/>
      <c r="E36" s="302"/>
      <c r="F36" s="33"/>
      <c r="G36" s="33"/>
      <c r="H36" s="33"/>
      <c r="I36" s="33"/>
      <c r="J36" s="33"/>
      <c r="K36" s="33"/>
      <c r="L36" s="33"/>
      <c r="M36" s="33"/>
      <c r="N36" s="33"/>
      <c r="O36" s="33"/>
      <c r="P36" s="33"/>
      <c r="Q36" s="33"/>
      <c r="R36" s="33"/>
      <c r="S36" s="33"/>
      <c r="T36" s="299"/>
      <c r="U36" s="3"/>
      <c r="V36" s="3"/>
      <c r="W36" s="3"/>
      <c r="X36" s="3"/>
      <c r="Y36" s="3"/>
      <c r="Z36" s="3"/>
    </row>
    <row r="37" ht="15.75" customHeight="1">
      <c r="A37" s="301"/>
      <c r="B37" s="308"/>
      <c r="C37" s="309"/>
      <c r="D37" s="302"/>
      <c r="E37" s="302"/>
      <c r="F37" s="33"/>
      <c r="G37" s="33"/>
      <c r="H37" s="33"/>
      <c r="I37" s="33"/>
      <c r="J37" s="33"/>
      <c r="K37" s="33"/>
      <c r="L37" s="33"/>
      <c r="M37" s="33"/>
      <c r="N37" s="33"/>
      <c r="O37" s="33"/>
      <c r="P37" s="33"/>
      <c r="Q37" s="33"/>
      <c r="R37" s="33"/>
      <c r="S37" s="33"/>
      <c r="T37" s="299"/>
      <c r="U37" s="3"/>
      <c r="V37" s="3"/>
      <c r="W37" s="3"/>
      <c r="X37" s="3"/>
      <c r="Y37" s="3"/>
      <c r="Z37" s="3"/>
    </row>
    <row r="38" ht="15.75" customHeight="1">
      <c r="A38" s="301"/>
      <c r="B38" s="308"/>
      <c r="C38" s="309"/>
      <c r="D38" s="302"/>
      <c r="E38" s="302"/>
      <c r="F38" s="33"/>
      <c r="G38" s="33"/>
      <c r="H38" s="33"/>
      <c r="I38" s="33"/>
      <c r="J38" s="33"/>
      <c r="K38" s="33"/>
      <c r="L38" s="33"/>
      <c r="M38" s="33"/>
      <c r="N38" s="33"/>
      <c r="O38" s="33"/>
      <c r="P38" s="33"/>
      <c r="Q38" s="33"/>
      <c r="R38" s="33"/>
      <c r="S38" s="33"/>
      <c r="T38" s="299"/>
      <c r="U38" s="3"/>
      <c r="V38" s="3"/>
      <c r="W38" s="3"/>
      <c r="X38" s="3"/>
      <c r="Y38" s="3"/>
      <c r="Z38" s="3"/>
    </row>
    <row r="39" ht="15.75" customHeight="1">
      <c r="A39" s="301"/>
      <c r="B39" s="308"/>
      <c r="C39" s="309"/>
      <c r="D39" s="302"/>
      <c r="E39" s="302"/>
      <c r="F39" s="33"/>
      <c r="G39" s="33"/>
      <c r="H39" s="33"/>
      <c r="I39" s="33"/>
      <c r="J39" s="33"/>
      <c r="K39" s="33"/>
      <c r="L39" s="33"/>
      <c r="M39" s="33"/>
      <c r="N39" s="33"/>
      <c r="O39" s="33"/>
      <c r="P39" s="33"/>
      <c r="Q39" s="33"/>
      <c r="R39" s="33"/>
      <c r="S39" s="33"/>
      <c r="T39" s="299"/>
      <c r="U39" s="3"/>
      <c r="V39" s="3"/>
      <c r="W39" s="3"/>
      <c r="X39" s="3"/>
      <c r="Y39" s="3"/>
      <c r="Z39" s="3"/>
    </row>
    <row r="40" ht="15.75" customHeight="1">
      <c r="A40" s="301"/>
      <c r="B40" s="308"/>
      <c r="C40" s="309"/>
      <c r="D40" s="302"/>
      <c r="E40" s="302"/>
      <c r="F40" s="33"/>
      <c r="G40" s="33"/>
      <c r="H40" s="33"/>
      <c r="I40" s="33"/>
      <c r="J40" s="33"/>
      <c r="K40" s="33"/>
      <c r="L40" s="33"/>
      <c r="M40" s="33"/>
      <c r="N40" s="33"/>
      <c r="O40" s="33"/>
      <c r="P40" s="33"/>
      <c r="Q40" s="33"/>
      <c r="R40" s="33"/>
      <c r="S40" s="33"/>
      <c r="T40" s="299"/>
      <c r="U40" s="3"/>
      <c r="V40" s="3"/>
      <c r="W40" s="3"/>
      <c r="X40" s="3"/>
      <c r="Y40" s="3"/>
      <c r="Z40" s="3"/>
    </row>
    <row r="41" ht="15.75" customHeight="1">
      <c r="A41" s="3"/>
      <c r="B41" s="3"/>
      <c r="C41" s="309"/>
      <c r="D41" s="302"/>
      <c r="E41" s="302"/>
      <c r="F41" s="33"/>
      <c r="G41" s="33"/>
      <c r="H41" s="33"/>
      <c r="I41" s="33"/>
      <c r="J41" s="33"/>
      <c r="K41" s="33"/>
      <c r="L41" s="33"/>
      <c r="M41" s="33"/>
      <c r="N41" s="33"/>
      <c r="O41" s="33"/>
      <c r="P41" s="33"/>
      <c r="Q41" s="33"/>
      <c r="R41" s="33"/>
      <c r="S41" s="33"/>
      <c r="T41" s="299"/>
      <c r="U41" s="3"/>
      <c r="V41" s="3"/>
      <c r="W41" s="3"/>
      <c r="X41" s="3"/>
      <c r="Y41" s="3"/>
      <c r="Z41" s="3"/>
    </row>
    <row r="42" ht="15.75" customHeight="1">
      <c r="A42" s="3"/>
      <c r="B42" s="3"/>
      <c r="C42" s="311"/>
      <c r="D42" s="311"/>
      <c r="E42" s="311"/>
      <c r="F42" s="33"/>
      <c r="G42" s="33"/>
      <c r="H42" s="33"/>
      <c r="I42" s="33"/>
      <c r="J42" s="33"/>
      <c r="K42" s="33"/>
      <c r="L42" s="33"/>
      <c r="M42" s="33"/>
      <c r="N42" s="33"/>
      <c r="O42" s="33"/>
      <c r="P42" s="33"/>
      <c r="Q42" s="33"/>
      <c r="R42" s="33"/>
      <c r="S42" s="33"/>
      <c r="T42" s="299"/>
      <c r="U42" s="3"/>
      <c r="V42" s="3"/>
      <c r="W42" s="3"/>
      <c r="X42" s="3"/>
      <c r="Y42" s="3"/>
      <c r="Z42" s="3"/>
    </row>
    <row r="43" ht="15.75" customHeight="1">
      <c r="A43" s="3"/>
      <c r="B43" s="3"/>
      <c r="C43" s="3"/>
      <c r="D43" s="33"/>
      <c r="E43" s="33"/>
      <c r="F43" s="33"/>
      <c r="G43" s="33"/>
      <c r="H43" s="33"/>
      <c r="I43" s="33"/>
      <c r="J43" s="33"/>
      <c r="K43" s="33"/>
      <c r="L43" s="33"/>
      <c r="M43" s="33"/>
      <c r="N43" s="33"/>
      <c r="O43" s="33"/>
      <c r="P43" s="33"/>
      <c r="Q43" s="33"/>
      <c r="R43" s="33"/>
      <c r="S43" s="33"/>
      <c r="T43" s="299"/>
      <c r="U43" s="3"/>
      <c r="V43" s="3"/>
      <c r="W43" s="3"/>
      <c r="X43" s="3"/>
      <c r="Y43" s="3"/>
      <c r="Z43" s="3"/>
    </row>
    <row r="44" ht="15.75" customHeight="1">
      <c r="A44" s="3"/>
      <c r="B44" s="3"/>
      <c r="C44" s="312"/>
      <c r="D44" s="312"/>
      <c r="E44" s="312"/>
      <c r="F44" s="33"/>
      <c r="G44" s="33"/>
      <c r="H44" s="33"/>
      <c r="I44" s="33"/>
      <c r="J44" s="33"/>
      <c r="K44" s="33"/>
      <c r="L44" s="33"/>
      <c r="M44" s="33"/>
      <c r="N44" s="33"/>
      <c r="O44" s="33"/>
      <c r="P44" s="33"/>
      <c r="Q44" s="33"/>
      <c r="R44" s="33"/>
      <c r="S44" s="33"/>
      <c r="T44" s="299"/>
      <c r="U44" s="3"/>
      <c r="V44" s="3"/>
      <c r="W44" s="3"/>
      <c r="X44" s="3"/>
      <c r="Y44" s="3"/>
      <c r="Z44" s="3"/>
    </row>
    <row r="45" ht="15.75" customHeight="1">
      <c r="A45" s="3"/>
      <c r="B45" s="3"/>
      <c r="C45" s="3"/>
      <c r="D45" s="33"/>
      <c r="E45" s="33"/>
      <c r="F45" s="33"/>
      <c r="G45" s="33"/>
      <c r="H45" s="33"/>
      <c r="I45" s="33"/>
      <c r="J45" s="33"/>
      <c r="K45" s="33"/>
      <c r="L45" s="33"/>
      <c r="M45" s="33"/>
      <c r="N45" s="33"/>
      <c r="O45" s="33"/>
      <c r="P45" s="33"/>
      <c r="Q45" s="33"/>
      <c r="R45" s="33"/>
      <c r="S45" s="33"/>
      <c r="T45" s="299"/>
      <c r="U45" s="3"/>
      <c r="V45" s="3"/>
      <c r="W45" s="3"/>
      <c r="X45" s="3"/>
      <c r="Y45" s="3"/>
      <c r="Z45" s="3"/>
    </row>
    <row r="46" ht="15.75" customHeight="1">
      <c r="A46" s="3"/>
      <c r="B46" s="3"/>
      <c r="C46" s="3"/>
      <c r="D46" s="33"/>
      <c r="E46" s="33"/>
      <c r="F46" s="33"/>
      <c r="G46" s="33"/>
      <c r="H46" s="33"/>
      <c r="I46" s="33"/>
      <c r="J46" s="33"/>
      <c r="K46" s="33"/>
      <c r="L46" s="33"/>
      <c r="M46" s="33"/>
      <c r="N46" s="33"/>
      <c r="O46" s="33"/>
      <c r="P46" s="33"/>
      <c r="Q46" s="33"/>
      <c r="R46" s="33"/>
      <c r="S46" s="33"/>
      <c r="T46" s="299"/>
      <c r="U46" s="3"/>
      <c r="V46" s="3"/>
      <c r="W46" s="3"/>
      <c r="X46" s="3"/>
      <c r="Y46" s="3"/>
      <c r="Z46" s="3"/>
    </row>
    <row r="47" ht="15.75" customHeight="1">
      <c r="A47" s="3"/>
      <c r="B47" s="3"/>
      <c r="C47" s="3"/>
      <c r="D47" s="33"/>
      <c r="E47" s="33"/>
      <c r="F47" s="33"/>
      <c r="G47" s="33"/>
      <c r="H47" s="33"/>
      <c r="I47" s="33"/>
      <c r="J47" s="33"/>
      <c r="K47" s="33"/>
      <c r="L47" s="33"/>
      <c r="M47" s="33"/>
      <c r="N47" s="33"/>
      <c r="O47" s="33"/>
      <c r="P47" s="33"/>
      <c r="Q47" s="33"/>
      <c r="R47" s="33"/>
      <c r="S47" s="33"/>
      <c r="T47" s="299"/>
      <c r="U47" s="3"/>
      <c r="V47" s="3"/>
      <c r="W47" s="3"/>
      <c r="X47" s="3"/>
      <c r="Y47" s="3"/>
      <c r="Z47" s="3"/>
    </row>
    <row r="48" ht="15.75" customHeight="1">
      <c r="A48" s="3"/>
      <c r="B48" s="3"/>
      <c r="C48" s="3"/>
      <c r="D48" s="33"/>
      <c r="E48" s="33"/>
      <c r="F48" s="33"/>
      <c r="G48" s="33"/>
      <c r="H48" s="33"/>
      <c r="I48" s="33"/>
      <c r="J48" s="33"/>
      <c r="K48" s="33"/>
      <c r="L48" s="33"/>
      <c r="M48" s="33"/>
      <c r="N48" s="33"/>
      <c r="O48" s="33"/>
      <c r="P48" s="33"/>
      <c r="Q48" s="33"/>
      <c r="R48" s="33"/>
      <c r="S48" s="33"/>
      <c r="T48" s="299"/>
      <c r="U48" s="3"/>
      <c r="V48" s="3"/>
      <c r="W48" s="3"/>
      <c r="X48" s="3"/>
      <c r="Y48" s="3"/>
      <c r="Z48" s="3"/>
    </row>
    <row r="49" ht="15.75" customHeight="1">
      <c r="A49" s="3"/>
      <c r="B49" s="3"/>
      <c r="C49" s="3"/>
      <c r="D49" s="33"/>
      <c r="E49" s="33"/>
      <c r="F49" s="33"/>
      <c r="G49" s="33"/>
      <c r="H49" s="33"/>
      <c r="I49" s="33"/>
      <c r="J49" s="33"/>
      <c r="K49" s="33"/>
      <c r="L49" s="33"/>
      <c r="M49" s="33"/>
      <c r="N49" s="33"/>
      <c r="O49" s="33"/>
      <c r="P49" s="33"/>
      <c r="Q49" s="33"/>
      <c r="R49" s="33"/>
      <c r="S49" s="33"/>
      <c r="T49" s="299"/>
      <c r="U49" s="3"/>
      <c r="V49" s="3"/>
      <c r="W49" s="3"/>
      <c r="X49" s="3"/>
      <c r="Y49" s="3"/>
      <c r="Z49" s="3"/>
    </row>
    <row r="50" ht="15.75" customHeight="1">
      <c r="A50" s="3"/>
      <c r="B50" s="3"/>
      <c r="C50" s="3"/>
      <c r="D50" s="33"/>
      <c r="E50" s="33"/>
      <c r="F50" s="33"/>
      <c r="G50" s="33"/>
      <c r="H50" s="33"/>
      <c r="I50" s="33"/>
      <c r="J50" s="33"/>
      <c r="K50" s="33"/>
      <c r="L50" s="33"/>
      <c r="M50" s="33"/>
      <c r="N50" s="33"/>
      <c r="O50" s="33"/>
      <c r="P50" s="33"/>
      <c r="Q50" s="33"/>
      <c r="R50" s="33"/>
      <c r="S50" s="33"/>
      <c r="T50" s="299"/>
      <c r="U50" s="3"/>
      <c r="V50" s="3"/>
      <c r="W50" s="3"/>
      <c r="X50" s="3"/>
      <c r="Y50" s="3"/>
      <c r="Z50" s="3"/>
    </row>
    <row r="51" ht="15.75" customHeight="1">
      <c r="A51" s="3"/>
      <c r="B51" s="3"/>
      <c r="C51" s="3"/>
      <c r="D51" s="33"/>
      <c r="E51" s="33"/>
      <c r="F51" s="33"/>
      <c r="G51" s="33"/>
      <c r="H51" s="33"/>
      <c r="I51" s="33"/>
      <c r="J51" s="33"/>
      <c r="K51" s="33"/>
      <c r="L51" s="33"/>
      <c r="M51" s="33"/>
      <c r="N51" s="33"/>
      <c r="O51" s="33"/>
      <c r="P51" s="33"/>
      <c r="Q51" s="33"/>
      <c r="R51" s="33"/>
      <c r="S51" s="33"/>
      <c r="T51" s="299"/>
      <c r="U51" s="3"/>
      <c r="V51" s="3"/>
      <c r="W51" s="3"/>
      <c r="X51" s="3"/>
      <c r="Y51" s="3"/>
      <c r="Z51" s="3"/>
    </row>
    <row r="52" ht="15.75" customHeight="1">
      <c r="A52" s="3"/>
      <c r="B52" s="3"/>
      <c r="C52" s="3"/>
      <c r="D52" s="33"/>
      <c r="E52" s="33"/>
      <c r="F52" s="33"/>
      <c r="G52" s="33"/>
      <c r="H52" s="33"/>
      <c r="I52" s="33"/>
      <c r="J52" s="33"/>
      <c r="K52" s="33"/>
      <c r="L52" s="33"/>
      <c r="M52" s="33"/>
      <c r="N52" s="33"/>
      <c r="O52" s="33"/>
      <c r="P52" s="33"/>
      <c r="Q52" s="33"/>
      <c r="R52" s="33"/>
      <c r="S52" s="33"/>
      <c r="T52" s="299"/>
      <c r="U52" s="3"/>
      <c r="V52" s="3"/>
      <c r="W52" s="3"/>
      <c r="X52" s="3"/>
      <c r="Y52" s="3"/>
      <c r="Z52" s="3"/>
    </row>
    <row r="53" ht="15.75" customHeight="1">
      <c r="A53" s="3"/>
      <c r="B53" s="3"/>
      <c r="C53" s="3"/>
      <c r="D53" s="33"/>
      <c r="E53" s="33"/>
      <c r="F53" s="33"/>
      <c r="G53" s="33"/>
      <c r="H53" s="33"/>
      <c r="I53" s="33"/>
      <c r="J53" s="33"/>
      <c r="K53" s="33"/>
      <c r="L53" s="33"/>
      <c r="M53" s="33"/>
      <c r="N53" s="33"/>
      <c r="O53" s="33"/>
      <c r="P53" s="33"/>
      <c r="Q53" s="33"/>
      <c r="R53" s="33"/>
      <c r="S53" s="33"/>
      <c r="T53" s="299"/>
      <c r="U53" s="3"/>
      <c r="V53" s="3"/>
      <c r="W53" s="3"/>
      <c r="X53" s="3"/>
      <c r="Y53" s="3"/>
      <c r="Z53" s="3"/>
    </row>
    <row r="54" ht="15.75" customHeight="1">
      <c r="A54" s="3"/>
      <c r="B54" s="3"/>
      <c r="C54" s="3"/>
      <c r="D54" s="33"/>
      <c r="E54" s="33"/>
      <c r="F54" s="33"/>
      <c r="G54" s="33"/>
      <c r="H54" s="33"/>
      <c r="I54" s="33"/>
      <c r="J54" s="33"/>
      <c r="K54" s="33"/>
      <c r="L54" s="33"/>
      <c r="M54" s="33"/>
      <c r="N54" s="33"/>
      <c r="O54" s="33"/>
      <c r="P54" s="33"/>
      <c r="Q54" s="33"/>
      <c r="R54" s="33"/>
      <c r="S54" s="33"/>
      <c r="T54" s="299"/>
      <c r="U54" s="3"/>
      <c r="V54" s="3"/>
      <c r="W54" s="3"/>
      <c r="X54" s="3"/>
      <c r="Y54" s="3"/>
      <c r="Z54" s="3"/>
    </row>
    <row r="55" ht="15.75" customHeight="1">
      <c r="A55" s="3"/>
      <c r="B55" s="3"/>
      <c r="C55" s="3"/>
      <c r="D55" s="33"/>
      <c r="E55" s="33"/>
      <c r="F55" s="33"/>
      <c r="G55" s="33"/>
      <c r="H55" s="33"/>
      <c r="I55" s="33"/>
      <c r="J55" s="33"/>
      <c r="K55" s="33"/>
      <c r="L55" s="33"/>
      <c r="M55" s="33"/>
      <c r="N55" s="33"/>
      <c r="O55" s="33"/>
      <c r="P55" s="33"/>
      <c r="Q55" s="33"/>
      <c r="R55" s="33"/>
      <c r="S55" s="33"/>
      <c r="T55" s="299"/>
      <c r="U55" s="3"/>
      <c r="V55" s="3"/>
      <c r="W55" s="3"/>
      <c r="X55" s="3"/>
      <c r="Y55" s="3"/>
      <c r="Z55" s="3"/>
    </row>
    <row r="56" ht="15.75" customHeight="1">
      <c r="A56" s="3"/>
      <c r="B56" s="3"/>
      <c r="C56" s="3"/>
      <c r="D56" s="33"/>
      <c r="E56" s="33"/>
      <c r="F56" s="33"/>
      <c r="G56" s="33"/>
      <c r="H56" s="33"/>
      <c r="I56" s="33"/>
      <c r="J56" s="33"/>
      <c r="K56" s="33"/>
      <c r="L56" s="33"/>
      <c r="M56" s="33"/>
      <c r="N56" s="33"/>
      <c r="O56" s="33"/>
      <c r="P56" s="33"/>
      <c r="Q56" s="33"/>
      <c r="R56" s="33"/>
      <c r="S56" s="33"/>
      <c r="T56" s="299"/>
      <c r="U56" s="3"/>
      <c r="V56" s="3"/>
      <c r="W56" s="3"/>
      <c r="X56" s="3"/>
      <c r="Y56" s="3"/>
      <c r="Z56" s="3"/>
    </row>
    <row r="57" ht="15.75" customHeight="1">
      <c r="A57" s="3"/>
      <c r="B57" s="3"/>
      <c r="C57" s="3"/>
      <c r="D57" s="33"/>
      <c r="E57" s="33"/>
      <c r="F57" s="33"/>
      <c r="G57" s="33"/>
      <c r="H57" s="33"/>
      <c r="I57" s="33"/>
      <c r="J57" s="33"/>
      <c r="K57" s="33"/>
      <c r="L57" s="33"/>
      <c r="M57" s="33"/>
      <c r="N57" s="33"/>
      <c r="O57" s="33"/>
      <c r="P57" s="33"/>
      <c r="Q57" s="33"/>
      <c r="R57" s="33"/>
      <c r="S57" s="33"/>
      <c r="T57" s="299"/>
      <c r="U57" s="3"/>
      <c r="V57" s="3"/>
      <c r="W57" s="3"/>
      <c r="X57" s="3"/>
      <c r="Y57" s="3"/>
      <c r="Z57" s="3"/>
    </row>
    <row r="58" ht="15.75" customHeight="1">
      <c r="A58" s="3"/>
      <c r="B58" s="3"/>
      <c r="C58" s="3"/>
      <c r="D58" s="33"/>
      <c r="E58" s="33"/>
      <c r="F58" s="33"/>
      <c r="G58" s="33"/>
      <c r="H58" s="33"/>
      <c r="I58" s="33"/>
      <c r="J58" s="33"/>
      <c r="K58" s="33"/>
      <c r="L58" s="33"/>
      <c r="M58" s="33"/>
      <c r="N58" s="33"/>
      <c r="O58" s="33"/>
      <c r="P58" s="33"/>
      <c r="Q58" s="33"/>
      <c r="R58" s="33"/>
      <c r="S58" s="33"/>
      <c r="T58" s="299"/>
      <c r="U58" s="3"/>
      <c r="V58" s="3"/>
      <c r="W58" s="3"/>
      <c r="X58" s="3"/>
      <c r="Y58" s="3"/>
      <c r="Z58" s="3"/>
    </row>
    <row r="59" ht="15.75" customHeight="1">
      <c r="A59" s="3"/>
      <c r="B59" s="3"/>
      <c r="C59" s="3"/>
      <c r="D59" s="33"/>
      <c r="E59" s="33"/>
      <c r="F59" s="33"/>
      <c r="G59" s="33"/>
      <c r="H59" s="33"/>
      <c r="I59" s="33"/>
      <c r="J59" s="33"/>
      <c r="K59" s="33"/>
      <c r="L59" s="33"/>
      <c r="M59" s="33"/>
      <c r="N59" s="33"/>
      <c r="O59" s="33"/>
      <c r="P59" s="33"/>
      <c r="Q59" s="33"/>
      <c r="R59" s="33"/>
      <c r="S59" s="33"/>
      <c r="T59" s="299"/>
      <c r="U59" s="3"/>
      <c r="V59" s="3"/>
      <c r="W59" s="3"/>
      <c r="X59" s="3"/>
      <c r="Y59" s="3"/>
      <c r="Z59" s="3"/>
    </row>
    <row r="60" ht="15.75" customHeight="1">
      <c r="A60" s="3"/>
      <c r="B60" s="3"/>
      <c r="C60" s="3"/>
      <c r="D60" s="33"/>
      <c r="E60" s="33"/>
      <c r="F60" s="33"/>
      <c r="G60" s="33"/>
      <c r="H60" s="33"/>
      <c r="I60" s="33"/>
      <c r="J60" s="33"/>
      <c r="K60" s="33"/>
      <c r="L60" s="33"/>
      <c r="M60" s="33"/>
      <c r="N60" s="33"/>
      <c r="O60" s="33"/>
      <c r="P60" s="33"/>
      <c r="Q60" s="33"/>
      <c r="R60" s="33"/>
      <c r="S60" s="33"/>
      <c r="T60" s="299"/>
      <c r="U60" s="3"/>
      <c r="V60" s="3"/>
      <c r="W60" s="3"/>
      <c r="X60" s="3"/>
      <c r="Y60" s="3"/>
      <c r="Z60" s="3"/>
    </row>
    <row r="61" ht="15.75" customHeight="1">
      <c r="A61" s="3"/>
      <c r="B61" s="3"/>
      <c r="C61" s="3"/>
      <c r="D61" s="33"/>
      <c r="E61" s="33"/>
      <c r="F61" s="33"/>
      <c r="G61" s="33"/>
      <c r="H61" s="33"/>
      <c r="I61" s="33"/>
      <c r="J61" s="33"/>
      <c r="K61" s="33"/>
      <c r="L61" s="33"/>
      <c r="M61" s="33"/>
      <c r="N61" s="33"/>
      <c r="O61" s="33"/>
      <c r="P61" s="33"/>
      <c r="Q61" s="33"/>
      <c r="R61" s="33"/>
      <c r="S61" s="33"/>
      <c r="T61" s="299"/>
      <c r="U61" s="3"/>
      <c r="V61" s="3"/>
      <c r="W61" s="3"/>
      <c r="X61" s="3"/>
      <c r="Y61" s="3"/>
      <c r="Z61" s="3"/>
    </row>
    <row r="62" ht="15.75" customHeight="1">
      <c r="A62" s="3"/>
      <c r="B62" s="3"/>
      <c r="C62" s="3"/>
      <c r="D62" s="33"/>
      <c r="E62" s="33"/>
      <c r="F62" s="33"/>
      <c r="G62" s="33"/>
      <c r="H62" s="33"/>
      <c r="I62" s="33"/>
      <c r="J62" s="33"/>
      <c r="K62" s="33"/>
      <c r="L62" s="33"/>
      <c r="M62" s="33"/>
      <c r="N62" s="33"/>
      <c r="O62" s="33"/>
      <c r="P62" s="33"/>
      <c r="Q62" s="33"/>
      <c r="R62" s="33"/>
      <c r="S62" s="33"/>
      <c r="T62" s="299"/>
      <c r="U62" s="3"/>
      <c r="V62" s="3"/>
      <c r="W62" s="3"/>
      <c r="X62" s="3"/>
      <c r="Y62" s="3"/>
      <c r="Z62" s="3"/>
    </row>
    <row r="63" ht="15.75" customHeight="1">
      <c r="A63" s="3"/>
      <c r="B63" s="3"/>
      <c r="C63" s="3"/>
      <c r="D63" s="33"/>
      <c r="E63" s="33"/>
      <c r="F63" s="33"/>
      <c r="G63" s="33"/>
      <c r="H63" s="33"/>
      <c r="I63" s="33"/>
      <c r="J63" s="33"/>
      <c r="K63" s="33"/>
      <c r="L63" s="33"/>
      <c r="M63" s="33"/>
      <c r="N63" s="33"/>
      <c r="O63" s="33"/>
      <c r="P63" s="33"/>
      <c r="Q63" s="33"/>
      <c r="R63" s="33"/>
      <c r="S63" s="33"/>
      <c r="T63" s="299"/>
      <c r="U63" s="3"/>
      <c r="V63" s="3"/>
      <c r="W63" s="3"/>
      <c r="X63" s="3"/>
      <c r="Y63" s="3"/>
      <c r="Z63" s="3"/>
    </row>
    <row r="64" ht="15.75" customHeight="1">
      <c r="A64" s="3"/>
      <c r="B64" s="3"/>
      <c r="C64" s="3"/>
      <c r="D64" s="33"/>
      <c r="E64" s="33"/>
      <c r="F64" s="33"/>
      <c r="G64" s="33"/>
      <c r="H64" s="33"/>
      <c r="I64" s="33"/>
      <c r="J64" s="33"/>
      <c r="K64" s="33"/>
      <c r="L64" s="33"/>
      <c r="M64" s="33"/>
      <c r="N64" s="33"/>
      <c r="O64" s="33"/>
      <c r="P64" s="33"/>
      <c r="Q64" s="33"/>
      <c r="R64" s="33"/>
      <c r="S64" s="33"/>
      <c r="T64" s="299"/>
      <c r="U64" s="3"/>
      <c r="V64" s="3"/>
      <c r="W64" s="3"/>
      <c r="X64" s="3"/>
      <c r="Y64" s="3"/>
      <c r="Z64" s="3"/>
    </row>
    <row r="65" ht="15.75" customHeight="1">
      <c r="A65" s="3"/>
      <c r="B65" s="3"/>
      <c r="C65" s="3"/>
      <c r="D65" s="33"/>
      <c r="E65" s="33"/>
      <c r="F65" s="33"/>
      <c r="G65" s="33"/>
      <c r="H65" s="33"/>
      <c r="I65" s="33"/>
      <c r="J65" s="33"/>
      <c r="K65" s="33"/>
      <c r="L65" s="33"/>
      <c r="M65" s="33"/>
      <c r="N65" s="33"/>
      <c r="O65" s="33"/>
      <c r="P65" s="33"/>
      <c r="Q65" s="33"/>
      <c r="R65" s="33"/>
      <c r="S65" s="33"/>
      <c r="T65" s="299"/>
      <c r="U65" s="3"/>
      <c r="V65" s="3"/>
      <c r="W65" s="3"/>
      <c r="X65" s="3"/>
      <c r="Y65" s="3"/>
      <c r="Z65" s="3"/>
    </row>
    <row r="66" ht="15.75" customHeight="1">
      <c r="A66" s="3"/>
      <c r="B66" s="3"/>
      <c r="C66" s="3"/>
      <c r="D66" s="33"/>
      <c r="E66" s="33"/>
      <c r="F66" s="33"/>
      <c r="G66" s="33"/>
      <c r="H66" s="33"/>
      <c r="I66" s="33"/>
      <c r="J66" s="33"/>
      <c r="K66" s="33"/>
      <c r="L66" s="33"/>
      <c r="M66" s="33"/>
      <c r="N66" s="33"/>
      <c r="O66" s="33"/>
      <c r="P66" s="33"/>
      <c r="Q66" s="33"/>
      <c r="R66" s="33"/>
      <c r="S66" s="33"/>
      <c r="T66" s="299"/>
      <c r="U66" s="3"/>
      <c r="V66" s="3"/>
      <c r="W66" s="3"/>
      <c r="X66" s="3"/>
      <c r="Y66" s="3"/>
      <c r="Z66" s="3"/>
    </row>
    <row r="67" ht="15.75" customHeight="1">
      <c r="A67" s="3"/>
      <c r="B67" s="3"/>
      <c r="C67" s="3"/>
      <c r="D67" s="33"/>
      <c r="E67" s="33"/>
      <c r="F67" s="33"/>
      <c r="G67" s="33"/>
      <c r="H67" s="33"/>
      <c r="I67" s="33"/>
      <c r="J67" s="33"/>
      <c r="K67" s="33"/>
      <c r="L67" s="33"/>
      <c r="M67" s="33"/>
      <c r="N67" s="33"/>
      <c r="O67" s="33"/>
      <c r="P67" s="33"/>
      <c r="Q67" s="33"/>
      <c r="R67" s="33"/>
      <c r="S67" s="33"/>
      <c r="T67" s="299"/>
      <c r="U67" s="3"/>
      <c r="V67" s="3"/>
      <c r="W67" s="3"/>
      <c r="X67" s="3"/>
      <c r="Y67" s="3"/>
      <c r="Z67" s="3"/>
    </row>
    <row r="68" ht="15.75" customHeight="1">
      <c r="A68" s="3"/>
      <c r="B68" s="3"/>
      <c r="C68" s="3"/>
      <c r="D68" s="33"/>
      <c r="E68" s="33"/>
      <c r="F68" s="33"/>
      <c r="G68" s="33"/>
      <c r="H68" s="33"/>
      <c r="I68" s="33"/>
      <c r="J68" s="33"/>
      <c r="K68" s="33"/>
      <c r="L68" s="33"/>
      <c r="M68" s="33"/>
      <c r="N68" s="33"/>
      <c r="O68" s="33"/>
      <c r="P68" s="33"/>
      <c r="Q68" s="33"/>
      <c r="R68" s="33"/>
      <c r="S68" s="33"/>
      <c r="T68" s="299"/>
      <c r="U68" s="3"/>
      <c r="V68" s="3"/>
      <c r="W68" s="3"/>
      <c r="X68" s="3"/>
      <c r="Y68" s="3"/>
      <c r="Z68" s="3"/>
    </row>
    <row r="69" ht="15.75" customHeight="1">
      <c r="A69" s="3"/>
      <c r="B69" s="3"/>
      <c r="C69" s="3"/>
      <c r="D69" s="33"/>
      <c r="E69" s="33"/>
      <c r="F69" s="33"/>
      <c r="G69" s="33"/>
      <c r="H69" s="33"/>
      <c r="I69" s="33"/>
      <c r="J69" s="33"/>
      <c r="K69" s="33"/>
      <c r="L69" s="33"/>
      <c r="M69" s="33"/>
      <c r="N69" s="33"/>
      <c r="O69" s="33"/>
      <c r="P69" s="33"/>
      <c r="Q69" s="33"/>
      <c r="R69" s="33"/>
      <c r="S69" s="33"/>
      <c r="T69" s="299"/>
      <c r="U69" s="3"/>
      <c r="V69" s="3"/>
      <c r="W69" s="3"/>
      <c r="X69" s="3"/>
      <c r="Y69" s="3"/>
      <c r="Z69" s="3"/>
    </row>
    <row r="70" ht="15.75" customHeight="1">
      <c r="A70" s="3"/>
      <c r="B70" s="3"/>
      <c r="C70" s="3"/>
      <c r="D70" s="33"/>
      <c r="E70" s="33"/>
      <c r="F70" s="33"/>
      <c r="G70" s="33"/>
      <c r="H70" s="33"/>
      <c r="I70" s="33"/>
      <c r="J70" s="33"/>
      <c r="K70" s="33"/>
      <c r="L70" s="33"/>
      <c r="M70" s="33"/>
      <c r="N70" s="33"/>
      <c r="O70" s="33"/>
      <c r="P70" s="33"/>
      <c r="Q70" s="33"/>
      <c r="R70" s="33"/>
      <c r="S70" s="33"/>
      <c r="T70" s="299"/>
      <c r="U70" s="3"/>
      <c r="V70" s="3"/>
      <c r="W70" s="3"/>
      <c r="X70" s="3"/>
      <c r="Y70" s="3"/>
      <c r="Z70" s="3"/>
    </row>
    <row r="71" ht="15.75" customHeight="1">
      <c r="A71" s="3"/>
      <c r="B71" s="3"/>
      <c r="C71" s="3"/>
      <c r="D71" s="33"/>
      <c r="E71" s="33"/>
      <c r="F71" s="33"/>
      <c r="G71" s="33"/>
      <c r="H71" s="33"/>
      <c r="I71" s="33"/>
      <c r="J71" s="33"/>
      <c r="K71" s="33"/>
      <c r="L71" s="33"/>
      <c r="M71" s="33"/>
      <c r="N71" s="33"/>
      <c r="O71" s="33"/>
      <c r="P71" s="33"/>
      <c r="Q71" s="33"/>
      <c r="R71" s="33"/>
      <c r="S71" s="33"/>
      <c r="T71" s="299"/>
      <c r="U71" s="3"/>
      <c r="V71" s="3"/>
      <c r="W71" s="3"/>
      <c r="X71" s="3"/>
      <c r="Y71" s="3"/>
      <c r="Z71" s="3"/>
    </row>
    <row r="72" ht="15.75" customHeight="1">
      <c r="A72" s="3"/>
      <c r="B72" s="3"/>
      <c r="C72" s="3"/>
      <c r="D72" s="33"/>
      <c r="E72" s="33"/>
      <c r="F72" s="33"/>
      <c r="G72" s="33"/>
      <c r="H72" s="33"/>
      <c r="I72" s="33"/>
      <c r="J72" s="33"/>
      <c r="K72" s="33"/>
      <c r="L72" s="33"/>
      <c r="M72" s="33"/>
      <c r="N72" s="33"/>
      <c r="O72" s="33"/>
      <c r="P72" s="33"/>
      <c r="Q72" s="33"/>
      <c r="R72" s="33"/>
      <c r="S72" s="33"/>
      <c r="T72" s="299"/>
      <c r="U72" s="3"/>
      <c r="V72" s="3"/>
      <c r="W72" s="3"/>
      <c r="X72" s="3"/>
      <c r="Y72" s="3"/>
      <c r="Z72" s="3"/>
    </row>
    <row r="73" ht="15.75" customHeight="1">
      <c r="A73" s="3"/>
      <c r="B73" s="3"/>
      <c r="C73" s="3"/>
      <c r="D73" s="33"/>
      <c r="E73" s="33"/>
      <c r="F73" s="33"/>
      <c r="G73" s="33"/>
      <c r="H73" s="33"/>
      <c r="I73" s="33"/>
      <c r="J73" s="33"/>
      <c r="K73" s="33"/>
      <c r="L73" s="33"/>
      <c r="M73" s="33"/>
      <c r="N73" s="33"/>
      <c r="O73" s="33"/>
      <c r="P73" s="33"/>
      <c r="Q73" s="33"/>
      <c r="R73" s="33"/>
      <c r="S73" s="33"/>
      <c r="T73" s="299"/>
      <c r="U73" s="3"/>
      <c r="V73" s="3"/>
      <c r="W73" s="3"/>
      <c r="X73" s="3"/>
      <c r="Y73" s="3"/>
      <c r="Z73" s="3"/>
    </row>
    <row r="74" ht="15.75" customHeight="1">
      <c r="A74" s="3"/>
      <c r="B74" s="3"/>
      <c r="C74" s="3"/>
      <c r="D74" s="33"/>
      <c r="E74" s="33"/>
      <c r="F74" s="33"/>
      <c r="G74" s="33"/>
      <c r="H74" s="33"/>
      <c r="I74" s="33"/>
      <c r="J74" s="33"/>
      <c r="K74" s="33"/>
      <c r="L74" s="33"/>
      <c r="M74" s="33"/>
      <c r="N74" s="33"/>
      <c r="O74" s="33"/>
      <c r="P74" s="33"/>
      <c r="Q74" s="33"/>
      <c r="R74" s="33"/>
      <c r="S74" s="33"/>
      <c r="T74" s="299"/>
      <c r="U74" s="3"/>
      <c r="V74" s="3"/>
      <c r="W74" s="3"/>
      <c r="X74" s="3"/>
      <c r="Y74" s="3"/>
      <c r="Z74" s="3"/>
    </row>
    <row r="75" ht="15.75" customHeight="1">
      <c r="A75" s="3"/>
      <c r="B75" s="3"/>
      <c r="C75" s="3"/>
      <c r="D75" s="33"/>
      <c r="E75" s="33"/>
      <c r="F75" s="33"/>
      <c r="G75" s="33"/>
      <c r="H75" s="33"/>
      <c r="I75" s="33"/>
      <c r="J75" s="33"/>
      <c r="K75" s="33"/>
      <c r="L75" s="33"/>
      <c r="M75" s="33"/>
      <c r="N75" s="33"/>
      <c r="O75" s="33"/>
      <c r="P75" s="33"/>
      <c r="Q75" s="33"/>
      <c r="R75" s="33"/>
      <c r="S75" s="33"/>
      <c r="T75" s="299"/>
      <c r="U75" s="3"/>
      <c r="V75" s="3"/>
      <c r="W75" s="3"/>
      <c r="X75" s="3"/>
      <c r="Y75" s="3"/>
      <c r="Z75" s="3"/>
    </row>
    <row r="76" ht="15.75" customHeight="1">
      <c r="A76" s="3"/>
      <c r="B76" s="3"/>
      <c r="C76" s="3"/>
      <c r="D76" s="33"/>
      <c r="E76" s="33"/>
      <c r="F76" s="33"/>
      <c r="G76" s="33"/>
      <c r="H76" s="33"/>
      <c r="I76" s="33"/>
      <c r="J76" s="33"/>
      <c r="K76" s="33"/>
      <c r="L76" s="33"/>
      <c r="M76" s="33"/>
      <c r="N76" s="33"/>
      <c r="O76" s="33"/>
      <c r="P76" s="33"/>
      <c r="Q76" s="33"/>
      <c r="R76" s="33"/>
      <c r="S76" s="33"/>
      <c r="T76" s="299"/>
      <c r="U76" s="3"/>
      <c r="V76" s="3"/>
      <c r="W76" s="3"/>
      <c r="X76" s="3"/>
      <c r="Y76" s="3"/>
      <c r="Z76" s="3"/>
    </row>
    <row r="77" ht="15.75" customHeight="1">
      <c r="A77" s="3"/>
      <c r="B77" s="3"/>
      <c r="C77" s="3"/>
      <c r="D77" s="33"/>
      <c r="E77" s="33"/>
      <c r="F77" s="33"/>
      <c r="G77" s="33"/>
      <c r="H77" s="33"/>
      <c r="I77" s="33"/>
      <c r="J77" s="33"/>
      <c r="K77" s="33"/>
      <c r="L77" s="33"/>
      <c r="M77" s="33"/>
      <c r="N77" s="33"/>
      <c r="O77" s="33"/>
      <c r="P77" s="33"/>
      <c r="Q77" s="33"/>
      <c r="R77" s="33"/>
      <c r="S77" s="33"/>
      <c r="T77" s="299"/>
      <c r="U77" s="3"/>
      <c r="V77" s="3"/>
      <c r="W77" s="3"/>
      <c r="X77" s="3"/>
      <c r="Y77" s="3"/>
      <c r="Z77" s="3"/>
    </row>
    <row r="78" ht="15.75" customHeight="1">
      <c r="A78" s="3"/>
      <c r="B78" s="3"/>
      <c r="C78" s="3"/>
      <c r="D78" s="33"/>
      <c r="E78" s="33"/>
      <c r="F78" s="33"/>
      <c r="G78" s="33"/>
      <c r="H78" s="33"/>
      <c r="I78" s="33"/>
      <c r="J78" s="33"/>
      <c r="K78" s="33"/>
      <c r="L78" s="33"/>
      <c r="M78" s="33"/>
      <c r="N78" s="33"/>
      <c r="O78" s="33"/>
      <c r="P78" s="33"/>
      <c r="Q78" s="33"/>
      <c r="R78" s="33"/>
      <c r="S78" s="33"/>
      <c r="T78" s="299"/>
      <c r="U78" s="3"/>
      <c r="V78" s="3"/>
      <c r="W78" s="3"/>
      <c r="X78" s="3"/>
      <c r="Y78" s="3"/>
      <c r="Z78" s="3"/>
    </row>
    <row r="79" ht="15.75" customHeight="1">
      <c r="A79" s="3"/>
      <c r="B79" s="3"/>
      <c r="C79" s="3"/>
      <c r="D79" s="33"/>
      <c r="E79" s="33"/>
      <c r="F79" s="33"/>
      <c r="G79" s="33"/>
      <c r="H79" s="33"/>
      <c r="I79" s="33"/>
      <c r="J79" s="33"/>
      <c r="K79" s="33"/>
      <c r="L79" s="33"/>
      <c r="M79" s="33"/>
      <c r="N79" s="33"/>
      <c r="O79" s="33"/>
      <c r="P79" s="33"/>
      <c r="Q79" s="33"/>
      <c r="R79" s="33"/>
      <c r="S79" s="33"/>
      <c r="T79" s="299"/>
      <c r="U79" s="3"/>
      <c r="V79" s="3"/>
      <c r="W79" s="3"/>
      <c r="X79" s="3"/>
      <c r="Y79" s="3"/>
      <c r="Z79" s="3"/>
    </row>
    <row r="80" ht="15.75" customHeight="1">
      <c r="A80" s="3"/>
      <c r="B80" s="3"/>
      <c r="C80" s="3"/>
      <c r="D80" s="33"/>
      <c r="E80" s="33"/>
      <c r="F80" s="33"/>
      <c r="G80" s="33"/>
      <c r="H80" s="33"/>
      <c r="I80" s="33"/>
      <c r="J80" s="33"/>
      <c r="K80" s="33"/>
      <c r="L80" s="33"/>
      <c r="M80" s="33"/>
      <c r="N80" s="33"/>
      <c r="O80" s="33"/>
      <c r="P80" s="33"/>
      <c r="Q80" s="33"/>
      <c r="R80" s="33"/>
      <c r="S80" s="33"/>
      <c r="T80" s="299"/>
      <c r="U80" s="3"/>
      <c r="V80" s="3"/>
      <c r="W80" s="3"/>
      <c r="X80" s="3"/>
      <c r="Y80" s="3"/>
      <c r="Z80" s="3"/>
    </row>
    <row r="81" ht="15.75" customHeight="1">
      <c r="A81" s="3"/>
      <c r="B81" s="3"/>
      <c r="C81" s="3"/>
      <c r="D81" s="33"/>
      <c r="E81" s="33"/>
      <c r="F81" s="33"/>
      <c r="G81" s="33"/>
      <c r="H81" s="33"/>
      <c r="I81" s="33"/>
      <c r="J81" s="33"/>
      <c r="K81" s="33"/>
      <c r="L81" s="33"/>
      <c r="M81" s="33"/>
      <c r="N81" s="33"/>
      <c r="O81" s="33"/>
      <c r="P81" s="33"/>
      <c r="Q81" s="33"/>
      <c r="R81" s="33"/>
      <c r="S81" s="33"/>
      <c r="T81" s="299"/>
      <c r="U81" s="3"/>
      <c r="V81" s="3"/>
      <c r="W81" s="3"/>
      <c r="X81" s="3"/>
      <c r="Y81" s="3"/>
      <c r="Z81" s="3"/>
    </row>
    <row r="82" ht="15.75" customHeight="1">
      <c r="A82" s="3"/>
      <c r="B82" s="3"/>
      <c r="C82" s="3"/>
      <c r="D82" s="33"/>
      <c r="E82" s="33"/>
      <c r="F82" s="33"/>
      <c r="G82" s="33"/>
      <c r="H82" s="33"/>
      <c r="I82" s="33"/>
      <c r="J82" s="33"/>
      <c r="K82" s="33"/>
      <c r="L82" s="33"/>
      <c r="M82" s="33"/>
      <c r="N82" s="33"/>
      <c r="O82" s="33"/>
      <c r="P82" s="33"/>
      <c r="Q82" s="33"/>
      <c r="R82" s="33"/>
      <c r="S82" s="33"/>
      <c r="T82" s="299"/>
      <c r="U82" s="3"/>
      <c r="V82" s="3"/>
      <c r="W82" s="3"/>
      <c r="X82" s="3"/>
      <c r="Y82" s="3"/>
      <c r="Z82" s="3"/>
    </row>
    <row r="83" ht="15.75" customHeight="1">
      <c r="A83" s="3"/>
      <c r="B83" s="3"/>
      <c r="C83" s="3"/>
      <c r="D83" s="33"/>
      <c r="E83" s="33"/>
      <c r="F83" s="33"/>
      <c r="G83" s="33"/>
      <c r="H83" s="33"/>
      <c r="I83" s="33"/>
      <c r="J83" s="33"/>
      <c r="K83" s="33"/>
      <c r="L83" s="33"/>
      <c r="M83" s="33"/>
      <c r="N83" s="33"/>
      <c r="O83" s="33"/>
      <c r="P83" s="33"/>
      <c r="Q83" s="33"/>
      <c r="R83" s="33"/>
      <c r="S83" s="33"/>
      <c r="T83" s="299"/>
      <c r="U83" s="3"/>
      <c r="V83" s="3"/>
      <c r="W83" s="3"/>
      <c r="X83" s="3"/>
      <c r="Y83" s="3"/>
      <c r="Z83" s="3"/>
    </row>
    <row r="84" ht="15.75" customHeight="1">
      <c r="A84" s="3"/>
      <c r="B84" s="3"/>
      <c r="C84" s="3"/>
      <c r="D84" s="33"/>
      <c r="E84" s="33"/>
      <c r="F84" s="33"/>
      <c r="G84" s="33"/>
      <c r="H84" s="33"/>
      <c r="I84" s="33"/>
      <c r="J84" s="33"/>
      <c r="K84" s="33"/>
      <c r="L84" s="33"/>
      <c r="M84" s="33"/>
      <c r="N84" s="33"/>
      <c r="O84" s="33"/>
      <c r="P84" s="33"/>
      <c r="Q84" s="33"/>
      <c r="R84" s="33"/>
      <c r="S84" s="33"/>
      <c r="T84" s="299"/>
      <c r="U84" s="3"/>
      <c r="V84" s="3"/>
      <c r="W84" s="3"/>
      <c r="X84" s="3"/>
      <c r="Y84" s="3"/>
      <c r="Z84" s="3"/>
    </row>
    <row r="85" ht="15.75" customHeight="1">
      <c r="A85" s="3"/>
      <c r="B85" s="3"/>
      <c r="C85" s="3"/>
      <c r="D85" s="33"/>
      <c r="E85" s="33"/>
      <c r="F85" s="33"/>
      <c r="G85" s="33"/>
      <c r="H85" s="33"/>
      <c r="I85" s="33"/>
      <c r="J85" s="33"/>
      <c r="K85" s="33"/>
      <c r="L85" s="33"/>
      <c r="M85" s="33"/>
      <c r="N85" s="33"/>
      <c r="O85" s="33"/>
      <c r="P85" s="33"/>
      <c r="Q85" s="33"/>
      <c r="R85" s="33"/>
      <c r="S85" s="33"/>
      <c r="T85" s="299"/>
      <c r="U85" s="3"/>
      <c r="V85" s="3"/>
      <c r="W85" s="3"/>
      <c r="X85" s="3"/>
      <c r="Y85" s="3"/>
      <c r="Z85" s="3"/>
    </row>
    <row r="86" ht="15.75" customHeight="1">
      <c r="A86" s="3"/>
      <c r="B86" s="3"/>
      <c r="C86" s="3"/>
      <c r="D86" s="33"/>
      <c r="E86" s="33"/>
      <c r="F86" s="33"/>
      <c r="G86" s="33"/>
      <c r="H86" s="33"/>
      <c r="I86" s="33"/>
      <c r="J86" s="33"/>
      <c r="K86" s="33"/>
      <c r="L86" s="33"/>
      <c r="M86" s="33"/>
      <c r="N86" s="33"/>
      <c r="O86" s="33"/>
      <c r="P86" s="33"/>
      <c r="Q86" s="33"/>
      <c r="R86" s="33"/>
      <c r="S86" s="33"/>
      <c r="T86" s="299"/>
      <c r="U86" s="3"/>
      <c r="V86" s="3"/>
      <c r="W86" s="3"/>
      <c r="X86" s="3"/>
      <c r="Y86" s="3"/>
      <c r="Z86" s="3"/>
    </row>
    <row r="87" ht="15.75" customHeight="1">
      <c r="A87" s="3"/>
      <c r="B87" s="3"/>
      <c r="C87" s="3"/>
      <c r="D87" s="33"/>
      <c r="E87" s="33"/>
      <c r="F87" s="33"/>
      <c r="G87" s="33"/>
      <c r="H87" s="33"/>
      <c r="I87" s="33"/>
      <c r="J87" s="33"/>
      <c r="K87" s="33"/>
      <c r="L87" s="33"/>
      <c r="M87" s="33"/>
      <c r="N87" s="33"/>
      <c r="O87" s="33"/>
      <c r="P87" s="33"/>
      <c r="Q87" s="33"/>
      <c r="R87" s="33"/>
      <c r="S87" s="33"/>
      <c r="T87" s="299"/>
      <c r="U87" s="3"/>
      <c r="V87" s="3"/>
      <c r="W87" s="3"/>
      <c r="X87" s="3"/>
      <c r="Y87" s="3"/>
      <c r="Z87" s="3"/>
    </row>
    <row r="88" ht="15.75" customHeight="1">
      <c r="A88" s="3"/>
      <c r="B88" s="3"/>
      <c r="C88" s="3"/>
      <c r="D88" s="33"/>
      <c r="E88" s="33"/>
      <c r="F88" s="33"/>
      <c r="G88" s="33"/>
      <c r="H88" s="33"/>
      <c r="I88" s="33"/>
      <c r="J88" s="33"/>
      <c r="K88" s="33"/>
      <c r="L88" s="33"/>
      <c r="M88" s="33"/>
      <c r="N88" s="33"/>
      <c r="O88" s="33"/>
      <c r="P88" s="33"/>
      <c r="Q88" s="33"/>
      <c r="R88" s="33"/>
      <c r="S88" s="33"/>
      <c r="T88" s="299"/>
      <c r="U88" s="3"/>
      <c r="V88" s="3"/>
      <c r="W88" s="3"/>
      <c r="X88" s="3"/>
      <c r="Y88" s="3"/>
      <c r="Z88" s="3"/>
    </row>
    <row r="89" ht="15.75" customHeight="1">
      <c r="A89" s="3"/>
      <c r="B89" s="3"/>
      <c r="C89" s="3"/>
      <c r="D89" s="33"/>
      <c r="E89" s="33"/>
      <c r="F89" s="33"/>
      <c r="G89" s="33"/>
      <c r="H89" s="33"/>
      <c r="I89" s="33"/>
      <c r="J89" s="33"/>
      <c r="K89" s="33"/>
      <c r="L89" s="33"/>
      <c r="M89" s="33"/>
      <c r="N89" s="33"/>
      <c r="O89" s="33"/>
      <c r="P89" s="33"/>
      <c r="Q89" s="33"/>
      <c r="R89" s="33"/>
      <c r="S89" s="33"/>
      <c r="T89" s="299"/>
      <c r="U89" s="3"/>
      <c r="V89" s="3"/>
      <c r="W89" s="3"/>
      <c r="X89" s="3"/>
      <c r="Y89" s="3"/>
      <c r="Z89" s="3"/>
    </row>
    <row r="90" ht="15.75" customHeight="1">
      <c r="A90" s="3"/>
      <c r="B90" s="3"/>
      <c r="C90" s="3"/>
      <c r="D90" s="33"/>
      <c r="E90" s="33"/>
      <c r="F90" s="33"/>
      <c r="G90" s="33"/>
      <c r="H90" s="33"/>
      <c r="I90" s="33"/>
      <c r="J90" s="33"/>
      <c r="K90" s="33"/>
      <c r="L90" s="33"/>
      <c r="M90" s="33"/>
      <c r="N90" s="33"/>
      <c r="O90" s="33"/>
      <c r="P90" s="33"/>
      <c r="Q90" s="33"/>
      <c r="R90" s="33"/>
      <c r="S90" s="33"/>
      <c r="T90" s="299"/>
      <c r="U90" s="3"/>
      <c r="V90" s="3"/>
      <c r="W90" s="3"/>
      <c r="X90" s="3"/>
      <c r="Y90" s="3"/>
      <c r="Z90" s="3"/>
    </row>
    <row r="91" ht="15.75" customHeight="1">
      <c r="A91" s="3"/>
      <c r="B91" s="3"/>
      <c r="C91" s="3"/>
      <c r="D91" s="33"/>
      <c r="E91" s="33"/>
      <c r="F91" s="33"/>
      <c r="G91" s="33"/>
      <c r="H91" s="33"/>
      <c r="I91" s="33"/>
      <c r="J91" s="33"/>
      <c r="K91" s="33"/>
      <c r="L91" s="33"/>
      <c r="M91" s="33"/>
      <c r="N91" s="33"/>
      <c r="O91" s="33"/>
      <c r="P91" s="33"/>
      <c r="Q91" s="33"/>
      <c r="R91" s="33"/>
      <c r="S91" s="33"/>
      <c r="T91" s="299"/>
      <c r="U91" s="3"/>
      <c r="V91" s="3"/>
      <c r="W91" s="3"/>
      <c r="X91" s="3"/>
      <c r="Y91" s="3"/>
      <c r="Z91" s="3"/>
    </row>
    <row r="92" ht="15.75" customHeight="1">
      <c r="A92" s="3"/>
      <c r="B92" s="3"/>
      <c r="C92" s="3"/>
      <c r="D92" s="33"/>
      <c r="E92" s="33"/>
      <c r="F92" s="33"/>
      <c r="G92" s="33"/>
      <c r="H92" s="33"/>
      <c r="I92" s="33"/>
      <c r="J92" s="33"/>
      <c r="K92" s="33"/>
      <c r="L92" s="33"/>
      <c r="M92" s="33"/>
      <c r="N92" s="33"/>
      <c r="O92" s="33"/>
      <c r="P92" s="33"/>
      <c r="Q92" s="33"/>
      <c r="R92" s="33"/>
      <c r="S92" s="33"/>
      <c r="T92" s="299"/>
      <c r="U92" s="3"/>
      <c r="V92" s="3"/>
      <c r="W92" s="3"/>
      <c r="X92" s="3"/>
      <c r="Y92" s="3"/>
      <c r="Z92" s="3"/>
    </row>
    <row r="93" ht="15.75" customHeight="1">
      <c r="A93" s="3"/>
      <c r="B93" s="3"/>
      <c r="C93" s="3"/>
      <c r="D93" s="33"/>
      <c r="E93" s="33"/>
      <c r="F93" s="33"/>
      <c r="G93" s="33"/>
      <c r="H93" s="33"/>
      <c r="I93" s="33"/>
      <c r="J93" s="33"/>
      <c r="K93" s="33"/>
      <c r="L93" s="33"/>
      <c r="M93" s="33"/>
      <c r="N93" s="33"/>
      <c r="O93" s="33"/>
      <c r="P93" s="33"/>
      <c r="Q93" s="33"/>
      <c r="R93" s="33"/>
      <c r="S93" s="33"/>
      <c r="T93" s="299"/>
      <c r="U93" s="3"/>
      <c r="V93" s="3"/>
      <c r="W93" s="3"/>
      <c r="X93" s="3"/>
      <c r="Y93" s="3"/>
      <c r="Z93" s="3"/>
    </row>
    <row r="94" ht="15.75" customHeight="1">
      <c r="A94" s="3"/>
      <c r="B94" s="3"/>
      <c r="C94" s="3"/>
      <c r="D94" s="33"/>
      <c r="E94" s="33"/>
      <c r="F94" s="33"/>
      <c r="G94" s="33"/>
      <c r="H94" s="33"/>
      <c r="I94" s="33"/>
      <c r="J94" s="33"/>
      <c r="K94" s="33"/>
      <c r="L94" s="33"/>
      <c r="M94" s="33"/>
      <c r="N94" s="33"/>
      <c r="O94" s="33"/>
      <c r="P94" s="33"/>
      <c r="Q94" s="33"/>
      <c r="R94" s="33"/>
      <c r="S94" s="33"/>
      <c r="T94" s="299"/>
      <c r="U94" s="3"/>
      <c r="V94" s="3"/>
      <c r="W94" s="3"/>
      <c r="X94" s="3"/>
      <c r="Y94" s="3"/>
      <c r="Z94" s="3"/>
    </row>
    <row r="95" ht="15.75" customHeight="1">
      <c r="A95" s="3"/>
      <c r="B95" s="3"/>
      <c r="C95" s="3"/>
      <c r="D95" s="33"/>
      <c r="E95" s="33"/>
      <c r="F95" s="33"/>
      <c r="G95" s="33"/>
      <c r="H95" s="33"/>
      <c r="I95" s="33"/>
      <c r="J95" s="33"/>
      <c r="K95" s="33"/>
      <c r="L95" s="33"/>
      <c r="M95" s="33"/>
      <c r="N95" s="33"/>
      <c r="O95" s="33"/>
      <c r="P95" s="33"/>
      <c r="Q95" s="33"/>
      <c r="R95" s="33"/>
      <c r="S95" s="33"/>
      <c r="T95" s="299"/>
      <c r="U95" s="3"/>
      <c r="V95" s="3"/>
      <c r="W95" s="3"/>
      <c r="X95" s="3"/>
      <c r="Y95" s="3"/>
      <c r="Z95" s="3"/>
    </row>
    <row r="96" ht="15.75" customHeight="1">
      <c r="A96" s="3"/>
      <c r="B96" s="3"/>
      <c r="C96" s="3"/>
      <c r="D96" s="33"/>
      <c r="E96" s="33"/>
      <c r="F96" s="33"/>
      <c r="G96" s="33"/>
      <c r="H96" s="33"/>
      <c r="I96" s="33"/>
      <c r="J96" s="33"/>
      <c r="K96" s="33"/>
      <c r="L96" s="33"/>
      <c r="M96" s="33"/>
      <c r="N96" s="33"/>
      <c r="O96" s="33"/>
      <c r="P96" s="33"/>
      <c r="Q96" s="33"/>
      <c r="R96" s="33"/>
      <c r="S96" s="33"/>
      <c r="T96" s="299"/>
      <c r="U96" s="3"/>
      <c r="V96" s="3"/>
      <c r="W96" s="3"/>
      <c r="X96" s="3"/>
      <c r="Y96" s="3"/>
      <c r="Z96" s="3"/>
    </row>
    <row r="97" ht="15.75" customHeight="1">
      <c r="A97" s="3"/>
      <c r="B97" s="3"/>
      <c r="C97" s="3"/>
      <c r="D97" s="33"/>
      <c r="E97" s="33"/>
      <c r="F97" s="33"/>
      <c r="G97" s="33"/>
      <c r="H97" s="33"/>
      <c r="I97" s="33"/>
      <c r="J97" s="33"/>
      <c r="K97" s="33"/>
      <c r="L97" s="33"/>
      <c r="M97" s="33"/>
      <c r="N97" s="33"/>
      <c r="O97" s="33"/>
      <c r="P97" s="33"/>
      <c r="Q97" s="33"/>
      <c r="R97" s="33"/>
      <c r="S97" s="33"/>
      <c r="T97" s="299"/>
      <c r="U97" s="3"/>
      <c r="V97" s="3"/>
      <c r="W97" s="3"/>
      <c r="X97" s="3"/>
      <c r="Y97" s="3"/>
      <c r="Z97" s="3"/>
    </row>
    <row r="98" ht="15.75" customHeight="1">
      <c r="A98" s="3"/>
      <c r="B98" s="3"/>
      <c r="C98" s="3"/>
      <c r="D98" s="33"/>
      <c r="E98" s="33"/>
      <c r="F98" s="33"/>
      <c r="G98" s="33"/>
      <c r="H98" s="33"/>
      <c r="I98" s="33"/>
      <c r="J98" s="33"/>
      <c r="K98" s="33"/>
      <c r="L98" s="33"/>
      <c r="M98" s="33"/>
      <c r="N98" s="33"/>
      <c r="O98" s="33"/>
      <c r="P98" s="33"/>
      <c r="Q98" s="33"/>
      <c r="R98" s="33"/>
      <c r="S98" s="33"/>
      <c r="T98" s="299"/>
      <c r="U98" s="3"/>
      <c r="V98" s="3"/>
      <c r="W98" s="3"/>
      <c r="X98" s="3"/>
      <c r="Y98" s="3"/>
      <c r="Z98" s="3"/>
    </row>
    <row r="99" ht="15.75" customHeight="1">
      <c r="A99" s="3"/>
      <c r="B99" s="3"/>
      <c r="C99" s="3"/>
      <c r="D99" s="33"/>
      <c r="E99" s="33"/>
      <c r="F99" s="33"/>
      <c r="G99" s="33"/>
      <c r="H99" s="33"/>
      <c r="I99" s="33"/>
      <c r="J99" s="33"/>
      <c r="K99" s="33"/>
      <c r="L99" s="33"/>
      <c r="M99" s="33"/>
      <c r="N99" s="33"/>
      <c r="O99" s="33"/>
      <c r="P99" s="33"/>
      <c r="Q99" s="33"/>
      <c r="R99" s="33"/>
      <c r="S99" s="33"/>
      <c r="T99" s="299"/>
      <c r="U99" s="3"/>
      <c r="V99" s="3"/>
      <c r="W99" s="3"/>
      <c r="X99" s="3"/>
      <c r="Y99" s="3"/>
      <c r="Z99" s="3"/>
    </row>
    <row r="100" ht="15.75" customHeight="1">
      <c r="A100" s="3"/>
      <c r="B100" s="3"/>
      <c r="C100" s="3"/>
      <c r="D100" s="33"/>
      <c r="E100" s="33"/>
      <c r="F100" s="33"/>
      <c r="G100" s="33"/>
      <c r="H100" s="33"/>
      <c r="I100" s="33"/>
      <c r="J100" s="33"/>
      <c r="K100" s="33"/>
      <c r="L100" s="33"/>
      <c r="M100" s="33"/>
      <c r="N100" s="33"/>
      <c r="O100" s="33"/>
      <c r="P100" s="33"/>
      <c r="Q100" s="33"/>
      <c r="R100" s="33"/>
      <c r="S100" s="33"/>
      <c r="T100" s="299"/>
      <c r="U100" s="3"/>
      <c r="V100" s="3"/>
      <c r="W100" s="3"/>
      <c r="X100" s="3"/>
      <c r="Y100" s="3"/>
      <c r="Z100" s="3"/>
    </row>
    <row r="101" ht="15.75" customHeight="1">
      <c r="A101" s="3"/>
      <c r="B101" s="3"/>
      <c r="C101" s="3"/>
      <c r="D101" s="33"/>
      <c r="E101" s="33"/>
      <c r="F101" s="33"/>
      <c r="G101" s="33"/>
      <c r="H101" s="33"/>
      <c r="I101" s="33"/>
      <c r="J101" s="33"/>
      <c r="K101" s="33"/>
      <c r="L101" s="33"/>
      <c r="M101" s="33"/>
      <c r="N101" s="33"/>
      <c r="O101" s="33"/>
      <c r="P101" s="33"/>
      <c r="Q101" s="33"/>
      <c r="R101" s="33"/>
      <c r="S101" s="33"/>
      <c r="T101" s="299"/>
      <c r="U101" s="3"/>
      <c r="V101" s="3"/>
      <c r="W101" s="3"/>
      <c r="X101" s="3"/>
      <c r="Y101" s="3"/>
      <c r="Z101" s="3"/>
    </row>
    <row r="102" ht="15.75" customHeight="1">
      <c r="A102" s="3"/>
      <c r="B102" s="3"/>
      <c r="C102" s="3"/>
      <c r="D102" s="33"/>
      <c r="E102" s="33"/>
      <c r="F102" s="33"/>
      <c r="G102" s="33"/>
      <c r="H102" s="33"/>
      <c r="I102" s="33"/>
      <c r="J102" s="33"/>
      <c r="K102" s="33"/>
      <c r="L102" s="33"/>
      <c r="M102" s="33"/>
      <c r="N102" s="33"/>
      <c r="O102" s="33"/>
      <c r="P102" s="33"/>
      <c r="Q102" s="33"/>
      <c r="R102" s="33"/>
      <c r="S102" s="33"/>
      <c r="T102" s="299"/>
      <c r="U102" s="3"/>
      <c r="V102" s="3"/>
      <c r="W102" s="3"/>
      <c r="X102" s="3"/>
      <c r="Y102" s="3"/>
      <c r="Z102" s="3"/>
    </row>
    <row r="103" ht="15.75" customHeight="1">
      <c r="A103" s="3"/>
      <c r="B103" s="3"/>
      <c r="C103" s="3"/>
      <c r="D103" s="33"/>
      <c r="E103" s="33"/>
      <c r="F103" s="33"/>
      <c r="G103" s="33"/>
      <c r="H103" s="33"/>
      <c r="I103" s="33"/>
      <c r="J103" s="33"/>
      <c r="K103" s="33"/>
      <c r="L103" s="33"/>
      <c r="M103" s="33"/>
      <c r="N103" s="33"/>
      <c r="O103" s="33"/>
      <c r="P103" s="33"/>
      <c r="Q103" s="33"/>
      <c r="R103" s="33"/>
      <c r="S103" s="33"/>
      <c r="T103" s="299"/>
      <c r="U103" s="3"/>
      <c r="V103" s="3"/>
      <c r="W103" s="3"/>
      <c r="X103" s="3"/>
      <c r="Y103" s="3"/>
      <c r="Z103" s="3"/>
    </row>
    <row r="104" ht="15.75" customHeight="1">
      <c r="A104" s="3"/>
      <c r="B104" s="3"/>
      <c r="C104" s="3"/>
      <c r="D104" s="33"/>
      <c r="E104" s="33"/>
      <c r="F104" s="33"/>
      <c r="G104" s="33"/>
      <c r="H104" s="33"/>
      <c r="I104" s="33"/>
      <c r="J104" s="33"/>
      <c r="K104" s="33"/>
      <c r="L104" s="33"/>
      <c r="M104" s="33"/>
      <c r="N104" s="33"/>
      <c r="O104" s="33"/>
      <c r="P104" s="33"/>
      <c r="Q104" s="33"/>
      <c r="R104" s="33"/>
      <c r="S104" s="33"/>
      <c r="T104" s="299"/>
      <c r="U104" s="3"/>
      <c r="V104" s="3"/>
      <c r="W104" s="3"/>
      <c r="X104" s="3"/>
      <c r="Y104" s="3"/>
      <c r="Z104" s="3"/>
    </row>
    <row r="105" ht="15.75" customHeight="1">
      <c r="A105" s="3"/>
      <c r="B105" s="3"/>
      <c r="C105" s="3"/>
      <c r="D105" s="33"/>
      <c r="E105" s="33"/>
      <c r="F105" s="33"/>
      <c r="G105" s="33"/>
      <c r="H105" s="33"/>
      <c r="I105" s="33"/>
      <c r="J105" s="33"/>
      <c r="K105" s="33"/>
      <c r="L105" s="33"/>
      <c r="M105" s="33"/>
      <c r="N105" s="33"/>
      <c r="O105" s="33"/>
      <c r="P105" s="33"/>
      <c r="Q105" s="33"/>
      <c r="R105" s="33"/>
      <c r="S105" s="33"/>
      <c r="T105" s="299"/>
      <c r="U105" s="3"/>
      <c r="V105" s="3"/>
      <c r="W105" s="3"/>
      <c r="X105" s="3"/>
      <c r="Y105" s="3"/>
      <c r="Z105" s="3"/>
    </row>
    <row r="106" ht="15.75" customHeight="1">
      <c r="A106" s="3"/>
      <c r="B106" s="3"/>
      <c r="C106" s="3"/>
      <c r="D106" s="33"/>
      <c r="E106" s="33"/>
      <c r="F106" s="33"/>
      <c r="G106" s="33"/>
      <c r="H106" s="33"/>
      <c r="I106" s="33"/>
      <c r="J106" s="33"/>
      <c r="K106" s="33"/>
      <c r="L106" s="33"/>
      <c r="M106" s="33"/>
      <c r="N106" s="33"/>
      <c r="O106" s="33"/>
      <c r="P106" s="33"/>
      <c r="Q106" s="33"/>
      <c r="R106" s="33"/>
      <c r="S106" s="33"/>
      <c r="T106" s="299"/>
      <c r="U106" s="3"/>
      <c r="V106" s="3"/>
      <c r="W106" s="3"/>
      <c r="X106" s="3"/>
      <c r="Y106" s="3"/>
      <c r="Z106" s="3"/>
    </row>
    <row r="107" ht="15.75" customHeight="1">
      <c r="A107" s="3"/>
      <c r="B107" s="3"/>
      <c r="C107" s="3"/>
      <c r="D107" s="33"/>
      <c r="E107" s="33"/>
      <c r="F107" s="33"/>
      <c r="G107" s="33"/>
      <c r="H107" s="33"/>
      <c r="I107" s="33"/>
      <c r="J107" s="33"/>
      <c r="K107" s="33"/>
      <c r="L107" s="33"/>
      <c r="M107" s="33"/>
      <c r="N107" s="33"/>
      <c r="O107" s="33"/>
      <c r="P107" s="33"/>
      <c r="Q107" s="33"/>
      <c r="R107" s="33"/>
      <c r="S107" s="33"/>
      <c r="T107" s="299"/>
      <c r="U107" s="3"/>
      <c r="V107" s="3"/>
      <c r="W107" s="3"/>
      <c r="X107" s="3"/>
      <c r="Y107" s="3"/>
      <c r="Z107" s="3"/>
    </row>
    <row r="108" ht="15.75" customHeight="1">
      <c r="A108" s="3"/>
      <c r="B108" s="3"/>
      <c r="C108" s="3"/>
      <c r="D108" s="33"/>
      <c r="E108" s="33"/>
      <c r="F108" s="33"/>
      <c r="G108" s="33"/>
      <c r="H108" s="33"/>
      <c r="I108" s="33"/>
      <c r="J108" s="33"/>
      <c r="K108" s="33"/>
      <c r="L108" s="33"/>
      <c r="M108" s="33"/>
      <c r="N108" s="33"/>
      <c r="O108" s="33"/>
      <c r="P108" s="33"/>
      <c r="Q108" s="33"/>
      <c r="R108" s="33"/>
      <c r="S108" s="33"/>
      <c r="T108" s="299"/>
      <c r="U108" s="3"/>
      <c r="V108" s="3"/>
      <c r="W108" s="3"/>
      <c r="X108" s="3"/>
      <c r="Y108" s="3"/>
      <c r="Z108" s="3"/>
    </row>
    <row r="109" ht="15.75" customHeight="1">
      <c r="A109" s="3"/>
      <c r="B109" s="3"/>
      <c r="C109" s="3"/>
      <c r="D109" s="33"/>
      <c r="E109" s="33"/>
      <c r="F109" s="33"/>
      <c r="G109" s="33"/>
      <c r="H109" s="33"/>
      <c r="I109" s="33"/>
      <c r="J109" s="33"/>
      <c r="K109" s="33"/>
      <c r="L109" s="33"/>
      <c r="M109" s="33"/>
      <c r="N109" s="33"/>
      <c r="O109" s="33"/>
      <c r="P109" s="33"/>
      <c r="Q109" s="33"/>
      <c r="R109" s="33"/>
      <c r="S109" s="33"/>
      <c r="T109" s="299"/>
      <c r="U109" s="3"/>
      <c r="V109" s="3"/>
      <c r="W109" s="3"/>
      <c r="X109" s="3"/>
      <c r="Y109" s="3"/>
      <c r="Z109" s="3"/>
    </row>
    <row r="110" ht="15.75" customHeight="1">
      <c r="A110" s="3"/>
      <c r="B110" s="3"/>
      <c r="C110" s="3"/>
      <c r="D110" s="33"/>
      <c r="E110" s="33"/>
      <c r="F110" s="33"/>
      <c r="G110" s="33"/>
      <c r="H110" s="33"/>
      <c r="I110" s="33"/>
      <c r="J110" s="33"/>
      <c r="K110" s="33"/>
      <c r="L110" s="33"/>
      <c r="M110" s="33"/>
      <c r="N110" s="33"/>
      <c r="O110" s="33"/>
      <c r="P110" s="33"/>
      <c r="Q110" s="33"/>
      <c r="R110" s="33"/>
      <c r="S110" s="33"/>
      <c r="T110" s="299"/>
      <c r="U110" s="3"/>
      <c r="V110" s="3"/>
      <c r="W110" s="3"/>
      <c r="X110" s="3"/>
      <c r="Y110" s="3"/>
      <c r="Z110" s="3"/>
    </row>
    <row r="111" ht="15.75" customHeight="1">
      <c r="A111" s="3"/>
      <c r="B111" s="3"/>
      <c r="C111" s="3"/>
      <c r="D111" s="33"/>
      <c r="E111" s="33"/>
      <c r="F111" s="33"/>
      <c r="G111" s="33"/>
      <c r="H111" s="33"/>
      <c r="I111" s="33"/>
      <c r="J111" s="33"/>
      <c r="K111" s="33"/>
      <c r="L111" s="33"/>
      <c r="M111" s="33"/>
      <c r="N111" s="33"/>
      <c r="O111" s="33"/>
      <c r="P111" s="33"/>
      <c r="Q111" s="33"/>
      <c r="R111" s="33"/>
      <c r="S111" s="33"/>
      <c r="T111" s="299"/>
      <c r="U111" s="3"/>
      <c r="V111" s="3"/>
      <c r="W111" s="3"/>
      <c r="X111" s="3"/>
      <c r="Y111" s="3"/>
      <c r="Z111" s="3"/>
    </row>
    <row r="112" ht="15.75" customHeight="1">
      <c r="A112" s="3"/>
      <c r="B112" s="3"/>
      <c r="C112" s="3"/>
      <c r="D112" s="33"/>
      <c r="E112" s="33"/>
      <c r="F112" s="33"/>
      <c r="G112" s="33"/>
      <c r="H112" s="33"/>
      <c r="I112" s="33"/>
      <c r="J112" s="33"/>
      <c r="K112" s="33"/>
      <c r="L112" s="33"/>
      <c r="M112" s="33"/>
      <c r="N112" s="33"/>
      <c r="O112" s="33"/>
      <c r="P112" s="33"/>
      <c r="Q112" s="33"/>
      <c r="R112" s="33"/>
      <c r="S112" s="33"/>
      <c r="T112" s="299"/>
      <c r="U112" s="3"/>
      <c r="V112" s="3"/>
      <c r="W112" s="3"/>
      <c r="X112" s="3"/>
      <c r="Y112" s="3"/>
      <c r="Z112" s="3"/>
    </row>
    <row r="113" ht="15.75" customHeight="1">
      <c r="A113" s="3"/>
      <c r="B113" s="3"/>
      <c r="C113" s="3"/>
      <c r="D113" s="33"/>
      <c r="E113" s="33"/>
      <c r="F113" s="33"/>
      <c r="G113" s="33"/>
      <c r="H113" s="33"/>
      <c r="I113" s="33"/>
      <c r="J113" s="33"/>
      <c r="K113" s="33"/>
      <c r="L113" s="33"/>
      <c r="M113" s="33"/>
      <c r="N113" s="33"/>
      <c r="O113" s="33"/>
      <c r="P113" s="33"/>
      <c r="Q113" s="33"/>
      <c r="R113" s="33"/>
      <c r="S113" s="33"/>
      <c r="T113" s="299"/>
      <c r="U113" s="3"/>
      <c r="V113" s="3"/>
      <c r="W113" s="3"/>
      <c r="X113" s="3"/>
      <c r="Y113" s="3"/>
      <c r="Z113" s="3"/>
    </row>
    <row r="114" ht="15.75" customHeight="1">
      <c r="A114" s="3"/>
      <c r="B114" s="3"/>
      <c r="C114" s="3"/>
      <c r="D114" s="33"/>
      <c r="E114" s="33"/>
      <c r="F114" s="33"/>
      <c r="G114" s="33"/>
      <c r="H114" s="33"/>
      <c r="I114" s="33"/>
      <c r="J114" s="33"/>
      <c r="K114" s="33"/>
      <c r="L114" s="33"/>
      <c r="M114" s="33"/>
      <c r="N114" s="33"/>
      <c r="O114" s="33"/>
      <c r="P114" s="33"/>
      <c r="Q114" s="33"/>
      <c r="R114" s="33"/>
      <c r="S114" s="33"/>
      <c r="T114" s="299"/>
      <c r="U114" s="3"/>
      <c r="V114" s="3"/>
      <c r="W114" s="3"/>
      <c r="X114" s="3"/>
      <c r="Y114" s="3"/>
      <c r="Z114" s="3"/>
    </row>
    <row r="115" ht="15.75" customHeight="1">
      <c r="A115" s="3"/>
      <c r="B115" s="3"/>
      <c r="C115" s="3"/>
      <c r="D115" s="33"/>
      <c r="E115" s="33"/>
      <c r="F115" s="33"/>
      <c r="G115" s="33"/>
      <c r="H115" s="33"/>
      <c r="I115" s="33"/>
      <c r="J115" s="33"/>
      <c r="K115" s="33"/>
      <c r="L115" s="33"/>
      <c r="M115" s="33"/>
      <c r="N115" s="33"/>
      <c r="O115" s="33"/>
      <c r="P115" s="33"/>
      <c r="Q115" s="33"/>
      <c r="R115" s="33"/>
      <c r="S115" s="33"/>
      <c r="T115" s="299"/>
      <c r="U115" s="3"/>
      <c r="V115" s="3"/>
      <c r="W115" s="3"/>
      <c r="X115" s="3"/>
      <c r="Y115" s="3"/>
      <c r="Z115" s="3"/>
    </row>
    <row r="116" ht="15.75" customHeight="1">
      <c r="A116" s="3"/>
      <c r="B116" s="3"/>
      <c r="C116" s="3"/>
      <c r="D116" s="33"/>
      <c r="E116" s="33"/>
      <c r="F116" s="33"/>
      <c r="G116" s="33"/>
      <c r="H116" s="33"/>
      <c r="I116" s="33"/>
      <c r="J116" s="33"/>
      <c r="K116" s="33"/>
      <c r="L116" s="33"/>
      <c r="M116" s="33"/>
      <c r="N116" s="33"/>
      <c r="O116" s="33"/>
      <c r="P116" s="33"/>
      <c r="Q116" s="33"/>
      <c r="R116" s="33"/>
      <c r="S116" s="33"/>
      <c r="T116" s="299"/>
      <c r="U116" s="3"/>
      <c r="V116" s="3"/>
      <c r="W116" s="3"/>
      <c r="X116" s="3"/>
      <c r="Y116" s="3"/>
      <c r="Z116" s="3"/>
    </row>
    <row r="117" ht="15.75" customHeight="1">
      <c r="A117" s="3"/>
      <c r="B117" s="3"/>
      <c r="C117" s="3"/>
      <c r="D117" s="33"/>
      <c r="E117" s="33"/>
      <c r="F117" s="33"/>
      <c r="G117" s="33"/>
      <c r="H117" s="33"/>
      <c r="I117" s="33"/>
      <c r="J117" s="33"/>
      <c r="K117" s="33"/>
      <c r="L117" s="33"/>
      <c r="M117" s="33"/>
      <c r="N117" s="33"/>
      <c r="O117" s="33"/>
      <c r="P117" s="33"/>
      <c r="Q117" s="33"/>
      <c r="R117" s="33"/>
      <c r="S117" s="33"/>
      <c r="T117" s="299"/>
      <c r="U117" s="3"/>
      <c r="V117" s="3"/>
      <c r="W117" s="3"/>
      <c r="X117" s="3"/>
      <c r="Y117" s="3"/>
      <c r="Z117" s="3"/>
    </row>
    <row r="118" ht="15.75" customHeight="1">
      <c r="A118" s="3"/>
      <c r="B118" s="3"/>
      <c r="C118" s="3"/>
      <c r="D118" s="33"/>
      <c r="E118" s="33"/>
      <c r="F118" s="33"/>
      <c r="G118" s="33"/>
      <c r="H118" s="33"/>
      <c r="I118" s="33"/>
      <c r="J118" s="33"/>
      <c r="K118" s="33"/>
      <c r="L118" s="33"/>
      <c r="M118" s="33"/>
      <c r="N118" s="33"/>
      <c r="O118" s="33"/>
      <c r="P118" s="33"/>
      <c r="Q118" s="33"/>
      <c r="R118" s="33"/>
      <c r="S118" s="33"/>
      <c r="T118" s="299"/>
      <c r="U118" s="3"/>
      <c r="V118" s="3"/>
      <c r="W118" s="3"/>
      <c r="X118" s="3"/>
      <c r="Y118" s="3"/>
      <c r="Z118" s="3"/>
    </row>
    <row r="119" ht="15.75" customHeight="1">
      <c r="A119" s="3"/>
      <c r="B119" s="3"/>
      <c r="C119" s="3"/>
      <c r="D119" s="33"/>
      <c r="E119" s="33"/>
      <c r="F119" s="33"/>
      <c r="G119" s="33"/>
      <c r="H119" s="33"/>
      <c r="I119" s="33"/>
      <c r="J119" s="33"/>
      <c r="K119" s="33"/>
      <c r="L119" s="33"/>
      <c r="M119" s="33"/>
      <c r="N119" s="33"/>
      <c r="O119" s="33"/>
      <c r="P119" s="33"/>
      <c r="Q119" s="33"/>
      <c r="R119" s="33"/>
      <c r="S119" s="33"/>
      <c r="T119" s="299"/>
      <c r="U119" s="3"/>
      <c r="V119" s="3"/>
      <c r="W119" s="3"/>
      <c r="X119" s="3"/>
      <c r="Y119" s="3"/>
      <c r="Z119" s="3"/>
    </row>
    <row r="120" ht="15.75" customHeight="1">
      <c r="A120" s="3"/>
      <c r="B120" s="3"/>
      <c r="C120" s="3"/>
      <c r="D120" s="33"/>
      <c r="E120" s="33"/>
      <c r="F120" s="33"/>
      <c r="G120" s="33"/>
      <c r="H120" s="33"/>
      <c r="I120" s="33"/>
      <c r="J120" s="33"/>
      <c r="K120" s="33"/>
      <c r="L120" s="33"/>
      <c r="M120" s="33"/>
      <c r="N120" s="33"/>
      <c r="O120" s="33"/>
      <c r="P120" s="33"/>
      <c r="Q120" s="33"/>
      <c r="R120" s="33"/>
      <c r="S120" s="33"/>
      <c r="T120" s="299"/>
      <c r="U120" s="3"/>
      <c r="V120" s="3"/>
      <c r="W120" s="3"/>
      <c r="X120" s="3"/>
      <c r="Y120" s="3"/>
      <c r="Z120" s="3"/>
    </row>
    <row r="121" ht="15.75" customHeight="1">
      <c r="A121" s="3"/>
      <c r="B121" s="3"/>
      <c r="C121" s="3"/>
      <c r="D121" s="33"/>
      <c r="E121" s="33"/>
      <c r="F121" s="33"/>
      <c r="G121" s="33"/>
      <c r="H121" s="33"/>
      <c r="I121" s="33"/>
      <c r="J121" s="33"/>
      <c r="K121" s="33"/>
      <c r="L121" s="33"/>
      <c r="M121" s="33"/>
      <c r="N121" s="33"/>
      <c r="O121" s="33"/>
      <c r="P121" s="33"/>
      <c r="Q121" s="33"/>
      <c r="R121" s="33"/>
      <c r="S121" s="33"/>
      <c r="T121" s="299"/>
      <c r="U121" s="3"/>
      <c r="V121" s="3"/>
      <c r="W121" s="3"/>
      <c r="X121" s="3"/>
      <c r="Y121" s="3"/>
      <c r="Z121" s="3"/>
    </row>
    <row r="122" ht="15.75" customHeight="1">
      <c r="A122" s="3"/>
      <c r="B122" s="3"/>
      <c r="C122" s="3"/>
      <c r="D122" s="33"/>
      <c r="E122" s="33"/>
      <c r="F122" s="33"/>
      <c r="G122" s="33"/>
      <c r="H122" s="33"/>
      <c r="I122" s="33"/>
      <c r="J122" s="33"/>
      <c r="K122" s="33"/>
      <c r="L122" s="33"/>
      <c r="M122" s="33"/>
      <c r="N122" s="33"/>
      <c r="O122" s="33"/>
      <c r="P122" s="33"/>
      <c r="Q122" s="33"/>
      <c r="R122" s="33"/>
      <c r="S122" s="33"/>
      <c r="T122" s="299"/>
      <c r="U122" s="3"/>
      <c r="V122" s="3"/>
      <c r="W122" s="3"/>
      <c r="X122" s="3"/>
      <c r="Y122" s="3"/>
      <c r="Z122" s="3"/>
    </row>
    <row r="123" ht="15.75" customHeight="1">
      <c r="A123" s="3"/>
      <c r="B123" s="3"/>
      <c r="C123" s="3"/>
      <c r="D123" s="33"/>
      <c r="E123" s="33"/>
      <c r="F123" s="33"/>
      <c r="G123" s="33"/>
      <c r="H123" s="33"/>
      <c r="I123" s="33"/>
      <c r="J123" s="33"/>
      <c r="K123" s="33"/>
      <c r="L123" s="33"/>
      <c r="M123" s="33"/>
      <c r="N123" s="33"/>
      <c r="O123" s="33"/>
      <c r="P123" s="33"/>
      <c r="Q123" s="33"/>
      <c r="R123" s="33"/>
      <c r="S123" s="33"/>
      <c r="T123" s="299"/>
      <c r="U123" s="3"/>
      <c r="V123" s="3"/>
      <c r="W123" s="3"/>
      <c r="X123" s="3"/>
      <c r="Y123" s="3"/>
      <c r="Z123" s="3"/>
    </row>
    <row r="124" ht="15.75" customHeight="1">
      <c r="A124" s="3"/>
      <c r="B124" s="3"/>
      <c r="C124" s="3"/>
      <c r="D124" s="33"/>
      <c r="E124" s="33"/>
      <c r="F124" s="33"/>
      <c r="G124" s="33"/>
      <c r="H124" s="33"/>
      <c r="I124" s="33"/>
      <c r="J124" s="33"/>
      <c r="K124" s="33"/>
      <c r="L124" s="33"/>
      <c r="M124" s="33"/>
      <c r="N124" s="33"/>
      <c r="O124" s="33"/>
      <c r="P124" s="33"/>
      <c r="Q124" s="33"/>
      <c r="R124" s="33"/>
      <c r="S124" s="33"/>
      <c r="T124" s="299"/>
      <c r="U124" s="3"/>
      <c r="V124" s="3"/>
      <c r="W124" s="3"/>
      <c r="X124" s="3"/>
      <c r="Y124" s="3"/>
      <c r="Z124" s="3"/>
    </row>
    <row r="125" ht="15.75" customHeight="1">
      <c r="A125" s="3"/>
      <c r="B125" s="3"/>
      <c r="C125" s="3"/>
      <c r="D125" s="33"/>
      <c r="E125" s="33"/>
      <c r="F125" s="33"/>
      <c r="G125" s="33"/>
      <c r="H125" s="33"/>
      <c r="I125" s="33"/>
      <c r="J125" s="33"/>
      <c r="K125" s="33"/>
      <c r="L125" s="33"/>
      <c r="M125" s="33"/>
      <c r="N125" s="33"/>
      <c r="O125" s="33"/>
      <c r="P125" s="33"/>
      <c r="Q125" s="33"/>
      <c r="R125" s="33"/>
      <c r="S125" s="33"/>
      <c r="T125" s="299"/>
      <c r="U125" s="3"/>
      <c r="V125" s="3"/>
      <c r="W125" s="3"/>
      <c r="X125" s="3"/>
      <c r="Y125" s="3"/>
      <c r="Z125" s="3"/>
    </row>
    <row r="126" ht="15.75" customHeight="1">
      <c r="A126" s="3"/>
      <c r="B126" s="3"/>
      <c r="C126" s="3"/>
      <c r="D126" s="33"/>
      <c r="E126" s="33"/>
      <c r="F126" s="33"/>
      <c r="G126" s="33"/>
      <c r="H126" s="33"/>
      <c r="I126" s="33"/>
      <c r="J126" s="33"/>
      <c r="K126" s="33"/>
      <c r="L126" s="33"/>
      <c r="M126" s="33"/>
      <c r="N126" s="33"/>
      <c r="O126" s="33"/>
      <c r="P126" s="33"/>
      <c r="Q126" s="33"/>
      <c r="R126" s="33"/>
      <c r="S126" s="33"/>
      <c r="T126" s="299"/>
      <c r="U126" s="3"/>
      <c r="V126" s="3"/>
      <c r="W126" s="3"/>
      <c r="X126" s="3"/>
      <c r="Y126" s="3"/>
      <c r="Z126" s="3"/>
    </row>
    <row r="127" ht="15.75" customHeight="1">
      <c r="A127" s="3"/>
      <c r="B127" s="3"/>
      <c r="C127" s="3"/>
      <c r="D127" s="33"/>
      <c r="E127" s="33"/>
      <c r="F127" s="33"/>
      <c r="G127" s="33"/>
      <c r="H127" s="33"/>
      <c r="I127" s="33"/>
      <c r="J127" s="33"/>
      <c r="K127" s="33"/>
      <c r="L127" s="33"/>
      <c r="M127" s="33"/>
      <c r="N127" s="33"/>
      <c r="O127" s="33"/>
      <c r="P127" s="33"/>
      <c r="Q127" s="33"/>
      <c r="R127" s="33"/>
      <c r="S127" s="33"/>
      <c r="T127" s="299"/>
      <c r="U127" s="3"/>
      <c r="V127" s="3"/>
      <c r="W127" s="3"/>
      <c r="X127" s="3"/>
      <c r="Y127" s="3"/>
      <c r="Z127" s="3"/>
    </row>
    <row r="128" ht="15.75" customHeight="1">
      <c r="A128" s="3"/>
      <c r="B128" s="3"/>
      <c r="C128" s="3"/>
      <c r="D128" s="33"/>
      <c r="E128" s="33"/>
      <c r="F128" s="33"/>
      <c r="G128" s="33"/>
      <c r="H128" s="33"/>
      <c r="I128" s="33"/>
      <c r="J128" s="33"/>
      <c r="K128" s="33"/>
      <c r="L128" s="33"/>
      <c r="M128" s="33"/>
      <c r="N128" s="33"/>
      <c r="O128" s="33"/>
      <c r="P128" s="33"/>
      <c r="Q128" s="33"/>
      <c r="R128" s="33"/>
      <c r="S128" s="33"/>
      <c r="T128" s="299"/>
      <c r="U128" s="3"/>
      <c r="V128" s="3"/>
      <c r="W128" s="3"/>
      <c r="X128" s="3"/>
      <c r="Y128" s="3"/>
      <c r="Z128" s="3"/>
    </row>
    <row r="129" ht="15.75" customHeight="1">
      <c r="A129" s="3"/>
      <c r="B129" s="3"/>
      <c r="C129" s="3"/>
      <c r="D129" s="33"/>
      <c r="E129" s="33"/>
      <c r="F129" s="33"/>
      <c r="G129" s="33"/>
      <c r="H129" s="33"/>
      <c r="I129" s="33"/>
      <c r="J129" s="33"/>
      <c r="K129" s="33"/>
      <c r="L129" s="33"/>
      <c r="M129" s="33"/>
      <c r="N129" s="33"/>
      <c r="O129" s="33"/>
      <c r="P129" s="33"/>
      <c r="Q129" s="33"/>
      <c r="R129" s="33"/>
      <c r="S129" s="33"/>
      <c r="T129" s="299"/>
      <c r="U129" s="3"/>
      <c r="V129" s="3"/>
      <c r="W129" s="3"/>
      <c r="X129" s="3"/>
      <c r="Y129" s="3"/>
      <c r="Z129" s="3"/>
    </row>
    <row r="130" ht="15.75" customHeight="1">
      <c r="A130" s="3"/>
      <c r="B130" s="3"/>
      <c r="C130" s="3"/>
      <c r="D130" s="33"/>
      <c r="E130" s="33"/>
      <c r="F130" s="33"/>
      <c r="G130" s="33"/>
      <c r="H130" s="33"/>
      <c r="I130" s="33"/>
      <c r="J130" s="33"/>
      <c r="K130" s="33"/>
      <c r="L130" s="33"/>
      <c r="M130" s="33"/>
      <c r="N130" s="33"/>
      <c r="O130" s="33"/>
      <c r="P130" s="33"/>
      <c r="Q130" s="33"/>
      <c r="R130" s="33"/>
      <c r="S130" s="33"/>
      <c r="T130" s="299"/>
      <c r="U130" s="3"/>
      <c r="V130" s="3"/>
      <c r="W130" s="3"/>
      <c r="X130" s="3"/>
      <c r="Y130" s="3"/>
      <c r="Z130" s="3"/>
    </row>
    <row r="131" ht="15.75" customHeight="1">
      <c r="A131" s="3"/>
      <c r="B131" s="3"/>
      <c r="C131" s="3"/>
      <c r="D131" s="33"/>
      <c r="E131" s="33"/>
      <c r="F131" s="33"/>
      <c r="G131" s="33"/>
      <c r="H131" s="33"/>
      <c r="I131" s="33"/>
      <c r="J131" s="33"/>
      <c r="K131" s="33"/>
      <c r="L131" s="33"/>
      <c r="M131" s="33"/>
      <c r="N131" s="33"/>
      <c r="O131" s="33"/>
      <c r="P131" s="33"/>
      <c r="Q131" s="33"/>
      <c r="R131" s="33"/>
      <c r="S131" s="33"/>
      <c r="T131" s="299"/>
      <c r="U131" s="3"/>
      <c r="V131" s="3"/>
      <c r="W131" s="3"/>
      <c r="X131" s="3"/>
      <c r="Y131" s="3"/>
      <c r="Z131" s="3"/>
    </row>
    <row r="132" ht="15.75" customHeight="1">
      <c r="A132" s="3"/>
      <c r="B132" s="3"/>
      <c r="C132" s="3"/>
      <c r="D132" s="33"/>
      <c r="E132" s="33"/>
      <c r="F132" s="33"/>
      <c r="G132" s="33"/>
      <c r="H132" s="33"/>
      <c r="I132" s="33"/>
      <c r="J132" s="33"/>
      <c r="K132" s="33"/>
      <c r="L132" s="33"/>
      <c r="M132" s="33"/>
      <c r="N132" s="33"/>
      <c r="O132" s="33"/>
      <c r="P132" s="33"/>
      <c r="Q132" s="33"/>
      <c r="R132" s="33"/>
      <c r="S132" s="33"/>
      <c r="T132" s="299"/>
      <c r="U132" s="3"/>
      <c r="V132" s="3"/>
      <c r="W132" s="3"/>
      <c r="X132" s="3"/>
      <c r="Y132" s="3"/>
      <c r="Z132" s="3"/>
    </row>
    <row r="133" ht="15.75" customHeight="1">
      <c r="A133" s="3"/>
      <c r="B133" s="3"/>
      <c r="C133" s="3"/>
      <c r="D133" s="33"/>
      <c r="E133" s="33"/>
      <c r="F133" s="33"/>
      <c r="G133" s="33"/>
      <c r="H133" s="33"/>
      <c r="I133" s="33"/>
      <c r="J133" s="33"/>
      <c r="K133" s="33"/>
      <c r="L133" s="33"/>
      <c r="M133" s="33"/>
      <c r="N133" s="33"/>
      <c r="O133" s="33"/>
      <c r="P133" s="33"/>
      <c r="Q133" s="33"/>
      <c r="R133" s="33"/>
      <c r="S133" s="33"/>
      <c r="T133" s="299"/>
      <c r="U133" s="3"/>
      <c r="V133" s="3"/>
      <c r="W133" s="3"/>
      <c r="X133" s="3"/>
      <c r="Y133" s="3"/>
      <c r="Z133" s="3"/>
    </row>
    <row r="134" ht="15.75" customHeight="1">
      <c r="A134" s="3"/>
      <c r="B134" s="3"/>
      <c r="C134" s="3"/>
      <c r="D134" s="33"/>
      <c r="E134" s="33"/>
      <c r="F134" s="33"/>
      <c r="G134" s="33"/>
      <c r="H134" s="33"/>
      <c r="I134" s="33"/>
      <c r="J134" s="33"/>
      <c r="K134" s="33"/>
      <c r="L134" s="33"/>
      <c r="M134" s="33"/>
      <c r="N134" s="33"/>
      <c r="O134" s="33"/>
      <c r="P134" s="33"/>
      <c r="Q134" s="33"/>
      <c r="R134" s="33"/>
      <c r="S134" s="33"/>
      <c r="T134" s="299"/>
      <c r="U134" s="3"/>
      <c r="V134" s="3"/>
      <c r="W134" s="3"/>
      <c r="X134" s="3"/>
      <c r="Y134" s="3"/>
      <c r="Z134" s="3"/>
    </row>
    <row r="135" ht="15.75" customHeight="1">
      <c r="A135" s="3"/>
      <c r="B135" s="3"/>
      <c r="C135" s="3"/>
      <c r="D135" s="33"/>
      <c r="E135" s="33"/>
      <c r="F135" s="33"/>
      <c r="G135" s="33"/>
      <c r="H135" s="33"/>
      <c r="I135" s="33"/>
      <c r="J135" s="33"/>
      <c r="K135" s="33"/>
      <c r="L135" s="33"/>
      <c r="M135" s="33"/>
      <c r="N135" s="33"/>
      <c r="O135" s="33"/>
      <c r="P135" s="33"/>
      <c r="Q135" s="33"/>
      <c r="R135" s="33"/>
      <c r="S135" s="33"/>
      <c r="T135" s="299"/>
      <c r="U135" s="3"/>
      <c r="V135" s="3"/>
      <c r="W135" s="3"/>
      <c r="X135" s="3"/>
      <c r="Y135" s="3"/>
      <c r="Z135" s="3"/>
    </row>
    <row r="136" ht="15.75" customHeight="1">
      <c r="A136" s="3"/>
      <c r="B136" s="3"/>
      <c r="C136" s="3"/>
      <c r="D136" s="33"/>
      <c r="E136" s="33"/>
      <c r="F136" s="33"/>
      <c r="G136" s="33"/>
      <c r="H136" s="33"/>
      <c r="I136" s="33"/>
      <c r="J136" s="33"/>
      <c r="K136" s="33"/>
      <c r="L136" s="33"/>
      <c r="M136" s="33"/>
      <c r="N136" s="33"/>
      <c r="O136" s="33"/>
      <c r="P136" s="33"/>
      <c r="Q136" s="33"/>
      <c r="R136" s="33"/>
      <c r="S136" s="33"/>
      <c r="T136" s="299"/>
      <c r="U136" s="3"/>
      <c r="V136" s="3"/>
      <c r="W136" s="3"/>
      <c r="X136" s="3"/>
      <c r="Y136" s="3"/>
      <c r="Z136" s="3"/>
    </row>
    <row r="137" ht="15.75" customHeight="1">
      <c r="A137" s="3"/>
      <c r="B137" s="3"/>
      <c r="C137" s="3"/>
      <c r="D137" s="33"/>
      <c r="E137" s="33"/>
      <c r="F137" s="33"/>
      <c r="G137" s="33"/>
      <c r="H137" s="33"/>
      <c r="I137" s="33"/>
      <c r="J137" s="33"/>
      <c r="K137" s="33"/>
      <c r="L137" s="33"/>
      <c r="M137" s="33"/>
      <c r="N137" s="33"/>
      <c r="O137" s="33"/>
      <c r="P137" s="33"/>
      <c r="Q137" s="33"/>
      <c r="R137" s="33"/>
      <c r="S137" s="33"/>
      <c r="T137" s="299"/>
      <c r="U137" s="3"/>
      <c r="V137" s="3"/>
      <c r="W137" s="3"/>
      <c r="X137" s="3"/>
      <c r="Y137" s="3"/>
      <c r="Z137" s="3"/>
    </row>
    <row r="138" ht="15.75" customHeight="1">
      <c r="A138" s="3"/>
      <c r="B138" s="3"/>
      <c r="C138" s="3"/>
      <c r="D138" s="33"/>
      <c r="E138" s="33"/>
      <c r="F138" s="33"/>
      <c r="G138" s="33"/>
      <c r="H138" s="33"/>
      <c r="I138" s="33"/>
      <c r="J138" s="33"/>
      <c r="K138" s="33"/>
      <c r="L138" s="33"/>
      <c r="M138" s="33"/>
      <c r="N138" s="33"/>
      <c r="O138" s="33"/>
      <c r="P138" s="33"/>
      <c r="Q138" s="33"/>
      <c r="R138" s="33"/>
      <c r="S138" s="33"/>
      <c r="T138" s="299"/>
      <c r="U138" s="3"/>
      <c r="V138" s="3"/>
      <c r="W138" s="3"/>
      <c r="X138" s="3"/>
      <c r="Y138" s="3"/>
      <c r="Z138" s="3"/>
    </row>
    <row r="139" ht="15.75" customHeight="1">
      <c r="A139" s="3"/>
      <c r="B139" s="3"/>
      <c r="C139" s="3"/>
      <c r="D139" s="33"/>
      <c r="E139" s="33"/>
      <c r="F139" s="33"/>
      <c r="G139" s="33"/>
      <c r="H139" s="33"/>
      <c r="I139" s="33"/>
      <c r="J139" s="33"/>
      <c r="K139" s="33"/>
      <c r="L139" s="33"/>
      <c r="M139" s="33"/>
      <c r="N139" s="33"/>
      <c r="O139" s="33"/>
      <c r="P139" s="33"/>
      <c r="Q139" s="33"/>
      <c r="R139" s="33"/>
      <c r="S139" s="33"/>
      <c r="T139" s="299"/>
      <c r="U139" s="3"/>
      <c r="V139" s="3"/>
      <c r="W139" s="3"/>
      <c r="X139" s="3"/>
      <c r="Y139" s="3"/>
      <c r="Z139" s="3"/>
    </row>
    <row r="140" ht="15.75" customHeight="1">
      <c r="A140" s="3"/>
      <c r="B140" s="3"/>
      <c r="C140" s="3"/>
      <c r="D140" s="33"/>
      <c r="E140" s="33"/>
      <c r="F140" s="33"/>
      <c r="G140" s="33"/>
      <c r="H140" s="33"/>
      <c r="I140" s="33"/>
      <c r="J140" s="33"/>
      <c r="K140" s="33"/>
      <c r="L140" s="33"/>
      <c r="M140" s="33"/>
      <c r="N140" s="33"/>
      <c r="O140" s="33"/>
      <c r="P140" s="33"/>
      <c r="Q140" s="33"/>
      <c r="R140" s="33"/>
      <c r="S140" s="33"/>
      <c r="T140" s="299"/>
      <c r="U140" s="3"/>
      <c r="V140" s="3"/>
      <c r="W140" s="3"/>
      <c r="X140" s="3"/>
      <c r="Y140" s="3"/>
      <c r="Z140" s="3"/>
    </row>
    <row r="141" ht="15.75" customHeight="1">
      <c r="A141" s="3"/>
      <c r="B141" s="3"/>
      <c r="C141" s="3"/>
      <c r="D141" s="33"/>
      <c r="E141" s="33"/>
      <c r="F141" s="33"/>
      <c r="G141" s="33"/>
      <c r="H141" s="33"/>
      <c r="I141" s="33"/>
      <c r="J141" s="33"/>
      <c r="K141" s="33"/>
      <c r="L141" s="33"/>
      <c r="M141" s="33"/>
      <c r="N141" s="33"/>
      <c r="O141" s="33"/>
      <c r="P141" s="33"/>
      <c r="Q141" s="33"/>
      <c r="R141" s="33"/>
      <c r="S141" s="33"/>
      <c r="T141" s="299"/>
      <c r="U141" s="3"/>
      <c r="V141" s="3"/>
      <c r="W141" s="3"/>
      <c r="X141" s="3"/>
      <c r="Y141" s="3"/>
      <c r="Z141" s="3"/>
    </row>
    <row r="142" ht="15.75" customHeight="1">
      <c r="A142" s="3"/>
      <c r="B142" s="3"/>
      <c r="C142" s="3"/>
      <c r="D142" s="33"/>
      <c r="E142" s="33"/>
      <c r="F142" s="33"/>
      <c r="G142" s="33"/>
      <c r="H142" s="33"/>
      <c r="I142" s="33"/>
      <c r="J142" s="33"/>
      <c r="K142" s="33"/>
      <c r="L142" s="33"/>
      <c r="M142" s="33"/>
      <c r="N142" s="33"/>
      <c r="O142" s="33"/>
      <c r="P142" s="33"/>
      <c r="Q142" s="33"/>
      <c r="R142" s="33"/>
      <c r="S142" s="33"/>
      <c r="T142" s="299"/>
      <c r="U142" s="3"/>
      <c r="V142" s="3"/>
      <c r="W142" s="3"/>
      <c r="X142" s="3"/>
      <c r="Y142" s="3"/>
      <c r="Z142" s="3"/>
    </row>
    <row r="143" ht="15.75" customHeight="1">
      <c r="A143" s="3"/>
      <c r="B143" s="3"/>
      <c r="C143" s="3"/>
      <c r="D143" s="33"/>
      <c r="E143" s="33"/>
      <c r="F143" s="33"/>
      <c r="G143" s="33"/>
      <c r="H143" s="33"/>
      <c r="I143" s="33"/>
      <c r="J143" s="33"/>
      <c r="K143" s="33"/>
      <c r="L143" s="33"/>
      <c r="M143" s="33"/>
      <c r="N143" s="33"/>
      <c r="O143" s="33"/>
      <c r="P143" s="33"/>
      <c r="Q143" s="33"/>
      <c r="R143" s="33"/>
      <c r="S143" s="33"/>
      <c r="T143" s="299"/>
      <c r="U143" s="3"/>
      <c r="V143" s="3"/>
      <c r="W143" s="3"/>
      <c r="X143" s="3"/>
      <c r="Y143" s="3"/>
      <c r="Z143" s="3"/>
    </row>
    <row r="144" ht="15.75" customHeight="1">
      <c r="A144" s="3"/>
      <c r="B144" s="3"/>
      <c r="C144" s="3"/>
      <c r="D144" s="33"/>
      <c r="E144" s="33"/>
      <c r="F144" s="33"/>
      <c r="G144" s="33"/>
      <c r="H144" s="33"/>
      <c r="I144" s="33"/>
      <c r="J144" s="33"/>
      <c r="K144" s="33"/>
      <c r="L144" s="33"/>
      <c r="M144" s="33"/>
      <c r="N144" s="33"/>
      <c r="O144" s="33"/>
      <c r="P144" s="33"/>
      <c r="Q144" s="33"/>
      <c r="R144" s="33"/>
      <c r="S144" s="33"/>
      <c r="T144" s="299"/>
      <c r="U144" s="3"/>
      <c r="V144" s="3"/>
      <c r="W144" s="3"/>
      <c r="X144" s="3"/>
      <c r="Y144" s="3"/>
      <c r="Z144" s="3"/>
    </row>
    <row r="145" ht="15.75" customHeight="1">
      <c r="A145" s="3"/>
      <c r="B145" s="3"/>
      <c r="C145" s="3"/>
      <c r="D145" s="33"/>
      <c r="E145" s="33"/>
      <c r="F145" s="33"/>
      <c r="G145" s="33"/>
      <c r="H145" s="33"/>
      <c r="I145" s="33"/>
      <c r="J145" s="33"/>
      <c r="K145" s="33"/>
      <c r="L145" s="33"/>
      <c r="M145" s="33"/>
      <c r="N145" s="33"/>
      <c r="O145" s="33"/>
      <c r="P145" s="33"/>
      <c r="Q145" s="33"/>
      <c r="R145" s="33"/>
      <c r="S145" s="33"/>
      <c r="T145" s="299"/>
      <c r="U145" s="3"/>
      <c r="V145" s="3"/>
      <c r="W145" s="3"/>
      <c r="X145" s="3"/>
      <c r="Y145" s="3"/>
      <c r="Z145" s="3"/>
    </row>
    <row r="146" ht="15.75" customHeight="1">
      <c r="A146" s="3"/>
      <c r="B146" s="3"/>
      <c r="C146" s="3"/>
      <c r="D146" s="33"/>
      <c r="E146" s="33"/>
      <c r="F146" s="33"/>
      <c r="G146" s="33"/>
      <c r="H146" s="33"/>
      <c r="I146" s="33"/>
      <c r="J146" s="33"/>
      <c r="K146" s="33"/>
      <c r="L146" s="33"/>
      <c r="M146" s="33"/>
      <c r="N146" s="33"/>
      <c r="O146" s="33"/>
      <c r="P146" s="33"/>
      <c r="Q146" s="33"/>
      <c r="R146" s="33"/>
      <c r="S146" s="33"/>
      <c r="T146" s="299"/>
      <c r="U146" s="3"/>
      <c r="V146" s="3"/>
      <c r="W146" s="3"/>
      <c r="X146" s="3"/>
      <c r="Y146" s="3"/>
      <c r="Z146" s="3"/>
    </row>
    <row r="147" ht="15.75" customHeight="1">
      <c r="A147" s="3"/>
      <c r="B147" s="3"/>
      <c r="C147" s="3"/>
      <c r="D147" s="33"/>
      <c r="E147" s="33"/>
      <c r="F147" s="33"/>
      <c r="G147" s="33"/>
      <c r="H147" s="33"/>
      <c r="I147" s="33"/>
      <c r="J147" s="33"/>
      <c r="K147" s="33"/>
      <c r="L147" s="33"/>
      <c r="M147" s="33"/>
      <c r="N147" s="33"/>
      <c r="O147" s="33"/>
      <c r="P147" s="33"/>
      <c r="Q147" s="33"/>
      <c r="R147" s="33"/>
      <c r="S147" s="33"/>
      <c r="T147" s="299"/>
      <c r="U147" s="3"/>
      <c r="V147" s="3"/>
      <c r="W147" s="3"/>
      <c r="X147" s="3"/>
      <c r="Y147" s="3"/>
      <c r="Z147" s="3"/>
    </row>
    <row r="148" ht="15.75" customHeight="1">
      <c r="A148" s="3"/>
      <c r="B148" s="3"/>
      <c r="C148" s="3"/>
      <c r="D148" s="33"/>
      <c r="E148" s="33"/>
      <c r="F148" s="33"/>
      <c r="G148" s="33"/>
      <c r="H148" s="33"/>
      <c r="I148" s="33"/>
      <c r="J148" s="33"/>
      <c r="K148" s="33"/>
      <c r="L148" s="33"/>
      <c r="M148" s="33"/>
      <c r="N148" s="33"/>
      <c r="O148" s="33"/>
      <c r="P148" s="33"/>
      <c r="Q148" s="33"/>
      <c r="R148" s="33"/>
      <c r="S148" s="33"/>
      <c r="T148" s="299"/>
      <c r="U148" s="3"/>
      <c r="V148" s="3"/>
      <c r="W148" s="3"/>
      <c r="X148" s="3"/>
      <c r="Y148" s="3"/>
      <c r="Z148" s="3"/>
    </row>
    <row r="149" ht="15.75" customHeight="1">
      <c r="A149" s="3"/>
      <c r="B149" s="3"/>
      <c r="C149" s="3"/>
      <c r="D149" s="33"/>
      <c r="E149" s="33"/>
      <c r="F149" s="33"/>
      <c r="G149" s="33"/>
      <c r="H149" s="33"/>
      <c r="I149" s="33"/>
      <c r="J149" s="33"/>
      <c r="K149" s="33"/>
      <c r="L149" s="33"/>
      <c r="M149" s="33"/>
      <c r="N149" s="33"/>
      <c r="O149" s="33"/>
      <c r="P149" s="33"/>
      <c r="Q149" s="33"/>
      <c r="R149" s="33"/>
      <c r="S149" s="33"/>
      <c r="T149" s="299"/>
      <c r="U149" s="3"/>
      <c r="V149" s="3"/>
      <c r="W149" s="3"/>
      <c r="X149" s="3"/>
      <c r="Y149" s="3"/>
      <c r="Z149" s="3"/>
    </row>
    <row r="150" ht="15.75" customHeight="1">
      <c r="A150" s="3"/>
      <c r="B150" s="3"/>
      <c r="C150" s="3"/>
      <c r="D150" s="33"/>
      <c r="E150" s="33"/>
      <c r="F150" s="33"/>
      <c r="G150" s="33"/>
      <c r="H150" s="33"/>
      <c r="I150" s="33"/>
      <c r="J150" s="33"/>
      <c r="K150" s="33"/>
      <c r="L150" s="33"/>
      <c r="M150" s="33"/>
      <c r="N150" s="33"/>
      <c r="O150" s="33"/>
      <c r="P150" s="33"/>
      <c r="Q150" s="33"/>
      <c r="R150" s="33"/>
      <c r="S150" s="33"/>
      <c r="T150" s="299"/>
      <c r="U150" s="3"/>
      <c r="V150" s="3"/>
      <c r="W150" s="3"/>
      <c r="X150" s="3"/>
      <c r="Y150" s="3"/>
      <c r="Z150" s="3"/>
    </row>
    <row r="151" ht="15.75" customHeight="1">
      <c r="A151" s="3"/>
      <c r="B151" s="3"/>
      <c r="C151" s="3"/>
      <c r="D151" s="33"/>
      <c r="E151" s="33"/>
      <c r="F151" s="33"/>
      <c r="G151" s="33"/>
      <c r="H151" s="33"/>
      <c r="I151" s="33"/>
      <c r="J151" s="33"/>
      <c r="K151" s="33"/>
      <c r="L151" s="33"/>
      <c r="M151" s="33"/>
      <c r="N151" s="33"/>
      <c r="O151" s="33"/>
      <c r="P151" s="33"/>
      <c r="Q151" s="33"/>
      <c r="R151" s="33"/>
      <c r="S151" s="33"/>
      <c r="T151" s="299"/>
      <c r="U151" s="3"/>
      <c r="V151" s="3"/>
      <c r="W151" s="3"/>
      <c r="X151" s="3"/>
      <c r="Y151" s="3"/>
      <c r="Z151" s="3"/>
    </row>
    <row r="152" ht="15.75" customHeight="1">
      <c r="A152" s="3"/>
      <c r="B152" s="3"/>
      <c r="C152" s="3"/>
      <c r="D152" s="33"/>
      <c r="E152" s="33"/>
      <c r="F152" s="33"/>
      <c r="G152" s="33"/>
      <c r="H152" s="33"/>
      <c r="I152" s="33"/>
      <c r="J152" s="33"/>
      <c r="K152" s="33"/>
      <c r="L152" s="33"/>
      <c r="M152" s="33"/>
      <c r="N152" s="33"/>
      <c r="O152" s="33"/>
      <c r="P152" s="33"/>
      <c r="Q152" s="33"/>
      <c r="R152" s="33"/>
      <c r="S152" s="33"/>
      <c r="T152" s="299"/>
      <c r="U152" s="3"/>
      <c r="V152" s="3"/>
      <c r="W152" s="3"/>
      <c r="X152" s="3"/>
      <c r="Y152" s="3"/>
      <c r="Z152" s="3"/>
    </row>
    <row r="153" ht="15.75" customHeight="1">
      <c r="A153" s="3"/>
      <c r="B153" s="3"/>
      <c r="C153" s="3"/>
      <c r="D153" s="33"/>
      <c r="E153" s="33"/>
      <c r="F153" s="33"/>
      <c r="G153" s="33"/>
      <c r="H153" s="33"/>
      <c r="I153" s="33"/>
      <c r="J153" s="33"/>
      <c r="K153" s="33"/>
      <c r="L153" s="33"/>
      <c r="M153" s="33"/>
      <c r="N153" s="33"/>
      <c r="O153" s="33"/>
      <c r="P153" s="33"/>
      <c r="Q153" s="33"/>
      <c r="R153" s="33"/>
      <c r="S153" s="33"/>
      <c r="T153" s="299"/>
      <c r="U153" s="3"/>
      <c r="V153" s="3"/>
      <c r="W153" s="3"/>
      <c r="X153" s="3"/>
      <c r="Y153" s="3"/>
      <c r="Z153" s="3"/>
    </row>
    <row r="154" ht="15.75" customHeight="1">
      <c r="A154" s="3"/>
      <c r="B154" s="3"/>
      <c r="C154" s="3"/>
      <c r="D154" s="33"/>
      <c r="E154" s="33"/>
      <c r="F154" s="33"/>
      <c r="G154" s="33"/>
      <c r="H154" s="33"/>
      <c r="I154" s="33"/>
      <c r="J154" s="33"/>
      <c r="K154" s="33"/>
      <c r="L154" s="33"/>
      <c r="M154" s="33"/>
      <c r="N154" s="33"/>
      <c r="O154" s="33"/>
      <c r="P154" s="33"/>
      <c r="Q154" s="33"/>
      <c r="R154" s="33"/>
      <c r="S154" s="33"/>
      <c r="T154" s="299"/>
      <c r="U154" s="3"/>
      <c r="V154" s="3"/>
      <c r="W154" s="3"/>
      <c r="X154" s="3"/>
      <c r="Y154" s="3"/>
      <c r="Z154" s="3"/>
    </row>
    <row r="155" ht="15.75" customHeight="1">
      <c r="A155" s="3"/>
      <c r="B155" s="3"/>
      <c r="C155" s="3"/>
      <c r="D155" s="33"/>
      <c r="E155" s="33"/>
      <c r="F155" s="33"/>
      <c r="G155" s="33"/>
      <c r="H155" s="33"/>
      <c r="I155" s="33"/>
      <c r="J155" s="33"/>
      <c r="K155" s="33"/>
      <c r="L155" s="33"/>
      <c r="M155" s="33"/>
      <c r="N155" s="33"/>
      <c r="O155" s="33"/>
      <c r="P155" s="33"/>
      <c r="Q155" s="33"/>
      <c r="R155" s="33"/>
      <c r="S155" s="33"/>
      <c r="T155" s="299"/>
      <c r="U155" s="3"/>
      <c r="V155" s="3"/>
      <c r="W155" s="3"/>
      <c r="X155" s="3"/>
      <c r="Y155" s="3"/>
      <c r="Z155" s="3"/>
    </row>
    <row r="156" ht="15.75" customHeight="1">
      <c r="A156" s="3"/>
      <c r="B156" s="3"/>
      <c r="C156" s="3"/>
      <c r="D156" s="33"/>
      <c r="E156" s="33"/>
      <c r="F156" s="33"/>
      <c r="G156" s="33"/>
      <c r="H156" s="33"/>
      <c r="I156" s="33"/>
      <c r="J156" s="33"/>
      <c r="K156" s="33"/>
      <c r="L156" s="33"/>
      <c r="M156" s="33"/>
      <c r="N156" s="33"/>
      <c r="O156" s="33"/>
      <c r="P156" s="33"/>
      <c r="Q156" s="33"/>
      <c r="R156" s="33"/>
      <c r="S156" s="33"/>
      <c r="T156" s="299"/>
      <c r="U156" s="3"/>
      <c r="V156" s="3"/>
      <c r="W156" s="3"/>
      <c r="X156" s="3"/>
      <c r="Y156" s="3"/>
      <c r="Z156" s="3"/>
    </row>
    <row r="157" ht="15.75" customHeight="1">
      <c r="A157" s="3"/>
      <c r="B157" s="3"/>
      <c r="C157" s="3"/>
      <c r="D157" s="33"/>
      <c r="E157" s="33"/>
      <c r="F157" s="33"/>
      <c r="G157" s="33"/>
      <c r="H157" s="33"/>
      <c r="I157" s="33"/>
      <c r="J157" s="33"/>
      <c r="K157" s="33"/>
      <c r="L157" s="33"/>
      <c r="M157" s="33"/>
      <c r="N157" s="33"/>
      <c r="O157" s="33"/>
      <c r="P157" s="33"/>
      <c r="Q157" s="33"/>
      <c r="R157" s="33"/>
      <c r="S157" s="33"/>
      <c r="T157" s="299"/>
      <c r="U157" s="3"/>
      <c r="V157" s="3"/>
      <c r="W157" s="3"/>
      <c r="X157" s="3"/>
      <c r="Y157" s="3"/>
      <c r="Z157" s="3"/>
    </row>
    <row r="158" ht="15.75" customHeight="1">
      <c r="A158" s="3"/>
      <c r="B158" s="3"/>
      <c r="C158" s="3"/>
      <c r="D158" s="33"/>
      <c r="E158" s="33"/>
      <c r="F158" s="33"/>
      <c r="G158" s="33"/>
      <c r="H158" s="33"/>
      <c r="I158" s="33"/>
      <c r="J158" s="33"/>
      <c r="K158" s="33"/>
      <c r="L158" s="33"/>
      <c r="M158" s="33"/>
      <c r="N158" s="33"/>
      <c r="O158" s="33"/>
      <c r="P158" s="33"/>
      <c r="Q158" s="33"/>
      <c r="R158" s="33"/>
      <c r="S158" s="33"/>
      <c r="T158" s="299"/>
      <c r="U158" s="3"/>
      <c r="V158" s="3"/>
      <c r="W158" s="3"/>
      <c r="X158" s="3"/>
      <c r="Y158" s="3"/>
      <c r="Z158" s="3"/>
    </row>
    <row r="159" ht="15.75" customHeight="1">
      <c r="A159" s="3"/>
      <c r="B159" s="3"/>
      <c r="C159" s="3"/>
      <c r="D159" s="33"/>
      <c r="E159" s="33"/>
      <c r="F159" s="33"/>
      <c r="G159" s="33"/>
      <c r="H159" s="33"/>
      <c r="I159" s="33"/>
      <c r="J159" s="33"/>
      <c r="K159" s="33"/>
      <c r="L159" s="33"/>
      <c r="M159" s="33"/>
      <c r="N159" s="33"/>
      <c r="O159" s="33"/>
      <c r="P159" s="33"/>
      <c r="Q159" s="33"/>
      <c r="R159" s="33"/>
      <c r="S159" s="33"/>
      <c r="T159" s="299"/>
      <c r="U159" s="3"/>
      <c r="V159" s="3"/>
      <c r="W159" s="3"/>
      <c r="X159" s="3"/>
      <c r="Y159" s="3"/>
      <c r="Z159" s="3"/>
    </row>
    <row r="160" ht="15.75" customHeight="1">
      <c r="A160" s="3"/>
      <c r="B160" s="3"/>
      <c r="C160" s="3"/>
      <c r="D160" s="33"/>
      <c r="E160" s="33"/>
      <c r="F160" s="33"/>
      <c r="G160" s="33"/>
      <c r="H160" s="33"/>
      <c r="I160" s="33"/>
      <c r="J160" s="33"/>
      <c r="K160" s="33"/>
      <c r="L160" s="33"/>
      <c r="M160" s="33"/>
      <c r="N160" s="33"/>
      <c r="O160" s="33"/>
      <c r="P160" s="33"/>
      <c r="Q160" s="33"/>
      <c r="R160" s="33"/>
      <c r="S160" s="33"/>
      <c r="T160" s="299"/>
      <c r="U160" s="3"/>
      <c r="V160" s="3"/>
      <c r="W160" s="3"/>
      <c r="X160" s="3"/>
      <c r="Y160" s="3"/>
      <c r="Z160" s="3"/>
    </row>
    <row r="161" ht="15.75" customHeight="1">
      <c r="A161" s="3"/>
      <c r="B161" s="3"/>
      <c r="C161" s="3"/>
      <c r="D161" s="33"/>
      <c r="E161" s="33"/>
      <c r="F161" s="33"/>
      <c r="G161" s="33"/>
      <c r="H161" s="33"/>
      <c r="I161" s="33"/>
      <c r="J161" s="33"/>
      <c r="K161" s="33"/>
      <c r="L161" s="33"/>
      <c r="M161" s="33"/>
      <c r="N161" s="33"/>
      <c r="O161" s="33"/>
      <c r="P161" s="33"/>
      <c r="Q161" s="33"/>
      <c r="R161" s="33"/>
      <c r="S161" s="33"/>
      <c r="T161" s="299"/>
      <c r="U161" s="3"/>
      <c r="V161" s="3"/>
      <c r="W161" s="3"/>
      <c r="X161" s="3"/>
      <c r="Y161" s="3"/>
      <c r="Z161" s="3"/>
    </row>
    <row r="162" ht="15.75" customHeight="1">
      <c r="A162" s="3"/>
      <c r="B162" s="3"/>
      <c r="C162" s="3"/>
      <c r="D162" s="33"/>
      <c r="E162" s="33"/>
      <c r="F162" s="33"/>
      <c r="G162" s="33"/>
      <c r="H162" s="33"/>
      <c r="I162" s="33"/>
      <c r="J162" s="33"/>
      <c r="K162" s="33"/>
      <c r="L162" s="33"/>
      <c r="M162" s="33"/>
      <c r="N162" s="33"/>
      <c r="O162" s="33"/>
      <c r="P162" s="33"/>
      <c r="Q162" s="33"/>
      <c r="R162" s="33"/>
      <c r="S162" s="33"/>
      <c r="T162" s="299"/>
      <c r="U162" s="3"/>
      <c r="V162" s="3"/>
      <c r="W162" s="3"/>
      <c r="X162" s="3"/>
      <c r="Y162" s="3"/>
      <c r="Z162" s="3"/>
    </row>
    <row r="163" ht="15.75" customHeight="1">
      <c r="A163" s="3"/>
      <c r="B163" s="3"/>
      <c r="C163" s="3"/>
      <c r="D163" s="33"/>
      <c r="E163" s="33"/>
      <c r="F163" s="33"/>
      <c r="G163" s="33"/>
      <c r="H163" s="33"/>
      <c r="I163" s="33"/>
      <c r="J163" s="33"/>
      <c r="K163" s="33"/>
      <c r="L163" s="33"/>
      <c r="M163" s="33"/>
      <c r="N163" s="33"/>
      <c r="O163" s="33"/>
      <c r="P163" s="33"/>
      <c r="Q163" s="33"/>
      <c r="R163" s="33"/>
      <c r="S163" s="33"/>
      <c r="T163" s="299"/>
      <c r="U163" s="3"/>
      <c r="V163" s="3"/>
      <c r="W163" s="3"/>
      <c r="X163" s="3"/>
      <c r="Y163" s="3"/>
      <c r="Z163" s="3"/>
    </row>
    <row r="164" ht="15.75" customHeight="1">
      <c r="A164" s="3"/>
      <c r="B164" s="3"/>
      <c r="C164" s="3"/>
      <c r="D164" s="33"/>
      <c r="E164" s="33"/>
      <c r="F164" s="33"/>
      <c r="G164" s="33"/>
      <c r="H164" s="33"/>
      <c r="I164" s="33"/>
      <c r="J164" s="33"/>
      <c r="K164" s="33"/>
      <c r="L164" s="33"/>
      <c r="M164" s="33"/>
      <c r="N164" s="33"/>
      <c r="O164" s="33"/>
      <c r="P164" s="33"/>
      <c r="Q164" s="33"/>
      <c r="R164" s="33"/>
      <c r="S164" s="33"/>
      <c r="T164" s="299"/>
      <c r="U164" s="3"/>
      <c r="V164" s="3"/>
      <c r="W164" s="3"/>
      <c r="X164" s="3"/>
      <c r="Y164" s="3"/>
      <c r="Z164" s="3"/>
    </row>
    <row r="165" ht="15.75" customHeight="1">
      <c r="A165" s="3"/>
      <c r="B165" s="3"/>
      <c r="C165" s="3"/>
      <c r="D165" s="33"/>
      <c r="E165" s="33"/>
      <c r="F165" s="33"/>
      <c r="G165" s="33"/>
      <c r="H165" s="33"/>
      <c r="I165" s="33"/>
      <c r="J165" s="33"/>
      <c r="K165" s="33"/>
      <c r="L165" s="33"/>
      <c r="M165" s="33"/>
      <c r="N165" s="33"/>
      <c r="O165" s="33"/>
      <c r="P165" s="33"/>
      <c r="Q165" s="33"/>
      <c r="R165" s="33"/>
      <c r="S165" s="33"/>
      <c r="T165" s="299"/>
      <c r="U165" s="3"/>
      <c r="V165" s="3"/>
      <c r="W165" s="3"/>
      <c r="X165" s="3"/>
      <c r="Y165" s="3"/>
      <c r="Z165" s="3"/>
    </row>
    <row r="166" ht="15.75" customHeight="1">
      <c r="A166" s="3"/>
      <c r="B166" s="3"/>
      <c r="C166" s="3"/>
      <c r="D166" s="33"/>
      <c r="E166" s="33"/>
      <c r="F166" s="33"/>
      <c r="G166" s="33"/>
      <c r="H166" s="33"/>
      <c r="I166" s="33"/>
      <c r="J166" s="33"/>
      <c r="K166" s="33"/>
      <c r="L166" s="33"/>
      <c r="M166" s="33"/>
      <c r="N166" s="33"/>
      <c r="O166" s="33"/>
      <c r="P166" s="33"/>
      <c r="Q166" s="33"/>
      <c r="R166" s="33"/>
      <c r="S166" s="33"/>
      <c r="T166" s="299"/>
      <c r="U166" s="3"/>
      <c r="V166" s="3"/>
      <c r="W166" s="3"/>
      <c r="X166" s="3"/>
      <c r="Y166" s="3"/>
      <c r="Z166" s="3"/>
    </row>
    <row r="167" ht="15.75" customHeight="1">
      <c r="A167" s="3"/>
      <c r="B167" s="3"/>
      <c r="C167" s="3"/>
      <c r="D167" s="33"/>
      <c r="E167" s="33"/>
      <c r="F167" s="33"/>
      <c r="G167" s="33"/>
      <c r="H167" s="33"/>
      <c r="I167" s="33"/>
      <c r="J167" s="33"/>
      <c r="K167" s="33"/>
      <c r="L167" s="33"/>
      <c r="M167" s="33"/>
      <c r="N167" s="33"/>
      <c r="O167" s="33"/>
      <c r="P167" s="33"/>
      <c r="Q167" s="33"/>
      <c r="R167" s="33"/>
      <c r="S167" s="33"/>
      <c r="T167" s="299"/>
      <c r="U167" s="3"/>
      <c r="V167" s="3"/>
      <c r="W167" s="3"/>
      <c r="X167" s="3"/>
      <c r="Y167" s="3"/>
      <c r="Z167" s="3"/>
    </row>
    <row r="168" ht="15.75" customHeight="1">
      <c r="A168" s="3"/>
      <c r="B168" s="3"/>
      <c r="C168" s="3"/>
      <c r="D168" s="33"/>
      <c r="E168" s="33"/>
      <c r="F168" s="33"/>
      <c r="G168" s="33"/>
      <c r="H168" s="33"/>
      <c r="I168" s="33"/>
      <c r="J168" s="33"/>
      <c r="K168" s="33"/>
      <c r="L168" s="33"/>
      <c r="M168" s="33"/>
      <c r="N168" s="33"/>
      <c r="O168" s="33"/>
      <c r="P168" s="33"/>
      <c r="Q168" s="33"/>
      <c r="R168" s="33"/>
      <c r="S168" s="33"/>
      <c r="T168" s="299"/>
      <c r="U168" s="3"/>
      <c r="V168" s="3"/>
      <c r="W168" s="3"/>
      <c r="X168" s="3"/>
      <c r="Y168" s="3"/>
      <c r="Z168" s="3"/>
    </row>
    <row r="169" ht="15.75" customHeight="1">
      <c r="A169" s="3"/>
      <c r="B169" s="3"/>
      <c r="C169" s="3"/>
      <c r="D169" s="33"/>
      <c r="E169" s="33"/>
      <c r="F169" s="33"/>
      <c r="G169" s="33"/>
      <c r="H169" s="33"/>
      <c r="I169" s="33"/>
      <c r="J169" s="33"/>
      <c r="K169" s="33"/>
      <c r="L169" s="33"/>
      <c r="M169" s="33"/>
      <c r="N169" s="33"/>
      <c r="O169" s="33"/>
      <c r="P169" s="33"/>
      <c r="Q169" s="33"/>
      <c r="R169" s="33"/>
      <c r="S169" s="33"/>
      <c r="T169" s="299"/>
      <c r="U169" s="3"/>
      <c r="V169" s="3"/>
      <c r="W169" s="3"/>
      <c r="X169" s="3"/>
      <c r="Y169" s="3"/>
      <c r="Z169" s="3"/>
    </row>
    <row r="170" ht="15.75" customHeight="1">
      <c r="A170" s="3"/>
      <c r="B170" s="3"/>
      <c r="C170" s="3"/>
      <c r="D170" s="33"/>
      <c r="E170" s="33"/>
      <c r="F170" s="33"/>
      <c r="G170" s="33"/>
      <c r="H170" s="33"/>
      <c r="I170" s="33"/>
      <c r="J170" s="33"/>
      <c r="K170" s="33"/>
      <c r="L170" s="33"/>
      <c r="M170" s="33"/>
      <c r="N170" s="33"/>
      <c r="O170" s="33"/>
      <c r="P170" s="33"/>
      <c r="Q170" s="33"/>
      <c r="R170" s="33"/>
      <c r="S170" s="33"/>
      <c r="T170" s="299"/>
      <c r="U170" s="3"/>
      <c r="V170" s="3"/>
      <c r="W170" s="3"/>
      <c r="X170" s="3"/>
      <c r="Y170" s="3"/>
      <c r="Z170" s="3"/>
    </row>
    <row r="171" ht="15.75" customHeight="1">
      <c r="A171" s="3"/>
      <c r="B171" s="3"/>
      <c r="C171" s="3"/>
      <c r="D171" s="33"/>
      <c r="E171" s="33"/>
      <c r="F171" s="33"/>
      <c r="G171" s="33"/>
      <c r="H171" s="33"/>
      <c r="I171" s="33"/>
      <c r="J171" s="33"/>
      <c r="K171" s="33"/>
      <c r="L171" s="33"/>
      <c r="M171" s="33"/>
      <c r="N171" s="33"/>
      <c r="O171" s="33"/>
      <c r="P171" s="33"/>
      <c r="Q171" s="33"/>
      <c r="R171" s="33"/>
      <c r="S171" s="33"/>
      <c r="T171" s="299"/>
      <c r="U171" s="3"/>
      <c r="V171" s="3"/>
      <c r="W171" s="3"/>
      <c r="X171" s="3"/>
      <c r="Y171" s="3"/>
      <c r="Z171" s="3"/>
    </row>
    <row r="172" ht="15.75" customHeight="1">
      <c r="A172" s="3"/>
      <c r="B172" s="3"/>
      <c r="C172" s="3"/>
      <c r="D172" s="33"/>
      <c r="E172" s="33"/>
      <c r="F172" s="33"/>
      <c r="G172" s="33"/>
      <c r="H172" s="33"/>
      <c r="I172" s="33"/>
      <c r="J172" s="33"/>
      <c r="K172" s="33"/>
      <c r="L172" s="33"/>
      <c r="M172" s="33"/>
      <c r="N172" s="33"/>
      <c r="O172" s="33"/>
      <c r="P172" s="33"/>
      <c r="Q172" s="33"/>
      <c r="R172" s="33"/>
      <c r="S172" s="33"/>
      <c r="T172" s="299"/>
      <c r="U172" s="3"/>
      <c r="V172" s="3"/>
      <c r="W172" s="3"/>
      <c r="X172" s="3"/>
      <c r="Y172" s="3"/>
      <c r="Z172" s="3"/>
    </row>
    <row r="173" ht="15.75" customHeight="1">
      <c r="A173" s="3"/>
      <c r="B173" s="3"/>
      <c r="C173" s="3"/>
      <c r="D173" s="33"/>
      <c r="E173" s="33"/>
      <c r="F173" s="33"/>
      <c r="G173" s="33"/>
      <c r="H173" s="33"/>
      <c r="I173" s="33"/>
      <c r="J173" s="33"/>
      <c r="K173" s="33"/>
      <c r="L173" s="33"/>
      <c r="M173" s="33"/>
      <c r="N173" s="33"/>
      <c r="O173" s="33"/>
      <c r="P173" s="33"/>
      <c r="Q173" s="33"/>
      <c r="R173" s="33"/>
      <c r="S173" s="33"/>
      <c r="T173" s="299"/>
      <c r="U173" s="3"/>
      <c r="V173" s="3"/>
      <c r="W173" s="3"/>
      <c r="X173" s="3"/>
      <c r="Y173" s="3"/>
      <c r="Z173" s="3"/>
    </row>
    <row r="174" ht="15.75" customHeight="1">
      <c r="A174" s="3"/>
      <c r="B174" s="3"/>
      <c r="C174" s="3"/>
      <c r="D174" s="33"/>
      <c r="E174" s="33"/>
      <c r="F174" s="33"/>
      <c r="G174" s="33"/>
      <c r="H174" s="33"/>
      <c r="I174" s="33"/>
      <c r="J174" s="33"/>
      <c r="K174" s="33"/>
      <c r="L174" s="33"/>
      <c r="M174" s="33"/>
      <c r="N174" s="33"/>
      <c r="O174" s="33"/>
      <c r="P174" s="33"/>
      <c r="Q174" s="33"/>
      <c r="R174" s="33"/>
      <c r="S174" s="33"/>
      <c r="T174" s="299"/>
      <c r="U174" s="3"/>
      <c r="V174" s="3"/>
      <c r="W174" s="3"/>
      <c r="X174" s="3"/>
      <c r="Y174" s="3"/>
      <c r="Z174" s="3"/>
    </row>
    <row r="175" ht="15.75" customHeight="1">
      <c r="A175" s="3"/>
      <c r="B175" s="3"/>
      <c r="C175" s="3"/>
      <c r="D175" s="33"/>
      <c r="E175" s="33"/>
      <c r="F175" s="33"/>
      <c r="G175" s="33"/>
      <c r="H175" s="33"/>
      <c r="I175" s="33"/>
      <c r="J175" s="33"/>
      <c r="K175" s="33"/>
      <c r="L175" s="33"/>
      <c r="M175" s="33"/>
      <c r="N175" s="33"/>
      <c r="O175" s="33"/>
      <c r="P175" s="33"/>
      <c r="Q175" s="33"/>
      <c r="R175" s="33"/>
      <c r="S175" s="33"/>
      <c r="T175" s="299"/>
      <c r="U175" s="3"/>
      <c r="V175" s="3"/>
      <c r="W175" s="3"/>
      <c r="X175" s="3"/>
      <c r="Y175" s="3"/>
      <c r="Z175" s="3"/>
    </row>
    <row r="176" ht="15.75" customHeight="1">
      <c r="A176" s="3"/>
      <c r="B176" s="3"/>
      <c r="C176" s="3"/>
      <c r="D176" s="33"/>
      <c r="E176" s="33"/>
      <c r="F176" s="33"/>
      <c r="G176" s="33"/>
      <c r="H176" s="33"/>
      <c r="I176" s="33"/>
      <c r="J176" s="33"/>
      <c r="K176" s="33"/>
      <c r="L176" s="33"/>
      <c r="M176" s="33"/>
      <c r="N176" s="33"/>
      <c r="O176" s="33"/>
      <c r="P176" s="33"/>
      <c r="Q176" s="33"/>
      <c r="R176" s="33"/>
      <c r="S176" s="33"/>
      <c r="T176" s="299"/>
      <c r="U176" s="3"/>
      <c r="V176" s="3"/>
      <c r="W176" s="3"/>
      <c r="X176" s="3"/>
      <c r="Y176" s="3"/>
      <c r="Z176" s="3"/>
    </row>
    <row r="177" ht="15.75" customHeight="1">
      <c r="A177" s="3"/>
      <c r="B177" s="3"/>
      <c r="C177" s="3"/>
      <c r="D177" s="33"/>
      <c r="E177" s="33"/>
      <c r="F177" s="33"/>
      <c r="G177" s="33"/>
      <c r="H177" s="33"/>
      <c r="I177" s="33"/>
      <c r="J177" s="33"/>
      <c r="K177" s="33"/>
      <c r="L177" s="33"/>
      <c r="M177" s="33"/>
      <c r="N177" s="33"/>
      <c r="O177" s="33"/>
      <c r="P177" s="33"/>
      <c r="Q177" s="33"/>
      <c r="R177" s="33"/>
      <c r="S177" s="33"/>
      <c r="T177" s="299"/>
      <c r="U177" s="3"/>
      <c r="V177" s="3"/>
      <c r="W177" s="3"/>
      <c r="X177" s="3"/>
      <c r="Y177" s="3"/>
      <c r="Z177" s="3"/>
    </row>
    <row r="178" ht="15.75" customHeight="1">
      <c r="A178" s="3"/>
      <c r="B178" s="3"/>
      <c r="C178" s="3"/>
      <c r="D178" s="33"/>
      <c r="E178" s="33"/>
      <c r="F178" s="33"/>
      <c r="G178" s="33"/>
      <c r="H178" s="33"/>
      <c r="I178" s="33"/>
      <c r="J178" s="33"/>
      <c r="K178" s="33"/>
      <c r="L178" s="33"/>
      <c r="M178" s="33"/>
      <c r="N178" s="33"/>
      <c r="O178" s="33"/>
      <c r="P178" s="33"/>
      <c r="Q178" s="33"/>
      <c r="R178" s="33"/>
      <c r="S178" s="33"/>
      <c r="T178" s="299"/>
      <c r="U178" s="3"/>
      <c r="V178" s="3"/>
      <c r="W178" s="3"/>
      <c r="X178" s="3"/>
      <c r="Y178" s="3"/>
      <c r="Z178" s="3"/>
    </row>
    <row r="179" ht="15.75" customHeight="1">
      <c r="A179" s="3"/>
      <c r="B179" s="3"/>
      <c r="C179" s="3"/>
      <c r="D179" s="33"/>
      <c r="E179" s="33"/>
      <c r="F179" s="33"/>
      <c r="G179" s="33"/>
      <c r="H179" s="33"/>
      <c r="I179" s="33"/>
      <c r="J179" s="33"/>
      <c r="K179" s="33"/>
      <c r="L179" s="33"/>
      <c r="M179" s="33"/>
      <c r="N179" s="33"/>
      <c r="O179" s="33"/>
      <c r="P179" s="33"/>
      <c r="Q179" s="33"/>
      <c r="R179" s="33"/>
      <c r="S179" s="33"/>
      <c r="T179" s="299"/>
      <c r="U179" s="3"/>
      <c r="V179" s="3"/>
      <c r="W179" s="3"/>
      <c r="X179" s="3"/>
      <c r="Y179" s="3"/>
      <c r="Z179" s="3"/>
    </row>
    <row r="180" ht="15.75" customHeight="1">
      <c r="A180" s="3"/>
      <c r="B180" s="3"/>
      <c r="C180" s="3"/>
      <c r="D180" s="33"/>
      <c r="E180" s="33"/>
      <c r="F180" s="33"/>
      <c r="G180" s="33"/>
      <c r="H180" s="33"/>
      <c r="I180" s="33"/>
      <c r="J180" s="33"/>
      <c r="K180" s="33"/>
      <c r="L180" s="33"/>
      <c r="M180" s="33"/>
      <c r="N180" s="33"/>
      <c r="O180" s="33"/>
      <c r="P180" s="33"/>
      <c r="Q180" s="33"/>
      <c r="R180" s="33"/>
      <c r="S180" s="33"/>
      <c r="T180" s="299"/>
      <c r="U180" s="3"/>
      <c r="V180" s="3"/>
      <c r="W180" s="3"/>
      <c r="X180" s="3"/>
      <c r="Y180" s="3"/>
      <c r="Z180" s="3"/>
    </row>
    <row r="181" ht="15.75" customHeight="1">
      <c r="A181" s="3"/>
      <c r="B181" s="3"/>
      <c r="C181" s="3"/>
      <c r="D181" s="33"/>
      <c r="E181" s="33"/>
      <c r="F181" s="33"/>
      <c r="G181" s="33"/>
      <c r="H181" s="33"/>
      <c r="I181" s="33"/>
      <c r="J181" s="33"/>
      <c r="K181" s="33"/>
      <c r="L181" s="33"/>
      <c r="M181" s="33"/>
      <c r="N181" s="33"/>
      <c r="O181" s="33"/>
      <c r="P181" s="33"/>
      <c r="Q181" s="33"/>
      <c r="R181" s="33"/>
      <c r="S181" s="33"/>
      <c r="T181" s="299"/>
      <c r="U181" s="3"/>
      <c r="V181" s="3"/>
      <c r="W181" s="3"/>
      <c r="X181" s="3"/>
      <c r="Y181" s="3"/>
      <c r="Z181" s="3"/>
    </row>
    <row r="182" ht="15.75" customHeight="1">
      <c r="A182" s="3"/>
      <c r="B182" s="3"/>
      <c r="C182" s="3"/>
      <c r="D182" s="33"/>
      <c r="E182" s="33"/>
      <c r="F182" s="33"/>
      <c r="G182" s="33"/>
      <c r="H182" s="33"/>
      <c r="I182" s="33"/>
      <c r="J182" s="33"/>
      <c r="K182" s="33"/>
      <c r="L182" s="33"/>
      <c r="M182" s="33"/>
      <c r="N182" s="33"/>
      <c r="O182" s="33"/>
      <c r="P182" s="33"/>
      <c r="Q182" s="33"/>
      <c r="R182" s="33"/>
      <c r="S182" s="33"/>
      <c r="T182" s="299"/>
      <c r="U182" s="3"/>
      <c r="V182" s="3"/>
      <c r="W182" s="3"/>
      <c r="X182" s="3"/>
      <c r="Y182" s="3"/>
      <c r="Z182" s="3"/>
    </row>
    <row r="183" ht="15.75" customHeight="1">
      <c r="A183" s="3"/>
      <c r="B183" s="3"/>
      <c r="C183" s="3"/>
      <c r="D183" s="33"/>
      <c r="E183" s="33"/>
      <c r="F183" s="33"/>
      <c r="G183" s="33"/>
      <c r="H183" s="33"/>
      <c r="I183" s="33"/>
      <c r="J183" s="33"/>
      <c r="K183" s="33"/>
      <c r="L183" s="33"/>
      <c r="M183" s="33"/>
      <c r="N183" s="33"/>
      <c r="O183" s="33"/>
      <c r="P183" s="33"/>
      <c r="Q183" s="33"/>
      <c r="R183" s="33"/>
      <c r="S183" s="33"/>
      <c r="T183" s="299"/>
      <c r="U183" s="3"/>
      <c r="V183" s="3"/>
      <c r="W183" s="3"/>
      <c r="X183" s="3"/>
      <c r="Y183" s="3"/>
      <c r="Z183" s="3"/>
    </row>
    <row r="184" ht="15.75" customHeight="1">
      <c r="A184" s="3"/>
      <c r="B184" s="3"/>
      <c r="C184" s="3"/>
      <c r="D184" s="33"/>
      <c r="E184" s="33"/>
      <c r="F184" s="33"/>
      <c r="G184" s="33"/>
      <c r="H184" s="33"/>
      <c r="I184" s="33"/>
      <c r="J184" s="33"/>
      <c r="K184" s="33"/>
      <c r="L184" s="33"/>
      <c r="M184" s="33"/>
      <c r="N184" s="33"/>
      <c r="O184" s="33"/>
      <c r="P184" s="33"/>
      <c r="Q184" s="33"/>
      <c r="R184" s="33"/>
      <c r="S184" s="33"/>
      <c r="T184" s="299"/>
      <c r="U184" s="3"/>
      <c r="V184" s="3"/>
      <c r="W184" s="3"/>
      <c r="X184" s="3"/>
      <c r="Y184" s="3"/>
      <c r="Z184" s="3"/>
    </row>
    <row r="185" ht="15.75" customHeight="1">
      <c r="A185" s="3"/>
      <c r="B185" s="3"/>
      <c r="C185" s="3"/>
      <c r="D185" s="33"/>
      <c r="E185" s="33"/>
      <c r="F185" s="33"/>
      <c r="G185" s="33"/>
      <c r="H185" s="33"/>
      <c r="I185" s="33"/>
      <c r="J185" s="33"/>
      <c r="K185" s="33"/>
      <c r="L185" s="33"/>
      <c r="M185" s="33"/>
      <c r="N185" s="33"/>
      <c r="O185" s="33"/>
      <c r="P185" s="33"/>
      <c r="Q185" s="33"/>
      <c r="R185" s="33"/>
      <c r="S185" s="33"/>
      <c r="T185" s="299"/>
      <c r="U185" s="3"/>
      <c r="V185" s="3"/>
      <c r="W185" s="3"/>
      <c r="X185" s="3"/>
      <c r="Y185" s="3"/>
      <c r="Z185" s="3"/>
    </row>
    <row r="186" ht="15.75" customHeight="1">
      <c r="A186" s="3"/>
      <c r="B186" s="3"/>
      <c r="C186" s="3"/>
      <c r="D186" s="33"/>
      <c r="E186" s="33"/>
      <c r="F186" s="33"/>
      <c r="G186" s="33"/>
      <c r="H186" s="33"/>
      <c r="I186" s="33"/>
      <c r="J186" s="33"/>
      <c r="K186" s="33"/>
      <c r="L186" s="33"/>
      <c r="M186" s="33"/>
      <c r="N186" s="33"/>
      <c r="O186" s="33"/>
      <c r="P186" s="33"/>
      <c r="Q186" s="33"/>
      <c r="R186" s="33"/>
      <c r="S186" s="33"/>
      <c r="T186" s="299"/>
      <c r="U186" s="3"/>
      <c r="V186" s="3"/>
      <c r="W186" s="3"/>
      <c r="X186" s="3"/>
      <c r="Y186" s="3"/>
      <c r="Z186" s="3"/>
    </row>
    <row r="187" ht="15.75" customHeight="1">
      <c r="A187" s="3"/>
      <c r="B187" s="3"/>
      <c r="C187" s="3"/>
      <c r="D187" s="33"/>
      <c r="E187" s="33"/>
      <c r="F187" s="33"/>
      <c r="G187" s="33"/>
      <c r="H187" s="33"/>
      <c r="I187" s="33"/>
      <c r="J187" s="33"/>
      <c r="K187" s="33"/>
      <c r="L187" s="33"/>
      <c r="M187" s="33"/>
      <c r="N187" s="33"/>
      <c r="O187" s="33"/>
      <c r="P187" s="33"/>
      <c r="Q187" s="33"/>
      <c r="R187" s="33"/>
      <c r="S187" s="33"/>
      <c r="T187" s="299"/>
      <c r="U187" s="3"/>
      <c r="V187" s="3"/>
      <c r="W187" s="3"/>
      <c r="X187" s="3"/>
      <c r="Y187" s="3"/>
      <c r="Z187" s="3"/>
    </row>
    <row r="188" ht="15.75" customHeight="1">
      <c r="A188" s="3"/>
      <c r="B188" s="3"/>
      <c r="C188" s="3"/>
      <c r="D188" s="33"/>
      <c r="E188" s="33"/>
      <c r="F188" s="33"/>
      <c r="G188" s="33"/>
      <c r="H188" s="33"/>
      <c r="I188" s="33"/>
      <c r="J188" s="33"/>
      <c r="K188" s="33"/>
      <c r="L188" s="33"/>
      <c r="M188" s="33"/>
      <c r="N188" s="33"/>
      <c r="O188" s="33"/>
      <c r="P188" s="33"/>
      <c r="Q188" s="33"/>
      <c r="R188" s="33"/>
      <c r="S188" s="33"/>
      <c r="T188" s="299"/>
      <c r="U188" s="3"/>
      <c r="V188" s="3"/>
      <c r="W188" s="3"/>
      <c r="X188" s="3"/>
      <c r="Y188" s="3"/>
      <c r="Z188" s="3"/>
    </row>
    <row r="189" ht="15.75" customHeight="1">
      <c r="A189" s="3"/>
      <c r="B189" s="3"/>
      <c r="C189" s="3"/>
      <c r="D189" s="33"/>
      <c r="E189" s="33"/>
      <c r="F189" s="33"/>
      <c r="G189" s="33"/>
      <c r="H189" s="33"/>
      <c r="I189" s="33"/>
      <c r="J189" s="33"/>
      <c r="K189" s="33"/>
      <c r="L189" s="33"/>
      <c r="M189" s="33"/>
      <c r="N189" s="33"/>
      <c r="O189" s="33"/>
      <c r="P189" s="33"/>
      <c r="Q189" s="33"/>
      <c r="R189" s="33"/>
      <c r="S189" s="33"/>
      <c r="T189" s="299"/>
      <c r="U189" s="3"/>
      <c r="V189" s="3"/>
      <c r="W189" s="3"/>
      <c r="X189" s="3"/>
      <c r="Y189" s="3"/>
      <c r="Z189" s="3"/>
    </row>
    <row r="190" ht="15.75" customHeight="1">
      <c r="A190" s="3"/>
      <c r="B190" s="3"/>
      <c r="C190" s="3"/>
      <c r="D190" s="33"/>
      <c r="E190" s="33"/>
      <c r="F190" s="33"/>
      <c r="G190" s="33"/>
      <c r="H190" s="33"/>
      <c r="I190" s="33"/>
      <c r="J190" s="33"/>
      <c r="K190" s="33"/>
      <c r="L190" s="33"/>
      <c r="M190" s="33"/>
      <c r="N190" s="33"/>
      <c r="O190" s="33"/>
      <c r="P190" s="33"/>
      <c r="Q190" s="33"/>
      <c r="R190" s="33"/>
      <c r="S190" s="33"/>
      <c r="T190" s="299"/>
      <c r="U190" s="3"/>
      <c r="V190" s="3"/>
      <c r="W190" s="3"/>
      <c r="X190" s="3"/>
      <c r="Y190" s="3"/>
      <c r="Z190" s="3"/>
    </row>
    <row r="191" ht="15.75" customHeight="1">
      <c r="A191" s="3"/>
      <c r="B191" s="3"/>
      <c r="C191" s="3"/>
      <c r="D191" s="33"/>
      <c r="E191" s="33"/>
      <c r="F191" s="33"/>
      <c r="G191" s="33"/>
      <c r="H191" s="33"/>
      <c r="I191" s="33"/>
      <c r="J191" s="33"/>
      <c r="K191" s="33"/>
      <c r="L191" s="33"/>
      <c r="M191" s="33"/>
      <c r="N191" s="33"/>
      <c r="O191" s="33"/>
      <c r="P191" s="33"/>
      <c r="Q191" s="33"/>
      <c r="R191" s="33"/>
      <c r="S191" s="33"/>
      <c r="T191" s="299"/>
      <c r="U191" s="3"/>
      <c r="V191" s="3"/>
      <c r="W191" s="3"/>
      <c r="X191" s="3"/>
      <c r="Y191" s="3"/>
      <c r="Z191" s="3"/>
    </row>
    <row r="192" ht="15.75" customHeight="1">
      <c r="A192" s="3"/>
      <c r="B192" s="3"/>
      <c r="C192" s="3"/>
      <c r="D192" s="33"/>
      <c r="E192" s="33"/>
      <c r="F192" s="33"/>
      <c r="G192" s="33"/>
      <c r="H192" s="33"/>
      <c r="I192" s="33"/>
      <c r="J192" s="33"/>
      <c r="K192" s="33"/>
      <c r="L192" s="33"/>
      <c r="M192" s="33"/>
      <c r="N192" s="33"/>
      <c r="O192" s="33"/>
      <c r="P192" s="33"/>
      <c r="Q192" s="33"/>
      <c r="R192" s="33"/>
      <c r="S192" s="33"/>
      <c r="T192" s="299"/>
      <c r="U192" s="3"/>
      <c r="V192" s="3"/>
      <c r="W192" s="3"/>
      <c r="X192" s="3"/>
      <c r="Y192" s="3"/>
      <c r="Z192" s="3"/>
    </row>
    <row r="193" ht="15.75" customHeight="1">
      <c r="A193" s="3"/>
      <c r="B193" s="3"/>
      <c r="C193" s="3"/>
      <c r="D193" s="33"/>
      <c r="E193" s="33"/>
      <c r="F193" s="33"/>
      <c r="G193" s="33"/>
      <c r="H193" s="33"/>
      <c r="I193" s="33"/>
      <c r="J193" s="33"/>
      <c r="K193" s="33"/>
      <c r="L193" s="33"/>
      <c r="M193" s="33"/>
      <c r="N193" s="33"/>
      <c r="O193" s="33"/>
      <c r="P193" s="33"/>
      <c r="Q193" s="33"/>
      <c r="R193" s="33"/>
      <c r="S193" s="33"/>
      <c r="T193" s="299"/>
      <c r="U193" s="3"/>
      <c r="V193" s="3"/>
      <c r="W193" s="3"/>
      <c r="X193" s="3"/>
      <c r="Y193" s="3"/>
      <c r="Z193" s="3"/>
    </row>
    <row r="194" ht="15.75" customHeight="1">
      <c r="A194" s="3"/>
      <c r="B194" s="3"/>
      <c r="C194" s="3"/>
      <c r="D194" s="33"/>
      <c r="E194" s="33"/>
      <c r="F194" s="33"/>
      <c r="G194" s="33"/>
      <c r="H194" s="33"/>
      <c r="I194" s="33"/>
      <c r="J194" s="33"/>
      <c r="K194" s="33"/>
      <c r="L194" s="33"/>
      <c r="M194" s="33"/>
      <c r="N194" s="33"/>
      <c r="O194" s="33"/>
      <c r="P194" s="33"/>
      <c r="Q194" s="33"/>
      <c r="R194" s="33"/>
      <c r="S194" s="33"/>
      <c r="T194" s="299"/>
      <c r="U194" s="3"/>
      <c r="V194" s="3"/>
      <c r="W194" s="3"/>
      <c r="X194" s="3"/>
      <c r="Y194" s="3"/>
      <c r="Z194" s="3"/>
    </row>
    <row r="195" ht="15.75" customHeight="1">
      <c r="A195" s="3"/>
      <c r="B195" s="3"/>
      <c r="C195" s="3"/>
      <c r="D195" s="33"/>
      <c r="E195" s="33"/>
      <c r="F195" s="33"/>
      <c r="G195" s="33"/>
      <c r="H195" s="33"/>
      <c r="I195" s="33"/>
      <c r="J195" s="33"/>
      <c r="K195" s="33"/>
      <c r="L195" s="33"/>
      <c r="M195" s="33"/>
      <c r="N195" s="33"/>
      <c r="O195" s="33"/>
      <c r="P195" s="33"/>
      <c r="Q195" s="33"/>
      <c r="R195" s="33"/>
      <c r="S195" s="33"/>
      <c r="T195" s="299"/>
      <c r="U195" s="3"/>
      <c r="V195" s="3"/>
      <c r="W195" s="3"/>
      <c r="X195" s="3"/>
      <c r="Y195" s="3"/>
      <c r="Z195" s="3"/>
    </row>
    <row r="196" ht="15.75" customHeight="1">
      <c r="A196" s="3"/>
      <c r="B196" s="3"/>
      <c r="C196" s="3"/>
      <c r="D196" s="33"/>
      <c r="E196" s="33"/>
      <c r="F196" s="33"/>
      <c r="G196" s="33"/>
      <c r="H196" s="33"/>
      <c r="I196" s="33"/>
      <c r="J196" s="33"/>
      <c r="K196" s="33"/>
      <c r="L196" s="33"/>
      <c r="M196" s="33"/>
      <c r="N196" s="33"/>
      <c r="O196" s="33"/>
      <c r="P196" s="33"/>
      <c r="Q196" s="33"/>
      <c r="R196" s="33"/>
      <c r="S196" s="33"/>
      <c r="T196" s="299"/>
      <c r="U196" s="3"/>
      <c r="V196" s="3"/>
      <c r="W196" s="3"/>
      <c r="X196" s="3"/>
      <c r="Y196" s="3"/>
      <c r="Z196" s="3"/>
    </row>
    <row r="197" ht="15.75" customHeight="1">
      <c r="A197" s="3"/>
      <c r="B197" s="3"/>
      <c r="C197" s="3"/>
      <c r="D197" s="33"/>
      <c r="E197" s="33"/>
      <c r="F197" s="33"/>
      <c r="G197" s="33"/>
      <c r="H197" s="33"/>
      <c r="I197" s="33"/>
      <c r="J197" s="33"/>
      <c r="K197" s="33"/>
      <c r="L197" s="33"/>
      <c r="M197" s="33"/>
      <c r="N197" s="33"/>
      <c r="O197" s="33"/>
      <c r="P197" s="33"/>
      <c r="Q197" s="33"/>
      <c r="R197" s="33"/>
      <c r="S197" s="33"/>
      <c r="T197" s="299"/>
      <c r="U197" s="3"/>
      <c r="V197" s="3"/>
      <c r="W197" s="3"/>
      <c r="X197" s="3"/>
      <c r="Y197" s="3"/>
      <c r="Z197" s="3"/>
    </row>
    <row r="198" ht="15.75" customHeight="1">
      <c r="A198" s="3"/>
      <c r="B198" s="3"/>
      <c r="C198" s="3"/>
      <c r="D198" s="33"/>
      <c r="E198" s="33"/>
      <c r="F198" s="33"/>
      <c r="G198" s="33"/>
      <c r="H198" s="33"/>
      <c r="I198" s="33"/>
      <c r="J198" s="33"/>
      <c r="K198" s="33"/>
      <c r="L198" s="33"/>
      <c r="M198" s="33"/>
      <c r="N198" s="33"/>
      <c r="O198" s="33"/>
      <c r="P198" s="33"/>
      <c r="Q198" s="33"/>
      <c r="R198" s="33"/>
      <c r="S198" s="33"/>
      <c r="T198" s="299"/>
      <c r="U198" s="3"/>
      <c r="V198" s="3"/>
      <c r="W198" s="3"/>
      <c r="X198" s="3"/>
      <c r="Y198" s="3"/>
      <c r="Z198" s="3"/>
    </row>
    <row r="199" ht="15.75" customHeight="1">
      <c r="A199" s="3"/>
      <c r="B199" s="3"/>
      <c r="C199" s="3"/>
      <c r="D199" s="33"/>
      <c r="E199" s="33"/>
      <c r="F199" s="33"/>
      <c r="G199" s="33"/>
      <c r="H199" s="33"/>
      <c r="I199" s="33"/>
      <c r="J199" s="33"/>
      <c r="K199" s="33"/>
      <c r="L199" s="33"/>
      <c r="M199" s="33"/>
      <c r="N199" s="33"/>
      <c r="O199" s="33"/>
      <c r="P199" s="33"/>
      <c r="Q199" s="33"/>
      <c r="R199" s="33"/>
      <c r="S199" s="33"/>
      <c r="T199" s="299"/>
      <c r="U199" s="3"/>
      <c r="V199" s="3"/>
      <c r="W199" s="3"/>
      <c r="X199" s="3"/>
      <c r="Y199" s="3"/>
      <c r="Z199" s="3"/>
    </row>
    <row r="200" ht="15.75" customHeight="1">
      <c r="A200" s="3"/>
      <c r="B200" s="3"/>
      <c r="C200" s="3"/>
      <c r="D200" s="33"/>
      <c r="E200" s="33"/>
      <c r="F200" s="33"/>
      <c r="G200" s="33"/>
      <c r="H200" s="33"/>
      <c r="I200" s="33"/>
      <c r="J200" s="33"/>
      <c r="K200" s="33"/>
      <c r="L200" s="33"/>
      <c r="M200" s="33"/>
      <c r="N200" s="33"/>
      <c r="O200" s="33"/>
      <c r="P200" s="33"/>
      <c r="Q200" s="33"/>
      <c r="R200" s="33"/>
      <c r="S200" s="33"/>
      <c r="T200" s="299"/>
      <c r="U200" s="3"/>
      <c r="V200" s="3"/>
      <c r="W200" s="3"/>
      <c r="X200" s="3"/>
      <c r="Y200" s="3"/>
      <c r="Z200" s="3"/>
    </row>
    <row r="201" ht="15.75" customHeight="1">
      <c r="A201" s="3"/>
      <c r="B201" s="3"/>
      <c r="C201" s="3"/>
      <c r="D201" s="33"/>
      <c r="E201" s="33"/>
      <c r="F201" s="33"/>
      <c r="G201" s="33"/>
      <c r="H201" s="33"/>
      <c r="I201" s="33"/>
      <c r="J201" s="33"/>
      <c r="K201" s="33"/>
      <c r="L201" s="33"/>
      <c r="M201" s="33"/>
      <c r="N201" s="33"/>
      <c r="O201" s="33"/>
      <c r="P201" s="33"/>
      <c r="Q201" s="33"/>
      <c r="R201" s="33"/>
      <c r="S201" s="33"/>
      <c r="T201" s="299"/>
      <c r="U201" s="3"/>
      <c r="V201" s="3"/>
      <c r="W201" s="3"/>
      <c r="X201" s="3"/>
      <c r="Y201" s="3"/>
      <c r="Z201" s="3"/>
    </row>
    <row r="202" ht="15.75" customHeight="1">
      <c r="A202" s="3"/>
      <c r="B202" s="3"/>
      <c r="C202" s="3"/>
      <c r="D202" s="33"/>
      <c r="E202" s="33"/>
      <c r="F202" s="33"/>
      <c r="G202" s="33"/>
      <c r="H202" s="33"/>
      <c r="I202" s="33"/>
      <c r="J202" s="33"/>
      <c r="K202" s="33"/>
      <c r="L202" s="33"/>
      <c r="M202" s="33"/>
      <c r="N202" s="33"/>
      <c r="O202" s="33"/>
      <c r="P202" s="33"/>
      <c r="Q202" s="33"/>
      <c r="R202" s="33"/>
      <c r="S202" s="33"/>
      <c r="T202" s="299"/>
      <c r="U202" s="3"/>
      <c r="V202" s="3"/>
      <c r="W202" s="3"/>
      <c r="X202" s="3"/>
      <c r="Y202" s="3"/>
      <c r="Z202" s="3"/>
    </row>
    <row r="203" ht="15.75" customHeight="1">
      <c r="A203" s="3"/>
      <c r="B203" s="3"/>
      <c r="C203" s="3"/>
      <c r="D203" s="33"/>
      <c r="E203" s="33"/>
      <c r="F203" s="33"/>
      <c r="G203" s="33"/>
      <c r="H203" s="33"/>
      <c r="I203" s="33"/>
      <c r="J203" s="33"/>
      <c r="K203" s="33"/>
      <c r="L203" s="33"/>
      <c r="M203" s="33"/>
      <c r="N203" s="33"/>
      <c r="O203" s="33"/>
      <c r="P203" s="33"/>
      <c r="Q203" s="33"/>
      <c r="R203" s="33"/>
      <c r="S203" s="33"/>
      <c r="T203" s="299"/>
      <c r="U203" s="3"/>
      <c r="V203" s="3"/>
      <c r="W203" s="3"/>
      <c r="X203" s="3"/>
      <c r="Y203" s="3"/>
      <c r="Z203" s="3"/>
    </row>
    <row r="204" ht="15.75" customHeight="1">
      <c r="A204" s="3"/>
      <c r="B204" s="3"/>
      <c r="C204" s="3"/>
      <c r="D204" s="33"/>
      <c r="E204" s="33"/>
      <c r="F204" s="33"/>
      <c r="G204" s="33"/>
      <c r="H204" s="33"/>
      <c r="I204" s="33"/>
      <c r="J204" s="33"/>
      <c r="K204" s="33"/>
      <c r="L204" s="33"/>
      <c r="M204" s="33"/>
      <c r="N204" s="33"/>
      <c r="O204" s="33"/>
      <c r="P204" s="33"/>
      <c r="Q204" s="33"/>
      <c r="R204" s="33"/>
      <c r="S204" s="33"/>
      <c r="T204" s="299"/>
      <c r="U204" s="3"/>
      <c r="V204" s="3"/>
      <c r="W204" s="3"/>
      <c r="X204" s="3"/>
      <c r="Y204" s="3"/>
      <c r="Z204" s="3"/>
    </row>
    <row r="205" ht="15.75" customHeight="1">
      <c r="A205" s="3"/>
      <c r="B205" s="3"/>
      <c r="C205" s="3"/>
      <c r="D205" s="33"/>
      <c r="E205" s="33"/>
      <c r="F205" s="33"/>
      <c r="G205" s="33"/>
      <c r="H205" s="33"/>
      <c r="I205" s="33"/>
      <c r="J205" s="33"/>
      <c r="K205" s="33"/>
      <c r="L205" s="33"/>
      <c r="M205" s="33"/>
      <c r="N205" s="33"/>
      <c r="O205" s="33"/>
      <c r="P205" s="33"/>
      <c r="Q205" s="33"/>
      <c r="R205" s="33"/>
      <c r="S205" s="33"/>
      <c r="T205" s="299"/>
      <c r="U205" s="3"/>
      <c r="V205" s="3"/>
      <c r="W205" s="3"/>
      <c r="X205" s="3"/>
      <c r="Y205" s="3"/>
      <c r="Z205" s="3"/>
    </row>
    <row r="206" ht="15.75" customHeight="1">
      <c r="A206" s="3"/>
      <c r="B206" s="3"/>
      <c r="C206" s="3"/>
      <c r="D206" s="33"/>
      <c r="E206" s="33"/>
      <c r="F206" s="33"/>
      <c r="G206" s="33"/>
      <c r="H206" s="33"/>
      <c r="I206" s="33"/>
      <c r="J206" s="33"/>
      <c r="K206" s="33"/>
      <c r="L206" s="33"/>
      <c r="M206" s="33"/>
      <c r="N206" s="33"/>
      <c r="O206" s="33"/>
      <c r="P206" s="33"/>
      <c r="Q206" s="33"/>
      <c r="R206" s="33"/>
      <c r="S206" s="33"/>
      <c r="T206" s="299"/>
      <c r="U206" s="3"/>
      <c r="V206" s="3"/>
      <c r="W206" s="3"/>
      <c r="X206" s="3"/>
      <c r="Y206" s="3"/>
      <c r="Z206" s="3"/>
    </row>
    <row r="207" ht="15.75" customHeight="1">
      <c r="A207" s="3"/>
      <c r="B207" s="3"/>
      <c r="C207" s="3"/>
      <c r="D207" s="33"/>
      <c r="E207" s="33"/>
      <c r="F207" s="33"/>
      <c r="G207" s="33"/>
      <c r="H207" s="33"/>
      <c r="I207" s="33"/>
      <c r="J207" s="33"/>
      <c r="K207" s="33"/>
      <c r="L207" s="33"/>
      <c r="M207" s="33"/>
      <c r="N207" s="33"/>
      <c r="O207" s="33"/>
      <c r="P207" s="33"/>
      <c r="Q207" s="33"/>
      <c r="R207" s="33"/>
      <c r="S207" s="33"/>
      <c r="T207" s="299"/>
      <c r="U207" s="3"/>
      <c r="V207" s="3"/>
      <c r="W207" s="3"/>
      <c r="X207" s="3"/>
      <c r="Y207" s="3"/>
      <c r="Z207" s="3"/>
    </row>
    <row r="208" ht="15.75" customHeight="1">
      <c r="A208" s="3"/>
      <c r="B208" s="3"/>
      <c r="C208" s="3"/>
      <c r="D208" s="33"/>
      <c r="E208" s="33"/>
      <c r="F208" s="33"/>
      <c r="G208" s="33"/>
      <c r="H208" s="33"/>
      <c r="I208" s="33"/>
      <c r="J208" s="33"/>
      <c r="K208" s="33"/>
      <c r="L208" s="33"/>
      <c r="M208" s="33"/>
      <c r="N208" s="33"/>
      <c r="O208" s="33"/>
      <c r="P208" s="33"/>
      <c r="Q208" s="33"/>
      <c r="R208" s="33"/>
      <c r="S208" s="33"/>
      <c r="T208" s="299"/>
      <c r="U208" s="3"/>
      <c r="V208" s="3"/>
      <c r="W208" s="3"/>
      <c r="X208" s="3"/>
      <c r="Y208" s="3"/>
      <c r="Z208" s="3"/>
    </row>
    <row r="209" ht="15.75" customHeight="1">
      <c r="A209" s="3"/>
      <c r="B209" s="3"/>
      <c r="C209" s="3"/>
      <c r="D209" s="33"/>
      <c r="E209" s="33"/>
      <c r="F209" s="33"/>
      <c r="G209" s="33"/>
      <c r="H209" s="33"/>
      <c r="I209" s="33"/>
      <c r="J209" s="33"/>
      <c r="K209" s="33"/>
      <c r="L209" s="33"/>
      <c r="M209" s="33"/>
      <c r="N209" s="33"/>
      <c r="O209" s="33"/>
      <c r="P209" s="33"/>
      <c r="Q209" s="33"/>
      <c r="R209" s="33"/>
      <c r="S209" s="33"/>
      <c r="T209" s="299"/>
      <c r="U209" s="3"/>
      <c r="V209" s="3"/>
      <c r="W209" s="3"/>
      <c r="X209" s="3"/>
      <c r="Y209" s="3"/>
      <c r="Z209" s="3"/>
    </row>
    <row r="210" ht="15.75" customHeight="1">
      <c r="A210" s="3"/>
      <c r="B210" s="3"/>
      <c r="C210" s="3"/>
      <c r="D210" s="33"/>
      <c r="E210" s="33"/>
      <c r="F210" s="33"/>
      <c r="G210" s="33"/>
      <c r="H210" s="33"/>
      <c r="I210" s="33"/>
      <c r="J210" s="33"/>
      <c r="K210" s="33"/>
      <c r="L210" s="33"/>
      <c r="M210" s="33"/>
      <c r="N210" s="33"/>
      <c r="O210" s="33"/>
      <c r="P210" s="33"/>
      <c r="Q210" s="33"/>
      <c r="R210" s="33"/>
      <c r="S210" s="33"/>
      <c r="T210" s="299"/>
      <c r="U210" s="3"/>
      <c r="V210" s="3"/>
      <c r="W210" s="3"/>
      <c r="X210" s="3"/>
      <c r="Y210" s="3"/>
      <c r="Z210" s="3"/>
    </row>
    <row r="211" ht="15.75" customHeight="1">
      <c r="A211" s="3"/>
      <c r="B211" s="3"/>
      <c r="C211" s="3"/>
      <c r="D211" s="33"/>
      <c r="E211" s="33"/>
      <c r="F211" s="33"/>
      <c r="G211" s="33"/>
      <c r="H211" s="33"/>
      <c r="I211" s="33"/>
      <c r="J211" s="33"/>
      <c r="K211" s="33"/>
      <c r="L211" s="33"/>
      <c r="M211" s="33"/>
      <c r="N211" s="33"/>
      <c r="O211" s="33"/>
      <c r="P211" s="33"/>
      <c r="Q211" s="33"/>
      <c r="R211" s="33"/>
      <c r="S211" s="33"/>
      <c r="T211" s="299"/>
      <c r="U211" s="3"/>
      <c r="V211" s="3"/>
      <c r="W211" s="3"/>
      <c r="X211" s="3"/>
      <c r="Y211" s="3"/>
      <c r="Z211" s="3"/>
    </row>
    <row r="212" ht="15.75" customHeight="1">
      <c r="A212" s="3"/>
      <c r="B212" s="3"/>
      <c r="C212" s="3"/>
      <c r="D212" s="33"/>
      <c r="E212" s="33"/>
      <c r="F212" s="33"/>
      <c r="G212" s="33"/>
      <c r="H212" s="33"/>
      <c r="I212" s="33"/>
      <c r="J212" s="33"/>
      <c r="K212" s="33"/>
      <c r="L212" s="33"/>
      <c r="M212" s="33"/>
      <c r="N212" s="33"/>
      <c r="O212" s="33"/>
      <c r="P212" s="33"/>
      <c r="Q212" s="33"/>
      <c r="R212" s="33"/>
      <c r="S212" s="33"/>
      <c r="T212" s="299"/>
      <c r="U212" s="3"/>
      <c r="V212" s="3"/>
      <c r="W212" s="3"/>
      <c r="X212" s="3"/>
      <c r="Y212" s="3"/>
      <c r="Z212" s="3"/>
    </row>
    <row r="213" ht="15.75" customHeight="1">
      <c r="A213" s="3"/>
      <c r="B213" s="3"/>
      <c r="C213" s="3"/>
      <c r="D213" s="33"/>
      <c r="E213" s="33"/>
      <c r="F213" s="33"/>
      <c r="G213" s="33"/>
      <c r="H213" s="33"/>
      <c r="I213" s="33"/>
      <c r="J213" s="33"/>
      <c r="K213" s="33"/>
      <c r="L213" s="33"/>
      <c r="M213" s="33"/>
      <c r="N213" s="33"/>
      <c r="O213" s="33"/>
      <c r="P213" s="33"/>
      <c r="Q213" s="33"/>
      <c r="R213" s="33"/>
      <c r="S213" s="33"/>
      <c r="T213" s="299"/>
      <c r="U213" s="3"/>
      <c r="V213" s="3"/>
      <c r="W213" s="3"/>
      <c r="X213" s="3"/>
      <c r="Y213" s="3"/>
      <c r="Z213" s="3"/>
    </row>
    <row r="214" ht="15.75" customHeight="1">
      <c r="A214" s="3"/>
      <c r="B214" s="3"/>
      <c r="C214" s="3"/>
      <c r="D214" s="33"/>
      <c r="E214" s="33"/>
      <c r="F214" s="33"/>
      <c r="G214" s="33"/>
      <c r="H214" s="33"/>
      <c r="I214" s="33"/>
      <c r="J214" s="33"/>
      <c r="K214" s="33"/>
      <c r="L214" s="33"/>
      <c r="M214" s="33"/>
      <c r="N214" s="33"/>
      <c r="O214" s="33"/>
      <c r="P214" s="33"/>
      <c r="Q214" s="33"/>
      <c r="R214" s="33"/>
      <c r="S214" s="33"/>
      <c r="T214" s="299"/>
      <c r="U214" s="3"/>
      <c r="V214" s="3"/>
      <c r="W214" s="3"/>
      <c r="X214" s="3"/>
      <c r="Y214" s="3"/>
      <c r="Z214" s="3"/>
    </row>
    <row r="215" ht="15.75" customHeight="1">
      <c r="A215" s="3"/>
      <c r="B215" s="3"/>
      <c r="C215" s="3"/>
      <c r="D215" s="33"/>
      <c r="E215" s="33"/>
      <c r="F215" s="33"/>
      <c r="G215" s="33"/>
      <c r="H215" s="33"/>
      <c r="I215" s="33"/>
      <c r="J215" s="33"/>
      <c r="K215" s="33"/>
      <c r="L215" s="33"/>
      <c r="M215" s="33"/>
      <c r="N215" s="33"/>
      <c r="O215" s="33"/>
      <c r="P215" s="33"/>
      <c r="Q215" s="33"/>
      <c r="R215" s="33"/>
      <c r="S215" s="33"/>
      <c r="T215" s="299"/>
      <c r="U215" s="3"/>
      <c r="V215" s="3"/>
      <c r="W215" s="3"/>
      <c r="X215" s="3"/>
      <c r="Y215" s="3"/>
      <c r="Z215" s="3"/>
    </row>
    <row r="216" ht="15.75" customHeight="1">
      <c r="A216" s="3"/>
      <c r="B216" s="3"/>
      <c r="C216" s="3"/>
      <c r="D216" s="33"/>
      <c r="E216" s="33"/>
      <c r="F216" s="33"/>
      <c r="G216" s="33"/>
      <c r="H216" s="33"/>
      <c r="I216" s="33"/>
      <c r="J216" s="33"/>
      <c r="K216" s="33"/>
      <c r="L216" s="33"/>
      <c r="M216" s="33"/>
      <c r="N216" s="33"/>
      <c r="O216" s="33"/>
      <c r="P216" s="33"/>
      <c r="Q216" s="33"/>
      <c r="R216" s="33"/>
      <c r="S216" s="33"/>
      <c r="T216" s="299"/>
      <c r="U216" s="3"/>
      <c r="V216" s="3"/>
      <c r="W216" s="3"/>
      <c r="X216" s="3"/>
      <c r="Y216" s="3"/>
      <c r="Z216" s="3"/>
    </row>
    <row r="217" ht="15.75" customHeight="1">
      <c r="A217" s="3"/>
      <c r="B217" s="3"/>
      <c r="C217" s="3"/>
      <c r="D217" s="33"/>
      <c r="E217" s="33"/>
      <c r="F217" s="33"/>
      <c r="G217" s="33"/>
      <c r="H217" s="33"/>
      <c r="I217" s="33"/>
      <c r="J217" s="33"/>
      <c r="K217" s="33"/>
      <c r="L217" s="33"/>
      <c r="M217" s="33"/>
      <c r="N217" s="33"/>
      <c r="O217" s="33"/>
      <c r="P217" s="33"/>
      <c r="Q217" s="33"/>
      <c r="R217" s="33"/>
      <c r="S217" s="33"/>
      <c r="T217" s="299"/>
      <c r="U217" s="3"/>
      <c r="V217" s="3"/>
      <c r="W217" s="3"/>
      <c r="X217" s="3"/>
      <c r="Y217" s="3"/>
      <c r="Z217" s="3"/>
    </row>
    <row r="218" ht="15.75" customHeight="1">
      <c r="A218" s="3"/>
      <c r="B218" s="3"/>
      <c r="C218" s="3"/>
      <c r="D218" s="33"/>
      <c r="E218" s="33"/>
      <c r="F218" s="33"/>
      <c r="G218" s="33"/>
      <c r="H218" s="33"/>
      <c r="I218" s="33"/>
      <c r="J218" s="33"/>
      <c r="K218" s="33"/>
      <c r="L218" s="33"/>
      <c r="M218" s="33"/>
      <c r="N218" s="33"/>
      <c r="O218" s="33"/>
      <c r="P218" s="33"/>
      <c r="Q218" s="33"/>
      <c r="R218" s="33"/>
      <c r="S218" s="33"/>
      <c r="T218" s="299"/>
      <c r="U218" s="3"/>
      <c r="V218" s="3"/>
      <c r="W218" s="3"/>
      <c r="X218" s="3"/>
      <c r="Y218" s="3"/>
      <c r="Z218" s="3"/>
    </row>
    <row r="219" ht="15.75" customHeight="1">
      <c r="A219" s="3"/>
      <c r="B219" s="3"/>
      <c r="C219" s="3"/>
      <c r="D219" s="33"/>
      <c r="E219" s="33"/>
      <c r="F219" s="33"/>
      <c r="G219" s="33"/>
      <c r="H219" s="33"/>
      <c r="I219" s="33"/>
      <c r="J219" s="33"/>
      <c r="K219" s="33"/>
      <c r="L219" s="33"/>
      <c r="M219" s="33"/>
      <c r="N219" s="33"/>
      <c r="O219" s="33"/>
      <c r="P219" s="33"/>
      <c r="Q219" s="33"/>
      <c r="R219" s="33"/>
      <c r="S219" s="33"/>
      <c r="T219" s="299"/>
      <c r="U219" s="3"/>
      <c r="V219" s="3"/>
      <c r="W219" s="3"/>
      <c r="X219" s="3"/>
      <c r="Y219" s="3"/>
      <c r="Z219" s="3"/>
    </row>
    <row r="220" ht="15.75" customHeight="1">
      <c r="A220" s="3"/>
      <c r="B220" s="3"/>
      <c r="C220" s="3"/>
      <c r="D220" s="33"/>
      <c r="E220" s="33"/>
      <c r="F220" s="33"/>
      <c r="G220" s="33"/>
      <c r="H220" s="33"/>
      <c r="I220" s="33"/>
      <c r="J220" s="33"/>
      <c r="K220" s="33"/>
      <c r="L220" s="33"/>
      <c r="M220" s="33"/>
      <c r="N220" s="33"/>
      <c r="O220" s="33"/>
      <c r="P220" s="33"/>
      <c r="Q220" s="33"/>
      <c r="R220" s="33"/>
      <c r="S220" s="33"/>
      <c r="T220" s="299"/>
      <c r="U220" s="3"/>
      <c r="V220" s="3"/>
      <c r="W220" s="3"/>
      <c r="X220" s="3"/>
      <c r="Y220" s="3"/>
      <c r="Z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4:A5"/>
    <mergeCell ref="B4:B5"/>
    <mergeCell ref="C5:D5"/>
  </mergeCells>
  <dataValidations>
    <dataValidation type="list" allowBlank="1" showErrorMessage="1" sqref="X5:X16 D6:D20">
      <formula1>$X$5:$X$12</formula1>
    </dataValidation>
    <dataValidation type="list" allowBlank="1" showErrorMessage="1" sqref="X17 B6:B20">
      <formula1>$X$17</formula1>
    </dataValidation>
  </dataValidations>
  <printOptions horizontalCentered="1"/>
  <pageMargins bottom="0.0" footer="0.0" header="0.0" left="0.0" right="0.0" top="0.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2.63" defaultRowHeight="15.0"/>
  <cols>
    <col customWidth="1" min="1" max="2" width="11.0"/>
    <col customWidth="1" min="3" max="3" width="25.63"/>
    <col customWidth="1" min="4" max="4" width="18.63"/>
    <col customWidth="1" min="5" max="5" width="12.0"/>
    <col customWidth="1" min="6" max="6" width="12.63"/>
    <col customWidth="1" min="7" max="7" width="23.63"/>
    <col customWidth="1" min="8" max="9" width="11.0"/>
    <col customWidth="1" min="10" max="10" width="13.63"/>
    <col customWidth="1" min="11" max="12" width="11.0"/>
    <col customWidth="1" min="13" max="13" width="14.63"/>
    <col customWidth="1" min="14" max="14" width="12.63"/>
    <col customWidth="1" min="15" max="15" width="13.25"/>
    <col customWidth="1" min="16" max="28" width="11.0"/>
  </cols>
  <sheetData>
    <row r="1" ht="14.25" customHeight="1">
      <c r="A1" s="313" t="s">
        <v>261</v>
      </c>
      <c r="B1" s="314" t="s">
        <v>7</v>
      </c>
      <c r="C1" s="314" t="s">
        <v>262</v>
      </c>
      <c r="D1" s="314" t="s">
        <v>263</v>
      </c>
      <c r="E1" s="315" t="s">
        <v>264</v>
      </c>
      <c r="F1" s="315" t="s">
        <v>265</v>
      </c>
      <c r="G1" s="313" t="s">
        <v>266</v>
      </c>
      <c r="H1" s="316" t="s">
        <v>267</v>
      </c>
      <c r="I1" s="5"/>
      <c r="J1" s="5"/>
      <c r="K1" s="5"/>
      <c r="L1" s="5"/>
      <c r="M1" s="317">
        <v>45169.0</v>
      </c>
      <c r="N1" s="318" t="s">
        <v>268</v>
      </c>
      <c r="O1" s="318" t="s">
        <v>269</v>
      </c>
      <c r="P1" s="5"/>
      <c r="Q1" s="5"/>
      <c r="R1" s="5"/>
      <c r="S1" s="5"/>
      <c r="T1" s="5"/>
      <c r="U1" s="5"/>
      <c r="V1" s="5"/>
      <c r="W1" s="5"/>
      <c r="X1" s="5"/>
      <c r="Y1" s="5"/>
      <c r="Z1" s="5"/>
      <c r="AA1" s="5"/>
      <c r="AB1" s="5"/>
    </row>
    <row r="2" ht="14.25" customHeight="1">
      <c r="A2" s="319" t="s">
        <v>270</v>
      </c>
      <c r="B2" s="319" t="s">
        <v>271</v>
      </c>
      <c r="C2" s="319" t="s">
        <v>272</v>
      </c>
      <c r="D2" s="319" t="s">
        <v>273</v>
      </c>
      <c r="E2" s="320">
        <v>32007.51</v>
      </c>
      <c r="F2" s="320">
        <v>-22494.36</v>
      </c>
      <c r="G2" s="319" t="s">
        <v>274</v>
      </c>
      <c r="H2" s="321">
        <v>423.0</v>
      </c>
      <c r="I2" s="322"/>
      <c r="J2" s="319"/>
      <c r="K2" s="319"/>
      <c r="L2" s="5"/>
      <c r="M2" s="318" t="s">
        <v>275</v>
      </c>
      <c r="N2" s="323">
        <f t="shared" ref="N2:O2" si="1">+SUM(E:E)</f>
        <v>2779322.1</v>
      </c>
      <c r="O2" s="324">
        <f t="shared" si="1"/>
        <v>-640715.53</v>
      </c>
      <c r="P2" s="5"/>
      <c r="Q2" s="5"/>
      <c r="R2" s="5"/>
      <c r="S2" s="5"/>
      <c r="T2" s="5"/>
      <c r="U2" s="5"/>
      <c r="V2" s="5"/>
      <c r="W2" s="5"/>
      <c r="X2" s="5"/>
      <c r="Y2" s="5"/>
      <c r="Z2" s="5"/>
      <c r="AA2" s="5"/>
      <c r="AB2" s="5"/>
    </row>
    <row r="3" ht="14.25" customHeight="1">
      <c r="A3" s="319" t="s">
        <v>276</v>
      </c>
      <c r="B3" s="319" t="s">
        <v>271</v>
      </c>
      <c r="C3" s="319" t="s">
        <v>272</v>
      </c>
      <c r="D3" s="319" t="s">
        <v>273</v>
      </c>
      <c r="E3" s="320">
        <v>24454.46</v>
      </c>
      <c r="F3" s="5"/>
      <c r="G3" s="319" t="s">
        <v>277</v>
      </c>
      <c r="H3" s="321">
        <v>306.0</v>
      </c>
      <c r="I3" s="319"/>
      <c r="J3" s="319"/>
      <c r="K3" s="319"/>
      <c r="L3" s="5"/>
      <c r="M3" s="5" t="s">
        <v>278</v>
      </c>
      <c r="N3" s="325">
        <f>COUNT(E:E)</f>
        <v>111</v>
      </c>
      <c r="O3" s="326">
        <f>-O2/N2</f>
        <v>0.2305294266</v>
      </c>
      <c r="P3" s="5"/>
      <c r="Q3" s="5"/>
      <c r="R3" s="5"/>
      <c r="S3" s="5"/>
      <c r="T3" s="5"/>
      <c r="U3" s="5"/>
      <c r="V3" s="5"/>
      <c r="W3" s="5"/>
      <c r="X3" s="5"/>
      <c r="Y3" s="5"/>
      <c r="Z3" s="5"/>
      <c r="AA3" s="5"/>
      <c r="AB3" s="5"/>
    </row>
    <row r="4" ht="14.25" customHeight="1">
      <c r="A4" s="319" t="s">
        <v>279</v>
      </c>
      <c r="B4" s="319" t="s">
        <v>280</v>
      </c>
      <c r="C4" s="319" t="s">
        <v>272</v>
      </c>
      <c r="D4" s="319" t="s">
        <v>281</v>
      </c>
      <c r="E4" s="320">
        <v>37735.15</v>
      </c>
      <c r="F4" s="5"/>
      <c r="G4" s="319" t="s">
        <v>282</v>
      </c>
      <c r="H4" s="321">
        <v>188.0</v>
      </c>
      <c r="I4" s="319"/>
      <c r="J4" s="319"/>
      <c r="K4" s="319"/>
      <c r="L4" s="5"/>
      <c r="M4" s="5"/>
      <c r="N4" s="5"/>
      <c r="O4" s="5"/>
      <c r="P4" s="5"/>
      <c r="Q4" s="5"/>
      <c r="R4" s="5"/>
      <c r="S4" s="5"/>
      <c r="T4" s="5"/>
      <c r="U4" s="5"/>
      <c r="V4" s="5"/>
      <c r="W4" s="5"/>
      <c r="X4" s="5"/>
      <c r="Y4" s="5"/>
      <c r="Z4" s="5"/>
      <c r="AA4" s="5"/>
      <c r="AB4" s="5"/>
    </row>
    <row r="5" ht="14.25" customHeight="1">
      <c r="A5" s="319" t="s">
        <v>283</v>
      </c>
      <c r="B5" s="319" t="s">
        <v>284</v>
      </c>
      <c r="C5" s="319" t="s">
        <v>272</v>
      </c>
      <c r="D5" s="319" t="s">
        <v>285</v>
      </c>
      <c r="E5" s="320">
        <v>29929.55</v>
      </c>
      <c r="F5" s="5"/>
      <c r="G5" s="319" t="s">
        <v>286</v>
      </c>
      <c r="H5" s="321">
        <v>187.0</v>
      </c>
      <c r="I5" s="319"/>
      <c r="J5" s="319"/>
      <c r="K5" s="319"/>
      <c r="L5" s="5"/>
      <c r="M5" s="5" t="s">
        <v>287</v>
      </c>
      <c r="N5" s="327">
        <f>+N2/N3</f>
        <v>25038.93784</v>
      </c>
      <c r="O5" s="5"/>
      <c r="P5" s="5"/>
      <c r="Q5" s="5"/>
      <c r="R5" s="5"/>
      <c r="S5" s="5"/>
      <c r="T5" s="5"/>
      <c r="U5" s="5"/>
      <c r="V5" s="5"/>
      <c r="W5" s="5"/>
      <c r="X5" s="5"/>
      <c r="Y5" s="5"/>
      <c r="Z5" s="5"/>
      <c r="AA5" s="5"/>
      <c r="AB5" s="5"/>
    </row>
    <row r="6" ht="14.25" customHeight="1">
      <c r="A6" s="319" t="s">
        <v>288</v>
      </c>
      <c r="B6" s="319" t="s">
        <v>284</v>
      </c>
      <c r="C6" s="319" t="s">
        <v>272</v>
      </c>
      <c r="D6" s="319" t="s">
        <v>289</v>
      </c>
      <c r="E6" s="320">
        <v>31306.12</v>
      </c>
      <c r="F6" s="5"/>
      <c r="G6" s="319" t="s">
        <v>290</v>
      </c>
      <c r="H6" s="321">
        <v>131.0</v>
      </c>
      <c r="I6" s="319"/>
      <c r="J6" s="319"/>
      <c r="K6" s="319"/>
      <c r="L6" s="5"/>
      <c r="M6" s="5"/>
      <c r="N6" s="5"/>
      <c r="O6" s="5"/>
      <c r="P6" s="5"/>
      <c r="Q6" s="5"/>
      <c r="R6" s="5"/>
      <c r="S6" s="5"/>
      <c r="T6" s="5"/>
      <c r="U6" s="5"/>
      <c r="V6" s="5"/>
      <c r="W6" s="5"/>
      <c r="X6" s="5"/>
      <c r="Y6" s="5"/>
      <c r="Z6" s="5"/>
      <c r="AA6" s="5"/>
      <c r="AB6" s="5"/>
    </row>
    <row r="7" ht="14.25" customHeight="1">
      <c r="A7" s="319" t="s">
        <v>291</v>
      </c>
      <c r="B7" s="319" t="s">
        <v>292</v>
      </c>
      <c r="C7" s="319" t="s">
        <v>293</v>
      </c>
      <c r="D7" s="319" t="s">
        <v>294</v>
      </c>
      <c r="E7" s="320">
        <v>17680.42</v>
      </c>
      <c r="F7" s="5"/>
      <c r="G7" s="319" t="s">
        <v>295</v>
      </c>
      <c r="H7" s="321">
        <v>121.0</v>
      </c>
      <c r="I7" s="319"/>
      <c r="J7" s="319"/>
      <c r="K7" s="319"/>
      <c r="L7" s="5"/>
      <c r="M7" s="328" t="s">
        <v>296</v>
      </c>
      <c r="N7" s="329">
        <f>SUM(E2:E13)</f>
        <v>337989.36</v>
      </c>
      <c r="O7" s="326">
        <f>+N7/N2</f>
        <v>0.1216085606</v>
      </c>
      <c r="P7" s="5"/>
      <c r="Q7" s="5"/>
      <c r="R7" s="5"/>
      <c r="S7" s="5"/>
      <c r="T7" s="5"/>
      <c r="U7" s="5"/>
      <c r="V7" s="5"/>
      <c r="W7" s="5"/>
      <c r="X7" s="5"/>
      <c r="Y7" s="5"/>
      <c r="Z7" s="5"/>
      <c r="AA7" s="5"/>
      <c r="AB7" s="5"/>
    </row>
    <row r="8" ht="14.25" customHeight="1">
      <c r="A8" s="319" t="s">
        <v>297</v>
      </c>
      <c r="B8" s="319" t="s">
        <v>280</v>
      </c>
      <c r="C8" s="319" t="s">
        <v>272</v>
      </c>
      <c r="D8" s="319" t="s">
        <v>298</v>
      </c>
      <c r="E8" s="320">
        <v>28635.15</v>
      </c>
      <c r="F8" s="320">
        <v>-31332.8</v>
      </c>
      <c r="G8" s="319" t="s">
        <v>299</v>
      </c>
      <c r="H8" s="321">
        <v>104.0</v>
      </c>
      <c r="I8" s="319"/>
      <c r="J8" s="319"/>
      <c r="K8" s="319"/>
      <c r="L8" s="5"/>
      <c r="M8" s="5"/>
      <c r="N8" s="330">
        <f>COUNT(H2:H13)</f>
        <v>12</v>
      </c>
      <c r="O8" s="326">
        <f>+N8/(N3)</f>
        <v>0.1081081081</v>
      </c>
      <c r="P8" s="5"/>
      <c r="Q8" s="5"/>
      <c r="R8" s="5"/>
      <c r="S8" s="5"/>
      <c r="T8" s="5"/>
      <c r="U8" s="5"/>
      <c r="V8" s="5"/>
      <c r="W8" s="5"/>
      <c r="X8" s="5"/>
      <c r="Y8" s="5"/>
      <c r="Z8" s="5"/>
      <c r="AA8" s="5"/>
      <c r="AB8" s="5"/>
    </row>
    <row r="9" ht="14.25" customHeight="1">
      <c r="A9" s="319" t="s">
        <v>300</v>
      </c>
      <c r="B9" s="319" t="s">
        <v>301</v>
      </c>
      <c r="C9" s="319" t="s">
        <v>272</v>
      </c>
      <c r="D9" s="319" t="s">
        <v>298</v>
      </c>
      <c r="E9" s="320">
        <v>38815.25</v>
      </c>
      <c r="F9" s="5"/>
      <c r="G9" s="319" t="s">
        <v>302</v>
      </c>
      <c r="H9" s="321">
        <v>94.0</v>
      </c>
      <c r="I9" s="319"/>
      <c r="J9" s="319"/>
      <c r="K9" s="319"/>
      <c r="L9" s="5"/>
      <c r="M9" s="5"/>
      <c r="N9" s="5"/>
      <c r="O9" s="5"/>
      <c r="P9" s="5"/>
      <c r="Q9" s="5"/>
      <c r="R9" s="5"/>
      <c r="S9" s="5"/>
      <c r="T9" s="5"/>
      <c r="U9" s="5"/>
      <c r="V9" s="5"/>
      <c r="W9" s="5"/>
      <c r="X9" s="5"/>
      <c r="Y9" s="5"/>
      <c r="Z9" s="5"/>
      <c r="AA9" s="5"/>
      <c r="AB9" s="5"/>
    </row>
    <row r="10" ht="14.25" customHeight="1">
      <c r="A10" s="319" t="s">
        <v>303</v>
      </c>
      <c r="B10" s="319" t="s">
        <v>271</v>
      </c>
      <c r="C10" s="319" t="s">
        <v>272</v>
      </c>
      <c r="D10" s="319" t="s">
        <v>298</v>
      </c>
      <c r="E10" s="320">
        <v>31315.25</v>
      </c>
      <c r="F10" s="320">
        <v>-24944.54</v>
      </c>
      <c r="G10" s="319" t="s">
        <v>304</v>
      </c>
      <c r="H10" s="321">
        <v>94.0</v>
      </c>
      <c r="I10" s="319"/>
      <c r="J10" s="319"/>
      <c r="K10" s="319"/>
      <c r="L10" s="5"/>
      <c r="M10" s="5"/>
      <c r="N10" s="5"/>
      <c r="O10" s="5"/>
      <c r="P10" s="5"/>
      <c r="Q10" s="5"/>
      <c r="R10" s="5"/>
      <c r="S10" s="5"/>
      <c r="T10" s="5"/>
      <c r="U10" s="5"/>
      <c r="V10" s="5"/>
      <c r="W10" s="5"/>
      <c r="X10" s="5"/>
      <c r="Y10" s="5"/>
      <c r="Z10" s="5"/>
      <c r="AA10" s="5"/>
      <c r="AB10" s="5"/>
    </row>
    <row r="11" ht="14.25" customHeight="1">
      <c r="A11" s="319" t="s">
        <v>305</v>
      </c>
      <c r="B11" s="319" t="s">
        <v>306</v>
      </c>
      <c r="C11" s="319" t="s">
        <v>272</v>
      </c>
      <c r="D11" s="319" t="s">
        <v>307</v>
      </c>
      <c r="E11" s="320">
        <v>21280.25</v>
      </c>
      <c r="F11" s="320">
        <v>-10962.0</v>
      </c>
      <c r="G11" s="319" t="s">
        <v>308</v>
      </c>
      <c r="H11" s="321">
        <v>94.0</v>
      </c>
      <c r="I11" s="319"/>
      <c r="J11" s="319"/>
      <c r="K11" s="319"/>
      <c r="L11" s="5"/>
      <c r="M11" s="5"/>
      <c r="N11" s="5"/>
      <c r="O11" s="5"/>
      <c r="P11" s="5"/>
      <c r="Q11" s="5"/>
      <c r="R11" s="5"/>
      <c r="S11" s="5"/>
      <c r="T11" s="5"/>
      <c r="U11" s="5"/>
      <c r="V11" s="5"/>
      <c r="W11" s="5"/>
      <c r="X11" s="5"/>
      <c r="Y11" s="5"/>
      <c r="Z11" s="5"/>
      <c r="AA11" s="5"/>
      <c r="AB11" s="5"/>
    </row>
    <row r="12" ht="14.25" customHeight="1">
      <c r="A12" s="319" t="s">
        <v>309</v>
      </c>
      <c r="B12" s="319" t="s">
        <v>284</v>
      </c>
      <c r="C12" s="319" t="s">
        <v>310</v>
      </c>
      <c r="D12" s="319" t="s">
        <v>311</v>
      </c>
      <c r="E12" s="320">
        <v>17550.0</v>
      </c>
      <c r="F12" s="5"/>
      <c r="G12" s="319" t="s">
        <v>312</v>
      </c>
      <c r="H12" s="321">
        <v>93.0</v>
      </c>
      <c r="I12" s="319"/>
      <c r="J12" s="319"/>
      <c r="K12" s="319"/>
      <c r="L12" s="5"/>
      <c r="M12" s="5"/>
      <c r="N12" s="5"/>
      <c r="O12" s="5"/>
      <c r="P12" s="5"/>
      <c r="Q12" s="5"/>
      <c r="R12" s="5"/>
      <c r="S12" s="5"/>
      <c r="T12" s="5"/>
      <c r="U12" s="5"/>
      <c r="V12" s="5"/>
      <c r="W12" s="5"/>
      <c r="X12" s="5"/>
      <c r="Y12" s="5"/>
      <c r="Z12" s="5"/>
      <c r="AA12" s="5"/>
      <c r="AB12" s="5"/>
    </row>
    <row r="13" ht="14.25" customHeight="1">
      <c r="A13" s="319" t="s">
        <v>313</v>
      </c>
      <c r="B13" s="319" t="s">
        <v>306</v>
      </c>
      <c r="C13" s="319" t="s">
        <v>272</v>
      </c>
      <c r="D13" s="319" t="s">
        <v>314</v>
      </c>
      <c r="E13" s="320">
        <v>27280.25</v>
      </c>
      <c r="F13" s="320">
        <v>-17480.23</v>
      </c>
      <c r="G13" s="319" t="s">
        <v>315</v>
      </c>
      <c r="H13" s="321">
        <v>90.0</v>
      </c>
      <c r="I13" s="319"/>
      <c r="J13" s="319"/>
      <c r="K13" s="319"/>
      <c r="L13" s="5"/>
      <c r="M13" s="5"/>
      <c r="N13" s="5"/>
      <c r="O13" s="5"/>
      <c r="P13" s="5"/>
      <c r="Q13" s="5"/>
      <c r="R13" s="5"/>
      <c r="S13" s="5"/>
      <c r="T13" s="5"/>
      <c r="U13" s="5"/>
      <c r="V13" s="5"/>
      <c r="W13" s="5"/>
      <c r="X13" s="5"/>
      <c r="Y13" s="5"/>
      <c r="Z13" s="5"/>
      <c r="AA13" s="5"/>
      <c r="AB13" s="5"/>
    </row>
    <row r="14" ht="14.25" customHeight="1">
      <c r="A14" s="319" t="s">
        <v>316</v>
      </c>
      <c r="B14" s="319" t="s">
        <v>301</v>
      </c>
      <c r="C14" s="319" t="s">
        <v>272</v>
      </c>
      <c r="D14" s="319" t="s">
        <v>281</v>
      </c>
      <c r="E14" s="320">
        <v>44105.05</v>
      </c>
      <c r="F14" s="320">
        <v>-38250.0</v>
      </c>
      <c r="G14" s="319" t="s">
        <v>317</v>
      </c>
      <c r="H14" s="331">
        <v>88.0</v>
      </c>
      <c r="I14" s="319"/>
      <c r="J14" s="319"/>
      <c r="K14" s="319"/>
      <c r="L14" s="5"/>
      <c r="M14" s="5"/>
      <c r="N14" s="5"/>
      <c r="O14" s="5"/>
      <c r="P14" s="5"/>
      <c r="Q14" s="5"/>
      <c r="R14" s="5"/>
      <c r="S14" s="5"/>
      <c r="T14" s="5"/>
      <c r="U14" s="5"/>
      <c r="V14" s="5"/>
      <c r="W14" s="5"/>
      <c r="X14" s="5"/>
      <c r="Y14" s="5"/>
      <c r="Z14" s="5"/>
      <c r="AA14" s="5"/>
      <c r="AB14" s="5"/>
    </row>
    <row r="15" ht="14.25" customHeight="1">
      <c r="A15" s="319" t="s">
        <v>318</v>
      </c>
      <c r="B15" s="319" t="s">
        <v>271</v>
      </c>
      <c r="C15" s="319" t="s">
        <v>272</v>
      </c>
      <c r="D15" s="319" t="s">
        <v>281</v>
      </c>
      <c r="E15" s="320">
        <v>36415.13</v>
      </c>
      <c r="F15" s="320">
        <v>-26892.0</v>
      </c>
      <c r="G15" s="319" t="s">
        <v>319</v>
      </c>
      <c r="H15" s="331">
        <v>82.0</v>
      </c>
      <c r="I15" s="319"/>
      <c r="J15" s="319"/>
      <c r="K15" s="319"/>
      <c r="L15" s="5"/>
      <c r="M15" s="5"/>
      <c r="N15" s="5"/>
      <c r="O15" s="5"/>
      <c r="P15" s="5"/>
      <c r="Q15" s="5"/>
      <c r="R15" s="5"/>
      <c r="S15" s="5"/>
      <c r="T15" s="5"/>
      <c r="U15" s="5"/>
      <c r="V15" s="5"/>
      <c r="W15" s="5"/>
      <c r="X15" s="5"/>
      <c r="Y15" s="5"/>
      <c r="Z15" s="5"/>
      <c r="AA15" s="5"/>
      <c r="AB15" s="5"/>
    </row>
    <row r="16" ht="14.25" customHeight="1">
      <c r="A16" s="319" t="s">
        <v>320</v>
      </c>
      <c r="B16" s="319" t="s">
        <v>271</v>
      </c>
      <c r="C16" s="319" t="s">
        <v>272</v>
      </c>
      <c r="D16" s="319" t="s">
        <v>298</v>
      </c>
      <c r="E16" s="320">
        <v>27935.05</v>
      </c>
      <c r="F16" s="5"/>
      <c r="G16" s="319" t="s">
        <v>321</v>
      </c>
      <c r="H16" s="331">
        <v>76.0</v>
      </c>
      <c r="I16" s="319"/>
      <c r="J16" s="319"/>
      <c r="K16" s="319"/>
      <c r="L16" s="5"/>
      <c r="M16" s="5"/>
      <c r="N16" s="5"/>
      <c r="O16" s="5"/>
      <c r="P16" s="5"/>
      <c r="Q16" s="5"/>
      <c r="R16" s="5"/>
      <c r="S16" s="5"/>
      <c r="T16" s="5"/>
      <c r="U16" s="5"/>
      <c r="V16" s="5"/>
      <c r="W16" s="5"/>
      <c r="X16" s="5"/>
      <c r="Y16" s="5"/>
      <c r="Z16" s="5"/>
      <c r="AA16" s="5"/>
      <c r="AB16" s="5"/>
    </row>
    <row r="17" ht="14.25" customHeight="1">
      <c r="A17" s="319" t="s">
        <v>322</v>
      </c>
      <c r="B17" s="319" t="s">
        <v>323</v>
      </c>
      <c r="C17" s="319" t="s">
        <v>324</v>
      </c>
      <c r="D17" s="319" t="s">
        <v>325</v>
      </c>
      <c r="E17" s="320">
        <v>20050.0</v>
      </c>
      <c r="F17" s="5"/>
      <c r="G17" s="319" t="s">
        <v>326</v>
      </c>
      <c r="H17" s="331">
        <v>74.0</v>
      </c>
      <c r="I17" s="319"/>
      <c r="J17" s="319"/>
      <c r="K17" s="319"/>
      <c r="L17" s="5"/>
      <c r="M17" s="5"/>
      <c r="N17" s="5"/>
      <c r="O17" s="5"/>
      <c r="P17" s="5"/>
      <c r="Q17" s="5"/>
      <c r="R17" s="5"/>
      <c r="S17" s="5"/>
      <c r="T17" s="5"/>
      <c r="U17" s="5"/>
      <c r="V17" s="5"/>
      <c r="W17" s="5"/>
      <c r="X17" s="5"/>
      <c r="Y17" s="5"/>
      <c r="Z17" s="5"/>
      <c r="AA17" s="5"/>
      <c r="AB17" s="5"/>
    </row>
    <row r="18" ht="14.25" customHeight="1">
      <c r="A18" s="319" t="s">
        <v>327</v>
      </c>
      <c r="B18" s="319" t="s">
        <v>284</v>
      </c>
      <c r="C18" s="319" t="s">
        <v>272</v>
      </c>
      <c r="D18" s="319" t="s">
        <v>298</v>
      </c>
      <c r="E18" s="320">
        <v>20497.05</v>
      </c>
      <c r="F18" s="5"/>
      <c r="G18" s="319" t="s">
        <v>328</v>
      </c>
      <c r="H18" s="331">
        <v>72.0</v>
      </c>
      <c r="I18" s="319"/>
      <c r="J18" s="319"/>
      <c r="K18" s="319"/>
      <c r="L18" s="5"/>
      <c r="M18" s="5"/>
      <c r="N18" s="5"/>
      <c r="O18" s="5"/>
      <c r="P18" s="5"/>
      <c r="Q18" s="5"/>
      <c r="R18" s="5"/>
      <c r="S18" s="5"/>
      <c r="T18" s="5"/>
      <c r="U18" s="5"/>
      <c r="V18" s="5"/>
      <c r="W18" s="5"/>
      <c r="X18" s="5"/>
      <c r="Y18" s="5"/>
      <c r="Z18" s="5"/>
      <c r="AA18" s="5"/>
      <c r="AB18" s="5"/>
    </row>
    <row r="19" ht="14.25" customHeight="1">
      <c r="A19" s="319" t="s">
        <v>329</v>
      </c>
      <c r="B19" s="319" t="s">
        <v>271</v>
      </c>
      <c r="C19" s="319" t="s">
        <v>272</v>
      </c>
      <c r="D19" s="319" t="s">
        <v>298</v>
      </c>
      <c r="E19" s="320">
        <v>28075.78</v>
      </c>
      <c r="F19" s="320">
        <v>-23850.0</v>
      </c>
      <c r="G19" s="319" t="s">
        <v>330</v>
      </c>
      <c r="H19" s="331">
        <v>69.0</v>
      </c>
      <c r="I19" s="319"/>
      <c r="J19" s="319"/>
      <c r="K19" s="319"/>
      <c r="L19" s="5"/>
      <c r="M19" s="5"/>
      <c r="N19" s="5"/>
      <c r="O19" s="5"/>
      <c r="P19" s="5"/>
      <c r="Q19" s="5"/>
      <c r="R19" s="5"/>
      <c r="S19" s="5"/>
      <c r="T19" s="5"/>
      <c r="U19" s="5"/>
      <c r="V19" s="5"/>
      <c r="W19" s="5"/>
      <c r="X19" s="5"/>
      <c r="Y19" s="5"/>
      <c r="Z19" s="5"/>
      <c r="AA19" s="5"/>
      <c r="AB19" s="5"/>
    </row>
    <row r="20" ht="14.25" customHeight="1">
      <c r="A20" s="319" t="s">
        <v>331</v>
      </c>
      <c r="B20" s="319" t="s">
        <v>306</v>
      </c>
      <c r="C20" s="319" t="s">
        <v>272</v>
      </c>
      <c r="D20" s="319" t="s">
        <v>298</v>
      </c>
      <c r="E20" s="320">
        <v>26815.25</v>
      </c>
      <c r="F20" s="5"/>
      <c r="G20" s="319" t="s">
        <v>332</v>
      </c>
      <c r="H20" s="331">
        <v>69.0</v>
      </c>
      <c r="I20" s="319"/>
      <c r="J20" s="319"/>
      <c r="K20" s="319"/>
      <c r="L20" s="5"/>
      <c r="M20" s="5"/>
      <c r="N20" s="5"/>
      <c r="O20" s="5"/>
      <c r="P20" s="5"/>
      <c r="Q20" s="5"/>
      <c r="R20" s="5"/>
      <c r="S20" s="5"/>
      <c r="T20" s="5"/>
      <c r="U20" s="5"/>
      <c r="V20" s="5"/>
      <c r="W20" s="5"/>
      <c r="X20" s="5"/>
      <c r="Y20" s="5"/>
      <c r="Z20" s="5"/>
      <c r="AA20" s="5"/>
      <c r="AB20" s="5"/>
    </row>
    <row r="21" ht="14.25" customHeight="1">
      <c r="A21" s="319" t="s">
        <v>333</v>
      </c>
      <c r="B21" s="319" t="s">
        <v>280</v>
      </c>
      <c r="C21" s="319" t="s">
        <v>272</v>
      </c>
      <c r="D21" s="319" t="s">
        <v>298</v>
      </c>
      <c r="E21" s="320">
        <v>28447.25</v>
      </c>
      <c r="F21" s="320">
        <v>-24418.8</v>
      </c>
      <c r="G21" s="319" t="s">
        <v>334</v>
      </c>
      <c r="H21" s="331">
        <v>68.0</v>
      </c>
      <c r="I21" s="319"/>
      <c r="J21" s="319"/>
      <c r="K21" s="319"/>
      <c r="L21" s="5"/>
      <c r="M21" s="5"/>
      <c r="N21" s="5"/>
      <c r="O21" s="5"/>
      <c r="P21" s="5"/>
      <c r="Q21" s="5"/>
      <c r="R21" s="5"/>
      <c r="S21" s="5"/>
      <c r="T21" s="5"/>
      <c r="U21" s="5"/>
      <c r="V21" s="5"/>
      <c r="W21" s="5"/>
      <c r="X21" s="5"/>
      <c r="Y21" s="5"/>
      <c r="Z21" s="5"/>
      <c r="AA21" s="5"/>
      <c r="AB21" s="5"/>
    </row>
    <row r="22" ht="14.25" customHeight="1">
      <c r="A22" s="319" t="s">
        <v>335</v>
      </c>
      <c r="B22" s="319" t="s">
        <v>306</v>
      </c>
      <c r="C22" s="319" t="s">
        <v>272</v>
      </c>
      <c r="D22" s="319" t="s">
        <v>289</v>
      </c>
      <c r="E22" s="320">
        <v>29352.0</v>
      </c>
      <c r="F22" s="5"/>
      <c r="G22" s="319" t="s">
        <v>336</v>
      </c>
      <c r="H22" s="331">
        <v>66.0</v>
      </c>
      <c r="I22" s="319"/>
      <c r="J22" s="319"/>
      <c r="K22" s="319"/>
      <c r="L22" s="5"/>
      <c r="M22" s="5"/>
      <c r="N22" s="5"/>
      <c r="O22" s="5"/>
      <c r="P22" s="5"/>
      <c r="Q22" s="5"/>
      <c r="R22" s="5"/>
      <c r="S22" s="5"/>
      <c r="T22" s="5"/>
      <c r="U22" s="5"/>
      <c r="V22" s="5"/>
      <c r="W22" s="5"/>
      <c r="X22" s="5"/>
      <c r="Y22" s="5"/>
      <c r="Z22" s="5"/>
      <c r="AA22" s="5"/>
      <c r="AB22" s="5"/>
    </row>
    <row r="23" ht="14.25" customHeight="1">
      <c r="A23" s="319" t="s">
        <v>337</v>
      </c>
      <c r="B23" s="319" t="s">
        <v>284</v>
      </c>
      <c r="C23" s="319" t="s">
        <v>272</v>
      </c>
      <c r="D23" s="319" t="s">
        <v>338</v>
      </c>
      <c r="E23" s="320">
        <v>18787.5</v>
      </c>
      <c r="F23" s="5"/>
      <c r="G23" s="319" t="s">
        <v>339</v>
      </c>
      <c r="H23" s="331">
        <v>66.0</v>
      </c>
      <c r="I23" s="319"/>
      <c r="J23" s="319"/>
      <c r="K23" s="319"/>
      <c r="L23" s="5"/>
      <c r="M23" s="5"/>
      <c r="N23" s="5"/>
      <c r="O23" s="5"/>
      <c r="P23" s="5"/>
      <c r="Q23" s="5"/>
      <c r="R23" s="5"/>
      <c r="S23" s="5"/>
      <c r="T23" s="5"/>
      <c r="U23" s="5"/>
      <c r="V23" s="5"/>
      <c r="W23" s="5"/>
      <c r="X23" s="5"/>
      <c r="Y23" s="5"/>
      <c r="Z23" s="5"/>
      <c r="AA23" s="5"/>
      <c r="AB23" s="5"/>
    </row>
    <row r="24" ht="14.25" customHeight="1">
      <c r="A24" s="319" t="s">
        <v>340</v>
      </c>
      <c r="B24" s="319" t="s">
        <v>271</v>
      </c>
      <c r="C24" s="319" t="s">
        <v>272</v>
      </c>
      <c r="D24" s="319" t="s">
        <v>307</v>
      </c>
      <c r="E24" s="320">
        <v>18043.82</v>
      </c>
      <c r="F24" s="5"/>
      <c r="G24" s="319" t="s">
        <v>341</v>
      </c>
      <c r="H24" s="331">
        <v>65.0</v>
      </c>
      <c r="I24" s="319"/>
      <c r="J24" s="319"/>
      <c r="K24" s="319"/>
      <c r="L24" s="5"/>
      <c r="M24" s="5"/>
      <c r="N24" s="5"/>
      <c r="O24" s="5"/>
      <c r="P24" s="5"/>
      <c r="Q24" s="5"/>
      <c r="R24" s="5"/>
      <c r="S24" s="5"/>
      <c r="T24" s="5"/>
      <c r="U24" s="5"/>
      <c r="V24" s="5"/>
      <c r="W24" s="5"/>
      <c r="X24" s="5"/>
      <c r="Y24" s="5"/>
      <c r="Z24" s="5"/>
      <c r="AA24" s="5"/>
      <c r="AB24" s="5"/>
    </row>
    <row r="25" ht="14.25" customHeight="1">
      <c r="A25" s="319" t="s">
        <v>342</v>
      </c>
      <c r="B25" s="319" t="s">
        <v>280</v>
      </c>
      <c r="C25" s="319" t="s">
        <v>272</v>
      </c>
      <c r="D25" s="319" t="s">
        <v>289</v>
      </c>
      <c r="E25" s="320">
        <v>40209.65</v>
      </c>
      <c r="F25" s="5"/>
      <c r="G25" s="319" t="s">
        <v>343</v>
      </c>
      <c r="H25" s="331">
        <v>62.0</v>
      </c>
      <c r="I25" s="319"/>
      <c r="J25" s="319"/>
      <c r="K25" s="319"/>
      <c r="L25" s="5"/>
      <c r="M25" s="5"/>
      <c r="N25" s="5"/>
      <c r="O25" s="5"/>
      <c r="P25" s="5"/>
      <c r="Q25" s="5"/>
      <c r="R25" s="5"/>
      <c r="S25" s="5"/>
      <c r="T25" s="5"/>
      <c r="U25" s="5"/>
      <c r="V25" s="5"/>
      <c r="W25" s="5"/>
      <c r="X25" s="5"/>
      <c r="Y25" s="5"/>
      <c r="Z25" s="5"/>
      <c r="AA25" s="5"/>
      <c r="AB25" s="5"/>
    </row>
    <row r="26" ht="14.25" customHeight="1">
      <c r="A26" s="319" t="s">
        <v>344</v>
      </c>
      <c r="B26" s="319" t="s">
        <v>271</v>
      </c>
      <c r="C26" s="319" t="s">
        <v>272</v>
      </c>
      <c r="D26" s="319" t="s">
        <v>298</v>
      </c>
      <c r="E26" s="320">
        <v>30620.3</v>
      </c>
      <c r="F26" s="5"/>
      <c r="G26" s="319" t="s">
        <v>345</v>
      </c>
      <c r="H26" s="331">
        <v>62.0</v>
      </c>
      <c r="I26" s="319"/>
      <c r="J26" s="319"/>
      <c r="K26" s="319"/>
      <c r="L26" s="5"/>
      <c r="M26" s="5"/>
      <c r="N26" s="5"/>
      <c r="O26" s="5"/>
      <c r="P26" s="5"/>
      <c r="Q26" s="5"/>
      <c r="R26" s="5"/>
      <c r="S26" s="5"/>
      <c r="T26" s="5"/>
      <c r="U26" s="5"/>
      <c r="V26" s="5"/>
      <c r="W26" s="5"/>
      <c r="X26" s="5"/>
      <c r="Y26" s="5"/>
      <c r="Z26" s="5"/>
      <c r="AA26" s="5"/>
      <c r="AB26" s="5"/>
    </row>
    <row r="27" ht="14.25" customHeight="1">
      <c r="A27" s="319" t="s">
        <v>346</v>
      </c>
      <c r="B27" s="319" t="s">
        <v>271</v>
      </c>
      <c r="C27" s="319" t="s">
        <v>347</v>
      </c>
      <c r="D27" s="319" t="s">
        <v>348</v>
      </c>
      <c r="E27" s="320">
        <v>28211.38</v>
      </c>
      <c r="F27" s="5"/>
      <c r="G27" s="319" t="s">
        <v>349</v>
      </c>
      <c r="H27" s="331">
        <v>62.0</v>
      </c>
      <c r="I27" s="319"/>
      <c r="J27" s="319"/>
      <c r="K27" s="319"/>
      <c r="L27" s="5"/>
      <c r="M27" s="5"/>
      <c r="N27" s="5"/>
      <c r="O27" s="5"/>
      <c r="P27" s="5"/>
      <c r="Q27" s="5"/>
      <c r="R27" s="5"/>
      <c r="S27" s="5"/>
      <c r="T27" s="5"/>
      <c r="U27" s="5"/>
      <c r="V27" s="5"/>
      <c r="W27" s="5"/>
      <c r="X27" s="5"/>
      <c r="Y27" s="5"/>
      <c r="Z27" s="5"/>
      <c r="AA27" s="5"/>
      <c r="AB27" s="5"/>
    </row>
    <row r="28" ht="14.25" customHeight="1">
      <c r="A28" s="319" t="s">
        <v>350</v>
      </c>
      <c r="B28" s="319" t="s">
        <v>271</v>
      </c>
      <c r="C28" s="319" t="s">
        <v>351</v>
      </c>
      <c r="D28" s="319" t="s">
        <v>352</v>
      </c>
      <c r="E28" s="320">
        <v>23550.0</v>
      </c>
      <c r="F28" s="5"/>
      <c r="G28" s="319" t="s">
        <v>353</v>
      </c>
      <c r="H28" s="331">
        <v>61.0</v>
      </c>
      <c r="I28" s="319"/>
      <c r="J28" s="319"/>
      <c r="K28" s="319"/>
      <c r="L28" s="5"/>
      <c r="M28" s="5"/>
      <c r="N28" s="5"/>
      <c r="O28" s="5"/>
      <c r="P28" s="5"/>
      <c r="Q28" s="5"/>
      <c r="R28" s="5"/>
      <c r="S28" s="5"/>
      <c r="T28" s="5"/>
      <c r="U28" s="5"/>
      <c r="V28" s="5"/>
      <c r="W28" s="5"/>
      <c r="X28" s="5"/>
      <c r="Y28" s="5"/>
      <c r="Z28" s="5"/>
      <c r="AA28" s="5"/>
      <c r="AB28" s="5"/>
    </row>
    <row r="29" ht="14.25" customHeight="1">
      <c r="A29" s="319" t="s">
        <v>354</v>
      </c>
      <c r="B29" s="319" t="s">
        <v>301</v>
      </c>
      <c r="C29" s="319" t="s">
        <v>272</v>
      </c>
      <c r="D29" s="319" t="s">
        <v>298</v>
      </c>
      <c r="E29" s="320">
        <v>36524.6</v>
      </c>
      <c r="F29" s="5"/>
      <c r="G29" s="319" t="s">
        <v>355</v>
      </c>
      <c r="H29" s="331">
        <v>60.0</v>
      </c>
      <c r="I29" s="319"/>
      <c r="J29" s="319"/>
      <c r="K29" s="319"/>
      <c r="L29" s="5"/>
      <c r="M29" s="5"/>
      <c r="N29" s="5"/>
      <c r="O29" s="5"/>
      <c r="P29" s="5"/>
      <c r="Q29" s="5"/>
      <c r="R29" s="5"/>
      <c r="S29" s="5"/>
      <c r="T29" s="5"/>
      <c r="U29" s="5"/>
      <c r="V29" s="5"/>
      <c r="W29" s="5"/>
      <c r="X29" s="5"/>
      <c r="Y29" s="5"/>
      <c r="Z29" s="5"/>
      <c r="AA29" s="5"/>
      <c r="AB29" s="5"/>
    </row>
    <row r="30" ht="14.25" customHeight="1">
      <c r="A30" s="319" t="s">
        <v>356</v>
      </c>
      <c r="B30" s="319" t="s">
        <v>271</v>
      </c>
      <c r="C30" s="319" t="s">
        <v>272</v>
      </c>
      <c r="D30" s="319" t="s">
        <v>298</v>
      </c>
      <c r="E30" s="320">
        <v>24346.21</v>
      </c>
      <c r="F30" s="320">
        <v>-16047.88</v>
      </c>
      <c r="G30" s="319" t="s">
        <v>357</v>
      </c>
      <c r="H30" s="331">
        <v>60.0</v>
      </c>
      <c r="I30" s="319"/>
      <c r="J30" s="319"/>
      <c r="K30" s="319"/>
      <c r="L30" s="5"/>
      <c r="M30" s="5"/>
      <c r="N30" s="5"/>
      <c r="O30" s="5"/>
      <c r="P30" s="5"/>
      <c r="Q30" s="5"/>
      <c r="R30" s="5"/>
      <c r="S30" s="5"/>
      <c r="T30" s="5"/>
      <c r="U30" s="5"/>
      <c r="V30" s="5"/>
      <c r="W30" s="5"/>
      <c r="X30" s="5"/>
      <c r="Y30" s="5"/>
      <c r="Z30" s="5"/>
      <c r="AA30" s="5"/>
      <c r="AB30" s="5"/>
    </row>
    <row r="31" ht="14.25" customHeight="1">
      <c r="A31" s="319" t="s">
        <v>358</v>
      </c>
      <c r="B31" s="319" t="s">
        <v>306</v>
      </c>
      <c r="C31" s="319" t="s">
        <v>272</v>
      </c>
      <c r="D31" s="319" t="s">
        <v>338</v>
      </c>
      <c r="E31" s="320">
        <v>18530.25</v>
      </c>
      <c r="F31" s="5"/>
      <c r="G31" s="319" t="s">
        <v>359</v>
      </c>
      <c r="H31" s="331">
        <v>60.0</v>
      </c>
      <c r="I31" s="319"/>
      <c r="J31" s="319"/>
      <c r="K31" s="319"/>
      <c r="L31" s="5"/>
      <c r="M31" s="5"/>
      <c r="N31" s="5"/>
      <c r="O31" s="5"/>
      <c r="P31" s="5"/>
      <c r="Q31" s="5"/>
      <c r="R31" s="5"/>
      <c r="S31" s="5"/>
      <c r="T31" s="5"/>
      <c r="U31" s="5"/>
      <c r="V31" s="5"/>
      <c r="W31" s="5"/>
      <c r="X31" s="5"/>
      <c r="Y31" s="5"/>
      <c r="Z31" s="5"/>
      <c r="AA31" s="5"/>
      <c r="AB31" s="5"/>
    </row>
    <row r="32" ht="14.25" customHeight="1">
      <c r="A32" s="319" t="s">
        <v>360</v>
      </c>
      <c r="B32" s="319" t="s">
        <v>280</v>
      </c>
      <c r="C32" s="319" t="s">
        <v>272</v>
      </c>
      <c r="D32" s="319" t="s">
        <v>298</v>
      </c>
      <c r="E32" s="320">
        <v>29670.31</v>
      </c>
      <c r="F32" s="320">
        <v>-25505.1</v>
      </c>
      <c r="G32" s="319" t="s">
        <v>361</v>
      </c>
      <c r="H32" s="331">
        <v>59.0</v>
      </c>
      <c r="I32" s="319"/>
      <c r="J32" s="319"/>
      <c r="K32" s="319"/>
      <c r="L32" s="5"/>
      <c r="M32" s="5"/>
      <c r="N32" s="5"/>
      <c r="O32" s="5"/>
      <c r="P32" s="5"/>
      <c r="Q32" s="5"/>
      <c r="R32" s="5"/>
      <c r="S32" s="5"/>
      <c r="T32" s="5"/>
      <c r="U32" s="5"/>
      <c r="V32" s="5"/>
      <c r="W32" s="5"/>
      <c r="X32" s="5"/>
      <c r="Y32" s="5"/>
      <c r="Z32" s="5"/>
      <c r="AA32" s="5"/>
      <c r="AB32" s="5"/>
    </row>
    <row r="33" ht="14.25" customHeight="1">
      <c r="A33" s="319" t="s">
        <v>362</v>
      </c>
      <c r="B33" s="319" t="s">
        <v>271</v>
      </c>
      <c r="C33" s="319" t="s">
        <v>272</v>
      </c>
      <c r="D33" s="319" t="s">
        <v>307</v>
      </c>
      <c r="E33" s="320">
        <v>22965.2</v>
      </c>
      <c r="F33" s="5"/>
      <c r="G33" s="319" t="s">
        <v>363</v>
      </c>
      <c r="H33" s="331">
        <v>55.0</v>
      </c>
      <c r="I33" s="319"/>
      <c r="J33" s="319"/>
      <c r="K33" s="319"/>
      <c r="L33" s="332"/>
      <c r="M33" s="5"/>
      <c r="N33" s="5"/>
      <c r="O33" s="5"/>
      <c r="P33" s="5"/>
      <c r="Q33" s="5"/>
      <c r="R33" s="5"/>
      <c r="S33" s="5"/>
      <c r="T33" s="5"/>
      <c r="U33" s="5"/>
      <c r="V33" s="5"/>
      <c r="W33" s="5"/>
      <c r="X33" s="5"/>
      <c r="Y33" s="5"/>
      <c r="Z33" s="5"/>
      <c r="AA33" s="5"/>
      <c r="AB33" s="5"/>
    </row>
    <row r="34" ht="14.25" customHeight="1">
      <c r="A34" s="319" t="s">
        <v>364</v>
      </c>
      <c r="B34" s="319" t="s">
        <v>280</v>
      </c>
      <c r="C34" s="319" t="s">
        <v>272</v>
      </c>
      <c r="D34" s="319" t="s">
        <v>298</v>
      </c>
      <c r="E34" s="320">
        <v>31666.8</v>
      </c>
      <c r="F34" s="320">
        <v>-33046.59</v>
      </c>
      <c r="G34" s="319" t="s">
        <v>365</v>
      </c>
      <c r="H34" s="331">
        <v>54.0</v>
      </c>
      <c r="I34" s="319"/>
      <c r="J34" s="319"/>
      <c r="K34" s="319"/>
      <c r="L34" s="5"/>
      <c r="M34" s="5"/>
      <c r="N34" s="5"/>
      <c r="O34" s="5"/>
      <c r="P34" s="5"/>
      <c r="Q34" s="5"/>
      <c r="R34" s="5"/>
      <c r="S34" s="5"/>
      <c r="T34" s="5"/>
      <c r="U34" s="5"/>
      <c r="V34" s="5"/>
      <c r="W34" s="5"/>
      <c r="X34" s="5"/>
      <c r="Y34" s="5"/>
      <c r="Z34" s="5"/>
      <c r="AA34" s="5"/>
      <c r="AB34" s="5"/>
    </row>
    <row r="35" ht="14.25" customHeight="1">
      <c r="A35" s="319" t="s">
        <v>366</v>
      </c>
      <c r="B35" s="319" t="s">
        <v>306</v>
      </c>
      <c r="C35" s="319" t="s">
        <v>272</v>
      </c>
      <c r="D35" s="319" t="s">
        <v>298</v>
      </c>
      <c r="E35" s="320">
        <v>24846.26</v>
      </c>
      <c r="F35" s="5"/>
      <c r="G35" s="319" t="s">
        <v>367</v>
      </c>
      <c r="H35" s="331">
        <v>53.0</v>
      </c>
      <c r="I35" s="319"/>
      <c r="J35" s="319"/>
      <c r="K35" s="319"/>
      <c r="L35" s="5"/>
      <c r="M35" s="5"/>
      <c r="N35" s="5"/>
      <c r="O35" s="5"/>
      <c r="P35" s="5"/>
      <c r="Q35" s="5"/>
      <c r="R35" s="5"/>
      <c r="S35" s="5"/>
      <c r="T35" s="5"/>
      <c r="U35" s="5"/>
      <c r="V35" s="5"/>
      <c r="W35" s="5"/>
      <c r="X35" s="5"/>
      <c r="Y35" s="5"/>
      <c r="Z35" s="5"/>
      <c r="AA35" s="5"/>
      <c r="AB35" s="5"/>
    </row>
    <row r="36" ht="14.25" customHeight="1">
      <c r="A36" s="319" t="s">
        <v>368</v>
      </c>
      <c r="B36" s="319" t="s">
        <v>271</v>
      </c>
      <c r="C36" s="319" t="s">
        <v>272</v>
      </c>
      <c r="D36" s="319" t="s">
        <v>307</v>
      </c>
      <c r="E36" s="320">
        <v>19323.74</v>
      </c>
      <c r="F36" s="5"/>
      <c r="G36" s="319" t="s">
        <v>369</v>
      </c>
      <c r="H36" s="331">
        <v>51.0</v>
      </c>
      <c r="I36" s="319"/>
      <c r="J36" s="319"/>
      <c r="K36" s="319"/>
      <c r="L36" s="5"/>
      <c r="M36" s="5"/>
      <c r="N36" s="5"/>
      <c r="O36" s="5"/>
      <c r="P36" s="5"/>
      <c r="Q36" s="5"/>
      <c r="R36" s="5"/>
      <c r="S36" s="5"/>
      <c r="T36" s="5"/>
      <c r="U36" s="5"/>
      <c r="V36" s="5"/>
      <c r="W36" s="5"/>
      <c r="X36" s="5"/>
      <c r="Y36" s="5"/>
      <c r="Z36" s="5"/>
      <c r="AA36" s="5"/>
      <c r="AB36" s="5"/>
    </row>
    <row r="37" ht="14.25" customHeight="1">
      <c r="A37" s="319" t="s">
        <v>370</v>
      </c>
      <c r="B37" s="319" t="s">
        <v>306</v>
      </c>
      <c r="C37" s="319" t="s">
        <v>272</v>
      </c>
      <c r="D37" s="319" t="s">
        <v>338</v>
      </c>
      <c r="E37" s="320">
        <v>18294.75</v>
      </c>
      <c r="F37" s="5"/>
      <c r="G37" s="319" t="s">
        <v>371</v>
      </c>
      <c r="H37" s="331">
        <v>48.0</v>
      </c>
      <c r="I37" s="319"/>
      <c r="J37" s="319"/>
      <c r="K37" s="319"/>
      <c r="L37" s="5"/>
      <c r="M37" s="5"/>
      <c r="N37" s="5"/>
      <c r="O37" s="5"/>
      <c r="P37" s="5"/>
      <c r="Q37" s="5"/>
      <c r="R37" s="5"/>
      <c r="S37" s="5"/>
      <c r="T37" s="5"/>
      <c r="U37" s="5"/>
      <c r="V37" s="5"/>
      <c r="W37" s="5"/>
      <c r="X37" s="5"/>
      <c r="Y37" s="5"/>
      <c r="Z37" s="5"/>
      <c r="AA37" s="5"/>
      <c r="AB37" s="5"/>
    </row>
    <row r="38" ht="14.25" customHeight="1">
      <c r="A38" s="319" t="s">
        <v>372</v>
      </c>
      <c r="B38" s="319" t="s">
        <v>284</v>
      </c>
      <c r="C38" s="319" t="s">
        <v>272</v>
      </c>
      <c r="D38" s="319" t="s">
        <v>338</v>
      </c>
      <c r="E38" s="320">
        <v>16745.3</v>
      </c>
      <c r="F38" s="5"/>
      <c r="G38" s="319" t="s">
        <v>373</v>
      </c>
      <c r="H38" s="331">
        <v>48.0</v>
      </c>
      <c r="I38" s="319"/>
      <c r="J38" s="319"/>
      <c r="K38" s="319"/>
      <c r="L38" s="5"/>
      <c r="M38" s="5"/>
      <c r="N38" s="5"/>
      <c r="O38" s="5"/>
      <c r="P38" s="5"/>
      <c r="Q38" s="5"/>
      <c r="R38" s="5"/>
      <c r="S38" s="5"/>
      <c r="T38" s="5"/>
      <c r="U38" s="5"/>
      <c r="V38" s="5"/>
      <c r="W38" s="5"/>
      <c r="X38" s="5"/>
      <c r="Y38" s="5"/>
      <c r="Z38" s="5"/>
      <c r="AA38" s="5"/>
      <c r="AB38" s="5"/>
    </row>
    <row r="39" ht="14.25" customHeight="1">
      <c r="A39" s="319" t="s">
        <v>374</v>
      </c>
      <c r="B39" s="319" t="s">
        <v>301</v>
      </c>
      <c r="C39" s="319" t="s">
        <v>272</v>
      </c>
      <c r="D39" s="319" t="s">
        <v>289</v>
      </c>
      <c r="E39" s="320">
        <v>49927.29</v>
      </c>
      <c r="F39" s="5"/>
      <c r="G39" s="319" t="s">
        <v>375</v>
      </c>
      <c r="H39" s="331">
        <v>47.0</v>
      </c>
      <c r="I39" s="319"/>
      <c r="J39" s="319"/>
      <c r="K39" s="319"/>
      <c r="L39" s="5"/>
      <c r="M39" s="5"/>
      <c r="N39" s="5"/>
      <c r="O39" s="5"/>
      <c r="P39" s="5"/>
      <c r="Q39" s="5"/>
      <c r="R39" s="5"/>
      <c r="S39" s="5"/>
      <c r="T39" s="5"/>
      <c r="U39" s="5"/>
      <c r="V39" s="5"/>
      <c r="W39" s="5"/>
      <c r="X39" s="5"/>
      <c r="Y39" s="5"/>
      <c r="Z39" s="5"/>
      <c r="AA39" s="5"/>
      <c r="AB39" s="5"/>
    </row>
    <row r="40" ht="14.25" customHeight="1">
      <c r="A40" s="319" t="s">
        <v>376</v>
      </c>
      <c r="B40" s="319" t="s">
        <v>271</v>
      </c>
      <c r="C40" s="319" t="s">
        <v>272</v>
      </c>
      <c r="D40" s="319" t="s">
        <v>298</v>
      </c>
      <c r="E40" s="320">
        <v>24483.1</v>
      </c>
      <c r="F40" s="320">
        <v>-18876.0</v>
      </c>
      <c r="G40" s="319" t="s">
        <v>377</v>
      </c>
      <c r="H40" s="331">
        <v>47.0</v>
      </c>
      <c r="I40" s="319"/>
      <c r="J40" s="319"/>
      <c r="K40" s="319"/>
      <c r="L40" s="5"/>
      <c r="M40" s="5"/>
      <c r="N40" s="5"/>
      <c r="O40" s="5"/>
      <c r="P40" s="5"/>
      <c r="Q40" s="5"/>
      <c r="R40" s="5"/>
      <c r="S40" s="5"/>
      <c r="T40" s="5"/>
      <c r="U40" s="5"/>
      <c r="V40" s="5"/>
      <c r="W40" s="5"/>
      <c r="X40" s="5"/>
      <c r="Y40" s="5"/>
      <c r="Z40" s="5"/>
      <c r="AA40" s="5"/>
      <c r="AB40" s="5"/>
    </row>
    <row r="41" ht="14.25" customHeight="1">
      <c r="A41" s="319" t="s">
        <v>378</v>
      </c>
      <c r="B41" s="319" t="s">
        <v>306</v>
      </c>
      <c r="C41" s="319" t="s">
        <v>272</v>
      </c>
      <c r="D41" s="319" t="s">
        <v>338</v>
      </c>
      <c r="E41" s="320">
        <v>21779.6</v>
      </c>
      <c r="F41" s="5"/>
      <c r="G41" s="319" t="s">
        <v>379</v>
      </c>
      <c r="H41" s="331">
        <v>47.0</v>
      </c>
      <c r="I41" s="319"/>
      <c r="J41" s="319"/>
      <c r="K41" s="319"/>
      <c r="L41" s="5"/>
      <c r="M41" s="5"/>
      <c r="N41" s="5"/>
      <c r="O41" s="5"/>
      <c r="P41" s="5"/>
      <c r="Q41" s="5"/>
      <c r="R41" s="5"/>
      <c r="S41" s="5"/>
      <c r="T41" s="5"/>
      <c r="U41" s="5"/>
      <c r="V41" s="5"/>
      <c r="W41" s="5"/>
      <c r="X41" s="5"/>
      <c r="Y41" s="5"/>
      <c r="Z41" s="5"/>
      <c r="AA41" s="5"/>
      <c r="AB41" s="5"/>
    </row>
    <row r="42" ht="14.25" customHeight="1">
      <c r="A42" s="319" t="s">
        <v>380</v>
      </c>
      <c r="B42" s="319" t="s">
        <v>280</v>
      </c>
      <c r="C42" s="319" t="s">
        <v>272</v>
      </c>
      <c r="D42" s="319" t="s">
        <v>338</v>
      </c>
      <c r="E42" s="320">
        <v>21350.0</v>
      </c>
      <c r="F42" s="5"/>
      <c r="G42" s="319" t="s">
        <v>381</v>
      </c>
      <c r="H42" s="331">
        <v>45.0</v>
      </c>
      <c r="I42" s="319"/>
      <c r="J42" s="319"/>
      <c r="K42" s="319"/>
      <c r="L42" s="5"/>
      <c r="M42" s="5"/>
      <c r="N42" s="5"/>
      <c r="O42" s="5"/>
      <c r="P42" s="5"/>
      <c r="Q42" s="5"/>
      <c r="R42" s="5"/>
      <c r="S42" s="5"/>
      <c r="T42" s="5"/>
      <c r="U42" s="5"/>
      <c r="V42" s="5"/>
      <c r="W42" s="5"/>
      <c r="X42" s="5"/>
      <c r="Y42" s="5"/>
      <c r="Z42" s="5"/>
      <c r="AA42" s="5"/>
      <c r="AB42" s="5"/>
    </row>
    <row r="43" ht="14.25" customHeight="1">
      <c r="A43" s="319" t="s">
        <v>382</v>
      </c>
      <c r="B43" s="319" t="s">
        <v>306</v>
      </c>
      <c r="C43" s="319" t="s">
        <v>272</v>
      </c>
      <c r="D43" s="319" t="s">
        <v>307</v>
      </c>
      <c r="E43" s="320">
        <v>17488.18</v>
      </c>
      <c r="F43" s="5"/>
      <c r="G43" s="319" t="s">
        <v>383</v>
      </c>
      <c r="H43" s="331">
        <v>45.0</v>
      </c>
      <c r="I43" s="319"/>
      <c r="J43" s="319"/>
      <c r="K43" s="319"/>
      <c r="L43" s="5"/>
      <c r="M43" s="5"/>
      <c r="N43" s="5"/>
      <c r="O43" s="5"/>
      <c r="P43" s="5"/>
      <c r="Q43" s="5"/>
      <c r="R43" s="5"/>
      <c r="S43" s="5"/>
      <c r="T43" s="5"/>
      <c r="U43" s="5"/>
      <c r="V43" s="5"/>
      <c r="W43" s="5"/>
      <c r="X43" s="5"/>
      <c r="Y43" s="5"/>
      <c r="Z43" s="5"/>
      <c r="AA43" s="5"/>
      <c r="AB43" s="5"/>
    </row>
    <row r="44" ht="14.25" customHeight="1">
      <c r="A44" s="319" t="s">
        <v>384</v>
      </c>
      <c r="B44" s="319" t="s">
        <v>271</v>
      </c>
      <c r="C44" s="319" t="s">
        <v>272</v>
      </c>
      <c r="D44" s="319" t="s">
        <v>307</v>
      </c>
      <c r="E44" s="320">
        <v>18370.25</v>
      </c>
      <c r="F44" s="5"/>
      <c r="G44" s="319" t="s">
        <v>385</v>
      </c>
      <c r="H44" s="331">
        <v>44.0</v>
      </c>
      <c r="I44" s="319"/>
      <c r="J44" s="319"/>
      <c r="K44" s="319"/>
      <c r="L44" s="5"/>
      <c r="M44" s="5"/>
      <c r="N44" s="5"/>
      <c r="O44" s="5"/>
      <c r="P44" s="5"/>
      <c r="Q44" s="5"/>
      <c r="R44" s="5"/>
      <c r="S44" s="5"/>
      <c r="T44" s="5"/>
      <c r="U44" s="5"/>
      <c r="V44" s="5"/>
      <c r="W44" s="5"/>
      <c r="X44" s="5"/>
      <c r="Y44" s="5"/>
      <c r="Z44" s="5"/>
      <c r="AA44" s="5"/>
      <c r="AB44" s="5"/>
    </row>
    <row r="45" ht="14.25" customHeight="1">
      <c r="A45" s="319" t="s">
        <v>386</v>
      </c>
      <c r="B45" s="319" t="s">
        <v>284</v>
      </c>
      <c r="C45" s="319" t="s">
        <v>272</v>
      </c>
      <c r="D45" s="319" t="s">
        <v>298</v>
      </c>
      <c r="E45" s="320">
        <v>20165.3</v>
      </c>
      <c r="F45" s="5"/>
      <c r="G45" s="319" t="s">
        <v>387</v>
      </c>
      <c r="H45" s="331">
        <v>44.0</v>
      </c>
      <c r="I45" s="319"/>
      <c r="J45" s="319"/>
      <c r="K45" s="319"/>
      <c r="L45" s="5"/>
      <c r="M45" s="5"/>
      <c r="N45" s="5"/>
      <c r="O45" s="5"/>
      <c r="P45" s="5"/>
      <c r="Q45" s="5"/>
      <c r="R45" s="5"/>
      <c r="S45" s="5"/>
      <c r="T45" s="5"/>
      <c r="U45" s="5"/>
      <c r="V45" s="5"/>
      <c r="W45" s="5"/>
      <c r="X45" s="5"/>
      <c r="Y45" s="5"/>
      <c r="Z45" s="5"/>
      <c r="AA45" s="5"/>
      <c r="AB45" s="5"/>
    </row>
    <row r="46" ht="14.25" customHeight="1">
      <c r="A46" s="319" t="s">
        <v>388</v>
      </c>
      <c r="B46" s="319" t="s">
        <v>389</v>
      </c>
      <c r="C46" s="319" t="s">
        <v>347</v>
      </c>
      <c r="D46" s="319" t="s">
        <v>390</v>
      </c>
      <c r="E46" s="320">
        <v>15050.0</v>
      </c>
      <c r="F46" s="5"/>
      <c r="G46" s="319" t="s">
        <v>391</v>
      </c>
      <c r="H46" s="331">
        <v>44.0</v>
      </c>
      <c r="I46" s="319"/>
      <c r="J46" s="319"/>
      <c r="K46" s="319"/>
      <c r="L46" s="5"/>
      <c r="M46" s="5"/>
      <c r="N46" s="5"/>
      <c r="O46" s="5"/>
      <c r="P46" s="5"/>
      <c r="Q46" s="5"/>
      <c r="R46" s="5"/>
      <c r="S46" s="5"/>
      <c r="T46" s="5"/>
      <c r="U46" s="5"/>
      <c r="V46" s="5"/>
      <c r="W46" s="5"/>
      <c r="X46" s="5"/>
      <c r="Y46" s="5"/>
      <c r="Z46" s="5"/>
      <c r="AA46" s="5"/>
      <c r="AB46" s="5"/>
    </row>
    <row r="47" ht="14.25" customHeight="1">
      <c r="A47" s="319" t="s">
        <v>392</v>
      </c>
      <c r="B47" s="319" t="s">
        <v>271</v>
      </c>
      <c r="C47" s="319" t="s">
        <v>272</v>
      </c>
      <c r="D47" s="319" t="s">
        <v>307</v>
      </c>
      <c r="E47" s="320">
        <v>21360.2</v>
      </c>
      <c r="F47" s="5"/>
      <c r="G47" s="319" t="s">
        <v>393</v>
      </c>
      <c r="H47" s="331">
        <v>41.0</v>
      </c>
      <c r="I47" s="319"/>
      <c r="J47" s="319"/>
      <c r="K47" s="319"/>
      <c r="L47" s="5"/>
      <c r="M47" s="5"/>
      <c r="N47" s="5"/>
      <c r="O47" s="5"/>
      <c r="P47" s="5"/>
      <c r="Q47" s="5"/>
      <c r="R47" s="5"/>
      <c r="S47" s="5"/>
      <c r="T47" s="5"/>
      <c r="U47" s="5"/>
      <c r="V47" s="5"/>
      <c r="W47" s="5"/>
      <c r="X47" s="5"/>
      <c r="Y47" s="5"/>
      <c r="Z47" s="5"/>
      <c r="AA47" s="5"/>
      <c r="AB47" s="5"/>
    </row>
    <row r="48" ht="14.25" customHeight="1">
      <c r="A48" s="319" t="s">
        <v>394</v>
      </c>
      <c r="B48" s="319" t="s">
        <v>280</v>
      </c>
      <c r="C48" s="319" t="s">
        <v>272</v>
      </c>
      <c r="D48" s="319" t="s">
        <v>307</v>
      </c>
      <c r="E48" s="320">
        <v>25003.85</v>
      </c>
      <c r="F48" s="320">
        <v>-21330.0</v>
      </c>
      <c r="G48" s="319" t="s">
        <v>395</v>
      </c>
      <c r="H48" s="331">
        <v>40.0</v>
      </c>
      <c r="I48" s="319"/>
      <c r="J48" s="319"/>
      <c r="K48" s="319"/>
      <c r="L48" s="5"/>
      <c r="M48" s="5"/>
      <c r="N48" s="5"/>
      <c r="O48" s="5"/>
      <c r="P48" s="5"/>
      <c r="Q48" s="5"/>
      <c r="R48" s="5"/>
      <c r="S48" s="5"/>
      <c r="T48" s="5"/>
      <c r="U48" s="5"/>
      <c r="V48" s="5"/>
      <c r="W48" s="5"/>
      <c r="X48" s="5"/>
      <c r="Y48" s="5"/>
      <c r="Z48" s="5"/>
      <c r="AA48" s="5"/>
      <c r="AB48" s="5"/>
    </row>
    <row r="49" ht="14.25" customHeight="1">
      <c r="A49" s="319" t="s">
        <v>396</v>
      </c>
      <c r="B49" s="319" t="s">
        <v>271</v>
      </c>
      <c r="C49" s="319" t="s">
        <v>272</v>
      </c>
      <c r="D49" s="319" t="s">
        <v>298</v>
      </c>
      <c r="E49" s="320">
        <v>24894.97</v>
      </c>
      <c r="F49" s="5"/>
      <c r="G49" s="319" t="s">
        <v>397</v>
      </c>
      <c r="H49" s="331">
        <v>40.0</v>
      </c>
      <c r="I49" s="319"/>
      <c r="J49" s="319"/>
      <c r="K49" s="319"/>
      <c r="L49" s="5"/>
      <c r="M49" s="5"/>
      <c r="N49" s="5"/>
      <c r="O49" s="5"/>
      <c r="P49" s="5"/>
      <c r="Q49" s="5"/>
      <c r="R49" s="5"/>
      <c r="S49" s="5"/>
      <c r="T49" s="5"/>
      <c r="U49" s="5"/>
      <c r="V49" s="5"/>
      <c r="W49" s="5"/>
      <c r="X49" s="5"/>
      <c r="Y49" s="5"/>
      <c r="Z49" s="5"/>
      <c r="AA49" s="5"/>
      <c r="AB49" s="5"/>
    </row>
    <row r="50" ht="14.25" customHeight="1">
      <c r="A50" s="319" t="s">
        <v>398</v>
      </c>
      <c r="B50" s="319" t="s">
        <v>306</v>
      </c>
      <c r="C50" s="319" t="s">
        <v>272</v>
      </c>
      <c r="D50" s="319" t="s">
        <v>298</v>
      </c>
      <c r="E50" s="320">
        <v>27870.3</v>
      </c>
      <c r="F50" s="5"/>
      <c r="G50" s="319" t="s">
        <v>399</v>
      </c>
      <c r="H50" s="331">
        <v>40.0</v>
      </c>
      <c r="I50" s="319"/>
      <c r="J50" s="319"/>
      <c r="K50" s="319"/>
      <c r="L50" s="5"/>
      <c r="M50" s="5"/>
      <c r="N50" s="5"/>
      <c r="O50" s="5"/>
      <c r="P50" s="5"/>
      <c r="Q50" s="5"/>
      <c r="R50" s="5"/>
      <c r="S50" s="5"/>
      <c r="T50" s="5"/>
      <c r="U50" s="5"/>
      <c r="V50" s="5"/>
      <c r="W50" s="5"/>
      <c r="X50" s="5"/>
      <c r="Y50" s="5"/>
      <c r="Z50" s="5"/>
      <c r="AA50" s="5"/>
      <c r="AB50" s="5"/>
    </row>
    <row r="51" ht="14.25" customHeight="1">
      <c r="A51" s="319" t="s">
        <v>400</v>
      </c>
      <c r="B51" s="319" t="s">
        <v>280</v>
      </c>
      <c r="C51" s="319" t="s">
        <v>272</v>
      </c>
      <c r="D51" s="319" t="s">
        <v>307</v>
      </c>
      <c r="E51" s="320">
        <v>24530.4</v>
      </c>
      <c r="F51" s="5"/>
      <c r="G51" s="319" t="s">
        <v>401</v>
      </c>
      <c r="H51" s="331">
        <v>37.0</v>
      </c>
      <c r="I51" s="319"/>
      <c r="J51" s="319"/>
      <c r="K51" s="319"/>
      <c r="L51" s="5"/>
      <c r="M51" s="5"/>
      <c r="N51" s="5"/>
      <c r="O51" s="5"/>
      <c r="P51" s="5"/>
      <c r="Q51" s="5"/>
      <c r="R51" s="5"/>
      <c r="S51" s="5"/>
      <c r="T51" s="5"/>
      <c r="U51" s="5"/>
      <c r="V51" s="5"/>
      <c r="W51" s="5"/>
      <c r="X51" s="5"/>
      <c r="Y51" s="5"/>
      <c r="Z51" s="5"/>
      <c r="AA51" s="5"/>
      <c r="AB51" s="5"/>
    </row>
    <row r="52" ht="14.25" customHeight="1">
      <c r="A52" s="319" t="s">
        <v>402</v>
      </c>
      <c r="B52" s="319" t="s">
        <v>403</v>
      </c>
      <c r="C52" s="319" t="s">
        <v>272</v>
      </c>
      <c r="D52" s="319" t="s">
        <v>404</v>
      </c>
      <c r="E52" s="320">
        <v>4314.03</v>
      </c>
      <c r="F52" s="5"/>
      <c r="G52" s="319" t="s">
        <v>405</v>
      </c>
      <c r="H52" s="331">
        <v>37.0</v>
      </c>
      <c r="I52" s="319"/>
      <c r="J52" s="319"/>
      <c r="K52" s="319"/>
      <c r="L52" s="5"/>
      <c r="M52" s="5"/>
      <c r="N52" s="5"/>
      <c r="O52" s="5"/>
      <c r="P52" s="5"/>
      <c r="Q52" s="5"/>
      <c r="R52" s="5"/>
      <c r="S52" s="5"/>
      <c r="T52" s="5"/>
      <c r="U52" s="5"/>
      <c r="V52" s="5"/>
      <c r="W52" s="5"/>
      <c r="X52" s="5"/>
      <c r="Y52" s="5"/>
      <c r="Z52" s="5"/>
      <c r="AA52" s="5"/>
      <c r="AB52" s="5"/>
    </row>
    <row r="53" ht="14.25" customHeight="1">
      <c r="A53" s="319" t="s">
        <v>406</v>
      </c>
      <c r="B53" s="319" t="s">
        <v>280</v>
      </c>
      <c r="C53" s="319" t="s">
        <v>272</v>
      </c>
      <c r="D53" s="319" t="s">
        <v>307</v>
      </c>
      <c r="E53" s="320">
        <v>24447.5</v>
      </c>
      <c r="F53" s="5"/>
      <c r="G53" s="319" t="s">
        <v>407</v>
      </c>
      <c r="H53" s="331">
        <v>33.0</v>
      </c>
      <c r="I53" s="319"/>
      <c r="J53" s="319"/>
      <c r="K53" s="319"/>
      <c r="L53" s="5"/>
      <c r="M53" s="5"/>
      <c r="N53" s="5"/>
      <c r="O53" s="5"/>
      <c r="P53" s="5"/>
      <c r="Q53" s="5"/>
      <c r="R53" s="5"/>
      <c r="S53" s="5"/>
      <c r="T53" s="5"/>
      <c r="U53" s="5"/>
      <c r="V53" s="5"/>
      <c r="W53" s="5"/>
      <c r="X53" s="5"/>
      <c r="Y53" s="5"/>
      <c r="Z53" s="5"/>
      <c r="AA53" s="5"/>
      <c r="AB53" s="5"/>
    </row>
    <row r="54" ht="14.25" customHeight="1">
      <c r="A54" s="319" t="s">
        <v>408</v>
      </c>
      <c r="B54" s="319" t="s">
        <v>306</v>
      </c>
      <c r="C54" s="319" t="s">
        <v>272</v>
      </c>
      <c r="D54" s="319" t="s">
        <v>338</v>
      </c>
      <c r="E54" s="320">
        <v>20373.45</v>
      </c>
      <c r="F54" s="320">
        <v>-12553.38</v>
      </c>
      <c r="G54" s="319" t="s">
        <v>409</v>
      </c>
      <c r="H54" s="331">
        <v>33.0</v>
      </c>
      <c r="I54" s="319"/>
      <c r="J54" s="319"/>
      <c r="K54" s="319"/>
      <c r="L54" s="5"/>
      <c r="M54" s="5"/>
      <c r="N54" s="5"/>
      <c r="O54" s="5"/>
      <c r="P54" s="5"/>
      <c r="Q54" s="5"/>
      <c r="R54" s="5"/>
      <c r="S54" s="5"/>
      <c r="T54" s="5"/>
      <c r="U54" s="5"/>
      <c r="V54" s="5"/>
      <c r="W54" s="5"/>
      <c r="X54" s="5"/>
      <c r="Y54" s="5"/>
      <c r="Z54" s="5"/>
      <c r="AA54" s="5"/>
      <c r="AB54" s="5"/>
    </row>
    <row r="55" ht="14.25" customHeight="1">
      <c r="A55" s="319" t="s">
        <v>410</v>
      </c>
      <c r="B55" s="319" t="s">
        <v>280</v>
      </c>
      <c r="C55" s="319" t="s">
        <v>272</v>
      </c>
      <c r="D55" s="319" t="s">
        <v>314</v>
      </c>
      <c r="E55" s="320">
        <v>32388.2</v>
      </c>
      <c r="F55" s="5"/>
      <c r="G55" s="319" t="s">
        <v>411</v>
      </c>
      <c r="H55" s="331">
        <v>32.0</v>
      </c>
      <c r="I55" s="319"/>
      <c r="J55" s="319"/>
      <c r="K55" s="319"/>
      <c r="L55" s="5"/>
      <c r="M55" s="5"/>
      <c r="N55" s="5"/>
      <c r="O55" s="5"/>
      <c r="P55" s="5"/>
      <c r="Q55" s="5"/>
      <c r="R55" s="5"/>
      <c r="S55" s="5"/>
      <c r="T55" s="5"/>
      <c r="U55" s="5"/>
      <c r="V55" s="5"/>
      <c r="W55" s="5"/>
      <c r="X55" s="5"/>
      <c r="Y55" s="5"/>
      <c r="Z55" s="5"/>
      <c r="AA55" s="5"/>
      <c r="AB55" s="5"/>
    </row>
    <row r="56" ht="14.25" customHeight="1">
      <c r="A56" s="319" t="s">
        <v>412</v>
      </c>
      <c r="B56" s="319" t="s">
        <v>271</v>
      </c>
      <c r="C56" s="319" t="s">
        <v>272</v>
      </c>
      <c r="D56" s="319" t="s">
        <v>413</v>
      </c>
      <c r="E56" s="320">
        <v>23491.6</v>
      </c>
      <c r="F56" s="5"/>
      <c r="G56" s="319" t="s">
        <v>414</v>
      </c>
      <c r="H56" s="331">
        <v>32.0</v>
      </c>
      <c r="I56" s="319"/>
      <c r="J56" s="319"/>
      <c r="K56" s="319"/>
      <c r="L56" s="5"/>
      <c r="M56" s="5"/>
      <c r="N56" s="5"/>
      <c r="O56" s="5"/>
      <c r="P56" s="5"/>
      <c r="Q56" s="5"/>
      <c r="R56" s="5"/>
      <c r="S56" s="5"/>
      <c r="T56" s="5"/>
      <c r="U56" s="5"/>
      <c r="V56" s="5"/>
      <c r="W56" s="5"/>
      <c r="X56" s="5"/>
      <c r="Y56" s="5"/>
      <c r="Z56" s="5"/>
      <c r="AA56" s="5"/>
      <c r="AB56" s="5"/>
    </row>
    <row r="57" ht="14.25" customHeight="1">
      <c r="A57" s="319" t="s">
        <v>415</v>
      </c>
      <c r="B57" s="319" t="s">
        <v>280</v>
      </c>
      <c r="C57" s="319" t="s">
        <v>272</v>
      </c>
      <c r="D57" s="319" t="s">
        <v>298</v>
      </c>
      <c r="E57" s="320">
        <v>29343.25</v>
      </c>
      <c r="F57" s="5"/>
      <c r="G57" s="319" t="s">
        <v>416</v>
      </c>
      <c r="H57" s="331">
        <v>31.0</v>
      </c>
      <c r="I57" s="319"/>
      <c r="J57" s="319"/>
      <c r="K57" s="319"/>
      <c r="L57" s="5"/>
      <c r="M57" s="5"/>
      <c r="N57" s="5"/>
      <c r="O57" s="5"/>
      <c r="P57" s="5"/>
      <c r="Q57" s="5"/>
      <c r="R57" s="5"/>
      <c r="S57" s="5"/>
      <c r="T57" s="5"/>
      <c r="U57" s="5"/>
      <c r="V57" s="5"/>
      <c r="W57" s="5"/>
      <c r="X57" s="5"/>
      <c r="Y57" s="5"/>
      <c r="Z57" s="5"/>
      <c r="AA57" s="5"/>
      <c r="AB57" s="5"/>
    </row>
    <row r="58" ht="14.25" customHeight="1">
      <c r="A58" s="319" t="s">
        <v>417</v>
      </c>
      <c r="B58" s="319" t="s">
        <v>271</v>
      </c>
      <c r="C58" s="319" t="s">
        <v>272</v>
      </c>
      <c r="D58" s="319" t="s">
        <v>298</v>
      </c>
      <c r="E58" s="320">
        <v>29950.0</v>
      </c>
      <c r="F58" s="5"/>
      <c r="G58" s="319" t="s">
        <v>418</v>
      </c>
      <c r="H58" s="331">
        <v>31.0</v>
      </c>
      <c r="I58" s="319"/>
      <c r="J58" s="319"/>
      <c r="K58" s="319"/>
      <c r="L58" s="5"/>
      <c r="M58" s="5"/>
      <c r="N58" s="5"/>
      <c r="O58" s="5"/>
      <c r="P58" s="5"/>
      <c r="Q58" s="5"/>
      <c r="R58" s="5"/>
      <c r="S58" s="5"/>
      <c r="T58" s="5"/>
      <c r="U58" s="5"/>
      <c r="V58" s="5"/>
      <c r="W58" s="5"/>
      <c r="X58" s="5"/>
      <c r="Y58" s="5"/>
      <c r="Z58" s="5"/>
      <c r="AA58" s="5"/>
      <c r="AB58" s="5"/>
    </row>
    <row r="59" ht="14.25" customHeight="1">
      <c r="A59" s="319" t="s">
        <v>419</v>
      </c>
      <c r="B59" s="319" t="s">
        <v>306</v>
      </c>
      <c r="C59" s="319" t="s">
        <v>272</v>
      </c>
      <c r="D59" s="319" t="s">
        <v>298</v>
      </c>
      <c r="E59" s="320">
        <v>21448.99</v>
      </c>
      <c r="F59" s="320">
        <v>-18000.0</v>
      </c>
      <c r="G59" s="319" t="s">
        <v>420</v>
      </c>
      <c r="H59" s="331">
        <v>31.0</v>
      </c>
      <c r="I59" s="319"/>
      <c r="J59" s="319"/>
      <c r="K59" s="319"/>
      <c r="L59" s="5"/>
      <c r="M59" s="5"/>
      <c r="N59" s="5"/>
      <c r="O59" s="5"/>
      <c r="P59" s="5"/>
      <c r="Q59" s="5"/>
      <c r="R59" s="5"/>
      <c r="S59" s="5"/>
      <c r="T59" s="5"/>
      <c r="U59" s="5"/>
      <c r="V59" s="5"/>
      <c r="W59" s="5"/>
      <c r="X59" s="5"/>
      <c r="Y59" s="5"/>
      <c r="Z59" s="5"/>
      <c r="AA59" s="5"/>
      <c r="AB59" s="5"/>
    </row>
    <row r="60" ht="14.25" customHeight="1">
      <c r="A60" s="319" t="s">
        <v>421</v>
      </c>
      <c r="B60" s="319" t="s">
        <v>306</v>
      </c>
      <c r="C60" s="319" t="s">
        <v>272</v>
      </c>
      <c r="D60" s="319" t="s">
        <v>422</v>
      </c>
      <c r="E60" s="320">
        <v>23680.2</v>
      </c>
      <c r="F60" s="5"/>
      <c r="G60" s="319" t="s">
        <v>423</v>
      </c>
      <c r="H60" s="331">
        <v>31.0</v>
      </c>
      <c r="I60" s="319"/>
      <c r="J60" s="319"/>
      <c r="K60" s="319"/>
      <c r="L60" s="5"/>
      <c r="M60" s="5"/>
      <c r="N60" s="5"/>
      <c r="O60" s="5"/>
      <c r="P60" s="5"/>
      <c r="Q60" s="5"/>
      <c r="R60" s="5"/>
      <c r="S60" s="5"/>
      <c r="T60" s="5"/>
      <c r="U60" s="5"/>
      <c r="V60" s="5"/>
      <c r="W60" s="5"/>
      <c r="X60" s="5"/>
      <c r="Y60" s="5"/>
      <c r="Z60" s="5"/>
      <c r="AA60" s="5"/>
      <c r="AB60" s="5"/>
    </row>
    <row r="61" ht="14.25" customHeight="1">
      <c r="A61" s="319" t="s">
        <v>424</v>
      </c>
      <c r="B61" s="319" t="s">
        <v>306</v>
      </c>
      <c r="C61" s="319" t="s">
        <v>272</v>
      </c>
      <c r="D61" s="319" t="s">
        <v>338</v>
      </c>
      <c r="E61" s="320">
        <v>19433.85</v>
      </c>
      <c r="F61" s="5"/>
      <c r="G61" s="319" t="s">
        <v>425</v>
      </c>
      <c r="H61" s="331">
        <v>31.0</v>
      </c>
      <c r="I61" s="319"/>
      <c r="J61" s="319"/>
      <c r="K61" s="319"/>
      <c r="L61" s="5"/>
      <c r="M61" s="5"/>
      <c r="N61" s="5"/>
      <c r="O61" s="5"/>
      <c r="P61" s="5"/>
      <c r="Q61" s="5"/>
      <c r="R61" s="5"/>
      <c r="S61" s="5"/>
      <c r="T61" s="5"/>
      <c r="U61" s="5"/>
      <c r="V61" s="5"/>
      <c r="W61" s="5"/>
      <c r="X61" s="5"/>
      <c r="Y61" s="5"/>
      <c r="Z61" s="5"/>
      <c r="AA61" s="5"/>
      <c r="AB61" s="5"/>
    </row>
    <row r="62" ht="14.25" customHeight="1">
      <c r="A62" s="319" t="s">
        <v>426</v>
      </c>
      <c r="B62" s="319" t="s">
        <v>306</v>
      </c>
      <c r="C62" s="319" t="s">
        <v>351</v>
      </c>
      <c r="D62" s="319" t="s">
        <v>352</v>
      </c>
      <c r="E62" s="320">
        <v>17516.85</v>
      </c>
      <c r="F62" s="5"/>
      <c r="G62" s="319" t="s">
        <v>427</v>
      </c>
      <c r="H62" s="331">
        <v>31.0</v>
      </c>
      <c r="I62" s="319"/>
      <c r="J62" s="319"/>
      <c r="K62" s="319"/>
      <c r="L62" s="5"/>
      <c r="M62" s="5"/>
      <c r="N62" s="5"/>
      <c r="O62" s="5"/>
      <c r="P62" s="5"/>
      <c r="Q62" s="5"/>
      <c r="R62" s="5"/>
      <c r="S62" s="5"/>
      <c r="T62" s="5"/>
      <c r="U62" s="5"/>
      <c r="V62" s="5"/>
      <c r="W62" s="5"/>
      <c r="X62" s="5"/>
      <c r="Y62" s="5"/>
      <c r="Z62" s="5"/>
      <c r="AA62" s="5"/>
      <c r="AB62" s="5"/>
    </row>
    <row r="63" ht="14.25" customHeight="1">
      <c r="A63" s="319" t="s">
        <v>428</v>
      </c>
      <c r="B63" s="319" t="s">
        <v>280</v>
      </c>
      <c r="C63" s="319" t="s">
        <v>272</v>
      </c>
      <c r="D63" s="319" t="s">
        <v>298</v>
      </c>
      <c r="E63" s="320">
        <v>28418.09</v>
      </c>
      <c r="F63" s="5"/>
      <c r="G63" s="319" t="s">
        <v>429</v>
      </c>
      <c r="H63" s="331">
        <v>30.0</v>
      </c>
      <c r="I63" s="319"/>
      <c r="J63" s="319"/>
      <c r="K63" s="319"/>
      <c r="L63" s="5"/>
      <c r="M63" s="5"/>
      <c r="N63" s="5"/>
      <c r="O63" s="5"/>
      <c r="P63" s="5"/>
      <c r="Q63" s="5"/>
      <c r="R63" s="5"/>
      <c r="S63" s="5"/>
      <c r="T63" s="5"/>
      <c r="U63" s="5"/>
      <c r="V63" s="5"/>
      <c r="W63" s="5"/>
      <c r="X63" s="5"/>
      <c r="Y63" s="5"/>
      <c r="Z63" s="5"/>
      <c r="AA63" s="5"/>
      <c r="AB63" s="5"/>
    </row>
    <row r="64" ht="14.25" customHeight="1">
      <c r="A64" s="319" t="s">
        <v>430</v>
      </c>
      <c r="B64" s="319" t="s">
        <v>271</v>
      </c>
      <c r="C64" s="319" t="s">
        <v>272</v>
      </c>
      <c r="D64" s="319" t="s">
        <v>298</v>
      </c>
      <c r="E64" s="320">
        <v>26650.0</v>
      </c>
      <c r="F64" s="5"/>
      <c r="G64" s="319" t="s">
        <v>431</v>
      </c>
      <c r="H64" s="331">
        <v>30.0</v>
      </c>
      <c r="I64" s="319"/>
      <c r="J64" s="319"/>
      <c r="K64" s="319"/>
      <c r="L64" s="5"/>
      <c r="M64" s="5"/>
      <c r="N64" s="5"/>
      <c r="O64" s="5"/>
      <c r="P64" s="5"/>
      <c r="Q64" s="5"/>
      <c r="R64" s="5"/>
      <c r="S64" s="5"/>
      <c r="T64" s="5"/>
      <c r="U64" s="5"/>
      <c r="V64" s="5"/>
      <c r="W64" s="5"/>
      <c r="X64" s="5"/>
      <c r="Y64" s="5"/>
      <c r="Z64" s="5"/>
      <c r="AA64" s="5"/>
      <c r="AB64" s="5"/>
    </row>
    <row r="65" ht="14.25" customHeight="1">
      <c r="A65" s="319" t="s">
        <v>432</v>
      </c>
      <c r="B65" s="319" t="s">
        <v>306</v>
      </c>
      <c r="C65" s="319" t="s">
        <v>272</v>
      </c>
      <c r="D65" s="319" t="s">
        <v>298</v>
      </c>
      <c r="E65" s="320">
        <v>22943.2</v>
      </c>
      <c r="F65" s="320">
        <v>-14910.0</v>
      </c>
      <c r="G65" s="319" t="s">
        <v>433</v>
      </c>
      <c r="H65" s="331">
        <v>27.0</v>
      </c>
      <c r="I65" s="319"/>
      <c r="J65" s="319"/>
      <c r="K65" s="319"/>
      <c r="L65" s="5"/>
      <c r="M65" s="5"/>
      <c r="N65" s="5"/>
      <c r="O65" s="5"/>
      <c r="P65" s="5"/>
      <c r="Q65" s="5"/>
      <c r="R65" s="5"/>
      <c r="S65" s="5"/>
      <c r="T65" s="5"/>
      <c r="U65" s="5"/>
      <c r="V65" s="5"/>
      <c r="W65" s="5"/>
      <c r="X65" s="5"/>
      <c r="Y65" s="5"/>
      <c r="Z65" s="5"/>
      <c r="AA65" s="5"/>
      <c r="AB65" s="5"/>
    </row>
    <row r="66" ht="14.25" customHeight="1">
      <c r="A66" s="319" t="s">
        <v>434</v>
      </c>
      <c r="B66" s="319" t="s">
        <v>435</v>
      </c>
      <c r="C66" s="319" t="s">
        <v>272</v>
      </c>
      <c r="D66" s="319" t="s">
        <v>436</v>
      </c>
      <c r="E66" s="320">
        <v>56282.9</v>
      </c>
      <c r="F66" s="320">
        <v>-53444.44</v>
      </c>
      <c r="G66" s="319" t="s">
        <v>437</v>
      </c>
      <c r="H66" s="331">
        <v>26.0</v>
      </c>
      <c r="I66" s="319"/>
      <c r="J66" s="319"/>
      <c r="K66" s="319"/>
      <c r="L66" s="5"/>
      <c r="M66" s="5"/>
      <c r="N66" s="5"/>
      <c r="O66" s="5"/>
      <c r="P66" s="5"/>
      <c r="Q66" s="5"/>
      <c r="R66" s="5"/>
      <c r="S66" s="5"/>
      <c r="T66" s="5"/>
      <c r="U66" s="5"/>
      <c r="V66" s="5"/>
      <c r="W66" s="5"/>
      <c r="X66" s="5"/>
      <c r="Y66" s="5"/>
      <c r="Z66" s="5"/>
      <c r="AA66" s="5"/>
      <c r="AB66" s="5"/>
    </row>
    <row r="67" ht="14.25" customHeight="1">
      <c r="A67" s="319" t="s">
        <v>438</v>
      </c>
      <c r="B67" s="319" t="s">
        <v>439</v>
      </c>
      <c r="C67" s="319" t="s">
        <v>272</v>
      </c>
      <c r="D67" s="319" t="s">
        <v>298</v>
      </c>
      <c r="E67" s="320">
        <v>37343.25</v>
      </c>
      <c r="F67" s="320">
        <v>-31500.0</v>
      </c>
      <c r="G67" s="319" t="s">
        <v>440</v>
      </c>
      <c r="H67" s="331">
        <v>26.0</v>
      </c>
      <c r="I67" s="319"/>
      <c r="J67" s="319"/>
      <c r="K67" s="319"/>
      <c r="L67" s="5"/>
      <c r="M67" s="5"/>
      <c r="N67" s="5"/>
      <c r="O67" s="5"/>
      <c r="P67" s="5"/>
      <c r="Q67" s="5"/>
      <c r="R67" s="5"/>
      <c r="S67" s="5"/>
      <c r="T67" s="5"/>
      <c r="U67" s="5"/>
      <c r="V67" s="5"/>
      <c r="W67" s="5"/>
      <c r="X67" s="5"/>
      <c r="Y67" s="5"/>
      <c r="Z67" s="5"/>
      <c r="AA67" s="5"/>
      <c r="AB67" s="5"/>
    </row>
    <row r="68" ht="14.25" customHeight="1">
      <c r="A68" s="319" t="s">
        <v>441</v>
      </c>
      <c r="B68" s="319" t="s">
        <v>280</v>
      </c>
      <c r="C68" s="319" t="s">
        <v>272</v>
      </c>
      <c r="D68" s="319" t="s">
        <v>298</v>
      </c>
      <c r="E68" s="320">
        <v>27555.44</v>
      </c>
      <c r="F68" s="320">
        <v>-26142.19</v>
      </c>
      <c r="G68" s="319" t="s">
        <v>442</v>
      </c>
      <c r="H68" s="331">
        <v>26.0</v>
      </c>
      <c r="I68" s="319"/>
      <c r="J68" s="319"/>
      <c r="K68" s="319"/>
      <c r="L68" s="5"/>
      <c r="M68" s="5"/>
      <c r="N68" s="5"/>
      <c r="O68" s="5"/>
      <c r="P68" s="5"/>
      <c r="Q68" s="5"/>
      <c r="R68" s="5"/>
      <c r="S68" s="5"/>
      <c r="T68" s="5"/>
      <c r="U68" s="5"/>
      <c r="V68" s="5"/>
      <c r="W68" s="5"/>
      <c r="X68" s="5"/>
      <c r="Y68" s="5"/>
      <c r="Z68" s="5"/>
      <c r="AA68" s="5"/>
      <c r="AB68" s="5"/>
    </row>
    <row r="69" ht="14.25" customHeight="1">
      <c r="A69" s="319" t="s">
        <v>443</v>
      </c>
      <c r="B69" s="319" t="s">
        <v>306</v>
      </c>
      <c r="C69" s="319" t="s">
        <v>272</v>
      </c>
      <c r="D69" s="319" t="s">
        <v>307</v>
      </c>
      <c r="E69" s="320">
        <v>15050.0</v>
      </c>
      <c r="F69" s="5"/>
      <c r="G69" s="319" t="s">
        <v>444</v>
      </c>
      <c r="H69" s="331">
        <v>26.0</v>
      </c>
      <c r="I69" s="319"/>
      <c r="J69" s="319"/>
      <c r="K69" s="319"/>
      <c r="L69" s="5"/>
      <c r="M69" s="5"/>
      <c r="N69" s="5"/>
      <c r="O69" s="5"/>
      <c r="P69" s="5"/>
      <c r="Q69" s="5"/>
      <c r="R69" s="5"/>
      <c r="S69" s="5"/>
      <c r="T69" s="5"/>
      <c r="U69" s="5"/>
      <c r="V69" s="5"/>
      <c r="W69" s="5"/>
      <c r="X69" s="5"/>
      <c r="Y69" s="5"/>
      <c r="Z69" s="5"/>
      <c r="AA69" s="5"/>
      <c r="AB69" s="5"/>
    </row>
    <row r="70" ht="14.25" customHeight="1">
      <c r="A70" s="319" t="s">
        <v>445</v>
      </c>
      <c r="B70" s="319" t="s">
        <v>271</v>
      </c>
      <c r="C70" s="319" t="s">
        <v>272</v>
      </c>
      <c r="D70" s="319" t="s">
        <v>273</v>
      </c>
      <c r="E70" s="320">
        <v>24148.3</v>
      </c>
      <c r="F70" s="320">
        <v>-13011.0</v>
      </c>
      <c r="G70" s="319" t="s">
        <v>446</v>
      </c>
      <c r="H70" s="331">
        <v>25.0</v>
      </c>
      <c r="I70" s="319"/>
      <c r="J70" s="319"/>
      <c r="K70" s="319"/>
      <c r="L70" s="5"/>
      <c r="M70" s="5"/>
      <c r="N70" s="5"/>
      <c r="O70" s="5"/>
      <c r="P70" s="5"/>
      <c r="Q70" s="5"/>
      <c r="R70" s="5"/>
      <c r="S70" s="5"/>
      <c r="T70" s="5"/>
      <c r="U70" s="5"/>
      <c r="V70" s="5"/>
      <c r="W70" s="5"/>
      <c r="X70" s="5"/>
      <c r="Y70" s="5"/>
      <c r="Z70" s="5"/>
      <c r="AA70" s="5"/>
      <c r="AB70" s="5"/>
    </row>
    <row r="71" ht="14.25" customHeight="1">
      <c r="A71" s="319" t="s">
        <v>447</v>
      </c>
      <c r="B71" s="319" t="s">
        <v>323</v>
      </c>
      <c r="C71" s="319" t="s">
        <v>272</v>
      </c>
      <c r="D71" s="319" t="s">
        <v>298</v>
      </c>
      <c r="E71" s="320">
        <v>17323.25</v>
      </c>
      <c r="F71" s="320">
        <v>-14400.0</v>
      </c>
      <c r="G71" s="319" t="s">
        <v>448</v>
      </c>
      <c r="H71" s="331">
        <v>25.0</v>
      </c>
      <c r="I71" s="319"/>
      <c r="J71" s="319"/>
      <c r="K71" s="319"/>
      <c r="L71" s="5"/>
      <c r="M71" s="5"/>
      <c r="N71" s="5"/>
      <c r="O71" s="5"/>
      <c r="P71" s="5"/>
      <c r="Q71" s="5"/>
      <c r="R71" s="5"/>
      <c r="S71" s="5"/>
      <c r="T71" s="5"/>
      <c r="U71" s="5"/>
      <c r="V71" s="5"/>
      <c r="W71" s="5"/>
      <c r="X71" s="5"/>
      <c r="Y71" s="5"/>
      <c r="Z71" s="5"/>
      <c r="AA71" s="5"/>
      <c r="AB71" s="5"/>
    </row>
    <row r="72" ht="14.25" customHeight="1">
      <c r="A72" s="319" t="s">
        <v>449</v>
      </c>
      <c r="B72" s="319" t="s">
        <v>271</v>
      </c>
      <c r="C72" s="319" t="s">
        <v>272</v>
      </c>
      <c r="D72" s="319" t="s">
        <v>298</v>
      </c>
      <c r="E72" s="320">
        <v>24729.89</v>
      </c>
      <c r="F72" s="320">
        <v>-21121.07</v>
      </c>
      <c r="G72" s="319" t="s">
        <v>450</v>
      </c>
      <c r="H72" s="331">
        <v>24.0</v>
      </c>
      <c r="I72" s="319"/>
      <c r="J72" s="319"/>
      <c r="K72" s="319"/>
      <c r="L72" s="5"/>
      <c r="M72" s="5"/>
      <c r="N72" s="5"/>
      <c r="O72" s="5"/>
      <c r="P72" s="5"/>
      <c r="Q72" s="5"/>
      <c r="R72" s="5"/>
      <c r="S72" s="5"/>
      <c r="T72" s="5"/>
      <c r="U72" s="5"/>
      <c r="V72" s="5"/>
      <c r="W72" s="5"/>
      <c r="X72" s="5"/>
      <c r="Y72" s="5"/>
      <c r="Z72" s="5"/>
      <c r="AA72" s="5"/>
      <c r="AB72" s="5"/>
    </row>
    <row r="73" ht="14.25" customHeight="1">
      <c r="A73" s="319" t="s">
        <v>451</v>
      </c>
      <c r="B73" s="319" t="s">
        <v>439</v>
      </c>
      <c r="C73" s="319" t="s">
        <v>452</v>
      </c>
      <c r="D73" s="319" t="s">
        <v>453</v>
      </c>
      <c r="E73" s="320">
        <v>39801.28</v>
      </c>
      <c r="F73" s="5"/>
      <c r="G73" s="319" t="s">
        <v>454</v>
      </c>
      <c r="H73" s="331">
        <v>17.0</v>
      </c>
      <c r="I73" s="319"/>
      <c r="J73" s="319"/>
      <c r="K73" s="319"/>
      <c r="L73" s="5"/>
      <c r="M73" s="5"/>
      <c r="N73" s="5"/>
      <c r="O73" s="5"/>
      <c r="P73" s="5"/>
      <c r="Q73" s="5"/>
      <c r="R73" s="5"/>
      <c r="S73" s="5"/>
      <c r="T73" s="5"/>
      <c r="U73" s="5"/>
      <c r="V73" s="5"/>
      <c r="W73" s="5"/>
      <c r="X73" s="5"/>
      <c r="Y73" s="5"/>
      <c r="Z73" s="5"/>
      <c r="AA73" s="5"/>
      <c r="AB73" s="5"/>
    </row>
    <row r="74" ht="14.25" customHeight="1">
      <c r="A74" s="319" t="s">
        <v>455</v>
      </c>
      <c r="B74" s="319" t="s">
        <v>271</v>
      </c>
      <c r="C74" s="319" t="s">
        <v>272</v>
      </c>
      <c r="D74" s="319" t="s">
        <v>298</v>
      </c>
      <c r="E74" s="320">
        <v>27897.0</v>
      </c>
      <c r="F74" s="320">
        <v>-21259.15</v>
      </c>
      <c r="G74" s="319" t="s">
        <v>456</v>
      </c>
      <c r="H74" s="331">
        <v>17.0</v>
      </c>
      <c r="I74" s="319"/>
      <c r="J74" s="319"/>
      <c r="K74" s="319"/>
      <c r="L74" s="5"/>
      <c r="M74" s="5"/>
      <c r="N74" s="5"/>
      <c r="O74" s="5"/>
      <c r="P74" s="5"/>
      <c r="Q74" s="5"/>
      <c r="R74" s="5"/>
      <c r="S74" s="5"/>
      <c r="T74" s="5"/>
      <c r="U74" s="5"/>
      <c r="V74" s="5"/>
      <c r="W74" s="5"/>
      <c r="X74" s="5"/>
      <c r="Y74" s="5"/>
      <c r="Z74" s="5"/>
      <c r="AA74" s="5"/>
      <c r="AB74" s="5"/>
    </row>
    <row r="75" ht="14.25" customHeight="1">
      <c r="A75" s="319" t="s">
        <v>457</v>
      </c>
      <c r="B75" s="319" t="s">
        <v>280</v>
      </c>
      <c r="C75" s="319" t="s">
        <v>272</v>
      </c>
      <c r="D75" s="319" t="s">
        <v>298</v>
      </c>
      <c r="E75" s="320">
        <v>29849.7</v>
      </c>
      <c r="F75" s="320">
        <v>-25650.0</v>
      </c>
      <c r="G75" s="319" t="s">
        <v>458</v>
      </c>
      <c r="H75" s="331">
        <v>16.0</v>
      </c>
      <c r="I75" s="319"/>
      <c r="J75" s="319"/>
      <c r="K75" s="319"/>
      <c r="L75" s="5"/>
      <c r="M75" s="5"/>
      <c r="N75" s="5"/>
      <c r="O75" s="5"/>
      <c r="P75" s="5"/>
      <c r="Q75" s="5"/>
      <c r="R75" s="5"/>
      <c r="S75" s="5"/>
      <c r="T75" s="5"/>
      <c r="U75" s="5"/>
      <c r="V75" s="5"/>
      <c r="W75" s="5"/>
      <c r="X75" s="5"/>
      <c r="Y75" s="5"/>
      <c r="Z75" s="5"/>
      <c r="AA75" s="5"/>
      <c r="AB75" s="5"/>
    </row>
    <row r="76" ht="14.25" customHeight="1">
      <c r="A76" s="319" t="s">
        <v>459</v>
      </c>
      <c r="B76" s="319" t="s">
        <v>280</v>
      </c>
      <c r="C76" s="319" t="s">
        <v>272</v>
      </c>
      <c r="D76" s="319" t="s">
        <v>307</v>
      </c>
      <c r="E76" s="320">
        <v>22734.85</v>
      </c>
      <c r="F76" s="5"/>
      <c r="G76" s="319" t="s">
        <v>460</v>
      </c>
      <c r="H76" s="331">
        <v>16.0</v>
      </c>
      <c r="I76" s="319"/>
      <c r="J76" s="319"/>
      <c r="K76" s="319"/>
      <c r="L76" s="5"/>
      <c r="M76" s="5"/>
      <c r="N76" s="5"/>
      <c r="O76" s="5"/>
      <c r="P76" s="5"/>
      <c r="Q76" s="5"/>
      <c r="R76" s="5"/>
      <c r="S76" s="5"/>
      <c r="T76" s="5"/>
      <c r="U76" s="5"/>
      <c r="V76" s="5"/>
      <c r="W76" s="5"/>
      <c r="X76" s="5"/>
      <c r="Y76" s="5"/>
      <c r="Z76" s="5"/>
      <c r="AA76" s="5"/>
      <c r="AB76" s="5"/>
    </row>
    <row r="77" ht="14.25" customHeight="1">
      <c r="A77" s="319" t="s">
        <v>461</v>
      </c>
      <c r="B77" s="319" t="s">
        <v>271</v>
      </c>
      <c r="C77" s="319" t="s">
        <v>272</v>
      </c>
      <c r="D77" s="319" t="s">
        <v>298</v>
      </c>
      <c r="E77" s="320">
        <v>23937.85</v>
      </c>
      <c r="F77" s="5"/>
      <c r="G77" s="319" t="s">
        <v>462</v>
      </c>
      <c r="H77" s="331">
        <v>16.0</v>
      </c>
      <c r="I77" s="5"/>
      <c r="J77" s="5"/>
      <c r="K77" s="5"/>
      <c r="L77" s="5"/>
      <c r="M77" s="5"/>
      <c r="N77" s="5"/>
      <c r="O77" s="5"/>
      <c r="P77" s="5"/>
      <c r="Q77" s="5"/>
      <c r="R77" s="5"/>
      <c r="S77" s="5"/>
      <c r="T77" s="5"/>
      <c r="U77" s="5"/>
      <c r="V77" s="5"/>
      <c r="W77" s="5"/>
      <c r="X77" s="5"/>
      <c r="Y77" s="5"/>
      <c r="Z77" s="5"/>
      <c r="AA77" s="5"/>
      <c r="AB77" s="5"/>
    </row>
    <row r="78" ht="14.25" customHeight="1">
      <c r="A78" s="319" t="s">
        <v>463</v>
      </c>
      <c r="B78" s="319" t="s">
        <v>271</v>
      </c>
      <c r="C78" s="319" t="s">
        <v>464</v>
      </c>
      <c r="D78" s="319" t="s">
        <v>465</v>
      </c>
      <c r="E78" s="320">
        <v>37860.38</v>
      </c>
      <c r="F78" s="5"/>
      <c r="G78" s="319" t="s">
        <v>466</v>
      </c>
      <c r="H78" s="331">
        <v>16.0</v>
      </c>
      <c r="I78" s="5"/>
      <c r="J78" s="5"/>
      <c r="K78" s="5"/>
      <c r="L78" s="5"/>
      <c r="M78" s="5"/>
      <c r="N78" s="5"/>
      <c r="O78" s="5"/>
      <c r="P78" s="5"/>
      <c r="Q78" s="5"/>
      <c r="R78" s="5"/>
      <c r="S78" s="5"/>
      <c r="T78" s="5"/>
      <c r="U78" s="5"/>
      <c r="V78" s="5"/>
      <c r="W78" s="5"/>
      <c r="X78" s="5"/>
      <c r="Y78" s="5"/>
      <c r="Z78" s="5"/>
      <c r="AA78" s="5"/>
      <c r="AB78" s="5"/>
    </row>
    <row r="79" ht="14.25" customHeight="1">
      <c r="A79" s="319" t="s">
        <v>467</v>
      </c>
      <c r="B79" s="319" t="s">
        <v>306</v>
      </c>
      <c r="C79" s="319" t="s">
        <v>272</v>
      </c>
      <c r="D79" s="319" t="s">
        <v>338</v>
      </c>
      <c r="E79" s="320">
        <v>17250.0</v>
      </c>
      <c r="F79" s="320">
        <v>-10994.0</v>
      </c>
      <c r="G79" s="319" t="s">
        <v>468</v>
      </c>
      <c r="H79" s="331">
        <v>16.0</v>
      </c>
      <c r="I79" s="5"/>
      <c r="J79" s="5"/>
      <c r="K79" s="5"/>
      <c r="L79" s="5"/>
      <c r="M79" s="5"/>
      <c r="N79" s="5"/>
      <c r="O79" s="5"/>
      <c r="P79" s="5"/>
      <c r="Q79" s="5"/>
      <c r="R79" s="5"/>
      <c r="S79" s="5"/>
      <c r="T79" s="5"/>
      <c r="U79" s="5"/>
      <c r="V79" s="5"/>
      <c r="W79" s="5"/>
      <c r="X79" s="5"/>
      <c r="Y79" s="5"/>
      <c r="Z79" s="5"/>
      <c r="AA79" s="5"/>
      <c r="AB79" s="5"/>
    </row>
    <row r="80" ht="14.25" customHeight="1">
      <c r="A80" s="319" t="s">
        <v>469</v>
      </c>
      <c r="B80" s="319" t="s">
        <v>389</v>
      </c>
      <c r="C80" s="319" t="s">
        <v>272</v>
      </c>
      <c r="D80" s="319" t="s">
        <v>470</v>
      </c>
      <c r="E80" s="320">
        <v>9050.0</v>
      </c>
      <c r="F80" s="5"/>
      <c r="G80" s="319" t="s">
        <v>471</v>
      </c>
      <c r="H80" s="331">
        <v>13.0</v>
      </c>
      <c r="I80" s="5"/>
      <c r="J80" s="5"/>
      <c r="K80" s="5"/>
      <c r="L80" s="5"/>
      <c r="M80" s="5"/>
      <c r="N80" s="5"/>
      <c r="O80" s="5"/>
      <c r="P80" s="5"/>
      <c r="Q80" s="5"/>
      <c r="R80" s="5"/>
      <c r="S80" s="5"/>
      <c r="T80" s="5"/>
      <c r="U80" s="5"/>
      <c r="V80" s="5"/>
      <c r="W80" s="5"/>
      <c r="X80" s="5"/>
      <c r="Y80" s="5"/>
      <c r="Z80" s="5"/>
      <c r="AA80" s="5"/>
      <c r="AB80" s="5"/>
    </row>
    <row r="81" ht="14.25" customHeight="1">
      <c r="A81" s="319" t="s">
        <v>472</v>
      </c>
      <c r="B81" s="319" t="s">
        <v>292</v>
      </c>
      <c r="C81" s="319" t="s">
        <v>351</v>
      </c>
      <c r="D81" s="319" t="s">
        <v>473</v>
      </c>
      <c r="E81" s="320">
        <v>10550.0</v>
      </c>
      <c r="F81" s="5"/>
      <c r="G81" s="319" t="s">
        <v>474</v>
      </c>
      <c r="H81" s="331">
        <v>12.0</v>
      </c>
      <c r="I81" s="5"/>
      <c r="J81" s="5"/>
      <c r="K81" s="5"/>
      <c r="L81" s="5"/>
      <c r="M81" s="5"/>
      <c r="N81" s="5"/>
      <c r="O81" s="5"/>
      <c r="P81" s="5"/>
      <c r="Q81" s="5"/>
      <c r="R81" s="5"/>
      <c r="S81" s="5"/>
      <c r="T81" s="5"/>
      <c r="U81" s="5"/>
      <c r="V81" s="5"/>
      <c r="W81" s="5"/>
      <c r="X81" s="5"/>
      <c r="Y81" s="5"/>
      <c r="Z81" s="5"/>
      <c r="AA81" s="5"/>
      <c r="AB81" s="5"/>
    </row>
    <row r="82" ht="14.25" customHeight="1">
      <c r="A82" s="319" t="s">
        <v>475</v>
      </c>
      <c r="B82" s="319" t="s">
        <v>301</v>
      </c>
      <c r="C82" s="319" t="s">
        <v>272</v>
      </c>
      <c r="D82" s="319" t="s">
        <v>436</v>
      </c>
      <c r="E82" s="320">
        <v>48197.8</v>
      </c>
      <c r="F82" s="320">
        <v>-42300.0</v>
      </c>
      <c r="G82" s="319" t="s">
        <v>476</v>
      </c>
      <c r="H82" s="331">
        <v>11.0</v>
      </c>
      <c r="I82" s="5"/>
      <c r="J82" s="5"/>
      <c r="K82" s="5"/>
      <c r="L82" s="5"/>
      <c r="M82" s="5"/>
      <c r="N82" s="5"/>
      <c r="O82" s="5"/>
      <c r="P82" s="5"/>
      <c r="Q82" s="5"/>
      <c r="R82" s="5"/>
      <c r="S82" s="5"/>
      <c r="T82" s="5"/>
      <c r="U82" s="5"/>
      <c r="V82" s="5"/>
      <c r="W82" s="5"/>
      <c r="X82" s="5"/>
      <c r="Y82" s="5"/>
      <c r="Z82" s="5"/>
      <c r="AA82" s="5"/>
      <c r="AB82" s="5"/>
    </row>
    <row r="83" ht="14.25" customHeight="1">
      <c r="A83" s="319" t="s">
        <v>477</v>
      </c>
      <c r="B83" s="319" t="s">
        <v>306</v>
      </c>
      <c r="C83" s="319" t="s">
        <v>272</v>
      </c>
      <c r="D83" s="319" t="s">
        <v>307</v>
      </c>
      <c r="E83" s="320">
        <v>21402.85</v>
      </c>
      <c r="F83" s="5"/>
      <c r="G83" s="319" t="s">
        <v>478</v>
      </c>
      <c r="H83" s="331">
        <v>11.0</v>
      </c>
      <c r="I83" s="5"/>
      <c r="J83" s="5"/>
      <c r="K83" s="5"/>
      <c r="L83" s="5"/>
      <c r="M83" s="5"/>
      <c r="N83" s="5"/>
      <c r="O83" s="5"/>
      <c r="P83" s="5"/>
      <c r="Q83" s="5"/>
      <c r="R83" s="5"/>
      <c r="S83" s="5"/>
      <c r="T83" s="5"/>
      <c r="U83" s="5"/>
      <c r="V83" s="5"/>
      <c r="W83" s="5"/>
      <c r="X83" s="5"/>
      <c r="Y83" s="5"/>
      <c r="Z83" s="5"/>
      <c r="AA83" s="5"/>
      <c r="AB83" s="5"/>
    </row>
    <row r="84" ht="14.25" customHeight="1">
      <c r="A84" s="319" t="s">
        <v>479</v>
      </c>
      <c r="B84" s="319" t="s">
        <v>306</v>
      </c>
      <c r="C84" s="319" t="s">
        <v>272</v>
      </c>
      <c r="D84" s="319" t="s">
        <v>338</v>
      </c>
      <c r="E84" s="320">
        <v>18179.95</v>
      </c>
      <c r="F84" s="5"/>
      <c r="G84" s="319" t="s">
        <v>480</v>
      </c>
      <c r="H84" s="331">
        <v>11.0</v>
      </c>
      <c r="I84" s="5"/>
      <c r="J84" s="5"/>
      <c r="K84" s="5"/>
      <c r="L84" s="5"/>
      <c r="M84" s="5"/>
      <c r="N84" s="5"/>
      <c r="O84" s="5"/>
      <c r="P84" s="5"/>
      <c r="Q84" s="5"/>
      <c r="R84" s="5"/>
      <c r="S84" s="5"/>
      <c r="T84" s="5"/>
      <c r="U84" s="5"/>
      <c r="V84" s="5"/>
      <c r="W84" s="5"/>
      <c r="X84" s="5"/>
      <c r="Y84" s="5"/>
      <c r="Z84" s="5"/>
      <c r="AA84" s="5"/>
      <c r="AB84" s="5"/>
    </row>
    <row r="85" ht="14.25" customHeight="1">
      <c r="A85" s="319" t="s">
        <v>481</v>
      </c>
      <c r="B85" s="319" t="s">
        <v>482</v>
      </c>
      <c r="C85" s="319" t="s">
        <v>483</v>
      </c>
      <c r="D85" s="319" t="s">
        <v>484</v>
      </c>
      <c r="E85" s="320">
        <v>22550.0</v>
      </c>
      <c r="F85" s="5"/>
      <c r="G85" s="319" t="s">
        <v>485</v>
      </c>
      <c r="H85" s="331">
        <v>11.0</v>
      </c>
      <c r="I85" s="5"/>
      <c r="J85" s="5"/>
      <c r="K85" s="5"/>
      <c r="L85" s="5"/>
      <c r="M85" s="5"/>
      <c r="N85" s="5"/>
      <c r="O85" s="5"/>
      <c r="P85" s="5"/>
      <c r="Q85" s="5"/>
      <c r="R85" s="5"/>
      <c r="S85" s="5"/>
      <c r="T85" s="5"/>
      <c r="U85" s="5"/>
      <c r="V85" s="5"/>
      <c r="W85" s="5"/>
      <c r="X85" s="5"/>
      <c r="Y85" s="5"/>
      <c r="Z85" s="5"/>
      <c r="AA85" s="5"/>
      <c r="AB85" s="5"/>
    </row>
    <row r="86" ht="14.25" customHeight="1">
      <c r="A86" s="319" t="s">
        <v>486</v>
      </c>
      <c r="B86" s="319" t="s">
        <v>487</v>
      </c>
      <c r="C86" s="319" t="s">
        <v>488</v>
      </c>
      <c r="D86" s="319" t="s">
        <v>489</v>
      </c>
      <c r="E86" s="320">
        <v>5450.0</v>
      </c>
      <c r="F86" s="5"/>
      <c r="G86" s="319" t="s">
        <v>490</v>
      </c>
      <c r="H86" s="331">
        <v>11.0</v>
      </c>
      <c r="I86" s="5"/>
      <c r="J86" s="5"/>
      <c r="K86" s="5"/>
      <c r="L86" s="5"/>
      <c r="M86" s="5"/>
      <c r="N86" s="5"/>
      <c r="O86" s="5"/>
      <c r="P86" s="5"/>
      <c r="Q86" s="5"/>
      <c r="R86" s="5"/>
      <c r="S86" s="5"/>
      <c r="T86" s="5"/>
      <c r="U86" s="5"/>
      <c r="V86" s="5"/>
      <c r="W86" s="5"/>
      <c r="X86" s="5"/>
      <c r="Y86" s="5"/>
      <c r="Z86" s="5"/>
      <c r="AA86" s="5"/>
      <c r="AB86" s="5"/>
    </row>
    <row r="87" ht="14.25" customHeight="1">
      <c r="A87" s="319" t="s">
        <v>491</v>
      </c>
      <c r="B87" s="319" t="s">
        <v>306</v>
      </c>
      <c r="C87" s="319" t="s">
        <v>272</v>
      </c>
      <c r="D87" s="319" t="s">
        <v>298</v>
      </c>
      <c r="E87" s="320">
        <v>20650.0</v>
      </c>
      <c r="F87" s="5"/>
      <c r="G87" s="319" t="s">
        <v>492</v>
      </c>
      <c r="H87" s="331">
        <v>10.0</v>
      </c>
      <c r="I87" s="5"/>
      <c r="J87" s="5"/>
      <c r="K87" s="5"/>
      <c r="L87" s="5"/>
      <c r="M87" s="5"/>
      <c r="N87" s="5"/>
      <c r="O87" s="5"/>
      <c r="P87" s="5"/>
      <c r="Q87" s="5"/>
      <c r="R87" s="5"/>
      <c r="S87" s="5"/>
      <c r="T87" s="5"/>
      <c r="U87" s="5"/>
      <c r="V87" s="5"/>
      <c r="W87" s="5"/>
      <c r="X87" s="5"/>
      <c r="Y87" s="5"/>
      <c r="Z87" s="5"/>
      <c r="AA87" s="5"/>
      <c r="AB87" s="5"/>
    </row>
    <row r="88" ht="14.25" customHeight="1">
      <c r="A88" s="319" t="s">
        <v>493</v>
      </c>
      <c r="B88" s="319" t="s">
        <v>389</v>
      </c>
      <c r="C88" s="319" t="s">
        <v>272</v>
      </c>
      <c r="D88" s="319" t="s">
        <v>298</v>
      </c>
      <c r="E88" s="320">
        <v>8550.0</v>
      </c>
      <c r="F88" s="5"/>
      <c r="G88" s="319" t="s">
        <v>494</v>
      </c>
      <c r="H88" s="331">
        <v>10.0</v>
      </c>
      <c r="I88" s="5"/>
      <c r="J88" s="5"/>
      <c r="K88" s="5"/>
      <c r="L88" s="5"/>
      <c r="M88" s="5"/>
      <c r="N88" s="5"/>
      <c r="O88" s="5"/>
      <c r="P88" s="5"/>
      <c r="Q88" s="5"/>
      <c r="R88" s="5"/>
      <c r="S88" s="5"/>
      <c r="T88" s="5"/>
      <c r="U88" s="5"/>
      <c r="V88" s="5"/>
      <c r="W88" s="5"/>
      <c r="X88" s="5"/>
      <c r="Y88" s="5"/>
      <c r="Z88" s="5"/>
      <c r="AA88" s="5"/>
      <c r="AB88" s="5"/>
    </row>
    <row r="89" ht="14.25" customHeight="1">
      <c r="A89" s="319" t="s">
        <v>495</v>
      </c>
      <c r="B89" s="319" t="s">
        <v>271</v>
      </c>
      <c r="C89" s="319" t="s">
        <v>272</v>
      </c>
      <c r="D89" s="319" t="s">
        <v>298</v>
      </c>
      <c r="E89" s="320">
        <v>25550.0</v>
      </c>
      <c r="F89" s="5"/>
      <c r="G89" s="319" t="s">
        <v>496</v>
      </c>
      <c r="H89" s="331">
        <v>9.0</v>
      </c>
      <c r="I89" s="5"/>
      <c r="J89" s="5"/>
      <c r="K89" s="5"/>
      <c r="L89" s="5"/>
      <c r="M89" s="5"/>
      <c r="N89" s="5"/>
      <c r="O89" s="5"/>
      <c r="P89" s="5"/>
      <c r="Q89" s="5"/>
      <c r="R89" s="5"/>
      <c r="S89" s="5"/>
      <c r="T89" s="5"/>
      <c r="U89" s="5"/>
      <c r="V89" s="5"/>
      <c r="W89" s="5"/>
      <c r="X89" s="5"/>
      <c r="Y89" s="5"/>
      <c r="Z89" s="5"/>
      <c r="AA89" s="5"/>
      <c r="AB89" s="5"/>
    </row>
    <row r="90" ht="14.25" customHeight="1">
      <c r="A90" s="319" t="s">
        <v>497</v>
      </c>
      <c r="B90" s="319" t="s">
        <v>271</v>
      </c>
      <c r="C90" s="319" t="s">
        <v>498</v>
      </c>
      <c r="D90" s="319" t="s">
        <v>499</v>
      </c>
      <c r="E90" s="320">
        <v>28550.0</v>
      </c>
      <c r="F90" s="5"/>
      <c r="G90" s="319" t="s">
        <v>500</v>
      </c>
      <c r="H90" s="331">
        <v>9.0</v>
      </c>
      <c r="I90" s="5"/>
      <c r="J90" s="5"/>
      <c r="K90" s="5"/>
      <c r="L90" s="5"/>
      <c r="M90" s="5"/>
      <c r="N90" s="5"/>
      <c r="O90" s="5"/>
      <c r="P90" s="5"/>
      <c r="Q90" s="5"/>
      <c r="R90" s="5"/>
      <c r="S90" s="5"/>
      <c r="T90" s="5"/>
      <c r="U90" s="5"/>
      <c r="V90" s="5"/>
      <c r="W90" s="5"/>
      <c r="X90" s="5"/>
      <c r="Y90" s="5"/>
      <c r="Z90" s="5"/>
      <c r="AA90" s="5"/>
      <c r="AB90" s="5"/>
    </row>
    <row r="91" ht="14.25" customHeight="1">
      <c r="A91" s="319" t="s">
        <v>501</v>
      </c>
      <c r="B91" s="319" t="s">
        <v>306</v>
      </c>
      <c r="C91" s="319" t="s">
        <v>272</v>
      </c>
      <c r="D91" s="319" t="s">
        <v>338</v>
      </c>
      <c r="E91" s="320">
        <v>17050.0</v>
      </c>
      <c r="F91" s="5"/>
      <c r="G91" s="319" t="s">
        <v>502</v>
      </c>
      <c r="H91" s="331">
        <v>9.0</v>
      </c>
      <c r="I91" s="5"/>
      <c r="J91" s="5"/>
      <c r="K91" s="5"/>
      <c r="L91" s="5"/>
      <c r="M91" s="5"/>
      <c r="N91" s="5"/>
      <c r="O91" s="5"/>
      <c r="P91" s="5"/>
      <c r="Q91" s="5"/>
      <c r="R91" s="5"/>
      <c r="S91" s="5"/>
      <c r="T91" s="5"/>
      <c r="U91" s="5"/>
      <c r="V91" s="5"/>
      <c r="W91" s="5"/>
      <c r="X91" s="5"/>
      <c r="Y91" s="5"/>
      <c r="Z91" s="5"/>
      <c r="AA91" s="5"/>
      <c r="AB91" s="5"/>
    </row>
    <row r="92" ht="14.25" customHeight="1">
      <c r="A92" s="319" t="s">
        <v>503</v>
      </c>
      <c r="B92" s="319" t="s">
        <v>301</v>
      </c>
      <c r="C92" s="319" t="s">
        <v>272</v>
      </c>
      <c r="D92" s="319" t="s">
        <v>298</v>
      </c>
      <c r="E92" s="320">
        <v>31300.0</v>
      </c>
      <c r="F92" s="5"/>
      <c r="G92" s="319" t="s">
        <v>504</v>
      </c>
      <c r="H92" s="331">
        <v>8.0</v>
      </c>
      <c r="I92" s="5"/>
      <c r="J92" s="5"/>
      <c r="K92" s="5"/>
      <c r="L92" s="5"/>
      <c r="M92" s="5"/>
      <c r="N92" s="5"/>
      <c r="O92" s="5"/>
      <c r="P92" s="5"/>
      <c r="Q92" s="5"/>
      <c r="R92" s="5"/>
      <c r="S92" s="5"/>
      <c r="T92" s="5"/>
      <c r="U92" s="5"/>
      <c r="V92" s="5"/>
      <c r="W92" s="5"/>
      <c r="X92" s="5"/>
      <c r="Y92" s="5"/>
      <c r="Z92" s="5"/>
      <c r="AA92" s="5"/>
      <c r="AB92" s="5"/>
    </row>
    <row r="93" ht="14.25" customHeight="1">
      <c r="A93" s="319" t="s">
        <v>505</v>
      </c>
      <c r="B93" s="319" t="s">
        <v>439</v>
      </c>
      <c r="C93" s="319" t="s">
        <v>272</v>
      </c>
      <c r="D93" s="319" t="s">
        <v>289</v>
      </c>
      <c r="E93" s="320">
        <v>47388.75</v>
      </c>
      <c r="F93" s="5"/>
      <c r="G93" s="319" t="s">
        <v>506</v>
      </c>
      <c r="H93" s="331">
        <v>4.0</v>
      </c>
      <c r="I93" s="5"/>
      <c r="J93" s="5"/>
      <c r="K93" s="5"/>
      <c r="L93" s="5"/>
      <c r="M93" s="5"/>
      <c r="N93" s="5"/>
      <c r="O93" s="5"/>
      <c r="P93" s="5"/>
      <c r="Q93" s="5"/>
      <c r="R93" s="5"/>
      <c r="S93" s="5"/>
      <c r="T93" s="5"/>
      <c r="U93" s="5"/>
      <c r="V93" s="5"/>
      <c r="W93" s="5"/>
      <c r="X93" s="5"/>
      <c r="Y93" s="5"/>
      <c r="Z93" s="5"/>
      <c r="AA93" s="5"/>
      <c r="AB93" s="5"/>
    </row>
    <row r="94" ht="14.25" customHeight="1">
      <c r="A94" s="319" t="s">
        <v>507</v>
      </c>
      <c r="B94" s="319" t="s">
        <v>280</v>
      </c>
      <c r="C94" s="319" t="s">
        <v>272</v>
      </c>
      <c r="D94" s="319" t="s">
        <v>307</v>
      </c>
      <c r="E94" s="320">
        <v>24050.0</v>
      </c>
      <c r="F94" s="5"/>
      <c r="G94" s="319" t="s">
        <v>508</v>
      </c>
      <c r="H94" s="331">
        <v>4.0</v>
      </c>
      <c r="I94" s="5"/>
      <c r="J94" s="5"/>
      <c r="K94" s="5"/>
      <c r="L94" s="5"/>
      <c r="M94" s="5"/>
      <c r="N94" s="5"/>
      <c r="O94" s="5"/>
      <c r="P94" s="5"/>
      <c r="Q94" s="5"/>
      <c r="R94" s="5"/>
      <c r="S94" s="5"/>
      <c r="T94" s="5"/>
      <c r="U94" s="5"/>
      <c r="V94" s="5"/>
      <c r="W94" s="5"/>
      <c r="X94" s="5"/>
      <c r="Y94" s="5"/>
      <c r="Z94" s="5"/>
      <c r="AA94" s="5"/>
      <c r="AB94" s="5"/>
    </row>
    <row r="95" ht="14.25" customHeight="1">
      <c r="A95" s="319" t="s">
        <v>509</v>
      </c>
      <c r="B95" s="319" t="s">
        <v>271</v>
      </c>
      <c r="C95" s="319" t="s">
        <v>272</v>
      </c>
      <c r="D95" s="319" t="s">
        <v>298</v>
      </c>
      <c r="E95" s="320">
        <v>29837.9</v>
      </c>
      <c r="F95" s="5"/>
      <c r="G95" s="319" t="s">
        <v>510</v>
      </c>
      <c r="H95" s="331">
        <v>4.0</v>
      </c>
      <c r="I95" s="5"/>
      <c r="J95" s="5"/>
      <c r="K95" s="5"/>
      <c r="L95" s="5"/>
      <c r="M95" s="5"/>
      <c r="N95" s="5"/>
      <c r="O95" s="5"/>
      <c r="P95" s="5"/>
      <c r="Q95" s="5"/>
      <c r="R95" s="5"/>
      <c r="S95" s="5"/>
      <c r="T95" s="5"/>
      <c r="U95" s="5"/>
      <c r="V95" s="5"/>
      <c r="W95" s="5"/>
      <c r="X95" s="5"/>
      <c r="Y95" s="5"/>
      <c r="Z95" s="5"/>
      <c r="AA95" s="5"/>
      <c r="AB95" s="5"/>
    </row>
    <row r="96" ht="14.25" customHeight="1">
      <c r="A96" s="319" t="s">
        <v>511</v>
      </c>
      <c r="B96" s="319" t="s">
        <v>271</v>
      </c>
      <c r="C96" s="319" t="s">
        <v>272</v>
      </c>
      <c r="D96" s="319" t="s">
        <v>307</v>
      </c>
      <c r="E96" s="320">
        <v>18250.0</v>
      </c>
      <c r="F96" s="5"/>
      <c r="G96" s="319" t="s">
        <v>512</v>
      </c>
      <c r="H96" s="331">
        <v>4.0</v>
      </c>
      <c r="I96" s="5"/>
      <c r="J96" s="5"/>
      <c r="K96" s="5"/>
      <c r="L96" s="5"/>
      <c r="M96" s="5"/>
      <c r="N96" s="5"/>
      <c r="O96" s="5"/>
      <c r="P96" s="5"/>
      <c r="Q96" s="5"/>
      <c r="R96" s="5"/>
      <c r="S96" s="5"/>
      <c r="T96" s="5"/>
      <c r="U96" s="5"/>
      <c r="V96" s="5"/>
      <c r="W96" s="5"/>
      <c r="X96" s="5"/>
      <c r="Y96" s="5"/>
      <c r="Z96" s="5"/>
      <c r="AA96" s="5"/>
      <c r="AB96" s="5"/>
    </row>
    <row r="97" ht="14.25" customHeight="1">
      <c r="A97" s="319" t="s">
        <v>513</v>
      </c>
      <c r="B97" s="319" t="s">
        <v>280</v>
      </c>
      <c r="C97" s="319" t="s">
        <v>272</v>
      </c>
      <c r="D97" s="319" t="s">
        <v>298</v>
      </c>
      <c r="E97" s="320">
        <v>24300.0</v>
      </c>
      <c r="F97" s="5"/>
      <c r="G97" s="319" t="s">
        <v>514</v>
      </c>
      <c r="H97" s="331">
        <v>3.0</v>
      </c>
      <c r="I97" s="5"/>
      <c r="J97" s="5"/>
      <c r="K97" s="5"/>
      <c r="L97" s="5"/>
      <c r="M97" s="5"/>
      <c r="N97" s="5"/>
      <c r="O97" s="5"/>
      <c r="P97" s="5"/>
      <c r="Q97" s="5"/>
      <c r="R97" s="5"/>
      <c r="S97" s="5"/>
      <c r="T97" s="5"/>
      <c r="U97" s="5"/>
      <c r="V97" s="5"/>
      <c r="W97" s="5"/>
      <c r="X97" s="5"/>
      <c r="Y97" s="5"/>
      <c r="Z97" s="5"/>
      <c r="AA97" s="5"/>
      <c r="AB97" s="5"/>
    </row>
    <row r="98" ht="14.25" customHeight="1">
      <c r="A98" s="319" t="s">
        <v>515</v>
      </c>
      <c r="B98" s="319" t="s">
        <v>271</v>
      </c>
      <c r="C98" s="319" t="s">
        <v>272</v>
      </c>
      <c r="D98" s="319" t="s">
        <v>307</v>
      </c>
      <c r="E98" s="320">
        <v>16550.0</v>
      </c>
      <c r="F98" s="5"/>
      <c r="G98" s="319" t="s">
        <v>516</v>
      </c>
      <c r="H98" s="331">
        <v>3.0</v>
      </c>
      <c r="I98" s="5"/>
      <c r="J98" s="5"/>
      <c r="K98" s="5"/>
      <c r="L98" s="5"/>
      <c r="M98" s="5"/>
      <c r="N98" s="5"/>
      <c r="O98" s="5"/>
      <c r="P98" s="5"/>
      <c r="Q98" s="5"/>
      <c r="R98" s="5"/>
      <c r="S98" s="5"/>
      <c r="T98" s="5"/>
      <c r="U98" s="5"/>
      <c r="V98" s="5"/>
      <c r="W98" s="5"/>
      <c r="X98" s="5"/>
      <c r="Y98" s="5"/>
      <c r="Z98" s="5"/>
      <c r="AA98" s="5"/>
      <c r="AB98" s="5"/>
    </row>
    <row r="99" ht="14.25" customHeight="1">
      <c r="A99" s="319" t="s">
        <v>517</v>
      </c>
      <c r="B99" s="319" t="s">
        <v>271</v>
      </c>
      <c r="C99" s="319" t="s">
        <v>324</v>
      </c>
      <c r="D99" s="319" t="s">
        <v>518</v>
      </c>
      <c r="E99" s="320">
        <v>53050.0</v>
      </c>
      <c r="F99" s="5"/>
      <c r="G99" s="319" t="s">
        <v>519</v>
      </c>
      <c r="H99" s="331">
        <v>3.0</v>
      </c>
      <c r="I99" s="5"/>
      <c r="J99" s="5"/>
      <c r="K99" s="5"/>
      <c r="L99" s="5"/>
      <c r="M99" s="5"/>
      <c r="N99" s="5"/>
      <c r="O99" s="5"/>
      <c r="P99" s="5"/>
      <c r="Q99" s="5"/>
      <c r="R99" s="5"/>
      <c r="S99" s="5"/>
      <c r="T99" s="5"/>
      <c r="U99" s="5"/>
      <c r="V99" s="5"/>
      <c r="W99" s="5"/>
      <c r="X99" s="5"/>
      <c r="Y99" s="5"/>
      <c r="Z99" s="5"/>
      <c r="AA99" s="5"/>
      <c r="AB99" s="5"/>
    </row>
    <row r="100" ht="14.25" customHeight="1">
      <c r="A100" s="319" t="s">
        <v>520</v>
      </c>
      <c r="B100" s="319" t="s">
        <v>323</v>
      </c>
      <c r="C100" s="319" t="s">
        <v>521</v>
      </c>
      <c r="D100" s="319" t="s">
        <v>522</v>
      </c>
      <c r="E100" s="320">
        <v>10300.0</v>
      </c>
      <c r="F100" s="5"/>
      <c r="G100" s="319" t="s">
        <v>523</v>
      </c>
      <c r="H100" s="331">
        <v>3.0</v>
      </c>
      <c r="I100" s="5"/>
      <c r="J100" s="5"/>
      <c r="K100" s="5"/>
      <c r="L100" s="5"/>
      <c r="M100" s="5"/>
      <c r="N100" s="5"/>
      <c r="O100" s="5"/>
      <c r="P100" s="5"/>
      <c r="Q100" s="5"/>
      <c r="R100" s="5"/>
      <c r="S100" s="5"/>
      <c r="T100" s="5"/>
      <c r="U100" s="5"/>
      <c r="V100" s="5"/>
      <c r="W100" s="5"/>
      <c r="X100" s="5"/>
      <c r="Y100" s="5"/>
      <c r="Z100" s="5"/>
      <c r="AA100" s="5"/>
      <c r="AB100" s="5"/>
    </row>
    <row r="101" ht="14.25" customHeight="1">
      <c r="A101" s="319" t="s">
        <v>524</v>
      </c>
      <c r="B101" s="319" t="s">
        <v>525</v>
      </c>
      <c r="C101" s="319" t="s">
        <v>272</v>
      </c>
      <c r="D101" s="319" t="s">
        <v>413</v>
      </c>
      <c r="E101" s="320">
        <v>2550.0</v>
      </c>
      <c r="F101" s="5"/>
      <c r="G101" s="319" t="s">
        <v>526</v>
      </c>
      <c r="H101" s="331">
        <v>3.0</v>
      </c>
      <c r="I101" s="5"/>
      <c r="J101" s="5"/>
      <c r="K101" s="5"/>
      <c r="L101" s="5"/>
      <c r="M101" s="5"/>
      <c r="N101" s="5"/>
      <c r="O101" s="5"/>
      <c r="P101" s="5"/>
      <c r="Q101" s="5"/>
      <c r="R101" s="5"/>
      <c r="S101" s="5"/>
      <c r="T101" s="5"/>
      <c r="U101" s="5"/>
      <c r="V101" s="5"/>
      <c r="W101" s="5"/>
      <c r="X101" s="5"/>
      <c r="Y101" s="5"/>
      <c r="Z101" s="5"/>
      <c r="AA101" s="5"/>
      <c r="AB101" s="5"/>
    </row>
    <row r="102" ht="14.25" customHeight="1">
      <c r="A102" s="319" t="s">
        <v>527</v>
      </c>
      <c r="B102" s="319" t="s">
        <v>525</v>
      </c>
      <c r="C102" s="319" t="s">
        <v>528</v>
      </c>
      <c r="D102" s="319" t="s">
        <v>529</v>
      </c>
      <c r="E102" s="320">
        <v>2300.0</v>
      </c>
      <c r="F102" s="5"/>
      <c r="G102" s="319" t="s">
        <v>530</v>
      </c>
      <c r="H102" s="331">
        <v>3.0</v>
      </c>
      <c r="I102" s="5"/>
      <c r="J102" s="5"/>
      <c r="K102" s="5"/>
      <c r="L102" s="5"/>
      <c r="M102" s="5"/>
      <c r="N102" s="5"/>
      <c r="O102" s="5"/>
      <c r="P102" s="5"/>
      <c r="Q102" s="5"/>
      <c r="R102" s="5"/>
      <c r="S102" s="5"/>
      <c r="T102" s="5"/>
      <c r="U102" s="5"/>
      <c r="V102" s="5"/>
      <c r="W102" s="5"/>
      <c r="X102" s="5"/>
      <c r="Y102" s="5"/>
      <c r="Z102" s="5"/>
      <c r="AA102" s="5"/>
      <c r="AB102" s="5"/>
    </row>
    <row r="103" ht="14.25" customHeight="1">
      <c r="A103" s="319" t="s">
        <v>531</v>
      </c>
      <c r="B103" s="319" t="s">
        <v>439</v>
      </c>
      <c r="C103" s="319" t="s">
        <v>272</v>
      </c>
      <c r="D103" s="319" t="s">
        <v>298</v>
      </c>
      <c r="E103" s="320">
        <v>36050.0</v>
      </c>
      <c r="F103" s="5"/>
      <c r="G103" s="319" t="s">
        <v>532</v>
      </c>
      <c r="H103" s="331">
        <v>2.0</v>
      </c>
      <c r="I103" s="5"/>
      <c r="J103" s="5"/>
      <c r="K103" s="5"/>
      <c r="L103" s="5"/>
      <c r="M103" s="5"/>
      <c r="N103" s="5"/>
      <c r="O103" s="5"/>
      <c r="P103" s="5"/>
      <c r="Q103" s="5"/>
      <c r="R103" s="5"/>
      <c r="S103" s="5"/>
      <c r="T103" s="5"/>
      <c r="U103" s="5"/>
      <c r="V103" s="5"/>
      <c r="W103" s="5"/>
      <c r="X103" s="5"/>
      <c r="Y103" s="5"/>
      <c r="Z103" s="5"/>
      <c r="AA103" s="5"/>
      <c r="AB103" s="5"/>
    </row>
    <row r="104" ht="14.25" customHeight="1">
      <c r="A104" s="319" t="s">
        <v>533</v>
      </c>
      <c r="B104" s="319" t="s">
        <v>301</v>
      </c>
      <c r="C104" s="319" t="s">
        <v>272</v>
      </c>
      <c r="D104" s="319" t="s">
        <v>298</v>
      </c>
      <c r="E104" s="320">
        <v>33550.0</v>
      </c>
      <c r="F104" s="5"/>
      <c r="G104" s="319" t="s">
        <v>534</v>
      </c>
      <c r="H104" s="331">
        <v>2.0</v>
      </c>
      <c r="I104" s="5"/>
      <c r="J104" s="5"/>
      <c r="K104" s="5"/>
      <c r="L104" s="5"/>
      <c r="M104" s="5"/>
      <c r="N104" s="5"/>
      <c r="O104" s="5"/>
      <c r="P104" s="5"/>
      <c r="Q104" s="5"/>
      <c r="R104" s="5"/>
      <c r="S104" s="5"/>
      <c r="T104" s="5"/>
      <c r="U104" s="5"/>
      <c r="V104" s="5"/>
      <c r="W104" s="5"/>
      <c r="X104" s="5"/>
      <c r="Y104" s="5"/>
      <c r="Z104" s="5"/>
      <c r="AA104" s="5"/>
      <c r="AB104" s="5"/>
    </row>
    <row r="105" ht="14.25" customHeight="1">
      <c r="A105" s="319" t="s">
        <v>535</v>
      </c>
      <c r="B105" s="319" t="s">
        <v>301</v>
      </c>
      <c r="C105" s="319" t="s">
        <v>293</v>
      </c>
      <c r="D105" s="319" t="s">
        <v>536</v>
      </c>
      <c r="E105" s="320">
        <v>20750.0</v>
      </c>
      <c r="F105" s="5"/>
      <c r="G105" s="319" t="s">
        <v>537</v>
      </c>
      <c r="H105" s="331">
        <v>2.0</v>
      </c>
      <c r="I105" s="5"/>
      <c r="J105" s="5"/>
      <c r="K105" s="5"/>
      <c r="L105" s="5"/>
      <c r="M105" s="5"/>
      <c r="N105" s="5"/>
      <c r="O105" s="5"/>
      <c r="P105" s="5"/>
      <c r="Q105" s="5"/>
      <c r="R105" s="5"/>
      <c r="S105" s="5"/>
      <c r="T105" s="5"/>
      <c r="U105" s="5"/>
      <c r="V105" s="5"/>
      <c r="W105" s="5"/>
      <c r="X105" s="5"/>
      <c r="Y105" s="5"/>
      <c r="Z105" s="5"/>
      <c r="AA105" s="5"/>
      <c r="AB105" s="5"/>
    </row>
    <row r="106" ht="14.25" customHeight="1">
      <c r="A106" s="319" t="s">
        <v>538</v>
      </c>
      <c r="B106" s="319" t="s">
        <v>280</v>
      </c>
      <c r="C106" s="319" t="s">
        <v>272</v>
      </c>
      <c r="D106" s="319" t="s">
        <v>298</v>
      </c>
      <c r="E106" s="320">
        <v>26050.0</v>
      </c>
      <c r="F106" s="5"/>
      <c r="G106" s="319" t="s">
        <v>539</v>
      </c>
      <c r="H106" s="331">
        <v>2.0</v>
      </c>
      <c r="I106" s="5"/>
      <c r="J106" s="5"/>
      <c r="K106" s="5"/>
      <c r="L106" s="5"/>
      <c r="M106" s="5"/>
      <c r="N106" s="5"/>
      <c r="O106" s="5"/>
      <c r="P106" s="5"/>
      <c r="Q106" s="5"/>
      <c r="R106" s="5"/>
      <c r="S106" s="5"/>
      <c r="T106" s="5"/>
      <c r="U106" s="5"/>
      <c r="V106" s="5"/>
      <c r="W106" s="5"/>
      <c r="X106" s="5"/>
      <c r="Y106" s="5"/>
      <c r="Z106" s="5"/>
      <c r="AA106" s="5"/>
      <c r="AB106" s="5"/>
    </row>
    <row r="107" ht="14.25" customHeight="1">
      <c r="A107" s="319" t="s">
        <v>540</v>
      </c>
      <c r="B107" s="319" t="s">
        <v>280</v>
      </c>
      <c r="C107" s="319" t="s">
        <v>293</v>
      </c>
      <c r="D107" s="319" t="s">
        <v>294</v>
      </c>
      <c r="E107" s="320">
        <v>29050.0</v>
      </c>
      <c r="F107" s="5"/>
      <c r="G107" s="319" t="s">
        <v>541</v>
      </c>
      <c r="H107" s="331">
        <v>2.0</v>
      </c>
      <c r="I107" s="5"/>
      <c r="J107" s="5"/>
      <c r="K107" s="5"/>
      <c r="L107" s="5"/>
      <c r="M107" s="5"/>
      <c r="N107" s="5"/>
      <c r="O107" s="5"/>
      <c r="P107" s="5"/>
      <c r="Q107" s="5"/>
      <c r="R107" s="5"/>
      <c r="S107" s="5"/>
      <c r="T107" s="5"/>
      <c r="U107" s="5"/>
      <c r="V107" s="5"/>
      <c r="W107" s="5"/>
      <c r="X107" s="5"/>
      <c r="Y107" s="5"/>
      <c r="Z107" s="5"/>
      <c r="AA107" s="5"/>
      <c r="AB107" s="5"/>
    </row>
    <row r="108" ht="14.25" customHeight="1">
      <c r="A108" s="319" t="s">
        <v>542</v>
      </c>
      <c r="B108" s="319" t="s">
        <v>306</v>
      </c>
      <c r="C108" s="319" t="s">
        <v>310</v>
      </c>
      <c r="D108" s="319" t="s">
        <v>543</v>
      </c>
      <c r="E108" s="320">
        <v>35550.0</v>
      </c>
      <c r="F108" s="5"/>
      <c r="G108" s="319" t="s">
        <v>544</v>
      </c>
      <c r="H108" s="331">
        <v>2.0</v>
      </c>
      <c r="I108" s="5"/>
      <c r="J108" s="5"/>
      <c r="K108" s="5"/>
      <c r="L108" s="5"/>
      <c r="M108" s="5"/>
      <c r="N108" s="5"/>
      <c r="O108" s="5"/>
      <c r="P108" s="5"/>
      <c r="Q108" s="5"/>
      <c r="R108" s="5"/>
      <c r="S108" s="5"/>
      <c r="T108" s="5"/>
      <c r="U108" s="5"/>
      <c r="V108" s="5"/>
      <c r="W108" s="5"/>
      <c r="X108" s="5"/>
      <c r="Y108" s="5"/>
      <c r="Z108" s="5"/>
      <c r="AA108" s="5"/>
      <c r="AB108" s="5"/>
    </row>
    <row r="109" ht="14.25" customHeight="1">
      <c r="A109" s="319" t="s">
        <v>545</v>
      </c>
      <c r="B109" s="319" t="s">
        <v>389</v>
      </c>
      <c r="C109" s="319" t="s">
        <v>272</v>
      </c>
      <c r="D109" s="319" t="s">
        <v>470</v>
      </c>
      <c r="E109" s="320">
        <v>4050.0</v>
      </c>
      <c r="F109" s="5"/>
      <c r="G109" s="319" t="s">
        <v>546</v>
      </c>
      <c r="H109" s="331">
        <v>2.0</v>
      </c>
      <c r="I109" s="5"/>
      <c r="J109" s="5"/>
      <c r="K109" s="5"/>
      <c r="L109" s="5"/>
      <c r="M109" s="5"/>
      <c r="N109" s="5"/>
      <c r="O109" s="5"/>
      <c r="P109" s="5"/>
      <c r="Q109" s="5"/>
      <c r="R109" s="5"/>
      <c r="S109" s="5"/>
      <c r="T109" s="5"/>
      <c r="U109" s="5"/>
      <c r="V109" s="5"/>
      <c r="W109" s="5"/>
      <c r="X109" s="5"/>
      <c r="Y109" s="5"/>
      <c r="Z109" s="5"/>
      <c r="AA109" s="5"/>
      <c r="AB109" s="5"/>
    </row>
    <row r="110" ht="14.25" customHeight="1">
      <c r="A110" s="4"/>
      <c r="B110" s="4"/>
      <c r="C110" s="4"/>
      <c r="D110" s="4"/>
      <c r="E110" s="333"/>
      <c r="F110" s="333"/>
      <c r="G110" s="4"/>
      <c r="H110" s="4"/>
      <c r="I110" s="5"/>
      <c r="J110" s="5"/>
      <c r="K110" s="5"/>
      <c r="L110" s="5"/>
      <c r="M110" s="5"/>
      <c r="N110" s="5"/>
      <c r="O110" s="5"/>
      <c r="P110" s="5"/>
      <c r="Q110" s="5"/>
      <c r="R110" s="5"/>
      <c r="S110" s="5"/>
      <c r="T110" s="5"/>
      <c r="U110" s="5"/>
      <c r="V110" s="5"/>
      <c r="W110" s="5"/>
      <c r="X110" s="5"/>
      <c r="Y110" s="5"/>
      <c r="Z110" s="5"/>
      <c r="AA110" s="5"/>
      <c r="AB110" s="5"/>
    </row>
    <row r="111" ht="14.25" customHeight="1">
      <c r="A111" s="4"/>
      <c r="B111" s="4"/>
      <c r="C111" s="4"/>
      <c r="D111" s="4"/>
      <c r="E111" s="333"/>
      <c r="F111" s="333"/>
      <c r="G111" s="4"/>
      <c r="H111" s="4"/>
      <c r="I111" s="5"/>
      <c r="J111" s="5"/>
      <c r="K111" s="5"/>
      <c r="L111" s="5"/>
      <c r="M111" s="5"/>
      <c r="N111" s="5"/>
      <c r="O111" s="5"/>
      <c r="P111" s="5"/>
      <c r="Q111" s="5"/>
      <c r="R111" s="5"/>
      <c r="S111" s="5"/>
      <c r="T111" s="5"/>
      <c r="U111" s="5"/>
      <c r="V111" s="5"/>
      <c r="W111" s="5"/>
      <c r="X111" s="5"/>
      <c r="Y111" s="5"/>
      <c r="Z111" s="5"/>
      <c r="AA111" s="5"/>
      <c r="AB111" s="5"/>
    </row>
    <row r="112" ht="14.25" customHeight="1">
      <c r="A112" s="334" t="s">
        <v>547</v>
      </c>
      <c r="B112" s="334" t="s">
        <v>548</v>
      </c>
      <c r="C112" s="334" t="s">
        <v>272</v>
      </c>
      <c r="D112" s="334" t="s">
        <v>470</v>
      </c>
      <c r="E112" s="335">
        <v>9521.71</v>
      </c>
      <c r="F112" s="336"/>
      <c r="G112" s="334" t="s">
        <v>549</v>
      </c>
      <c r="H112" s="337">
        <v>554.0</v>
      </c>
      <c r="I112" s="5"/>
      <c r="J112" s="5"/>
      <c r="K112" s="5"/>
      <c r="L112" s="5"/>
      <c r="M112" s="5"/>
      <c r="N112" s="5"/>
      <c r="O112" s="5"/>
      <c r="P112" s="5"/>
      <c r="Q112" s="5"/>
      <c r="R112" s="5"/>
      <c r="S112" s="5"/>
      <c r="T112" s="5"/>
      <c r="U112" s="5"/>
      <c r="V112" s="5"/>
      <c r="W112" s="5"/>
      <c r="X112" s="5"/>
      <c r="Y112" s="5"/>
      <c r="Z112" s="5"/>
      <c r="AA112" s="5"/>
      <c r="AB112" s="5"/>
    </row>
    <row r="113" ht="14.25" customHeight="1">
      <c r="A113" s="334" t="s">
        <v>550</v>
      </c>
      <c r="B113" s="334" t="s">
        <v>306</v>
      </c>
      <c r="C113" s="334" t="s">
        <v>551</v>
      </c>
      <c r="D113" s="334" t="s">
        <v>552</v>
      </c>
      <c r="E113" s="335">
        <v>36739.79</v>
      </c>
      <c r="F113" s="336"/>
      <c r="G113" s="334" t="s">
        <v>553</v>
      </c>
      <c r="H113" s="337">
        <v>209.0</v>
      </c>
      <c r="I113" s="5"/>
      <c r="J113" s="5"/>
      <c r="K113" s="5"/>
      <c r="L113" s="5"/>
      <c r="M113" s="5"/>
      <c r="N113" s="5"/>
      <c r="O113" s="5"/>
      <c r="P113" s="5"/>
      <c r="Q113" s="5"/>
      <c r="R113" s="5"/>
      <c r="S113" s="5"/>
      <c r="T113" s="5"/>
      <c r="U113" s="5"/>
      <c r="V113" s="5"/>
      <c r="W113" s="5"/>
      <c r="X113" s="5"/>
      <c r="Y113" s="5"/>
      <c r="Z113" s="5"/>
      <c r="AA113" s="5"/>
      <c r="AB113" s="5"/>
    </row>
    <row r="114" ht="14.25" customHeight="1">
      <c r="A114" s="334" t="s">
        <v>554</v>
      </c>
      <c r="B114" s="334" t="s">
        <v>487</v>
      </c>
      <c r="C114" s="334" t="s">
        <v>272</v>
      </c>
      <c r="D114" s="334" t="s">
        <v>555</v>
      </c>
      <c r="E114" s="335">
        <v>11948.62</v>
      </c>
      <c r="F114" s="336"/>
      <c r="G114" s="334" t="s">
        <v>556</v>
      </c>
      <c r="H114" s="337">
        <v>94.0</v>
      </c>
      <c r="I114" s="5"/>
      <c r="J114" s="5"/>
      <c r="K114" s="5"/>
      <c r="L114" s="5"/>
      <c r="M114" s="5"/>
      <c r="N114" s="5"/>
      <c r="O114" s="5"/>
      <c r="P114" s="5"/>
      <c r="Q114" s="5"/>
      <c r="R114" s="5"/>
      <c r="S114" s="5"/>
      <c r="T114" s="5"/>
      <c r="U114" s="5"/>
      <c r="V114" s="5"/>
      <c r="W114" s="5"/>
      <c r="X114" s="5"/>
      <c r="Y114" s="5"/>
      <c r="Z114" s="5"/>
      <c r="AA114" s="5"/>
      <c r="AB114" s="5"/>
    </row>
    <row r="115" ht="14.25" customHeight="1">
      <c r="A115" s="4"/>
      <c r="B115" s="4"/>
      <c r="C115" s="4"/>
      <c r="D115" s="4"/>
      <c r="E115" s="333"/>
      <c r="F115" s="333"/>
      <c r="G115" s="4"/>
      <c r="H115" s="4"/>
      <c r="I115" s="5"/>
      <c r="J115" s="5"/>
      <c r="K115" s="5"/>
      <c r="L115" s="5"/>
      <c r="M115" s="5"/>
      <c r="N115" s="5"/>
      <c r="O115" s="5"/>
      <c r="P115" s="5"/>
      <c r="Q115" s="5"/>
      <c r="R115" s="5"/>
      <c r="S115" s="5"/>
      <c r="T115" s="5"/>
      <c r="U115" s="5"/>
      <c r="V115" s="5"/>
      <c r="W115" s="5"/>
      <c r="X115" s="5"/>
      <c r="Y115" s="5"/>
      <c r="Z115" s="5"/>
      <c r="AA115" s="5"/>
      <c r="AB115" s="5"/>
    </row>
    <row r="116" ht="14.25" customHeight="1">
      <c r="A116" s="4"/>
      <c r="B116" s="4"/>
      <c r="C116" s="4"/>
      <c r="D116" s="4"/>
      <c r="E116" s="333"/>
      <c r="F116" s="333"/>
      <c r="G116" s="4"/>
      <c r="H116" s="4"/>
      <c r="I116" s="5"/>
      <c r="J116" s="5"/>
      <c r="K116" s="5"/>
      <c r="L116" s="5"/>
      <c r="M116" s="5"/>
      <c r="N116" s="5"/>
      <c r="O116" s="5"/>
      <c r="P116" s="5"/>
      <c r="Q116" s="5"/>
      <c r="R116" s="5"/>
      <c r="S116" s="5"/>
      <c r="T116" s="5"/>
      <c r="U116" s="5"/>
      <c r="V116" s="5"/>
      <c r="W116" s="5"/>
      <c r="X116" s="5"/>
      <c r="Y116" s="5"/>
      <c r="Z116" s="5"/>
      <c r="AA116" s="5"/>
      <c r="AB116" s="5"/>
    </row>
    <row r="117" ht="14.25" customHeight="1">
      <c r="A117" s="4"/>
      <c r="B117" s="4"/>
      <c r="C117" s="4"/>
      <c r="D117" s="4"/>
      <c r="E117" s="333"/>
      <c r="F117" s="333"/>
      <c r="G117" s="4"/>
      <c r="H117" s="4"/>
      <c r="I117" s="5"/>
      <c r="J117" s="5"/>
      <c r="K117" s="5"/>
      <c r="L117" s="5"/>
      <c r="M117" s="5"/>
      <c r="N117" s="5"/>
      <c r="O117" s="5"/>
      <c r="P117" s="5"/>
      <c r="Q117" s="5"/>
      <c r="R117" s="5"/>
      <c r="S117" s="5"/>
      <c r="T117" s="5"/>
      <c r="U117" s="5"/>
      <c r="V117" s="5"/>
      <c r="W117" s="5"/>
      <c r="X117" s="5"/>
      <c r="Y117" s="5"/>
      <c r="Z117" s="5"/>
      <c r="AA117" s="5"/>
      <c r="AB117" s="5"/>
    </row>
    <row r="118" ht="14.25" customHeight="1">
      <c r="A118" s="4"/>
      <c r="B118" s="4"/>
      <c r="C118" s="4"/>
      <c r="D118" s="4"/>
      <c r="E118" s="333"/>
      <c r="F118" s="333"/>
      <c r="G118" s="4"/>
      <c r="H118" s="4"/>
      <c r="I118" s="5"/>
      <c r="J118" s="5"/>
      <c r="K118" s="5"/>
      <c r="L118" s="5"/>
      <c r="M118" s="5"/>
      <c r="N118" s="5"/>
      <c r="O118" s="5"/>
      <c r="P118" s="5"/>
      <c r="Q118" s="5"/>
      <c r="R118" s="5"/>
      <c r="S118" s="5"/>
      <c r="T118" s="5"/>
      <c r="U118" s="5"/>
      <c r="V118" s="5"/>
      <c r="W118" s="5"/>
      <c r="X118" s="5"/>
      <c r="Y118" s="5"/>
      <c r="Z118" s="5"/>
      <c r="AA118" s="5"/>
      <c r="AB118" s="5"/>
    </row>
    <row r="119" ht="14.25" customHeight="1">
      <c r="A119" s="4"/>
      <c r="B119" s="4"/>
      <c r="C119" s="4"/>
      <c r="D119" s="4"/>
      <c r="E119" s="333"/>
      <c r="F119" s="333"/>
      <c r="G119" s="4"/>
      <c r="H119" s="4"/>
      <c r="I119" s="5"/>
      <c r="J119" s="5"/>
      <c r="K119" s="5"/>
      <c r="L119" s="5"/>
      <c r="M119" s="5"/>
      <c r="N119" s="5"/>
      <c r="O119" s="5"/>
      <c r="P119" s="5"/>
      <c r="Q119" s="5"/>
      <c r="R119" s="5"/>
      <c r="S119" s="5"/>
      <c r="T119" s="5"/>
      <c r="U119" s="5"/>
      <c r="V119" s="5"/>
      <c r="W119" s="5"/>
      <c r="X119" s="5"/>
      <c r="Y119" s="5"/>
      <c r="Z119" s="5"/>
      <c r="AA119" s="5"/>
      <c r="AB119" s="5"/>
    </row>
    <row r="120" ht="14.25" customHeight="1">
      <c r="A120" s="4"/>
      <c r="B120" s="4"/>
      <c r="C120" s="4"/>
      <c r="D120" s="4"/>
      <c r="E120" s="333"/>
      <c r="F120" s="333"/>
      <c r="G120" s="4"/>
      <c r="H120" s="4"/>
      <c r="I120" s="5"/>
      <c r="J120" s="5"/>
      <c r="K120" s="5"/>
      <c r="L120" s="5"/>
      <c r="M120" s="5"/>
      <c r="N120" s="5"/>
      <c r="O120" s="5"/>
      <c r="P120" s="5"/>
      <c r="Q120" s="5"/>
      <c r="R120" s="5"/>
      <c r="S120" s="5"/>
      <c r="T120" s="5"/>
      <c r="U120" s="5"/>
      <c r="V120" s="5"/>
      <c r="W120" s="5"/>
      <c r="X120" s="5"/>
      <c r="Y120" s="5"/>
      <c r="Z120" s="5"/>
      <c r="AA120" s="5"/>
      <c r="AB120" s="5"/>
    </row>
    <row r="121" ht="14.25" customHeight="1">
      <c r="A121" s="4"/>
      <c r="B121" s="4"/>
      <c r="C121" s="4"/>
      <c r="D121" s="4"/>
      <c r="E121" s="333"/>
      <c r="F121" s="333"/>
      <c r="G121" s="4"/>
      <c r="H121" s="4"/>
      <c r="I121" s="5"/>
      <c r="J121" s="5"/>
      <c r="K121" s="5"/>
      <c r="L121" s="5"/>
      <c r="M121" s="5"/>
      <c r="N121" s="5"/>
      <c r="O121" s="5"/>
      <c r="P121" s="5"/>
      <c r="Q121" s="5"/>
      <c r="R121" s="5"/>
      <c r="S121" s="5"/>
      <c r="T121" s="5"/>
      <c r="U121" s="5"/>
      <c r="V121" s="5"/>
      <c r="W121" s="5"/>
      <c r="X121" s="5"/>
      <c r="Y121" s="5"/>
      <c r="Z121" s="5"/>
      <c r="AA121" s="5"/>
      <c r="AB121" s="5"/>
    </row>
    <row r="122" ht="14.25" customHeight="1">
      <c r="A122" s="4"/>
      <c r="B122" s="4"/>
      <c r="C122" s="4"/>
      <c r="D122" s="4"/>
      <c r="E122" s="333"/>
      <c r="F122" s="333"/>
      <c r="G122" s="4"/>
      <c r="H122" s="4"/>
      <c r="I122" s="5"/>
      <c r="J122" s="5"/>
      <c r="K122" s="5"/>
      <c r="L122" s="5"/>
      <c r="M122" s="5"/>
      <c r="N122" s="5"/>
      <c r="O122" s="5"/>
      <c r="P122" s="5"/>
      <c r="Q122" s="5"/>
      <c r="R122" s="5"/>
      <c r="S122" s="5"/>
      <c r="T122" s="5"/>
      <c r="U122" s="5"/>
      <c r="V122" s="5"/>
      <c r="W122" s="5"/>
      <c r="X122" s="5"/>
      <c r="Y122" s="5"/>
      <c r="Z122" s="5"/>
      <c r="AA122" s="5"/>
      <c r="AB122" s="5"/>
    </row>
    <row r="123" ht="14.25" customHeight="1">
      <c r="A123" s="4"/>
      <c r="B123" s="4"/>
      <c r="C123" s="4"/>
      <c r="D123" s="4"/>
      <c r="E123" s="333"/>
      <c r="F123" s="333"/>
      <c r="G123" s="4"/>
      <c r="H123" s="4"/>
      <c r="I123" s="5"/>
      <c r="J123" s="5"/>
      <c r="K123" s="5"/>
      <c r="L123" s="5"/>
      <c r="M123" s="5"/>
      <c r="N123" s="5"/>
      <c r="O123" s="5"/>
      <c r="P123" s="5"/>
      <c r="Q123" s="5"/>
      <c r="R123" s="5"/>
      <c r="S123" s="5"/>
      <c r="T123" s="5"/>
      <c r="U123" s="5"/>
      <c r="V123" s="5"/>
      <c r="W123" s="5"/>
      <c r="X123" s="5"/>
      <c r="Y123" s="5"/>
      <c r="Z123" s="5"/>
      <c r="AA123" s="5"/>
      <c r="AB123" s="5"/>
    </row>
    <row r="124" ht="14.25" customHeight="1">
      <c r="A124" s="4"/>
      <c r="B124" s="4"/>
      <c r="C124" s="4"/>
      <c r="D124" s="4"/>
      <c r="E124" s="333"/>
      <c r="F124" s="333"/>
      <c r="G124" s="4"/>
      <c r="H124" s="4"/>
      <c r="I124" s="5"/>
      <c r="J124" s="5"/>
      <c r="K124" s="5"/>
      <c r="L124" s="5"/>
      <c r="M124" s="5"/>
      <c r="N124" s="5"/>
      <c r="O124" s="5"/>
      <c r="P124" s="5"/>
      <c r="Q124" s="5"/>
      <c r="R124" s="5"/>
      <c r="S124" s="5"/>
      <c r="T124" s="5"/>
      <c r="U124" s="5"/>
      <c r="V124" s="5"/>
      <c r="W124" s="5"/>
      <c r="X124" s="5"/>
      <c r="Y124" s="5"/>
      <c r="Z124" s="5"/>
      <c r="AA124" s="5"/>
      <c r="AB124" s="5"/>
    </row>
    <row r="125" ht="14.25" customHeight="1">
      <c r="A125" s="4"/>
      <c r="B125" s="4"/>
      <c r="C125" s="4"/>
      <c r="D125" s="4"/>
      <c r="E125" s="333"/>
      <c r="F125" s="333"/>
      <c r="G125" s="4"/>
      <c r="H125" s="4"/>
      <c r="I125" s="5"/>
      <c r="J125" s="5"/>
      <c r="K125" s="5"/>
      <c r="L125" s="5"/>
      <c r="M125" s="5"/>
      <c r="N125" s="5"/>
      <c r="O125" s="5"/>
      <c r="P125" s="5"/>
      <c r="Q125" s="5"/>
      <c r="R125" s="5"/>
      <c r="S125" s="5"/>
      <c r="T125" s="5"/>
      <c r="U125" s="5"/>
      <c r="V125" s="5"/>
      <c r="W125" s="5"/>
      <c r="X125" s="5"/>
      <c r="Y125" s="5"/>
      <c r="Z125" s="5"/>
      <c r="AA125" s="5"/>
      <c r="AB125" s="5"/>
    </row>
    <row r="126" ht="14.25" customHeight="1">
      <c r="A126" s="4"/>
      <c r="B126" s="4"/>
      <c r="C126" s="4"/>
      <c r="D126" s="4"/>
      <c r="E126" s="333"/>
      <c r="F126" s="333"/>
      <c r="G126" s="4"/>
      <c r="H126" s="4"/>
      <c r="I126" s="5"/>
      <c r="J126" s="5"/>
      <c r="K126" s="5"/>
      <c r="L126" s="5"/>
      <c r="M126" s="5"/>
      <c r="N126" s="5"/>
      <c r="O126" s="5"/>
      <c r="P126" s="5"/>
      <c r="Q126" s="5"/>
      <c r="R126" s="5"/>
      <c r="S126" s="5"/>
      <c r="T126" s="5"/>
      <c r="U126" s="5"/>
      <c r="V126" s="5"/>
      <c r="W126" s="5"/>
      <c r="X126" s="5"/>
      <c r="Y126" s="5"/>
      <c r="Z126" s="5"/>
      <c r="AA126" s="5"/>
      <c r="AB126" s="5"/>
    </row>
    <row r="127" ht="14.25" customHeight="1">
      <c r="A127" s="4"/>
      <c r="B127" s="4"/>
      <c r="C127" s="4"/>
      <c r="D127" s="4"/>
      <c r="E127" s="333"/>
      <c r="F127" s="333"/>
      <c r="G127" s="4"/>
      <c r="H127" s="4"/>
      <c r="I127" s="5"/>
      <c r="J127" s="5"/>
      <c r="K127" s="5"/>
      <c r="L127" s="5"/>
      <c r="M127" s="5"/>
      <c r="N127" s="5"/>
      <c r="O127" s="5"/>
      <c r="P127" s="5"/>
      <c r="Q127" s="5"/>
      <c r="R127" s="5"/>
      <c r="S127" s="5"/>
      <c r="T127" s="5"/>
      <c r="U127" s="5"/>
      <c r="V127" s="5"/>
      <c r="W127" s="5"/>
      <c r="X127" s="5"/>
      <c r="Y127" s="5"/>
      <c r="Z127" s="5"/>
      <c r="AA127" s="5"/>
      <c r="AB127" s="5"/>
    </row>
    <row r="128" ht="14.25" customHeight="1">
      <c r="A128" s="4"/>
      <c r="B128" s="4"/>
      <c r="C128" s="4"/>
      <c r="D128" s="4"/>
      <c r="E128" s="333"/>
      <c r="F128" s="333"/>
      <c r="G128" s="4"/>
      <c r="H128" s="4"/>
      <c r="I128" s="5"/>
      <c r="J128" s="5"/>
      <c r="K128" s="5"/>
      <c r="L128" s="5"/>
      <c r="M128" s="5"/>
      <c r="N128" s="5"/>
      <c r="O128" s="5"/>
      <c r="P128" s="5"/>
      <c r="Q128" s="5"/>
      <c r="R128" s="5"/>
      <c r="S128" s="5"/>
      <c r="T128" s="5"/>
      <c r="U128" s="5"/>
      <c r="V128" s="5"/>
      <c r="W128" s="5"/>
      <c r="X128" s="5"/>
      <c r="Y128" s="5"/>
      <c r="Z128" s="5"/>
      <c r="AA128" s="5"/>
      <c r="AB128" s="5"/>
    </row>
    <row r="129" ht="14.25" customHeight="1">
      <c r="A129" s="4"/>
      <c r="B129" s="4"/>
      <c r="C129" s="4"/>
      <c r="D129" s="4"/>
      <c r="E129" s="333"/>
      <c r="F129" s="333"/>
      <c r="G129" s="4"/>
      <c r="H129" s="4"/>
      <c r="I129" s="5"/>
      <c r="J129" s="5"/>
      <c r="K129" s="5"/>
      <c r="L129" s="5"/>
      <c r="M129" s="5"/>
      <c r="N129" s="5"/>
      <c r="O129" s="5"/>
      <c r="P129" s="5"/>
      <c r="Q129" s="5"/>
      <c r="R129" s="5"/>
      <c r="S129" s="5"/>
      <c r="T129" s="5"/>
      <c r="U129" s="5"/>
      <c r="V129" s="5"/>
      <c r="W129" s="5"/>
      <c r="X129" s="5"/>
      <c r="Y129" s="5"/>
      <c r="Z129" s="5"/>
      <c r="AA129" s="5"/>
      <c r="AB129" s="5"/>
    </row>
    <row r="130" ht="14.25" customHeight="1">
      <c r="A130" s="4"/>
      <c r="B130" s="4"/>
      <c r="C130" s="4"/>
      <c r="D130" s="4"/>
      <c r="E130" s="333"/>
      <c r="F130" s="333"/>
      <c r="G130" s="4"/>
      <c r="H130" s="4"/>
      <c r="I130" s="5"/>
      <c r="J130" s="5"/>
      <c r="K130" s="5"/>
      <c r="L130" s="5"/>
      <c r="M130" s="5"/>
      <c r="N130" s="5"/>
      <c r="O130" s="5"/>
      <c r="P130" s="5"/>
      <c r="Q130" s="5"/>
      <c r="R130" s="5"/>
      <c r="S130" s="5"/>
      <c r="T130" s="5"/>
      <c r="U130" s="5"/>
      <c r="V130" s="5"/>
      <c r="W130" s="5"/>
      <c r="X130" s="5"/>
      <c r="Y130" s="5"/>
      <c r="Z130" s="5"/>
      <c r="AA130" s="5"/>
      <c r="AB130" s="5"/>
    </row>
    <row r="131" ht="14.25" customHeight="1">
      <c r="A131" s="4"/>
      <c r="B131" s="4"/>
      <c r="C131" s="4"/>
      <c r="D131" s="4"/>
      <c r="E131" s="333"/>
      <c r="F131" s="333"/>
      <c r="G131" s="4"/>
      <c r="H131" s="4"/>
      <c r="I131" s="5"/>
      <c r="J131" s="5"/>
      <c r="K131" s="5"/>
      <c r="L131" s="5"/>
      <c r="M131" s="5"/>
      <c r="N131" s="5"/>
      <c r="O131" s="5"/>
      <c r="P131" s="5"/>
      <c r="Q131" s="5"/>
      <c r="R131" s="5"/>
      <c r="S131" s="5"/>
      <c r="T131" s="5"/>
      <c r="U131" s="5"/>
      <c r="V131" s="5"/>
      <c r="W131" s="5"/>
      <c r="X131" s="5"/>
      <c r="Y131" s="5"/>
      <c r="Z131" s="5"/>
      <c r="AA131" s="5"/>
      <c r="AB131" s="5"/>
    </row>
    <row r="132" ht="14.25" customHeight="1">
      <c r="A132" s="4"/>
      <c r="B132" s="4"/>
      <c r="C132" s="4"/>
      <c r="D132" s="4"/>
      <c r="E132" s="333"/>
      <c r="F132" s="333"/>
      <c r="G132" s="4"/>
      <c r="H132" s="4"/>
      <c r="I132" s="5"/>
      <c r="J132" s="5"/>
      <c r="K132" s="5"/>
      <c r="L132" s="5"/>
      <c r="M132" s="5"/>
      <c r="N132" s="5"/>
      <c r="O132" s="5"/>
      <c r="P132" s="5"/>
      <c r="Q132" s="5"/>
      <c r="R132" s="5"/>
      <c r="S132" s="5"/>
      <c r="T132" s="5"/>
      <c r="U132" s="5"/>
      <c r="V132" s="5"/>
      <c r="W132" s="5"/>
      <c r="X132" s="5"/>
      <c r="Y132" s="5"/>
      <c r="Z132" s="5"/>
      <c r="AA132" s="5"/>
      <c r="AB132" s="5"/>
    </row>
    <row r="133" ht="14.25" customHeight="1">
      <c r="A133" s="4"/>
      <c r="B133" s="4"/>
      <c r="C133" s="4"/>
      <c r="D133" s="4"/>
      <c r="E133" s="333"/>
      <c r="F133" s="333"/>
      <c r="G133" s="4"/>
      <c r="H133" s="4"/>
      <c r="I133" s="5"/>
      <c r="J133" s="5"/>
      <c r="K133" s="5"/>
      <c r="L133" s="5"/>
      <c r="M133" s="5"/>
      <c r="N133" s="5"/>
      <c r="O133" s="5"/>
      <c r="P133" s="5"/>
      <c r="Q133" s="5"/>
      <c r="R133" s="5"/>
      <c r="S133" s="5"/>
      <c r="T133" s="5"/>
      <c r="U133" s="5"/>
      <c r="V133" s="5"/>
      <c r="W133" s="5"/>
      <c r="X133" s="5"/>
      <c r="Y133" s="5"/>
      <c r="Z133" s="5"/>
      <c r="AA133" s="5"/>
      <c r="AB133" s="5"/>
    </row>
    <row r="134" ht="14.25" customHeight="1">
      <c r="A134" s="4"/>
      <c r="B134" s="4"/>
      <c r="C134" s="4"/>
      <c r="D134" s="4"/>
      <c r="E134" s="333"/>
      <c r="F134" s="333"/>
      <c r="G134" s="4"/>
      <c r="H134" s="4"/>
      <c r="I134" s="5"/>
      <c r="J134" s="5"/>
      <c r="K134" s="5"/>
      <c r="L134" s="5"/>
      <c r="M134" s="5"/>
      <c r="N134" s="5"/>
      <c r="O134" s="5"/>
      <c r="P134" s="5"/>
      <c r="Q134" s="5"/>
      <c r="R134" s="5"/>
      <c r="S134" s="5"/>
      <c r="T134" s="5"/>
      <c r="U134" s="5"/>
      <c r="V134" s="5"/>
      <c r="W134" s="5"/>
      <c r="X134" s="5"/>
      <c r="Y134" s="5"/>
      <c r="Z134" s="5"/>
      <c r="AA134" s="5"/>
      <c r="AB134" s="5"/>
    </row>
    <row r="135" ht="14.25" customHeight="1">
      <c r="A135" s="4"/>
      <c r="B135" s="4"/>
      <c r="C135" s="4"/>
      <c r="D135" s="4"/>
      <c r="E135" s="333"/>
      <c r="F135" s="333"/>
      <c r="G135" s="4"/>
      <c r="H135" s="4"/>
      <c r="I135" s="5"/>
      <c r="J135" s="5"/>
      <c r="K135" s="5"/>
      <c r="L135" s="5"/>
      <c r="M135" s="5"/>
      <c r="N135" s="5"/>
      <c r="O135" s="5"/>
      <c r="P135" s="5"/>
      <c r="Q135" s="5"/>
      <c r="R135" s="5"/>
      <c r="S135" s="5"/>
      <c r="T135" s="5"/>
      <c r="U135" s="5"/>
      <c r="V135" s="5"/>
      <c r="W135" s="5"/>
      <c r="X135" s="5"/>
      <c r="Y135" s="5"/>
      <c r="Z135" s="5"/>
      <c r="AA135" s="5"/>
      <c r="AB135" s="5"/>
    </row>
    <row r="136" ht="14.25" customHeight="1">
      <c r="A136" s="4"/>
      <c r="B136" s="4"/>
      <c r="C136" s="4"/>
      <c r="D136" s="4"/>
      <c r="E136" s="333"/>
      <c r="F136" s="333"/>
      <c r="G136" s="4"/>
      <c r="H136" s="4"/>
      <c r="I136" s="5"/>
      <c r="J136" s="5"/>
      <c r="K136" s="5"/>
      <c r="L136" s="5"/>
      <c r="M136" s="5"/>
      <c r="N136" s="5"/>
      <c r="O136" s="5"/>
      <c r="P136" s="5"/>
      <c r="Q136" s="5"/>
      <c r="R136" s="5"/>
      <c r="S136" s="5"/>
      <c r="T136" s="5"/>
      <c r="U136" s="5"/>
      <c r="V136" s="5"/>
      <c r="W136" s="5"/>
      <c r="X136" s="5"/>
      <c r="Y136" s="5"/>
      <c r="Z136" s="5"/>
      <c r="AA136" s="5"/>
      <c r="AB136" s="5"/>
    </row>
    <row r="137" ht="14.25" customHeight="1">
      <c r="A137" s="4"/>
      <c r="B137" s="4"/>
      <c r="C137" s="4"/>
      <c r="D137" s="4"/>
      <c r="E137" s="333"/>
      <c r="F137" s="333"/>
      <c r="G137" s="4"/>
      <c r="H137" s="4"/>
      <c r="I137" s="5"/>
      <c r="J137" s="5"/>
      <c r="K137" s="5"/>
      <c r="L137" s="5"/>
      <c r="M137" s="5"/>
      <c r="N137" s="5"/>
      <c r="O137" s="5"/>
      <c r="P137" s="5"/>
      <c r="Q137" s="5"/>
      <c r="R137" s="5"/>
      <c r="S137" s="5"/>
      <c r="T137" s="5"/>
      <c r="U137" s="5"/>
      <c r="V137" s="5"/>
      <c r="W137" s="5"/>
      <c r="X137" s="5"/>
      <c r="Y137" s="5"/>
      <c r="Z137" s="5"/>
      <c r="AA137" s="5"/>
      <c r="AB137" s="5"/>
    </row>
    <row r="138" ht="14.25" customHeight="1">
      <c r="A138" s="4"/>
      <c r="B138" s="4"/>
      <c r="C138" s="4"/>
      <c r="D138" s="4"/>
      <c r="E138" s="333"/>
      <c r="F138" s="333"/>
      <c r="G138" s="4"/>
      <c r="H138" s="4"/>
      <c r="I138" s="5"/>
      <c r="J138" s="5"/>
      <c r="K138" s="5"/>
      <c r="L138" s="5"/>
      <c r="M138" s="5"/>
      <c r="N138" s="5"/>
      <c r="O138" s="5"/>
      <c r="P138" s="5"/>
      <c r="Q138" s="5"/>
      <c r="R138" s="5"/>
      <c r="S138" s="5"/>
      <c r="T138" s="5"/>
      <c r="U138" s="5"/>
      <c r="V138" s="5"/>
      <c r="W138" s="5"/>
      <c r="X138" s="5"/>
      <c r="Y138" s="5"/>
      <c r="Z138" s="5"/>
      <c r="AA138" s="5"/>
      <c r="AB138" s="5"/>
    </row>
    <row r="139" ht="14.25" customHeight="1">
      <c r="A139" s="4"/>
      <c r="B139" s="4"/>
      <c r="C139" s="4"/>
      <c r="D139" s="4"/>
      <c r="E139" s="333"/>
      <c r="F139" s="333"/>
      <c r="G139" s="4"/>
      <c r="H139" s="4"/>
      <c r="I139" s="5"/>
      <c r="J139" s="5"/>
      <c r="K139" s="5"/>
      <c r="L139" s="5"/>
      <c r="M139" s="5"/>
      <c r="N139" s="5"/>
      <c r="O139" s="5"/>
      <c r="P139" s="5"/>
      <c r="Q139" s="5"/>
      <c r="R139" s="5"/>
      <c r="S139" s="5"/>
      <c r="T139" s="5"/>
      <c r="U139" s="5"/>
      <c r="V139" s="5"/>
      <c r="W139" s="5"/>
      <c r="X139" s="5"/>
      <c r="Y139" s="5"/>
      <c r="Z139" s="5"/>
      <c r="AA139" s="5"/>
      <c r="AB139" s="5"/>
    </row>
    <row r="140" ht="14.25" customHeight="1">
      <c r="A140" s="4"/>
      <c r="B140" s="4"/>
      <c r="C140" s="4"/>
      <c r="D140" s="4"/>
      <c r="E140" s="333"/>
      <c r="F140" s="333"/>
      <c r="G140" s="4"/>
      <c r="H140" s="4"/>
      <c r="I140" s="5"/>
      <c r="J140" s="5"/>
      <c r="K140" s="5"/>
      <c r="L140" s="5"/>
      <c r="M140" s="5"/>
      <c r="N140" s="5"/>
      <c r="O140" s="5"/>
      <c r="P140" s="5"/>
      <c r="Q140" s="5"/>
      <c r="R140" s="5"/>
      <c r="S140" s="5"/>
      <c r="T140" s="5"/>
      <c r="U140" s="5"/>
      <c r="V140" s="5"/>
      <c r="W140" s="5"/>
      <c r="X140" s="5"/>
      <c r="Y140" s="5"/>
      <c r="Z140" s="5"/>
      <c r="AA140" s="5"/>
      <c r="AB140" s="5"/>
    </row>
    <row r="141" ht="14.25" customHeight="1">
      <c r="A141" s="4"/>
      <c r="B141" s="4"/>
      <c r="C141" s="4"/>
      <c r="D141" s="4"/>
      <c r="E141" s="333"/>
      <c r="F141" s="333"/>
      <c r="G141" s="4"/>
      <c r="H141" s="4"/>
      <c r="I141" s="5"/>
      <c r="J141" s="5"/>
      <c r="K141" s="5"/>
      <c r="L141" s="5"/>
      <c r="M141" s="5"/>
      <c r="N141" s="5"/>
      <c r="O141" s="5"/>
      <c r="P141" s="5"/>
      <c r="Q141" s="5"/>
      <c r="R141" s="5"/>
      <c r="S141" s="5"/>
      <c r="T141" s="5"/>
      <c r="U141" s="5"/>
      <c r="V141" s="5"/>
      <c r="W141" s="5"/>
      <c r="X141" s="5"/>
      <c r="Y141" s="5"/>
      <c r="Z141" s="5"/>
      <c r="AA141" s="5"/>
      <c r="AB141" s="5"/>
    </row>
    <row r="142" ht="14.25" customHeight="1">
      <c r="A142" s="4"/>
      <c r="B142" s="4"/>
      <c r="C142" s="4"/>
      <c r="D142" s="4"/>
      <c r="E142" s="333"/>
      <c r="F142" s="333"/>
      <c r="G142" s="4"/>
      <c r="H142" s="4"/>
      <c r="I142" s="5"/>
      <c r="J142" s="5"/>
      <c r="K142" s="5"/>
      <c r="L142" s="5"/>
      <c r="M142" s="5"/>
      <c r="N142" s="5"/>
      <c r="O142" s="5"/>
      <c r="P142" s="5"/>
      <c r="Q142" s="5"/>
      <c r="R142" s="5"/>
      <c r="S142" s="5"/>
      <c r="T142" s="5"/>
      <c r="U142" s="5"/>
      <c r="V142" s="5"/>
      <c r="W142" s="5"/>
      <c r="X142" s="5"/>
      <c r="Y142" s="5"/>
      <c r="Z142" s="5"/>
      <c r="AA142" s="5"/>
      <c r="AB142" s="5"/>
    </row>
    <row r="143" ht="14.25" customHeight="1">
      <c r="A143" s="4"/>
      <c r="B143" s="4"/>
      <c r="C143" s="4"/>
      <c r="D143" s="4"/>
      <c r="E143" s="333"/>
      <c r="F143" s="333"/>
      <c r="G143" s="4"/>
      <c r="H143" s="4"/>
      <c r="I143" s="5"/>
      <c r="J143" s="5"/>
      <c r="K143" s="5"/>
      <c r="L143" s="5"/>
      <c r="M143" s="5"/>
      <c r="N143" s="5"/>
      <c r="O143" s="5"/>
      <c r="P143" s="5"/>
      <c r="Q143" s="5"/>
      <c r="R143" s="5"/>
      <c r="S143" s="5"/>
      <c r="T143" s="5"/>
      <c r="U143" s="5"/>
      <c r="V143" s="5"/>
      <c r="W143" s="5"/>
      <c r="X143" s="5"/>
      <c r="Y143" s="5"/>
      <c r="Z143" s="5"/>
      <c r="AA143" s="5"/>
      <c r="AB143" s="5"/>
    </row>
    <row r="144" ht="14.25" customHeight="1">
      <c r="A144" s="4"/>
      <c r="B144" s="4"/>
      <c r="C144" s="4"/>
      <c r="D144" s="4"/>
      <c r="E144" s="333"/>
      <c r="F144" s="333"/>
      <c r="G144" s="4"/>
      <c r="H144" s="4"/>
      <c r="I144" s="5"/>
      <c r="J144" s="5"/>
      <c r="K144" s="5"/>
      <c r="L144" s="5"/>
      <c r="M144" s="5"/>
      <c r="N144" s="5"/>
      <c r="O144" s="5"/>
      <c r="P144" s="5"/>
      <c r="Q144" s="5"/>
      <c r="R144" s="5"/>
      <c r="S144" s="5"/>
      <c r="T144" s="5"/>
      <c r="U144" s="5"/>
      <c r="V144" s="5"/>
      <c r="W144" s="5"/>
      <c r="X144" s="5"/>
      <c r="Y144" s="5"/>
      <c r="Z144" s="5"/>
      <c r="AA144" s="5"/>
      <c r="AB144" s="5"/>
    </row>
    <row r="145" ht="14.25" customHeight="1">
      <c r="A145" s="4"/>
      <c r="B145" s="4"/>
      <c r="C145" s="4"/>
      <c r="D145" s="4"/>
      <c r="E145" s="333"/>
      <c r="F145" s="333"/>
      <c r="G145" s="4"/>
      <c r="H145" s="4"/>
      <c r="I145" s="5"/>
      <c r="J145" s="5"/>
      <c r="K145" s="5"/>
      <c r="L145" s="5"/>
      <c r="M145" s="5"/>
      <c r="N145" s="5"/>
      <c r="O145" s="5"/>
      <c r="P145" s="5"/>
      <c r="Q145" s="5"/>
      <c r="R145" s="5"/>
      <c r="S145" s="5"/>
      <c r="T145" s="5"/>
      <c r="U145" s="5"/>
      <c r="V145" s="5"/>
      <c r="W145" s="5"/>
      <c r="X145" s="5"/>
      <c r="Y145" s="5"/>
      <c r="Z145" s="5"/>
      <c r="AA145" s="5"/>
      <c r="AB145" s="5"/>
    </row>
    <row r="146" ht="14.25" customHeight="1">
      <c r="A146" s="4"/>
      <c r="B146" s="4"/>
      <c r="C146" s="4"/>
      <c r="D146" s="4"/>
      <c r="E146" s="333"/>
      <c r="F146" s="333"/>
      <c r="G146" s="4"/>
      <c r="H146" s="4"/>
      <c r="I146" s="5"/>
      <c r="J146" s="5"/>
      <c r="K146" s="5"/>
      <c r="L146" s="5"/>
      <c r="M146" s="5"/>
      <c r="N146" s="5"/>
      <c r="O146" s="5"/>
      <c r="P146" s="5"/>
      <c r="Q146" s="5"/>
      <c r="R146" s="5"/>
      <c r="S146" s="5"/>
      <c r="T146" s="5"/>
      <c r="U146" s="5"/>
      <c r="V146" s="5"/>
      <c r="W146" s="5"/>
      <c r="X146" s="5"/>
      <c r="Y146" s="5"/>
      <c r="Z146" s="5"/>
      <c r="AA146" s="5"/>
      <c r="AB146" s="5"/>
    </row>
    <row r="147" ht="14.25" customHeight="1">
      <c r="A147" s="4"/>
      <c r="B147" s="4"/>
      <c r="C147" s="4"/>
      <c r="D147" s="4"/>
      <c r="E147" s="333"/>
      <c r="F147" s="333"/>
      <c r="G147" s="4"/>
      <c r="H147" s="4"/>
      <c r="I147" s="5"/>
      <c r="J147" s="5"/>
      <c r="K147" s="5"/>
      <c r="L147" s="5"/>
      <c r="M147" s="5"/>
      <c r="N147" s="5"/>
      <c r="O147" s="5"/>
      <c r="P147" s="5"/>
      <c r="Q147" s="5"/>
      <c r="R147" s="5"/>
      <c r="S147" s="5"/>
      <c r="T147" s="5"/>
      <c r="U147" s="5"/>
      <c r="V147" s="5"/>
      <c r="W147" s="5"/>
      <c r="X147" s="5"/>
      <c r="Y147" s="5"/>
      <c r="Z147" s="5"/>
      <c r="AA147" s="5"/>
      <c r="AB147" s="5"/>
    </row>
    <row r="148" ht="14.25" customHeight="1">
      <c r="A148" s="4"/>
      <c r="B148" s="4"/>
      <c r="C148" s="4"/>
      <c r="D148" s="4"/>
      <c r="E148" s="333"/>
      <c r="F148" s="333"/>
      <c r="G148" s="4"/>
      <c r="H148" s="4"/>
      <c r="I148" s="5"/>
      <c r="J148" s="5"/>
      <c r="K148" s="5"/>
      <c r="L148" s="5"/>
      <c r="M148" s="5"/>
      <c r="N148" s="5"/>
      <c r="O148" s="5"/>
      <c r="P148" s="5"/>
      <c r="Q148" s="5"/>
      <c r="R148" s="5"/>
      <c r="S148" s="5"/>
      <c r="T148" s="5"/>
      <c r="U148" s="5"/>
      <c r="V148" s="5"/>
      <c r="W148" s="5"/>
      <c r="X148" s="5"/>
      <c r="Y148" s="5"/>
      <c r="Z148" s="5"/>
      <c r="AA148" s="5"/>
      <c r="AB148" s="5"/>
    </row>
    <row r="149" ht="14.25" customHeight="1">
      <c r="A149" s="4"/>
      <c r="B149" s="4"/>
      <c r="C149" s="4"/>
      <c r="D149" s="4"/>
      <c r="E149" s="333"/>
      <c r="F149" s="333"/>
      <c r="G149" s="4"/>
      <c r="H149" s="4"/>
      <c r="I149" s="5"/>
      <c r="J149" s="5"/>
      <c r="K149" s="5"/>
      <c r="L149" s="5"/>
      <c r="M149" s="5"/>
      <c r="N149" s="5"/>
      <c r="O149" s="5"/>
      <c r="P149" s="5"/>
      <c r="Q149" s="5"/>
      <c r="R149" s="5"/>
      <c r="S149" s="5"/>
      <c r="T149" s="5"/>
      <c r="U149" s="5"/>
      <c r="V149" s="5"/>
      <c r="W149" s="5"/>
      <c r="X149" s="5"/>
      <c r="Y149" s="5"/>
      <c r="Z149" s="5"/>
      <c r="AA149" s="5"/>
      <c r="AB149" s="5"/>
    </row>
    <row r="150" ht="14.25" customHeight="1">
      <c r="A150" s="4"/>
      <c r="B150" s="4"/>
      <c r="C150" s="4"/>
      <c r="D150" s="4"/>
      <c r="E150" s="333"/>
      <c r="F150" s="333"/>
      <c r="G150" s="4"/>
      <c r="H150" s="4"/>
      <c r="I150" s="5"/>
      <c r="J150" s="5"/>
      <c r="K150" s="5"/>
      <c r="L150" s="5"/>
      <c r="M150" s="5"/>
      <c r="N150" s="5"/>
      <c r="O150" s="5"/>
      <c r="P150" s="5"/>
      <c r="Q150" s="5"/>
      <c r="R150" s="5"/>
      <c r="S150" s="5"/>
      <c r="T150" s="5"/>
      <c r="U150" s="5"/>
      <c r="V150" s="5"/>
      <c r="W150" s="5"/>
      <c r="X150" s="5"/>
      <c r="Y150" s="5"/>
      <c r="Z150" s="5"/>
      <c r="AA150" s="5"/>
      <c r="AB150" s="5"/>
    </row>
    <row r="151" ht="14.25" customHeight="1">
      <c r="A151" s="4"/>
      <c r="B151" s="4"/>
      <c r="C151" s="4"/>
      <c r="D151" s="4"/>
      <c r="E151" s="333"/>
      <c r="F151" s="333"/>
      <c r="G151" s="4"/>
      <c r="H151" s="4"/>
      <c r="I151" s="5"/>
      <c r="J151" s="5"/>
      <c r="K151" s="5"/>
      <c r="L151" s="5"/>
      <c r="M151" s="5"/>
      <c r="N151" s="5"/>
      <c r="O151" s="5"/>
      <c r="P151" s="5"/>
      <c r="Q151" s="5"/>
      <c r="R151" s="5"/>
      <c r="S151" s="5"/>
      <c r="T151" s="5"/>
      <c r="U151" s="5"/>
      <c r="V151" s="5"/>
      <c r="W151" s="5"/>
      <c r="X151" s="5"/>
      <c r="Y151" s="5"/>
      <c r="Z151" s="5"/>
      <c r="AA151" s="5"/>
      <c r="AB151" s="5"/>
    </row>
    <row r="152" ht="14.25" customHeight="1">
      <c r="A152" s="4"/>
      <c r="B152" s="4"/>
      <c r="C152" s="4"/>
      <c r="D152" s="4"/>
      <c r="E152" s="333"/>
      <c r="F152" s="333"/>
      <c r="G152" s="4"/>
      <c r="H152" s="4"/>
      <c r="I152" s="5"/>
      <c r="J152" s="5"/>
      <c r="K152" s="5"/>
      <c r="L152" s="5"/>
      <c r="M152" s="5"/>
      <c r="N152" s="5"/>
      <c r="O152" s="5"/>
      <c r="P152" s="5"/>
      <c r="Q152" s="5"/>
      <c r="R152" s="5"/>
      <c r="S152" s="5"/>
      <c r="T152" s="5"/>
      <c r="U152" s="5"/>
      <c r="V152" s="5"/>
      <c r="W152" s="5"/>
      <c r="X152" s="5"/>
      <c r="Y152" s="5"/>
      <c r="Z152" s="5"/>
      <c r="AA152" s="5"/>
      <c r="AB152" s="5"/>
    </row>
    <row r="153" ht="14.25" customHeight="1">
      <c r="A153" s="4"/>
      <c r="B153" s="4"/>
      <c r="C153" s="4"/>
      <c r="D153" s="4"/>
      <c r="E153" s="333"/>
      <c r="F153" s="333"/>
      <c r="G153" s="4"/>
      <c r="H153" s="4"/>
      <c r="I153" s="5"/>
      <c r="J153" s="5"/>
      <c r="K153" s="5"/>
      <c r="L153" s="5"/>
      <c r="M153" s="5"/>
      <c r="N153" s="5"/>
      <c r="O153" s="5"/>
      <c r="P153" s="5"/>
      <c r="Q153" s="5"/>
      <c r="R153" s="5"/>
      <c r="S153" s="5"/>
      <c r="T153" s="5"/>
      <c r="U153" s="5"/>
      <c r="V153" s="5"/>
      <c r="W153" s="5"/>
      <c r="X153" s="5"/>
      <c r="Y153" s="5"/>
      <c r="Z153" s="5"/>
      <c r="AA153" s="5"/>
      <c r="AB153" s="5"/>
    </row>
    <row r="154" ht="14.25" customHeight="1">
      <c r="A154" s="4"/>
      <c r="B154" s="4"/>
      <c r="C154" s="4"/>
      <c r="D154" s="4"/>
      <c r="E154" s="333"/>
      <c r="F154" s="333"/>
      <c r="G154" s="4"/>
      <c r="H154" s="4"/>
      <c r="I154" s="5"/>
      <c r="J154" s="5"/>
      <c r="K154" s="5"/>
      <c r="L154" s="5"/>
      <c r="M154" s="5"/>
      <c r="N154" s="5"/>
      <c r="O154" s="5"/>
      <c r="P154" s="5"/>
      <c r="Q154" s="5"/>
      <c r="R154" s="5"/>
      <c r="S154" s="5"/>
      <c r="T154" s="5"/>
      <c r="U154" s="5"/>
      <c r="V154" s="5"/>
      <c r="W154" s="5"/>
      <c r="X154" s="5"/>
      <c r="Y154" s="5"/>
      <c r="Z154" s="5"/>
      <c r="AA154" s="5"/>
      <c r="AB154" s="5"/>
    </row>
    <row r="155" ht="14.25" customHeight="1">
      <c r="A155" s="4"/>
      <c r="B155" s="4"/>
      <c r="C155" s="4"/>
      <c r="D155" s="4"/>
      <c r="E155" s="333"/>
      <c r="F155" s="333"/>
      <c r="G155" s="4"/>
      <c r="H155" s="4"/>
      <c r="I155" s="5"/>
      <c r="J155" s="5"/>
      <c r="K155" s="5"/>
      <c r="L155" s="5"/>
      <c r="M155" s="5"/>
      <c r="N155" s="5"/>
      <c r="O155" s="5"/>
      <c r="P155" s="5"/>
      <c r="Q155" s="5"/>
      <c r="R155" s="5"/>
      <c r="S155" s="5"/>
      <c r="T155" s="5"/>
      <c r="U155" s="5"/>
      <c r="V155" s="5"/>
      <c r="W155" s="5"/>
      <c r="X155" s="5"/>
      <c r="Y155" s="5"/>
      <c r="Z155" s="5"/>
      <c r="AA155" s="5"/>
      <c r="AB155" s="5"/>
    </row>
    <row r="156" ht="14.25" customHeight="1">
      <c r="A156" s="4"/>
      <c r="B156" s="4"/>
      <c r="C156" s="4"/>
      <c r="D156" s="4"/>
      <c r="E156" s="333"/>
      <c r="F156" s="333"/>
      <c r="G156" s="4"/>
      <c r="H156" s="4"/>
      <c r="I156" s="5"/>
      <c r="J156" s="5"/>
      <c r="K156" s="5"/>
      <c r="L156" s="5"/>
      <c r="M156" s="5"/>
      <c r="N156" s="5"/>
      <c r="O156" s="5"/>
      <c r="P156" s="5"/>
      <c r="Q156" s="5"/>
      <c r="R156" s="5"/>
      <c r="S156" s="5"/>
      <c r="T156" s="5"/>
      <c r="U156" s="5"/>
      <c r="V156" s="5"/>
      <c r="W156" s="5"/>
      <c r="X156" s="5"/>
      <c r="Y156" s="5"/>
      <c r="Z156" s="5"/>
      <c r="AA156" s="5"/>
      <c r="AB156" s="5"/>
    </row>
    <row r="157" ht="14.25" customHeight="1">
      <c r="A157" s="4"/>
      <c r="B157" s="4"/>
      <c r="C157" s="4"/>
      <c r="D157" s="4"/>
      <c r="E157" s="333"/>
      <c r="F157" s="333"/>
      <c r="G157" s="4"/>
      <c r="H157" s="4"/>
      <c r="I157" s="5"/>
      <c r="J157" s="5"/>
      <c r="K157" s="5"/>
      <c r="L157" s="5"/>
      <c r="M157" s="5"/>
      <c r="N157" s="5"/>
      <c r="O157" s="5"/>
      <c r="P157" s="5"/>
      <c r="Q157" s="5"/>
      <c r="R157" s="5"/>
      <c r="S157" s="5"/>
      <c r="T157" s="5"/>
      <c r="U157" s="5"/>
      <c r="V157" s="5"/>
      <c r="W157" s="5"/>
      <c r="X157" s="5"/>
      <c r="Y157" s="5"/>
      <c r="Z157" s="5"/>
      <c r="AA157" s="5"/>
      <c r="AB157" s="5"/>
    </row>
    <row r="158" ht="14.25" customHeight="1">
      <c r="A158" s="4"/>
      <c r="B158" s="4"/>
      <c r="C158" s="4"/>
      <c r="D158" s="4"/>
      <c r="E158" s="333"/>
      <c r="F158" s="333"/>
      <c r="G158" s="4"/>
      <c r="H158" s="4"/>
      <c r="I158" s="5"/>
      <c r="J158" s="5"/>
      <c r="K158" s="5"/>
      <c r="L158" s="5"/>
      <c r="M158" s="5"/>
      <c r="N158" s="5"/>
      <c r="O158" s="5"/>
      <c r="P158" s="5"/>
      <c r="Q158" s="5"/>
      <c r="R158" s="5"/>
      <c r="S158" s="5"/>
      <c r="T158" s="5"/>
      <c r="U158" s="5"/>
      <c r="V158" s="5"/>
      <c r="W158" s="5"/>
      <c r="X158" s="5"/>
      <c r="Y158" s="5"/>
      <c r="Z158" s="5"/>
      <c r="AA158" s="5"/>
      <c r="AB158" s="5"/>
    </row>
    <row r="159" ht="14.25" customHeight="1">
      <c r="A159" s="4"/>
      <c r="B159" s="4"/>
      <c r="C159" s="4"/>
      <c r="D159" s="4"/>
      <c r="E159" s="333"/>
      <c r="F159" s="333"/>
      <c r="G159" s="4"/>
      <c r="H159" s="4"/>
      <c r="I159" s="5"/>
      <c r="J159" s="5"/>
      <c r="K159" s="5"/>
      <c r="L159" s="5"/>
      <c r="M159" s="5"/>
      <c r="N159" s="5"/>
      <c r="O159" s="5"/>
      <c r="P159" s="5"/>
      <c r="Q159" s="5"/>
      <c r="R159" s="5"/>
      <c r="S159" s="5"/>
      <c r="T159" s="5"/>
      <c r="U159" s="5"/>
      <c r="V159" s="5"/>
      <c r="W159" s="5"/>
      <c r="X159" s="5"/>
      <c r="Y159" s="5"/>
      <c r="Z159" s="5"/>
      <c r="AA159" s="5"/>
      <c r="AB159" s="5"/>
    </row>
    <row r="160" ht="14.25" customHeight="1">
      <c r="A160" s="4"/>
      <c r="B160" s="4"/>
      <c r="C160" s="4"/>
      <c r="D160" s="4"/>
      <c r="E160" s="333"/>
      <c r="F160" s="333"/>
      <c r="G160" s="4"/>
      <c r="H160" s="4"/>
      <c r="I160" s="5"/>
      <c r="J160" s="5"/>
      <c r="K160" s="5"/>
      <c r="L160" s="5"/>
      <c r="M160" s="5"/>
      <c r="N160" s="5"/>
      <c r="O160" s="5"/>
      <c r="P160" s="5"/>
      <c r="Q160" s="5"/>
      <c r="R160" s="5"/>
      <c r="S160" s="5"/>
      <c r="T160" s="5"/>
      <c r="U160" s="5"/>
      <c r="V160" s="5"/>
      <c r="W160" s="5"/>
      <c r="X160" s="5"/>
      <c r="Y160" s="5"/>
      <c r="Z160" s="5"/>
      <c r="AA160" s="5"/>
      <c r="AB160" s="5"/>
    </row>
    <row r="161" ht="14.25" customHeight="1">
      <c r="A161" s="4"/>
      <c r="B161" s="4"/>
      <c r="C161" s="4"/>
      <c r="D161" s="4"/>
      <c r="E161" s="333"/>
      <c r="F161" s="333"/>
      <c r="G161" s="4"/>
      <c r="H161" s="4"/>
      <c r="I161" s="5"/>
      <c r="J161" s="5"/>
      <c r="K161" s="5"/>
      <c r="L161" s="5"/>
      <c r="M161" s="5"/>
      <c r="N161" s="5"/>
      <c r="O161" s="5"/>
      <c r="P161" s="5"/>
      <c r="Q161" s="5"/>
      <c r="R161" s="5"/>
      <c r="S161" s="5"/>
      <c r="T161" s="5"/>
      <c r="U161" s="5"/>
      <c r="V161" s="5"/>
      <c r="W161" s="5"/>
      <c r="X161" s="5"/>
      <c r="Y161" s="5"/>
      <c r="Z161" s="5"/>
      <c r="AA161" s="5"/>
      <c r="AB161" s="5"/>
    </row>
    <row r="162" ht="14.25" customHeight="1">
      <c r="A162" s="4"/>
      <c r="B162" s="4"/>
      <c r="C162" s="4"/>
      <c r="D162" s="4"/>
      <c r="E162" s="333"/>
      <c r="F162" s="333"/>
      <c r="G162" s="4"/>
      <c r="H162" s="4"/>
      <c r="I162" s="5"/>
      <c r="J162" s="5"/>
      <c r="K162" s="5"/>
      <c r="L162" s="5"/>
      <c r="M162" s="5"/>
      <c r="N162" s="5"/>
      <c r="O162" s="5"/>
      <c r="P162" s="5"/>
      <c r="Q162" s="5"/>
      <c r="R162" s="5"/>
      <c r="S162" s="5"/>
      <c r="T162" s="5"/>
      <c r="U162" s="5"/>
      <c r="V162" s="5"/>
      <c r="W162" s="5"/>
      <c r="X162" s="5"/>
      <c r="Y162" s="5"/>
      <c r="Z162" s="5"/>
      <c r="AA162" s="5"/>
      <c r="AB162" s="5"/>
    </row>
    <row r="163" ht="14.25" customHeight="1">
      <c r="A163" s="4"/>
      <c r="B163" s="4"/>
      <c r="C163" s="4"/>
      <c r="D163" s="4"/>
      <c r="E163" s="333"/>
      <c r="F163" s="333"/>
      <c r="G163" s="4"/>
      <c r="H163" s="4"/>
      <c r="I163" s="5"/>
      <c r="J163" s="5"/>
      <c r="K163" s="5"/>
      <c r="L163" s="5"/>
      <c r="M163" s="5"/>
      <c r="N163" s="5"/>
      <c r="O163" s="5"/>
      <c r="P163" s="5"/>
      <c r="Q163" s="5"/>
      <c r="R163" s="5"/>
      <c r="S163" s="5"/>
      <c r="T163" s="5"/>
      <c r="U163" s="5"/>
      <c r="V163" s="5"/>
      <c r="W163" s="5"/>
      <c r="X163" s="5"/>
      <c r="Y163" s="5"/>
      <c r="Z163" s="5"/>
      <c r="AA163" s="5"/>
      <c r="AB163" s="5"/>
    </row>
    <row r="164" ht="14.25" customHeight="1">
      <c r="A164" s="4"/>
      <c r="B164" s="4"/>
      <c r="C164" s="4"/>
      <c r="D164" s="4"/>
      <c r="E164" s="333"/>
      <c r="F164" s="333"/>
      <c r="G164" s="4"/>
      <c r="H164" s="4"/>
      <c r="I164" s="5"/>
      <c r="J164" s="5"/>
      <c r="K164" s="5"/>
      <c r="L164" s="5"/>
      <c r="M164" s="5"/>
      <c r="N164" s="5"/>
      <c r="O164" s="5"/>
      <c r="P164" s="5"/>
      <c r="Q164" s="5"/>
      <c r="R164" s="5"/>
      <c r="S164" s="5"/>
      <c r="T164" s="5"/>
      <c r="U164" s="5"/>
      <c r="V164" s="5"/>
      <c r="W164" s="5"/>
      <c r="X164" s="5"/>
      <c r="Y164" s="5"/>
      <c r="Z164" s="5"/>
      <c r="AA164" s="5"/>
      <c r="AB164" s="5"/>
    </row>
    <row r="165" ht="14.25" customHeight="1">
      <c r="A165" s="4"/>
      <c r="B165" s="4"/>
      <c r="C165" s="4"/>
      <c r="D165" s="4"/>
      <c r="E165" s="333"/>
      <c r="F165" s="333"/>
      <c r="G165" s="4"/>
      <c r="H165" s="4"/>
      <c r="I165" s="5"/>
      <c r="J165" s="5"/>
      <c r="K165" s="5"/>
      <c r="L165" s="5"/>
      <c r="M165" s="5"/>
      <c r="N165" s="5"/>
      <c r="O165" s="5"/>
      <c r="P165" s="5"/>
      <c r="Q165" s="5"/>
      <c r="R165" s="5"/>
      <c r="S165" s="5"/>
      <c r="T165" s="5"/>
      <c r="U165" s="5"/>
      <c r="V165" s="5"/>
      <c r="W165" s="5"/>
      <c r="X165" s="5"/>
      <c r="Y165" s="5"/>
      <c r="Z165" s="5"/>
      <c r="AA165" s="5"/>
      <c r="AB165" s="5"/>
    </row>
    <row r="166" ht="14.25" customHeight="1">
      <c r="A166" s="4"/>
      <c r="B166" s="4"/>
      <c r="C166" s="4"/>
      <c r="D166" s="4"/>
      <c r="E166" s="333"/>
      <c r="F166" s="333"/>
      <c r="G166" s="4"/>
      <c r="H166" s="4"/>
      <c r="I166" s="5"/>
      <c r="J166" s="5"/>
      <c r="K166" s="5"/>
      <c r="L166" s="5"/>
      <c r="M166" s="5"/>
      <c r="N166" s="5"/>
      <c r="O166" s="5"/>
      <c r="P166" s="5"/>
      <c r="Q166" s="5"/>
      <c r="R166" s="5"/>
      <c r="S166" s="5"/>
      <c r="T166" s="5"/>
      <c r="U166" s="5"/>
      <c r="V166" s="5"/>
      <c r="W166" s="5"/>
      <c r="X166" s="5"/>
      <c r="Y166" s="5"/>
      <c r="Z166" s="5"/>
      <c r="AA166" s="5"/>
      <c r="AB166" s="5"/>
    </row>
    <row r="167" ht="14.25" customHeight="1">
      <c r="A167" s="4"/>
      <c r="B167" s="4"/>
      <c r="C167" s="4"/>
      <c r="D167" s="4"/>
      <c r="E167" s="333"/>
      <c r="F167" s="333"/>
      <c r="G167" s="4"/>
      <c r="H167" s="4"/>
      <c r="I167" s="5"/>
      <c r="J167" s="5"/>
      <c r="K167" s="5"/>
      <c r="L167" s="5"/>
      <c r="M167" s="5"/>
      <c r="N167" s="5"/>
      <c r="O167" s="5"/>
      <c r="P167" s="5"/>
      <c r="Q167" s="5"/>
      <c r="R167" s="5"/>
      <c r="S167" s="5"/>
      <c r="T167" s="5"/>
      <c r="U167" s="5"/>
      <c r="V167" s="5"/>
      <c r="W167" s="5"/>
      <c r="X167" s="5"/>
      <c r="Y167" s="5"/>
      <c r="Z167" s="5"/>
      <c r="AA167" s="5"/>
      <c r="AB167" s="5"/>
    </row>
    <row r="168" ht="14.25" customHeight="1">
      <c r="A168" s="4"/>
      <c r="B168" s="4"/>
      <c r="C168" s="4"/>
      <c r="D168" s="4"/>
      <c r="E168" s="333"/>
      <c r="F168" s="333"/>
      <c r="G168" s="4"/>
      <c r="H168" s="4"/>
      <c r="I168" s="5"/>
      <c r="J168" s="5"/>
      <c r="K168" s="5"/>
      <c r="L168" s="5"/>
      <c r="M168" s="5"/>
      <c r="N168" s="5"/>
      <c r="O168" s="5"/>
      <c r="P168" s="5"/>
      <c r="Q168" s="5"/>
      <c r="R168" s="5"/>
      <c r="S168" s="5"/>
      <c r="T168" s="5"/>
      <c r="U168" s="5"/>
      <c r="V168" s="5"/>
      <c r="W168" s="5"/>
      <c r="X168" s="5"/>
      <c r="Y168" s="5"/>
      <c r="Z168" s="5"/>
      <c r="AA168" s="5"/>
      <c r="AB168" s="5"/>
    </row>
    <row r="169" ht="14.25" customHeight="1">
      <c r="A169" s="4"/>
      <c r="B169" s="4"/>
      <c r="C169" s="4"/>
      <c r="D169" s="4"/>
      <c r="E169" s="333"/>
      <c r="F169" s="333"/>
      <c r="G169" s="4"/>
      <c r="H169" s="4"/>
      <c r="I169" s="5"/>
      <c r="J169" s="5"/>
      <c r="K169" s="5"/>
      <c r="L169" s="5"/>
      <c r="M169" s="5"/>
      <c r="N169" s="5"/>
      <c r="O169" s="5"/>
      <c r="P169" s="5"/>
      <c r="Q169" s="5"/>
      <c r="R169" s="5"/>
      <c r="S169" s="5"/>
      <c r="T169" s="5"/>
      <c r="U169" s="5"/>
      <c r="V169" s="5"/>
      <c r="W169" s="5"/>
      <c r="X169" s="5"/>
      <c r="Y169" s="5"/>
      <c r="Z169" s="5"/>
      <c r="AA169" s="5"/>
      <c r="AB169" s="5"/>
    </row>
    <row r="170" ht="14.25" customHeight="1">
      <c r="A170" s="4"/>
      <c r="B170" s="4"/>
      <c r="C170" s="4"/>
      <c r="D170" s="4"/>
      <c r="E170" s="333"/>
      <c r="F170" s="333"/>
      <c r="G170" s="4"/>
      <c r="H170" s="4"/>
      <c r="I170" s="5"/>
      <c r="J170" s="5"/>
      <c r="K170" s="5"/>
      <c r="L170" s="5"/>
      <c r="M170" s="5"/>
      <c r="N170" s="5"/>
      <c r="O170" s="5"/>
      <c r="P170" s="5"/>
      <c r="Q170" s="5"/>
      <c r="R170" s="5"/>
      <c r="S170" s="5"/>
      <c r="T170" s="5"/>
      <c r="U170" s="5"/>
      <c r="V170" s="5"/>
      <c r="W170" s="5"/>
      <c r="X170" s="5"/>
      <c r="Y170" s="5"/>
      <c r="Z170" s="5"/>
      <c r="AA170" s="5"/>
      <c r="AB170" s="5"/>
    </row>
    <row r="171" ht="14.25" customHeight="1">
      <c r="A171" s="4"/>
      <c r="B171" s="4"/>
      <c r="C171" s="4"/>
      <c r="D171" s="4"/>
      <c r="E171" s="333"/>
      <c r="F171" s="333"/>
      <c r="G171" s="4"/>
      <c r="H171" s="4"/>
      <c r="I171" s="5"/>
      <c r="J171" s="5"/>
      <c r="K171" s="5"/>
      <c r="L171" s="5"/>
      <c r="M171" s="5"/>
      <c r="N171" s="5"/>
      <c r="O171" s="5"/>
      <c r="P171" s="5"/>
      <c r="Q171" s="5"/>
      <c r="R171" s="5"/>
      <c r="S171" s="5"/>
      <c r="T171" s="5"/>
      <c r="U171" s="5"/>
      <c r="V171" s="5"/>
      <c r="W171" s="5"/>
      <c r="X171" s="5"/>
      <c r="Y171" s="5"/>
      <c r="Z171" s="5"/>
      <c r="AA171" s="5"/>
      <c r="AB171" s="5"/>
    </row>
    <row r="172" ht="14.25" customHeight="1">
      <c r="A172" s="4"/>
      <c r="B172" s="4"/>
      <c r="C172" s="4"/>
      <c r="D172" s="4"/>
      <c r="E172" s="333"/>
      <c r="F172" s="333"/>
      <c r="G172" s="4"/>
      <c r="H172" s="4"/>
      <c r="I172" s="5"/>
      <c r="J172" s="5"/>
      <c r="K172" s="5"/>
      <c r="L172" s="5"/>
      <c r="M172" s="5"/>
      <c r="N172" s="5"/>
      <c r="O172" s="5"/>
      <c r="P172" s="5"/>
      <c r="Q172" s="5"/>
      <c r="R172" s="5"/>
      <c r="S172" s="5"/>
      <c r="T172" s="5"/>
      <c r="U172" s="5"/>
      <c r="V172" s="5"/>
      <c r="W172" s="5"/>
      <c r="X172" s="5"/>
      <c r="Y172" s="5"/>
      <c r="Z172" s="5"/>
      <c r="AA172" s="5"/>
      <c r="AB172" s="5"/>
    </row>
    <row r="173" ht="14.25" customHeight="1">
      <c r="A173" s="4"/>
      <c r="B173" s="4"/>
      <c r="C173" s="4"/>
      <c r="D173" s="4"/>
      <c r="E173" s="333"/>
      <c r="F173" s="333"/>
      <c r="G173" s="4"/>
      <c r="H173" s="4"/>
      <c r="I173" s="5"/>
      <c r="J173" s="5"/>
      <c r="K173" s="5"/>
      <c r="L173" s="5"/>
      <c r="M173" s="5"/>
      <c r="N173" s="5"/>
      <c r="O173" s="5"/>
      <c r="P173" s="5"/>
      <c r="Q173" s="5"/>
      <c r="R173" s="5"/>
      <c r="S173" s="5"/>
      <c r="T173" s="5"/>
      <c r="U173" s="5"/>
      <c r="V173" s="5"/>
      <c r="W173" s="5"/>
      <c r="X173" s="5"/>
      <c r="Y173" s="5"/>
      <c r="Z173" s="5"/>
      <c r="AA173" s="5"/>
      <c r="AB173" s="5"/>
    </row>
    <row r="174" ht="14.25" customHeight="1">
      <c r="A174" s="4"/>
      <c r="B174" s="4"/>
      <c r="C174" s="4"/>
      <c r="D174" s="4"/>
      <c r="E174" s="333"/>
      <c r="F174" s="333"/>
      <c r="G174" s="4"/>
      <c r="H174" s="4"/>
      <c r="I174" s="5"/>
      <c r="J174" s="5"/>
      <c r="K174" s="5"/>
      <c r="L174" s="5"/>
      <c r="M174" s="5"/>
      <c r="N174" s="5"/>
      <c r="O174" s="5"/>
      <c r="P174" s="5"/>
      <c r="Q174" s="5"/>
      <c r="R174" s="5"/>
      <c r="S174" s="5"/>
      <c r="T174" s="5"/>
      <c r="U174" s="5"/>
      <c r="V174" s="5"/>
      <c r="W174" s="5"/>
      <c r="X174" s="5"/>
      <c r="Y174" s="5"/>
      <c r="Z174" s="5"/>
      <c r="AA174" s="5"/>
      <c r="AB174" s="5"/>
    </row>
    <row r="175" ht="14.25" customHeight="1">
      <c r="A175" s="4"/>
      <c r="B175" s="4"/>
      <c r="C175" s="4"/>
      <c r="D175" s="4"/>
      <c r="E175" s="333"/>
      <c r="F175" s="333"/>
      <c r="G175" s="4"/>
      <c r="H175" s="4"/>
      <c r="I175" s="5"/>
      <c r="J175" s="5"/>
      <c r="K175" s="5"/>
      <c r="L175" s="5"/>
      <c r="M175" s="5"/>
      <c r="N175" s="5"/>
      <c r="O175" s="5"/>
      <c r="P175" s="5"/>
      <c r="Q175" s="5"/>
      <c r="R175" s="5"/>
      <c r="S175" s="5"/>
      <c r="T175" s="5"/>
      <c r="U175" s="5"/>
      <c r="V175" s="5"/>
      <c r="W175" s="5"/>
      <c r="X175" s="5"/>
      <c r="Y175" s="5"/>
      <c r="Z175" s="5"/>
      <c r="AA175" s="5"/>
      <c r="AB175" s="5"/>
    </row>
    <row r="176" ht="14.25" customHeight="1">
      <c r="A176" s="4"/>
      <c r="B176" s="4"/>
      <c r="C176" s="4"/>
      <c r="D176" s="4"/>
      <c r="E176" s="333"/>
      <c r="F176" s="333"/>
      <c r="G176" s="4"/>
      <c r="H176" s="4"/>
      <c r="I176" s="5"/>
      <c r="J176" s="5"/>
      <c r="K176" s="5"/>
      <c r="L176" s="5"/>
      <c r="M176" s="5"/>
      <c r="N176" s="5"/>
      <c r="O176" s="5"/>
      <c r="P176" s="5"/>
      <c r="Q176" s="5"/>
      <c r="R176" s="5"/>
      <c r="S176" s="5"/>
      <c r="T176" s="5"/>
      <c r="U176" s="5"/>
      <c r="V176" s="5"/>
      <c r="W176" s="5"/>
      <c r="X176" s="5"/>
      <c r="Y176" s="5"/>
      <c r="Z176" s="5"/>
      <c r="AA176" s="5"/>
      <c r="AB176" s="5"/>
    </row>
    <row r="177" ht="14.25" customHeight="1">
      <c r="A177" s="4"/>
      <c r="B177" s="4"/>
      <c r="C177" s="4"/>
      <c r="D177" s="4"/>
      <c r="E177" s="333"/>
      <c r="F177" s="333"/>
      <c r="G177" s="4"/>
      <c r="H177" s="4"/>
      <c r="I177" s="5"/>
      <c r="J177" s="5"/>
      <c r="K177" s="5"/>
      <c r="L177" s="5"/>
      <c r="M177" s="5"/>
      <c r="N177" s="5"/>
      <c r="O177" s="5"/>
      <c r="P177" s="5"/>
      <c r="Q177" s="5"/>
      <c r="R177" s="5"/>
      <c r="S177" s="5"/>
      <c r="T177" s="5"/>
      <c r="U177" s="5"/>
      <c r="V177" s="5"/>
      <c r="W177" s="5"/>
      <c r="X177" s="5"/>
      <c r="Y177" s="5"/>
      <c r="Z177" s="5"/>
      <c r="AA177" s="5"/>
      <c r="AB177" s="5"/>
    </row>
    <row r="178" ht="14.25" customHeight="1">
      <c r="A178" s="4"/>
      <c r="B178" s="4"/>
      <c r="C178" s="4"/>
      <c r="D178" s="4"/>
      <c r="E178" s="333"/>
      <c r="F178" s="333"/>
      <c r="G178" s="4"/>
      <c r="H178" s="4"/>
      <c r="I178" s="5"/>
      <c r="J178" s="5"/>
      <c r="K178" s="5"/>
      <c r="L178" s="5"/>
      <c r="M178" s="5"/>
      <c r="N178" s="5"/>
      <c r="O178" s="5"/>
      <c r="P178" s="5"/>
      <c r="Q178" s="5"/>
      <c r="R178" s="5"/>
      <c r="S178" s="5"/>
      <c r="T178" s="5"/>
      <c r="U178" s="5"/>
      <c r="V178" s="5"/>
      <c r="W178" s="5"/>
      <c r="X178" s="5"/>
      <c r="Y178" s="5"/>
      <c r="Z178" s="5"/>
      <c r="AA178" s="5"/>
      <c r="AB178" s="5"/>
    </row>
    <row r="179" ht="14.25" customHeight="1">
      <c r="A179" s="4"/>
      <c r="B179" s="4"/>
      <c r="C179" s="4"/>
      <c r="D179" s="4"/>
      <c r="E179" s="333"/>
      <c r="F179" s="333"/>
      <c r="G179" s="4"/>
      <c r="H179" s="4"/>
      <c r="I179" s="5"/>
      <c r="J179" s="5"/>
      <c r="K179" s="5"/>
      <c r="L179" s="5"/>
      <c r="M179" s="5"/>
      <c r="N179" s="5"/>
      <c r="O179" s="5"/>
      <c r="P179" s="5"/>
      <c r="Q179" s="5"/>
      <c r="R179" s="5"/>
      <c r="S179" s="5"/>
      <c r="T179" s="5"/>
      <c r="U179" s="5"/>
      <c r="V179" s="5"/>
      <c r="W179" s="5"/>
      <c r="X179" s="5"/>
      <c r="Y179" s="5"/>
      <c r="Z179" s="5"/>
      <c r="AA179" s="5"/>
      <c r="AB179" s="5"/>
    </row>
    <row r="180" ht="14.25" customHeight="1">
      <c r="A180" s="4"/>
      <c r="B180" s="4"/>
      <c r="C180" s="4"/>
      <c r="D180" s="4"/>
      <c r="E180" s="333"/>
      <c r="F180" s="333"/>
      <c r="G180" s="4"/>
      <c r="H180" s="4"/>
      <c r="I180" s="5"/>
      <c r="J180" s="5"/>
      <c r="K180" s="5"/>
      <c r="L180" s="5"/>
      <c r="M180" s="5"/>
      <c r="N180" s="5"/>
      <c r="O180" s="5"/>
      <c r="P180" s="5"/>
      <c r="Q180" s="5"/>
      <c r="R180" s="5"/>
      <c r="S180" s="5"/>
      <c r="T180" s="5"/>
      <c r="U180" s="5"/>
      <c r="V180" s="5"/>
      <c r="W180" s="5"/>
      <c r="X180" s="5"/>
      <c r="Y180" s="5"/>
      <c r="Z180" s="5"/>
      <c r="AA180" s="5"/>
      <c r="AB180" s="5"/>
    </row>
    <row r="181" ht="14.25" customHeight="1">
      <c r="A181" s="4"/>
      <c r="B181" s="4"/>
      <c r="C181" s="4"/>
      <c r="D181" s="4"/>
      <c r="E181" s="333"/>
      <c r="F181" s="333"/>
      <c r="G181" s="4"/>
      <c r="H181" s="4"/>
      <c r="I181" s="5"/>
      <c r="J181" s="5"/>
      <c r="K181" s="5"/>
      <c r="L181" s="5"/>
      <c r="M181" s="5"/>
      <c r="N181" s="5"/>
      <c r="O181" s="5"/>
      <c r="P181" s="5"/>
      <c r="Q181" s="5"/>
      <c r="R181" s="5"/>
      <c r="S181" s="5"/>
      <c r="T181" s="5"/>
      <c r="U181" s="5"/>
      <c r="V181" s="5"/>
      <c r="W181" s="5"/>
      <c r="X181" s="5"/>
      <c r="Y181" s="5"/>
      <c r="Z181" s="5"/>
      <c r="AA181" s="5"/>
      <c r="AB181" s="5"/>
    </row>
    <row r="182" ht="14.25" customHeight="1">
      <c r="A182" s="4"/>
      <c r="B182" s="4"/>
      <c r="C182" s="4"/>
      <c r="D182" s="4"/>
      <c r="E182" s="333"/>
      <c r="F182" s="333"/>
      <c r="G182" s="4"/>
      <c r="H182" s="4"/>
      <c r="I182" s="5"/>
      <c r="J182" s="5"/>
      <c r="K182" s="5"/>
      <c r="L182" s="5"/>
      <c r="M182" s="5"/>
      <c r="N182" s="5"/>
      <c r="O182" s="5"/>
      <c r="P182" s="5"/>
      <c r="Q182" s="5"/>
      <c r="R182" s="5"/>
      <c r="S182" s="5"/>
      <c r="T182" s="5"/>
      <c r="U182" s="5"/>
      <c r="V182" s="5"/>
      <c r="W182" s="5"/>
      <c r="X182" s="5"/>
      <c r="Y182" s="5"/>
      <c r="Z182" s="5"/>
      <c r="AA182" s="5"/>
      <c r="AB182" s="5"/>
    </row>
    <row r="183" ht="14.25" customHeight="1">
      <c r="A183" s="4"/>
      <c r="B183" s="4"/>
      <c r="C183" s="4"/>
      <c r="D183" s="4"/>
      <c r="E183" s="333"/>
      <c r="F183" s="333"/>
      <c r="G183" s="4"/>
      <c r="H183" s="4"/>
      <c r="I183" s="5"/>
      <c r="J183" s="5"/>
      <c r="K183" s="5"/>
      <c r="L183" s="5"/>
      <c r="M183" s="5"/>
      <c r="N183" s="5"/>
      <c r="O183" s="5"/>
      <c r="P183" s="5"/>
      <c r="Q183" s="5"/>
      <c r="R183" s="5"/>
      <c r="S183" s="5"/>
      <c r="T183" s="5"/>
      <c r="U183" s="5"/>
      <c r="V183" s="5"/>
      <c r="W183" s="5"/>
      <c r="X183" s="5"/>
      <c r="Y183" s="5"/>
      <c r="Z183" s="5"/>
      <c r="AA183" s="5"/>
      <c r="AB183" s="5"/>
    </row>
    <row r="184" ht="14.25" customHeight="1">
      <c r="A184" s="4"/>
      <c r="B184" s="4"/>
      <c r="C184" s="4"/>
      <c r="D184" s="4"/>
      <c r="E184" s="333"/>
      <c r="F184" s="333"/>
      <c r="G184" s="4"/>
      <c r="H184" s="4"/>
      <c r="I184" s="5"/>
      <c r="J184" s="5"/>
      <c r="K184" s="5"/>
      <c r="L184" s="5"/>
      <c r="M184" s="5"/>
      <c r="N184" s="5"/>
      <c r="O184" s="5"/>
      <c r="P184" s="5"/>
      <c r="Q184" s="5"/>
      <c r="R184" s="5"/>
      <c r="S184" s="5"/>
      <c r="T184" s="5"/>
      <c r="U184" s="5"/>
      <c r="V184" s="5"/>
      <c r="W184" s="5"/>
      <c r="X184" s="5"/>
      <c r="Y184" s="5"/>
      <c r="Z184" s="5"/>
      <c r="AA184" s="5"/>
      <c r="AB184" s="5"/>
    </row>
    <row r="185" ht="14.25" customHeight="1">
      <c r="A185" s="4"/>
      <c r="B185" s="4"/>
      <c r="C185" s="4"/>
      <c r="D185" s="4"/>
      <c r="E185" s="333"/>
      <c r="F185" s="333"/>
      <c r="G185" s="4"/>
      <c r="H185" s="4"/>
      <c r="I185" s="5"/>
      <c r="J185" s="5"/>
      <c r="K185" s="5"/>
      <c r="L185" s="5"/>
      <c r="M185" s="5"/>
      <c r="N185" s="5"/>
      <c r="O185" s="5"/>
      <c r="P185" s="5"/>
      <c r="Q185" s="5"/>
      <c r="R185" s="5"/>
      <c r="S185" s="5"/>
      <c r="T185" s="5"/>
      <c r="U185" s="5"/>
      <c r="V185" s="5"/>
      <c r="W185" s="5"/>
      <c r="X185" s="5"/>
      <c r="Y185" s="5"/>
      <c r="Z185" s="5"/>
      <c r="AA185" s="5"/>
      <c r="AB185" s="5"/>
    </row>
    <row r="186" ht="14.25" customHeight="1">
      <c r="A186" s="4"/>
      <c r="B186" s="4"/>
      <c r="C186" s="4"/>
      <c r="D186" s="4"/>
      <c r="E186" s="333"/>
      <c r="F186" s="333"/>
      <c r="G186" s="4"/>
      <c r="H186" s="4"/>
      <c r="I186" s="5"/>
      <c r="J186" s="5"/>
      <c r="K186" s="5"/>
      <c r="L186" s="5"/>
      <c r="M186" s="5"/>
      <c r="N186" s="5"/>
      <c r="O186" s="5"/>
      <c r="P186" s="5"/>
      <c r="Q186" s="5"/>
      <c r="R186" s="5"/>
      <c r="S186" s="5"/>
      <c r="T186" s="5"/>
      <c r="U186" s="5"/>
      <c r="V186" s="5"/>
      <c r="W186" s="5"/>
      <c r="X186" s="5"/>
      <c r="Y186" s="5"/>
      <c r="Z186" s="5"/>
      <c r="AA186" s="5"/>
      <c r="AB186" s="5"/>
    </row>
    <row r="187" ht="14.25" customHeight="1">
      <c r="A187" s="4"/>
      <c r="B187" s="4"/>
      <c r="C187" s="4"/>
      <c r="D187" s="4"/>
      <c r="E187" s="333"/>
      <c r="F187" s="333"/>
      <c r="G187" s="4"/>
      <c r="H187" s="4"/>
      <c r="I187" s="5"/>
      <c r="J187" s="5"/>
      <c r="K187" s="5"/>
      <c r="L187" s="5"/>
      <c r="M187" s="5"/>
      <c r="N187" s="5"/>
      <c r="O187" s="5"/>
      <c r="P187" s="5"/>
      <c r="Q187" s="5"/>
      <c r="R187" s="5"/>
      <c r="S187" s="5"/>
      <c r="T187" s="5"/>
      <c r="U187" s="5"/>
      <c r="V187" s="5"/>
      <c r="W187" s="5"/>
      <c r="X187" s="5"/>
      <c r="Y187" s="5"/>
      <c r="Z187" s="5"/>
      <c r="AA187" s="5"/>
      <c r="AB187" s="5"/>
    </row>
    <row r="188" ht="14.25" customHeight="1">
      <c r="A188" s="4"/>
      <c r="B188" s="4"/>
      <c r="C188" s="4"/>
      <c r="D188" s="4"/>
      <c r="E188" s="333"/>
      <c r="F188" s="333"/>
      <c r="G188" s="4"/>
      <c r="H188" s="4"/>
      <c r="I188" s="5"/>
      <c r="J188" s="5"/>
      <c r="K188" s="5"/>
      <c r="L188" s="5"/>
      <c r="M188" s="5"/>
      <c r="N188" s="5"/>
      <c r="O188" s="5"/>
      <c r="P188" s="5"/>
      <c r="Q188" s="5"/>
      <c r="R188" s="5"/>
      <c r="S188" s="5"/>
      <c r="T188" s="5"/>
      <c r="U188" s="5"/>
      <c r="V188" s="5"/>
      <c r="W188" s="5"/>
      <c r="X188" s="5"/>
      <c r="Y188" s="5"/>
      <c r="Z188" s="5"/>
      <c r="AA188" s="5"/>
      <c r="AB188" s="5"/>
    </row>
    <row r="189" ht="14.25" customHeight="1">
      <c r="A189" s="4"/>
      <c r="B189" s="4"/>
      <c r="C189" s="4"/>
      <c r="D189" s="4"/>
      <c r="E189" s="333"/>
      <c r="F189" s="333"/>
      <c r="G189" s="4"/>
      <c r="H189" s="4"/>
      <c r="I189" s="5"/>
      <c r="J189" s="5"/>
      <c r="K189" s="5"/>
      <c r="L189" s="5"/>
      <c r="M189" s="5"/>
      <c r="N189" s="5"/>
      <c r="O189" s="5"/>
      <c r="P189" s="5"/>
      <c r="Q189" s="5"/>
      <c r="R189" s="5"/>
      <c r="S189" s="5"/>
      <c r="T189" s="5"/>
      <c r="U189" s="5"/>
      <c r="V189" s="5"/>
      <c r="W189" s="5"/>
      <c r="X189" s="5"/>
      <c r="Y189" s="5"/>
      <c r="Z189" s="5"/>
      <c r="AA189" s="5"/>
      <c r="AB189" s="5"/>
    </row>
    <row r="190" ht="14.25" customHeight="1">
      <c r="A190" s="4"/>
      <c r="B190" s="4"/>
      <c r="C190" s="4"/>
      <c r="D190" s="4"/>
      <c r="E190" s="333"/>
      <c r="F190" s="333"/>
      <c r="G190" s="4"/>
      <c r="H190" s="4"/>
      <c r="I190" s="5"/>
      <c r="J190" s="5"/>
      <c r="K190" s="5"/>
      <c r="L190" s="5"/>
      <c r="M190" s="5"/>
      <c r="N190" s="5"/>
      <c r="O190" s="5"/>
      <c r="P190" s="5"/>
      <c r="Q190" s="5"/>
      <c r="R190" s="5"/>
      <c r="S190" s="5"/>
      <c r="T190" s="5"/>
      <c r="U190" s="5"/>
      <c r="V190" s="5"/>
      <c r="W190" s="5"/>
      <c r="X190" s="5"/>
      <c r="Y190" s="5"/>
      <c r="Z190" s="5"/>
      <c r="AA190" s="5"/>
      <c r="AB190" s="5"/>
    </row>
    <row r="191" ht="14.25" customHeight="1">
      <c r="A191" s="4"/>
      <c r="B191" s="4"/>
      <c r="C191" s="4"/>
      <c r="D191" s="4"/>
      <c r="E191" s="333"/>
      <c r="F191" s="333"/>
      <c r="G191" s="4"/>
      <c r="H191" s="4"/>
      <c r="I191" s="5"/>
      <c r="J191" s="5"/>
      <c r="K191" s="5"/>
      <c r="L191" s="5"/>
      <c r="M191" s="5"/>
      <c r="N191" s="5"/>
      <c r="O191" s="5"/>
      <c r="P191" s="5"/>
      <c r="Q191" s="5"/>
      <c r="R191" s="5"/>
      <c r="S191" s="5"/>
      <c r="T191" s="5"/>
      <c r="U191" s="5"/>
      <c r="V191" s="5"/>
      <c r="W191" s="5"/>
      <c r="X191" s="5"/>
      <c r="Y191" s="5"/>
      <c r="Z191" s="5"/>
      <c r="AA191" s="5"/>
      <c r="AB191" s="5"/>
    </row>
    <row r="192" ht="14.25" customHeight="1">
      <c r="A192" s="4"/>
      <c r="B192" s="4"/>
      <c r="C192" s="4"/>
      <c r="D192" s="4"/>
      <c r="E192" s="333"/>
      <c r="F192" s="333"/>
      <c r="G192" s="4"/>
      <c r="H192" s="4"/>
      <c r="I192" s="5"/>
      <c r="J192" s="5"/>
      <c r="K192" s="5"/>
      <c r="L192" s="5"/>
      <c r="M192" s="5"/>
      <c r="N192" s="5"/>
      <c r="O192" s="5"/>
      <c r="P192" s="5"/>
      <c r="Q192" s="5"/>
      <c r="R192" s="5"/>
      <c r="S192" s="5"/>
      <c r="T192" s="5"/>
      <c r="U192" s="5"/>
      <c r="V192" s="5"/>
      <c r="W192" s="5"/>
      <c r="X192" s="5"/>
      <c r="Y192" s="5"/>
      <c r="Z192" s="5"/>
      <c r="AA192" s="5"/>
      <c r="AB192" s="5"/>
    </row>
    <row r="193" ht="14.25" customHeight="1">
      <c r="A193" s="4"/>
      <c r="B193" s="4"/>
      <c r="C193" s="4"/>
      <c r="D193" s="4"/>
      <c r="E193" s="333"/>
      <c r="F193" s="333"/>
      <c r="G193" s="4"/>
      <c r="H193" s="4"/>
      <c r="I193" s="5"/>
      <c r="J193" s="5"/>
      <c r="K193" s="5"/>
      <c r="L193" s="5"/>
      <c r="M193" s="5"/>
      <c r="N193" s="5"/>
      <c r="O193" s="5"/>
      <c r="P193" s="5"/>
      <c r="Q193" s="5"/>
      <c r="R193" s="5"/>
      <c r="S193" s="5"/>
      <c r="T193" s="5"/>
      <c r="U193" s="5"/>
      <c r="V193" s="5"/>
      <c r="W193" s="5"/>
      <c r="X193" s="5"/>
      <c r="Y193" s="5"/>
      <c r="Z193" s="5"/>
      <c r="AA193" s="5"/>
      <c r="AB193" s="5"/>
    </row>
    <row r="194" ht="14.25" customHeight="1">
      <c r="A194" s="4"/>
      <c r="B194" s="4"/>
      <c r="C194" s="4"/>
      <c r="D194" s="4"/>
      <c r="E194" s="333"/>
      <c r="F194" s="333"/>
      <c r="G194" s="4"/>
      <c r="H194" s="4"/>
      <c r="I194" s="5"/>
      <c r="J194" s="5"/>
      <c r="K194" s="5"/>
      <c r="L194" s="5"/>
      <c r="M194" s="5"/>
      <c r="N194" s="5"/>
      <c r="O194" s="5"/>
      <c r="P194" s="5"/>
      <c r="Q194" s="5"/>
      <c r="R194" s="5"/>
      <c r="S194" s="5"/>
      <c r="T194" s="5"/>
      <c r="U194" s="5"/>
      <c r="V194" s="5"/>
      <c r="W194" s="5"/>
      <c r="X194" s="5"/>
      <c r="Y194" s="5"/>
      <c r="Z194" s="5"/>
      <c r="AA194" s="5"/>
      <c r="AB194" s="5"/>
    </row>
    <row r="195" ht="14.25" customHeight="1">
      <c r="A195" s="4"/>
      <c r="B195" s="4"/>
      <c r="C195" s="4"/>
      <c r="D195" s="4"/>
      <c r="E195" s="333"/>
      <c r="F195" s="333"/>
      <c r="G195" s="4"/>
      <c r="H195" s="4"/>
      <c r="I195" s="5"/>
      <c r="J195" s="5"/>
      <c r="K195" s="5"/>
      <c r="L195" s="5"/>
      <c r="M195" s="5"/>
      <c r="N195" s="5"/>
      <c r="O195" s="5"/>
      <c r="P195" s="5"/>
      <c r="Q195" s="5"/>
      <c r="R195" s="5"/>
      <c r="S195" s="5"/>
      <c r="T195" s="5"/>
      <c r="U195" s="5"/>
      <c r="V195" s="5"/>
      <c r="W195" s="5"/>
      <c r="X195" s="5"/>
      <c r="Y195" s="5"/>
      <c r="Z195" s="5"/>
      <c r="AA195" s="5"/>
      <c r="AB195" s="5"/>
    </row>
    <row r="196" ht="14.25" customHeight="1">
      <c r="A196" s="4"/>
      <c r="B196" s="4"/>
      <c r="C196" s="4"/>
      <c r="D196" s="4"/>
      <c r="E196" s="333"/>
      <c r="F196" s="333"/>
      <c r="G196" s="4"/>
      <c r="H196" s="4"/>
      <c r="I196" s="5"/>
      <c r="J196" s="5"/>
      <c r="K196" s="5"/>
      <c r="L196" s="5"/>
      <c r="M196" s="5"/>
      <c r="N196" s="5"/>
      <c r="O196" s="5"/>
      <c r="P196" s="5"/>
      <c r="Q196" s="5"/>
      <c r="R196" s="5"/>
      <c r="S196" s="5"/>
      <c r="T196" s="5"/>
      <c r="U196" s="5"/>
      <c r="V196" s="5"/>
      <c r="W196" s="5"/>
      <c r="X196" s="5"/>
      <c r="Y196" s="5"/>
      <c r="Z196" s="5"/>
      <c r="AA196" s="5"/>
      <c r="AB196" s="5"/>
    </row>
    <row r="197" ht="14.25" customHeight="1">
      <c r="A197" s="4"/>
      <c r="B197" s="4"/>
      <c r="C197" s="4"/>
      <c r="D197" s="4"/>
      <c r="E197" s="333"/>
      <c r="F197" s="333"/>
      <c r="G197" s="4"/>
      <c r="H197" s="4"/>
      <c r="I197" s="5"/>
      <c r="J197" s="5"/>
      <c r="K197" s="5"/>
      <c r="L197" s="5"/>
      <c r="M197" s="5"/>
      <c r="N197" s="5"/>
      <c r="O197" s="5"/>
      <c r="P197" s="5"/>
      <c r="Q197" s="5"/>
      <c r="R197" s="5"/>
      <c r="S197" s="5"/>
      <c r="T197" s="5"/>
      <c r="U197" s="5"/>
      <c r="V197" s="5"/>
      <c r="W197" s="5"/>
      <c r="X197" s="5"/>
      <c r="Y197" s="5"/>
      <c r="Z197" s="5"/>
      <c r="AA197" s="5"/>
      <c r="AB197" s="5"/>
    </row>
    <row r="198" ht="14.25" customHeight="1">
      <c r="A198" s="4"/>
      <c r="B198" s="4"/>
      <c r="C198" s="4"/>
      <c r="D198" s="4"/>
      <c r="E198" s="333"/>
      <c r="F198" s="333"/>
      <c r="G198" s="4"/>
      <c r="H198" s="4"/>
      <c r="I198" s="5"/>
      <c r="J198" s="5"/>
      <c r="K198" s="5"/>
      <c r="L198" s="5"/>
      <c r="M198" s="5"/>
      <c r="N198" s="5"/>
      <c r="O198" s="5"/>
      <c r="P198" s="5"/>
      <c r="Q198" s="5"/>
      <c r="R198" s="5"/>
      <c r="S198" s="5"/>
      <c r="T198" s="5"/>
      <c r="U198" s="5"/>
      <c r="V198" s="5"/>
      <c r="W198" s="5"/>
      <c r="X198" s="5"/>
      <c r="Y198" s="5"/>
      <c r="Z198" s="5"/>
      <c r="AA198" s="5"/>
      <c r="AB198" s="5"/>
    </row>
    <row r="199" ht="14.25" customHeight="1">
      <c r="A199" s="4"/>
      <c r="B199" s="4"/>
      <c r="C199" s="4"/>
      <c r="D199" s="4"/>
      <c r="E199" s="333"/>
      <c r="F199" s="333"/>
      <c r="G199" s="4"/>
      <c r="H199" s="4"/>
      <c r="I199" s="5"/>
      <c r="J199" s="5"/>
      <c r="K199" s="5"/>
      <c r="L199" s="5"/>
      <c r="M199" s="5"/>
      <c r="N199" s="5"/>
      <c r="O199" s="5"/>
      <c r="P199" s="5"/>
      <c r="Q199" s="5"/>
      <c r="R199" s="5"/>
      <c r="S199" s="5"/>
      <c r="T199" s="5"/>
      <c r="U199" s="5"/>
      <c r="V199" s="5"/>
      <c r="W199" s="5"/>
      <c r="X199" s="5"/>
      <c r="Y199" s="5"/>
      <c r="Z199" s="5"/>
      <c r="AA199" s="5"/>
      <c r="AB199" s="5"/>
    </row>
    <row r="200" ht="14.25" customHeight="1">
      <c r="A200" s="4"/>
      <c r="B200" s="4"/>
      <c r="C200" s="4"/>
      <c r="D200" s="4"/>
      <c r="E200" s="333"/>
      <c r="F200" s="333"/>
      <c r="G200" s="4"/>
      <c r="H200" s="4"/>
      <c r="I200" s="5"/>
      <c r="J200" s="5"/>
      <c r="K200" s="5"/>
      <c r="L200" s="5"/>
      <c r="M200" s="5"/>
      <c r="N200" s="5"/>
      <c r="O200" s="5"/>
      <c r="P200" s="5"/>
      <c r="Q200" s="5"/>
      <c r="R200" s="5"/>
      <c r="S200" s="5"/>
      <c r="T200" s="5"/>
      <c r="U200" s="5"/>
      <c r="V200" s="5"/>
      <c r="W200" s="5"/>
      <c r="X200" s="5"/>
      <c r="Y200" s="5"/>
      <c r="Z200" s="5"/>
      <c r="AA200" s="5"/>
      <c r="AB200" s="5"/>
    </row>
    <row r="201" ht="14.25" customHeight="1">
      <c r="A201" s="4"/>
      <c r="B201" s="4"/>
      <c r="C201" s="4"/>
      <c r="D201" s="4"/>
      <c r="E201" s="333"/>
      <c r="F201" s="333"/>
      <c r="G201" s="4"/>
      <c r="H201" s="4"/>
      <c r="I201" s="5"/>
      <c r="J201" s="5"/>
      <c r="K201" s="5"/>
      <c r="L201" s="5"/>
      <c r="M201" s="5"/>
      <c r="N201" s="5"/>
      <c r="O201" s="5"/>
      <c r="P201" s="5"/>
      <c r="Q201" s="5"/>
      <c r="R201" s="5"/>
      <c r="S201" s="5"/>
      <c r="T201" s="5"/>
      <c r="U201" s="5"/>
      <c r="V201" s="5"/>
      <c r="W201" s="5"/>
      <c r="X201" s="5"/>
      <c r="Y201" s="5"/>
      <c r="Z201" s="5"/>
      <c r="AA201" s="5"/>
      <c r="AB201" s="5"/>
    </row>
    <row r="202" ht="14.25" customHeight="1">
      <c r="A202" s="4"/>
      <c r="B202" s="4"/>
      <c r="C202" s="4"/>
      <c r="D202" s="4"/>
      <c r="E202" s="333"/>
      <c r="F202" s="333"/>
      <c r="G202" s="4"/>
      <c r="H202" s="4"/>
      <c r="I202" s="5"/>
      <c r="J202" s="5"/>
      <c r="K202" s="5"/>
      <c r="L202" s="5"/>
      <c r="M202" s="5"/>
      <c r="N202" s="5"/>
      <c r="O202" s="5"/>
      <c r="P202" s="5"/>
      <c r="Q202" s="5"/>
      <c r="R202" s="5"/>
      <c r="S202" s="5"/>
      <c r="T202" s="5"/>
      <c r="U202" s="5"/>
      <c r="V202" s="5"/>
      <c r="W202" s="5"/>
      <c r="X202" s="5"/>
      <c r="Y202" s="5"/>
      <c r="Z202" s="5"/>
      <c r="AA202" s="5"/>
      <c r="AB202" s="5"/>
    </row>
    <row r="203" ht="14.25" customHeight="1">
      <c r="A203" s="4"/>
      <c r="B203" s="4"/>
      <c r="C203" s="4"/>
      <c r="D203" s="4"/>
      <c r="E203" s="333"/>
      <c r="F203" s="333"/>
      <c r="G203" s="4"/>
      <c r="H203" s="4"/>
      <c r="I203" s="5"/>
      <c r="J203" s="5"/>
      <c r="K203" s="5"/>
      <c r="L203" s="5"/>
      <c r="M203" s="5"/>
      <c r="N203" s="5"/>
      <c r="O203" s="5"/>
      <c r="P203" s="5"/>
      <c r="Q203" s="5"/>
      <c r="R203" s="5"/>
      <c r="S203" s="5"/>
      <c r="T203" s="5"/>
      <c r="U203" s="5"/>
      <c r="V203" s="5"/>
      <c r="W203" s="5"/>
      <c r="X203" s="5"/>
      <c r="Y203" s="5"/>
      <c r="Z203" s="5"/>
      <c r="AA203" s="5"/>
      <c r="AB203" s="5"/>
    </row>
    <row r="204" ht="14.25" customHeight="1">
      <c r="A204" s="4"/>
      <c r="B204" s="4"/>
      <c r="C204" s="4"/>
      <c r="D204" s="4"/>
      <c r="E204" s="333"/>
      <c r="F204" s="333"/>
      <c r="G204" s="4"/>
      <c r="H204" s="4"/>
      <c r="I204" s="5"/>
      <c r="J204" s="5"/>
      <c r="K204" s="5"/>
      <c r="L204" s="5"/>
      <c r="M204" s="5"/>
      <c r="N204" s="5"/>
      <c r="O204" s="5"/>
      <c r="P204" s="5"/>
      <c r="Q204" s="5"/>
      <c r="R204" s="5"/>
      <c r="S204" s="5"/>
      <c r="T204" s="5"/>
      <c r="U204" s="5"/>
      <c r="V204" s="5"/>
      <c r="W204" s="5"/>
      <c r="X204" s="5"/>
      <c r="Y204" s="5"/>
      <c r="Z204" s="5"/>
      <c r="AA204" s="5"/>
      <c r="AB204" s="5"/>
    </row>
    <row r="205" ht="14.25" customHeight="1">
      <c r="A205" s="4"/>
      <c r="B205" s="4"/>
      <c r="C205" s="4"/>
      <c r="D205" s="4"/>
      <c r="E205" s="333"/>
      <c r="F205" s="333"/>
      <c r="G205" s="4"/>
      <c r="H205" s="4"/>
      <c r="I205" s="5"/>
      <c r="J205" s="5"/>
      <c r="K205" s="5"/>
      <c r="L205" s="5"/>
      <c r="M205" s="5"/>
      <c r="N205" s="5"/>
      <c r="O205" s="5"/>
      <c r="P205" s="5"/>
      <c r="Q205" s="5"/>
      <c r="R205" s="5"/>
      <c r="S205" s="5"/>
      <c r="T205" s="5"/>
      <c r="U205" s="5"/>
      <c r="V205" s="5"/>
      <c r="W205" s="5"/>
      <c r="X205" s="5"/>
      <c r="Y205" s="5"/>
      <c r="Z205" s="5"/>
      <c r="AA205" s="5"/>
      <c r="AB205" s="5"/>
    </row>
    <row r="206" ht="14.25" customHeight="1">
      <c r="A206" s="4"/>
      <c r="B206" s="4"/>
      <c r="C206" s="4"/>
      <c r="D206" s="4"/>
      <c r="E206" s="333"/>
      <c r="F206" s="333"/>
      <c r="G206" s="4"/>
      <c r="H206" s="4"/>
      <c r="I206" s="5"/>
      <c r="J206" s="5"/>
      <c r="K206" s="5"/>
      <c r="L206" s="5"/>
      <c r="M206" s="5"/>
      <c r="N206" s="5"/>
      <c r="O206" s="5"/>
      <c r="P206" s="5"/>
      <c r="Q206" s="5"/>
      <c r="R206" s="5"/>
      <c r="S206" s="5"/>
      <c r="T206" s="5"/>
      <c r="U206" s="5"/>
      <c r="V206" s="5"/>
      <c r="W206" s="5"/>
      <c r="X206" s="5"/>
      <c r="Y206" s="5"/>
      <c r="Z206" s="5"/>
      <c r="AA206" s="5"/>
      <c r="AB206" s="5"/>
    </row>
    <row r="207" ht="14.25" customHeight="1">
      <c r="A207" s="4"/>
      <c r="B207" s="4"/>
      <c r="C207" s="4"/>
      <c r="D207" s="4"/>
      <c r="E207" s="333"/>
      <c r="F207" s="333"/>
      <c r="G207" s="4"/>
      <c r="H207" s="4"/>
      <c r="I207" s="5"/>
      <c r="J207" s="5"/>
      <c r="K207" s="5"/>
      <c r="L207" s="5"/>
      <c r="M207" s="5"/>
      <c r="N207" s="5"/>
      <c r="O207" s="5"/>
      <c r="P207" s="5"/>
      <c r="Q207" s="5"/>
      <c r="R207" s="5"/>
      <c r="S207" s="5"/>
      <c r="T207" s="5"/>
      <c r="U207" s="5"/>
      <c r="V207" s="5"/>
      <c r="W207" s="5"/>
      <c r="X207" s="5"/>
      <c r="Y207" s="5"/>
      <c r="Z207" s="5"/>
      <c r="AA207" s="5"/>
      <c r="AB207" s="5"/>
    </row>
    <row r="208" ht="14.25" customHeight="1">
      <c r="A208" s="4"/>
      <c r="B208" s="4"/>
      <c r="C208" s="4"/>
      <c r="D208" s="4"/>
      <c r="E208" s="333"/>
      <c r="F208" s="333"/>
      <c r="G208" s="4"/>
      <c r="H208" s="4"/>
      <c r="I208" s="5"/>
      <c r="J208" s="5"/>
      <c r="K208" s="5"/>
      <c r="L208" s="5"/>
      <c r="M208" s="5"/>
      <c r="N208" s="5"/>
      <c r="O208" s="5"/>
      <c r="P208" s="5"/>
      <c r="Q208" s="5"/>
      <c r="R208" s="5"/>
      <c r="S208" s="5"/>
      <c r="T208" s="5"/>
      <c r="U208" s="5"/>
      <c r="V208" s="5"/>
      <c r="W208" s="5"/>
      <c r="X208" s="5"/>
      <c r="Y208" s="5"/>
      <c r="Z208" s="5"/>
      <c r="AA208" s="5"/>
      <c r="AB208" s="5"/>
    </row>
    <row r="209" ht="14.25" customHeight="1">
      <c r="A209" s="4"/>
      <c r="B209" s="4"/>
      <c r="C209" s="4"/>
      <c r="D209" s="4"/>
      <c r="E209" s="333"/>
      <c r="F209" s="333"/>
      <c r="G209" s="4"/>
      <c r="H209" s="4"/>
      <c r="I209" s="5"/>
      <c r="J209" s="5"/>
      <c r="K209" s="5"/>
      <c r="L209" s="5"/>
      <c r="M209" s="5"/>
      <c r="N209" s="5"/>
      <c r="O209" s="5"/>
      <c r="P209" s="5"/>
      <c r="Q209" s="5"/>
      <c r="R209" s="5"/>
      <c r="S209" s="5"/>
      <c r="T209" s="5"/>
      <c r="U209" s="5"/>
      <c r="V209" s="5"/>
      <c r="W209" s="5"/>
      <c r="X209" s="5"/>
      <c r="Y209" s="5"/>
      <c r="Z209" s="5"/>
      <c r="AA209" s="5"/>
      <c r="AB209" s="5"/>
    </row>
    <row r="210" ht="14.25" customHeight="1">
      <c r="A210" s="4"/>
      <c r="B210" s="4"/>
      <c r="C210" s="4"/>
      <c r="D210" s="4"/>
      <c r="E210" s="333"/>
      <c r="F210" s="333"/>
      <c r="G210" s="4"/>
      <c r="H210" s="4"/>
      <c r="I210" s="5"/>
      <c r="J210" s="5"/>
      <c r="K210" s="5"/>
      <c r="L210" s="5"/>
      <c r="M210" s="5"/>
      <c r="N210" s="5"/>
      <c r="O210" s="5"/>
      <c r="P210" s="5"/>
      <c r="Q210" s="5"/>
      <c r="R210" s="5"/>
      <c r="S210" s="5"/>
      <c r="T210" s="5"/>
      <c r="U210" s="5"/>
      <c r="V210" s="5"/>
      <c r="W210" s="5"/>
      <c r="X210" s="5"/>
      <c r="Y210" s="5"/>
      <c r="Z210" s="5"/>
      <c r="AA210" s="5"/>
      <c r="AB210" s="5"/>
    </row>
    <row r="211" ht="14.25" customHeight="1">
      <c r="A211" s="4"/>
      <c r="B211" s="4"/>
      <c r="C211" s="4"/>
      <c r="D211" s="4"/>
      <c r="E211" s="333"/>
      <c r="F211" s="333"/>
      <c r="G211" s="4"/>
      <c r="H211" s="4"/>
      <c r="I211" s="5"/>
      <c r="J211" s="5"/>
      <c r="K211" s="5"/>
      <c r="L211" s="5"/>
      <c r="M211" s="5"/>
      <c r="N211" s="5"/>
      <c r="O211" s="5"/>
      <c r="P211" s="5"/>
      <c r="Q211" s="5"/>
      <c r="R211" s="5"/>
      <c r="S211" s="5"/>
      <c r="T211" s="5"/>
      <c r="U211" s="5"/>
      <c r="V211" s="5"/>
      <c r="W211" s="5"/>
      <c r="X211" s="5"/>
      <c r="Y211" s="5"/>
      <c r="Z211" s="5"/>
      <c r="AA211" s="5"/>
      <c r="AB211" s="5"/>
    </row>
    <row r="212" ht="14.25" customHeight="1">
      <c r="A212" s="4"/>
      <c r="B212" s="4"/>
      <c r="C212" s="4"/>
      <c r="D212" s="4"/>
      <c r="E212" s="333"/>
      <c r="F212" s="333"/>
      <c r="G212" s="4"/>
      <c r="H212" s="4"/>
      <c r="I212" s="5"/>
      <c r="J212" s="5"/>
      <c r="K212" s="5"/>
      <c r="L212" s="5"/>
      <c r="M212" s="5"/>
      <c r="N212" s="5"/>
      <c r="O212" s="5"/>
      <c r="P212" s="5"/>
      <c r="Q212" s="5"/>
      <c r="R212" s="5"/>
      <c r="S212" s="5"/>
      <c r="T212" s="5"/>
      <c r="U212" s="5"/>
      <c r="V212" s="5"/>
      <c r="W212" s="5"/>
      <c r="X212" s="5"/>
      <c r="Y212" s="5"/>
      <c r="Z212" s="5"/>
      <c r="AA212" s="5"/>
      <c r="AB212" s="5"/>
    </row>
    <row r="213" ht="14.25" customHeight="1">
      <c r="A213" s="4"/>
      <c r="B213" s="4"/>
      <c r="C213" s="4"/>
      <c r="D213" s="4"/>
      <c r="E213" s="333"/>
      <c r="F213" s="333"/>
      <c r="G213" s="4"/>
      <c r="H213" s="4"/>
      <c r="I213" s="5"/>
      <c r="J213" s="5"/>
      <c r="K213" s="5"/>
      <c r="L213" s="5"/>
      <c r="M213" s="5"/>
      <c r="N213" s="5"/>
      <c r="O213" s="5"/>
      <c r="P213" s="5"/>
      <c r="Q213" s="5"/>
      <c r="R213" s="5"/>
      <c r="S213" s="5"/>
      <c r="T213" s="5"/>
      <c r="U213" s="5"/>
      <c r="V213" s="5"/>
      <c r="W213" s="5"/>
      <c r="X213" s="5"/>
      <c r="Y213" s="5"/>
      <c r="Z213" s="5"/>
      <c r="AA213" s="5"/>
      <c r="AB213" s="5"/>
    </row>
    <row r="214" ht="14.25" customHeight="1">
      <c r="A214" s="4"/>
      <c r="B214" s="4"/>
      <c r="C214" s="4"/>
      <c r="D214" s="4"/>
      <c r="E214" s="333"/>
      <c r="F214" s="333"/>
      <c r="G214" s="4"/>
      <c r="H214" s="4"/>
      <c r="I214" s="5"/>
      <c r="J214" s="5"/>
      <c r="K214" s="5"/>
      <c r="L214" s="5"/>
      <c r="M214" s="5"/>
      <c r="N214" s="5"/>
      <c r="O214" s="5"/>
      <c r="P214" s="5"/>
      <c r="Q214" s="5"/>
      <c r="R214" s="5"/>
      <c r="S214" s="5"/>
      <c r="T214" s="5"/>
      <c r="U214" s="5"/>
      <c r="V214" s="5"/>
      <c r="W214" s="5"/>
      <c r="X214" s="5"/>
      <c r="Y214" s="5"/>
      <c r="Z214" s="5"/>
      <c r="AA214" s="5"/>
      <c r="AB214" s="5"/>
    </row>
    <row r="215" ht="14.25" customHeight="1">
      <c r="A215" s="4"/>
      <c r="B215" s="4"/>
      <c r="C215" s="4"/>
      <c r="D215" s="4"/>
      <c r="E215" s="333"/>
      <c r="F215" s="333"/>
      <c r="G215" s="4"/>
      <c r="H215" s="4"/>
      <c r="I215" s="5"/>
      <c r="J215" s="5"/>
      <c r="K215" s="5"/>
      <c r="L215" s="5"/>
      <c r="M215" s="5"/>
      <c r="N215" s="5"/>
      <c r="O215" s="5"/>
      <c r="P215" s="5"/>
      <c r="Q215" s="5"/>
      <c r="R215" s="5"/>
      <c r="S215" s="5"/>
      <c r="T215" s="5"/>
      <c r="U215" s="5"/>
      <c r="V215" s="5"/>
      <c r="W215" s="5"/>
      <c r="X215" s="5"/>
      <c r="Y215" s="5"/>
      <c r="Z215" s="5"/>
      <c r="AA215" s="5"/>
      <c r="AB215" s="5"/>
    </row>
    <row r="216" ht="14.25" customHeight="1">
      <c r="A216" s="4"/>
      <c r="B216" s="4"/>
      <c r="C216" s="4"/>
      <c r="D216" s="4"/>
      <c r="E216" s="333"/>
      <c r="F216" s="333"/>
      <c r="G216" s="4"/>
      <c r="H216" s="4"/>
      <c r="I216" s="5"/>
      <c r="J216" s="5"/>
      <c r="K216" s="5"/>
      <c r="L216" s="5"/>
      <c r="M216" s="5"/>
      <c r="N216" s="5"/>
      <c r="O216" s="5"/>
      <c r="P216" s="5"/>
      <c r="Q216" s="5"/>
      <c r="R216" s="5"/>
      <c r="S216" s="5"/>
      <c r="T216" s="5"/>
      <c r="U216" s="5"/>
      <c r="V216" s="5"/>
      <c r="W216" s="5"/>
      <c r="X216" s="5"/>
      <c r="Y216" s="5"/>
      <c r="Z216" s="5"/>
      <c r="AA216" s="5"/>
      <c r="AB216" s="5"/>
    </row>
    <row r="217" ht="14.25" customHeight="1">
      <c r="A217" s="4"/>
      <c r="B217" s="4"/>
      <c r="C217" s="4"/>
      <c r="D217" s="4"/>
      <c r="E217" s="333"/>
      <c r="F217" s="333"/>
      <c r="G217" s="4"/>
      <c r="H217" s="4"/>
      <c r="I217" s="5"/>
      <c r="J217" s="5"/>
      <c r="K217" s="5"/>
      <c r="L217" s="5"/>
      <c r="M217" s="5"/>
      <c r="N217" s="5"/>
      <c r="O217" s="5"/>
      <c r="P217" s="5"/>
      <c r="Q217" s="5"/>
      <c r="R217" s="5"/>
      <c r="S217" s="5"/>
      <c r="T217" s="5"/>
      <c r="U217" s="5"/>
      <c r="V217" s="5"/>
      <c r="W217" s="5"/>
      <c r="X217" s="5"/>
      <c r="Y217" s="5"/>
      <c r="Z217" s="5"/>
      <c r="AA217" s="5"/>
      <c r="AB217" s="5"/>
    </row>
    <row r="218" ht="14.25" customHeight="1">
      <c r="A218" s="4"/>
      <c r="B218" s="4"/>
      <c r="C218" s="4"/>
      <c r="D218" s="4"/>
      <c r="E218" s="333"/>
      <c r="F218" s="333"/>
      <c r="G218" s="4"/>
      <c r="H218" s="4"/>
      <c r="I218" s="5"/>
      <c r="J218" s="5"/>
      <c r="K218" s="5"/>
      <c r="L218" s="5"/>
      <c r="M218" s="5"/>
      <c r="N218" s="5"/>
      <c r="O218" s="5"/>
      <c r="P218" s="5"/>
      <c r="Q218" s="5"/>
      <c r="R218" s="5"/>
      <c r="S218" s="5"/>
      <c r="T218" s="5"/>
      <c r="U218" s="5"/>
      <c r="V218" s="5"/>
      <c r="W218" s="5"/>
      <c r="X218" s="5"/>
      <c r="Y218" s="5"/>
      <c r="Z218" s="5"/>
      <c r="AA218" s="5"/>
      <c r="AB218" s="5"/>
    </row>
    <row r="219" ht="14.25" customHeight="1">
      <c r="A219" s="4"/>
      <c r="B219" s="4"/>
      <c r="C219" s="4"/>
      <c r="D219" s="4"/>
      <c r="E219" s="333"/>
      <c r="F219" s="333"/>
      <c r="G219" s="4"/>
      <c r="H219" s="4"/>
      <c r="I219" s="5"/>
      <c r="J219" s="5"/>
      <c r="K219" s="5"/>
      <c r="L219" s="5"/>
      <c r="M219" s="5"/>
      <c r="N219" s="5"/>
      <c r="O219" s="5"/>
      <c r="P219" s="5"/>
      <c r="Q219" s="5"/>
      <c r="R219" s="5"/>
      <c r="S219" s="5"/>
      <c r="T219" s="5"/>
      <c r="U219" s="5"/>
      <c r="V219" s="5"/>
      <c r="W219" s="5"/>
      <c r="X219" s="5"/>
      <c r="Y219" s="5"/>
      <c r="Z219" s="5"/>
      <c r="AA219" s="5"/>
      <c r="AB219" s="5"/>
    </row>
    <row r="220" ht="14.25" customHeight="1">
      <c r="A220" s="4"/>
      <c r="B220" s="4"/>
      <c r="C220" s="4"/>
      <c r="D220" s="4"/>
      <c r="E220" s="333"/>
      <c r="F220" s="333"/>
      <c r="G220" s="4"/>
      <c r="H220" s="4"/>
      <c r="I220" s="5"/>
      <c r="J220" s="5"/>
      <c r="K220" s="5"/>
      <c r="L220" s="5"/>
      <c r="M220" s="5"/>
      <c r="N220" s="5"/>
      <c r="O220" s="5"/>
      <c r="P220" s="5"/>
      <c r="Q220" s="5"/>
      <c r="R220" s="5"/>
      <c r="S220" s="5"/>
      <c r="T220" s="5"/>
      <c r="U220" s="5"/>
      <c r="V220" s="5"/>
      <c r="W220" s="5"/>
      <c r="X220" s="5"/>
      <c r="Y220" s="5"/>
      <c r="Z220" s="5"/>
      <c r="AA220" s="5"/>
      <c r="AB220" s="5"/>
    </row>
    <row r="221" ht="14.25" customHeight="1">
      <c r="A221" s="4"/>
      <c r="B221" s="4"/>
      <c r="C221" s="4"/>
      <c r="D221" s="4"/>
      <c r="E221" s="333"/>
      <c r="F221" s="333"/>
      <c r="G221" s="4"/>
      <c r="H221" s="4"/>
      <c r="I221" s="5"/>
      <c r="J221" s="5"/>
      <c r="K221" s="5"/>
      <c r="L221" s="5"/>
      <c r="M221" s="5"/>
      <c r="N221" s="5"/>
      <c r="O221" s="5"/>
      <c r="P221" s="5"/>
      <c r="Q221" s="5"/>
      <c r="R221" s="5"/>
      <c r="S221" s="5"/>
      <c r="T221" s="5"/>
      <c r="U221" s="5"/>
      <c r="V221" s="5"/>
      <c r="W221" s="5"/>
      <c r="X221" s="5"/>
      <c r="Y221" s="5"/>
      <c r="Z221" s="5"/>
      <c r="AA221" s="5"/>
      <c r="AB221" s="5"/>
    </row>
    <row r="222" ht="14.25" customHeight="1">
      <c r="A222" s="4"/>
      <c r="B222" s="4"/>
      <c r="C222" s="4"/>
      <c r="D222" s="4"/>
      <c r="E222" s="333"/>
      <c r="F222" s="333"/>
      <c r="G222" s="4"/>
      <c r="H222" s="4"/>
      <c r="I222" s="5"/>
      <c r="J222" s="5"/>
      <c r="K222" s="5"/>
      <c r="L222" s="5"/>
      <c r="M222" s="5"/>
      <c r="N222" s="5"/>
      <c r="O222" s="5"/>
      <c r="P222" s="5"/>
      <c r="Q222" s="5"/>
      <c r="R222" s="5"/>
      <c r="S222" s="5"/>
      <c r="T222" s="5"/>
      <c r="U222" s="5"/>
      <c r="V222" s="5"/>
      <c r="W222" s="5"/>
      <c r="X222" s="5"/>
      <c r="Y222" s="5"/>
      <c r="Z222" s="5"/>
      <c r="AA222" s="5"/>
      <c r="AB222" s="5"/>
    </row>
    <row r="223" ht="14.25" customHeight="1">
      <c r="A223" s="4"/>
      <c r="B223" s="4"/>
      <c r="C223" s="4"/>
      <c r="D223" s="4"/>
      <c r="E223" s="333"/>
      <c r="F223" s="333"/>
      <c r="G223" s="4"/>
      <c r="H223" s="4"/>
      <c r="I223" s="5"/>
      <c r="J223" s="5"/>
      <c r="K223" s="5"/>
      <c r="L223" s="5"/>
      <c r="M223" s="5"/>
      <c r="N223" s="5"/>
      <c r="O223" s="5"/>
      <c r="P223" s="5"/>
      <c r="Q223" s="5"/>
      <c r="R223" s="5"/>
      <c r="S223" s="5"/>
      <c r="T223" s="5"/>
      <c r="U223" s="5"/>
      <c r="V223" s="5"/>
      <c r="W223" s="5"/>
      <c r="X223" s="5"/>
      <c r="Y223" s="5"/>
      <c r="Z223" s="5"/>
      <c r="AA223" s="5"/>
      <c r="AB223" s="5"/>
    </row>
    <row r="224" ht="14.25" customHeight="1">
      <c r="A224" s="4"/>
      <c r="B224" s="4"/>
      <c r="C224" s="4"/>
      <c r="D224" s="4"/>
      <c r="E224" s="333"/>
      <c r="F224" s="333"/>
      <c r="G224" s="4"/>
      <c r="H224" s="4"/>
      <c r="I224" s="5"/>
      <c r="J224" s="5"/>
      <c r="K224" s="5"/>
      <c r="L224" s="5"/>
      <c r="M224" s="5"/>
      <c r="N224" s="5"/>
      <c r="O224" s="5"/>
      <c r="P224" s="5"/>
      <c r="Q224" s="5"/>
      <c r="R224" s="5"/>
      <c r="S224" s="5"/>
      <c r="T224" s="5"/>
      <c r="U224" s="5"/>
      <c r="V224" s="5"/>
      <c r="W224" s="5"/>
      <c r="X224" s="5"/>
      <c r="Y224" s="5"/>
      <c r="Z224" s="5"/>
      <c r="AA224" s="5"/>
      <c r="AB224" s="5"/>
    </row>
    <row r="225" ht="14.25" customHeight="1">
      <c r="A225" s="4"/>
      <c r="B225" s="4"/>
      <c r="C225" s="4"/>
      <c r="D225" s="4"/>
      <c r="E225" s="333"/>
      <c r="F225" s="333"/>
      <c r="G225" s="4"/>
      <c r="H225" s="4"/>
      <c r="I225" s="5"/>
      <c r="J225" s="5"/>
      <c r="K225" s="5"/>
      <c r="L225" s="5"/>
      <c r="M225" s="5"/>
      <c r="N225" s="5"/>
      <c r="O225" s="5"/>
      <c r="P225" s="5"/>
      <c r="Q225" s="5"/>
      <c r="R225" s="5"/>
      <c r="S225" s="5"/>
      <c r="T225" s="5"/>
      <c r="U225" s="5"/>
      <c r="V225" s="5"/>
      <c r="W225" s="5"/>
      <c r="X225" s="5"/>
      <c r="Y225" s="5"/>
      <c r="Z225" s="5"/>
      <c r="AA225" s="5"/>
      <c r="AB225" s="5"/>
    </row>
    <row r="226" ht="14.25" customHeight="1">
      <c r="A226" s="4"/>
      <c r="B226" s="4"/>
      <c r="C226" s="4"/>
      <c r="D226" s="4"/>
      <c r="E226" s="333"/>
      <c r="F226" s="333"/>
      <c r="G226" s="4"/>
      <c r="H226" s="4"/>
      <c r="I226" s="5"/>
      <c r="J226" s="5"/>
      <c r="K226" s="5"/>
      <c r="L226" s="5"/>
      <c r="M226" s="5"/>
      <c r="N226" s="5"/>
      <c r="O226" s="5"/>
      <c r="P226" s="5"/>
      <c r="Q226" s="5"/>
      <c r="R226" s="5"/>
      <c r="S226" s="5"/>
      <c r="T226" s="5"/>
      <c r="U226" s="5"/>
      <c r="V226" s="5"/>
      <c r="W226" s="5"/>
      <c r="X226" s="5"/>
      <c r="Y226" s="5"/>
      <c r="Z226" s="5"/>
      <c r="AA226" s="5"/>
      <c r="AB226" s="5"/>
    </row>
    <row r="227" ht="14.25" customHeight="1">
      <c r="A227" s="4"/>
      <c r="B227" s="4"/>
      <c r="C227" s="4"/>
      <c r="D227" s="4"/>
      <c r="E227" s="333"/>
      <c r="F227" s="333"/>
      <c r="G227" s="4"/>
      <c r="H227" s="4"/>
      <c r="I227" s="5"/>
      <c r="J227" s="5"/>
      <c r="K227" s="5"/>
      <c r="L227" s="5"/>
      <c r="M227" s="5"/>
      <c r="N227" s="5"/>
      <c r="O227" s="5"/>
      <c r="P227" s="5"/>
      <c r="Q227" s="5"/>
      <c r="R227" s="5"/>
      <c r="S227" s="5"/>
      <c r="T227" s="5"/>
      <c r="U227" s="5"/>
      <c r="V227" s="5"/>
      <c r="W227" s="5"/>
      <c r="X227" s="5"/>
      <c r="Y227" s="5"/>
      <c r="Z227" s="5"/>
      <c r="AA227" s="5"/>
      <c r="AB227" s="5"/>
    </row>
    <row r="228" ht="14.25" customHeight="1">
      <c r="A228" s="4"/>
      <c r="B228" s="4"/>
      <c r="C228" s="4"/>
      <c r="D228" s="4"/>
      <c r="E228" s="333"/>
      <c r="F228" s="333"/>
      <c r="G228" s="4"/>
      <c r="H228" s="4"/>
      <c r="I228" s="5"/>
      <c r="J228" s="5"/>
      <c r="K228" s="5"/>
      <c r="L228" s="5"/>
      <c r="M228" s="5"/>
      <c r="N228" s="5"/>
      <c r="O228" s="5"/>
      <c r="P228" s="5"/>
      <c r="Q228" s="5"/>
      <c r="R228" s="5"/>
      <c r="S228" s="5"/>
      <c r="T228" s="5"/>
      <c r="U228" s="5"/>
      <c r="V228" s="5"/>
      <c r="W228" s="5"/>
      <c r="X228" s="5"/>
      <c r="Y228" s="5"/>
      <c r="Z228" s="5"/>
      <c r="AA228" s="5"/>
      <c r="AB228" s="5"/>
    </row>
    <row r="229" ht="14.25" customHeight="1">
      <c r="A229" s="4"/>
      <c r="B229" s="4"/>
      <c r="C229" s="4"/>
      <c r="D229" s="4"/>
      <c r="E229" s="333"/>
      <c r="F229" s="333"/>
      <c r="G229" s="4"/>
      <c r="H229" s="4"/>
      <c r="I229" s="5"/>
      <c r="J229" s="5"/>
      <c r="K229" s="5"/>
      <c r="L229" s="5"/>
      <c r="M229" s="5"/>
      <c r="N229" s="5"/>
      <c r="O229" s="5"/>
      <c r="P229" s="5"/>
      <c r="Q229" s="5"/>
      <c r="R229" s="5"/>
      <c r="S229" s="5"/>
      <c r="T229" s="5"/>
      <c r="U229" s="5"/>
      <c r="V229" s="5"/>
      <c r="W229" s="5"/>
      <c r="X229" s="5"/>
      <c r="Y229" s="5"/>
      <c r="Z229" s="5"/>
      <c r="AA229" s="5"/>
      <c r="AB229" s="5"/>
    </row>
    <row r="230" ht="14.25" customHeight="1">
      <c r="A230" s="4"/>
      <c r="B230" s="4"/>
      <c r="C230" s="4"/>
      <c r="D230" s="4"/>
      <c r="E230" s="333"/>
      <c r="F230" s="333"/>
      <c r="G230" s="4"/>
      <c r="H230" s="4"/>
      <c r="I230" s="5"/>
      <c r="J230" s="5"/>
      <c r="K230" s="5"/>
      <c r="L230" s="5"/>
      <c r="M230" s="5"/>
      <c r="N230" s="5"/>
      <c r="O230" s="5"/>
      <c r="P230" s="5"/>
      <c r="Q230" s="5"/>
      <c r="R230" s="5"/>
      <c r="S230" s="5"/>
      <c r="T230" s="5"/>
      <c r="U230" s="5"/>
      <c r="V230" s="5"/>
      <c r="W230" s="5"/>
      <c r="X230" s="5"/>
      <c r="Y230" s="5"/>
      <c r="Z230" s="5"/>
      <c r="AA230" s="5"/>
      <c r="AB230" s="5"/>
    </row>
    <row r="231" ht="14.25" customHeight="1">
      <c r="A231" s="4"/>
      <c r="B231" s="4"/>
      <c r="C231" s="4"/>
      <c r="D231" s="4"/>
      <c r="E231" s="333"/>
      <c r="F231" s="333"/>
      <c r="G231" s="4"/>
      <c r="H231" s="4"/>
      <c r="I231" s="5"/>
      <c r="J231" s="5"/>
      <c r="K231" s="5"/>
      <c r="L231" s="5"/>
      <c r="M231" s="5"/>
      <c r="N231" s="5"/>
      <c r="O231" s="5"/>
      <c r="P231" s="5"/>
      <c r="Q231" s="5"/>
      <c r="R231" s="5"/>
      <c r="S231" s="5"/>
      <c r="T231" s="5"/>
      <c r="U231" s="5"/>
      <c r="V231" s="5"/>
      <c r="W231" s="5"/>
      <c r="X231" s="5"/>
      <c r="Y231" s="5"/>
      <c r="Z231" s="5"/>
      <c r="AA231" s="5"/>
      <c r="AB231" s="5"/>
    </row>
    <row r="232" ht="14.25" customHeight="1">
      <c r="A232" s="4"/>
      <c r="B232" s="4"/>
      <c r="C232" s="4"/>
      <c r="D232" s="4"/>
      <c r="E232" s="333"/>
      <c r="F232" s="333"/>
      <c r="G232" s="4"/>
      <c r="H232" s="4"/>
      <c r="I232" s="5"/>
      <c r="J232" s="5"/>
      <c r="K232" s="5"/>
      <c r="L232" s="5"/>
      <c r="M232" s="5"/>
      <c r="N232" s="5"/>
      <c r="O232" s="5"/>
      <c r="P232" s="5"/>
      <c r="Q232" s="5"/>
      <c r="R232" s="5"/>
      <c r="S232" s="5"/>
      <c r="T232" s="5"/>
      <c r="U232" s="5"/>
      <c r="V232" s="5"/>
      <c r="W232" s="5"/>
      <c r="X232" s="5"/>
      <c r="Y232" s="5"/>
      <c r="Z232" s="5"/>
      <c r="AA232" s="5"/>
      <c r="AB232" s="5"/>
    </row>
    <row r="233" ht="14.25" customHeight="1">
      <c r="A233" s="4"/>
      <c r="B233" s="4"/>
      <c r="C233" s="4"/>
      <c r="D233" s="4"/>
      <c r="E233" s="333"/>
      <c r="F233" s="333"/>
      <c r="G233" s="4"/>
      <c r="H233" s="4"/>
      <c r="I233" s="5"/>
      <c r="J233" s="5"/>
      <c r="K233" s="5"/>
      <c r="L233" s="5"/>
      <c r="M233" s="5"/>
      <c r="N233" s="5"/>
      <c r="O233" s="5"/>
      <c r="P233" s="5"/>
      <c r="Q233" s="5"/>
      <c r="R233" s="5"/>
      <c r="S233" s="5"/>
      <c r="T233" s="5"/>
      <c r="U233" s="5"/>
      <c r="V233" s="5"/>
      <c r="W233" s="5"/>
      <c r="X233" s="5"/>
      <c r="Y233" s="5"/>
      <c r="Z233" s="5"/>
      <c r="AA233" s="5"/>
      <c r="AB233" s="5"/>
    </row>
    <row r="234" ht="14.25" customHeight="1">
      <c r="A234" s="4"/>
      <c r="B234" s="4"/>
      <c r="C234" s="4"/>
      <c r="D234" s="4"/>
      <c r="E234" s="333"/>
      <c r="F234" s="333"/>
      <c r="G234" s="4"/>
      <c r="H234" s="4"/>
      <c r="I234" s="5"/>
      <c r="J234" s="5"/>
      <c r="K234" s="5"/>
      <c r="L234" s="5"/>
      <c r="M234" s="5"/>
      <c r="N234" s="5"/>
      <c r="O234" s="5"/>
      <c r="P234" s="5"/>
      <c r="Q234" s="5"/>
      <c r="R234" s="5"/>
      <c r="S234" s="5"/>
      <c r="T234" s="5"/>
      <c r="U234" s="5"/>
      <c r="V234" s="5"/>
      <c r="W234" s="5"/>
      <c r="X234" s="5"/>
      <c r="Y234" s="5"/>
      <c r="Z234" s="5"/>
      <c r="AA234" s="5"/>
      <c r="AB234" s="5"/>
    </row>
    <row r="235" ht="14.25" customHeight="1">
      <c r="A235" s="4"/>
      <c r="B235" s="4"/>
      <c r="C235" s="4"/>
      <c r="D235" s="4"/>
      <c r="E235" s="333"/>
      <c r="F235" s="333"/>
      <c r="G235" s="4"/>
      <c r="H235" s="4"/>
      <c r="I235" s="5"/>
      <c r="J235" s="5"/>
      <c r="K235" s="5"/>
      <c r="L235" s="5"/>
      <c r="M235" s="5"/>
      <c r="N235" s="5"/>
      <c r="O235" s="5"/>
      <c r="P235" s="5"/>
      <c r="Q235" s="5"/>
      <c r="R235" s="5"/>
      <c r="S235" s="5"/>
      <c r="T235" s="5"/>
      <c r="U235" s="5"/>
      <c r="V235" s="5"/>
      <c r="W235" s="5"/>
      <c r="X235" s="5"/>
      <c r="Y235" s="5"/>
      <c r="Z235" s="5"/>
      <c r="AA235" s="5"/>
      <c r="AB235" s="5"/>
    </row>
    <row r="236" ht="14.25" customHeight="1">
      <c r="A236" s="4"/>
      <c r="B236" s="4"/>
      <c r="C236" s="4"/>
      <c r="D236" s="4"/>
      <c r="E236" s="333"/>
      <c r="F236" s="333"/>
      <c r="G236" s="4"/>
      <c r="H236" s="4"/>
      <c r="I236" s="5"/>
      <c r="J236" s="5"/>
      <c r="K236" s="5"/>
      <c r="L236" s="5"/>
      <c r="M236" s="5"/>
      <c r="N236" s="5"/>
      <c r="O236" s="5"/>
      <c r="P236" s="5"/>
      <c r="Q236" s="5"/>
      <c r="R236" s="5"/>
      <c r="S236" s="5"/>
      <c r="T236" s="5"/>
      <c r="U236" s="5"/>
      <c r="V236" s="5"/>
      <c r="W236" s="5"/>
      <c r="X236" s="5"/>
      <c r="Y236" s="5"/>
      <c r="Z236" s="5"/>
      <c r="AA236" s="5"/>
      <c r="AB236" s="5"/>
    </row>
    <row r="237" ht="14.25" customHeight="1">
      <c r="A237" s="4"/>
      <c r="B237" s="4"/>
      <c r="C237" s="4"/>
      <c r="D237" s="4"/>
      <c r="E237" s="333"/>
      <c r="F237" s="333"/>
      <c r="G237" s="4"/>
      <c r="H237" s="4"/>
      <c r="I237" s="5"/>
      <c r="J237" s="5"/>
      <c r="K237" s="5"/>
      <c r="L237" s="5"/>
      <c r="M237" s="5"/>
      <c r="N237" s="5"/>
      <c r="O237" s="5"/>
      <c r="P237" s="5"/>
      <c r="Q237" s="5"/>
      <c r="R237" s="5"/>
      <c r="S237" s="5"/>
      <c r="T237" s="5"/>
      <c r="U237" s="5"/>
      <c r="V237" s="5"/>
      <c r="W237" s="5"/>
      <c r="X237" s="5"/>
      <c r="Y237" s="5"/>
      <c r="Z237" s="5"/>
      <c r="AA237" s="5"/>
      <c r="AB237" s="5"/>
    </row>
    <row r="238" ht="14.25" customHeight="1">
      <c r="A238" s="4"/>
      <c r="B238" s="4"/>
      <c r="C238" s="4"/>
      <c r="D238" s="4"/>
      <c r="E238" s="333"/>
      <c r="F238" s="333"/>
      <c r="G238" s="4"/>
      <c r="H238" s="4"/>
      <c r="I238" s="5"/>
      <c r="J238" s="5"/>
      <c r="K238" s="5"/>
      <c r="L238" s="5"/>
      <c r="M238" s="5"/>
      <c r="N238" s="5"/>
      <c r="O238" s="5"/>
      <c r="P238" s="5"/>
      <c r="Q238" s="5"/>
      <c r="R238" s="5"/>
      <c r="S238" s="5"/>
      <c r="T238" s="5"/>
      <c r="U238" s="5"/>
      <c r="V238" s="5"/>
      <c r="W238" s="5"/>
      <c r="X238" s="5"/>
      <c r="Y238" s="5"/>
      <c r="Z238" s="5"/>
      <c r="AA238" s="5"/>
      <c r="AB238" s="5"/>
    </row>
    <row r="239" ht="14.25" customHeight="1">
      <c r="A239" s="4"/>
      <c r="B239" s="4"/>
      <c r="C239" s="4"/>
      <c r="D239" s="4"/>
      <c r="E239" s="333"/>
      <c r="F239" s="333"/>
      <c r="G239" s="4"/>
      <c r="H239" s="4"/>
      <c r="I239" s="5"/>
      <c r="J239" s="5"/>
      <c r="K239" s="5"/>
      <c r="L239" s="5"/>
      <c r="M239" s="5"/>
      <c r="N239" s="5"/>
      <c r="O239" s="5"/>
      <c r="P239" s="5"/>
      <c r="Q239" s="5"/>
      <c r="R239" s="5"/>
      <c r="S239" s="5"/>
      <c r="T239" s="5"/>
      <c r="U239" s="5"/>
      <c r="V239" s="5"/>
      <c r="W239" s="5"/>
      <c r="X239" s="5"/>
      <c r="Y239" s="5"/>
      <c r="Z239" s="5"/>
      <c r="AA239" s="5"/>
      <c r="AB239" s="5"/>
    </row>
    <row r="240" ht="14.25" customHeight="1">
      <c r="A240" s="4"/>
      <c r="B240" s="4"/>
      <c r="C240" s="4"/>
      <c r="D240" s="4"/>
      <c r="E240" s="333"/>
      <c r="F240" s="333"/>
      <c r="G240" s="4"/>
      <c r="H240" s="4"/>
      <c r="I240" s="5"/>
      <c r="J240" s="5"/>
      <c r="K240" s="5"/>
      <c r="L240" s="5"/>
      <c r="M240" s="5"/>
      <c r="N240" s="5"/>
      <c r="O240" s="5"/>
      <c r="P240" s="5"/>
      <c r="Q240" s="5"/>
      <c r="R240" s="5"/>
      <c r="S240" s="5"/>
      <c r="T240" s="5"/>
      <c r="U240" s="5"/>
      <c r="V240" s="5"/>
      <c r="W240" s="5"/>
      <c r="X240" s="5"/>
      <c r="Y240" s="5"/>
      <c r="Z240" s="5"/>
      <c r="AA240" s="5"/>
      <c r="AB240" s="5"/>
    </row>
    <row r="241" ht="14.25" customHeight="1">
      <c r="A241" s="4"/>
      <c r="B241" s="4"/>
      <c r="C241" s="4"/>
      <c r="D241" s="4"/>
      <c r="E241" s="333"/>
      <c r="F241" s="333"/>
      <c r="G241" s="4"/>
      <c r="H241" s="4"/>
      <c r="I241" s="5"/>
      <c r="J241" s="5"/>
      <c r="K241" s="5"/>
      <c r="L241" s="5"/>
      <c r="M241" s="5"/>
      <c r="N241" s="5"/>
      <c r="O241" s="5"/>
      <c r="P241" s="5"/>
      <c r="Q241" s="5"/>
      <c r="R241" s="5"/>
      <c r="S241" s="5"/>
      <c r="T241" s="5"/>
      <c r="U241" s="5"/>
      <c r="V241" s="5"/>
      <c r="W241" s="5"/>
      <c r="X241" s="5"/>
      <c r="Y241" s="5"/>
      <c r="Z241" s="5"/>
      <c r="AA241" s="5"/>
      <c r="AB241" s="5"/>
    </row>
    <row r="242" ht="14.25" customHeight="1">
      <c r="A242" s="4"/>
      <c r="B242" s="4"/>
      <c r="C242" s="4"/>
      <c r="D242" s="4"/>
      <c r="E242" s="333"/>
      <c r="F242" s="333"/>
      <c r="G242" s="4"/>
      <c r="H242" s="4"/>
      <c r="I242" s="5"/>
      <c r="J242" s="5"/>
      <c r="K242" s="5"/>
      <c r="L242" s="5"/>
      <c r="M242" s="5"/>
      <c r="N242" s="5"/>
      <c r="O242" s="5"/>
      <c r="P242" s="5"/>
      <c r="Q242" s="5"/>
      <c r="R242" s="5"/>
      <c r="S242" s="5"/>
      <c r="T242" s="5"/>
      <c r="U242" s="5"/>
      <c r="V242" s="5"/>
      <c r="W242" s="5"/>
      <c r="X242" s="5"/>
      <c r="Y242" s="5"/>
      <c r="Z242" s="5"/>
      <c r="AA242" s="5"/>
      <c r="AB242" s="5"/>
    </row>
    <row r="243" ht="14.25" customHeight="1">
      <c r="A243" s="4"/>
      <c r="B243" s="4"/>
      <c r="C243" s="4"/>
      <c r="D243" s="4"/>
      <c r="E243" s="333"/>
      <c r="F243" s="333"/>
      <c r="G243" s="4"/>
      <c r="H243" s="4"/>
      <c r="I243" s="5"/>
      <c r="J243" s="5"/>
      <c r="K243" s="5"/>
      <c r="L243" s="5"/>
      <c r="M243" s="5"/>
      <c r="N243" s="5"/>
      <c r="O243" s="5"/>
      <c r="P243" s="5"/>
      <c r="Q243" s="5"/>
      <c r="R243" s="5"/>
      <c r="S243" s="5"/>
      <c r="T243" s="5"/>
      <c r="U243" s="5"/>
      <c r="V243" s="5"/>
      <c r="W243" s="5"/>
      <c r="X243" s="5"/>
      <c r="Y243" s="5"/>
      <c r="Z243" s="5"/>
      <c r="AA243" s="5"/>
      <c r="AB243" s="5"/>
    </row>
    <row r="244" ht="14.25" customHeight="1">
      <c r="A244" s="4"/>
      <c r="B244" s="4"/>
      <c r="C244" s="4"/>
      <c r="D244" s="4"/>
      <c r="E244" s="333"/>
      <c r="F244" s="333"/>
      <c r="G244" s="4"/>
      <c r="H244" s="4"/>
      <c r="I244" s="5"/>
      <c r="J244" s="5"/>
      <c r="K244" s="5"/>
      <c r="L244" s="5"/>
      <c r="M244" s="5"/>
      <c r="N244" s="5"/>
      <c r="O244" s="5"/>
      <c r="P244" s="5"/>
      <c r="Q244" s="5"/>
      <c r="R244" s="5"/>
      <c r="S244" s="5"/>
      <c r="T244" s="5"/>
      <c r="U244" s="5"/>
      <c r="V244" s="5"/>
      <c r="W244" s="5"/>
      <c r="X244" s="5"/>
      <c r="Y244" s="5"/>
      <c r="Z244" s="5"/>
      <c r="AA244" s="5"/>
      <c r="AB244" s="5"/>
    </row>
    <row r="245" ht="14.25" customHeight="1">
      <c r="A245" s="4"/>
      <c r="B245" s="4"/>
      <c r="C245" s="4"/>
      <c r="D245" s="4"/>
      <c r="E245" s="333"/>
      <c r="F245" s="333"/>
      <c r="G245" s="4"/>
      <c r="H245" s="4"/>
      <c r="I245" s="5"/>
      <c r="J245" s="5"/>
      <c r="K245" s="5"/>
      <c r="L245" s="5"/>
      <c r="M245" s="5"/>
      <c r="N245" s="5"/>
      <c r="O245" s="5"/>
      <c r="P245" s="5"/>
      <c r="Q245" s="5"/>
      <c r="R245" s="5"/>
      <c r="S245" s="5"/>
      <c r="T245" s="5"/>
      <c r="U245" s="5"/>
      <c r="V245" s="5"/>
      <c r="W245" s="5"/>
      <c r="X245" s="5"/>
      <c r="Y245" s="5"/>
      <c r="Z245" s="5"/>
      <c r="AA245" s="5"/>
      <c r="AB245" s="5"/>
    </row>
    <row r="246" ht="14.25" customHeight="1">
      <c r="A246" s="4"/>
      <c r="B246" s="4"/>
      <c r="C246" s="4"/>
      <c r="D246" s="4"/>
      <c r="E246" s="333"/>
      <c r="F246" s="333"/>
      <c r="G246" s="4"/>
      <c r="H246" s="4"/>
      <c r="I246" s="5"/>
      <c r="J246" s="5"/>
      <c r="K246" s="5"/>
      <c r="L246" s="5"/>
      <c r="M246" s="5"/>
      <c r="N246" s="5"/>
      <c r="O246" s="5"/>
      <c r="P246" s="5"/>
      <c r="Q246" s="5"/>
      <c r="R246" s="5"/>
      <c r="S246" s="5"/>
      <c r="T246" s="5"/>
      <c r="U246" s="5"/>
      <c r="V246" s="5"/>
      <c r="W246" s="5"/>
      <c r="X246" s="5"/>
      <c r="Y246" s="5"/>
      <c r="Z246" s="5"/>
      <c r="AA246" s="5"/>
      <c r="AB246" s="5"/>
    </row>
    <row r="247" ht="14.25" customHeight="1">
      <c r="A247" s="4"/>
      <c r="B247" s="4"/>
      <c r="C247" s="4"/>
      <c r="D247" s="4"/>
      <c r="E247" s="333"/>
      <c r="F247" s="333"/>
      <c r="G247" s="4"/>
      <c r="H247" s="4"/>
      <c r="I247" s="5"/>
      <c r="J247" s="5"/>
      <c r="K247" s="5"/>
      <c r="L247" s="5"/>
      <c r="M247" s="5"/>
      <c r="N247" s="5"/>
      <c r="O247" s="5"/>
      <c r="P247" s="5"/>
      <c r="Q247" s="5"/>
      <c r="R247" s="5"/>
      <c r="S247" s="5"/>
      <c r="T247" s="5"/>
      <c r="U247" s="5"/>
      <c r="V247" s="5"/>
      <c r="W247" s="5"/>
      <c r="X247" s="5"/>
      <c r="Y247" s="5"/>
      <c r="Z247" s="5"/>
      <c r="AA247" s="5"/>
      <c r="AB247" s="5"/>
    </row>
    <row r="248" ht="14.25" customHeight="1">
      <c r="A248" s="4"/>
      <c r="B248" s="4"/>
      <c r="C248" s="4"/>
      <c r="D248" s="4"/>
      <c r="E248" s="333"/>
      <c r="F248" s="333"/>
      <c r="G248" s="4"/>
      <c r="H248" s="4"/>
      <c r="I248" s="5"/>
      <c r="J248" s="5"/>
      <c r="K248" s="5"/>
      <c r="L248" s="5"/>
      <c r="M248" s="5"/>
      <c r="N248" s="5"/>
      <c r="O248" s="5"/>
      <c r="P248" s="5"/>
      <c r="Q248" s="5"/>
      <c r="R248" s="5"/>
      <c r="S248" s="5"/>
      <c r="T248" s="5"/>
      <c r="U248" s="5"/>
      <c r="V248" s="5"/>
      <c r="W248" s="5"/>
      <c r="X248" s="5"/>
      <c r="Y248" s="5"/>
      <c r="Z248" s="5"/>
      <c r="AA248" s="5"/>
      <c r="AB248" s="5"/>
    </row>
    <row r="249" ht="14.25" customHeight="1">
      <c r="A249" s="4"/>
      <c r="B249" s="4"/>
      <c r="C249" s="4"/>
      <c r="D249" s="4"/>
      <c r="E249" s="333"/>
      <c r="F249" s="333"/>
      <c r="G249" s="4"/>
      <c r="H249" s="4"/>
      <c r="I249" s="5"/>
      <c r="J249" s="5"/>
      <c r="K249" s="5"/>
      <c r="L249" s="5"/>
      <c r="M249" s="5"/>
      <c r="N249" s="5"/>
      <c r="O249" s="5"/>
      <c r="P249" s="5"/>
      <c r="Q249" s="5"/>
      <c r="R249" s="5"/>
      <c r="S249" s="5"/>
      <c r="T249" s="5"/>
      <c r="U249" s="5"/>
      <c r="V249" s="5"/>
      <c r="W249" s="5"/>
      <c r="X249" s="5"/>
      <c r="Y249" s="5"/>
      <c r="Z249" s="5"/>
      <c r="AA249" s="5"/>
      <c r="AB249" s="5"/>
    </row>
    <row r="250" ht="14.25" customHeight="1">
      <c r="A250" s="4"/>
      <c r="B250" s="4"/>
      <c r="C250" s="4"/>
      <c r="D250" s="4"/>
      <c r="E250" s="333"/>
      <c r="F250" s="333"/>
      <c r="G250" s="4"/>
      <c r="H250" s="4"/>
      <c r="I250" s="5"/>
      <c r="J250" s="5"/>
      <c r="K250" s="5"/>
      <c r="L250" s="5"/>
      <c r="M250" s="5"/>
      <c r="N250" s="5"/>
      <c r="O250" s="5"/>
      <c r="P250" s="5"/>
      <c r="Q250" s="5"/>
      <c r="R250" s="5"/>
      <c r="S250" s="5"/>
      <c r="T250" s="5"/>
      <c r="U250" s="5"/>
      <c r="V250" s="5"/>
      <c r="W250" s="5"/>
      <c r="X250" s="5"/>
      <c r="Y250" s="5"/>
      <c r="Z250" s="5"/>
      <c r="AA250" s="5"/>
      <c r="AB250" s="5"/>
    </row>
    <row r="251" ht="14.25" customHeight="1">
      <c r="A251" s="4"/>
      <c r="B251" s="4"/>
      <c r="C251" s="4"/>
      <c r="D251" s="4"/>
      <c r="E251" s="333"/>
      <c r="F251" s="333"/>
      <c r="G251" s="4"/>
      <c r="H251" s="4"/>
      <c r="I251" s="5"/>
      <c r="J251" s="5"/>
      <c r="K251" s="5"/>
      <c r="L251" s="5"/>
      <c r="M251" s="5"/>
      <c r="N251" s="5"/>
      <c r="O251" s="5"/>
      <c r="P251" s="5"/>
      <c r="Q251" s="5"/>
      <c r="R251" s="5"/>
      <c r="S251" s="5"/>
      <c r="T251" s="5"/>
      <c r="U251" s="5"/>
      <c r="V251" s="5"/>
      <c r="W251" s="5"/>
      <c r="X251" s="5"/>
      <c r="Y251" s="5"/>
      <c r="Z251" s="5"/>
      <c r="AA251" s="5"/>
      <c r="AB251" s="5"/>
    </row>
    <row r="252" ht="14.25" customHeight="1">
      <c r="A252" s="4"/>
      <c r="B252" s="4"/>
      <c r="C252" s="4"/>
      <c r="D252" s="4"/>
      <c r="E252" s="333"/>
      <c r="F252" s="333"/>
      <c r="G252" s="4"/>
      <c r="H252" s="4"/>
      <c r="I252" s="5"/>
      <c r="J252" s="5"/>
      <c r="K252" s="5"/>
      <c r="L252" s="5"/>
      <c r="M252" s="5"/>
      <c r="N252" s="5"/>
      <c r="O252" s="5"/>
      <c r="P252" s="5"/>
      <c r="Q252" s="5"/>
      <c r="R252" s="5"/>
      <c r="S252" s="5"/>
      <c r="T252" s="5"/>
      <c r="U252" s="5"/>
      <c r="V252" s="5"/>
      <c r="W252" s="5"/>
      <c r="X252" s="5"/>
      <c r="Y252" s="5"/>
      <c r="Z252" s="5"/>
      <c r="AA252" s="5"/>
      <c r="AB252" s="5"/>
    </row>
    <row r="253" ht="14.25" customHeight="1">
      <c r="A253" s="4"/>
      <c r="B253" s="4"/>
      <c r="C253" s="4"/>
      <c r="D253" s="4"/>
      <c r="E253" s="333"/>
      <c r="F253" s="333"/>
      <c r="G253" s="4"/>
      <c r="H253" s="4"/>
      <c r="I253" s="5"/>
      <c r="J253" s="5"/>
      <c r="K253" s="5"/>
      <c r="L253" s="5"/>
      <c r="M253" s="5"/>
      <c r="N253" s="5"/>
      <c r="O253" s="5"/>
      <c r="P253" s="5"/>
      <c r="Q253" s="5"/>
      <c r="R253" s="5"/>
      <c r="S253" s="5"/>
      <c r="T253" s="5"/>
      <c r="U253" s="5"/>
      <c r="V253" s="5"/>
      <c r="W253" s="5"/>
      <c r="X253" s="5"/>
      <c r="Y253" s="5"/>
      <c r="Z253" s="5"/>
      <c r="AA253" s="5"/>
      <c r="AB253" s="5"/>
    </row>
    <row r="254" ht="14.25" customHeight="1">
      <c r="A254" s="4"/>
      <c r="B254" s="4"/>
      <c r="C254" s="4"/>
      <c r="D254" s="4"/>
      <c r="E254" s="333"/>
      <c r="F254" s="333"/>
      <c r="G254" s="4"/>
      <c r="H254" s="4"/>
      <c r="I254" s="5"/>
      <c r="J254" s="5"/>
      <c r="K254" s="5"/>
      <c r="L254" s="5"/>
      <c r="M254" s="5"/>
      <c r="N254" s="5"/>
      <c r="O254" s="5"/>
      <c r="P254" s="5"/>
      <c r="Q254" s="5"/>
      <c r="R254" s="5"/>
      <c r="S254" s="5"/>
      <c r="T254" s="5"/>
      <c r="U254" s="5"/>
      <c r="V254" s="5"/>
      <c r="W254" s="5"/>
      <c r="X254" s="5"/>
      <c r="Y254" s="5"/>
      <c r="Z254" s="5"/>
      <c r="AA254" s="5"/>
      <c r="AB254" s="5"/>
    </row>
    <row r="255" ht="14.25" customHeight="1">
      <c r="A255" s="4"/>
      <c r="B255" s="4"/>
      <c r="C255" s="4"/>
      <c r="D255" s="4"/>
      <c r="E255" s="333"/>
      <c r="F255" s="333"/>
      <c r="G255" s="4"/>
      <c r="H255" s="4"/>
      <c r="I255" s="5"/>
      <c r="J255" s="5"/>
      <c r="K255" s="5"/>
      <c r="L255" s="5"/>
      <c r="M255" s="5"/>
      <c r="N255" s="5"/>
      <c r="O255" s="5"/>
      <c r="P255" s="5"/>
      <c r="Q255" s="5"/>
      <c r="R255" s="5"/>
      <c r="S255" s="5"/>
      <c r="T255" s="5"/>
      <c r="U255" s="5"/>
      <c r="V255" s="5"/>
      <c r="W255" s="5"/>
      <c r="X255" s="5"/>
      <c r="Y255" s="5"/>
      <c r="Z255" s="5"/>
      <c r="AA255" s="5"/>
      <c r="AB255" s="5"/>
    </row>
    <row r="256" ht="14.25" customHeight="1">
      <c r="A256" s="4"/>
      <c r="B256" s="4"/>
      <c r="C256" s="4"/>
      <c r="D256" s="4"/>
      <c r="E256" s="333"/>
      <c r="F256" s="333"/>
      <c r="G256" s="4"/>
      <c r="H256" s="4"/>
      <c r="I256" s="5"/>
      <c r="J256" s="5"/>
      <c r="K256" s="5"/>
      <c r="L256" s="5"/>
      <c r="M256" s="5"/>
      <c r="N256" s="5"/>
      <c r="O256" s="5"/>
      <c r="P256" s="5"/>
      <c r="Q256" s="5"/>
      <c r="R256" s="5"/>
      <c r="S256" s="5"/>
      <c r="T256" s="5"/>
      <c r="U256" s="5"/>
      <c r="V256" s="5"/>
      <c r="W256" s="5"/>
      <c r="X256" s="5"/>
      <c r="Y256" s="5"/>
      <c r="Z256" s="5"/>
      <c r="AA256" s="5"/>
      <c r="AB256" s="5"/>
    </row>
    <row r="257" ht="14.25" customHeight="1">
      <c r="A257" s="4"/>
      <c r="B257" s="4"/>
      <c r="C257" s="4"/>
      <c r="D257" s="4"/>
      <c r="E257" s="333"/>
      <c r="F257" s="333"/>
      <c r="G257" s="4"/>
      <c r="H257" s="4"/>
      <c r="I257" s="5"/>
      <c r="J257" s="5"/>
      <c r="K257" s="5"/>
      <c r="L257" s="5"/>
      <c r="M257" s="5"/>
      <c r="N257" s="5"/>
      <c r="O257" s="5"/>
      <c r="P257" s="5"/>
      <c r="Q257" s="5"/>
      <c r="R257" s="5"/>
      <c r="S257" s="5"/>
      <c r="T257" s="5"/>
      <c r="U257" s="5"/>
      <c r="V257" s="5"/>
      <c r="W257" s="5"/>
      <c r="X257" s="5"/>
      <c r="Y257" s="5"/>
      <c r="Z257" s="5"/>
      <c r="AA257" s="5"/>
      <c r="AB257" s="5"/>
    </row>
    <row r="258" ht="14.25" customHeight="1">
      <c r="A258" s="4"/>
      <c r="B258" s="4"/>
      <c r="C258" s="4"/>
      <c r="D258" s="4"/>
      <c r="E258" s="333"/>
      <c r="F258" s="333"/>
      <c r="G258" s="4"/>
      <c r="H258" s="4"/>
      <c r="I258" s="5"/>
      <c r="J258" s="5"/>
      <c r="K258" s="5"/>
      <c r="L258" s="5"/>
      <c r="M258" s="5"/>
      <c r="N258" s="5"/>
      <c r="O258" s="5"/>
      <c r="P258" s="5"/>
      <c r="Q258" s="5"/>
      <c r="R258" s="5"/>
      <c r="S258" s="5"/>
      <c r="T258" s="5"/>
      <c r="U258" s="5"/>
      <c r="V258" s="5"/>
      <c r="W258" s="5"/>
      <c r="X258" s="5"/>
      <c r="Y258" s="5"/>
      <c r="Z258" s="5"/>
      <c r="AA258" s="5"/>
      <c r="AB258" s="5"/>
    </row>
    <row r="259" ht="14.25" customHeight="1">
      <c r="A259" s="4"/>
      <c r="B259" s="4"/>
      <c r="C259" s="4"/>
      <c r="D259" s="4"/>
      <c r="E259" s="333"/>
      <c r="F259" s="333"/>
      <c r="G259" s="4"/>
      <c r="H259" s="4"/>
      <c r="I259" s="5"/>
      <c r="J259" s="5"/>
      <c r="K259" s="5"/>
      <c r="L259" s="5"/>
      <c r="M259" s="5"/>
      <c r="N259" s="5"/>
      <c r="O259" s="5"/>
      <c r="P259" s="5"/>
      <c r="Q259" s="5"/>
      <c r="R259" s="5"/>
      <c r="S259" s="5"/>
      <c r="T259" s="5"/>
      <c r="U259" s="5"/>
      <c r="V259" s="5"/>
      <c r="W259" s="5"/>
      <c r="X259" s="5"/>
      <c r="Y259" s="5"/>
      <c r="Z259" s="5"/>
      <c r="AA259" s="5"/>
      <c r="AB259" s="5"/>
    </row>
    <row r="260" ht="14.25" customHeight="1">
      <c r="A260" s="4"/>
      <c r="B260" s="4"/>
      <c r="C260" s="4"/>
      <c r="D260" s="4"/>
      <c r="E260" s="333"/>
      <c r="F260" s="333"/>
      <c r="G260" s="4"/>
      <c r="H260" s="4"/>
      <c r="I260" s="5"/>
      <c r="J260" s="5"/>
      <c r="K260" s="5"/>
      <c r="L260" s="5"/>
      <c r="M260" s="5"/>
      <c r="N260" s="5"/>
      <c r="O260" s="5"/>
      <c r="P260" s="5"/>
      <c r="Q260" s="5"/>
      <c r="R260" s="5"/>
      <c r="S260" s="5"/>
      <c r="T260" s="5"/>
      <c r="U260" s="5"/>
      <c r="V260" s="5"/>
      <c r="W260" s="5"/>
      <c r="X260" s="5"/>
      <c r="Y260" s="5"/>
      <c r="Z260" s="5"/>
      <c r="AA260" s="5"/>
      <c r="AB260" s="5"/>
    </row>
    <row r="261" ht="14.25" customHeight="1">
      <c r="A261" s="4"/>
      <c r="B261" s="4"/>
      <c r="C261" s="4"/>
      <c r="D261" s="4"/>
      <c r="E261" s="333"/>
      <c r="F261" s="333"/>
      <c r="G261" s="4"/>
      <c r="H261" s="4"/>
      <c r="I261" s="5"/>
      <c r="J261" s="5"/>
      <c r="K261" s="5"/>
      <c r="L261" s="5"/>
      <c r="M261" s="5"/>
      <c r="N261" s="5"/>
      <c r="O261" s="5"/>
      <c r="P261" s="5"/>
      <c r="Q261" s="5"/>
      <c r="R261" s="5"/>
      <c r="S261" s="5"/>
      <c r="T261" s="5"/>
      <c r="U261" s="5"/>
      <c r="V261" s="5"/>
      <c r="W261" s="5"/>
      <c r="X261" s="5"/>
      <c r="Y261" s="5"/>
      <c r="Z261" s="5"/>
      <c r="AA261" s="5"/>
      <c r="AB261" s="5"/>
    </row>
    <row r="262" ht="14.25" customHeight="1">
      <c r="A262" s="4"/>
      <c r="B262" s="4"/>
      <c r="C262" s="4"/>
      <c r="D262" s="4"/>
      <c r="E262" s="333"/>
      <c r="F262" s="333"/>
      <c r="G262" s="4"/>
      <c r="H262" s="4"/>
      <c r="I262" s="5"/>
      <c r="J262" s="5"/>
      <c r="K262" s="5"/>
      <c r="L262" s="5"/>
      <c r="M262" s="5"/>
      <c r="N262" s="5"/>
      <c r="O262" s="5"/>
      <c r="P262" s="5"/>
      <c r="Q262" s="5"/>
      <c r="R262" s="5"/>
      <c r="S262" s="5"/>
      <c r="T262" s="5"/>
      <c r="U262" s="5"/>
      <c r="V262" s="5"/>
      <c r="W262" s="5"/>
      <c r="X262" s="5"/>
      <c r="Y262" s="5"/>
      <c r="Z262" s="5"/>
      <c r="AA262" s="5"/>
      <c r="AB262" s="5"/>
    </row>
    <row r="263" ht="14.25" customHeight="1">
      <c r="A263" s="4"/>
      <c r="B263" s="4"/>
      <c r="C263" s="4"/>
      <c r="D263" s="4"/>
      <c r="E263" s="333"/>
      <c r="F263" s="333"/>
      <c r="G263" s="4"/>
      <c r="H263" s="4"/>
      <c r="I263" s="5"/>
      <c r="J263" s="5"/>
      <c r="K263" s="5"/>
      <c r="L263" s="5"/>
      <c r="M263" s="5"/>
      <c r="N263" s="5"/>
      <c r="O263" s="5"/>
      <c r="P263" s="5"/>
      <c r="Q263" s="5"/>
      <c r="R263" s="5"/>
      <c r="S263" s="5"/>
      <c r="T263" s="5"/>
      <c r="U263" s="5"/>
      <c r="V263" s="5"/>
      <c r="W263" s="5"/>
      <c r="X263" s="5"/>
      <c r="Y263" s="5"/>
      <c r="Z263" s="5"/>
      <c r="AA263" s="5"/>
      <c r="AB263" s="5"/>
    </row>
    <row r="264" ht="14.25" customHeight="1">
      <c r="A264" s="4"/>
      <c r="B264" s="4"/>
      <c r="C264" s="4"/>
      <c r="D264" s="4"/>
      <c r="E264" s="333"/>
      <c r="F264" s="333"/>
      <c r="G264" s="4"/>
      <c r="H264" s="4"/>
      <c r="I264" s="5"/>
      <c r="J264" s="5"/>
      <c r="K264" s="5"/>
      <c r="L264" s="5"/>
      <c r="M264" s="5"/>
      <c r="N264" s="5"/>
      <c r="O264" s="5"/>
      <c r="P264" s="5"/>
      <c r="Q264" s="5"/>
      <c r="R264" s="5"/>
      <c r="S264" s="5"/>
      <c r="T264" s="5"/>
      <c r="U264" s="5"/>
      <c r="V264" s="5"/>
      <c r="W264" s="5"/>
      <c r="X264" s="5"/>
      <c r="Y264" s="5"/>
      <c r="Z264" s="5"/>
      <c r="AA264" s="5"/>
      <c r="AB264" s="5"/>
    </row>
    <row r="265" ht="14.25" customHeight="1">
      <c r="A265" s="4"/>
      <c r="B265" s="4"/>
      <c r="C265" s="4"/>
      <c r="D265" s="4"/>
      <c r="E265" s="333"/>
      <c r="F265" s="333"/>
      <c r="G265" s="4"/>
      <c r="H265" s="4"/>
      <c r="I265" s="5"/>
      <c r="J265" s="5"/>
      <c r="K265" s="5"/>
      <c r="L265" s="5"/>
      <c r="M265" s="5"/>
      <c r="N265" s="5"/>
      <c r="O265" s="5"/>
      <c r="P265" s="5"/>
      <c r="Q265" s="5"/>
      <c r="R265" s="5"/>
      <c r="S265" s="5"/>
      <c r="T265" s="5"/>
      <c r="U265" s="5"/>
      <c r="V265" s="5"/>
      <c r="W265" s="5"/>
      <c r="X265" s="5"/>
      <c r="Y265" s="5"/>
      <c r="Z265" s="5"/>
      <c r="AA265" s="5"/>
      <c r="AB265" s="5"/>
    </row>
    <row r="266" ht="14.25" customHeight="1">
      <c r="A266" s="4"/>
      <c r="B266" s="4"/>
      <c r="C266" s="4"/>
      <c r="D266" s="4"/>
      <c r="E266" s="333"/>
      <c r="F266" s="333"/>
      <c r="G266" s="4"/>
      <c r="H266" s="4"/>
      <c r="I266" s="5"/>
      <c r="J266" s="5"/>
      <c r="K266" s="5"/>
      <c r="L266" s="5"/>
      <c r="M266" s="5"/>
      <c r="N266" s="5"/>
      <c r="O266" s="5"/>
      <c r="P266" s="5"/>
      <c r="Q266" s="5"/>
      <c r="R266" s="5"/>
      <c r="S266" s="5"/>
      <c r="T266" s="5"/>
      <c r="U266" s="5"/>
      <c r="V266" s="5"/>
      <c r="W266" s="5"/>
      <c r="X266" s="5"/>
      <c r="Y266" s="5"/>
      <c r="Z266" s="5"/>
      <c r="AA266" s="5"/>
      <c r="AB266" s="5"/>
    </row>
    <row r="267" ht="14.25" customHeight="1">
      <c r="A267" s="4"/>
      <c r="B267" s="4"/>
      <c r="C267" s="4"/>
      <c r="D267" s="4"/>
      <c r="E267" s="333"/>
      <c r="F267" s="333"/>
      <c r="G267" s="4"/>
      <c r="H267" s="4"/>
      <c r="I267" s="5"/>
      <c r="J267" s="5"/>
      <c r="K267" s="5"/>
      <c r="L267" s="5"/>
      <c r="M267" s="5"/>
      <c r="N267" s="5"/>
      <c r="O267" s="5"/>
      <c r="P267" s="5"/>
      <c r="Q267" s="5"/>
      <c r="R267" s="5"/>
      <c r="S267" s="5"/>
      <c r="T267" s="5"/>
      <c r="U267" s="5"/>
      <c r="V267" s="5"/>
      <c r="W267" s="5"/>
      <c r="X267" s="5"/>
      <c r="Y267" s="5"/>
      <c r="Z267" s="5"/>
      <c r="AA267" s="5"/>
      <c r="AB267" s="5"/>
    </row>
    <row r="268" ht="14.25" customHeight="1">
      <c r="A268" s="4"/>
      <c r="B268" s="4"/>
      <c r="C268" s="4"/>
      <c r="D268" s="4"/>
      <c r="E268" s="333"/>
      <c r="F268" s="333"/>
      <c r="G268" s="4"/>
      <c r="H268" s="4"/>
      <c r="I268" s="5"/>
      <c r="J268" s="5"/>
      <c r="K268" s="5"/>
      <c r="L268" s="5"/>
      <c r="M268" s="5"/>
      <c r="N268" s="5"/>
      <c r="O268" s="5"/>
      <c r="P268" s="5"/>
      <c r="Q268" s="5"/>
      <c r="R268" s="5"/>
      <c r="S268" s="5"/>
      <c r="T268" s="5"/>
      <c r="U268" s="5"/>
      <c r="V268" s="5"/>
      <c r="W268" s="5"/>
      <c r="X268" s="5"/>
      <c r="Y268" s="5"/>
      <c r="Z268" s="5"/>
      <c r="AA268" s="5"/>
      <c r="AB268" s="5"/>
    </row>
    <row r="269" ht="14.25" customHeight="1">
      <c r="A269" s="4"/>
      <c r="B269" s="4"/>
      <c r="C269" s="4"/>
      <c r="D269" s="4"/>
      <c r="E269" s="333"/>
      <c r="F269" s="333"/>
      <c r="G269" s="4"/>
      <c r="H269" s="4"/>
      <c r="I269" s="5"/>
      <c r="J269" s="5"/>
      <c r="K269" s="5"/>
      <c r="L269" s="5"/>
      <c r="M269" s="5"/>
      <c r="N269" s="5"/>
      <c r="O269" s="5"/>
      <c r="P269" s="5"/>
      <c r="Q269" s="5"/>
      <c r="R269" s="5"/>
      <c r="S269" s="5"/>
      <c r="T269" s="5"/>
      <c r="U269" s="5"/>
      <c r="V269" s="5"/>
      <c r="W269" s="5"/>
      <c r="X269" s="5"/>
      <c r="Y269" s="5"/>
      <c r="Z269" s="5"/>
      <c r="AA269" s="5"/>
      <c r="AB269" s="5"/>
    </row>
    <row r="270" ht="14.25" customHeight="1">
      <c r="A270" s="4"/>
      <c r="B270" s="4"/>
      <c r="C270" s="4"/>
      <c r="D270" s="4"/>
      <c r="E270" s="333"/>
      <c r="F270" s="333"/>
      <c r="G270" s="4"/>
      <c r="H270" s="4"/>
      <c r="I270" s="5"/>
      <c r="J270" s="5"/>
      <c r="K270" s="5"/>
      <c r="L270" s="5"/>
      <c r="M270" s="5"/>
      <c r="N270" s="5"/>
      <c r="O270" s="5"/>
      <c r="P270" s="5"/>
      <c r="Q270" s="5"/>
      <c r="R270" s="5"/>
      <c r="S270" s="5"/>
      <c r="T270" s="5"/>
      <c r="U270" s="5"/>
      <c r="V270" s="5"/>
      <c r="W270" s="5"/>
      <c r="X270" s="5"/>
      <c r="Y270" s="5"/>
      <c r="Z270" s="5"/>
      <c r="AA270" s="5"/>
      <c r="AB270" s="5"/>
    </row>
    <row r="271" ht="14.25" customHeight="1">
      <c r="A271" s="4"/>
      <c r="B271" s="4"/>
      <c r="C271" s="4"/>
      <c r="D271" s="4"/>
      <c r="E271" s="333"/>
      <c r="F271" s="333"/>
      <c r="G271" s="4"/>
      <c r="H271" s="4"/>
      <c r="I271" s="5"/>
      <c r="J271" s="5"/>
      <c r="K271" s="5"/>
      <c r="L271" s="5"/>
      <c r="M271" s="5"/>
      <c r="N271" s="5"/>
      <c r="O271" s="5"/>
      <c r="P271" s="5"/>
      <c r="Q271" s="5"/>
      <c r="R271" s="5"/>
      <c r="S271" s="5"/>
      <c r="T271" s="5"/>
      <c r="U271" s="5"/>
      <c r="V271" s="5"/>
      <c r="W271" s="5"/>
      <c r="X271" s="5"/>
      <c r="Y271" s="5"/>
      <c r="Z271" s="5"/>
      <c r="AA271" s="5"/>
      <c r="AB271" s="5"/>
    </row>
    <row r="272" ht="14.25" customHeight="1">
      <c r="A272" s="4"/>
      <c r="B272" s="4"/>
      <c r="C272" s="4"/>
      <c r="D272" s="4"/>
      <c r="E272" s="333"/>
      <c r="F272" s="333"/>
      <c r="G272" s="4"/>
      <c r="H272" s="4"/>
      <c r="I272" s="5"/>
      <c r="J272" s="5"/>
      <c r="K272" s="5"/>
      <c r="L272" s="5"/>
      <c r="M272" s="5"/>
      <c r="N272" s="5"/>
      <c r="O272" s="5"/>
      <c r="P272" s="5"/>
      <c r="Q272" s="5"/>
      <c r="R272" s="5"/>
      <c r="S272" s="5"/>
      <c r="T272" s="5"/>
      <c r="U272" s="5"/>
      <c r="V272" s="5"/>
      <c r="W272" s="5"/>
      <c r="X272" s="5"/>
      <c r="Y272" s="5"/>
      <c r="Z272" s="5"/>
      <c r="AA272" s="5"/>
      <c r="AB272" s="5"/>
    </row>
    <row r="273" ht="14.25" customHeight="1">
      <c r="A273" s="4"/>
      <c r="B273" s="4"/>
      <c r="C273" s="4"/>
      <c r="D273" s="4"/>
      <c r="E273" s="333"/>
      <c r="F273" s="333"/>
      <c r="G273" s="4"/>
      <c r="H273" s="4"/>
      <c r="I273" s="5"/>
      <c r="J273" s="5"/>
      <c r="K273" s="5"/>
      <c r="L273" s="5"/>
      <c r="M273" s="5"/>
      <c r="N273" s="5"/>
      <c r="O273" s="5"/>
      <c r="P273" s="5"/>
      <c r="Q273" s="5"/>
      <c r="R273" s="5"/>
      <c r="S273" s="5"/>
      <c r="T273" s="5"/>
      <c r="U273" s="5"/>
      <c r="V273" s="5"/>
      <c r="W273" s="5"/>
      <c r="X273" s="5"/>
      <c r="Y273" s="5"/>
      <c r="Z273" s="5"/>
      <c r="AA273" s="5"/>
      <c r="AB273" s="5"/>
    </row>
    <row r="274" ht="14.25" customHeight="1">
      <c r="A274" s="4"/>
      <c r="B274" s="4"/>
      <c r="C274" s="4"/>
      <c r="D274" s="4"/>
      <c r="E274" s="333"/>
      <c r="F274" s="333"/>
      <c r="G274" s="4"/>
      <c r="H274" s="4"/>
      <c r="I274" s="5"/>
      <c r="J274" s="5"/>
      <c r="K274" s="5"/>
      <c r="L274" s="5"/>
      <c r="M274" s="5"/>
      <c r="N274" s="5"/>
      <c r="O274" s="5"/>
      <c r="P274" s="5"/>
      <c r="Q274" s="5"/>
      <c r="R274" s="5"/>
      <c r="S274" s="5"/>
      <c r="T274" s="5"/>
      <c r="U274" s="5"/>
      <c r="V274" s="5"/>
      <c r="W274" s="5"/>
      <c r="X274" s="5"/>
      <c r="Y274" s="5"/>
      <c r="Z274" s="5"/>
      <c r="AA274" s="5"/>
      <c r="AB274" s="5"/>
    </row>
    <row r="275" ht="14.25" customHeight="1">
      <c r="A275" s="4"/>
      <c r="B275" s="4"/>
      <c r="C275" s="4"/>
      <c r="D275" s="4"/>
      <c r="E275" s="333"/>
      <c r="F275" s="333"/>
      <c r="G275" s="4"/>
      <c r="H275" s="4"/>
      <c r="I275" s="5"/>
      <c r="J275" s="5"/>
      <c r="K275" s="5"/>
      <c r="L275" s="5"/>
      <c r="M275" s="5"/>
      <c r="N275" s="5"/>
      <c r="O275" s="5"/>
      <c r="P275" s="5"/>
      <c r="Q275" s="5"/>
      <c r="R275" s="5"/>
      <c r="S275" s="5"/>
      <c r="T275" s="5"/>
      <c r="U275" s="5"/>
      <c r="V275" s="5"/>
      <c r="W275" s="5"/>
      <c r="X275" s="5"/>
      <c r="Y275" s="5"/>
      <c r="Z275" s="5"/>
      <c r="AA275" s="5"/>
      <c r="AB275" s="5"/>
    </row>
    <row r="276" ht="14.25" customHeight="1">
      <c r="A276" s="4"/>
      <c r="B276" s="4"/>
      <c r="C276" s="4"/>
      <c r="D276" s="4"/>
      <c r="E276" s="333"/>
      <c r="F276" s="333"/>
      <c r="G276" s="4"/>
      <c r="H276" s="4"/>
      <c r="I276" s="5"/>
      <c r="J276" s="5"/>
      <c r="K276" s="5"/>
      <c r="L276" s="5"/>
      <c r="M276" s="5"/>
      <c r="N276" s="5"/>
      <c r="O276" s="5"/>
      <c r="P276" s="5"/>
      <c r="Q276" s="5"/>
      <c r="R276" s="5"/>
      <c r="S276" s="5"/>
      <c r="T276" s="5"/>
      <c r="U276" s="5"/>
      <c r="V276" s="5"/>
      <c r="W276" s="5"/>
      <c r="X276" s="5"/>
      <c r="Y276" s="5"/>
      <c r="Z276" s="5"/>
      <c r="AA276" s="5"/>
      <c r="AB276" s="5"/>
    </row>
    <row r="277" ht="14.25" customHeight="1">
      <c r="A277" s="4"/>
      <c r="B277" s="4"/>
      <c r="C277" s="4"/>
      <c r="D277" s="4"/>
      <c r="E277" s="333"/>
      <c r="F277" s="333"/>
      <c r="G277" s="4"/>
      <c r="H277" s="4"/>
      <c r="I277" s="5"/>
      <c r="J277" s="5"/>
      <c r="K277" s="5"/>
      <c r="L277" s="5"/>
      <c r="M277" s="5"/>
      <c r="N277" s="5"/>
      <c r="O277" s="5"/>
      <c r="P277" s="5"/>
      <c r="Q277" s="5"/>
      <c r="R277" s="5"/>
      <c r="S277" s="5"/>
      <c r="T277" s="5"/>
      <c r="U277" s="5"/>
      <c r="V277" s="5"/>
      <c r="W277" s="5"/>
      <c r="X277" s="5"/>
      <c r="Y277" s="5"/>
      <c r="Z277" s="5"/>
      <c r="AA277" s="5"/>
      <c r="AB277" s="5"/>
    </row>
    <row r="278" ht="14.25" customHeight="1">
      <c r="A278" s="4"/>
      <c r="B278" s="4"/>
      <c r="C278" s="4"/>
      <c r="D278" s="4"/>
      <c r="E278" s="333"/>
      <c r="F278" s="333"/>
      <c r="G278" s="4"/>
      <c r="H278" s="4"/>
      <c r="I278" s="5"/>
      <c r="J278" s="5"/>
      <c r="K278" s="5"/>
      <c r="L278" s="5"/>
      <c r="M278" s="5"/>
      <c r="N278" s="5"/>
      <c r="O278" s="5"/>
      <c r="P278" s="5"/>
      <c r="Q278" s="5"/>
      <c r="R278" s="5"/>
      <c r="S278" s="5"/>
      <c r="T278" s="5"/>
      <c r="U278" s="5"/>
      <c r="V278" s="5"/>
      <c r="W278" s="5"/>
      <c r="X278" s="5"/>
      <c r="Y278" s="5"/>
      <c r="Z278" s="5"/>
      <c r="AA278" s="5"/>
      <c r="AB278" s="5"/>
    </row>
    <row r="279" ht="14.25" customHeight="1">
      <c r="A279" s="4"/>
      <c r="B279" s="4"/>
      <c r="C279" s="4"/>
      <c r="D279" s="4"/>
      <c r="E279" s="333"/>
      <c r="F279" s="333"/>
      <c r="G279" s="4"/>
      <c r="H279" s="4"/>
      <c r="I279" s="5"/>
      <c r="J279" s="5"/>
      <c r="K279" s="5"/>
      <c r="L279" s="5"/>
      <c r="M279" s="5"/>
      <c r="N279" s="5"/>
      <c r="O279" s="5"/>
      <c r="P279" s="5"/>
      <c r="Q279" s="5"/>
      <c r="R279" s="5"/>
      <c r="S279" s="5"/>
      <c r="T279" s="5"/>
      <c r="U279" s="5"/>
      <c r="V279" s="5"/>
      <c r="W279" s="5"/>
      <c r="X279" s="5"/>
      <c r="Y279" s="5"/>
      <c r="Z279" s="5"/>
      <c r="AA279" s="5"/>
      <c r="AB279" s="5"/>
    </row>
    <row r="280" ht="14.25" customHeight="1">
      <c r="A280" s="4"/>
      <c r="B280" s="4"/>
      <c r="C280" s="4"/>
      <c r="D280" s="4"/>
      <c r="E280" s="333"/>
      <c r="F280" s="333"/>
      <c r="G280" s="4"/>
      <c r="H280" s="4"/>
      <c r="I280" s="5"/>
      <c r="J280" s="5"/>
      <c r="K280" s="5"/>
      <c r="L280" s="5"/>
      <c r="M280" s="5"/>
      <c r="N280" s="5"/>
      <c r="O280" s="5"/>
      <c r="P280" s="5"/>
      <c r="Q280" s="5"/>
      <c r="R280" s="5"/>
      <c r="S280" s="5"/>
      <c r="T280" s="5"/>
      <c r="U280" s="5"/>
      <c r="V280" s="5"/>
      <c r="W280" s="5"/>
      <c r="X280" s="5"/>
      <c r="Y280" s="5"/>
      <c r="Z280" s="5"/>
      <c r="AA280" s="5"/>
      <c r="AB280" s="5"/>
    </row>
    <row r="281" ht="14.25" customHeight="1">
      <c r="A281" s="4"/>
      <c r="B281" s="4"/>
      <c r="C281" s="4"/>
      <c r="D281" s="4"/>
      <c r="E281" s="333"/>
      <c r="F281" s="333"/>
      <c r="G281" s="4"/>
      <c r="H281" s="4"/>
      <c r="I281" s="5"/>
      <c r="J281" s="5"/>
      <c r="K281" s="5"/>
      <c r="L281" s="5"/>
      <c r="M281" s="5"/>
      <c r="N281" s="5"/>
      <c r="O281" s="5"/>
      <c r="P281" s="5"/>
      <c r="Q281" s="5"/>
      <c r="R281" s="5"/>
      <c r="S281" s="5"/>
      <c r="T281" s="5"/>
      <c r="U281" s="5"/>
      <c r="V281" s="5"/>
      <c r="W281" s="5"/>
      <c r="X281" s="5"/>
      <c r="Y281" s="5"/>
      <c r="Z281" s="5"/>
      <c r="AA281" s="5"/>
      <c r="AB281" s="5"/>
    </row>
    <row r="282" ht="14.25" customHeight="1">
      <c r="A282" s="4"/>
      <c r="B282" s="4"/>
      <c r="C282" s="4"/>
      <c r="D282" s="4"/>
      <c r="E282" s="333"/>
      <c r="F282" s="333"/>
      <c r="G282" s="4"/>
      <c r="H282" s="4"/>
      <c r="I282" s="5"/>
      <c r="J282" s="5"/>
      <c r="K282" s="5"/>
      <c r="L282" s="5"/>
      <c r="M282" s="5"/>
      <c r="N282" s="5"/>
      <c r="O282" s="5"/>
      <c r="P282" s="5"/>
      <c r="Q282" s="5"/>
      <c r="R282" s="5"/>
      <c r="S282" s="5"/>
      <c r="T282" s="5"/>
      <c r="U282" s="5"/>
      <c r="V282" s="5"/>
      <c r="W282" s="5"/>
      <c r="X282" s="5"/>
      <c r="Y282" s="5"/>
      <c r="Z282" s="5"/>
      <c r="AA282" s="5"/>
      <c r="AB282" s="5"/>
    </row>
    <row r="283" ht="14.25" customHeight="1">
      <c r="A283" s="4"/>
      <c r="B283" s="4"/>
      <c r="C283" s="4"/>
      <c r="D283" s="4"/>
      <c r="E283" s="333"/>
      <c r="F283" s="333"/>
      <c r="G283" s="4"/>
      <c r="H283" s="4"/>
      <c r="I283" s="5"/>
      <c r="J283" s="5"/>
      <c r="K283" s="5"/>
      <c r="L283" s="5"/>
      <c r="M283" s="5"/>
      <c r="N283" s="5"/>
      <c r="O283" s="5"/>
      <c r="P283" s="5"/>
      <c r="Q283" s="5"/>
      <c r="R283" s="5"/>
      <c r="S283" s="5"/>
      <c r="T283" s="5"/>
      <c r="U283" s="5"/>
      <c r="V283" s="5"/>
      <c r="W283" s="5"/>
      <c r="X283" s="5"/>
      <c r="Y283" s="5"/>
      <c r="Z283" s="5"/>
      <c r="AA283" s="5"/>
      <c r="AB283" s="5"/>
    </row>
    <row r="284" ht="14.25" customHeight="1">
      <c r="A284" s="4"/>
      <c r="B284" s="4"/>
      <c r="C284" s="4"/>
      <c r="D284" s="4"/>
      <c r="E284" s="333"/>
      <c r="F284" s="333"/>
      <c r="G284" s="4"/>
      <c r="H284" s="4"/>
      <c r="I284" s="5"/>
      <c r="J284" s="5"/>
      <c r="K284" s="5"/>
      <c r="L284" s="5"/>
      <c r="M284" s="5"/>
      <c r="N284" s="5"/>
      <c r="O284" s="5"/>
      <c r="P284" s="5"/>
      <c r="Q284" s="5"/>
      <c r="R284" s="5"/>
      <c r="S284" s="5"/>
      <c r="T284" s="5"/>
      <c r="U284" s="5"/>
      <c r="V284" s="5"/>
      <c r="W284" s="5"/>
      <c r="X284" s="5"/>
      <c r="Y284" s="5"/>
      <c r="Z284" s="5"/>
      <c r="AA284" s="5"/>
      <c r="AB284" s="5"/>
    </row>
    <row r="285" ht="14.25" customHeight="1">
      <c r="A285" s="4"/>
      <c r="B285" s="4"/>
      <c r="C285" s="4"/>
      <c r="D285" s="4"/>
      <c r="E285" s="333"/>
      <c r="F285" s="333"/>
      <c r="G285" s="4"/>
      <c r="H285" s="4"/>
      <c r="I285" s="5"/>
      <c r="J285" s="5"/>
      <c r="K285" s="5"/>
      <c r="L285" s="5"/>
      <c r="M285" s="5"/>
      <c r="N285" s="5"/>
      <c r="O285" s="5"/>
      <c r="P285" s="5"/>
      <c r="Q285" s="5"/>
      <c r="R285" s="5"/>
      <c r="S285" s="5"/>
      <c r="T285" s="5"/>
      <c r="U285" s="5"/>
      <c r="V285" s="5"/>
      <c r="W285" s="5"/>
      <c r="X285" s="5"/>
      <c r="Y285" s="5"/>
      <c r="Z285" s="5"/>
      <c r="AA285" s="5"/>
      <c r="AB285" s="5"/>
    </row>
    <row r="286" ht="14.25" customHeight="1">
      <c r="A286" s="4"/>
      <c r="B286" s="4"/>
      <c r="C286" s="4"/>
      <c r="D286" s="4"/>
      <c r="E286" s="333"/>
      <c r="F286" s="333"/>
      <c r="G286" s="4"/>
      <c r="H286" s="4"/>
      <c r="I286" s="5"/>
      <c r="J286" s="5"/>
      <c r="K286" s="5"/>
      <c r="L286" s="5"/>
      <c r="M286" s="5"/>
      <c r="N286" s="5"/>
      <c r="O286" s="5"/>
      <c r="P286" s="5"/>
      <c r="Q286" s="5"/>
      <c r="R286" s="5"/>
      <c r="S286" s="5"/>
      <c r="T286" s="5"/>
      <c r="U286" s="5"/>
      <c r="V286" s="5"/>
      <c r="W286" s="5"/>
      <c r="X286" s="5"/>
      <c r="Y286" s="5"/>
      <c r="Z286" s="5"/>
      <c r="AA286" s="5"/>
      <c r="AB286" s="5"/>
    </row>
    <row r="287" ht="14.25" customHeight="1">
      <c r="A287" s="4"/>
      <c r="B287" s="4"/>
      <c r="C287" s="4"/>
      <c r="D287" s="4"/>
      <c r="E287" s="333"/>
      <c r="F287" s="333"/>
      <c r="G287" s="4"/>
      <c r="H287" s="4"/>
      <c r="I287" s="5"/>
      <c r="J287" s="5"/>
      <c r="K287" s="5"/>
      <c r="L287" s="5"/>
      <c r="M287" s="5"/>
      <c r="N287" s="5"/>
      <c r="O287" s="5"/>
      <c r="P287" s="5"/>
      <c r="Q287" s="5"/>
      <c r="R287" s="5"/>
      <c r="S287" s="5"/>
      <c r="T287" s="5"/>
      <c r="U287" s="5"/>
      <c r="V287" s="5"/>
      <c r="W287" s="5"/>
      <c r="X287" s="5"/>
      <c r="Y287" s="5"/>
      <c r="Z287" s="5"/>
      <c r="AA287" s="5"/>
      <c r="AB287" s="5"/>
    </row>
    <row r="288" ht="14.25" customHeight="1">
      <c r="A288" s="4"/>
      <c r="B288" s="4"/>
      <c r="C288" s="4"/>
      <c r="D288" s="4"/>
      <c r="E288" s="333"/>
      <c r="F288" s="333"/>
      <c r="G288" s="4"/>
      <c r="H288" s="4"/>
      <c r="I288" s="5"/>
      <c r="J288" s="5"/>
      <c r="K288" s="5"/>
      <c r="L288" s="5"/>
      <c r="M288" s="5"/>
      <c r="N288" s="5"/>
      <c r="O288" s="5"/>
      <c r="P288" s="5"/>
      <c r="Q288" s="5"/>
      <c r="R288" s="5"/>
      <c r="S288" s="5"/>
      <c r="T288" s="5"/>
      <c r="U288" s="5"/>
      <c r="V288" s="5"/>
      <c r="W288" s="5"/>
      <c r="X288" s="5"/>
      <c r="Y288" s="5"/>
      <c r="Z288" s="5"/>
      <c r="AA288" s="5"/>
      <c r="AB288" s="5"/>
    </row>
    <row r="289" ht="14.25" customHeight="1">
      <c r="A289" s="4"/>
      <c r="B289" s="4"/>
      <c r="C289" s="4"/>
      <c r="D289" s="4"/>
      <c r="E289" s="333"/>
      <c r="F289" s="333"/>
      <c r="G289" s="4"/>
      <c r="H289" s="4"/>
      <c r="I289" s="5"/>
      <c r="J289" s="5"/>
      <c r="K289" s="5"/>
      <c r="L289" s="5"/>
      <c r="M289" s="5"/>
      <c r="N289" s="5"/>
      <c r="O289" s="5"/>
      <c r="P289" s="5"/>
      <c r="Q289" s="5"/>
      <c r="R289" s="5"/>
      <c r="S289" s="5"/>
      <c r="T289" s="5"/>
      <c r="U289" s="5"/>
      <c r="V289" s="5"/>
      <c r="W289" s="5"/>
      <c r="X289" s="5"/>
      <c r="Y289" s="5"/>
      <c r="Z289" s="5"/>
      <c r="AA289" s="5"/>
      <c r="AB289" s="5"/>
    </row>
    <row r="290" ht="14.25" customHeight="1">
      <c r="A290" s="4"/>
      <c r="B290" s="4"/>
      <c r="C290" s="4"/>
      <c r="D290" s="4"/>
      <c r="E290" s="333"/>
      <c r="F290" s="333"/>
      <c r="G290" s="4"/>
      <c r="H290" s="4"/>
      <c r="I290" s="5"/>
      <c r="J290" s="5"/>
      <c r="K290" s="5"/>
      <c r="L290" s="5"/>
      <c r="M290" s="5"/>
      <c r="N290" s="5"/>
      <c r="O290" s="5"/>
      <c r="P290" s="5"/>
      <c r="Q290" s="5"/>
      <c r="R290" s="5"/>
      <c r="S290" s="5"/>
      <c r="T290" s="5"/>
      <c r="U290" s="5"/>
      <c r="V290" s="5"/>
      <c r="W290" s="5"/>
      <c r="X290" s="5"/>
      <c r="Y290" s="5"/>
      <c r="Z290" s="5"/>
      <c r="AA290" s="5"/>
      <c r="AB290" s="5"/>
    </row>
    <row r="291" ht="14.25" customHeight="1">
      <c r="A291" s="4"/>
      <c r="B291" s="4"/>
      <c r="C291" s="4"/>
      <c r="D291" s="4"/>
      <c r="E291" s="333"/>
      <c r="F291" s="333"/>
      <c r="G291" s="4"/>
      <c r="H291" s="4"/>
      <c r="I291" s="5"/>
      <c r="J291" s="5"/>
      <c r="K291" s="5"/>
      <c r="L291" s="5"/>
      <c r="M291" s="5"/>
      <c r="N291" s="5"/>
      <c r="O291" s="5"/>
      <c r="P291" s="5"/>
      <c r="Q291" s="5"/>
      <c r="R291" s="5"/>
      <c r="S291" s="5"/>
      <c r="T291" s="5"/>
      <c r="U291" s="5"/>
      <c r="V291" s="5"/>
      <c r="W291" s="5"/>
      <c r="X291" s="5"/>
      <c r="Y291" s="5"/>
      <c r="Z291" s="5"/>
      <c r="AA291" s="5"/>
      <c r="AB291" s="5"/>
    </row>
    <row r="292" ht="14.25" customHeight="1">
      <c r="A292" s="4"/>
      <c r="B292" s="4"/>
      <c r="C292" s="4"/>
      <c r="D292" s="4"/>
      <c r="E292" s="333"/>
      <c r="F292" s="333"/>
      <c r="G292" s="4"/>
      <c r="H292" s="4"/>
      <c r="I292" s="5"/>
      <c r="J292" s="5"/>
      <c r="K292" s="5"/>
      <c r="L292" s="5"/>
      <c r="M292" s="5"/>
      <c r="N292" s="5"/>
      <c r="O292" s="5"/>
      <c r="P292" s="5"/>
      <c r="Q292" s="5"/>
      <c r="R292" s="5"/>
      <c r="S292" s="5"/>
      <c r="T292" s="5"/>
      <c r="U292" s="5"/>
      <c r="V292" s="5"/>
      <c r="W292" s="5"/>
      <c r="X292" s="5"/>
      <c r="Y292" s="5"/>
      <c r="Z292" s="5"/>
      <c r="AA292" s="5"/>
      <c r="AB292" s="5"/>
    </row>
    <row r="293" ht="14.25" customHeight="1">
      <c r="A293" s="4"/>
      <c r="B293" s="4"/>
      <c r="C293" s="4"/>
      <c r="D293" s="4"/>
      <c r="E293" s="333"/>
      <c r="F293" s="333"/>
      <c r="G293" s="4"/>
      <c r="H293" s="4"/>
      <c r="I293" s="5"/>
      <c r="J293" s="5"/>
      <c r="K293" s="5"/>
      <c r="L293" s="5"/>
      <c r="M293" s="5"/>
      <c r="N293" s="5"/>
      <c r="O293" s="5"/>
      <c r="P293" s="5"/>
      <c r="Q293" s="5"/>
      <c r="R293" s="5"/>
      <c r="S293" s="5"/>
      <c r="T293" s="5"/>
      <c r="U293" s="5"/>
      <c r="V293" s="5"/>
      <c r="W293" s="5"/>
      <c r="X293" s="5"/>
      <c r="Y293" s="5"/>
      <c r="Z293" s="5"/>
      <c r="AA293" s="5"/>
      <c r="AB293" s="5"/>
    </row>
    <row r="294" ht="14.25" customHeight="1">
      <c r="A294" s="4"/>
      <c r="B294" s="4"/>
      <c r="C294" s="4"/>
      <c r="D294" s="4"/>
      <c r="E294" s="333"/>
      <c r="F294" s="333"/>
      <c r="G294" s="4"/>
      <c r="H294" s="4"/>
      <c r="I294" s="5"/>
      <c r="J294" s="5"/>
      <c r="K294" s="5"/>
      <c r="L294" s="5"/>
      <c r="M294" s="5"/>
      <c r="N294" s="5"/>
      <c r="O294" s="5"/>
      <c r="P294" s="5"/>
      <c r="Q294" s="5"/>
      <c r="R294" s="5"/>
      <c r="S294" s="5"/>
      <c r="T294" s="5"/>
      <c r="U294" s="5"/>
      <c r="V294" s="5"/>
      <c r="W294" s="5"/>
      <c r="X294" s="5"/>
      <c r="Y294" s="5"/>
      <c r="Z294" s="5"/>
      <c r="AA294" s="5"/>
      <c r="AB294" s="5"/>
    </row>
    <row r="295" ht="14.25" customHeight="1">
      <c r="A295" s="4"/>
      <c r="B295" s="4"/>
      <c r="C295" s="4"/>
      <c r="D295" s="4"/>
      <c r="E295" s="333"/>
      <c r="F295" s="333"/>
      <c r="G295" s="4"/>
      <c r="H295" s="4"/>
      <c r="I295" s="5"/>
      <c r="J295" s="5"/>
      <c r="K295" s="5"/>
      <c r="L295" s="5"/>
      <c r="M295" s="5"/>
      <c r="N295" s="5"/>
      <c r="O295" s="5"/>
      <c r="P295" s="5"/>
      <c r="Q295" s="5"/>
      <c r="R295" s="5"/>
      <c r="S295" s="5"/>
      <c r="T295" s="5"/>
      <c r="U295" s="5"/>
      <c r="V295" s="5"/>
      <c r="W295" s="5"/>
      <c r="X295" s="5"/>
      <c r="Y295" s="5"/>
      <c r="Z295" s="5"/>
      <c r="AA295" s="5"/>
      <c r="AB295" s="5"/>
    </row>
    <row r="296" ht="14.25" customHeight="1">
      <c r="A296" s="4"/>
      <c r="B296" s="4"/>
      <c r="C296" s="4"/>
      <c r="D296" s="4"/>
      <c r="E296" s="333"/>
      <c r="F296" s="333"/>
      <c r="G296" s="4"/>
      <c r="H296" s="4"/>
      <c r="I296" s="5"/>
      <c r="J296" s="5"/>
      <c r="K296" s="5"/>
      <c r="L296" s="5"/>
      <c r="M296" s="5"/>
      <c r="N296" s="5"/>
      <c r="O296" s="5"/>
      <c r="P296" s="5"/>
      <c r="Q296" s="5"/>
      <c r="R296" s="5"/>
      <c r="S296" s="5"/>
      <c r="T296" s="5"/>
      <c r="U296" s="5"/>
      <c r="V296" s="5"/>
      <c r="W296" s="5"/>
      <c r="X296" s="5"/>
      <c r="Y296" s="5"/>
      <c r="Z296" s="5"/>
      <c r="AA296" s="5"/>
      <c r="AB296" s="5"/>
    </row>
    <row r="297" ht="14.25" customHeight="1">
      <c r="A297" s="4"/>
      <c r="B297" s="4"/>
      <c r="C297" s="4"/>
      <c r="D297" s="4"/>
      <c r="E297" s="333"/>
      <c r="F297" s="333"/>
      <c r="G297" s="4"/>
      <c r="H297" s="4"/>
      <c r="I297" s="5"/>
      <c r="J297" s="5"/>
      <c r="K297" s="5"/>
      <c r="L297" s="5"/>
      <c r="M297" s="5"/>
      <c r="N297" s="5"/>
      <c r="O297" s="5"/>
      <c r="P297" s="5"/>
      <c r="Q297" s="5"/>
      <c r="R297" s="5"/>
      <c r="S297" s="5"/>
      <c r="T297" s="5"/>
      <c r="U297" s="5"/>
      <c r="V297" s="5"/>
      <c r="W297" s="5"/>
      <c r="X297" s="5"/>
      <c r="Y297" s="5"/>
      <c r="Z297" s="5"/>
      <c r="AA297" s="5"/>
      <c r="AB297" s="5"/>
    </row>
    <row r="298" ht="14.25" customHeight="1">
      <c r="A298" s="4"/>
      <c r="B298" s="4"/>
      <c r="C298" s="4"/>
      <c r="D298" s="4"/>
      <c r="E298" s="333"/>
      <c r="F298" s="333"/>
      <c r="G298" s="4"/>
      <c r="H298" s="4"/>
      <c r="I298" s="5"/>
      <c r="J298" s="5"/>
      <c r="K298" s="5"/>
      <c r="L298" s="5"/>
      <c r="M298" s="5"/>
      <c r="N298" s="5"/>
      <c r="O298" s="5"/>
      <c r="P298" s="5"/>
      <c r="Q298" s="5"/>
      <c r="R298" s="5"/>
      <c r="S298" s="5"/>
      <c r="T298" s="5"/>
      <c r="U298" s="5"/>
      <c r="V298" s="5"/>
      <c r="W298" s="5"/>
      <c r="X298" s="5"/>
      <c r="Y298" s="5"/>
      <c r="Z298" s="5"/>
      <c r="AA298" s="5"/>
      <c r="AB298" s="5"/>
    </row>
    <row r="299" ht="14.25" customHeight="1">
      <c r="A299" s="4"/>
      <c r="B299" s="4"/>
      <c r="C299" s="4"/>
      <c r="D299" s="4"/>
      <c r="E299" s="333"/>
      <c r="F299" s="333"/>
      <c r="G299" s="4"/>
      <c r="H299" s="4"/>
      <c r="I299" s="5"/>
      <c r="J299" s="5"/>
      <c r="K299" s="5"/>
      <c r="L299" s="5"/>
      <c r="M299" s="5"/>
      <c r="N299" s="5"/>
      <c r="O299" s="5"/>
      <c r="P299" s="5"/>
      <c r="Q299" s="5"/>
      <c r="R299" s="5"/>
      <c r="S299" s="5"/>
      <c r="T299" s="5"/>
      <c r="U299" s="5"/>
      <c r="V299" s="5"/>
      <c r="W299" s="5"/>
      <c r="X299" s="5"/>
      <c r="Y299" s="5"/>
      <c r="Z299" s="5"/>
      <c r="AA299" s="5"/>
      <c r="AB299" s="5"/>
    </row>
    <row r="300" ht="14.25" customHeight="1">
      <c r="A300" s="4"/>
      <c r="B300" s="4"/>
      <c r="C300" s="4"/>
      <c r="D300" s="4"/>
      <c r="E300" s="333"/>
      <c r="F300" s="333"/>
      <c r="G300" s="4"/>
      <c r="H300" s="4"/>
      <c r="I300" s="5"/>
      <c r="J300" s="5"/>
      <c r="K300" s="5"/>
      <c r="L300" s="5"/>
      <c r="M300" s="5"/>
      <c r="N300" s="5"/>
      <c r="O300" s="5"/>
      <c r="P300" s="5"/>
      <c r="Q300" s="5"/>
      <c r="R300" s="5"/>
      <c r="S300" s="5"/>
      <c r="T300" s="5"/>
      <c r="U300" s="5"/>
      <c r="V300" s="5"/>
      <c r="W300" s="5"/>
      <c r="X300" s="5"/>
      <c r="Y300" s="5"/>
      <c r="Z300" s="5"/>
      <c r="AA300" s="5"/>
      <c r="AB300" s="5"/>
    </row>
    <row r="301" ht="14.25" customHeight="1">
      <c r="A301" s="4"/>
      <c r="B301" s="4"/>
      <c r="C301" s="4"/>
      <c r="D301" s="4"/>
      <c r="E301" s="333"/>
      <c r="F301" s="333"/>
      <c r="G301" s="4"/>
      <c r="H301" s="4"/>
      <c r="I301" s="5"/>
      <c r="J301" s="5"/>
      <c r="K301" s="5"/>
      <c r="L301" s="5"/>
      <c r="M301" s="5"/>
      <c r="N301" s="5"/>
      <c r="O301" s="5"/>
      <c r="P301" s="5"/>
      <c r="Q301" s="5"/>
      <c r="R301" s="5"/>
      <c r="S301" s="5"/>
      <c r="T301" s="5"/>
      <c r="U301" s="5"/>
      <c r="V301" s="5"/>
      <c r="W301" s="5"/>
      <c r="X301" s="5"/>
      <c r="Y301" s="5"/>
      <c r="Z301" s="5"/>
      <c r="AA301" s="5"/>
      <c r="AB301" s="5"/>
    </row>
    <row r="302" ht="14.25" customHeight="1">
      <c r="A302" s="4"/>
      <c r="B302" s="4"/>
      <c r="C302" s="4"/>
      <c r="D302" s="4"/>
      <c r="E302" s="333"/>
      <c r="F302" s="333"/>
      <c r="G302" s="4"/>
      <c r="H302" s="4"/>
      <c r="I302" s="5"/>
      <c r="J302" s="5"/>
      <c r="K302" s="5"/>
      <c r="L302" s="5"/>
      <c r="M302" s="5"/>
      <c r="N302" s="5"/>
      <c r="O302" s="5"/>
      <c r="P302" s="5"/>
      <c r="Q302" s="5"/>
      <c r="R302" s="5"/>
      <c r="S302" s="5"/>
      <c r="T302" s="5"/>
      <c r="U302" s="5"/>
      <c r="V302" s="5"/>
      <c r="W302" s="5"/>
      <c r="X302" s="5"/>
      <c r="Y302" s="5"/>
      <c r="Z302" s="5"/>
      <c r="AA302" s="5"/>
      <c r="AB302" s="5"/>
    </row>
    <row r="303" ht="14.25" customHeight="1">
      <c r="A303" s="4"/>
      <c r="B303" s="4"/>
      <c r="C303" s="4"/>
      <c r="D303" s="4"/>
      <c r="E303" s="333"/>
      <c r="F303" s="333"/>
      <c r="G303" s="4"/>
      <c r="H303" s="4"/>
      <c r="I303" s="5"/>
      <c r="J303" s="5"/>
      <c r="K303" s="5"/>
      <c r="L303" s="5"/>
      <c r="M303" s="5"/>
      <c r="N303" s="5"/>
      <c r="O303" s="5"/>
      <c r="P303" s="5"/>
      <c r="Q303" s="5"/>
      <c r="R303" s="5"/>
      <c r="S303" s="5"/>
      <c r="T303" s="5"/>
      <c r="U303" s="5"/>
      <c r="V303" s="5"/>
      <c r="W303" s="5"/>
      <c r="X303" s="5"/>
      <c r="Y303" s="5"/>
      <c r="Z303" s="5"/>
      <c r="AA303" s="5"/>
      <c r="AB303" s="5"/>
    </row>
    <row r="304" ht="14.25" customHeight="1">
      <c r="A304" s="4"/>
      <c r="B304" s="4"/>
      <c r="C304" s="4"/>
      <c r="D304" s="4"/>
      <c r="E304" s="333"/>
      <c r="F304" s="333"/>
      <c r="G304" s="4"/>
      <c r="H304" s="4"/>
      <c r="I304" s="5"/>
      <c r="J304" s="5"/>
      <c r="K304" s="5"/>
      <c r="L304" s="5"/>
      <c r="M304" s="5"/>
      <c r="N304" s="5"/>
      <c r="O304" s="5"/>
      <c r="P304" s="5"/>
      <c r="Q304" s="5"/>
      <c r="R304" s="5"/>
      <c r="S304" s="5"/>
      <c r="T304" s="5"/>
      <c r="U304" s="5"/>
      <c r="V304" s="5"/>
      <c r="W304" s="5"/>
      <c r="X304" s="5"/>
      <c r="Y304" s="5"/>
      <c r="Z304" s="5"/>
      <c r="AA304" s="5"/>
      <c r="AB304" s="5"/>
    </row>
    <row r="305" ht="14.25" customHeight="1">
      <c r="A305" s="4"/>
      <c r="B305" s="4"/>
      <c r="C305" s="4"/>
      <c r="D305" s="4"/>
      <c r="E305" s="333"/>
      <c r="F305" s="333"/>
      <c r="G305" s="4"/>
      <c r="H305" s="4"/>
      <c r="I305" s="5"/>
      <c r="J305" s="5"/>
      <c r="K305" s="5"/>
      <c r="L305" s="5"/>
      <c r="M305" s="5"/>
      <c r="N305" s="5"/>
      <c r="O305" s="5"/>
      <c r="P305" s="5"/>
      <c r="Q305" s="5"/>
      <c r="R305" s="5"/>
      <c r="S305" s="5"/>
      <c r="T305" s="5"/>
      <c r="U305" s="5"/>
      <c r="V305" s="5"/>
      <c r="W305" s="5"/>
      <c r="X305" s="5"/>
      <c r="Y305" s="5"/>
      <c r="Z305" s="5"/>
      <c r="AA305" s="5"/>
      <c r="AB305" s="5"/>
    </row>
    <row r="306" ht="14.25" customHeight="1">
      <c r="A306" s="4"/>
      <c r="B306" s="4"/>
      <c r="C306" s="4"/>
      <c r="D306" s="4"/>
      <c r="E306" s="333"/>
      <c r="F306" s="333"/>
      <c r="G306" s="4"/>
      <c r="H306" s="4"/>
      <c r="I306" s="5"/>
      <c r="J306" s="5"/>
      <c r="K306" s="5"/>
      <c r="L306" s="5"/>
      <c r="M306" s="5"/>
      <c r="N306" s="5"/>
      <c r="O306" s="5"/>
      <c r="P306" s="5"/>
      <c r="Q306" s="5"/>
      <c r="R306" s="5"/>
      <c r="S306" s="5"/>
      <c r="T306" s="5"/>
      <c r="U306" s="5"/>
      <c r="V306" s="5"/>
      <c r="W306" s="5"/>
      <c r="X306" s="5"/>
      <c r="Y306" s="5"/>
      <c r="Z306" s="5"/>
      <c r="AA306" s="5"/>
      <c r="AB306" s="5"/>
    </row>
    <row r="307" ht="14.25" customHeight="1">
      <c r="A307" s="4"/>
      <c r="B307" s="4"/>
      <c r="C307" s="4"/>
      <c r="D307" s="4"/>
      <c r="E307" s="333"/>
      <c r="F307" s="333"/>
      <c r="G307" s="4"/>
      <c r="H307" s="4"/>
      <c r="I307" s="5"/>
      <c r="J307" s="5"/>
      <c r="K307" s="5"/>
      <c r="L307" s="5"/>
      <c r="M307" s="5"/>
      <c r="N307" s="5"/>
      <c r="O307" s="5"/>
      <c r="P307" s="5"/>
      <c r="Q307" s="5"/>
      <c r="R307" s="5"/>
      <c r="S307" s="5"/>
      <c r="T307" s="5"/>
      <c r="U307" s="5"/>
      <c r="V307" s="5"/>
      <c r="W307" s="5"/>
      <c r="X307" s="5"/>
      <c r="Y307" s="5"/>
      <c r="Z307" s="5"/>
      <c r="AA307" s="5"/>
      <c r="AB307" s="5"/>
    </row>
    <row r="308" ht="14.25" customHeight="1">
      <c r="A308" s="4"/>
      <c r="B308" s="4"/>
      <c r="C308" s="4"/>
      <c r="D308" s="4"/>
      <c r="E308" s="333"/>
      <c r="F308" s="333"/>
      <c r="G308" s="4"/>
      <c r="H308" s="4"/>
      <c r="I308" s="5"/>
      <c r="J308" s="5"/>
      <c r="K308" s="5"/>
      <c r="L308" s="5"/>
      <c r="M308" s="5"/>
      <c r="N308" s="5"/>
      <c r="O308" s="5"/>
      <c r="P308" s="5"/>
      <c r="Q308" s="5"/>
      <c r="R308" s="5"/>
      <c r="S308" s="5"/>
      <c r="T308" s="5"/>
      <c r="U308" s="5"/>
      <c r="V308" s="5"/>
      <c r="W308" s="5"/>
      <c r="X308" s="5"/>
      <c r="Y308" s="5"/>
      <c r="Z308" s="5"/>
      <c r="AA308" s="5"/>
      <c r="AB308" s="5"/>
    </row>
    <row r="309" ht="14.25" customHeight="1">
      <c r="A309" s="4"/>
      <c r="B309" s="4"/>
      <c r="C309" s="4"/>
      <c r="D309" s="4"/>
      <c r="E309" s="333"/>
      <c r="F309" s="333"/>
      <c r="G309" s="4"/>
      <c r="H309" s="4"/>
      <c r="I309" s="5"/>
      <c r="J309" s="5"/>
      <c r="K309" s="5"/>
      <c r="L309" s="5"/>
      <c r="M309" s="5"/>
      <c r="N309" s="5"/>
      <c r="O309" s="5"/>
      <c r="P309" s="5"/>
      <c r="Q309" s="5"/>
      <c r="R309" s="5"/>
      <c r="S309" s="5"/>
      <c r="T309" s="5"/>
      <c r="U309" s="5"/>
      <c r="V309" s="5"/>
      <c r="W309" s="5"/>
      <c r="X309" s="5"/>
      <c r="Y309" s="5"/>
      <c r="Z309" s="5"/>
      <c r="AA309" s="5"/>
      <c r="AB309" s="5"/>
    </row>
    <row r="310" ht="14.25" customHeight="1">
      <c r="A310" s="4"/>
      <c r="B310" s="4"/>
      <c r="C310" s="4"/>
      <c r="D310" s="4"/>
      <c r="E310" s="333"/>
      <c r="F310" s="333"/>
      <c r="G310" s="4"/>
      <c r="H310" s="4"/>
      <c r="I310" s="5"/>
      <c r="J310" s="5"/>
      <c r="K310" s="5"/>
      <c r="L310" s="5"/>
      <c r="M310" s="5"/>
      <c r="N310" s="5"/>
      <c r="O310" s="5"/>
      <c r="P310" s="5"/>
      <c r="Q310" s="5"/>
      <c r="R310" s="5"/>
      <c r="S310" s="5"/>
      <c r="T310" s="5"/>
      <c r="U310" s="5"/>
      <c r="V310" s="5"/>
      <c r="W310" s="5"/>
      <c r="X310" s="5"/>
      <c r="Y310" s="5"/>
      <c r="Z310" s="5"/>
      <c r="AA310" s="5"/>
      <c r="AB310" s="5"/>
    </row>
    <row r="311" ht="14.25" customHeight="1">
      <c r="A311" s="4"/>
      <c r="B311" s="4"/>
      <c r="C311" s="4"/>
      <c r="D311" s="4"/>
      <c r="E311" s="333"/>
      <c r="F311" s="333"/>
      <c r="G311" s="4"/>
      <c r="H311" s="4"/>
      <c r="I311" s="5"/>
      <c r="J311" s="5"/>
      <c r="K311" s="5"/>
      <c r="L311" s="5"/>
      <c r="M311" s="5"/>
      <c r="N311" s="5"/>
      <c r="O311" s="5"/>
      <c r="P311" s="5"/>
      <c r="Q311" s="5"/>
      <c r="R311" s="5"/>
      <c r="S311" s="5"/>
      <c r="T311" s="5"/>
      <c r="U311" s="5"/>
      <c r="V311" s="5"/>
      <c r="W311" s="5"/>
      <c r="X311" s="5"/>
      <c r="Y311" s="5"/>
      <c r="Z311" s="5"/>
      <c r="AA311" s="5"/>
      <c r="AB311" s="5"/>
    </row>
    <row r="312" ht="14.25" customHeight="1">
      <c r="A312" s="4"/>
      <c r="B312" s="4"/>
      <c r="C312" s="4"/>
      <c r="D312" s="4"/>
      <c r="E312" s="333"/>
      <c r="F312" s="333"/>
      <c r="G312" s="4"/>
      <c r="H312" s="4"/>
      <c r="I312" s="5"/>
      <c r="J312" s="5"/>
      <c r="K312" s="5"/>
      <c r="L312" s="5"/>
      <c r="M312" s="5"/>
      <c r="N312" s="5"/>
      <c r="O312" s="5"/>
      <c r="P312" s="5"/>
      <c r="Q312" s="5"/>
      <c r="R312" s="5"/>
      <c r="S312" s="5"/>
      <c r="T312" s="5"/>
      <c r="U312" s="5"/>
      <c r="V312" s="5"/>
      <c r="W312" s="5"/>
      <c r="X312" s="5"/>
      <c r="Y312" s="5"/>
      <c r="Z312" s="5"/>
      <c r="AA312" s="5"/>
      <c r="AB312" s="5"/>
    </row>
    <row r="313" ht="14.25" customHeight="1">
      <c r="A313" s="4"/>
      <c r="B313" s="4"/>
      <c r="C313" s="4"/>
      <c r="D313" s="4"/>
      <c r="E313" s="333"/>
      <c r="F313" s="333"/>
      <c r="G313" s="4"/>
      <c r="H313" s="4"/>
      <c r="I313" s="5"/>
      <c r="J313" s="5"/>
      <c r="K313" s="5"/>
      <c r="L313" s="5"/>
      <c r="M313" s="5"/>
      <c r="N313" s="5"/>
      <c r="O313" s="5"/>
      <c r="P313" s="5"/>
      <c r="Q313" s="5"/>
      <c r="R313" s="5"/>
      <c r="S313" s="5"/>
      <c r="T313" s="5"/>
      <c r="U313" s="5"/>
      <c r="V313" s="5"/>
      <c r="W313" s="5"/>
      <c r="X313" s="5"/>
      <c r="Y313" s="5"/>
      <c r="Z313" s="5"/>
      <c r="AA313" s="5"/>
      <c r="AB313" s="5"/>
    </row>
    <row r="314" ht="14.25" customHeight="1">
      <c r="A314" s="4"/>
      <c r="B314" s="4"/>
      <c r="C314" s="4"/>
      <c r="D314" s="4"/>
      <c r="E314" s="333"/>
      <c r="F314" s="333"/>
      <c r="G314" s="4"/>
      <c r="H314" s="4"/>
      <c r="I314" s="5"/>
      <c r="J314" s="5"/>
      <c r="K314" s="5"/>
      <c r="L314" s="5"/>
      <c r="M314" s="5"/>
      <c r="N314" s="5"/>
      <c r="O314" s="5"/>
      <c r="P314" s="5"/>
      <c r="Q314" s="5"/>
      <c r="R314" s="5"/>
      <c r="S314" s="5"/>
      <c r="T314" s="5"/>
      <c r="U314" s="5"/>
      <c r="V314" s="5"/>
      <c r="W314" s="5"/>
      <c r="X314" s="5"/>
      <c r="Y314" s="5"/>
      <c r="Z314" s="5"/>
      <c r="AA314" s="5"/>
      <c r="AB314" s="5"/>
    </row>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75">
    <sortState ref="A1:H75">
      <sortCondition descending="1" ref="H1:H75"/>
    </sortState>
  </autoFilter>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2.63" defaultRowHeight="15.0"/>
  <cols>
    <col customWidth="1" min="1" max="2" width="11.0"/>
    <col customWidth="1" min="3" max="3" width="13.88"/>
    <col customWidth="1" min="4" max="4" width="23.63"/>
    <col customWidth="1" min="5" max="5" width="11.25"/>
    <col customWidth="1" min="6" max="6" width="13.38"/>
    <col customWidth="1" min="7" max="7" width="23.63"/>
    <col customWidth="1" min="8" max="8" width="11.63"/>
    <col customWidth="1" min="9" max="10" width="11.0"/>
    <col customWidth="1" min="11" max="11" width="13.0"/>
    <col customWidth="1" min="12" max="12" width="13.25"/>
    <col customWidth="1" min="13" max="13" width="13.75"/>
    <col customWidth="1" min="14" max="26" width="11.0"/>
  </cols>
  <sheetData>
    <row r="1" ht="14.25" customHeight="1">
      <c r="A1" s="313" t="s">
        <v>261</v>
      </c>
      <c r="B1" s="314" t="s">
        <v>7</v>
      </c>
      <c r="C1" s="314" t="s">
        <v>262</v>
      </c>
      <c r="D1" s="314" t="s">
        <v>263</v>
      </c>
      <c r="E1" s="315" t="s">
        <v>557</v>
      </c>
      <c r="F1" s="315" t="s">
        <v>558</v>
      </c>
      <c r="G1" s="313" t="s">
        <v>266</v>
      </c>
      <c r="H1" s="316" t="s">
        <v>267</v>
      </c>
      <c r="I1" s="5"/>
      <c r="J1" s="5"/>
      <c r="K1" s="317">
        <v>45230.0</v>
      </c>
      <c r="L1" s="318" t="s">
        <v>268</v>
      </c>
      <c r="M1" s="318" t="s">
        <v>269</v>
      </c>
      <c r="N1" s="5"/>
      <c r="O1" s="5"/>
      <c r="P1" s="5"/>
      <c r="Q1" s="5"/>
      <c r="R1" s="5"/>
      <c r="S1" s="5"/>
      <c r="T1" s="5"/>
      <c r="U1" s="5"/>
      <c r="V1" s="5"/>
      <c r="W1" s="5"/>
      <c r="X1" s="5"/>
      <c r="Y1" s="5"/>
      <c r="Z1" s="5"/>
    </row>
    <row r="2" ht="14.25" customHeight="1">
      <c r="A2" s="319" t="s">
        <v>559</v>
      </c>
      <c r="B2" s="319" t="s">
        <v>439</v>
      </c>
      <c r="C2" s="319" t="s">
        <v>272</v>
      </c>
      <c r="D2" s="319" t="s">
        <v>470</v>
      </c>
      <c r="E2" s="320">
        <v>33666.97</v>
      </c>
      <c r="F2" s="320">
        <v>-31504.85</v>
      </c>
      <c r="G2" s="319" t="s">
        <v>560</v>
      </c>
      <c r="H2" s="321">
        <v>142.0</v>
      </c>
      <c r="I2" s="5"/>
      <c r="J2" s="5"/>
      <c r="K2" s="318" t="s">
        <v>275</v>
      </c>
      <c r="L2" s="338">
        <f t="shared" ref="L2:M2" si="1">+SUM(E2:E9963)</f>
        <v>3059537.15</v>
      </c>
      <c r="M2" s="339">
        <f t="shared" si="1"/>
        <v>-2668371.95</v>
      </c>
      <c r="N2" s="5"/>
      <c r="O2" s="5"/>
      <c r="P2" s="5"/>
      <c r="Q2" s="5"/>
      <c r="R2" s="5"/>
      <c r="S2" s="5"/>
      <c r="T2" s="5"/>
      <c r="U2" s="5"/>
      <c r="V2" s="5"/>
      <c r="W2" s="5"/>
      <c r="X2" s="5"/>
      <c r="Y2" s="5"/>
      <c r="Z2" s="5"/>
    </row>
    <row r="3" ht="14.25" customHeight="1">
      <c r="A3" s="319" t="s">
        <v>561</v>
      </c>
      <c r="B3" s="319" t="s">
        <v>435</v>
      </c>
      <c r="C3" s="319" t="s">
        <v>272</v>
      </c>
      <c r="D3" s="319" t="s">
        <v>289</v>
      </c>
      <c r="E3" s="320">
        <v>56706.1</v>
      </c>
      <c r="F3" s="320">
        <v>-57628.2</v>
      </c>
      <c r="G3" s="319" t="s">
        <v>562</v>
      </c>
      <c r="H3" s="321">
        <v>142.0</v>
      </c>
      <c r="I3" s="5"/>
      <c r="J3" s="5"/>
      <c r="K3" s="5" t="s">
        <v>278</v>
      </c>
      <c r="L3" s="4">
        <f>COUNT(E:E)</f>
        <v>71</v>
      </c>
      <c r="M3" s="326">
        <f>-M2/L2</f>
        <v>0.8721488968</v>
      </c>
      <c r="N3" s="5"/>
      <c r="O3" s="5"/>
      <c r="P3" s="5"/>
      <c r="Q3" s="5"/>
      <c r="R3" s="5"/>
      <c r="S3" s="5"/>
      <c r="T3" s="5"/>
      <c r="U3" s="5"/>
      <c r="V3" s="5"/>
      <c r="W3" s="5"/>
      <c r="X3" s="5"/>
      <c r="Y3" s="5"/>
      <c r="Z3" s="5"/>
    </row>
    <row r="4" ht="14.25" customHeight="1">
      <c r="A4" s="319" t="s">
        <v>563</v>
      </c>
      <c r="B4" s="319" t="s">
        <v>439</v>
      </c>
      <c r="C4" s="319" t="s">
        <v>272</v>
      </c>
      <c r="D4" s="319" t="s">
        <v>470</v>
      </c>
      <c r="E4" s="320">
        <v>31163.98</v>
      </c>
      <c r="F4" s="320">
        <v>-32628.75</v>
      </c>
      <c r="G4" s="319" t="s">
        <v>564</v>
      </c>
      <c r="H4" s="321">
        <v>116.0</v>
      </c>
      <c r="I4" s="5"/>
      <c r="J4" s="5"/>
      <c r="K4" s="5"/>
      <c r="L4" s="5"/>
      <c r="M4" s="5"/>
      <c r="N4" s="5"/>
      <c r="O4" s="5"/>
      <c r="P4" s="5"/>
      <c r="Q4" s="5"/>
      <c r="R4" s="5"/>
      <c r="S4" s="5"/>
      <c r="T4" s="5"/>
      <c r="U4" s="5"/>
      <c r="V4" s="5"/>
      <c r="W4" s="5"/>
      <c r="X4" s="5"/>
      <c r="Y4" s="5"/>
      <c r="Z4" s="5"/>
    </row>
    <row r="5" ht="14.25" customHeight="1">
      <c r="A5" s="319" t="s">
        <v>565</v>
      </c>
      <c r="B5" s="319" t="s">
        <v>439</v>
      </c>
      <c r="C5" s="319" t="s">
        <v>272</v>
      </c>
      <c r="D5" s="319" t="s">
        <v>566</v>
      </c>
      <c r="E5" s="320">
        <v>38081.07</v>
      </c>
      <c r="F5" s="320">
        <v>-39936.75</v>
      </c>
      <c r="G5" s="319" t="s">
        <v>567</v>
      </c>
      <c r="H5" s="321">
        <v>111.0</v>
      </c>
      <c r="I5" s="5"/>
      <c r="J5" s="5"/>
      <c r="K5" s="5"/>
      <c r="L5" s="5"/>
      <c r="M5" s="5"/>
      <c r="N5" s="5"/>
      <c r="O5" s="5"/>
      <c r="P5" s="5"/>
      <c r="Q5" s="5"/>
      <c r="R5" s="5"/>
      <c r="S5" s="5"/>
      <c r="T5" s="5"/>
      <c r="U5" s="5"/>
      <c r="V5" s="5"/>
      <c r="W5" s="5"/>
      <c r="X5" s="5"/>
      <c r="Y5" s="5"/>
      <c r="Z5" s="5"/>
    </row>
    <row r="6" ht="14.25" customHeight="1">
      <c r="A6" s="319" t="s">
        <v>568</v>
      </c>
      <c r="B6" s="319" t="s">
        <v>435</v>
      </c>
      <c r="C6" s="319" t="s">
        <v>272</v>
      </c>
      <c r="D6" s="319" t="s">
        <v>289</v>
      </c>
      <c r="E6" s="320">
        <v>50511.98</v>
      </c>
      <c r="F6" s="320">
        <v>-51427.95</v>
      </c>
      <c r="G6" s="319" t="s">
        <v>569</v>
      </c>
      <c r="H6" s="321">
        <v>108.0</v>
      </c>
      <c r="I6" s="5"/>
      <c r="J6" s="5"/>
      <c r="K6" s="340" t="s">
        <v>570</v>
      </c>
      <c r="L6" s="341">
        <f t="shared" ref="L6:M6" si="2">SUM(E2:E12)</f>
        <v>532950.79</v>
      </c>
      <c r="M6" s="341">
        <f t="shared" si="2"/>
        <v>-378366.05</v>
      </c>
      <c r="N6" s="5"/>
      <c r="O6" s="5"/>
      <c r="P6" s="5"/>
      <c r="Q6" s="5"/>
      <c r="R6" s="5"/>
      <c r="S6" s="5"/>
      <c r="T6" s="5"/>
      <c r="U6" s="5"/>
      <c r="V6" s="5"/>
      <c r="W6" s="5"/>
      <c r="X6" s="5"/>
      <c r="Y6" s="5"/>
      <c r="Z6" s="5"/>
    </row>
    <row r="7" ht="14.25" customHeight="1">
      <c r="A7" s="319" t="s">
        <v>571</v>
      </c>
      <c r="B7" s="319" t="s">
        <v>435</v>
      </c>
      <c r="C7" s="319" t="s">
        <v>272</v>
      </c>
      <c r="D7" s="319" t="s">
        <v>572</v>
      </c>
      <c r="E7" s="320">
        <v>54659.17</v>
      </c>
      <c r="F7" s="320">
        <v>-57051.75</v>
      </c>
      <c r="G7" s="319" t="s">
        <v>573</v>
      </c>
      <c r="H7" s="321">
        <v>104.0</v>
      </c>
      <c r="I7" s="5"/>
      <c r="J7" s="5"/>
      <c r="K7" s="5"/>
      <c r="L7" s="330">
        <v>2.0</v>
      </c>
      <c r="M7" s="342"/>
      <c r="N7" s="5"/>
      <c r="O7" s="5"/>
      <c r="P7" s="5"/>
      <c r="Q7" s="5"/>
      <c r="R7" s="5"/>
      <c r="S7" s="5"/>
      <c r="T7" s="5"/>
      <c r="U7" s="5"/>
      <c r="V7" s="5"/>
      <c r="W7" s="5"/>
      <c r="X7" s="5"/>
      <c r="Y7" s="5"/>
      <c r="Z7" s="5"/>
    </row>
    <row r="8" ht="14.25" customHeight="1">
      <c r="A8" s="319" t="s">
        <v>574</v>
      </c>
      <c r="B8" s="319" t="s">
        <v>435</v>
      </c>
      <c r="C8" s="319" t="s">
        <v>272</v>
      </c>
      <c r="D8" s="319" t="s">
        <v>572</v>
      </c>
      <c r="E8" s="320">
        <v>48328.17</v>
      </c>
      <c r="F8" s="320">
        <v>-51136.05</v>
      </c>
      <c r="G8" s="319" t="s">
        <v>575</v>
      </c>
      <c r="H8" s="321">
        <v>97.0</v>
      </c>
      <c r="I8" s="5"/>
      <c r="J8" s="5"/>
      <c r="K8" s="5"/>
      <c r="L8" s="4"/>
      <c r="M8" s="326"/>
      <c r="N8" s="5"/>
      <c r="O8" s="5"/>
      <c r="P8" s="5"/>
      <c r="Q8" s="5"/>
      <c r="R8" s="5"/>
      <c r="S8" s="5"/>
      <c r="T8" s="5"/>
      <c r="U8" s="5"/>
      <c r="V8" s="5"/>
      <c r="W8" s="5"/>
      <c r="X8" s="5"/>
      <c r="Y8" s="5"/>
      <c r="Z8" s="5"/>
    </row>
    <row r="9" ht="14.25" customHeight="1">
      <c r="A9" s="319" t="s">
        <v>576</v>
      </c>
      <c r="B9" s="319" t="s">
        <v>435</v>
      </c>
      <c r="C9" s="319" t="s">
        <v>272</v>
      </c>
      <c r="D9" s="319" t="s">
        <v>572</v>
      </c>
      <c r="E9" s="320">
        <v>57229.1</v>
      </c>
      <c r="F9" s="5"/>
      <c r="G9" s="319" t="s">
        <v>577</v>
      </c>
      <c r="H9" s="321">
        <v>93.0</v>
      </c>
      <c r="I9" s="5"/>
      <c r="J9" s="5"/>
      <c r="K9" s="340" t="s">
        <v>578</v>
      </c>
      <c r="L9" s="341">
        <v>0.0</v>
      </c>
      <c r="M9" s="341">
        <v>0.0</v>
      </c>
      <c r="N9" s="5"/>
      <c r="O9" s="5"/>
      <c r="P9" s="5"/>
      <c r="Q9" s="5"/>
      <c r="R9" s="5"/>
      <c r="S9" s="5"/>
      <c r="T9" s="5"/>
      <c r="U9" s="5"/>
      <c r="V9" s="5"/>
      <c r="W9" s="5"/>
      <c r="X9" s="5"/>
      <c r="Y9" s="5"/>
      <c r="Z9" s="5"/>
    </row>
    <row r="10" ht="14.25" customHeight="1">
      <c r="A10" s="319" t="s">
        <v>579</v>
      </c>
      <c r="B10" s="319" t="s">
        <v>435</v>
      </c>
      <c r="C10" s="319" t="s">
        <v>272</v>
      </c>
      <c r="D10" s="319" t="s">
        <v>289</v>
      </c>
      <c r="E10" s="320">
        <v>58141.01</v>
      </c>
      <c r="F10" s="5"/>
      <c r="G10" s="319" t="s">
        <v>580</v>
      </c>
      <c r="H10" s="321">
        <v>90.0</v>
      </c>
      <c r="I10" s="5"/>
      <c r="J10" s="5"/>
      <c r="K10" s="5"/>
      <c r="L10" s="343">
        <v>0.0</v>
      </c>
      <c r="M10" s="342"/>
      <c r="N10" s="5"/>
      <c r="O10" s="5"/>
      <c r="P10" s="5"/>
      <c r="Q10" s="5"/>
      <c r="R10" s="5"/>
      <c r="S10" s="5"/>
      <c r="T10" s="5"/>
      <c r="U10" s="5"/>
      <c r="V10" s="5"/>
      <c r="W10" s="5"/>
      <c r="X10" s="5"/>
      <c r="Y10" s="5"/>
      <c r="Z10" s="5"/>
    </row>
    <row r="11" ht="14.25" customHeight="1">
      <c r="A11" s="319" t="s">
        <v>581</v>
      </c>
      <c r="B11" s="319" t="s">
        <v>435</v>
      </c>
      <c r="C11" s="319" t="s">
        <v>272</v>
      </c>
      <c r="D11" s="319" t="s">
        <v>289</v>
      </c>
      <c r="E11" s="320">
        <v>48171.23</v>
      </c>
      <c r="F11" s="5"/>
      <c r="G11" s="319" t="s">
        <v>582</v>
      </c>
      <c r="H11" s="321">
        <v>90.0</v>
      </c>
      <c r="I11" s="5"/>
      <c r="J11" s="5"/>
      <c r="K11" s="5"/>
      <c r="L11" s="5"/>
      <c r="M11" s="5"/>
      <c r="N11" s="5"/>
      <c r="O11" s="5"/>
      <c r="P11" s="5"/>
      <c r="Q11" s="5"/>
      <c r="R11" s="5"/>
      <c r="S11" s="5"/>
      <c r="T11" s="5"/>
      <c r="U11" s="5"/>
      <c r="V11" s="5"/>
      <c r="W11" s="5"/>
      <c r="X11" s="5"/>
      <c r="Y11" s="5"/>
      <c r="Z11" s="5"/>
    </row>
    <row r="12" ht="14.25" customHeight="1">
      <c r="A12" s="319" t="s">
        <v>583</v>
      </c>
      <c r="B12" s="319" t="s">
        <v>435</v>
      </c>
      <c r="C12" s="319" t="s">
        <v>272</v>
      </c>
      <c r="D12" s="319" t="s">
        <v>572</v>
      </c>
      <c r="E12" s="320">
        <v>56292.01</v>
      </c>
      <c r="F12" s="320">
        <v>-57051.75</v>
      </c>
      <c r="G12" s="319" t="s">
        <v>584</v>
      </c>
      <c r="H12" s="321">
        <v>90.0</v>
      </c>
      <c r="I12" s="5"/>
      <c r="J12" s="5"/>
      <c r="K12" s="5"/>
      <c r="L12" s="5"/>
      <c r="M12" s="5"/>
      <c r="N12" s="5"/>
      <c r="O12" s="5"/>
      <c r="P12" s="5"/>
      <c r="Q12" s="5"/>
      <c r="R12" s="5"/>
      <c r="S12" s="5"/>
      <c r="T12" s="5"/>
      <c r="U12" s="5"/>
      <c r="V12" s="5"/>
      <c r="W12" s="5"/>
      <c r="X12" s="5"/>
      <c r="Y12" s="5"/>
      <c r="Z12" s="5"/>
    </row>
    <row r="13" ht="14.25" customHeight="1">
      <c r="A13" s="319" t="s">
        <v>585</v>
      </c>
      <c r="B13" s="319" t="s">
        <v>435</v>
      </c>
      <c r="C13" s="319" t="s">
        <v>272</v>
      </c>
      <c r="D13" s="319" t="s">
        <v>289</v>
      </c>
      <c r="E13" s="320">
        <v>56073.92</v>
      </c>
      <c r="F13" s="320">
        <v>-58869.3</v>
      </c>
      <c r="G13" s="319" t="s">
        <v>586</v>
      </c>
      <c r="H13" s="331">
        <v>86.0</v>
      </c>
      <c r="I13" s="5"/>
      <c r="J13" s="5"/>
      <c r="K13" s="5"/>
      <c r="L13" s="5"/>
      <c r="M13" s="5"/>
      <c r="N13" s="5"/>
      <c r="O13" s="5"/>
      <c r="P13" s="5"/>
      <c r="Q13" s="5"/>
      <c r="R13" s="5"/>
      <c r="S13" s="5"/>
      <c r="T13" s="5"/>
      <c r="U13" s="5"/>
      <c r="V13" s="5"/>
      <c r="W13" s="5"/>
      <c r="X13" s="5"/>
      <c r="Y13" s="5"/>
      <c r="Z13" s="5"/>
    </row>
    <row r="14" ht="14.25" customHeight="1">
      <c r="A14" s="319" t="s">
        <v>587</v>
      </c>
      <c r="B14" s="319" t="s">
        <v>435</v>
      </c>
      <c r="C14" s="319" t="s">
        <v>272</v>
      </c>
      <c r="D14" s="319" t="s">
        <v>314</v>
      </c>
      <c r="E14" s="320">
        <v>37397.0</v>
      </c>
      <c r="F14" s="320">
        <v>-39440.1</v>
      </c>
      <c r="G14" s="319" t="s">
        <v>588</v>
      </c>
      <c r="H14" s="331">
        <v>86.0</v>
      </c>
      <c r="I14" s="5"/>
      <c r="J14" s="5"/>
      <c r="K14" s="5"/>
      <c r="L14" s="5"/>
      <c r="M14" s="5"/>
      <c r="N14" s="5"/>
      <c r="O14" s="5"/>
      <c r="P14" s="5"/>
      <c r="Q14" s="5"/>
      <c r="R14" s="5"/>
      <c r="S14" s="5"/>
      <c r="T14" s="5"/>
      <c r="U14" s="5"/>
      <c r="V14" s="5"/>
      <c r="W14" s="5"/>
      <c r="X14" s="5"/>
      <c r="Y14" s="5"/>
      <c r="Z14" s="5"/>
    </row>
    <row r="15" ht="14.25" customHeight="1">
      <c r="A15" s="319" t="s">
        <v>589</v>
      </c>
      <c r="B15" s="319" t="s">
        <v>435</v>
      </c>
      <c r="C15" s="319" t="s">
        <v>272</v>
      </c>
      <c r="D15" s="319" t="s">
        <v>572</v>
      </c>
      <c r="E15" s="320">
        <v>56197.99</v>
      </c>
      <c r="F15" s="320">
        <v>-58834.65</v>
      </c>
      <c r="G15" s="319" t="s">
        <v>590</v>
      </c>
      <c r="H15" s="331">
        <v>82.0</v>
      </c>
      <c r="I15" s="5"/>
      <c r="J15" s="5"/>
      <c r="K15" s="5"/>
      <c r="L15" s="5"/>
      <c r="M15" s="5"/>
      <c r="N15" s="5"/>
      <c r="O15" s="5"/>
      <c r="P15" s="5"/>
      <c r="Q15" s="5"/>
      <c r="R15" s="5"/>
      <c r="S15" s="5"/>
      <c r="T15" s="5"/>
      <c r="U15" s="5"/>
      <c r="V15" s="5"/>
      <c r="W15" s="5"/>
      <c r="X15" s="5"/>
      <c r="Y15" s="5"/>
      <c r="Z15" s="5"/>
    </row>
    <row r="16" ht="14.25" customHeight="1">
      <c r="A16" s="319" t="s">
        <v>591</v>
      </c>
      <c r="B16" s="319" t="s">
        <v>439</v>
      </c>
      <c r="C16" s="319" t="s">
        <v>272</v>
      </c>
      <c r="D16" s="319" t="s">
        <v>566</v>
      </c>
      <c r="E16" s="320">
        <v>32135.51</v>
      </c>
      <c r="F16" s="320">
        <v>-34034.7</v>
      </c>
      <c r="G16" s="319" t="s">
        <v>592</v>
      </c>
      <c r="H16" s="331">
        <v>80.0</v>
      </c>
      <c r="I16" s="5"/>
      <c r="J16" s="5"/>
      <c r="K16" s="5"/>
      <c r="L16" s="5"/>
      <c r="M16" s="5"/>
      <c r="N16" s="5"/>
      <c r="O16" s="5"/>
      <c r="P16" s="5"/>
      <c r="Q16" s="5"/>
      <c r="R16" s="5"/>
      <c r="S16" s="5"/>
      <c r="T16" s="5"/>
      <c r="U16" s="5"/>
      <c r="V16" s="5"/>
      <c r="W16" s="5"/>
      <c r="X16" s="5"/>
      <c r="Y16" s="5"/>
      <c r="Z16" s="5"/>
    </row>
    <row r="17" ht="14.25" customHeight="1">
      <c r="A17" s="319" t="s">
        <v>593</v>
      </c>
      <c r="B17" s="319" t="s">
        <v>435</v>
      </c>
      <c r="C17" s="319" t="s">
        <v>272</v>
      </c>
      <c r="D17" s="319" t="s">
        <v>572</v>
      </c>
      <c r="E17" s="320">
        <v>55950.97</v>
      </c>
      <c r="F17" s="320">
        <v>-58834.65</v>
      </c>
      <c r="G17" s="319" t="s">
        <v>594</v>
      </c>
      <c r="H17" s="331">
        <v>74.0</v>
      </c>
      <c r="I17" s="5"/>
      <c r="J17" s="5"/>
      <c r="K17" s="5"/>
      <c r="L17" s="5"/>
      <c r="M17" s="5"/>
      <c r="N17" s="5"/>
      <c r="O17" s="5"/>
      <c r="P17" s="5"/>
      <c r="Q17" s="5"/>
      <c r="R17" s="5"/>
      <c r="S17" s="5"/>
      <c r="T17" s="5"/>
      <c r="U17" s="5"/>
      <c r="V17" s="5"/>
      <c r="W17" s="5"/>
      <c r="X17" s="5"/>
      <c r="Y17" s="5"/>
      <c r="Z17" s="5"/>
    </row>
    <row r="18" ht="14.25" customHeight="1">
      <c r="A18" s="319" t="s">
        <v>595</v>
      </c>
      <c r="B18" s="319" t="s">
        <v>435</v>
      </c>
      <c r="C18" s="319" t="s">
        <v>272</v>
      </c>
      <c r="D18" s="319" t="s">
        <v>572</v>
      </c>
      <c r="E18" s="320">
        <v>55950.97</v>
      </c>
      <c r="F18" s="320">
        <v>-58834.65</v>
      </c>
      <c r="G18" s="319" t="s">
        <v>596</v>
      </c>
      <c r="H18" s="331">
        <v>74.0</v>
      </c>
      <c r="I18" s="5"/>
      <c r="J18" s="5"/>
      <c r="K18" s="5"/>
      <c r="L18" s="5"/>
      <c r="M18" s="5"/>
      <c r="N18" s="5"/>
      <c r="O18" s="5"/>
      <c r="P18" s="5"/>
      <c r="Q18" s="5"/>
      <c r="R18" s="5"/>
      <c r="S18" s="5"/>
      <c r="T18" s="5"/>
      <c r="U18" s="5"/>
      <c r="V18" s="5"/>
      <c r="W18" s="5"/>
      <c r="X18" s="5"/>
      <c r="Y18" s="5"/>
      <c r="Z18" s="5"/>
    </row>
    <row r="19" ht="14.25" customHeight="1">
      <c r="A19" s="319" t="s">
        <v>597</v>
      </c>
      <c r="B19" s="319" t="s">
        <v>435</v>
      </c>
      <c r="C19" s="319" t="s">
        <v>272</v>
      </c>
      <c r="D19" s="319" t="s">
        <v>470</v>
      </c>
      <c r="E19" s="320">
        <v>26927.0</v>
      </c>
      <c r="F19" s="320">
        <v>-28367.85</v>
      </c>
      <c r="G19" s="319" t="s">
        <v>598</v>
      </c>
      <c r="H19" s="331">
        <v>74.0</v>
      </c>
      <c r="I19" s="5"/>
      <c r="J19" s="5"/>
      <c r="K19" s="5"/>
      <c r="L19" s="5"/>
      <c r="M19" s="5"/>
      <c r="N19" s="5"/>
      <c r="O19" s="5"/>
      <c r="P19" s="5"/>
      <c r="Q19" s="5"/>
      <c r="R19" s="5"/>
      <c r="S19" s="5"/>
      <c r="T19" s="5"/>
      <c r="U19" s="5"/>
      <c r="V19" s="5"/>
      <c r="W19" s="5"/>
      <c r="X19" s="5"/>
      <c r="Y19" s="5"/>
      <c r="Z19" s="5"/>
    </row>
    <row r="20" ht="14.25" customHeight="1">
      <c r="A20" s="319" t="s">
        <v>599</v>
      </c>
      <c r="B20" s="319" t="s">
        <v>439</v>
      </c>
      <c r="C20" s="319" t="s">
        <v>272</v>
      </c>
      <c r="D20" s="319" t="s">
        <v>566</v>
      </c>
      <c r="E20" s="320">
        <v>37610.0</v>
      </c>
      <c r="F20" s="320">
        <v>-39461.1</v>
      </c>
      <c r="G20" s="319" t="s">
        <v>600</v>
      </c>
      <c r="H20" s="331">
        <v>73.0</v>
      </c>
      <c r="I20" s="5"/>
      <c r="J20" s="5"/>
      <c r="K20" s="5"/>
      <c r="L20" s="5"/>
      <c r="M20" s="5"/>
      <c r="N20" s="5"/>
      <c r="O20" s="5"/>
      <c r="P20" s="5"/>
      <c r="Q20" s="5"/>
      <c r="R20" s="5"/>
      <c r="S20" s="5"/>
      <c r="T20" s="5"/>
      <c r="U20" s="5"/>
      <c r="V20" s="5"/>
      <c r="W20" s="5"/>
      <c r="X20" s="5"/>
      <c r="Y20" s="5"/>
      <c r="Z20" s="5"/>
    </row>
    <row r="21" ht="14.25" customHeight="1">
      <c r="A21" s="319" t="s">
        <v>601</v>
      </c>
      <c r="B21" s="319" t="s">
        <v>435</v>
      </c>
      <c r="C21" s="319" t="s">
        <v>272</v>
      </c>
      <c r="D21" s="319" t="s">
        <v>572</v>
      </c>
      <c r="E21" s="320">
        <v>55950.97</v>
      </c>
      <c r="F21" s="320">
        <v>-58834.65</v>
      </c>
      <c r="G21" s="319" t="s">
        <v>602</v>
      </c>
      <c r="H21" s="331">
        <v>73.0</v>
      </c>
      <c r="I21" s="5"/>
      <c r="J21" s="5"/>
      <c r="K21" s="5"/>
      <c r="L21" s="5"/>
      <c r="M21" s="5"/>
      <c r="N21" s="5"/>
      <c r="O21" s="5"/>
      <c r="P21" s="5"/>
      <c r="Q21" s="5"/>
      <c r="R21" s="5"/>
      <c r="S21" s="5"/>
      <c r="T21" s="5"/>
      <c r="U21" s="5"/>
      <c r="V21" s="5"/>
      <c r="W21" s="5"/>
      <c r="X21" s="5"/>
      <c r="Y21" s="5"/>
      <c r="Z21" s="5"/>
    </row>
    <row r="22" ht="14.25" customHeight="1">
      <c r="A22" s="319" t="s">
        <v>603</v>
      </c>
      <c r="B22" s="319" t="s">
        <v>435</v>
      </c>
      <c r="C22" s="319" t="s">
        <v>272</v>
      </c>
      <c r="D22" s="319" t="s">
        <v>470</v>
      </c>
      <c r="E22" s="320">
        <v>29531.0</v>
      </c>
      <c r="F22" s="320">
        <v>-31102.05</v>
      </c>
      <c r="G22" s="319" t="s">
        <v>604</v>
      </c>
      <c r="H22" s="331">
        <v>73.0</v>
      </c>
      <c r="I22" s="5"/>
      <c r="J22" s="5"/>
      <c r="K22" s="5"/>
      <c r="L22" s="5"/>
      <c r="M22" s="5"/>
      <c r="N22" s="5"/>
      <c r="O22" s="5"/>
      <c r="P22" s="5"/>
      <c r="Q22" s="5"/>
      <c r="R22" s="5"/>
      <c r="S22" s="5"/>
      <c r="T22" s="5"/>
      <c r="U22" s="5"/>
      <c r="V22" s="5"/>
      <c r="W22" s="5"/>
      <c r="X22" s="5"/>
      <c r="Y22" s="5"/>
      <c r="Z22" s="5"/>
    </row>
    <row r="23" ht="14.25" customHeight="1">
      <c r="A23" s="319" t="s">
        <v>605</v>
      </c>
      <c r="B23" s="319" t="s">
        <v>435</v>
      </c>
      <c r="C23" s="319" t="s">
        <v>272</v>
      </c>
      <c r="D23" s="319" t="s">
        <v>572</v>
      </c>
      <c r="E23" s="320">
        <v>54250.0</v>
      </c>
      <c r="F23" s="320">
        <v>-57051.75</v>
      </c>
      <c r="G23" s="319" t="s">
        <v>606</v>
      </c>
      <c r="H23" s="331">
        <v>68.0</v>
      </c>
      <c r="I23" s="5"/>
      <c r="J23" s="5"/>
      <c r="K23" s="5"/>
      <c r="L23" s="5"/>
      <c r="M23" s="5"/>
      <c r="N23" s="5"/>
      <c r="O23" s="5"/>
      <c r="P23" s="5"/>
      <c r="Q23" s="5"/>
      <c r="R23" s="5"/>
      <c r="S23" s="5"/>
      <c r="T23" s="5"/>
      <c r="U23" s="5"/>
      <c r="V23" s="5"/>
      <c r="W23" s="5"/>
      <c r="X23" s="5"/>
      <c r="Y23" s="5"/>
      <c r="Z23" s="5"/>
    </row>
    <row r="24" ht="14.25" customHeight="1">
      <c r="A24" s="319" t="s">
        <v>607</v>
      </c>
      <c r="B24" s="319" t="s">
        <v>435</v>
      </c>
      <c r="C24" s="319" t="s">
        <v>272</v>
      </c>
      <c r="D24" s="319" t="s">
        <v>314</v>
      </c>
      <c r="E24" s="320">
        <v>37506.9</v>
      </c>
      <c r="F24" s="320">
        <v>-39440.1</v>
      </c>
      <c r="G24" s="319" t="s">
        <v>608</v>
      </c>
      <c r="H24" s="331">
        <v>68.0</v>
      </c>
      <c r="I24" s="5"/>
      <c r="J24" s="5"/>
      <c r="K24" s="5"/>
      <c r="L24" s="5"/>
      <c r="M24" s="5"/>
      <c r="N24" s="5"/>
      <c r="O24" s="5"/>
      <c r="P24" s="5"/>
      <c r="Q24" s="5"/>
      <c r="R24" s="5"/>
      <c r="S24" s="5"/>
      <c r="T24" s="5"/>
      <c r="U24" s="5"/>
      <c r="V24" s="5"/>
      <c r="W24" s="5"/>
      <c r="X24" s="5"/>
      <c r="Y24" s="5"/>
      <c r="Z24" s="5"/>
    </row>
    <row r="25" ht="14.25" customHeight="1">
      <c r="A25" s="319" t="s">
        <v>609</v>
      </c>
      <c r="B25" s="319" t="s">
        <v>435</v>
      </c>
      <c r="C25" s="319" t="s">
        <v>272</v>
      </c>
      <c r="D25" s="319" t="s">
        <v>610</v>
      </c>
      <c r="E25" s="320">
        <v>32637.0</v>
      </c>
      <c r="F25" s="320">
        <v>-34363.35</v>
      </c>
      <c r="G25" s="319" t="s">
        <v>611</v>
      </c>
      <c r="H25" s="331">
        <v>68.0</v>
      </c>
      <c r="I25" s="5"/>
      <c r="J25" s="5"/>
      <c r="K25" s="5"/>
      <c r="L25" s="5"/>
      <c r="M25" s="5"/>
      <c r="N25" s="5"/>
      <c r="O25" s="5"/>
      <c r="P25" s="5"/>
      <c r="Q25" s="5"/>
      <c r="R25" s="5"/>
      <c r="S25" s="5"/>
      <c r="T25" s="5"/>
      <c r="U25" s="5"/>
      <c r="V25" s="5"/>
      <c r="W25" s="5"/>
      <c r="X25" s="5"/>
      <c r="Y25" s="5"/>
      <c r="Z25" s="5"/>
    </row>
    <row r="26" ht="14.25" customHeight="1">
      <c r="A26" s="319" t="s">
        <v>612</v>
      </c>
      <c r="B26" s="319" t="s">
        <v>439</v>
      </c>
      <c r="C26" s="319" t="s">
        <v>272</v>
      </c>
      <c r="D26" s="319" t="s">
        <v>566</v>
      </c>
      <c r="E26" s="320">
        <v>28066.02</v>
      </c>
      <c r="F26" s="320">
        <v>-28951.65</v>
      </c>
      <c r="G26" s="319" t="s">
        <v>613</v>
      </c>
      <c r="H26" s="331">
        <v>62.0</v>
      </c>
      <c r="I26" s="5"/>
      <c r="J26" s="5"/>
      <c r="K26" s="5"/>
      <c r="L26" s="5"/>
      <c r="M26" s="5"/>
      <c r="N26" s="5"/>
      <c r="O26" s="5"/>
      <c r="P26" s="5"/>
      <c r="Q26" s="5"/>
      <c r="R26" s="5"/>
      <c r="S26" s="5"/>
      <c r="T26" s="5"/>
      <c r="U26" s="5"/>
      <c r="V26" s="5"/>
      <c r="W26" s="5"/>
      <c r="X26" s="5"/>
      <c r="Y26" s="5"/>
      <c r="Z26" s="5"/>
    </row>
    <row r="27" ht="14.25" customHeight="1">
      <c r="A27" s="319" t="s">
        <v>614</v>
      </c>
      <c r="B27" s="319" t="s">
        <v>435</v>
      </c>
      <c r="C27" s="319" t="s">
        <v>272</v>
      </c>
      <c r="D27" s="319" t="s">
        <v>470</v>
      </c>
      <c r="E27" s="320">
        <v>32017.87</v>
      </c>
      <c r="F27" s="320">
        <v>-33204.15</v>
      </c>
      <c r="G27" s="319" t="s">
        <v>615</v>
      </c>
      <c r="H27" s="331">
        <v>62.0</v>
      </c>
      <c r="I27" s="5"/>
      <c r="J27" s="5"/>
      <c r="K27" s="5"/>
      <c r="L27" s="5"/>
      <c r="M27" s="5"/>
      <c r="N27" s="5"/>
      <c r="O27" s="5"/>
      <c r="P27" s="5"/>
      <c r="Q27" s="5"/>
      <c r="R27" s="5"/>
      <c r="S27" s="5"/>
      <c r="T27" s="5"/>
      <c r="U27" s="5"/>
      <c r="V27" s="5"/>
      <c r="W27" s="5"/>
      <c r="X27" s="5"/>
      <c r="Y27" s="5"/>
      <c r="Z27" s="5"/>
    </row>
    <row r="28" ht="14.25" customHeight="1">
      <c r="A28" s="319" t="s">
        <v>616</v>
      </c>
      <c r="B28" s="319" t="s">
        <v>435</v>
      </c>
      <c r="C28" s="319" t="s">
        <v>272</v>
      </c>
      <c r="D28" s="319" t="s">
        <v>610</v>
      </c>
      <c r="E28" s="320">
        <v>31816.52</v>
      </c>
      <c r="F28" s="5"/>
      <c r="G28" s="319" t="s">
        <v>617</v>
      </c>
      <c r="H28" s="331">
        <v>52.0</v>
      </c>
      <c r="I28" s="5"/>
      <c r="J28" s="5"/>
      <c r="K28" s="5"/>
      <c r="L28" s="5"/>
      <c r="M28" s="5"/>
      <c r="N28" s="5"/>
      <c r="O28" s="5"/>
      <c r="P28" s="5"/>
      <c r="Q28" s="5"/>
      <c r="R28" s="5"/>
      <c r="S28" s="5"/>
      <c r="T28" s="5"/>
      <c r="U28" s="5"/>
      <c r="V28" s="5"/>
      <c r="W28" s="5"/>
      <c r="X28" s="5"/>
      <c r="Y28" s="5"/>
      <c r="Z28" s="5"/>
    </row>
    <row r="29" ht="14.25" customHeight="1">
      <c r="A29" s="319" t="s">
        <v>618</v>
      </c>
      <c r="B29" s="319" t="s">
        <v>435</v>
      </c>
      <c r="C29" s="319" t="s">
        <v>272</v>
      </c>
      <c r="D29" s="319" t="s">
        <v>610</v>
      </c>
      <c r="E29" s="320">
        <v>31513.0</v>
      </c>
      <c r="F29" s="5"/>
      <c r="G29" s="319" t="s">
        <v>619</v>
      </c>
      <c r="H29" s="331">
        <v>51.0</v>
      </c>
      <c r="I29" s="5"/>
      <c r="J29" s="5"/>
      <c r="K29" s="5"/>
      <c r="L29" s="5"/>
      <c r="M29" s="5"/>
      <c r="N29" s="5"/>
      <c r="O29" s="5"/>
      <c r="P29" s="5"/>
      <c r="Q29" s="5"/>
      <c r="R29" s="5"/>
      <c r="S29" s="5"/>
      <c r="T29" s="5"/>
      <c r="U29" s="5"/>
      <c r="V29" s="5"/>
      <c r="W29" s="5"/>
      <c r="X29" s="5"/>
      <c r="Y29" s="5"/>
      <c r="Z29" s="5"/>
    </row>
    <row r="30" ht="14.25" customHeight="1">
      <c r="A30" s="319" t="s">
        <v>620</v>
      </c>
      <c r="B30" s="319" t="s">
        <v>435</v>
      </c>
      <c r="C30" s="319" t="s">
        <v>272</v>
      </c>
      <c r="D30" s="319" t="s">
        <v>289</v>
      </c>
      <c r="E30" s="320">
        <v>48894.0</v>
      </c>
      <c r="F30" s="320">
        <v>-51427.95</v>
      </c>
      <c r="G30" s="319" t="s">
        <v>621</v>
      </c>
      <c r="H30" s="331">
        <v>48.0</v>
      </c>
      <c r="I30" s="5"/>
      <c r="J30" s="5"/>
      <c r="K30" s="5"/>
      <c r="L30" s="5"/>
      <c r="M30" s="5"/>
      <c r="N30" s="5"/>
      <c r="O30" s="5"/>
      <c r="P30" s="5"/>
      <c r="Q30" s="5"/>
      <c r="R30" s="5"/>
      <c r="S30" s="5"/>
      <c r="T30" s="5"/>
      <c r="U30" s="5"/>
      <c r="V30" s="5"/>
      <c r="W30" s="5"/>
      <c r="X30" s="5"/>
      <c r="Y30" s="5"/>
      <c r="Z30" s="5"/>
    </row>
    <row r="31" ht="14.25" customHeight="1">
      <c r="A31" s="319" t="s">
        <v>622</v>
      </c>
      <c r="B31" s="319" t="s">
        <v>435</v>
      </c>
      <c r="C31" s="319" t="s">
        <v>272</v>
      </c>
      <c r="D31" s="319" t="s">
        <v>572</v>
      </c>
      <c r="E31" s="320">
        <v>55948.0</v>
      </c>
      <c r="F31" s="320">
        <v>-58834.65</v>
      </c>
      <c r="G31" s="319" t="s">
        <v>623</v>
      </c>
      <c r="H31" s="331">
        <v>48.0</v>
      </c>
      <c r="I31" s="5"/>
      <c r="J31" s="5"/>
      <c r="K31" s="5"/>
      <c r="L31" s="5"/>
      <c r="M31" s="5"/>
      <c r="N31" s="5"/>
      <c r="O31" s="5"/>
      <c r="P31" s="5"/>
      <c r="Q31" s="5"/>
      <c r="R31" s="5"/>
      <c r="S31" s="5"/>
      <c r="T31" s="5"/>
      <c r="U31" s="5"/>
      <c r="V31" s="5"/>
      <c r="W31" s="5"/>
      <c r="X31" s="5"/>
      <c r="Y31" s="5"/>
      <c r="Z31" s="5"/>
    </row>
    <row r="32" ht="14.25" customHeight="1">
      <c r="A32" s="319" t="s">
        <v>624</v>
      </c>
      <c r="B32" s="319" t="s">
        <v>435</v>
      </c>
      <c r="C32" s="319" t="s">
        <v>272</v>
      </c>
      <c r="D32" s="319" t="s">
        <v>572</v>
      </c>
      <c r="E32" s="320">
        <v>54236.5</v>
      </c>
      <c r="F32" s="5"/>
      <c r="G32" s="319" t="s">
        <v>625</v>
      </c>
      <c r="H32" s="331">
        <v>48.0</v>
      </c>
      <c r="I32" s="5"/>
      <c r="J32" s="5"/>
      <c r="K32" s="5"/>
      <c r="L32" s="5"/>
      <c r="M32" s="5"/>
      <c r="N32" s="5"/>
      <c r="O32" s="5"/>
      <c r="P32" s="5"/>
      <c r="Q32" s="5"/>
      <c r="R32" s="5"/>
      <c r="S32" s="5"/>
      <c r="T32" s="5"/>
      <c r="U32" s="5"/>
      <c r="V32" s="5"/>
      <c r="W32" s="5"/>
      <c r="X32" s="5"/>
      <c r="Y32" s="5"/>
      <c r="Z32" s="5"/>
    </row>
    <row r="33" ht="14.25" customHeight="1">
      <c r="A33" s="319" t="s">
        <v>626</v>
      </c>
      <c r="B33" s="319" t="s">
        <v>435</v>
      </c>
      <c r="C33" s="319" t="s">
        <v>272</v>
      </c>
      <c r="D33" s="319" t="s">
        <v>566</v>
      </c>
      <c r="E33" s="320">
        <v>32864.0</v>
      </c>
      <c r="F33" s="320">
        <v>-34706.7</v>
      </c>
      <c r="G33" s="319" t="s">
        <v>627</v>
      </c>
      <c r="H33" s="331">
        <v>48.0</v>
      </c>
      <c r="I33" s="5"/>
      <c r="J33" s="5"/>
      <c r="K33" s="5"/>
      <c r="L33" s="5"/>
      <c r="M33" s="5"/>
      <c r="N33" s="5"/>
      <c r="O33" s="5"/>
      <c r="P33" s="5"/>
      <c r="Q33" s="5"/>
      <c r="R33" s="5"/>
      <c r="S33" s="5"/>
      <c r="T33" s="5"/>
      <c r="U33" s="5"/>
      <c r="V33" s="5"/>
      <c r="W33" s="5"/>
      <c r="X33" s="5"/>
      <c r="Y33" s="5"/>
      <c r="Z33" s="5"/>
    </row>
    <row r="34" ht="14.25" customHeight="1">
      <c r="A34" s="319" t="s">
        <v>628</v>
      </c>
      <c r="B34" s="319" t="s">
        <v>435</v>
      </c>
      <c r="C34" s="319" t="s">
        <v>272</v>
      </c>
      <c r="D34" s="319" t="s">
        <v>289</v>
      </c>
      <c r="E34" s="320">
        <v>55259.97</v>
      </c>
      <c r="F34" s="320">
        <v>-58109.1</v>
      </c>
      <c r="G34" s="319" t="s">
        <v>629</v>
      </c>
      <c r="H34" s="331">
        <v>47.0</v>
      </c>
      <c r="I34" s="5"/>
      <c r="J34" s="5"/>
      <c r="K34" s="5"/>
      <c r="L34" s="5"/>
      <c r="M34" s="5"/>
      <c r="N34" s="5"/>
      <c r="O34" s="5"/>
      <c r="P34" s="5"/>
      <c r="Q34" s="5"/>
      <c r="R34" s="5"/>
      <c r="S34" s="5"/>
      <c r="T34" s="5"/>
      <c r="U34" s="5"/>
      <c r="V34" s="5"/>
      <c r="W34" s="5"/>
      <c r="X34" s="5"/>
      <c r="Y34" s="5"/>
      <c r="Z34" s="5"/>
    </row>
    <row r="35" ht="14.25" customHeight="1">
      <c r="A35" s="319" t="s">
        <v>630</v>
      </c>
      <c r="B35" s="319" t="s">
        <v>435</v>
      </c>
      <c r="C35" s="319" t="s">
        <v>272</v>
      </c>
      <c r="D35" s="319" t="s">
        <v>572</v>
      </c>
      <c r="E35" s="320">
        <v>53794.97</v>
      </c>
      <c r="F35" s="320">
        <v>-56570.85</v>
      </c>
      <c r="G35" s="319" t="s">
        <v>631</v>
      </c>
      <c r="H35" s="331">
        <v>45.0</v>
      </c>
      <c r="I35" s="5"/>
      <c r="J35" s="5"/>
      <c r="K35" s="5"/>
      <c r="L35" s="5"/>
      <c r="M35" s="5"/>
      <c r="N35" s="5"/>
      <c r="O35" s="5"/>
      <c r="P35" s="5"/>
      <c r="Q35" s="5"/>
      <c r="R35" s="5"/>
      <c r="S35" s="5"/>
      <c r="T35" s="5"/>
      <c r="U35" s="5"/>
      <c r="V35" s="5"/>
      <c r="W35" s="5"/>
      <c r="X35" s="5"/>
      <c r="Y35" s="5"/>
      <c r="Z35" s="5"/>
    </row>
    <row r="36" ht="14.25" customHeight="1">
      <c r="A36" s="319" t="s">
        <v>632</v>
      </c>
      <c r="B36" s="319" t="s">
        <v>435</v>
      </c>
      <c r="C36" s="319" t="s">
        <v>272</v>
      </c>
      <c r="D36" s="319" t="s">
        <v>470</v>
      </c>
      <c r="E36" s="320">
        <v>28629.0</v>
      </c>
      <c r="F36" s="5"/>
      <c r="G36" s="319" t="s">
        <v>633</v>
      </c>
      <c r="H36" s="331">
        <v>44.0</v>
      </c>
      <c r="I36" s="5"/>
      <c r="J36" s="5"/>
      <c r="K36" s="5"/>
      <c r="L36" s="5"/>
      <c r="M36" s="5"/>
      <c r="N36" s="5"/>
      <c r="O36" s="5"/>
      <c r="P36" s="5"/>
      <c r="Q36" s="5"/>
      <c r="R36" s="5"/>
      <c r="S36" s="5"/>
      <c r="T36" s="5"/>
      <c r="U36" s="5"/>
      <c r="V36" s="5"/>
      <c r="W36" s="5"/>
      <c r="X36" s="5"/>
      <c r="Y36" s="5"/>
      <c r="Z36" s="5"/>
    </row>
    <row r="37" ht="14.25" customHeight="1">
      <c r="A37" s="319" t="s">
        <v>634</v>
      </c>
      <c r="B37" s="319" t="s">
        <v>435</v>
      </c>
      <c r="C37" s="319" t="s">
        <v>272</v>
      </c>
      <c r="D37" s="319" t="s">
        <v>289</v>
      </c>
      <c r="E37" s="320">
        <v>54801.97</v>
      </c>
      <c r="F37" s="320">
        <v>-57628.2</v>
      </c>
      <c r="G37" s="319" t="s">
        <v>635</v>
      </c>
      <c r="H37" s="331">
        <v>41.0</v>
      </c>
      <c r="I37" s="5"/>
      <c r="J37" s="5"/>
      <c r="K37" s="5"/>
      <c r="L37" s="5"/>
      <c r="M37" s="5"/>
      <c r="N37" s="5"/>
      <c r="O37" s="5"/>
      <c r="P37" s="5"/>
      <c r="Q37" s="5"/>
      <c r="R37" s="5"/>
      <c r="S37" s="5"/>
      <c r="T37" s="5"/>
      <c r="U37" s="5"/>
      <c r="V37" s="5"/>
      <c r="W37" s="5"/>
      <c r="X37" s="5"/>
      <c r="Y37" s="5"/>
      <c r="Z37" s="5"/>
    </row>
    <row r="38" ht="14.25" customHeight="1">
      <c r="A38" s="319" t="s">
        <v>636</v>
      </c>
      <c r="B38" s="319" t="s">
        <v>435</v>
      </c>
      <c r="C38" s="319" t="s">
        <v>272</v>
      </c>
      <c r="D38" s="319" t="s">
        <v>289</v>
      </c>
      <c r="E38" s="320">
        <v>58249.97</v>
      </c>
      <c r="F38" s="5"/>
      <c r="G38" s="319" t="s">
        <v>637</v>
      </c>
      <c r="H38" s="331">
        <v>38.0</v>
      </c>
      <c r="I38" s="5"/>
      <c r="J38" s="5"/>
      <c r="K38" s="5"/>
      <c r="L38" s="5"/>
      <c r="M38" s="5"/>
      <c r="N38" s="5"/>
      <c r="O38" s="5"/>
      <c r="P38" s="5"/>
      <c r="Q38" s="5"/>
      <c r="R38" s="5"/>
      <c r="S38" s="5"/>
      <c r="T38" s="5"/>
      <c r="U38" s="5"/>
      <c r="V38" s="5"/>
      <c r="W38" s="5"/>
      <c r="X38" s="5"/>
      <c r="Y38" s="5"/>
      <c r="Z38" s="5"/>
    </row>
    <row r="39" ht="14.25" customHeight="1">
      <c r="A39" s="319" t="s">
        <v>638</v>
      </c>
      <c r="B39" s="319" t="s">
        <v>435</v>
      </c>
      <c r="C39" s="319" t="s">
        <v>272</v>
      </c>
      <c r="D39" s="319" t="s">
        <v>298</v>
      </c>
      <c r="E39" s="320">
        <v>45175.95</v>
      </c>
      <c r="F39" s="320">
        <v>-47526.15</v>
      </c>
      <c r="G39" s="319" t="s">
        <v>639</v>
      </c>
      <c r="H39" s="331">
        <v>37.0</v>
      </c>
      <c r="I39" s="5"/>
      <c r="J39" s="5"/>
      <c r="K39" s="5"/>
      <c r="L39" s="5"/>
      <c r="M39" s="5"/>
      <c r="N39" s="5"/>
      <c r="O39" s="5"/>
      <c r="P39" s="5"/>
      <c r="Q39" s="5"/>
      <c r="R39" s="5"/>
      <c r="S39" s="5"/>
      <c r="T39" s="5"/>
      <c r="U39" s="5"/>
      <c r="V39" s="5"/>
      <c r="W39" s="5"/>
      <c r="X39" s="5"/>
      <c r="Y39" s="5"/>
      <c r="Z39" s="5"/>
    </row>
    <row r="40" ht="14.25" customHeight="1">
      <c r="A40" s="319" t="s">
        <v>640</v>
      </c>
      <c r="B40" s="319" t="s">
        <v>435</v>
      </c>
      <c r="C40" s="319" t="s">
        <v>272</v>
      </c>
      <c r="D40" s="319" t="s">
        <v>298</v>
      </c>
      <c r="E40" s="320">
        <v>44101.0</v>
      </c>
      <c r="F40" s="320">
        <v>-46474.05</v>
      </c>
      <c r="G40" s="319" t="s">
        <v>641</v>
      </c>
      <c r="H40" s="331">
        <v>34.0</v>
      </c>
      <c r="I40" s="5"/>
      <c r="J40" s="5"/>
      <c r="K40" s="5"/>
      <c r="L40" s="5"/>
      <c r="M40" s="5"/>
      <c r="N40" s="5"/>
      <c r="O40" s="5"/>
      <c r="P40" s="5"/>
      <c r="Q40" s="5"/>
      <c r="R40" s="5"/>
      <c r="S40" s="5"/>
      <c r="T40" s="5"/>
      <c r="U40" s="5"/>
      <c r="V40" s="5"/>
      <c r="W40" s="5"/>
      <c r="X40" s="5"/>
      <c r="Y40" s="5"/>
      <c r="Z40" s="5"/>
    </row>
    <row r="41" ht="14.25" customHeight="1">
      <c r="A41" s="319" t="s">
        <v>642</v>
      </c>
      <c r="B41" s="319" t="s">
        <v>435</v>
      </c>
      <c r="C41" s="319" t="s">
        <v>272</v>
      </c>
      <c r="D41" s="319" t="s">
        <v>289</v>
      </c>
      <c r="E41" s="320">
        <v>54806.97</v>
      </c>
      <c r="F41" s="320">
        <v>-57628.2</v>
      </c>
      <c r="G41" s="319" t="s">
        <v>643</v>
      </c>
      <c r="H41" s="331">
        <v>33.0</v>
      </c>
      <c r="I41" s="5"/>
      <c r="J41" s="5"/>
      <c r="K41" s="5"/>
      <c r="L41" s="5"/>
      <c r="M41" s="5"/>
      <c r="N41" s="5"/>
      <c r="O41" s="5"/>
      <c r="P41" s="5"/>
      <c r="Q41" s="5"/>
      <c r="R41" s="5"/>
      <c r="S41" s="5"/>
      <c r="T41" s="5"/>
      <c r="U41" s="5"/>
      <c r="V41" s="5"/>
      <c r="W41" s="5"/>
      <c r="X41" s="5"/>
      <c r="Y41" s="5"/>
      <c r="Z41" s="5"/>
    </row>
    <row r="42" ht="14.25" customHeight="1">
      <c r="A42" s="319" t="s">
        <v>644</v>
      </c>
      <c r="B42" s="319" t="s">
        <v>435</v>
      </c>
      <c r="C42" s="319" t="s">
        <v>272</v>
      </c>
      <c r="D42" s="319" t="s">
        <v>566</v>
      </c>
      <c r="E42" s="320">
        <v>38195.0</v>
      </c>
      <c r="F42" s="320">
        <v>-40225.5</v>
      </c>
      <c r="G42" s="319" t="s">
        <v>645</v>
      </c>
      <c r="H42" s="331">
        <v>33.0</v>
      </c>
      <c r="I42" s="5"/>
      <c r="J42" s="5"/>
      <c r="K42" s="5"/>
      <c r="L42" s="5"/>
      <c r="M42" s="5"/>
      <c r="N42" s="5"/>
      <c r="O42" s="5"/>
      <c r="P42" s="5"/>
      <c r="Q42" s="5"/>
      <c r="R42" s="5"/>
      <c r="S42" s="5"/>
      <c r="T42" s="5"/>
      <c r="U42" s="5"/>
      <c r="V42" s="5"/>
      <c r="W42" s="5"/>
      <c r="X42" s="5"/>
      <c r="Y42" s="5"/>
      <c r="Z42" s="5"/>
    </row>
    <row r="43" ht="14.25" customHeight="1">
      <c r="A43" s="319" t="s">
        <v>646</v>
      </c>
      <c r="B43" s="319" t="s">
        <v>435</v>
      </c>
      <c r="C43" s="319" t="s">
        <v>272</v>
      </c>
      <c r="D43" s="319" t="s">
        <v>572</v>
      </c>
      <c r="E43" s="320">
        <v>56348.1</v>
      </c>
      <c r="F43" s="320">
        <v>-58834.65</v>
      </c>
      <c r="G43" s="319" t="s">
        <v>647</v>
      </c>
      <c r="H43" s="331">
        <v>30.0</v>
      </c>
      <c r="I43" s="5"/>
      <c r="J43" s="5"/>
      <c r="K43" s="5"/>
      <c r="L43" s="5"/>
      <c r="M43" s="5"/>
      <c r="N43" s="5"/>
      <c r="O43" s="5"/>
      <c r="P43" s="5"/>
      <c r="Q43" s="5"/>
      <c r="R43" s="5"/>
      <c r="S43" s="5"/>
      <c r="T43" s="5"/>
      <c r="U43" s="5"/>
      <c r="V43" s="5"/>
      <c r="W43" s="5"/>
      <c r="X43" s="5"/>
      <c r="Y43" s="5"/>
      <c r="Z43" s="5"/>
    </row>
    <row r="44" ht="14.25" customHeight="1">
      <c r="A44" s="319" t="s">
        <v>648</v>
      </c>
      <c r="B44" s="319" t="s">
        <v>435</v>
      </c>
      <c r="C44" s="319" t="s">
        <v>272</v>
      </c>
      <c r="D44" s="319" t="s">
        <v>298</v>
      </c>
      <c r="E44" s="320">
        <v>45762.95</v>
      </c>
      <c r="F44" s="5"/>
      <c r="G44" s="319" t="s">
        <v>649</v>
      </c>
      <c r="H44" s="331">
        <v>30.0</v>
      </c>
      <c r="I44" s="5"/>
      <c r="J44" s="5"/>
      <c r="K44" s="5"/>
      <c r="L44" s="5"/>
      <c r="M44" s="5"/>
      <c r="N44" s="5"/>
      <c r="O44" s="5"/>
      <c r="P44" s="5"/>
      <c r="Q44" s="5"/>
      <c r="R44" s="5"/>
      <c r="S44" s="5"/>
      <c r="T44" s="5"/>
      <c r="U44" s="5"/>
      <c r="V44" s="5"/>
      <c r="W44" s="5"/>
      <c r="X44" s="5"/>
      <c r="Y44" s="5"/>
      <c r="Z44" s="5"/>
    </row>
    <row r="45" ht="14.25" customHeight="1">
      <c r="A45" s="319" t="s">
        <v>650</v>
      </c>
      <c r="B45" s="319" t="s">
        <v>435</v>
      </c>
      <c r="C45" s="319" t="s">
        <v>272</v>
      </c>
      <c r="D45" s="319" t="s">
        <v>566</v>
      </c>
      <c r="E45" s="320">
        <v>37908.0</v>
      </c>
      <c r="F45" s="320">
        <v>-39749.85</v>
      </c>
      <c r="G45" s="319" t="s">
        <v>651</v>
      </c>
      <c r="H45" s="331">
        <v>25.0</v>
      </c>
      <c r="I45" s="5"/>
      <c r="J45" s="5"/>
      <c r="K45" s="5"/>
      <c r="L45" s="5"/>
      <c r="M45" s="5"/>
      <c r="N45" s="5"/>
      <c r="O45" s="5"/>
      <c r="P45" s="5"/>
      <c r="Q45" s="5"/>
      <c r="R45" s="5"/>
      <c r="S45" s="5"/>
      <c r="T45" s="5"/>
      <c r="U45" s="5"/>
      <c r="V45" s="5"/>
      <c r="W45" s="5"/>
      <c r="X45" s="5"/>
      <c r="Y45" s="5"/>
      <c r="Z45" s="5"/>
    </row>
    <row r="46" ht="14.25" customHeight="1">
      <c r="A46" s="319" t="s">
        <v>652</v>
      </c>
      <c r="B46" s="319" t="s">
        <v>435</v>
      </c>
      <c r="C46" s="319" t="s">
        <v>272</v>
      </c>
      <c r="D46" s="319" t="s">
        <v>566</v>
      </c>
      <c r="E46" s="320">
        <v>32705.0</v>
      </c>
      <c r="F46" s="320">
        <v>-34423.2</v>
      </c>
      <c r="G46" s="319" t="s">
        <v>653</v>
      </c>
      <c r="H46" s="331">
        <v>25.0</v>
      </c>
      <c r="I46" s="5"/>
      <c r="J46" s="5"/>
      <c r="K46" s="5"/>
      <c r="L46" s="5"/>
      <c r="M46" s="5"/>
      <c r="N46" s="5"/>
      <c r="O46" s="5"/>
      <c r="P46" s="5"/>
      <c r="Q46" s="5"/>
      <c r="R46" s="5"/>
      <c r="S46" s="5"/>
      <c r="T46" s="5"/>
      <c r="U46" s="5"/>
      <c r="V46" s="5"/>
      <c r="W46" s="5"/>
      <c r="X46" s="5"/>
      <c r="Y46" s="5"/>
      <c r="Z46" s="5"/>
    </row>
    <row r="47" ht="14.25" customHeight="1">
      <c r="A47" s="319" t="s">
        <v>654</v>
      </c>
      <c r="B47" s="319" t="s">
        <v>435</v>
      </c>
      <c r="C47" s="319" t="s">
        <v>272</v>
      </c>
      <c r="D47" s="319" t="s">
        <v>566</v>
      </c>
      <c r="E47" s="320">
        <v>32705.0</v>
      </c>
      <c r="F47" s="320">
        <v>-34423.2</v>
      </c>
      <c r="G47" s="319" t="s">
        <v>655</v>
      </c>
      <c r="H47" s="331">
        <v>25.0</v>
      </c>
      <c r="I47" s="5"/>
      <c r="J47" s="5"/>
      <c r="K47" s="5"/>
      <c r="L47" s="5"/>
      <c r="M47" s="5"/>
      <c r="N47" s="5"/>
      <c r="O47" s="5"/>
      <c r="P47" s="5"/>
      <c r="Q47" s="5"/>
      <c r="R47" s="5"/>
      <c r="S47" s="5"/>
      <c r="T47" s="5"/>
      <c r="U47" s="5"/>
      <c r="V47" s="5"/>
      <c r="W47" s="5"/>
      <c r="X47" s="5"/>
      <c r="Y47" s="5"/>
      <c r="Z47" s="5"/>
    </row>
    <row r="48" ht="14.25" customHeight="1">
      <c r="A48" s="319" t="s">
        <v>656</v>
      </c>
      <c r="B48" s="319" t="s">
        <v>435</v>
      </c>
      <c r="C48" s="319" t="s">
        <v>272</v>
      </c>
      <c r="D48" s="319" t="s">
        <v>566</v>
      </c>
      <c r="E48" s="320">
        <v>32700.0</v>
      </c>
      <c r="F48" s="320">
        <v>-34423.2</v>
      </c>
      <c r="G48" s="319" t="s">
        <v>657</v>
      </c>
      <c r="H48" s="331">
        <v>25.0</v>
      </c>
      <c r="I48" s="5"/>
      <c r="J48" s="5"/>
      <c r="K48" s="5"/>
      <c r="L48" s="5"/>
      <c r="M48" s="5"/>
      <c r="N48" s="5"/>
      <c r="O48" s="5"/>
      <c r="P48" s="5"/>
      <c r="Q48" s="5"/>
      <c r="R48" s="5"/>
      <c r="S48" s="5"/>
      <c r="T48" s="5"/>
      <c r="U48" s="5"/>
      <c r="V48" s="5"/>
      <c r="W48" s="5"/>
      <c r="X48" s="5"/>
      <c r="Y48" s="5"/>
      <c r="Z48" s="5"/>
    </row>
    <row r="49" ht="14.25" customHeight="1">
      <c r="A49" s="319" t="s">
        <v>658</v>
      </c>
      <c r="B49" s="319" t="s">
        <v>435</v>
      </c>
      <c r="C49" s="319" t="s">
        <v>272</v>
      </c>
      <c r="D49" s="319" t="s">
        <v>566</v>
      </c>
      <c r="E49" s="320">
        <v>35661.95</v>
      </c>
      <c r="F49" s="5"/>
      <c r="G49" s="319" t="s">
        <v>659</v>
      </c>
      <c r="H49" s="331">
        <v>20.0</v>
      </c>
      <c r="I49" s="5"/>
      <c r="J49" s="5"/>
      <c r="K49" s="5"/>
      <c r="L49" s="5"/>
      <c r="M49" s="5"/>
      <c r="N49" s="5"/>
      <c r="O49" s="5"/>
      <c r="P49" s="5"/>
      <c r="Q49" s="5"/>
      <c r="R49" s="5"/>
      <c r="S49" s="5"/>
      <c r="T49" s="5"/>
      <c r="U49" s="5"/>
      <c r="V49" s="5"/>
      <c r="W49" s="5"/>
      <c r="X49" s="5"/>
      <c r="Y49" s="5"/>
      <c r="Z49" s="5"/>
    </row>
    <row r="50" ht="14.25" customHeight="1">
      <c r="A50" s="319" t="s">
        <v>660</v>
      </c>
      <c r="B50" s="319" t="s">
        <v>435</v>
      </c>
      <c r="C50" s="319" t="s">
        <v>272</v>
      </c>
      <c r="D50" s="319" t="s">
        <v>298</v>
      </c>
      <c r="E50" s="320">
        <v>44107.0</v>
      </c>
      <c r="F50" s="320">
        <v>-46474.05</v>
      </c>
      <c r="G50" s="319" t="s">
        <v>661</v>
      </c>
      <c r="H50" s="331">
        <v>20.0</v>
      </c>
      <c r="I50" s="5"/>
      <c r="J50" s="5"/>
      <c r="K50" s="5"/>
      <c r="L50" s="5"/>
      <c r="M50" s="5"/>
      <c r="N50" s="5"/>
      <c r="O50" s="5"/>
      <c r="P50" s="5"/>
      <c r="Q50" s="5"/>
      <c r="R50" s="5"/>
      <c r="S50" s="5"/>
      <c r="T50" s="5"/>
      <c r="U50" s="5"/>
      <c r="V50" s="5"/>
      <c r="W50" s="5"/>
      <c r="X50" s="5"/>
      <c r="Y50" s="5"/>
      <c r="Z50" s="5"/>
    </row>
    <row r="51" ht="14.25" customHeight="1">
      <c r="A51" s="319" t="s">
        <v>662</v>
      </c>
      <c r="B51" s="319" t="s">
        <v>435</v>
      </c>
      <c r="C51" s="319" t="s">
        <v>272</v>
      </c>
      <c r="D51" s="319" t="s">
        <v>566</v>
      </c>
      <c r="E51" s="320">
        <v>37441.5</v>
      </c>
      <c r="F51" s="5"/>
      <c r="G51" s="319" t="s">
        <v>663</v>
      </c>
      <c r="H51" s="331">
        <v>16.0</v>
      </c>
      <c r="I51" s="5"/>
      <c r="J51" s="5"/>
      <c r="K51" s="5"/>
      <c r="L51" s="5"/>
      <c r="M51" s="5"/>
      <c r="N51" s="5"/>
      <c r="O51" s="5"/>
      <c r="P51" s="5"/>
      <c r="Q51" s="5"/>
      <c r="R51" s="5"/>
      <c r="S51" s="5"/>
      <c r="T51" s="5"/>
      <c r="U51" s="5"/>
      <c r="V51" s="5"/>
      <c r="W51" s="5"/>
      <c r="X51" s="5"/>
      <c r="Y51" s="5"/>
      <c r="Z51" s="5"/>
    </row>
    <row r="52" ht="14.25" customHeight="1">
      <c r="A52" s="319" t="s">
        <v>664</v>
      </c>
      <c r="B52" s="319" t="s">
        <v>435</v>
      </c>
      <c r="C52" s="319" t="s">
        <v>272</v>
      </c>
      <c r="D52" s="319" t="s">
        <v>314</v>
      </c>
      <c r="E52" s="320">
        <v>38207.0</v>
      </c>
      <c r="F52" s="320">
        <v>-40179.3</v>
      </c>
      <c r="G52" s="319" t="s">
        <v>665</v>
      </c>
      <c r="H52" s="331">
        <v>13.0</v>
      </c>
      <c r="I52" s="5"/>
      <c r="J52" s="5"/>
      <c r="K52" s="5"/>
      <c r="L52" s="5"/>
      <c r="M52" s="5"/>
      <c r="N52" s="5"/>
      <c r="O52" s="5"/>
      <c r="P52" s="5"/>
      <c r="Q52" s="5"/>
      <c r="R52" s="5"/>
      <c r="S52" s="5"/>
      <c r="T52" s="5"/>
      <c r="U52" s="5"/>
      <c r="V52" s="5"/>
      <c r="W52" s="5"/>
      <c r="X52" s="5"/>
      <c r="Y52" s="5"/>
      <c r="Z52" s="5"/>
    </row>
    <row r="53" ht="14.25" customHeight="1">
      <c r="A53" s="319" t="s">
        <v>666</v>
      </c>
      <c r="B53" s="319" t="s">
        <v>435</v>
      </c>
      <c r="C53" s="319" t="s">
        <v>272</v>
      </c>
      <c r="D53" s="319" t="s">
        <v>566</v>
      </c>
      <c r="E53" s="320">
        <v>37773.0</v>
      </c>
      <c r="F53" s="320">
        <v>-39749.85</v>
      </c>
      <c r="G53" s="319" t="s">
        <v>667</v>
      </c>
      <c r="H53" s="331">
        <v>13.0</v>
      </c>
      <c r="I53" s="5"/>
      <c r="J53" s="5"/>
      <c r="K53" s="5"/>
      <c r="L53" s="5"/>
      <c r="M53" s="5"/>
      <c r="N53" s="5"/>
      <c r="O53" s="5"/>
      <c r="P53" s="5"/>
      <c r="Q53" s="5"/>
      <c r="R53" s="5"/>
      <c r="S53" s="5"/>
      <c r="T53" s="5"/>
      <c r="U53" s="5"/>
      <c r="V53" s="5"/>
      <c r="W53" s="5"/>
      <c r="X53" s="5"/>
      <c r="Y53" s="5"/>
      <c r="Z53" s="5"/>
    </row>
    <row r="54" ht="14.25" customHeight="1">
      <c r="A54" s="319" t="s">
        <v>668</v>
      </c>
      <c r="B54" s="319" t="s">
        <v>435</v>
      </c>
      <c r="C54" s="319" t="s">
        <v>272</v>
      </c>
      <c r="D54" s="319" t="s">
        <v>566</v>
      </c>
      <c r="E54" s="320">
        <v>37109.0</v>
      </c>
      <c r="F54" s="320">
        <v>-39552.45</v>
      </c>
      <c r="G54" s="319" t="s">
        <v>669</v>
      </c>
      <c r="H54" s="331">
        <v>13.0</v>
      </c>
      <c r="I54" s="5"/>
      <c r="J54" s="5"/>
      <c r="K54" s="5"/>
      <c r="L54" s="5"/>
      <c r="M54" s="5"/>
      <c r="N54" s="5"/>
      <c r="O54" s="5"/>
      <c r="P54" s="5"/>
      <c r="Q54" s="5"/>
      <c r="R54" s="5"/>
      <c r="S54" s="5"/>
      <c r="T54" s="5"/>
      <c r="U54" s="5"/>
      <c r="V54" s="5"/>
      <c r="W54" s="5"/>
      <c r="X54" s="5"/>
      <c r="Y54" s="5"/>
      <c r="Z54" s="5"/>
    </row>
    <row r="55" ht="14.25" customHeight="1">
      <c r="A55" s="319" t="s">
        <v>670</v>
      </c>
      <c r="B55" s="319" t="s">
        <v>435</v>
      </c>
      <c r="C55" s="319" t="s">
        <v>272</v>
      </c>
      <c r="D55" s="319" t="s">
        <v>566</v>
      </c>
      <c r="E55" s="320">
        <v>34270.0</v>
      </c>
      <c r="F55" s="320">
        <v>-36066.45</v>
      </c>
      <c r="G55" s="319" t="s">
        <v>671</v>
      </c>
      <c r="H55" s="331">
        <v>13.0</v>
      </c>
      <c r="I55" s="5"/>
      <c r="J55" s="5"/>
      <c r="K55" s="5"/>
      <c r="L55" s="5"/>
      <c r="M55" s="5"/>
      <c r="N55" s="5"/>
      <c r="O55" s="5"/>
      <c r="P55" s="5"/>
      <c r="Q55" s="5"/>
      <c r="R55" s="5"/>
      <c r="S55" s="5"/>
      <c r="T55" s="5"/>
      <c r="U55" s="5"/>
      <c r="V55" s="5"/>
      <c r="W55" s="5"/>
      <c r="X55" s="5"/>
      <c r="Y55" s="5"/>
      <c r="Z55" s="5"/>
    </row>
    <row r="56" ht="14.25" customHeight="1">
      <c r="A56" s="319" t="s">
        <v>672</v>
      </c>
      <c r="B56" s="319" t="s">
        <v>435</v>
      </c>
      <c r="C56" s="319" t="s">
        <v>272</v>
      </c>
      <c r="D56" s="319" t="s">
        <v>314</v>
      </c>
      <c r="E56" s="320">
        <v>39384.0</v>
      </c>
      <c r="F56" s="320">
        <v>-41836.2</v>
      </c>
      <c r="G56" s="319" t="s">
        <v>673</v>
      </c>
      <c r="H56" s="331">
        <v>12.0</v>
      </c>
      <c r="I56" s="5"/>
      <c r="J56" s="5"/>
      <c r="K56" s="5"/>
      <c r="L56" s="5"/>
      <c r="M56" s="5"/>
      <c r="N56" s="5"/>
      <c r="O56" s="5"/>
      <c r="P56" s="5"/>
      <c r="Q56" s="5"/>
      <c r="R56" s="5"/>
      <c r="S56" s="5"/>
      <c r="T56" s="5"/>
      <c r="U56" s="5"/>
      <c r="V56" s="5"/>
      <c r="W56" s="5"/>
      <c r="X56" s="5"/>
      <c r="Y56" s="5"/>
      <c r="Z56" s="5"/>
    </row>
    <row r="57" ht="14.25" customHeight="1">
      <c r="A57" s="319" t="s">
        <v>674</v>
      </c>
      <c r="B57" s="319" t="s">
        <v>435</v>
      </c>
      <c r="C57" s="319" t="s">
        <v>272</v>
      </c>
      <c r="D57" s="319" t="s">
        <v>436</v>
      </c>
      <c r="E57" s="320">
        <v>49697.0</v>
      </c>
      <c r="F57" s="320">
        <v>-52243.8</v>
      </c>
      <c r="G57" s="319" t="s">
        <v>675</v>
      </c>
      <c r="H57" s="331">
        <v>12.0</v>
      </c>
      <c r="I57" s="5"/>
      <c r="J57" s="5"/>
      <c r="K57" s="5"/>
      <c r="L57" s="5"/>
      <c r="M57" s="5"/>
      <c r="N57" s="5"/>
      <c r="O57" s="5"/>
      <c r="P57" s="5"/>
      <c r="Q57" s="5"/>
      <c r="R57" s="5"/>
      <c r="S57" s="5"/>
      <c r="T57" s="5"/>
      <c r="U57" s="5"/>
      <c r="V57" s="5"/>
      <c r="W57" s="5"/>
      <c r="X57" s="5"/>
      <c r="Y57" s="5"/>
      <c r="Z57" s="5"/>
    </row>
    <row r="58" ht="14.25" customHeight="1">
      <c r="A58" s="319" t="s">
        <v>676</v>
      </c>
      <c r="B58" s="319" t="s">
        <v>435</v>
      </c>
      <c r="C58" s="319" t="s">
        <v>272</v>
      </c>
      <c r="D58" s="319" t="s">
        <v>436</v>
      </c>
      <c r="E58" s="320">
        <v>49697.0</v>
      </c>
      <c r="F58" s="320">
        <v>-52243.8</v>
      </c>
      <c r="G58" s="319" t="s">
        <v>677</v>
      </c>
      <c r="H58" s="331">
        <v>12.0</v>
      </c>
      <c r="I58" s="5"/>
      <c r="J58" s="5"/>
      <c r="K58" s="5"/>
      <c r="L58" s="5"/>
      <c r="M58" s="5"/>
      <c r="N58" s="5"/>
      <c r="O58" s="5"/>
      <c r="P58" s="5"/>
      <c r="Q58" s="5"/>
      <c r="R58" s="5"/>
      <c r="S58" s="5"/>
      <c r="T58" s="5"/>
      <c r="U58" s="5"/>
      <c r="V58" s="5"/>
      <c r="W58" s="5"/>
      <c r="X58" s="5"/>
      <c r="Y58" s="5"/>
      <c r="Z58" s="5"/>
    </row>
    <row r="59" ht="14.25" customHeight="1">
      <c r="A59" s="319" t="s">
        <v>678</v>
      </c>
      <c r="B59" s="319" t="s">
        <v>435</v>
      </c>
      <c r="C59" s="319" t="s">
        <v>272</v>
      </c>
      <c r="D59" s="319" t="s">
        <v>566</v>
      </c>
      <c r="E59" s="320">
        <v>35568.0</v>
      </c>
      <c r="F59" s="320">
        <v>-37434.6</v>
      </c>
      <c r="G59" s="319" t="s">
        <v>679</v>
      </c>
      <c r="H59" s="331">
        <v>12.0</v>
      </c>
      <c r="I59" s="5"/>
      <c r="J59" s="5"/>
      <c r="K59" s="5"/>
      <c r="L59" s="5"/>
      <c r="M59" s="5"/>
      <c r="N59" s="5"/>
      <c r="O59" s="5"/>
      <c r="P59" s="5"/>
      <c r="Q59" s="5"/>
      <c r="R59" s="5"/>
      <c r="S59" s="5"/>
      <c r="T59" s="5"/>
      <c r="U59" s="5"/>
      <c r="V59" s="5"/>
      <c r="W59" s="5"/>
      <c r="X59" s="5"/>
      <c r="Y59" s="5"/>
      <c r="Z59" s="5"/>
    </row>
    <row r="60" ht="14.25" customHeight="1">
      <c r="A60" s="319" t="s">
        <v>680</v>
      </c>
      <c r="B60" s="319" t="s">
        <v>435</v>
      </c>
      <c r="C60" s="319" t="s">
        <v>272</v>
      </c>
      <c r="D60" s="319" t="s">
        <v>566</v>
      </c>
      <c r="E60" s="320">
        <v>34265.0</v>
      </c>
      <c r="F60" s="320">
        <v>-36066.45</v>
      </c>
      <c r="G60" s="319" t="s">
        <v>681</v>
      </c>
      <c r="H60" s="331">
        <v>12.0</v>
      </c>
      <c r="I60" s="5"/>
      <c r="J60" s="5"/>
      <c r="K60" s="5"/>
      <c r="L60" s="5"/>
      <c r="M60" s="5"/>
      <c r="N60" s="5"/>
      <c r="O60" s="5"/>
      <c r="P60" s="5"/>
      <c r="Q60" s="5"/>
      <c r="R60" s="5"/>
      <c r="S60" s="5"/>
      <c r="T60" s="5"/>
      <c r="U60" s="5"/>
      <c r="V60" s="5"/>
      <c r="W60" s="5"/>
      <c r="X60" s="5"/>
      <c r="Y60" s="5"/>
      <c r="Z60" s="5"/>
    </row>
    <row r="61" ht="14.25" customHeight="1">
      <c r="A61" s="319" t="s">
        <v>682</v>
      </c>
      <c r="B61" s="319" t="s">
        <v>435</v>
      </c>
      <c r="C61" s="319" t="s">
        <v>272</v>
      </c>
      <c r="D61" s="319" t="s">
        <v>566</v>
      </c>
      <c r="E61" s="320">
        <v>28211.0</v>
      </c>
      <c r="F61" s="5"/>
      <c r="G61" s="319" t="s">
        <v>683</v>
      </c>
      <c r="H61" s="331">
        <v>12.0</v>
      </c>
      <c r="I61" s="5"/>
      <c r="J61" s="5"/>
      <c r="K61" s="5"/>
      <c r="L61" s="5"/>
      <c r="M61" s="5"/>
      <c r="N61" s="5"/>
      <c r="O61" s="5"/>
      <c r="P61" s="5"/>
      <c r="Q61" s="5"/>
      <c r="R61" s="5"/>
      <c r="S61" s="5"/>
      <c r="T61" s="5"/>
      <c r="U61" s="5"/>
      <c r="V61" s="5"/>
      <c r="W61" s="5"/>
      <c r="X61" s="5"/>
      <c r="Y61" s="5"/>
      <c r="Z61" s="5"/>
    </row>
    <row r="62" ht="14.25" customHeight="1">
      <c r="A62" s="319" t="s">
        <v>684</v>
      </c>
      <c r="B62" s="319" t="s">
        <v>435</v>
      </c>
      <c r="C62" s="319" t="s">
        <v>272</v>
      </c>
      <c r="D62" s="319" t="s">
        <v>298</v>
      </c>
      <c r="E62" s="320">
        <v>47482.92</v>
      </c>
      <c r="F62" s="320">
        <v>-47526.15</v>
      </c>
      <c r="G62" s="319" t="s">
        <v>685</v>
      </c>
      <c r="H62" s="331">
        <v>12.0</v>
      </c>
      <c r="I62" s="5"/>
      <c r="J62" s="5"/>
      <c r="K62" s="5"/>
      <c r="L62" s="5"/>
      <c r="M62" s="5"/>
      <c r="N62" s="5"/>
      <c r="O62" s="5"/>
      <c r="P62" s="5"/>
      <c r="Q62" s="5"/>
      <c r="R62" s="5"/>
      <c r="S62" s="5"/>
      <c r="T62" s="5"/>
      <c r="U62" s="5"/>
      <c r="V62" s="5"/>
      <c r="W62" s="5"/>
      <c r="X62" s="5"/>
      <c r="Y62" s="5"/>
      <c r="Z62" s="5"/>
    </row>
    <row r="63" ht="14.25" customHeight="1">
      <c r="A63" s="319" t="s">
        <v>686</v>
      </c>
      <c r="B63" s="319" t="s">
        <v>435</v>
      </c>
      <c r="C63" s="319" t="s">
        <v>272</v>
      </c>
      <c r="D63" s="319" t="s">
        <v>298</v>
      </c>
      <c r="E63" s="320">
        <v>40734.0</v>
      </c>
      <c r="F63" s="320">
        <v>-43358.7</v>
      </c>
      <c r="G63" s="319" t="s">
        <v>687</v>
      </c>
      <c r="H63" s="331">
        <v>9.0</v>
      </c>
      <c r="I63" s="5"/>
      <c r="J63" s="5"/>
      <c r="K63" s="5"/>
      <c r="L63" s="5"/>
      <c r="M63" s="5"/>
      <c r="N63" s="5"/>
      <c r="O63" s="5"/>
      <c r="P63" s="5"/>
      <c r="Q63" s="5"/>
      <c r="R63" s="5"/>
      <c r="S63" s="5"/>
      <c r="T63" s="5"/>
      <c r="U63" s="5"/>
      <c r="V63" s="5"/>
      <c r="W63" s="5"/>
      <c r="X63" s="5"/>
      <c r="Y63" s="5"/>
      <c r="Z63" s="5"/>
    </row>
    <row r="64" ht="14.25" customHeight="1">
      <c r="A64" s="319" t="s">
        <v>688</v>
      </c>
      <c r="B64" s="319" t="s">
        <v>435</v>
      </c>
      <c r="C64" s="319" t="s">
        <v>272</v>
      </c>
      <c r="D64" s="319" t="s">
        <v>314</v>
      </c>
      <c r="E64" s="320">
        <v>37806.0</v>
      </c>
      <c r="F64" s="320">
        <v>-40179.3</v>
      </c>
      <c r="G64" s="319" t="s">
        <v>689</v>
      </c>
      <c r="H64" s="331">
        <v>3.0</v>
      </c>
      <c r="I64" s="5"/>
      <c r="J64" s="5"/>
      <c r="K64" s="5"/>
      <c r="L64" s="5"/>
      <c r="M64" s="5"/>
      <c r="N64" s="5"/>
      <c r="O64" s="5"/>
      <c r="P64" s="5"/>
      <c r="Q64" s="5"/>
      <c r="R64" s="5"/>
      <c r="S64" s="5"/>
      <c r="T64" s="5"/>
      <c r="U64" s="5"/>
      <c r="V64" s="5"/>
      <c r="W64" s="5"/>
      <c r="X64" s="5"/>
      <c r="Y64" s="5"/>
      <c r="Z64" s="5"/>
    </row>
    <row r="65" ht="14.25" customHeight="1">
      <c r="A65" s="319" t="s">
        <v>690</v>
      </c>
      <c r="B65" s="319" t="s">
        <v>435</v>
      </c>
      <c r="C65" s="319" t="s">
        <v>272</v>
      </c>
      <c r="D65" s="319" t="s">
        <v>298</v>
      </c>
      <c r="E65" s="320">
        <v>44886.0</v>
      </c>
      <c r="F65" s="320">
        <v>-47718.3</v>
      </c>
      <c r="G65" s="319" t="s">
        <v>691</v>
      </c>
      <c r="H65" s="331">
        <v>3.0</v>
      </c>
      <c r="I65" s="5"/>
      <c r="J65" s="5"/>
      <c r="K65" s="5"/>
      <c r="L65" s="5"/>
      <c r="M65" s="5"/>
      <c r="N65" s="5"/>
      <c r="O65" s="5"/>
      <c r="P65" s="5"/>
      <c r="Q65" s="5"/>
      <c r="R65" s="5"/>
      <c r="S65" s="5"/>
      <c r="T65" s="5"/>
      <c r="U65" s="5"/>
      <c r="V65" s="5"/>
      <c r="W65" s="5"/>
      <c r="X65" s="5"/>
      <c r="Y65" s="5"/>
      <c r="Z65" s="5"/>
    </row>
    <row r="66" ht="14.25" customHeight="1">
      <c r="A66" s="319" t="s">
        <v>692</v>
      </c>
      <c r="B66" s="319" t="s">
        <v>435</v>
      </c>
      <c r="C66" s="319" t="s">
        <v>272</v>
      </c>
      <c r="D66" s="319" t="s">
        <v>298</v>
      </c>
      <c r="E66" s="320">
        <v>44154.0</v>
      </c>
      <c r="F66" s="320">
        <v>-46949.7</v>
      </c>
      <c r="G66" s="319" t="s">
        <v>693</v>
      </c>
      <c r="H66" s="331">
        <v>3.0</v>
      </c>
      <c r="I66" s="5"/>
      <c r="J66" s="5"/>
      <c r="K66" s="5"/>
      <c r="L66" s="5"/>
      <c r="M66" s="5"/>
      <c r="N66" s="5"/>
      <c r="O66" s="5"/>
      <c r="P66" s="5"/>
      <c r="Q66" s="5"/>
      <c r="R66" s="5"/>
      <c r="S66" s="5"/>
      <c r="T66" s="5"/>
      <c r="U66" s="5"/>
      <c r="V66" s="5"/>
      <c r="W66" s="5"/>
      <c r="X66" s="5"/>
      <c r="Y66" s="5"/>
      <c r="Z66" s="5"/>
    </row>
    <row r="67" ht="14.25" customHeight="1">
      <c r="A67" s="319" t="s">
        <v>694</v>
      </c>
      <c r="B67" s="319" t="s">
        <v>435</v>
      </c>
      <c r="C67" s="319" t="s">
        <v>272</v>
      </c>
      <c r="D67" s="319" t="s">
        <v>298</v>
      </c>
      <c r="E67" s="320">
        <v>44154.0</v>
      </c>
      <c r="F67" s="320">
        <v>-46949.7</v>
      </c>
      <c r="G67" s="319" t="s">
        <v>695</v>
      </c>
      <c r="H67" s="331">
        <v>3.0</v>
      </c>
      <c r="I67" s="5"/>
      <c r="J67" s="5"/>
      <c r="K67" s="5"/>
      <c r="L67" s="5"/>
      <c r="M67" s="5"/>
      <c r="N67" s="5"/>
      <c r="O67" s="5"/>
      <c r="P67" s="5"/>
      <c r="Q67" s="5"/>
      <c r="R67" s="5"/>
      <c r="S67" s="5"/>
      <c r="T67" s="5"/>
      <c r="U67" s="5"/>
      <c r="V67" s="5"/>
      <c r="W67" s="5"/>
      <c r="X67" s="5"/>
      <c r="Y67" s="5"/>
      <c r="Z67" s="5"/>
    </row>
    <row r="68" ht="14.25" customHeight="1">
      <c r="A68" s="319" t="s">
        <v>696</v>
      </c>
      <c r="B68" s="319" t="s">
        <v>435</v>
      </c>
      <c r="C68" s="319" t="s">
        <v>272</v>
      </c>
      <c r="D68" s="319" t="s">
        <v>298</v>
      </c>
      <c r="E68" s="320">
        <v>43701.0</v>
      </c>
      <c r="F68" s="320">
        <v>-46474.05</v>
      </c>
      <c r="G68" s="319" t="s">
        <v>697</v>
      </c>
      <c r="H68" s="331">
        <v>3.0</v>
      </c>
      <c r="I68" s="5"/>
      <c r="J68" s="5"/>
      <c r="K68" s="5"/>
      <c r="L68" s="5"/>
      <c r="M68" s="5"/>
      <c r="N68" s="5"/>
      <c r="O68" s="5"/>
      <c r="P68" s="5"/>
      <c r="Q68" s="5"/>
      <c r="R68" s="5"/>
      <c r="S68" s="5"/>
      <c r="T68" s="5"/>
      <c r="U68" s="5"/>
      <c r="V68" s="5"/>
      <c r="W68" s="5"/>
      <c r="X68" s="5"/>
      <c r="Y68" s="5"/>
      <c r="Z68" s="5"/>
    </row>
    <row r="69" ht="14.25" customHeight="1">
      <c r="A69" s="319" t="s">
        <v>698</v>
      </c>
      <c r="B69" s="319" t="s">
        <v>435</v>
      </c>
      <c r="C69" s="319" t="s">
        <v>272</v>
      </c>
      <c r="D69" s="319" t="s">
        <v>298</v>
      </c>
      <c r="E69" s="320">
        <v>43701.0</v>
      </c>
      <c r="F69" s="320">
        <v>-46474.05</v>
      </c>
      <c r="G69" s="319" t="s">
        <v>699</v>
      </c>
      <c r="H69" s="331">
        <v>3.0</v>
      </c>
      <c r="I69" s="5"/>
      <c r="J69" s="5"/>
      <c r="K69" s="5"/>
      <c r="L69" s="5"/>
      <c r="M69" s="5"/>
      <c r="N69" s="5"/>
      <c r="O69" s="5"/>
      <c r="P69" s="5"/>
      <c r="Q69" s="5"/>
      <c r="R69" s="5"/>
      <c r="S69" s="5"/>
      <c r="T69" s="5"/>
      <c r="U69" s="5"/>
      <c r="V69" s="5"/>
      <c r="W69" s="5"/>
      <c r="X69" s="5"/>
      <c r="Y69" s="5"/>
      <c r="Z69" s="5"/>
    </row>
    <row r="70" ht="14.25" customHeight="1">
      <c r="A70" s="319" t="s">
        <v>700</v>
      </c>
      <c r="B70" s="319" t="s">
        <v>435</v>
      </c>
      <c r="C70" s="319" t="s">
        <v>272</v>
      </c>
      <c r="D70" s="319" t="s">
        <v>298</v>
      </c>
      <c r="E70" s="320">
        <v>40734.0</v>
      </c>
      <c r="F70" s="320">
        <v>-43358.7</v>
      </c>
      <c r="G70" s="319" t="s">
        <v>701</v>
      </c>
      <c r="H70" s="331">
        <v>3.0</v>
      </c>
      <c r="I70" s="5"/>
      <c r="J70" s="5"/>
      <c r="K70" s="5"/>
      <c r="L70" s="5"/>
      <c r="M70" s="5"/>
      <c r="N70" s="5"/>
      <c r="O70" s="5"/>
      <c r="P70" s="5"/>
      <c r="Q70" s="5"/>
      <c r="R70" s="5"/>
      <c r="S70" s="5"/>
      <c r="T70" s="5"/>
      <c r="U70" s="5"/>
      <c r="V70" s="5"/>
      <c r="W70" s="5"/>
      <c r="X70" s="5"/>
      <c r="Y70" s="5"/>
      <c r="Z70" s="5"/>
    </row>
    <row r="71" ht="14.25" customHeight="1">
      <c r="A71" s="319" t="s">
        <v>702</v>
      </c>
      <c r="B71" s="319" t="s">
        <v>435</v>
      </c>
      <c r="C71" s="319" t="s">
        <v>272</v>
      </c>
      <c r="D71" s="319" t="s">
        <v>298</v>
      </c>
      <c r="E71" s="320">
        <v>39069.0</v>
      </c>
      <c r="F71" s="320">
        <v>-41610.45</v>
      </c>
      <c r="G71" s="319" t="s">
        <v>703</v>
      </c>
      <c r="H71" s="331">
        <v>3.0</v>
      </c>
      <c r="I71" s="5"/>
      <c r="J71" s="5"/>
      <c r="K71" s="5"/>
      <c r="L71" s="5"/>
      <c r="M71" s="5"/>
      <c r="N71" s="5"/>
      <c r="O71" s="5"/>
      <c r="P71" s="5"/>
      <c r="Q71" s="5"/>
      <c r="R71" s="5"/>
      <c r="S71" s="5"/>
      <c r="T71" s="5"/>
      <c r="U71" s="5"/>
      <c r="V71" s="5"/>
      <c r="W71" s="5"/>
      <c r="X71" s="5"/>
      <c r="Y71" s="5"/>
      <c r="Z71" s="5"/>
    </row>
    <row r="72" ht="14.25" customHeight="1">
      <c r="A72" s="319" t="s">
        <v>704</v>
      </c>
      <c r="B72" s="319" t="s">
        <v>435</v>
      </c>
      <c r="C72" s="319" t="s">
        <v>272</v>
      </c>
      <c r="D72" s="319" t="s">
        <v>298</v>
      </c>
      <c r="E72" s="320">
        <v>44154.0</v>
      </c>
      <c r="F72" s="320">
        <v>-46949.7</v>
      </c>
      <c r="G72" s="319" t="s">
        <v>705</v>
      </c>
      <c r="H72" s="331">
        <v>2.0</v>
      </c>
      <c r="I72" s="5"/>
      <c r="J72" s="5"/>
      <c r="K72" s="5"/>
      <c r="L72" s="5"/>
      <c r="M72" s="5"/>
      <c r="N72" s="5"/>
      <c r="O72" s="5"/>
      <c r="P72" s="5"/>
      <c r="Q72" s="5"/>
      <c r="R72" s="5"/>
      <c r="S72" s="5"/>
      <c r="T72" s="5"/>
      <c r="U72" s="5"/>
      <c r="V72" s="5"/>
      <c r="W72" s="5"/>
      <c r="X72" s="5"/>
      <c r="Y72" s="5"/>
      <c r="Z72" s="5"/>
    </row>
    <row r="73" ht="14.25" customHeight="1">
      <c r="A73" s="4"/>
      <c r="B73" s="344"/>
      <c r="C73" s="344"/>
      <c r="D73" s="4"/>
      <c r="E73" s="333"/>
      <c r="F73" s="333"/>
      <c r="G73" s="4"/>
      <c r="H73" s="4"/>
      <c r="I73" s="5"/>
      <c r="J73" s="5"/>
      <c r="K73" s="5"/>
      <c r="L73" s="5"/>
      <c r="M73" s="5"/>
      <c r="N73" s="5"/>
      <c r="O73" s="5"/>
      <c r="P73" s="5"/>
      <c r="Q73" s="5"/>
      <c r="R73" s="5"/>
      <c r="S73" s="5"/>
      <c r="T73" s="5"/>
      <c r="U73" s="5"/>
      <c r="V73" s="5"/>
      <c r="W73" s="5"/>
      <c r="X73" s="5"/>
      <c r="Y73" s="5"/>
      <c r="Z73" s="5"/>
    </row>
    <row r="74" ht="14.25" customHeight="1">
      <c r="A74" s="4"/>
      <c r="B74" s="344"/>
      <c r="C74" s="344"/>
      <c r="D74" s="4"/>
      <c r="E74" s="333"/>
      <c r="F74" s="333"/>
      <c r="G74" s="4"/>
      <c r="H74" s="4"/>
      <c r="I74" s="5"/>
      <c r="J74" s="5"/>
      <c r="K74" s="5"/>
      <c r="L74" s="5"/>
      <c r="M74" s="5"/>
      <c r="N74" s="5"/>
      <c r="O74" s="5"/>
      <c r="P74" s="5"/>
      <c r="Q74" s="5"/>
      <c r="R74" s="5"/>
      <c r="S74" s="5"/>
      <c r="T74" s="5"/>
      <c r="U74" s="5"/>
      <c r="V74" s="5"/>
      <c r="W74" s="5"/>
      <c r="X74" s="5"/>
      <c r="Y74" s="5"/>
      <c r="Z74" s="5"/>
    </row>
    <row r="75" ht="14.25" customHeight="1">
      <c r="A75" s="4"/>
      <c r="B75" s="4"/>
      <c r="C75" s="4"/>
      <c r="D75" s="4"/>
      <c r="E75" s="333"/>
      <c r="F75" s="333"/>
      <c r="G75" s="4"/>
      <c r="H75" s="4"/>
      <c r="I75" s="5"/>
      <c r="J75" s="5"/>
      <c r="K75" s="5"/>
      <c r="L75" s="5"/>
      <c r="M75" s="5"/>
      <c r="N75" s="5"/>
      <c r="O75" s="5"/>
      <c r="P75" s="5"/>
      <c r="Q75" s="5"/>
      <c r="R75" s="5"/>
      <c r="S75" s="5"/>
      <c r="T75" s="5"/>
      <c r="U75" s="5"/>
      <c r="V75" s="5"/>
      <c r="W75" s="5"/>
      <c r="X75" s="5"/>
      <c r="Y75" s="5"/>
      <c r="Z75" s="5"/>
    </row>
    <row r="76" ht="14.25" customHeight="1">
      <c r="A76" s="4"/>
      <c r="B76" s="4"/>
      <c r="C76" s="4"/>
      <c r="D76" s="4"/>
      <c r="E76" s="333"/>
      <c r="F76" s="333"/>
      <c r="G76" s="4"/>
      <c r="H76" s="4"/>
      <c r="I76" s="5"/>
      <c r="J76" s="5"/>
      <c r="K76" s="5"/>
      <c r="L76" s="5"/>
      <c r="M76" s="5"/>
      <c r="N76" s="5"/>
      <c r="O76" s="5"/>
      <c r="P76" s="5"/>
      <c r="Q76" s="5"/>
      <c r="R76" s="5"/>
      <c r="S76" s="5"/>
      <c r="T76" s="5"/>
      <c r="U76" s="5"/>
      <c r="V76" s="5"/>
      <c r="W76" s="5"/>
      <c r="X76" s="5"/>
      <c r="Y76" s="5"/>
      <c r="Z76" s="5"/>
    </row>
    <row r="77" ht="14.25" customHeight="1">
      <c r="A77" s="4"/>
      <c r="B77" s="4"/>
      <c r="C77" s="4"/>
      <c r="D77" s="4"/>
      <c r="E77" s="333"/>
      <c r="F77" s="333"/>
      <c r="G77" s="4"/>
      <c r="H77" s="4"/>
      <c r="I77" s="5"/>
      <c r="J77" s="5"/>
      <c r="K77" s="5"/>
      <c r="L77" s="5"/>
      <c r="M77" s="5"/>
      <c r="N77" s="5"/>
      <c r="O77" s="5"/>
      <c r="P77" s="5"/>
      <c r="Q77" s="5"/>
      <c r="R77" s="5"/>
      <c r="S77" s="5"/>
      <c r="T77" s="5"/>
      <c r="U77" s="5"/>
      <c r="V77" s="5"/>
      <c r="W77" s="5"/>
      <c r="X77" s="5"/>
      <c r="Y77" s="5"/>
      <c r="Z77" s="5"/>
    </row>
    <row r="78" ht="14.25" customHeight="1">
      <c r="A78" s="4"/>
      <c r="B78" s="4"/>
      <c r="C78" s="4"/>
      <c r="D78" s="4"/>
      <c r="E78" s="333"/>
      <c r="F78" s="333"/>
      <c r="G78" s="4"/>
      <c r="H78" s="4"/>
      <c r="I78" s="5"/>
      <c r="J78" s="5"/>
      <c r="K78" s="5"/>
      <c r="L78" s="5"/>
      <c r="M78" s="5"/>
      <c r="N78" s="5"/>
      <c r="O78" s="5"/>
      <c r="P78" s="5"/>
      <c r="Q78" s="5"/>
      <c r="R78" s="5"/>
      <c r="S78" s="5"/>
      <c r="T78" s="5"/>
      <c r="U78" s="5"/>
      <c r="V78" s="5"/>
      <c r="W78" s="5"/>
      <c r="X78" s="5"/>
      <c r="Y78" s="5"/>
      <c r="Z78" s="5"/>
    </row>
    <row r="79" ht="14.25" customHeight="1">
      <c r="A79" s="4"/>
      <c r="B79" s="4"/>
      <c r="C79" s="4"/>
      <c r="D79" s="4"/>
      <c r="E79" s="333"/>
      <c r="F79" s="333"/>
      <c r="G79" s="4"/>
      <c r="H79" s="4"/>
      <c r="I79" s="5"/>
      <c r="J79" s="5"/>
      <c r="K79" s="5"/>
      <c r="L79" s="5"/>
      <c r="M79" s="5"/>
      <c r="N79" s="5"/>
      <c r="O79" s="5"/>
      <c r="P79" s="5"/>
      <c r="Q79" s="5"/>
      <c r="R79" s="5"/>
      <c r="S79" s="5"/>
      <c r="T79" s="5"/>
      <c r="U79" s="5"/>
      <c r="V79" s="5"/>
      <c r="W79" s="5"/>
      <c r="X79" s="5"/>
      <c r="Y79" s="5"/>
      <c r="Z79" s="5"/>
    </row>
    <row r="80" ht="14.25" customHeight="1">
      <c r="A80" s="4"/>
      <c r="B80" s="4"/>
      <c r="C80" s="4"/>
      <c r="D80" s="4"/>
      <c r="E80" s="333"/>
      <c r="F80" s="333"/>
      <c r="G80" s="4"/>
      <c r="H80" s="4"/>
      <c r="I80" s="5"/>
      <c r="J80" s="5"/>
      <c r="K80" s="5"/>
      <c r="L80" s="5"/>
      <c r="M80" s="5"/>
      <c r="N80" s="5"/>
      <c r="O80" s="5"/>
      <c r="P80" s="5"/>
      <c r="Q80" s="5"/>
      <c r="R80" s="5"/>
      <c r="S80" s="5"/>
      <c r="T80" s="5"/>
      <c r="U80" s="5"/>
      <c r="V80" s="5"/>
      <c r="W80" s="5"/>
      <c r="X80" s="5"/>
      <c r="Y80" s="5"/>
      <c r="Z80" s="5"/>
    </row>
    <row r="81" ht="14.25" customHeight="1">
      <c r="A81" s="4"/>
      <c r="B81" s="4"/>
      <c r="C81" s="4"/>
      <c r="D81" s="4"/>
      <c r="E81" s="333"/>
      <c r="F81" s="333"/>
      <c r="G81" s="4"/>
      <c r="H81" s="4"/>
      <c r="I81" s="5"/>
      <c r="J81" s="5"/>
      <c r="K81" s="5"/>
      <c r="L81" s="5"/>
      <c r="M81" s="5"/>
      <c r="N81" s="5"/>
      <c r="O81" s="5"/>
      <c r="P81" s="5"/>
      <c r="Q81" s="5"/>
      <c r="R81" s="5"/>
      <c r="S81" s="5"/>
      <c r="T81" s="5"/>
      <c r="U81" s="5"/>
      <c r="V81" s="5"/>
      <c r="W81" s="5"/>
      <c r="X81" s="5"/>
      <c r="Y81" s="5"/>
      <c r="Z81" s="5"/>
    </row>
    <row r="82" ht="14.25" customHeight="1">
      <c r="A82" s="4"/>
      <c r="B82" s="4"/>
      <c r="C82" s="4"/>
      <c r="D82" s="4"/>
      <c r="E82" s="333"/>
      <c r="F82" s="333"/>
      <c r="G82" s="4"/>
      <c r="H82" s="4"/>
      <c r="I82" s="5"/>
      <c r="J82" s="5"/>
      <c r="K82" s="5"/>
      <c r="L82" s="5"/>
      <c r="M82" s="5"/>
      <c r="N82" s="5"/>
      <c r="O82" s="5"/>
      <c r="P82" s="5"/>
      <c r="Q82" s="5"/>
      <c r="R82" s="5"/>
      <c r="S82" s="5"/>
      <c r="T82" s="5"/>
      <c r="U82" s="5"/>
      <c r="V82" s="5"/>
      <c r="W82" s="5"/>
      <c r="X82" s="5"/>
      <c r="Y82" s="5"/>
      <c r="Z82" s="5"/>
    </row>
    <row r="83" ht="14.25" customHeight="1">
      <c r="A83" s="4"/>
      <c r="B83" s="4"/>
      <c r="C83" s="4"/>
      <c r="D83" s="4"/>
      <c r="E83" s="333"/>
      <c r="F83" s="333"/>
      <c r="G83" s="4"/>
      <c r="H83" s="4"/>
      <c r="I83" s="5"/>
      <c r="J83" s="5"/>
      <c r="K83" s="5"/>
      <c r="L83" s="5"/>
      <c r="M83" s="5"/>
      <c r="N83" s="5"/>
      <c r="O83" s="5"/>
      <c r="P83" s="5"/>
      <c r="Q83" s="5"/>
      <c r="R83" s="5"/>
      <c r="S83" s="5"/>
      <c r="T83" s="5"/>
      <c r="U83" s="5"/>
      <c r="V83" s="5"/>
      <c r="W83" s="5"/>
      <c r="X83" s="5"/>
      <c r="Y83" s="5"/>
      <c r="Z83" s="5"/>
    </row>
    <row r="84" ht="14.25" customHeight="1">
      <c r="A84" s="4"/>
      <c r="B84" s="4"/>
      <c r="C84" s="4"/>
      <c r="D84" s="4"/>
      <c r="E84" s="333"/>
      <c r="F84" s="333"/>
      <c r="G84" s="4"/>
      <c r="H84" s="4"/>
      <c r="I84" s="5"/>
      <c r="J84" s="5"/>
      <c r="K84" s="5"/>
      <c r="L84" s="5"/>
      <c r="M84" s="5"/>
      <c r="N84" s="5"/>
      <c r="O84" s="5"/>
      <c r="P84" s="5"/>
      <c r="Q84" s="5"/>
      <c r="R84" s="5"/>
      <c r="S84" s="5"/>
      <c r="T84" s="5"/>
      <c r="U84" s="5"/>
      <c r="V84" s="5"/>
      <c r="W84" s="5"/>
      <c r="X84" s="5"/>
      <c r="Y84" s="5"/>
      <c r="Z84" s="5"/>
    </row>
    <row r="85" ht="14.25" customHeight="1">
      <c r="A85" s="4"/>
      <c r="B85" s="4"/>
      <c r="C85" s="4"/>
      <c r="D85" s="4"/>
      <c r="E85" s="333"/>
      <c r="F85" s="333"/>
      <c r="G85" s="4"/>
      <c r="H85" s="4"/>
      <c r="I85" s="5"/>
      <c r="J85" s="5"/>
      <c r="K85" s="5"/>
      <c r="L85" s="5"/>
      <c r="M85" s="5"/>
      <c r="N85" s="5"/>
      <c r="O85" s="5"/>
      <c r="P85" s="5"/>
      <c r="Q85" s="5"/>
      <c r="R85" s="5"/>
      <c r="S85" s="5"/>
      <c r="T85" s="5"/>
      <c r="U85" s="5"/>
      <c r="V85" s="5"/>
      <c r="W85" s="5"/>
      <c r="X85" s="5"/>
      <c r="Y85" s="5"/>
      <c r="Z85" s="5"/>
    </row>
    <row r="86" ht="14.25" customHeight="1">
      <c r="A86" s="4"/>
      <c r="B86" s="4"/>
      <c r="C86" s="4"/>
      <c r="D86" s="4"/>
      <c r="E86" s="333"/>
      <c r="F86" s="333"/>
      <c r="G86" s="4"/>
      <c r="H86" s="4"/>
      <c r="I86" s="5"/>
      <c r="J86" s="5"/>
      <c r="K86" s="5"/>
      <c r="L86" s="5"/>
      <c r="M86" s="5"/>
      <c r="N86" s="5"/>
      <c r="O86" s="5"/>
      <c r="P86" s="5"/>
      <c r="Q86" s="5"/>
      <c r="R86" s="5"/>
      <c r="S86" s="5"/>
      <c r="T86" s="5"/>
      <c r="U86" s="5"/>
      <c r="V86" s="5"/>
      <c r="W86" s="5"/>
      <c r="X86" s="5"/>
      <c r="Y86" s="5"/>
      <c r="Z86" s="5"/>
    </row>
    <row r="87" ht="14.25" customHeight="1">
      <c r="A87" s="4"/>
      <c r="B87" s="4"/>
      <c r="C87" s="4"/>
      <c r="D87" s="4"/>
      <c r="E87" s="333"/>
      <c r="F87" s="333"/>
      <c r="G87" s="4"/>
      <c r="H87" s="4"/>
      <c r="I87" s="5"/>
      <c r="J87" s="5"/>
      <c r="K87" s="5"/>
      <c r="L87" s="5"/>
      <c r="M87" s="5"/>
      <c r="N87" s="5"/>
      <c r="O87" s="5"/>
      <c r="P87" s="5"/>
      <c r="Q87" s="5"/>
      <c r="R87" s="5"/>
      <c r="S87" s="5"/>
      <c r="T87" s="5"/>
      <c r="U87" s="5"/>
      <c r="V87" s="5"/>
      <c r="W87" s="5"/>
      <c r="X87" s="5"/>
      <c r="Y87" s="5"/>
      <c r="Z87" s="5"/>
    </row>
    <row r="88" ht="14.25" customHeight="1">
      <c r="A88" s="4"/>
      <c r="B88" s="4"/>
      <c r="C88" s="4"/>
      <c r="D88" s="4"/>
      <c r="E88" s="333"/>
      <c r="F88" s="333"/>
      <c r="G88" s="4"/>
      <c r="H88" s="4"/>
      <c r="I88" s="5"/>
      <c r="J88" s="5"/>
      <c r="K88" s="5"/>
      <c r="L88" s="5"/>
      <c r="M88" s="5"/>
      <c r="N88" s="5"/>
      <c r="O88" s="5"/>
      <c r="P88" s="5"/>
      <c r="Q88" s="5"/>
      <c r="R88" s="5"/>
      <c r="S88" s="5"/>
      <c r="T88" s="5"/>
      <c r="U88" s="5"/>
      <c r="V88" s="5"/>
      <c r="W88" s="5"/>
      <c r="X88" s="5"/>
      <c r="Y88" s="5"/>
      <c r="Z88" s="5"/>
    </row>
    <row r="89" ht="14.25" customHeight="1">
      <c r="A89" s="4"/>
      <c r="B89" s="4"/>
      <c r="C89" s="4"/>
      <c r="D89" s="4"/>
      <c r="E89" s="333"/>
      <c r="F89" s="333"/>
      <c r="G89" s="4"/>
      <c r="H89" s="4"/>
      <c r="I89" s="5"/>
      <c r="J89" s="5"/>
      <c r="K89" s="5"/>
      <c r="L89" s="5"/>
      <c r="M89" s="5"/>
      <c r="N89" s="5"/>
      <c r="O89" s="5"/>
      <c r="P89" s="5"/>
      <c r="Q89" s="5"/>
      <c r="R89" s="5"/>
      <c r="S89" s="5"/>
      <c r="T89" s="5"/>
      <c r="U89" s="5"/>
      <c r="V89" s="5"/>
      <c r="W89" s="5"/>
      <c r="X89" s="5"/>
      <c r="Y89" s="5"/>
      <c r="Z89" s="5"/>
    </row>
    <row r="90" ht="14.25" customHeight="1">
      <c r="A90" s="4"/>
      <c r="B90" s="4"/>
      <c r="C90" s="4"/>
      <c r="D90" s="4"/>
      <c r="E90" s="333"/>
      <c r="F90" s="333"/>
      <c r="G90" s="4"/>
      <c r="H90" s="4"/>
      <c r="I90" s="5"/>
      <c r="J90" s="5"/>
      <c r="K90" s="5"/>
      <c r="L90" s="5"/>
      <c r="M90" s="5"/>
      <c r="N90" s="5"/>
      <c r="O90" s="5"/>
      <c r="P90" s="5"/>
      <c r="Q90" s="5"/>
      <c r="R90" s="5"/>
      <c r="S90" s="5"/>
      <c r="T90" s="5"/>
      <c r="U90" s="5"/>
      <c r="V90" s="5"/>
      <c r="W90" s="5"/>
      <c r="X90" s="5"/>
      <c r="Y90" s="5"/>
      <c r="Z90" s="5"/>
    </row>
    <row r="91" ht="14.25" customHeight="1">
      <c r="A91" s="4"/>
      <c r="B91" s="4"/>
      <c r="C91" s="4"/>
      <c r="D91" s="4"/>
      <c r="E91" s="333"/>
      <c r="F91" s="333"/>
      <c r="G91" s="4"/>
      <c r="H91" s="4"/>
      <c r="I91" s="5"/>
      <c r="J91" s="5"/>
      <c r="K91" s="5"/>
      <c r="L91" s="5"/>
      <c r="M91" s="5"/>
      <c r="N91" s="5"/>
      <c r="O91" s="5"/>
      <c r="P91" s="5"/>
      <c r="Q91" s="5"/>
      <c r="R91" s="5"/>
      <c r="S91" s="5"/>
      <c r="T91" s="5"/>
      <c r="U91" s="5"/>
      <c r="V91" s="5"/>
      <c r="W91" s="5"/>
      <c r="X91" s="5"/>
      <c r="Y91" s="5"/>
      <c r="Z91" s="5"/>
    </row>
    <row r="92" ht="14.25" customHeight="1">
      <c r="A92" s="4"/>
      <c r="B92" s="4"/>
      <c r="C92" s="4"/>
      <c r="D92" s="4"/>
      <c r="E92" s="333"/>
      <c r="F92" s="333"/>
      <c r="G92" s="4"/>
      <c r="H92" s="4"/>
      <c r="I92" s="5"/>
      <c r="J92" s="5"/>
      <c r="K92" s="5"/>
      <c r="L92" s="5"/>
      <c r="M92" s="5"/>
      <c r="N92" s="5"/>
      <c r="O92" s="5"/>
      <c r="P92" s="5"/>
      <c r="Q92" s="5"/>
      <c r="R92" s="5"/>
      <c r="S92" s="5"/>
      <c r="T92" s="5"/>
      <c r="U92" s="5"/>
      <c r="V92" s="5"/>
      <c r="W92" s="5"/>
      <c r="X92" s="5"/>
      <c r="Y92" s="5"/>
      <c r="Z92" s="5"/>
    </row>
    <row r="93" ht="14.25" customHeight="1">
      <c r="A93" s="4"/>
      <c r="B93" s="4"/>
      <c r="C93" s="4"/>
      <c r="D93" s="4"/>
      <c r="E93" s="333"/>
      <c r="F93" s="333"/>
      <c r="G93" s="4"/>
      <c r="H93" s="4"/>
      <c r="I93" s="5"/>
      <c r="J93" s="5"/>
      <c r="K93" s="5"/>
      <c r="L93" s="5"/>
      <c r="M93" s="5"/>
      <c r="N93" s="5"/>
      <c r="O93" s="5"/>
      <c r="P93" s="5"/>
      <c r="Q93" s="5"/>
      <c r="R93" s="5"/>
      <c r="S93" s="5"/>
      <c r="T93" s="5"/>
      <c r="U93" s="5"/>
      <c r="V93" s="5"/>
      <c r="W93" s="5"/>
      <c r="X93" s="5"/>
      <c r="Y93" s="5"/>
      <c r="Z93" s="5"/>
    </row>
    <row r="94" ht="14.25" customHeight="1">
      <c r="A94" s="4"/>
      <c r="B94" s="4"/>
      <c r="C94" s="4"/>
      <c r="D94" s="4"/>
      <c r="E94" s="333"/>
      <c r="F94" s="333"/>
      <c r="G94" s="4"/>
      <c r="H94" s="4"/>
      <c r="I94" s="5"/>
      <c r="J94" s="5"/>
      <c r="K94" s="5"/>
      <c r="L94" s="5"/>
      <c r="M94" s="5"/>
      <c r="N94" s="5"/>
      <c r="O94" s="5"/>
      <c r="P94" s="5"/>
      <c r="Q94" s="5"/>
      <c r="R94" s="5"/>
      <c r="S94" s="5"/>
      <c r="T94" s="5"/>
      <c r="U94" s="5"/>
      <c r="V94" s="5"/>
      <c r="W94" s="5"/>
      <c r="X94" s="5"/>
      <c r="Y94" s="5"/>
      <c r="Z94" s="5"/>
    </row>
    <row r="95" ht="14.25" customHeight="1">
      <c r="A95" s="4"/>
      <c r="B95" s="4"/>
      <c r="C95" s="4"/>
      <c r="D95" s="4"/>
      <c r="E95" s="333"/>
      <c r="F95" s="333"/>
      <c r="G95" s="4"/>
      <c r="H95" s="4"/>
      <c r="I95" s="5"/>
      <c r="J95" s="5"/>
      <c r="K95" s="5"/>
      <c r="L95" s="5"/>
      <c r="M95" s="5"/>
      <c r="N95" s="5"/>
      <c r="O95" s="5"/>
      <c r="P95" s="5"/>
      <c r="Q95" s="5"/>
      <c r="R95" s="5"/>
      <c r="S95" s="5"/>
      <c r="T95" s="5"/>
      <c r="U95" s="5"/>
      <c r="V95" s="5"/>
      <c r="W95" s="5"/>
      <c r="X95" s="5"/>
      <c r="Y95" s="5"/>
      <c r="Z95" s="5"/>
    </row>
    <row r="96" ht="14.25" customHeight="1">
      <c r="A96" s="4"/>
      <c r="B96" s="4"/>
      <c r="C96" s="4"/>
      <c r="D96" s="4"/>
      <c r="E96" s="333"/>
      <c r="F96" s="333"/>
      <c r="G96" s="4"/>
      <c r="H96" s="4"/>
      <c r="I96" s="5"/>
      <c r="J96" s="5"/>
      <c r="K96" s="5"/>
      <c r="L96" s="5"/>
      <c r="M96" s="5"/>
      <c r="N96" s="5"/>
      <c r="O96" s="5"/>
      <c r="P96" s="5"/>
      <c r="Q96" s="5"/>
      <c r="R96" s="5"/>
      <c r="S96" s="5"/>
      <c r="T96" s="5"/>
      <c r="U96" s="5"/>
      <c r="V96" s="5"/>
      <c r="W96" s="5"/>
      <c r="X96" s="5"/>
      <c r="Y96" s="5"/>
      <c r="Z96" s="5"/>
    </row>
    <row r="97" ht="14.25" customHeight="1">
      <c r="A97" s="4"/>
      <c r="B97" s="4"/>
      <c r="C97" s="4"/>
      <c r="D97" s="4"/>
      <c r="E97" s="333"/>
      <c r="F97" s="333"/>
      <c r="G97" s="4"/>
      <c r="H97" s="4"/>
      <c r="I97" s="5"/>
      <c r="J97" s="5"/>
      <c r="K97" s="5"/>
      <c r="L97" s="5"/>
      <c r="M97" s="5"/>
      <c r="N97" s="5"/>
      <c r="O97" s="5"/>
      <c r="P97" s="5"/>
      <c r="Q97" s="5"/>
      <c r="R97" s="5"/>
      <c r="S97" s="5"/>
      <c r="T97" s="5"/>
      <c r="U97" s="5"/>
      <c r="V97" s="5"/>
      <c r="W97" s="5"/>
      <c r="X97" s="5"/>
      <c r="Y97" s="5"/>
      <c r="Z97" s="5"/>
    </row>
    <row r="98" ht="14.25" customHeight="1">
      <c r="A98" s="4"/>
      <c r="B98" s="4"/>
      <c r="C98" s="4"/>
      <c r="D98" s="4"/>
      <c r="E98" s="333"/>
      <c r="F98" s="333"/>
      <c r="G98" s="4"/>
      <c r="H98" s="4"/>
      <c r="I98" s="5"/>
      <c r="J98" s="5"/>
      <c r="K98" s="5"/>
      <c r="L98" s="5"/>
      <c r="M98" s="5"/>
      <c r="N98" s="5"/>
      <c r="O98" s="5"/>
      <c r="P98" s="5"/>
      <c r="Q98" s="5"/>
      <c r="R98" s="5"/>
      <c r="S98" s="5"/>
      <c r="T98" s="5"/>
      <c r="U98" s="5"/>
      <c r="V98" s="5"/>
      <c r="W98" s="5"/>
      <c r="X98" s="5"/>
      <c r="Y98" s="5"/>
      <c r="Z98" s="5"/>
    </row>
    <row r="99" ht="14.25" customHeight="1">
      <c r="A99" s="4"/>
      <c r="B99" s="4"/>
      <c r="C99" s="4"/>
      <c r="D99" s="4"/>
      <c r="E99" s="333"/>
      <c r="F99" s="333"/>
      <c r="G99" s="4"/>
      <c r="H99" s="4"/>
      <c r="I99" s="5"/>
      <c r="J99" s="5"/>
      <c r="K99" s="5"/>
      <c r="L99" s="5"/>
      <c r="M99" s="5"/>
      <c r="N99" s="5"/>
      <c r="O99" s="5"/>
      <c r="P99" s="5"/>
      <c r="Q99" s="5"/>
      <c r="R99" s="5"/>
      <c r="S99" s="5"/>
      <c r="T99" s="5"/>
      <c r="U99" s="5"/>
      <c r="V99" s="5"/>
      <c r="W99" s="5"/>
      <c r="X99" s="5"/>
      <c r="Y99" s="5"/>
      <c r="Z99" s="5"/>
    </row>
    <row r="100" ht="14.25" customHeight="1">
      <c r="A100" s="4"/>
      <c r="B100" s="4"/>
      <c r="C100" s="4"/>
      <c r="D100" s="4"/>
      <c r="E100" s="333"/>
      <c r="F100" s="333"/>
      <c r="G100" s="4"/>
      <c r="H100" s="4"/>
      <c r="I100" s="5"/>
      <c r="J100" s="5"/>
      <c r="K100" s="5"/>
      <c r="L100" s="5"/>
      <c r="M100" s="5"/>
      <c r="N100" s="5"/>
      <c r="O100" s="5"/>
      <c r="P100" s="5"/>
      <c r="Q100" s="5"/>
      <c r="R100" s="5"/>
      <c r="S100" s="5"/>
      <c r="T100" s="5"/>
      <c r="U100" s="5"/>
      <c r="V100" s="5"/>
      <c r="W100" s="5"/>
      <c r="X100" s="5"/>
      <c r="Y100" s="5"/>
      <c r="Z100" s="5"/>
    </row>
    <row r="101" ht="14.25" customHeight="1">
      <c r="A101" s="4"/>
      <c r="B101" s="4"/>
      <c r="C101" s="4"/>
      <c r="D101" s="4"/>
      <c r="E101" s="333"/>
      <c r="F101" s="333"/>
      <c r="G101" s="4"/>
      <c r="H101" s="4"/>
      <c r="I101" s="5"/>
      <c r="J101" s="5"/>
      <c r="K101" s="5"/>
      <c r="L101" s="5"/>
      <c r="M101" s="5"/>
      <c r="N101" s="5"/>
      <c r="O101" s="5"/>
      <c r="P101" s="5"/>
      <c r="Q101" s="5"/>
      <c r="R101" s="5"/>
      <c r="S101" s="5"/>
      <c r="T101" s="5"/>
      <c r="U101" s="5"/>
      <c r="V101" s="5"/>
      <c r="W101" s="5"/>
      <c r="X101" s="5"/>
      <c r="Y101" s="5"/>
      <c r="Z101" s="5"/>
    </row>
    <row r="102" ht="14.25" customHeight="1">
      <c r="A102" s="4"/>
      <c r="B102" s="4"/>
      <c r="C102" s="4"/>
      <c r="D102" s="4"/>
      <c r="E102" s="333"/>
      <c r="F102" s="333"/>
      <c r="G102" s="4"/>
      <c r="H102" s="4"/>
      <c r="I102" s="5"/>
      <c r="J102" s="5"/>
      <c r="K102" s="5"/>
      <c r="L102" s="5"/>
      <c r="M102" s="5"/>
      <c r="N102" s="5"/>
      <c r="O102" s="5"/>
      <c r="P102" s="5"/>
      <c r="Q102" s="5"/>
      <c r="R102" s="5"/>
      <c r="S102" s="5"/>
      <c r="T102" s="5"/>
      <c r="U102" s="5"/>
      <c r="V102" s="5"/>
      <c r="W102" s="5"/>
      <c r="X102" s="5"/>
      <c r="Y102" s="5"/>
      <c r="Z102" s="5"/>
    </row>
    <row r="103" ht="14.25" customHeight="1">
      <c r="A103" s="4"/>
      <c r="B103" s="4"/>
      <c r="C103" s="4"/>
      <c r="D103" s="4"/>
      <c r="E103" s="333"/>
      <c r="F103" s="333"/>
      <c r="G103" s="4"/>
      <c r="H103" s="4"/>
      <c r="I103" s="5"/>
      <c r="J103" s="5"/>
      <c r="K103" s="5"/>
      <c r="L103" s="5"/>
      <c r="M103" s="5"/>
      <c r="N103" s="5"/>
      <c r="O103" s="5"/>
      <c r="P103" s="5"/>
      <c r="Q103" s="5"/>
      <c r="R103" s="5"/>
      <c r="S103" s="5"/>
      <c r="T103" s="5"/>
      <c r="U103" s="5"/>
      <c r="V103" s="5"/>
      <c r="W103" s="5"/>
      <c r="X103" s="5"/>
      <c r="Y103" s="5"/>
      <c r="Z103" s="5"/>
    </row>
    <row r="104" ht="14.25" customHeight="1">
      <c r="A104" s="4"/>
      <c r="B104" s="4"/>
      <c r="C104" s="4"/>
      <c r="D104" s="4"/>
      <c r="E104" s="333"/>
      <c r="F104" s="333"/>
      <c r="G104" s="4"/>
      <c r="H104" s="4"/>
      <c r="I104" s="5"/>
      <c r="J104" s="5"/>
      <c r="K104" s="5"/>
      <c r="L104" s="5"/>
      <c r="M104" s="5"/>
      <c r="N104" s="5"/>
      <c r="O104" s="5"/>
      <c r="P104" s="5"/>
      <c r="Q104" s="5"/>
      <c r="R104" s="5"/>
      <c r="S104" s="5"/>
      <c r="T104" s="5"/>
      <c r="U104" s="5"/>
      <c r="V104" s="5"/>
      <c r="W104" s="5"/>
      <c r="X104" s="5"/>
      <c r="Y104" s="5"/>
      <c r="Z104" s="5"/>
    </row>
    <row r="105" ht="14.25" customHeight="1">
      <c r="A105" s="4"/>
      <c r="B105" s="4"/>
      <c r="C105" s="4"/>
      <c r="D105" s="4"/>
      <c r="E105" s="333"/>
      <c r="F105" s="333"/>
      <c r="G105" s="4"/>
      <c r="H105" s="4"/>
      <c r="I105" s="5"/>
      <c r="J105" s="5"/>
      <c r="K105" s="5"/>
      <c r="L105" s="5"/>
      <c r="M105" s="5"/>
      <c r="N105" s="5"/>
      <c r="O105" s="5"/>
      <c r="P105" s="5"/>
      <c r="Q105" s="5"/>
      <c r="R105" s="5"/>
      <c r="S105" s="5"/>
      <c r="T105" s="5"/>
      <c r="U105" s="5"/>
      <c r="V105" s="5"/>
      <c r="W105" s="5"/>
      <c r="X105" s="5"/>
      <c r="Y105" s="5"/>
      <c r="Z105" s="5"/>
    </row>
    <row r="106" ht="14.25" customHeight="1">
      <c r="A106" s="4"/>
      <c r="B106" s="4"/>
      <c r="C106" s="4"/>
      <c r="D106" s="4"/>
      <c r="E106" s="333"/>
      <c r="F106" s="333"/>
      <c r="G106" s="4"/>
      <c r="H106" s="4"/>
      <c r="I106" s="5"/>
      <c r="J106" s="5"/>
      <c r="K106" s="5"/>
      <c r="L106" s="5"/>
      <c r="M106" s="5"/>
      <c r="N106" s="5"/>
      <c r="O106" s="5"/>
      <c r="P106" s="5"/>
      <c r="Q106" s="5"/>
      <c r="R106" s="5"/>
      <c r="S106" s="5"/>
      <c r="T106" s="5"/>
      <c r="U106" s="5"/>
      <c r="V106" s="5"/>
      <c r="W106" s="5"/>
      <c r="X106" s="5"/>
      <c r="Y106" s="5"/>
      <c r="Z106" s="5"/>
    </row>
    <row r="107" ht="14.25" customHeight="1">
      <c r="A107" s="4"/>
      <c r="B107" s="4"/>
      <c r="C107" s="4"/>
      <c r="D107" s="4"/>
      <c r="E107" s="333"/>
      <c r="F107" s="333"/>
      <c r="G107" s="4"/>
      <c r="H107" s="4"/>
      <c r="I107" s="5"/>
      <c r="J107" s="5"/>
      <c r="K107" s="5"/>
      <c r="L107" s="5"/>
      <c r="M107" s="5"/>
      <c r="N107" s="5"/>
      <c r="O107" s="5"/>
      <c r="P107" s="5"/>
      <c r="Q107" s="5"/>
      <c r="R107" s="5"/>
      <c r="S107" s="5"/>
      <c r="T107" s="5"/>
      <c r="U107" s="5"/>
      <c r="V107" s="5"/>
      <c r="W107" s="5"/>
      <c r="X107" s="5"/>
      <c r="Y107" s="5"/>
      <c r="Z107" s="5"/>
    </row>
    <row r="108" ht="14.25" customHeight="1">
      <c r="A108" s="4"/>
      <c r="B108" s="4"/>
      <c r="C108" s="4"/>
      <c r="D108" s="4"/>
      <c r="E108" s="333"/>
      <c r="F108" s="333"/>
      <c r="G108" s="4"/>
      <c r="H108" s="4"/>
      <c r="I108" s="5"/>
      <c r="J108" s="5"/>
      <c r="K108" s="5"/>
      <c r="L108" s="5"/>
      <c r="M108" s="5"/>
      <c r="N108" s="5"/>
      <c r="O108" s="5"/>
      <c r="P108" s="5"/>
      <c r="Q108" s="5"/>
      <c r="R108" s="5"/>
      <c r="S108" s="5"/>
      <c r="T108" s="5"/>
      <c r="U108" s="5"/>
      <c r="V108" s="5"/>
      <c r="W108" s="5"/>
      <c r="X108" s="5"/>
      <c r="Y108" s="5"/>
      <c r="Z108" s="5"/>
    </row>
    <row r="109" ht="14.25" customHeight="1">
      <c r="A109" s="4"/>
      <c r="B109" s="4"/>
      <c r="C109" s="4"/>
      <c r="D109" s="4"/>
      <c r="E109" s="333"/>
      <c r="F109" s="333"/>
      <c r="G109" s="4"/>
      <c r="H109" s="4"/>
      <c r="I109" s="5"/>
      <c r="J109" s="5"/>
      <c r="K109" s="5"/>
      <c r="L109" s="5"/>
      <c r="M109" s="5"/>
      <c r="N109" s="5"/>
      <c r="O109" s="5"/>
      <c r="P109" s="5"/>
      <c r="Q109" s="5"/>
      <c r="R109" s="5"/>
      <c r="S109" s="5"/>
      <c r="T109" s="5"/>
      <c r="U109" s="5"/>
      <c r="V109" s="5"/>
      <c r="W109" s="5"/>
      <c r="X109" s="5"/>
      <c r="Y109" s="5"/>
      <c r="Z109" s="5"/>
    </row>
    <row r="110" ht="14.25" customHeight="1">
      <c r="A110" s="4"/>
      <c r="B110" s="4"/>
      <c r="C110" s="4"/>
      <c r="D110" s="4"/>
      <c r="E110" s="333"/>
      <c r="F110" s="333"/>
      <c r="G110" s="4"/>
      <c r="H110" s="4"/>
      <c r="I110" s="5"/>
      <c r="J110" s="5"/>
      <c r="K110" s="5"/>
      <c r="L110" s="5"/>
      <c r="M110" s="5"/>
      <c r="N110" s="5"/>
      <c r="O110" s="5"/>
      <c r="P110" s="5"/>
      <c r="Q110" s="5"/>
      <c r="R110" s="5"/>
      <c r="S110" s="5"/>
      <c r="T110" s="5"/>
      <c r="U110" s="5"/>
      <c r="V110" s="5"/>
      <c r="W110" s="5"/>
      <c r="X110" s="5"/>
      <c r="Y110" s="5"/>
      <c r="Z110" s="5"/>
    </row>
    <row r="111" ht="14.25" customHeight="1">
      <c r="A111" s="4"/>
      <c r="B111" s="4"/>
      <c r="C111" s="4"/>
      <c r="D111" s="4"/>
      <c r="E111" s="333"/>
      <c r="F111" s="333"/>
      <c r="G111" s="4"/>
      <c r="H111" s="4"/>
      <c r="I111" s="5"/>
      <c r="J111" s="5"/>
      <c r="K111" s="5"/>
      <c r="L111" s="5"/>
      <c r="M111" s="5"/>
      <c r="N111" s="5"/>
      <c r="O111" s="5"/>
      <c r="P111" s="5"/>
      <c r="Q111" s="5"/>
      <c r="R111" s="5"/>
      <c r="S111" s="5"/>
      <c r="T111" s="5"/>
      <c r="U111" s="5"/>
      <c r="V111" s="5"/>
      <c r="W111" s="5"/>
      <c r="X111" s="5"/>
      <c r="Y111" s="5"/>
      <c r="Z111" s="5"/>
    </row>
    <row r="112" ht="14.25" customHeight="1">
      <c r="A112" s="4"/>
      <c r="B112" s="4"/>
      <c r="C112" s="4"/>
      <c r="D112" s="4"/>
      <c r="E112" s="333"/>
      <c r="F112" s="333"/>
      <c r="G112" s="4"/>
      <c r="H112" s="4"/>
      <c r="I112" s="5"/>
      <c r="J112" s="5"/>
      <c r="K112" s="5"/>
      <c r="L112" s="5"/>
      <c r="M112" s="5"/>
      <c r="N112" s="5"/>
      <c r="O112" s="5"/>
      <c r="P112" s="5"/>
      <c r="Q112" s="5"/>
      <c r="R112" s="5"/>
      <c r="S112" s="5"/>
      <c r="T112" s="5"/>
      <c r="U112" s="5"/>
      <c r="V112" s="5"/>
      <c r="W112" s="5"/>
      <c r="X112" s="5"/>
      <c r="Y112" s="5"/>
      <c r="Z112" s="5"/>
    </row>
    <row r="113" ht="14.25" customHeight="1">
      <c r="A113" s="4"/>
      <c r="B113" s="4"/>
      <c r="C113" s="4"/>
      <c r="D113" s="4"/>
      <c r="E113" s="333"/>
      <c r="F113" s="333"/>
      <c r="G113" s="4"/>
      <c r="H113" s="4"/>
      <c r="I113" s="5"/>
      <c r="J113" s="5"/>
      <c r="K113" s="5"/>
      <c r="L113" s="5"/>
      <c r="M113" s="5"/>
      <c r="N113" s="5"/>
      <c r="O113" s="5"/>
      <c r="P113" s="5"/>
      <c r="Q113" s="5"/>
      <c r="R113" s="5"/>
      <c r="S113" s="5"/>
      <c r="T113" s="5"/>
      <c r="U113" s="5"/>
      <c r="V113" s="5"/>
      <c r="W113" s="5"/>
      <c r="X113" s="5"/>
      <c r="Y113" s="5"/>
      <c r="Z113" s="5"/>
    </row>
    <row r="114" ht="14.25" customHeight="1">
      <c r="A114" s="4"/>
      <c r="B114" s="4"/>
      <c r="C114" s="4"/>
      <c r="D114" s="4"/>
      <c r="E114" s="333"/>
      <c r="F114" s="333"/>
      <c r="G114" s="4"/>
      <c r="H114" s="4"/>
      <c r="I114" s="5"/>
      <c r="J114" s="5"/>
      <c r="K114" s="5"/>
      <c r="L114" s="5"/>
      <c r="M114" s="5"/>
      <c r="N114" s="5"/>
      <c r="O114" s="5"/>
      <c r="P114" s="5"/>
      <c r="Q114" s="5"/>
      <c r="R114" s="5"/>
      <c r="S114" s="5"/>
      <c r="T114" s="5"/>
      <c r="U114" s="5"/>
      <c r="V114" s="5"/>
      <c r="W114" s="5"/>
      <c r="X114" s="5"/>
      <c r="Y114" s="5"/>
      <c r="Z114" s="5"/>
    </row>
    <row r="115" ht="14.25" customHeight="1">
      <c r="A115" s="4"/>
      <c r="B115" s="4"/>
      <c r="C115" s="4"/>
      <c r="D115" s="4"/>
      <c r="E115" s="333"/>
      <c r="F115" s="333"/>
      <c r="G115" s="4"/>
      <c r="H115" s="4"/>
      <c r="I115" s="5"/>
      <c r="J115" s="5"/>
      <c r="K115" s="5"/>
      <c r="L115" s="5"/>
      <c r="M115" s="5"/>
      <c r="N115" s="5"/>
      <c r="O115" s="5"/>
      <c r="P115" s="5"/>
      <c r="Q115" s="5"/>
      <c r="R115" s="5"/>
      <c r="S115" s="5"/>
      <c r="T115" s="5"/>
      <c r="U115" s="5"/>
      <c r="V115" s="5"/>
      <c r="W115" s="5"/>
      <c r="X115" s="5"/>
      <c r="Y115" s="5"/>
      <c r="Z115" s="5"/>
    </row>
    <row r="116" ht="14.25" customHeight="1">
      <c r="A116" s="4"/>
      <c r="B116" s="4"/>
      <c r="C116" s="4"/>
      <c r="D116" s="4"/>
      <c r="E116" s="333"/>
      <c r="F116" s="333"/>
      <c r="G116" s="4"/>
      <c r="H116" s="4"/>
      <c r="I116" s="5"/>
      <c r="J116" s="5"/>
      <c r="K116" s="5"/>
      <c r="L116" s="5"/>
      <c r="M116" s="5"/>
      <c r="N116" s="5"/>
      <c r="O116" s="5"/>
      <c r="P116" s="5"/>
      <c r="Q116" s="5"/>
      <c r="R116" s="5"/>
      <c r="S116" s="5"/>
      <c r="T116" s="5"/>
      <c r="U116" s="5"/>
      <c r="V116" s="5"/>
      <c r="W116" s="5"/>
      <c r="X116" s="5"/>
      <c r="Y116" s="5"/>
      <c r="Z116" s="5"/>
    </row>
    <row r="117" ht="14.25" customHeight="1">
      <c r="A117" s="4"/>
      <c r="B117" s="4"/>
      <c r="C117" s="4"/>
      <c r="D117" s="4"/>
      <c r="E117" s="333"/>
      <c r="F117" s="333"/>
      <c r="G117" s="4"/>
      <c r="H117" s="4"/>
      <c r="I117" s="5"/>
      <c r="J117" s="5"/>
      <c r="K117" s="5"/>
      <c r="L117" s="5"/>
      <c r="M117" s="5"/>
      <c r="N117" s="5"/>
      <c r="O117" s="5"/>
      <c r="P117" s="5"/>
      <c r="Q117" s="5"/>
      <c r="R117" s="5"/>
      <c r="S117" s="5"/>
      <c r="T117" s="5"/>
      <c r="U117" s="5"/>
      <c r="V117" s="5"/>
      <c r="W117" s="5"/>
      <c r="X117" s="5"/>
      <c r="Y117" s="5"/>
      <c r="Z117" s="5"/>
    </row>
    <row r="118" ht="14.25" customHeight="1">
      <c r="A118" s="4"/>
      <c r="B118" s="4"/>
      <c r="C118" s="4"/>
      <c r="D118" s="4"/>
      <c r="E118" s="333"/>
      <c r="F118" s="333"/>
      <c r="G118" s="4"/>
      <c r="H118" s="4"/>
      <c r="I118" s="5"/>
      <c r="J118" s="5"/>
      <c r="K118" s="5"/>
      <c r="L118" s="5"/>
      <c r="M118" s="5"/>
      <c r="N118" s="5"/>
      <c r="O118" s="5"/>
      <c r="P118" s="5"/>
      <c r="Q118" s="5"/>
      <c r="R118" s="5"/>
      <c r="S118" s="5"/>
      <c r="T118" s="5"/>
      <c r="U118" s="5"/>
      <c r="V118" s="5"/>
      <c r="W118" s="5"/>
      <c r="X118" s="5"/>
      <c r="Y118" s="5"/>
      <c r="Z118" s="5"/>
    </row>
    <row r="119" ht="14.25" customHeight="1">
      <c r="A119" s="4"/>
      <c r="B119" s="4"/>
      <c r="C119" s="4"/>
      <c r="D119" s="4"/>
      <c r="E119" s="333"/>
      <c r="F119" s="333"/>
      <c r="G119" s="4"/>
      <c r="H119" s="4"/>
      <c r="I119" s="5"/>
      <c r="J119" s="5"/>
      <c r="K119" s="5"/>
      <c r="L119" s="5"/>
      <c r="M119" s="5"/>
      <c r="N119" s="5"/>
      <c r="O119" s="5"/>
      <c r="P119" s="5"/>
      <c r="Q119" s="5"/>
      <c r="R119" s="5"/>
      <c r="S119" s="5"/>
      <c r="T119" s="5"/>
      <c r="U119" s="5"/>
      <c r="V119" s="5"/>
      <c r="W119" s="5"/>
      <c r="X119" s="5"/>
      <c r="Y119" s="5"/>
      <c r="Z119" s="5"/>
    </row>
    <row r="120" ht="14.25" customHeight="1">
      <c r="A120" s="4"/>
      <c r="B120" s="4"/>
      <c r="C120" s="4"/>
      <c r="D120" s="4"/>
      <c r="E120" s="333"/>
      <c r="F120" s="333"/>
      <c r="G120" s="4"/>
      <c r="H120" s="4"/>
      <c r="I120" s="5"/>
      <c r="J120" s="5"/>
      <c r="K120" s="5"/>
      <c r="L120" s="5"/>
      <c r="M120" s="5"/>
      <c r="N120" s="5"/>
      <c r="O120" s="5"/>
      <c r="P120" s="5"/>
      <c r="Q120" s="5"/>
      <c r="R120" s="5"/>
      <c r="S120" s="5"/>
      <c r="T120" s="5"/>
      <c r="U120" s="5"/>
      <c r="V120" s="5"/>
      <c r="W120" s="5"/>
      <c r="X120" s="5"/>
      <c r="Y120" s="5"/>
      <c r="Z120" s="5"/>
    </row>
    <row r="121" ht="14.25" customHeight="1">
      <c r="A121" s="4"/>
      <c r="B121" s="4"/>
      <c r="C121" s="4"/>
      <c r="D121" s="4"/>
      <c r="E121" s="333"/>
      <c r="F121" s="333"/>
      <c r="G121" s="4"/>
      <c r="H121" s="4"/>
      <c r="I121" s="5"/>
      <c r="J121" s="5"/>
      <c r="K121" s="5"/>
      <c r="L121" s="5"/>
      <c r="M121" s="5"/>
      <c r="N121" s="5"/>
      <c r="O121" s="5"/>
      <c r="P121" s="5"/>
      <c r="Q121" s="5"/>
      <c r="R121" s="5"/>
      <c r="S121" s="5"/>
      <c r="T121" s="5"/>
      <c r="U121" s="5"/>
      <c r="V121" s="5"/>
      <c r="W121" s="5"/>
      <c r="X121" s="5"/>
      <c r="Y121" s="5"/>
      <c r="Z121" s="5"/>
    </row>
    <row r="122" ht="14.25" customHeight="1">
      <c r="A122" s="4"/>
      <c r="B122" s="4"/>
      <c r="C122" s="4"/>
      <c r="D122" s="4"/>
      <c r="E122" s="333"/>
      <c r="F122" s="333"/>
      <c r="G122" s="4"/>
      <c r="H122" s="4"/>
      <c r="I122" s="5"/>
      <c r="J122" s="5"/>
      <c r="K122" s="5"/>
      <c r="L122" s="5"/>
      <c r="M122" s="5"/>
      <c r="N122" s="5"/>
      <c r="O122" s="5"/>
      <c r="P122" s="5"/>
      <c r="Q122" s="5"/>
      <c r="R122" s="5"/>
      <c r="S122" s="5"/>
      <c r="T122" s="5"/>
      <c r="U122" s="5"/>
      <c r="V122" s="5"/>
      <c r="W122" s="5"/>
      <c r="X122" s="5"/>
      <c r="Y122" s="5"/>
      <c r="Z122" s="5"/>
    </row>
    <row r="123" ht="14.25" customHeight="1">
      <c r="A123" s="4"/>
      <c r="B123" s="4"/>
      <c r="C123" s="4"/>
      <c r="D123" s="4"/>
      <c r="E123" s="333"/>
      <c r="F123" s="333"/>
      <c r="G123" s="4"/>
      <c r="H123" s="4"/>
      <c r="I123" s="5"/>
      <c r="J123" s="5"/>
      <c r="K123" s="5"/>
      <c r="L123" s="5"/>
      <c r="M123" s="5"/>
      <c r="N123" s="5"/>
      <c r="O123" s="5"/>
      <c r="P123" s="5"/>
      <c r="Q123" s="5"/>
      <c r="R123" s="5"/>
      <c r="S123" s="5"/>
      <c r="T123" s="5"/>
      <c r="U123" s="5"/>
      <c r="V123" s="5"/>
      <c r="W123" s="5"/>
      <c r="X123" s="5"/>
      <c r="Y123" s="5"/>
      <c r="Z123" s="5"/>
    </row>
    <row r="124" ht="14.25" customHeight="1">
      <c r="A124" s="4"/>
      <c r="B124" s="4"/>
      <c r="C124" s="4"/>
      <c r="D124" s="4"/>
      <c r="E124" s="333"/>
      <c r="F124" s="333"/>
      <c r="G124" s="4"/>
      <c r="H124" s="4"/>
      <c r="I124" s="5"/>
      <c r="J124" s="5"/>
      <c r="K124" s="5"/>
      <c r="L124" s="5"/>
      <c r="M124" s="5"/>
      <c r="N124" s="5"/>
      <c r="O124" s="5"/>
      <c r="P124" s="5"/>
      <c r="Q124" s="5"/>
      <c r="R124" s="5"/>
      <c r="S124" s="5"/>
      <c r="T124" s="5"/>
      <c r="U124" s="5"/>
      <c r="V124" s="5"/>
      <c r="W124" s="5"/>
      <c r="X124" s="5"/>
      <c r="Y124" s="5"/>
      <c r="Z124" s="5"/>
    </row>
    <row r="125" ht="14.25" customHeight="1">
      <c r="A125" s="4"/>
      <c r="B125" s="4"/>
      <c r="C125" s="4"/>
      <c r="D125" s="4"/>
      <c r="E125" s="333"/>
      <c r="F125" s="333"/>
      <c r="G125" s="4"/>
      <c r="H125" s="4"/>
      <c r="I125" s="5"/>
      <c r="J125" s="5"/>
      <c r="K125" s="5"/>
      <c r="L125" s="5"/>
      <c r="M125" s="5"/>
      <c r="N125" s="5"/>
      <c r="O125" s="5"/>
      <c r="P125" s="5"/>
      <c r="Q125" s="5"/>
      <c r="R125" s="5"/>
      <c r="S125" s="5"/>
      <c r="T125" s="5"/>
      <c r="U125" s="5"/>
      <c r="V125" s="5"/>
      <c r="W125" s="5"/>
      <c r="X125" s="5"/>
      <c r="Y125" s="5"/>
      <c r="Z125" s="5"/>
    </row>
    <row r="126" ht="14.25" customHeight="1">
      <c r="A126" s="4"/>
      <c r="B126" s="4"/>
      <c r="C126" s="4"/>
      <c r="D126" s="4"/>
      <c r="E126" s="333"/>
      <c r="F126" s="333"/>
      <c r="G126" s="4"/>
      <c r="H126" s="4"/>
      <c r="I126" s="5"/>
      <c r="J126" s="5"/>
      <c r="K126" s="5"/>
      <c r="L126" s="5"/>
      <c r="M126" s="5"/>
      <c r="N126" s="5"/>
      <c r="O126" s="5"/>
      <c r="P126" s="5"/>
      <c r="Q126" s="5"/>
      <c r="R126" s="5"/>
      <c r="S126" s="5"/>
      <c r="T126" s="5"/>
      <c r="U126" s="5"/>
      <c r="V126" s="5"/>
      <c r="W126" s="5"/>
      <c r="X126" s="5"/>
      <c r="Y126" s="5"/>
      <c r="Z126" s="5"/>
    </row>
    <row r="127" ht="14.25" customHeight="1">
      <c r="A127" s="4"/>
      <c r="B127" s="4"/>
      <c r="C127" s="4"/>
      <c r="D127" s="4"/>
      <c r="E127" s="333"/>
      <c r="F127" s="333"/>
      <c r="G127" s="4"/>
      <c r="H127" s="4"/>
      <c r="I127" s="5"/>
      <c r="J127" s="5"/>
      <c r="K127" s="5"/>
      <c r="L127" s="5"/>
      <c r="M127" s="5"/>
      <c r="N127" s="5"/>
      <c r="O127" s="5"/>
      <c r="P127" s="5"/>
      <c r="Q127" s="5"/>
      <c r="R127" s="5"/>
      <c r="S127" s="5"/>
      <c r="T127" s="5"/>
      <c r="U127" s="5"/>
      <c r="V127" s="5"/>
      <c r="W127" s="5"/>
      <c r="X127" s="5"/>
      <c r="Y127" s="5"/>
      <c r="Z127" s="5"/>
    </row>
    <row r="128" ht="14.25" customHeight="1">
      <c r="A128" s="4"/>
      <c r="B128" s="4"/>
      <c r="C128" s="4"/>
      <c r="D128" s="4"/>
      <c r="E128" s="333"/>
      <c r="F128" s="333"/>
      <c r="G128" s="4"/>
      <c r="H128" s="4"/>
      <c r="I128" s="5"/>
      <c r="J128" s="5"/>
      <c r="K128" s="5"/>
      <c r="L128" s="5"/>
      <c r="M128" s="5"/>
      <c r="N128" s="5"/>
      <c r="O128" s="5"/>
      <c r="P128" s="5"/>
      <c r="Q128" s="5"/>
      <c r="R128" s="5"/>
      <c r="S128" s="5"/>
      <c r="T128" s="5"/>
      <c r="U128" s="5"/>
      <c r="V128" s="5"/>
      <c r="W128" s="5"/>
      <c r="X128" s="5"/>
      <c r="Y128" s="5"/>
      <c r="Z128" s="5"/>
    </row>
    <row r="129" ht="14.25" customHeight="1">
      <c r="A129" s="4"/>
      <c r="B129" s="4"/>
      <c r="C129" s="4"/>
      <c r="D129" s="4"/>
      <c r="E129" s="333"/>
      <c r="F129" s="333"/>
      <c r="G129" s="4"/>
      <c r="H129" s="4"/>
      <c r="I129" s="5"/>
      <c r="J129" s="5"/>
      <c r="K129" s="5"/>
      <c r="L129" s="5"/>
      <c r="M129" s="5"/>
      <c r="N129" s="5"/>
      <c r="O129" s="5"/>
      <c r="P129" s="5"/>
      <c r="Q129" s="5"/>
      <c r="R129" s="5"/>
      <c r="S129" s="5"/>
      <c r="T129" s="5"/>
      <c r="U129" s="5"/>
      <c r="V129" s="5"/>
      <c r="W129" s="5"/>
      <c r="X129" s="5"/>
      <c r="Y129" s="5"/>
      <c r="Z129" s="5"/>
    </row>
    <row r="130" ht="14.25" customHeight="1">
      <c r="A130" s="4"/>
      <c r="B130" s="4"/>
      <c r="C130" s="4"/>
      <c r="D130" s="4"/>
      <c r="E130" s="333"/>
      <c r="F130" s="333"/>
      <c r="G130" s="4"/>
      <c r="H130" s="4"/>
      <c r="I130" s="5"/>
      <c r="J130" s="5"/>
      <c r="K130" s="5"/>
      <c r="L130" s="5"/>
      <c r="M130" s="5"/>
      <c r="N130" s="5"/>
      <c r="O130" s="5"/>
      <c r="P130" s="5"/>
      <c r="Q130" s="5"/>
      <c r="R130" s="5"/>
      <c r="S130" s="5"/>
      <c r="T130" s="5"/>
      <c r="U130" s="5"/>
      <c r="V130" s="5"/>
      <c r="W130" s="5"/>
      <c r="X130" s="5"/>
      <c r="Y130" s="5"/>
      <c r="Z130" s="5"/>
    </row>
    <row r="131" ht="14.25" customHeight="1">
      <c r="A131" s="4"/>
      <c r="B131" s="4"/>
      <c r="C131" s="4"/>
      <c r="D131" s="4"/>
      <c r="E131" s="333"/>
      <c r="F131" s="333"/>
      <c r="G131" s="4"/>
      <c r="H131" s="4"/>
      <c r="I131" s="5"/>
      <c r="J131" s="5"/>
      <c r="K131" s="5"/>
      <c r="L131" s="5"/>
      <c r="M131" s="5"/>
      <c r="N131" s="5"/>
      <c r="O131" s="5"/>
      <c r="P131" s="5"/>
      <c r="Q131" s="5"/>
      <c r="R131" s="5"/>
      <c r="S131" s="5"/>
      <c r="T131" s="5"/>
      <c r="U131" s="5"/>
      <c r="V131" s="5"/>
      <c r="W131" s="5"/>
      <c r="X131" s="5"/>
      <c r="Y131" s="5"/>
      <c r="Z131" s="5"/>
    </row>
    <row r="132" ht="14.25" customHeight="1">
      <c r="A132" s="4"/>
      <c r="B132" s="4"/>
      <c r="C132" s="4"/>
      <c r="D132" s="4"/>
      <c r="E132" s="333"/>
      <c r="F132" s="333"/>
      <c r="G132" s="4"/>
      <c r="H132" s="4"/>
      <c r="I132" s="5"/>
      <c r="J132" s="5"/>
      <c r="K132" s="5"/>
      <c r="L132" s="5"/>
      <c r="M132" s="5"/>
      <c r="N132" s="5"/>
      <c r="O132" s="5"/>
      <c r="P132" s="5"/>
      <c r="Q132" s="5"/>
      <c r="R132" s="5"/>
      <c r="S132" s="5"/>
      <c r="T132" s="5"/>
      <c r="U132" s="5"/>
      <c r="V132" s="5"/>
      <c r="W132" s="5"/>
      <c r="X132" s="5"/>
      <c r="Y132" s="5"/>
      <c r="Z132" s="5"/>
    </row>
    <row r="133" ht="14.25" customHeight="1">
      <c r="A133" s="4"/>
      <c r="B133" s="4"/>
      <c r="C133" s="4"/>
      <c r="D133" s="4"/>
      <c r="E133" s="333"/>
      <c r="F133" s="333"/>
      <c r="G133" s="4"/>
      <c r="H133" s="4"/>
      <c r="I133" s="5"/>
      <c r="J133" s="5"/>
      <c r="K133" s="5"/>
      <c r="L133" s="5"/>
      <c r="M133" s="5"/>
      <c r="N133" s="5"/>
      <c r="O133" s="5"/>
      <c r="P133" s="5"/>
      <c r="Q133" s="5"/>
      <c r="R133" s="5"/>
      <c r="S133" s="5"/>
      <c r="T133" s="5"/>
      <c r="U133" s="5"/>
      <c r="V133" s="5"/>
      <c r="W133" s="5"/>
      <c r="X133" s="5"/>
      <c r="Y133" s="5"/>
      <c r="Z133" s="5"/>
    </row>
    <row r="134" ht="14.25" customHeight="1">
      <c r="A134" s="4"/>
      <c r="B134" s="4"/>
      <c r="C134" s="4"/>
      <c r="D134" s="4"/>
      <c r="E134" s="333"/>
      <c r="F134" s="333"/>
      <c r="G134" s="4"/>
      <c r="H134" s="4"/>
      <c r="I134" s="5"/>
      <c r="J134" s="5"/>
      <c r="K134" s="5"/>
      <c r="L134" s="5"/>
      <c r="M134" s="5"/>
      <c r="N134" s="5"/>
      <c r="O134" s="5"/>
      <c r="P134" s="5"/>
      <c r="Q134" s="5"/>
      <c r="R134" s="5"/>
      <c r="S134" s="5"/>
      <c r="T134" s="5"/>
      <c r="U134" s="5"/>
      <c r="V134" s="5"/>
      <c r="W134" s="5"/>
      <c r="X134" s="5"/>
      <c r="Y134" s="5"/>
      <c r="Z134" s="5"/>
    </row>
    <row r="135" ht="14.25" customHeight="1">
      <c r="A135" s="4"/>
      <c r="B135" s="4"/>
      <c r="C135" s="4"/>
      <c r="D135" s="4"/>
      <c r="E135" s="333"/>
      <c r="F135" s="333"/>
      <c r="G135" s="4"/>
      <c r="H135" s="4"/>
      <c r="I135" s="5"/>
      <c r="J135" s="5"/>
      <c r="K135" s="5"/>
      <c r="L135" s="5"/>
      <c r="M135" s="5"/>
      <c r="N135" s="5"/>
      <c r="O135" s="5"/>
      <c r="P135" s="5"/>
      <c r="Q135" s="5"/>
      <c r="R135" s="5"/>
      <c r="S135" s="5"/>
      <c r="T135" s="5"/>
      <c r="U135" s="5"/>
      <c r="V135" s="5"/>
      <c r="W135" s="5"/>
      <c r="X135" s="5"/>
      <c r="Y135" s="5"/>
      <c r="Z135" s="5"/>
    </row>
    <row r="136" ht="14.25" customHeight="1">
      <c r="A136" s="4"/>
      <c r="B136" s="4"/>
      <c r="C136" s="4"/>
      <c r="D136" s="4"/>
      <c r="E136" s="333"/>
      <c r="F136" s="333"/>
      <c r="G136" s="4"/>
      <c r="H136" s="4"/>
      <c r="I136" s="5"/>
      <c r="J136" s="5"/>
      <c r="K136" s="5"/>
      <c r="L136" s="5"/>
      <c r="M136" s="5"/>
      <c r="N136" s="5"/>
      <c r="O136" s="5"/>
      <c r="P136" s="5"/>
      <c r="Q136" s="5"/>
      <c r="R136" s="5"/>
      <c r="S136" s="5"/>
      <c r="T136" s="5"/>
      <c r="U136" s="5"/>
      <c r="V136" s="5"/>
      <c r="W136" s="5"/>
      <c r="X136" s="5"/>
      <c r="Y136" s="5"/>
      <c r="Z136" s="5"/>
    </row>
    <row r="137" ht="14.25" customHeight="1">
      <c r="A137" s="4"/>
      <c r="B137" s="4"/>
      <c r="C137" s="4"/>
      <c r="D137" s="4"/>
      <c r="E137" s="333"/>
      <c r="F137" s="333"/>
      <c r="G137" s="4"/>
      <c r="H137" s="4"/>
      <c r="I137" s="5"/>
      <c r="J137" s="5"/>
      <c r="K137" s="5"/>
      <c r="L137" s="5"/>
      <c r="M137" s="5"/>
      <c r="N137" s="5"/>
      <c r="O137" s="5"/>
      <c r="P137" s="5"/>
      <c r="Q137" s="5"/>
      <c r="R137" s="5"/>
      <c r="S137" s="5"/>
      <c r="T137" s="5"/>
      <c r="U137" s="5"/>
      <c r="V137" s="5"/>
      <c r="W137" s="5"/>
      <c r="X137" s="5"/>
      <c r="Y137" s="5"/>
      <c r="Z137" s="5"/>
    </row>
    <row r="138" ht="14.25" customHeight="1">
      <c r="A138" s="4"/>
      <c r="B138" s="4"/>
      <c r="C138" s="4"/>
      <c r="D138" s="4"/>
      <c r="E138" s="333"/>
      <c r="F138" s="333"/>
      <c r="G138" s="4"/>
      <c r="H138" s="4"/>
      <c r="I138" s="5"/>
      <c r="J138" s="5"/>
      <c r="K138" s="5"/>
      <c r="L138" s="5"/>
      <c r="M138" s="5"/>
      <c r="N138" s="5"/>
      <c r="O138" s="5"/>
      <c r="P138" s="5"/>
      <c r="Q138" s="5"/>
      <c r="R138" s="5"/>
      <c r="S138" s="5"/>
      <c r="T138" s="5"/>
      <c r="U138" s="5"/>
      <c r="V138" s="5"/>
      <c r="W138" s="5"/>
      <c r="X138" s="5"/>
      <c r="Y138" s="5"/>
      <c r="Z138" s="5"/>
    </row>
    <row r="139" ht="14.25" customHeight="1">
      <c r="A139" s="4"/>
      <c r="B139" s="4"/>
      <c r="C139" s="4"/>
      <c r="D139" s="4"/>
      <c r="E139" s="333"/>
      <c r="F139" s="333"/>
      <c r="G139" s="4"/>
      <c r="H139" s="4"/>
      <c r="I139" s="5"/>
      <c r="J139" s="5"/>
      <c r="K139" s="5"/>
      <c r="L139" s="5"/>
      <c r="M139" s="5"/>
      <c r="N139" s="5"/>
      <c r="O139" s="5"/>
      <c r="P139" s="5"/>
      <c r="Q139" s="5"/>
      <c r="R139" s="5"/>
      <c r="S139" s="5"/>
      <c r="T139" s="5"/>
      <c r="U139" s="5"/>
      <c r="V139" s="5"/>
      <c r="W139" s="5"/>
      <c r="X139" s="5"/>
      <c r="Y139" s="5"/>
      <c r="Z139" s="5"/>
    </row>
    <row r="140" ht="14.25" customHeight="1">
      <c r="A140" s="4"/>
      <c r="B140" s="4"/>
      <c r="C140" s="4"/>
      <c r="D140" s="4"/>
      <c r="E140" s="333"/>
      <c r="F140" s="333"/>
      <c r="G140" s="4"/>
      <c r="H140" s="4"/>
      <c r="I140" s="5"/>
      <c r="J140" s="5"/>
      <c r="K140" s="5"/>
      <c r="L140" s="5"/>
      <c r="M140" s="5"/>
      <c r="N140" s="5"/>
      <c r="O140" s="5"/>
      <c r="P140" s="5"/>
      <c r="Q140" s="5"/>
      <c r="R140" s="5"/>
      <c r="S140" s="5"/>
      <c r="T140" s="5"/>
      <c r="U140" s="5"/>
      <c r="V140" s="5"/>
      <c r="W140" s="5"/>
      <c r="X140" s="5"/>
      <c r="Y140" s="5"/>
      <c r="Z140" s="5"/>
    </row>
    <row r="141" ht="14.25" customHeight="1">
      <c r="A141" s="4"/>
      <c r="B141" s="4"/>
      <c r="C141" s="4"/>
      <c r="D141" s="4"/>
      <c r="E141" s="333"/>
      <c r="F141" s="333"/>
      <c r="G141" s="4"/>
      <c r="H141" s="4"/>
      <c r="I141" s="5"/>
      <c r="J141" s="5"/>
      <c r="K141" s="5"/>
      <c r="L141" s="5"/>
      <c r="M141" s="5"/>
      <c r="N141" s="5"/>
      <c r="O141" s="5"/>
      <c r="P141" s="5"/>
      <c r="Q141" s="5"/>
      <c r="R141" s="5"/>
      <c r="S141" s="5"/>
      <c r="T141" s="5"/>
      <c r="U141" s="5"/>
      <c r="V141" s="5"/>
      <c r="W141" s="5"/>
      <c r="X141" s="5"/>
      <c r="Y141" s="5"/>
      <c r="Z141" s="5"/>
    </row>
    <row r="142" ht="14.25" customHeight="1">
      <c r="A142" s="4"/>
      <c r="B142" s="4"/>
      <c r="C142" s="4"/>
      <c r="D142" s="4"/>
      <c r="E142" s="333"/>
      <c r="F142" s="333"/>
      <c r="G142" s="4"/>
      <c r="H142" s="4"/>
      <c r="I142" s="5"/>
      <c r="J142" s="5"/>
      <c r="K142" s="5"/>
      <c r="L142" s="5"/>
      <c r="M142" s="5"/>
      <c r="N142" s="5"/>
      <c r="O142" s="5"/>
      <c r="P142" s="5"/>
      <c r="Q142" s="5"/>
      <c r="R142" s="5"/>
      <c r="S142" s="5"/>
      <c r="T142" s="5"/>
      <c r="U142" s="5"/>
      <c r="V142" s="5"/>
      <c r="W142" s="5"/>
      <c r="X142" s="5"/>
      <c r="Y142" s="5"/>
      <c r="Z142" s="5"/>
    </row>
    <row r="143" ht="14.25" customHeight="1">
      <c r="A143" s="4"/>
      <c r="B143" s="4"/>
      <c r="C143" s="4"/>
      <c r="D143" s="4"/>
      <c r="E143" s="333"/>
      <c r="F143" s="333"/>
      <c r="G143" s="4"/>
      <c r="H143" s="4"/>
      <c r="I143" s="5"/>
      <c r="J143" s="5"/>
      <c r="K143" s="5"/>
      <c r="L143" s="5"/>
      <c r="M143" s="5"/>
      <c r="N143" s="5"/>
      <c r="O143" s="5"/>
      <c r="P143" s="5"/>
      <c r="Q143" s="5"/>
      <c r="R143" s="5"/>
      <c r="S143" s="5"/>
      <c r="T143" s="5"/>
      <c r="U143" s="5"/>
      <c r="V143" s="5"/>
      <c r="W143" s="5"/>
      <c r="X143" s="5"/>
      <c r="Y143" s="5"/>
      <c r="Z143" s="5"/>
    </row>
    <row r="144" ht="14.25" customHeight="1">
      <c r="A144" s="4"/>
      <c r="B144" s="4"/>
      <c r="C144" s="4"/>
      <c r="D144" s="4"/>
      <c r="E144" s="333"/>
      <c r="F144" s="333"/>
      <c r="G144" s="4"/>
      <c r="H144" s="4"/>
      <c r="I144" s="5"/>
      <c r="J144" s="5"/>
      <c r="K144" s="5"/>
      <c r="L144" s="5"/>
      <c r="M144" s="5"/>
      <c r="N144" s="5"/>
      <c r="O144" s="5"/>
      <c r="P144" s="5"/>
      <c r="Q144" s="5"/>
      <c r="R144" s="5"/>
      <c r="S144" s="5"/>
      <c r="T144" s="5"/>
      <c r="U144" s="5"/>
      <c r="V144" s="5"/>
      <c r="W144" s="5"/>
      <c r="X144" s="5"/>
      <c r="Y144" s="5"/>
      <c r="Z144" s="5"/>
    </row>
    <row r="145" ht="14.25" customHeight="1">
      <c r="A145" s="4"/>
      <c r="B145" s="4"/>
      <c r="C145" s="4"/>
      <c r="D145" s="4"/>
      <c r="E145" s="333"/>
      <c r="F145" s="333"/>
      <c r="G145" s="4"/>
      <c r="H145" s="4"/>
      <c r="I145" s="5"/>
      <c r="J145" s="5"/>
      <c r="K145" s="5"/>
      <c r="L145" s="5"/>
      <c r="M145" s="5"/>
      <c r="N145" s="5"/>
      <c r="O145" s="5"/>
      <c r="P145" s="5"/>
      <c r="Q145" s="5"/>
      <c r="R145" s="5"/>
      <c r="S145" s="5"/>
      <c r="T145" s="5"/>
      <c r="U145" s="5"/>
      <c r="V145" s="5"/>
      <c r="W145" s="5"/>
      <c r="X145" s="5"/>
      <c r="Y145" s="5"/>
      <c r="Z145" s="5"/>
    </row>
    <row r="146" ht="14.25" customHeight="1">
      <c r="A146" s="4"/>
      <c r="B146" s="4"/>
      <c r="C146" s="4"/>
      <c r="D146" s="4"/>
      <c r="E146" s="333"/>
      <c r="F146" s="333"/>
      <c r="G146" s="4"/>
      <c r="H146" s="4"/>
      <c r="I146" s="5"/>
      <c r="J146" s="5"/>
      <c r="K146" s="5"/>
      <c r="L146" s="5"/>
      <c r="M146" s="5"/>
      <c r="N146" s="5"/>
      <c r="O146" s="5"/>
      <c r="P146" s="5"/>
      <c r="Q146" s="5"/>
      <c r="R146" s="5"/>
      <c r="S146" s="5"/>
      <c r="T146" s="5"/>
      <c r="U146" s="5"/>
      <c r="V146" s="5"/>
      <c r="W146" s="5"/>
      <c r="X146" s="5"/>
      <c r="Y146" s="5"/>
      <c r="Z146" s="5"/>
    </row>
    <row r="147" ht="14.25" customHeight="1">
      <c r="A147" s="4"/>
      <c r="B147" s="4"/>
      <c r="C147" s="4"/>
      <c r="D147" s="4"/>
      <c r="E147" s="333"/>
      <c r="F147" s="333"/>
      <c r="G147" s="4"/>
      <c r="H147" s="4"/>
      <c r="I147" s="5"/>
      <c r="J147" s="5"/>
      <c r="K147" s="5"/>
      <c r="L147" s="5"/>
      <c r="M147" s="5"/>
      <c r="N147" s="5"/>
      <c r="O147" s="5"/>
      <c r="P147" s="5"/>
      <c r="Q147" s="5"/>
      <c r="R147" s="5"/>
      <c r="S147" s="5"/>
      <c r="T147" s="5"/>
      <c r="U147" s="5"/>
      <c r="V147" s="5"/>
      <c r="W147" s="5"/>
      <c r="X147" s="5"/>
      <c r="Y147" s="5"/>
      <c r="Z147" s="5"/>
    </row>
    <row r="148" ht="14.25" customHeight="1">
      <c r="A148" s="4"/>
      <c r="B148" s="4"/>
      <c r="C148" s="4"/>
      <c r="D148" s="4"/>
      <c r="E148" s="333"/>
      <c r="F148" s="333"/>
      <c r="G148" s="4"/>
      <c r="H148" s="4"/>
      <c r="I148" s="5"/>
      <c r="J148" s="5"/>
      <c r="K148" s="5"/>
      <c r="L148" s="5"/>
      <c r="M148" s="5"/>
      <c r="N148" s="5"/>
      <c r="O148" s="5"/>
      <c r="P148" s="5"/>
      <c r="Q148" s="5"/>
      <c r="R148" s="5"/>
      <c r="S148" s="5"/>
      <c r="T148" s="5"/>
      <c r="U148" s="5"/>
      <c r="V148" s="5"/>
      <c r="W148" s="5"/>
      <c r="X148" s="5"/>
      <c r="Y148" s="5"/>
      <c r="Z148" s="5"/>
    </row>
    <row r="149" ht="14.25" customHeight="1">
      <c r="A149" s="4"/>
      <c r="B149" s="4"/>
      <c r="C149" s="4"/>
      <c r="D149" s="4"/>
      <c r="E149" s="333"/>
      <c r="F149" s="333"/>
      <c r="G149" s="4"/>
      <c r="H149" s="4"/>
      <c r="I149" s="5"/>
      <c r="J149" s="5"/>
      <c r="K149" s="5"/>
      <c r="L149" s="5"/>
      <c r="M149" s="5"/>
      <c r="N149" s="5"/>
      <c r="O149" s="5"/>
      <c r="P149" s="5"/>
      <c r="Q149" s="5"/>
      <c r="R149" s="5"/>
      <c r="S149" s="5"/>
      <c r="T149" s="5"/>
      <c r="U149" s="5"/>
      <c r="V149" s="5"/>
      <c r="W149" s="5"/>
      <c r="X149" s="5"/>
      <c r="Y149" s="5"/>
      <c r="Z149" s="5"/>
    </row>
    <row r="150" ht="14.25" customHeight="1">
      <c r="A150" s="4"/>
      <c r="B150" s="4"/>
      <c r="C150" s="4"/>
      <c r="D150" s="4"/>
      <c r="E150" s="333"/>
      <c r="F150" s="333"/>
      <c r="G150" s="4"/>
      <c r="H150" s="4"/>
      <c r="I150" s="5"/>
      <c r="J150" s="5"/>
      <c r="K150" s="5"/>
      <c r="L150" s="5"/>
      <c r="M150" s="5"/>
      <c r="N150" s="5"/>
      <c r="O150" s="5"/>
      <c r="P150" s="5"/>
      <c r="Q150" s="5"/>
      <c r="R150" s="5"/>
      <c r="S150" s="5"/>
      <c r="T150" s="5"/>
      <c r="U150" s="5"/>
      <c r="V150" s="5"/>
      <c r="W150" s="5"/>
      <c r="X150" s="5"/>
      <c r="Y150" s="5"/>
      <c r="Z150" s="5"/>
    </row>
    <row r="151" ht="14.25" customHeight="1">
      <c r="A151" s="4"/>
      <c r="B151" s="4"/>
      <c r="C151" s="4"/>
      <c r="D151" s="4"/>
      <c r="E151" s="333"/>
      <c r="F151" s="333"/>
      <c r="G151" s="4"/>
      <c r="H151" s="4"/>
      <c r="I151" s="5"/>
      <c r="J151" s="5"/>
      <c r="K151" s="5"/>
      <c r="L151" s="5"/>
      <c r="M151" s="5"/>
      <c r="N151" s="5"/>
      <c r="O151" s="5"/>
      <c r="P151" s="5"/>
      <c r="Q151" s="5"/>
      <c r="R151" s="5"/>
      <c r="S151" s="5"/>
      <c r="T151" s="5"/>
      <c r="U151" s="5"/>
      <c r="V151" s="5"/>
      <c r="W151" s="5"/>
      <c r="X151" s="5"/>
      <c r="Y151" s="5"/>
      <c r="Z151" s="5"/>
    </row>
    <row r="152" ht="14.25" customHeight="1">
      <c r="A152" s="4"/>
      <c r="B152" s="4"/>
      <c r="C152" s="4"/>
      <c r="D152" s="4"/>
      <c r="E152" s="333"/>
      <c r="F152" s="333"/>
      <c r="G152" s="4"/>
      <c r="H152" s="4"/>
      <c r="I152" s="5"/>
      <c r="J152" s="5"/>
      <c r="K152" s="5"/>
      <c r="L152" s="5"/>
      <c r="M152" s="5"/>
      <c r="N152" s="5"/>
      <c r="O152" s="5"/>
      <c r="P152" s="5"/>
      <c r="Q152" s="5"/>
      <c r="R152" s="5"/>
      <c r="S152" s="5"/>
      <c r="T152" s="5"/>
      <c r="U152" s="5"/>
      <c r="V152" s="5"/>
      <c r="W152" s="5"/>
      <c r="X152" s="5"/>
      <c r="Y152" s="5"/>
      <c r="Z152" s="5"/>
    </row>
    <row r="153" ht="14.25" customHeight="1">
      <c r="A153" s="4"/>
      <c r="B153" s="4"/>
      <c r="C153" s="4"/>
      <c r="D153" s="4"/>
      <c r="E153" s="333"/>
      <c r="F153" s="333"/>
      <c r="G153" s="4"/>
      <c r="H153" s="4"/>
      <c r="I153" s="5"/>
      <c r="J153" s="5"/>
      <c r="K153" s="5"/>
      <c r="L153" s="5"/>
      <c r="M153" s="5"/>
      <c r="N153" s="5"/>
      <c r="O153" s="5"/>
      <c r="P153" s="5"/>
      <c r="Q153" s="5"/>
      <c r="R153" s="5"/>
      <c r="S153" s="5"/>
      <c r="T153" s="5"/>
      <c r="U153" s="5"/>
      <c r="V153" s="5"/>
      <c r="W153" s="5"/>
      <c r="X153" s="5"/>
      <c r="Y153" s="5"/>
      <c r="Z153" s="5"/>
    </row>
    <row r="154" ht="14.25" customHeight="1">
      <c r="A154" s="4"/>
      <c r="B154" s="4"/>
      <c r="C154" s="4"/>
      <c r="D154" s="4"/>
      <c r="E154" s="333"/>
      <c r="F154" s="333"/>
      <c r="G154" s="4"/>
      <c r="H154" s="4"/>
      <c r="I154" s="5"/>
      <c r="J154" s="5"/>
      <c r="K154" s="5"/>
      <c r="L154" s="5"/>
      <c r="M154" s="5"/>
      <c r="N154" s="5"/>
      <c r="O154" s="5"/>
      <c r="P154" s="5"/>
      <c r="Q154" s="5"/>
      <c r="R154" s="5"/>
      <c r="S154" s="5"/>
      <c r="T154" s="5"/>
      <c r="U154" s="5"/>
      <c r="V154" s="5"/>
      <c r="W154" s="5"/>
      <c r="X154" s="5"/>
      <c r="Y154" s="5"/>
      <c r="Z154" s="5"/>
    </row>
    <row r="155" ht="14.25" customHeight="1">
      <c r="A155" s="4"/>
      <c r="B155" s="4"/>
      <c r="C155" s="4"/>
      <c r="D155" s="4"/>
      <c r="E155" s="333"/>
      <c r="F155" s="333"/>
      <c r="G155" s="4"/>
      <c r="H155" s="4"/>
      <c r="I155" s="5"/>
      <c r="J155" s="5"/>
      <c r="K155" s="5"/>
      <c r="L155" s="5"/>
      <c r="M155" s="5"/>
      <c r="N155" s="5"/>
      <c r="O155" s="5"/>
      <c r="P155" s="5"/>
      <c r="Q155" s="5"/>
      <c r="R155" s="5"/>
      <c r="S155" s="5"/>
      <c r="T155" s="5"/>
      <c r="U155" s="5"/>
      <c r="V155" s="5"/>
      <c r="W155" s="5"/>
      <c r="X155" s="5"/>
      <c r="Y155" s="5"/>
      <c r="Z155" s="5"/>
    </row>
    <row r="156" ht="14.25" customHeight="1">
      <c r="A156" s="4"/>
      <c r="B156" s="4"/>
      <c r="C156" s="4"/>
      <c r="D156" s="4"/>
      <c r="E156" s="333"/>
      <c r="F156" s="333"/>
      <c r="G156" s="4"/>
      <c r="H156" s="4"/>
      <c r="I156" s="5"/>
      <c r="J156" s="5"/>
      <c r="K156" s="5"/>
      <c r="L156" s="5"/>
      <c r="M156" s="5"/>
      <c r="N156" s="5"/>
      <c r="O156" s="5"/>
      <c r="P156" s="5"/>
      <c r="Q156" s="5"/>
      <c r="R156" s="5"/>
      <c r="S156" s="5"/>
      <c r="T156" s="5"/>
      <c r="U156" s="5"/>
      <c r="V156" s="5"/>
      <c r="W156" s="5"/>
      <c r="X156" s="5"/>
      <c r="Y156" s="5"/>
      <c r="Z156" s="5"/>
    </row>
    <row r="157" ht="14.25" customHeight="1">
      <c r="A157" s="4"/>
      <c r="B157" s="4"/>
      <c r="C157" s="4"/>
      <c r="D157" s="4"/>
      <c r="E157" s="333"/>
      <c r="F157" s="333"/>
      <c r="G157" s="4"/>
      <c r="H157" s="4"/>
      <c r="I157" s="5"/>
      <c r="J157" s="5"/>
      <c r="K157" s="5"/>
      <c r="L157" s="5"/>
      <c r="M157" s="5"/>
      <c r="N157" s="5"/>
      <c r="O157" s="5"/>
      <c r="P157" s="5"/>
      <c r="Q157" s="5"/>
      <c r="R157" s="5"/>
      <c r="S157" s="5"/>
      <c r="T157" s="5"/>
      <c r="U157" s="5"/>
      <c r="V157" s="5"/>
      <c r="W157" s="5"/>
      <c r="X157" s="5"/>
      <c r="Y157" s="5"/>
      <c r="Z157" s="5"/>
    </row>
    <row r="158" ht="14.25" customHeight="1">
      <c r="A158" s="4"/>
      <c r="B158" s="4"/>
      <c r="C158" s="4"/>
      <c r="D158" s="4"/>
      <c r="E158" s="333"/>
      <c r="F158" s="333"/>
      <c r="G158" s="4"/>
      <c r="H158" s="4"/>
      <c r="I158" s="5"/>
      <c r="J158" s="5"/>
      <c r="K158" s="5"/>
      <c r="L158" s="5"/>
      <c r="M158" s="5"/>
      <c r="N158" s="5"/>
      <c r="O158" s="5"/>
      <c r="P158" s="5"/>
      <c r="Q158" s="5"/>
      <c r="R158" s="5"/>
      <c r="S158" s="5"/>
      <c r="T158" s="5"/>
      <c r="U158" s="5"/>
      <c r="V158" s="5"/>
      <c r="W158" s="5"/>
      <c r="X158" s="5"/>
      <c r="Y158" s="5"/>
      <c r="Z158" s="5"/>
    </row>
    <row r="159" ht="14.25" customHeight="1">
      <c r="A159" s="4"/>
      <c r="B159" s="4"/>
      <c r="C159" s="4"/>
      <c r="D159" s="4"/>
      <c r="E159" s="333"/>
      <c r="F159" s="333"/>
      <c r="G159" s="4"/>
      <c r="H159" s="4"/>
      <c r="I159" s="5"/>
      <c r="J159" s="5"/>
      <c r="K159" s="5"/>
      <c r="L159" s="5"/>
      <c r="M159" s="5"/>
      <c r="N159" s="5"/>
      <c r="O159" s="5"/>
      <c r="P159" s="5"/>
      <c r="Q159" s="5"/>
      <c r="R159" s="5"/>
      <c r="S159" s="5"/>
      <c r="T159" s="5"/>
      <c r="U159" s="5"/>
      <c r="V159" s="5"/>
      <c r="W159" s="5"/>
      <c r="X159" s="5"/>
      <c r="Y159" s="5"/>
      <c r="Z159" s="5"/>
    </row>
    <row r="160" ht="14.25" customHeight="1">
      <c r="A160" s="4"/>
      <c r="B160" s="4"/>
      <c r="C160" s="4"/>
      <c r="D160" s="4"/>
      <c r="E160" s="333"/>
      <c r="F160" s="333"/>
      <c r="G160" s="4"/>
      <c r="H160" s="4"/>
      <c r="I160" s="5"/>
      <c r="J160" s="5"/>
      <c r="K160" s="5"/>
      <c r="L160" s="5"/>
      <c r="M160" s="5"/>
      <c r="N160" s="5"/>
      <c r="O160" s="5"/>
      <c r="P160" s="5"/>
      <c r="Q160" s="5"/>
      <c r="R160" s="5"/>
      <c r="S160" s="5"/>
      <c r="T160" s="5"/>
      <c r="U160" s="5"/>
      <c r="V160" s="5"/>
      <c r="W160" s="5"/>
      <c r="X160" s="5"/>
      <c r="Y160" s="5"/>
      <c r="Z160" s="5"/>
    </row>
    <row r="161" ht="14.25" customHeight="1">
      <c r="A161" s="4"/>
      <c r="B161" s="4"/>
      <c r="C161" s="4"/>
      <c r="D161" s="4"/>
      <c r="E161" s="333"/>
      <c r="F161" s="333"/>
      <c r="G161" s="4"/>
      <c r="H161" s="4"/>
      <c r="I161" s="5"/>
      <c r="J161" s="5"/>
      <c r="K161" s="5"/>
      <c r="L161" s="5"/>
      <c r="M161" s="5"/>
      <c r="N161" s="5"/>
      <c r="O161" s="5"/>
      <c r="P161" s="5"/>
      <c r="Q161" s="5"/>
      <c r="R161" s="5"/>
      <c r="S161" s="5"/>
      <c r="T161" s="5"/>
      <c r="U161" s="5"/>
      <c r="V161" s="5"/>
      <c r="W161" s="5"/>
      <c r="X161" s="5"/>
      <c r="Y161" s="5"/>
      <c r="Z161" s="5"/>
    </row>
    <row r="162" ht="14.25" customHeight="1">
      <c r="A162" s="4"/>
      <c r="B162" s="4"/>
      <c r="C162" s="4"/>
      <c r="D162" s="4"/>
      <c r="E162" s="333"/>
      <c r="F162" s="333"/>
      <c r="G162" s="4"/>
      <c r="H162" s="4"/>
      <c r="I162" s="5"/>
      <c r="J162" s="5"/>
      <c r="K162" s="5"/>
      <c r="L162" s="5"/>
      <c r="M162" s="5"/>
      <c r="N162" s="5"/>
      <c r="O162" s="5"/>
      <c r="P162" s="5"/>
      <c r="Q162" s="5"/>
      <c r="R162" s="5"/>
      <c r="S162" s="5"/>
      <c r="T162" s="5"/>
      <c r="U162" s="5"/>
      <c r="V162" s="5"/>
      <c r="W162" s="5"/>
      <c r="X162" s="5"/>
      <c r="Y162" s="5"/>
      <c r="Z162" s="5"/>
    </row>
    <row r="163" ht="14.25" customHeight="1">
      <c r="A163" s="4"/>
      <c r="B163" s="4"/>
      <c r="C163" s="4"/>
      <c r="D163" s="4"/>
      <c r="E163" s="333"/>
      <c r="F163" s="333"/>
      <c r="G163" s="4"/>
      <c r="H163" s="4"/>
      <c r="I163" s="5"/>
      <c r="J163" s="5"/>
      <c r="K163" s="5"/>
      <c r="L163" s="5"/>
      <c r="M163" s="5"/>
      <c r="N163" s="5"/>
      <c r="O163" s="5"/>
      <c r="P163" s="5"/>
      <c r="Q163" s="5"/>
      <c r="R163" s="5"/>
      <c r="S163" s="5"/>
      <c r="T163" s="5"/>
      <c r="U163" s="5"/>
      <c r="V163" s="5"/>
      <c r="W163" s="5"/>
      <c r="X163" s="5"/>
      <c r="Y163" s="5"/>
      <c r="Z163" s="5"/>
    </row>
    <row r="164" ht="14.25" customHeight="1">
      <c r="A164" s="4"/>
      <c r="B164" s="4"/>
      <c r="C164" s="4"/>
      <c r="D164" s="4"/>
      <c r="E164" s="333"/>
      <c r="F164" s="333"/>
      <c r="G164" s="4"/>
      <c r="H164" s="4"/>
      <c r="I164" s="5"/>
      <c r="J164" s="5"/>
      <c r="K164" s="5"/>
      <c r="L164" s="5"/>
      <c r="M164" s="5"/>
      <c r="N164" s="5"/>
      <c r="O164" s="5"/>
      <c r="P164" s="5"/>
      <c r="Q164" s="5"/>
      <c r="R164" s="5"/>
      <c r="S164" s="5"/>
      <c r="T164" s="5"/>
      <c r="U164" s="5"/>
      <c r="V164" s="5"/>
      <c r="W164" s="5"/>
      <c r="X164" s="5"/>
      <c r="Y164" s="5"/>
      <c r="Z164" s="5"/>
    </row>
    <row r="165" ht="14.25" customHeight="1">
      <c r="A165" s="4"/>
      <c r="B165" s="4"/>
      <c r="C165" s="4"/>
      <c r="D165" s="4"/>
      <c r="E165" s="333"/>
      <c r="F165" s="333"/>
      <c r="G165" s="4"/>
      <c r="H165" s="4"/>
      <c r="I165" s="5"/>
      <c r="J165" s="5"/>
      <c r="K165" s="5"/>
      <c r="L165" s="5"/>
      <c r="M165" s="5"/>
      <c r="N165" s="5"/>
      <c r="O165" s="5"/>
      <c r="P165" s="5"/>
      <c r="Q165" s="5"/>
      <c r="R165" s="5"/>
      <c r="S165" s="5"/>
      <c r="T165" s="5"/>
      <c r="U165" s="5"/>
      <c r="V165" s="5"/>
      <c r="W165" s="5"/>
      <c r="X165" s="5"/>
      <c r="Y165" s="5"/>
      <c r="Z165" s="5"/>
    </row>
    <row r="166" ht="14.25" customHeight="1">
      <c r="A166" s="4"/>
      <c r="B166" s="4"/>
      <c r="C166" s="4"/>
      <c r="D166" s="4"/>
      <c r="E166" s="333"/>
      <c r="F166" s="333"/>
      <c r="G166" s="4"/>
      <c r="H166" s="4"/>
      <c r="I166" s="5"/>
      <c r="J166" s="5"/>
      <c r="K166" s="5"/>
      <c r="L166" s="5"/>
      <c r="M166" s="5"/>
      <c r="N166" s="5"/>
      <c r="O166" s="5"/>
      <c r="P166" s="5"/>
      <c r="Q166" s="5"/>
      <c r="R166" s="5"/>
      <c r="S166" s="5"/>
      <c r="T166" s="5"/>
      <c r="U166" s="5"/>
      <c r="V166" s="5"/>
      <c r="W166" s="5"/>
      <c r="X166" s="5"/>
      <c r="Y166" s="5"/>
      <c r="Z166" s="5"/>
    </row>
    <row r="167" ht="14.25" customHeight="1">
      <c r="A167" s="4"/>
      <c r="B167" s="4"/>
      <c r="C167" s="4"/>
      <c r="D167" s="4"/>
      <c r="E167" s="333"/>
      <c r="F167" s="333"/>
      <c r="G167" s="4"/>
      <c r="H167" s="4"/>
      <c r="I167" s="5"/>
      <c r="J167" s="5"/>
      <c r="K167" s="5"/>
      <c r="L167" s="5"/>
      <c r="M167" s="5"/>
      <c r="N167" s="5"/>
      <c r="O167" s="5"/>
      <c r="P167" s="5"/>
      <c r="Q167" s="5"/>
      <c r="R167" s="5"/>
      <c r="S167" s="5"/>
      <c r="T167" s="5"/>
      <c r="U167" s="5"/>
      <c r="V167" s="5"/>
      <c r="W167" s="5"/>
      <c r="X167" s="5"/>
      <c r="Y167" s="5"/>
      <c r="Z167" s="5"/>
    </row>
    <row r="168" ht="14.25" customHeight="1">
      <c r="A168" s="4"/>
      <c r="B168" s="4"/>
      <c r="C168" s="4"/>
      <c r="D168" s="4"/>
      <c r="E168" s="333"/>
      <c r="F168" s="333"/>
      <c r="G168" s="4"/>
      <c r="H168" s="4"/>
      <c r="I168" s="5"/>
      <c r="J168" s="5"/>
      <c r="K168" s="5"/>
      <c r="L168" s="5"/>
      <c r="M168" s="5"/>
      <c r="N168" s="5"/>
      <c r="O168" s="5"/>
      <c r="P168" s="5"/>
      <c r="Q168" s="5"/>
      <c r="R168" s="5"/>
      <c r="S168" s="5"/>
      <c r="T168" s="5"/>
      <c r="U168" s="5"/>
      <c r="V168" s="5"/>
      <c r="W168" s="5"/>
      <c r="X168" s="5"/>
      <c r="Y168" s="5"/>
      <c r="Z168" s="5"/>
    </row>
    <row r="169" ht="14.25" customHeight="1">
      <c r="A169" s="4"/>
      <c r="B169" s="4"/>
      <c r="C169" s="4"/>
      <c r="D169" s="4"/>
      <c r="E169" s="333"/>
      <c r="F169" s="333"/>
      <c r="G169" s="4"/>
      <c r="H169" s="4"/>
      <c r="I169" s="5"/>
      <c r="J169" s="5"/>
      <c r="K169" s="5"/>
      <c r="L169" s="5"/>
      <c r="M169" s="5"/>
      <c r="N169" s="5"/>
      <c r="O169" s="5"/>
      <c r="P169" s="5"/>
      <c r="Q169" s="5"/>
      <c r="R169" s="5"/>
      <c r="S169" s="5"/>
      <c r="T169" s="5"/>
      <c r="U169" s="5"/>
      <c r="V169" s="5"/>
      <c r="W169" s="5"/>
      <c r="X169" s="5"/>
      <c r="Y169" s="5"/>
      <c r="Z169" s="5"/>
    </row>
    <row r="170" ht="14.25" customHeight="1">
      <c r="A170" s="4"/>
      <c r="B170" s="4"/>
      <c r="C170" s="4"/>
      <c r="D170" s="4"/>
      <c r="E170" s="333"/>
      <c r="F170" s="333"/>
      <c r="G170" s="4"/>
      <c r="H170" s="4"/>
      <c r="I170" s="5"/>
      <c r="J170" s="5"/>
      <c r="K170" s="5"/>
      <c r="L170" s="5"/>
      <c r="M170" s="5"/>
      <c r="N170" s="5"/>
      <c r="O170" s="5"/>
      <c r="P170" s="5"/>
      <c r="Q170" s="5"/>
      <c r="R170" s="5"/>
      <c r="S170" s="5"/>
      <c r="T170" s="5"/>
      <c r="U170" s="5"/>
      <c r="V170" s="5"/>
      <c r="W170" s="5"/>
      <c r="X170" s="5"/>
      <c r="Y170" s="5"/>
      <c r="Z170" s="5"/>
    </row>
    <row r="171" ht="14.25" customHeight="1">
      <c r="A171" s="4"/>
      <c r="B171" s="4"/>
      <c r="C171" s="4"/>
      <c r="D171" s="4"/>
      <c r="E171" s="333"/>
      <c r="F171" s="333"/>
      <c r="G171" s="4"/>
      <c r="H171" s="4"/>
      <c r="I171" s="5"/>
      <c r="J171" s="5"/>
      <c r="K171" s="5"/>
      <c r="L171" s="5"/>
      <c r="M171" s="5"/>
      <c r="N171" s="5"/>
      <c r="O171" s="5"/>
      <c r="P171" s="5"/>
      <c r="Q171" s="5"/>
      <c r="R171" s="5"/>
      <c r="S171" s="5"/>
      <c r="T171" s="5"/>
      <c r="U171" s="5"/>
      <c r="V171" s="5"/>
      <c r="W171" s="5"/>
      <c r="X171" s="5"/>
      <c r="Y171" s="5"/>
      <c r="Z171" s="5"/>
    </row>
    <row r="172" ht="14.25" customHeight="1">
      <c r="A172" s="4"/>
      <c r="B172" s="4"/>
      <c r="C172" s="4"/>
      <c r="D172" s="4"/>
      <c r="E172" s="333"/>
      <c r="F172" s="333"/>
      <c r="G172" s="4"/>
      <c r="H172" s="4"/>
      <c r="I172" s="5"/>
      <c r="J172" s="5"/>
      <c r="K172" s="5"/>
      <c r="L172" s="5"/>
      <c r="M172" s="5"/>
      <c r="N172" s="5"/>
      <c r="O172" s="5"/>
      <c r="P172" s="5"/>
      <c r="Q172" s="5"/>
      <c r="R172" s="5"/>
      <c r="S172" s="5"/>
      <c r="T172" s="5"/>
      <c r="U172" s="5"/>
      <c r="V172" s="5"/>
      <c r="W172" s="5"/>
      <c r="X172" s="5"/>
      <c r="Y172" s="5"/>
      <c r="Z172" s="5"/>
    </row>
    <row r="173" ht="14.25" customHeight="1">
      <c r="A173" s="4"/>
      <c r="B173" s="4"/>
      <c r="C173" s="4"/>
      <c r="D173" s="4"/>
      <c r="E173" s="333"/>
      <c r="F173" s="333"/>
      <c r="G173" s="4"/>
      <c r="H173" s="4"/>
      <c r="I173" s="5"/>
      <c r="J173" s="5"/>
      <c r="K173" s="5"/>
      <c r="L173" s="5"/>
      <c r="M173" s="5"/>
      <c r="N173" s="5"/>
      <c r="O173" s="5"/>
      <c r="P173" s="5"/>
      <c r="Q173" s="5"/>
      <c r="R173" s="5"/>
      <c r="S173" s="5"/>
      <c r="T173" s="5"/>
      <c r="U173" s="5"/>
      <c r="V173" s="5"/>
      <c r="W173" s="5"/>
      <c r="X173" s="5"/>
      <c r="Y173" s="5"/>
      <c r="Z173" s="5"/>
    </row>
    <row r="174" ht="14.25" customHeight="1">
      <c r="A174" s="4"/>
      <c r="B174" s="4"/>
      <c r="C174" s="4"/>
      <c r="D174" s="4"/>
      <c r="E174" s="333"/>
      <c r="F174" s="333"/>
      <c r="G174" s="4"/>
      <c r="H174" s="4"/>
      <c r="I174" s="5"/>
      <c r="J174" s="5"/>
      <c r="K174" s="5"/>
      <c r="L174" s="5"/>
      <c r="M174" s="5"/>
      <c r="N174" s="5"/>
      <c r="O174" s="5"/>
      <c r="P174" s="5"/>
      <c r="Q174" s="5"/>
      <c r="R174" s="5"/>
      <c r="S174" s="5"/>
      <c r="T174" s="5"/>
      <c r="U174" s="5"/>
      <c r="V174" s="5"/>
      <c r="W174" s="5"/>
      <c r="X174" s="5"/>
      <c r="Y174" s="5"/>
      <c r="Z174" s="5"/>
    </row>
    <row r="175" ht="14.25" customHeight="1">
      <c r="A175" s="4"/>
      <c r="B175" s="4"/>
      <c r="C175" s="4"/>
      <c r="D175" s="4"/>
      <c r="E175" s="333"/>
      <c r="F175" s="333"/>
      <c r="G175" s="4"/>
      <c r="H175" s="4"/>
      <c r="I175" s="5"/>
      <c r="J175" s="5"/>
      <c r="K175" s="5"/>
      <c r="L175" s="5"/>
      <c r="M175" s="5"/>
      <c r="N175" s="5"/>
      <c r="O175" s="5"/>
      <c r="P175" s="5"/>
      <c r="Q175" s="5"/>
      <c r="R175" s="5"/>
      <c r="S175" s="5"/>
      <c r="T175" s="5"/>
      <c r="U175" s="5"/>
      <c r="V175" s="5"/>
      <c r="W175" s="5"/>
      <c r="X175" s="5"/>
      <c r="Y175" s="5"/>
      <c r="Z175" s="5"/>
    </row>
    <row r="176" ht="14.25" customHeight="1">
      <c r="A176" s="4"/>
      <c r="B176" s="4"/>
      <c r="C176" s="4"/>
      <c r="D176" s="4"/>
      <c r="E176" s="333"/>
      <c r="F176" s="333"/>
      <c r="G176" s="4"/>
      <c r="H176" s="4"/>
      <c r="I176" s="5"/>
      <c r="J176" s="5"/>
      <c r="K176" s="5"/>
      <c r="L176" s="5"/>
      <c r="M176" s="5"/>
      <c r="N176" s="5"/>
      <c r="O176" s="5"/>
      <c r="P176" s="5"/>
      <c r="Q176" s="5"/>
      <c r="R176" s="5"/>
      <c r="S176" s="5"/>
      <c r="T176" s="5"/>
      <c r="U176" s="5"/>
      <c r="V176" s="5"/>
      <c r="W176" s="5"/>
      <c r="X176" s="5"/>
      <c r="Y176" s="5"/>
      <c r="Z176" s="5"/>
    </row>
    <row r="177" ht="14.25" customHeight="1">
      <c r="A177" s="4"/>
      <c r="B177" s="4"/>
      <c r="C177" s="4"/>
      <c r="D177" s="4"/>
      <c r="E177" s="333"/>
      <c r="F177" s="333"/>
      <c r="G177" s="4"/>
      <c r="H177" s="4"/>
      <c r="I177" s="5"/>
      <c r="J177" s="5"/>
      <c r="K177" s="5"/>
      <c r="L177" s="5"/>
      <c r="M177" s="5"/>
      <c r="N177" s="5"/>
      <c r="O177" s="5"/>
      <c r="P177" s="5"/>
      <c r="Q177" s="5"/>
      <c r="R177" s="5"/>
      <c r="S177" s="5"/>
      <c r="T177" s="5"/>
      <c r="U177" s="5"/>
      <c r="V177" s="5"/>
      <c r="W177" s="5"/>
      <c r="X177" s="5"/>
      <c r="Y177" s="5"/>
      <c r="Z177" s="5"/>
    </row>
    <row r="178" ht="14.25" customHeight="1">
      <c r="A178" s="4"/>
      <c r="B178" s="4"/>
      <c r="C178" s="4"/>
      <c r="D178" s="4"/>
      <c r="E178" s="333"/>
      <c r="F178" s="333"/>
      <c r="G178" s="4"/>
      <c r="H178" s="4"/>
      <c r="I178" s="5"/>
      <c r="J178" s="5"/>
      <c r="K178" s="5"/>
      <c r="L178" s="5"/>
      <c r="M178" s="5"/>
      <c r="N178" s="5"/>
      <c r="O178" s="5"/>
      <c r="P178" s="5"/>
      <c r="Q178" s="5"/>
      <c r="R178" s="5"/>
      <c r="S178" s="5"/>
      <c r="T178" s="5"/>
      <c r="U178" s="5"/>
      <c r="V178" s="5"/>
      <c r="W178" s="5"/>
      <c r="X178" s="5"/>
      <c r="Y178" s="5"/>
      <c r="Z178" s="5"/>
    </row>
    <row r="179" ht="14.25" customHeight="1">
      <c r="A179" s="4"/>
      <c r="B179" s="4"/>
      <c r="C179" s="4"/>
      <c r="D179" s="4"/>
      <c r="E179" s="333"/>
      <c r="F179" s="333"/>
      <c r="G179" s="4"/>
      <c r="H179" s="4"/>
      <c r="I179" s="5"/>
      <c r="J179" s="5"/>
      <c r="K179" s="5"/>
      <c r="L179" s="5"/>
      <c r="M179" s="5"/>
      <c r="N179" s="5"/>
      <c r="O179" s="5"/>
      <c r="P179" s="5"/>
      <c r="Q179" s="5"/>
      <c r="R179" s="5"/>
      <c r="S179" s="5"/>
      <c r="T179" s="5"/>
      <c r="U179" s="5"/>
      <c r="V179" s="5"/>
      <c r="W179" s="5"/>
      <c r="X179" s="5"/>
      <c r="Y179" s="5"/>
      <c r="Z179" s="5"/>
    </row>
    <row r="180" ht="14.25" customHeight="1">
      <c r="A180" s="4"/>
      <c r="B180" s="4"/>
      <c r="C180" s="4"/>
      <c r="D180" s="4"/>
      <c r="E180" s="333"/>
      <c r="F180" s="333"/>
      <c r="G180" s="4"/>
      <c r="H180" s="4"/>
      <c r="I180" s="5"/>
      <c r="J180" s="5"/>
      <c r="K180" s="5"/>
      <c r="L180" s="5"/>
      <c r="M180" s="5"/>
      <c r="N180" s="5"/>
      <c r="O180" s="5"/>
      <c r="P180" s="5"/>
      <c r="Q180" s="5"/>
      <c r="R180" s="5"/>
      <c r="S180" s="5"/>
      <c r="T180" s="5"/>
      <c r="U180" s="5"/>
      <c r="V180" s="5"/>
      <c r="W180" s="5"/>
      <c r="X180" s="5"/>
      <c r="Y180" s="5"/>
      <c r="Z180" s="5"/>
    </row>
    <row r="181" ht="14.25" customHeight="1">
      <c r="A181" s="4"/>
      <c r="B181" s="4"/>
      <c r="C181" s="4"/>
      <c r="D181" s="4"/>
      <c r="E181" s="333"/>
      <c r="F181" s="333"/>
      <c r="G181" s="4"/>
      <c r="H181" s="4"/>
      <c r="I181" s="5"/>
      <c r="J181" s="5"/>
      <c r="K181" s="5"/>
      <c r="L181" s="5"/>
      <c r="M181" s="5"/>
      <c r="N181" s="5"/>
      <c r="O181" s="5"/>
      <c r="P181" s="5"/>
      <c r="Q181" s="5"/>
      <c r="R181" s="5"/>
      <c r="S181" s="5"/>
      <c r="T181" s="5"/>
      <c r="U181" s="5"/>
      <c r="V181" s="5"/>
      <c r="W181" s="5"/>
      <c r="X181" s="5"/>
      <c r="Y181" s="5"/>
      <c r="Z181" s="5"/>
    </row>
    <row r="182" ht="14.25" customHeight="1">
      <c r="A182" s="4"/>
      <c r="B182" s="4"/>
      <c r="C182" s="4"/>
      <c r="D182" s="4"/>
      <c r="E182" s="333"/>
      <c r="F182" s="333"/>
      <c r="G182" s="4"/>
      <c r="H182" s="4"/>
      <c r="I182" s="5"/>
      <c r="J182" s="5"/>
      <c r="K182" s="5"/>
      <c r="L182" s="5"/>
      <c r="M182" s="5"/>
      <c r="N182" s="5"/>
      <c r="O182" s="5"/>
      <c r="P182" s="5"/>
      <c r="Q182" s="5"/>
      <c r="R182" s="5"/>
      <c r="S182" s="5"/>
      <c r="T182" s="5"/>
      <c r="U182" s="5"/>
      <c r="V182" s="5"/>
      <c r="W182" s="5"/>
      <c r="X182" s="5"/>
      <c r="Y182" s="5"/>
      <c r="Z182" s="5"/>
    </row>
    <row r="183" ht="14.25" customHeight="1">
      <c r="A183" s="4"/>
      <c r="B183" s="4"/>
      <c r="C183" s="4"/>
      <c r="D183" s="4"/>
      <c r="E183" s="333"/>
      <c r="F183" s="333"/>
      <c r="G183" s="4"/>
      <c r="H183" s="4"/>
      <c r="I183" s="5"/>
      <c r="J183" s="5"/>
      <c r="K183" s="5"/>
      <c r="L183" s="5"/>
      <c r="M183" s="5"/>
      <c r="N183" s="5"/>
      <c r="O183" s="5"/>
      <c r="P183" s="5"/>
      <c r="Q183" s="5"/>
      <c r="R183" s="5"/>
      <c r="S183" s="5"/>
      <c r="T183" s="5"/>
      <c r="U183" s="5"/>
      <c r="V183" s="5"/>
      <c r="W183" s="5"/>
      <c r="X183" s="5"/>
      <c r="Y183" s="5"/>
      <c r="Z183" s="5"/>
    </row>
    <row r="184" ht="14.25" customHeight="1">
      <c r="A184" s="4"/>
      <c r="B184" s="4"/>
      <c r="C184" s="4"/>
      <c r="D184" s="4"/>
      <c r="E184" s="333"/>
      <c r="F184" s="333"/>
      <c r="G184" s="4"/>
      <c r="H184" s="4"/>
      <c r="I184" s="5"/>
      <c r="J184" s="5"/>
      <c r="K184" s="5"/>
      <c r="L184" s="5"/>
      <c r="M184" s="5"/>
      <c r="N184" s="5"/>
      <c r="O184" s="5"/>
      <c r="P184" s="5"/>
      <c r="Q184" s="5"/>
      <c r="R184" s="5"/>
      <c r="S184" s="5"/>
      <c r="T184" s="5"/>
      <c r="U184" s="5"/>
      <c r="V184" s="5"/>
      <c r="W184" s="5"/>
      <c r="X184" s="5"/>
      <c r="Y184" s="5"/>
      <c r="Z184" s="5"/>
    </row>
    <row r="185" ht="14.25" customHeight="1">
      <c r="A185" s="4"/>
      <c r="B185" s="4"/>
      <c r="C185" s="4"/>
      <c r="D185" s="4"/>
      <c r="E185" s="333"/>
      <c r="F185" s="333"/>
      <c r="G185" s="4"/>
      <c r="H185" s="4"/>
      <c r="I185" s="5"/>
      <c r="J185" s="5"/>
      <c r="K185" s="5"/>
      <c r="L185" s="5"/>
      <c r="M185" s="5"/>
      <c r="N185" s="5"/>
      <c r="O185" s="5"/>
      <c r="P185" s="5"/>
      <c r="Q185" s="5"/>
      <c r="R185" s="5"/>
      <c r="S185" s="5"/>
      <c r="T185" s="5"/>
      <c r="U185" s="5"/>
      <c r="V185" s="5"/>
      <c r="W185" s="5"/>
      <c r="X185" s="5"/>
      <c r="Y185" s="5"/>
      <c r="Z185" s="5"/>
    </row>
    <row r="186" ht="14.25" customHeight="1">
      <c r="A186" s="4"/>
      <c r="B186" s="4"/>
      <c r="C186" s="4"/>
      <c r="D186" s="4"/>
      <c r="E186" s="333"/>
      <c r="F186" s="333"/>
      <c r="G186" s="4"/>
      <c r="H186" s="4"/>
      <c r="I186" s="5"/>
      <c r="J186" s="5"/>
      <c r="K186" s="5"/>
      <c r="L186" s="5"/>
      <c r="M186" s="5"/>
      <c r="N186" s="5"/>
      <c r="O186" s="5"/>
      <c r="P186" s="5"/>
      <c r="Q186" s="5"/>
      <c r="R186" s="5"/>
      <c r="S186" s="5"/>
      <c r="T186" s="5"/>
      <c r="U186" s="5"/>
      <c r="V186" s="5"/>
      <c r="W186" s="5"/>
      <c r="X186" s="5"/>
      <c r="Y186" s="5"/>
      <c r="Z186" s="5"/>
    </row>
    <row r="187" ht="14.25" customHeight="1">
      <c r="A187" s="4"/>
      <c r="B187" s="4"/>
      <c r="C187" s="4"/>
      <c r="D187" s="4"/>
      <c r="E187" s="333"/>
      <c r="F187" s="333"/>
      <c r="G187" s="4"/>
      <c r="H187" s="4"/>
      <c r="I187" s="5"/>
      <c r="J187" s="5"/>
      <c r="K187" s="5"/>
      <c r="L187" s="5"/>
      <c r="M187" s="5"/>
      <c r="N187" s="5"/>
      <c r="O187" s="5"/>
      <c r="P187" s="5"/>
      <c r="Q187" s="5"/>
      <c r="R187" s="5"/>
      <c r="S187" s="5"/>
      <c r="T187" s="5"/>
      <c r="U187" s="5"/>
      <c r="V187" s="5"/>
      <c r="W187" s="5"/>
      <c r="X187" s="5"/>
      <c r="Y187" s="5"/>
      <c r="Z187" s="5"/>
    </row>
    <row r="188" ht="14.25" customHeight="1">
      <c r="A188" s="4"/>
      <c r="B188" s="4"/>
      <c r="C188" s="4"/>
      <c r="D188" s="4"/>
      <c r="E188" s="333"/>
      <c r="F188" s="333"/>
      <c r="G188" s="4"/>
      <c r="H188" s="4"/>
      <c r="I188" s="5"/>
      <c r="J188" s="5"/>
      <c r="K188" s="5"/>
      <c r="L188" s="5"/>
      <c r="M188" s="5"/>
      <c r="N188" s="5"/>
      <c r="O188" s="5"/>
      <c r="P188" s="5"/>
      <c r="Q188" s="5"/>
      <c r="R188" s="5"/>
      <c r="S188" s="5"/>
      <c r="T188" s="5"/>
      <c r="U188" s="5"/>
      <c r="V188" s="5"/>
      <c r="W188" s="5"/>
      <c r="X188" s="5"/>
      <c r="Y188" s="5"/>
      <c r="Z188" s="5"/>
    </row>
    <row r="189" ht="14.25" customHeight="1">
      <c r="A189" s="4"/>
      <c r="B189" s="4"/>
      <c r="C189" s="4"/>
      <c r="D189" s="4"/>
      <c r="E189" s="333"/>
      <c r="F189" s="333"/>
      <c r="G189" s="4"/>
      <c r="H189" s="4"/>
      <c r="I189" s="5"/>
      <c r="J189" s="5"/>
      <c r="K189" s="5"/>
      <c r="L189" s="5"/>
      <c r="M189" s="5"/>
      <c r="N189" s="5"/>
      <c r="O189" s="5"/>
      <c r="P189" s="5"/>
      <c r="Q189" s="5"/>
      <c r="R189" s="5"/>
      <c r="S189" s="5"/>
      <c r="T189" s="5"/>
      <c r="U189" s="5"/>
      <c r="V189" s="5"/>
      <c r="W189" s="5"/>
      <c r="X189" s="5"/>
      <c r="Y189" s="5"/>
      <c r="Z189" s="5"/>
    </row>
    <row r="190" ht="14.25" customHeight="1">
      <c r="A190" s="4"/>
      <c r="B190" s="4"/>
      <c r="C190" s="4"/>
      <c r="D190" s="4"/>
      <c r="E190" s="333"/>
      <c r="F190" s="333"/>
      <c r="G190" s="4"/>
      <c r="H190" s="4"/>
      <c r="I190" s="5"/>
      <c r="J190" s="5"/>
      <c r="K190" s="5"/>
      <c r="L190" s="5"/>
      <c r="M190" s="5"/>
      <c r="N190" s="5"/>
      <c r="O190" s="5"/>
      <c r="P190" s="5"/>
      <c r="Q190" s="5"/>
      <c r="R190" s="5"/>
      <c r="S190" s="5"/>
      <c r="T190" s="5"/>
      <c r="U190" s="5"/>
      <c r="V190" s="5"/>
      <c r="W190" s="5"/>
      <c r="X190" s="5"/>
      <c r="Y190" s="5"/>
      <c r="Z190" s="5"/>
    </row>
    <row r="191" ht="14.25" customHeight="1">
      <c r="A191" s="4"/>
      <c r="B191" s="4"/>
      <c r="C191" s="4"/>
      <c r="D191" s="4"/>
      <c r="E191" s="333"/>
      <c r="F191" s="333"/>
      <c r="G191" s="4"/>
      <c r="H191" s="4"/>
      <c r="I191" s="5"/>
      <c r="J191" s="5"/>
      <c r="K191" s="5"/>
      <c r="L191" s="5"/>
      <c r="M191" s="5"/>
      <c r="N191" s="5"/>
      <c r="O191" s="5"/>
      <c r="P191" s="5"/>
      <c r="Q191" s="5"/>
      <c r="R191" s="5"/>
      <c r="S191" s="5"/>
      <c r="T191" s="5"/>
      <c r="U191" s="5"/>
      <c r="V191" s="5"/>
      <c r="W191" s="5"/>
      <c r="X191" s="5"/>
      <c r="Y191" s="5"/>
      <c r="Z191" s="5"/>
    </row>
    <row r="192" ht="14.25" customHeight="1">
      <c r="A192" s="4"/>
      <c r="B192" s="4"/>
      <c r="C192" s="4"/>
      <c r="D192" s="4"/>
      <c r="E192" s="333"/>
      <c r="F192" s="333"/>
      <c r="G192" s="4"/>
      <c r="H192" s="4"/>
      <c r="I192" s="5"/>
      <c r="J192" s="5"/>
      <c r="K192" s="5"/>
      <c r="L192" s="5"/>
      <c r="M192" s="5"/>
      <c r="N192" s="5"/>
      <c r="O192" s="5"/>
      <c r="P192" s="5"/>
      <c r="Q192" s="5"/>
      <c r="R192" s="5"/>
      <c r="S192" s="5"/>
      <c r="T192" s="5"/>
      <c r="U192" s="5"/>
      <c r="V192" s="5"/>
      <c r="W192" s="5"/>
      <c r="X192" s="5"/>
      <c r="Y192" s="5"/>
      <c r="Z192" s="5"/>
    </row>
    <row r="193" ht="14.25" customHeight="1">
      <c r="A193" s="4"/>
      <c r="B193" s="4"/>
      <c r="C193" s="4"/>
      <c r="D193" s="4"/>
      <c r="E193" s="333"/>
      <c r="F193" s="333"/>
      <c r="G193" s="4"/>
      <c r="H193" s="4"/>
      <c r="I193" s="5"/>
      <c r="J193" s="5"/>
      <c r="K193" s="5"/>
      <c r="L193" s="5"/>
      <c r="M193" s="5"/>
      <c r="N193" s="5"/>
      <c r="O193" s="5"/>
      <c r="P193" s="5"/>
      <c r="Q193" s="5"/>
      <c r="R193" s="5"/>
      <c r="S193" s="5"/>
      <c r="T193" s="5"/>
      <c r="U193" s="5"/>
      <c r="V193" s="5"/>
      <c r="W193" s="5"/>
      <c r="X193" s="5"/>
      <c r="Y193" s="5"/>
      <c r="Z193" s="5"/>
    </row>
    <row r="194" ht="14.25" customHeight="1">
      <c r="A194" s="4"/>
      <c r="B194" s="4"/>
      <c r="C194" s="4"/>
      <c r="D194" s="4"/>
      <c r="E194" s="333"/>
      <c r="F194" s="333"/>
      <c r="G194" s="4"/>
      <c r="H194" s="4"/>
      <c r="I194" s="5"/>
      <c r="J194" s="5"/>
      <c r="K194" s="5"/>
      <c r="L194" s="5"/>
      <c r="M194" s="5"/>
      <c r="N194" s="5"/>
      <c r="O194" s="5"/>
      <c r="P194" s="5"/>
      <c r="Q194" s="5"/>
      <c r="R194" s="5"/>
      <c r="S194" s="5"/>
      <c r="T194" s="5"/>
      <c r="U194" s="5"/>
      <c r="V194" s="5"/>
      <c r="W194" s="5"/>
      <c r="X194" s="5"/>
      <c r="Y194" s="5"/>
      <c r="Z194" s="5"/>
    </row>
    <row r="195" ht="14.25" customHeight="1">
      <c r="A195" s="4"/>
      <c r="B195" s="4"/>
      <c r="C195" s="4"/>
      <c r="D195" s="4"/>
      <c r="E195" s="333"/>
      <c r="F195" s="333"/>
      <c r="G195" s="4"/>
      <c r="H195" s="4"/>
      <c r="I195" s="5"/>
      <c r="J195" s="5"/>
      <c r="K195" s="5"/>
      <c r="L195" s="5"/>
      <c r="M195" s="5"/>
      <c r="N195" s="5"/>
      <c r="O195" s="5"/>
      <c r="P195" s="5"/>
      <c r="Q195" s="5"/>
      <c r="R195" s="5"/>
      <c r="S195" s="5"/>
      <c r="T195" s="5"/>
      <c r="U195" s="5"/>
      <c r="V195" s="5"/>
      <c r="W195" s="5"/>
      <c r="X195" s="5"/>
      <c r="Y195" s="5"/>
      <c r="Z195" s="5"/>
    </row>
    <row r="196" ht="14.25" customHeight="1">
      <c r="A196" s="4"/>
      <c r="B196" s="4"/>
      <c r="C196" s="4"/>
      <c r="D196" s="4"/>
      <c r="E196" s="333"/>
      <c r="F196" s="333"/>
      <c r="G196" s="4"/>
      <c r="H196" s="4"/>
      <c r="I196" s="5"/>
      <c r="J196" s="5"/>
      <c r="K196" s="5"/>
      <c r="L196" s="5"/>
      <c r="M196" s="5"/>
      <c r="N196" s="5"/>
      <c r="O196" s="5"/>
      <c r="P196" s="5"/>
      <c r="Q196" s="5"/>
      <c r="R196" s="5"/>
      <c r="S196" s="5"/>
      <c r="T196" s="5"/>
      <c r="U196" s="5"/>
      <c r="V196" s="5"/>
      <c r="W196" s="5"/>
      <c r="X196" s="5"/>
      <c r="Y196" s="5"/>
      <c r="Z196" s="5"/>
    </row>
    <row r="197" ht="14.25" customHeight="1">
      <c r="A197" s="4"/>
      <c r="B197" s="4"/>
      <c r="C197" s="4"/>
      <c r="D197" s="4"/>
      <c r="E197" s="333"/>
      <c r="F197" s="333"/>
      <c r="G197" s="4"/>
      <c r="H197" s="4"/>
      <c r="I197" s="5"/>
      <c r="J197" s="5"/>
      <c r="K197" s="5"/>
      <c r="L197" s="5"/>
      <c r="M197" s="5"/>
      <c r="N197" s="5"/>
      <c r="O197" s="5"/>
      <c r="P197" s="5"/>
      <c r="Q197" s="5"/>
      <c r="R197" s="5"/>
      <c r="S197" s="5"/>
      <c r="T197" s="5"/>
      <c r="U197" s="5"/>
      <c r="V197" s="5"/>
      <c r="W197" s="5"/>
      <c r="X197" s="5"/>
      <c r="Y197" s="5"/>
      <c r="Z197" s="5"/>
    </row>
    <row r="198" ht="14.25" customHeight="1">
      <c r="A198" s="4"/>
      <c r="B198" s="4"/>
      <c r="C198" s="4"/>
      <c r="D198" s="4"/>
      <c r="E198" s="333"/>
      <c r="F198" s="333"/>
      <c r="G198" s="4"/>
      <c r="H198" s="4"/>
      <c r="I198" s="5"/>
      <c r="J198" s="5"/>
      <c r="K198" s="5"/>
      <c r="L198" s="5"/>
      <c r="M198" s="5"/>
      <c r="N198" s="5"/>
      <c r="O198" s="5"/>
      <c r="P198" s="5"/>
      <c r="Q198" s="5"/>
      <c r="R198" s="5"/>
      <c r="S198" s="5"/>
      <c r="T198" s="5"/>
      <c r="U198" s="5"/>
      <c r="V198" s="5"/>
      <c r="W198" s="5"/>
      <c r="X198" s="5"/>
      <c r="Y198" s="5"/>
      <c r="Z198" s="5"/>
    </row>
    <row r="199" ht="14.25" customHeight="1">
      <c r="A199" s="4"/>
      <c r="B199" s="4"/>
      <c r="C199" s="4"/>
      <c r="D199" s="4"/>
      <c r="E199" s="333"/>
      <c r="F199" s="333"/>
      <c r="G199" s="4"/>
      <c r="H199" s="4"/>
      <c r="I199" s="5"/>
      <c r="J199" s="5"/>
      <c r="K199" s="5"/>
      <c r="L199" s="5"/>
      <c r="M199" s="5"/>
      <c r="N199" s="5"/>
      <c r="O199" s="5"/>
      <c r="P199" s="5"/>
      <c r="Q199" s="5"/>
      <c r="R199" s="5"/>
      <c r="S199" s="5"/>
      <c r="T199" s="5"/>
      <c r="U199" s="5"/>
      <c r="V199" s="5"/>
      <c r="W199" s="5"/>
      <c r="X199" s="5"/>
      <c r="Y199" s="5"/>
      <c r="Z199" s="5"/>
    </row>
    <row r="200" ht="14.25" customHeight="1">
      <c r="A200" s="4"/>
      <c r="B200" s="4"/>
      <c r="C200" s="4"/>
      <c r="D200" s="4"/>
      <c r="E200" s="333"/>
      <c r="F200" s="333"/>
      <c r="G200" s="4"/>
      <c r="H200" s="4"/>
      <c r="I200" s="5"/>
      <c r="J200" s="5"/>
      <c r="K200" s="5"/>
      <c r="L200" s="5"/>
      <c r="M200" s="5"/>
      <c r="N200" s="5"/>
      <c r="O200" s="5"/>
      <c r="P200" s="5"/>
      <c r="Q200" s="5"/>
      <c r="R200" s="5"/>
      <c r="S200" s="5"/>
      <c r="T200" s="5"/>
      <c r="U200" s="5"/>
      <c r="V200" s="5"/>
      <c r="W200" s="5"/>
      <c r="X200" s="5"/>
      <c r="Y200" s="5"/>
      <c r="Z200" s="5"/>
    </row>
    <row r="201" ht="14.25" customHeight="1">
      <c r="A201" s="4"/>
      <c r="B201" s="4"/>
      <c r="C201" s="4"/>
      <c r="D201" s="4"/>
      <c r="E201" s="333"/>
      <c r="F201" s="333"/>
      <c r="G201" s="4"/>
      <c r="H201" s="4"/>
      <c r="I201" s="5"/>
      <c r="J201" s="5"/>
      <c r="K201" s="5"/>
      <c r="L201" s="5"/>
      <c r="M201" s="5"/>
      <c r="N201" s="5"/>
      <c r="O201" s="5"/>
      <c r="P201" s="5"/>
      <c r="Q201" s="5"/>
      <c r="R201" s="5"/>
      <c r="S201" s="5"/>
      <c r="T201" s="5"/>
      <c r="U201" s="5"/>
      <c r="V201" s="5"/>
      <c r="W201" s="5"/>
      <c r="X201" s="5"/>
      <c r="Y201" s="5"/>
      <c r="Z201" s="5"/>
    </row>
    <row r="202" ht="14.25" customHeight="1">
      <c r="A202" s="4"/>
      <c r="B202" s="4"/>
      <c r="C202" s="4"/>
      <c r="D202" s="4"/>
      <c r="E202" s="333"/>
      <c r="F202" s="333"/>
      <c r="G202" s="4"/>
      <c r="H202" s="4"/>
      <c r="I202" s="5"/>
      <c r="J202" s="5"/>
      <c r="K202" s="5"/>
      <c r="L202" s="5"/>
      <c r="M202" s="5"/>
      <c r="N202" s="5"/>
      <c r="O202" s="5"/>
      <c r="P202" s="5"/>
      <c r="Q202" s="5"/>
      <c r="R202" s="5"/>
      <c r="S202" s="5"/>
      <c r="T202" s="5"/>
      <c r="U202" s="5"/>
      <c r="V202" s="5"/>
      <c r="W202" s="5"/>
      <c r="X202" s="5"/>
      <c r="Y202" s="5"/>
      <c r="Z202" s="5"/>
    </row>
    <row r="203" ht="14.25" customHeight="1">
      <c r="A203" s="4"/>
      <c r="B203" s="4"/>
      <c r="C203" s="4"/>
      <c r="D203" s="4"/>
      <c r="E203" s="333"/>
      <c r="F203" s="333"/>
      <c r="G203" s="4"/>
      <c r="H203" s="4"/>
      <c r="I203" s="5"/>
      <c r="J203" s="5"/>
      <c r="K203" s="5"/>
      <c r="L203" s="5"/>
      <c r="M203" s="5"/>
      <c r="N203" s="5"/>
      <c r="O203" s="5"/>
      <c r="P203" s="5"/>
      <c r="Q203" s="5"/>
      <c r="R203" s="5"/>
      <c r="S203" s="5"/>
      <c r="T203" s="5"/>
      <c r="U203" s="5"/>
      <c r="V203" s="5"/>
      <c r="W203" s="5"/>
      <c r="X203" s="5"/>
      <c r="Y203" s="5"/>
      <c r="Z203" s="5"/>
    </row>
    <row r="204" ht="14.25" customHeight="1">
      <c r="A204" s="4"/>
      <c r="B204" s="4"/>
      <c r="C204" s="4"/>
      <c r="D204" s="4"/>
      <c r="E204" s="333"/>
      <c r="F204" s="333"/>
      <c r="G204" s="4"/>
      <c r="H204" s="4"/>
      <c r="I204" s="5"/>
      <c r="J204" s="5"/>
      <c r="K204" s="5"/>
      <c r="L204" s="5"/>
      <c r="M204" s="5"/>
      <c r="N204" s="5"/>
      <c r="O204" s="5"/>
      <c r="P204" s="5"/>
      <c r="Q204" s="5"/>
      <c r="R204" s="5"/>
      <c r="S204" s="5"/>
      <c r="T204" s="5"/>
      <c r="U204" s="5"/>
      <c r="V204" s="5"/>
      <c r="W204" s="5"/>
      <c r="X204" s="5"/>
      <c r="Y204" s="5"/>
      <c r="Z204" s="5"/>
    </row>
    <row r="205" ht="14.25" customHeight="1">
      <c r="A205" s="4"/>
      <c r="B205" s="4"/>
      <c r="C205" s="4"/>
      <c r="D205" s="4"/>
      <c r="E205" s="333"/>
      <c r="F205" s="333"/>
      <c r="G205" s="4"/>
      <c r="H205" s="4"/>
      <c r="I205" s="5"/>
      <c r="J205" s="5"/>
      <c r="K205" s="5"/>
      <c r="L205" s="5"/>
      <c r="M205" s="5"/>
      <c r="N205" s="5"/>
      <c r="O205" s="5"/>
      <c r="P205" s="5"/>
      <c r="Q205" s="5"/>
      <c r="R205" s="5"/>
      <c r="S205" s="5"/>
      <c r="T205" s="5"/>
      <c r="U205" s="5"/>
      <c r="V205" s="5"/>
      <c r="W205" s="5"/>
      <c r="X205" s="5"/>
      <c r="Y205" s="5"/>
      <c r="Z205" s="5"/>
    </row>
    <row r="206" ht="14.25" customHeight="1">
      <c r="A206" s="4"/>
      <c r="B206" s="4"/>
      <c r="C206" s="4"/>
      <c r="D206" s="4"/>
      <c r="E206" s="333"/>
      <c r="F206" s="333"/>
      <c r="G206" s="4"/>
      <c r="H206" s="4"/>
      <c r="I206" s="5"/>
      <c r="J206" s="5"/>
      <c r="K206" s="5"/>
      <c r="L206" s="5"/>
      <c r="M206" s="5"/>
      <c r="N206" s="5"/>
      <c r="O206" s="5"/>
      <c r="P206" s="5"/>
      <c r="Q206" s="5"/>
      <c r="R206" s="5"/>
      <c r="S206" s="5"/>
      <c r="T206" s="5"/>
      <c r="U206" s="5"/>
      <c r="V206" s="5"/>
      <c r="W206" s="5"/>
      <c r="X206" s="5"/>
      <c r="Y206" s="5"/>
      <c r="Z206" s="5"/>
    </row>
    <row r="207" ht="14.25" customHeight="1">
      <c r="A207" s="4"/>
      <c r="B207" s="4"/>
      <c r="C207" s="4"/>
      <c r="D207" s="4"/>
      <c r="E207" s="333"/>
      <c r="F207" s="333"/>
      <c r="G207" s="4"/>
      <c r="H207" s="4"/>
      <c r="I207" s="5"/>
      <c r="J207" s="5"/>
      <c r="K207" s="5"/>
      <c r="L207" s="5"/>
      <c r="M207" s="5"/>
      <c r="N207" s="5"/>
      <c r="O207" s="5"/>
      <c r="P207" s="5"/>
      <c r="Q207" s="5"/>
      <c r="R207" s="5"/>
      <c r="S207" s="5"/>
      <c r="T207" s="5"/>
      <c r="U207" s="5"/>
      <c r="V207" s="5"/>
      <c r="W207" s="5"/>
      <c r="X207" s="5"/>
      <c r="Y207" s="5"/>
      <c r="Z207" s="5"/>
    </row>
    <row r="208" ht="14.25" customHeight="1">
      <c r="A208" s="4"/>
      <c r="B208" s="4"/>
      <c r="C208" s="4"/>
      <c r="D208" s="4"/>
      <c r="E208" s="333"/>
      <c r="F208" s="333"/>
      <c r="G208" s="4"/>
      <c r="H208" s="4"/>
      <c r="I208" s="5"/>
      <c r="J208" s="5"/>
      <c r="K208" s="5"/>
      <c r="L208" s="5"/>
      <c r="M208" s="5"/>
      <c r="N208" s="5"/>
      <c r="O208" s="5"/>
      <c r="P208" s="5"/>
      <c r="Q208" s="5"/>
      <c r="R208" s="5"/>
      <c r="S208" s="5"/>
      <c r="T208" s="5"/>
      <c r="U208" s="5"/>
      <c r="V208" s="5"/>
      <c r="W208" s="5"/>
      <c r="X208" s="5"/>
      <c r="Y208" s="5"/>
      <c r="Z208" s="5"/>
    </row>
    <row r="209" ht="14.25" customHeight="1">
      <c r="A209" s="4"/>
      <c r="B209" s="4"/>
      <c r="C209" s="4"/>
      <c r="D209" s="4"/>
      <c r="E209" s="333"/>
      <c r="F209" s="333"/>
      <c r="G209" s="4"/>
      <c r="H209" s="4"/>
      <c r="I209" s="5"/>
      <c r="J209" s="5"/>
      <c r="K209" s="5"/>
      <c r="L209" s="5"/>
      <c r="M209" s="5"/>
      <c r="N209" s="5"/>
      <c r="O209" s="5"/>
      <c r="P209" s="5"/>
      <c r="Q209" s="5"/>
      <c r="R209" s="5"/>
      <c r="S209" s="5"/>
      <c r="T209" s="5"/>
      <c r="U209" s="5"/>
      <c r="V209" s="5"/>
      <c r="W209" s="5"/>
      <c r="X209" s="5"/>
      <c r="Y209" s="5"/>
      <c r="Z209" s="5"/>
    </row>
    <row r="210" ht="14.25" customHeight="1">
      <c r="A210" s="4"/>
      <c r="B210" s="4"/>
      <c r="C210" s="4"/>
      <c r="D210" s="4"/>
      <c r="E210" s="333"/>
      <c r="F210" s="333"/>
      <c r="G210" s="4"/>
      <c r="H210" s="4"/>
      <c r="I210" s="5"/>
      <c r="J210" s="5"/>
      <c r="K210" s="5"/>
      <c r="L210" s="5"/>
      <c r="M210" s="5"/>
      <c r="N210" s="5"/>
      <c r="O210" s="5"/>
      <c r="P210" s="5"/>
      <c r="Q210" s="5"/>
      <c r="R210" s="5"/>
      <c r="S210" s="5"/>
      <c r="T210" s="5"/>
      <c r="U210" s="5"/>
      <c r="V210" s="5"/>
      <c r="W210" s="5"/>
      <c r="X210" s="5"/>
      <c r="Y210" s="5"/>
      <c r="Z210" s="5"/>
    </row>
    <row r="211" ht="14.25" customHeight="1">
      <c r="A211" s="4"/>
      <c r="B211" s="4"/>
      <c r="C211" s="4"/>
      <c r="D211" s="4"/>
      <c r="E211" s="333"/>
      <c r="F211" s="333"/>
      <c r="G211" s="4"/>
      <c r="H211" s="4"/>
      <c r="I211" s="5"/>
      <c r="J211" s="5"/>
      <c r="K211" s="5"/>
      <c r="L211" s="5"/>
      <c r="M211" s="5"/>
      <c r="N211" s="5"/>
      <c r="O211" s="5"/>
      <c r="P211" s="5"/>
      <c r="Q211" s="5"/>
      <c r="R211" s="5"/>
      <c r="S211" s="5"/>
      <c r="T211" s="5"/>
      <c r="U211" s="5"/>
      <c r="V211" s="5"/>
      <c r="W211" s="5"/>
      <c r="X211" s="5"/>
      <c r="Y211" s="5"/>
      <c r="Z211" s="5"/>
    </row>
    <row r="212" ht="14.25" customHeight="1">
      <c r="A212" s="4"/>
      <c r="B212" s="4"/>
      <c r="C212" s="4"/>
      <c r="D212" s="4"/>
      <c r="E212" s="333"/>
      <c r="F212" s="333"/>
      <c r="G212" s="4"/>
      <c r="H212" s="4"/>
      <c r="I212" s="5"/>
      <c r="J212" s="5"/>
      <c r="K212" s="5"/>
      <c r="L212" s="5"/>
      <c r="M212" s="5"/>
      <c r="N212" s="5"/>
      <c r="O212" s="5"/>
      <c r="P212" s="5"/>
      <c r="Q212" s="5"/>
      <c r="R212" s="5"/>
      <c r="S212" s="5"/>
      <c r="T212" s="5"/>
      <c r="U212" s="5"/>
      <c r="V212" s="5"/>
      <c r="W212" s="5"/>
      <c r="X212" s="5"/>
      <c r="Y212" s="5"/>
      <c r="Z212" s="5"/>
    </row>
    <row r="213" ht="14.25" customHeight="1">
      <c r="A213" s="4"/>
      <c r="B213" s="4"/>
      <c r="C213" s="4"/>
      <c r="D213" s="4"/>
      <c r="E213" s="333"/>
      <c r="F213" s="333"/>
      <c r="G213" s="4"/>
      <c r="H213" s="4"/>
      <c r="I213" s="5"/>
      <c r="J213" s="5"/>
      <c r="K213" s="5"/>
      <c r="L213" s="5"/>
      <c r="M213" s="5"/>
      <c r="N213" s="5"/>
      <c r="O213" s="5"/>
      <c r="P213" s="5"/>
      <c r="Q213" s="5"/>
      <c r="R213" s="5"/>
      <c r="S213" s="5"/>
      <c r="T213" s="5"/>
      <c r="U213" s="5"/>
      <c r="V213" s="5"/>
      <c r="W213" s="5"/>
      <c r="X213" s="5"/>
      <c r="Y213" s="5"/>
      <c r="Z213" s="5"/>
    </row>
    <row r="214" ht="14.25" customHeight="1">
      <c r="A214" s="4"/>
      <c r="B214" s="4"/>
      <c r="C214" s="4"/>
      <c r="D214" s="4"/>
      <c r="E214" s="333"/>
      <c r="F214" s="333"/>
      <c r="G214" s="4"/>
      <c r="H214" s="4"/>
      <c r="I214" s="5"/>
      <c r="J214" s="5"/>
      <c r="K214" s="5"/>
      <c r="L214" s="5"/>
      <c r="M214" s="5"/>
      <c r="N214" s="5"/>
      <c r="O214" s="5"/>
      <c r="P214" s="5"/>
      <c r="Q214" s="5"/>
      <c r="R214" s="5"/>
      <c r="S214" s="5"/>
      <c r="T214" s="5"/>
      <c r="U214" s="5"/>
      <c r="V214" s="5"/>
      <c r="W214" s="5"/>
      <c r="X214" s="5"/>
      <c r="Y214" s="5"/>
      <c r="Z214" s="5"/>
    </row>
    <row r="215" ht="14.25" customHeight="1">
      <c r="A215" s="4"/>
      <c r="B215" s="4"/>
      <c r="C215" s="4"/>
      <c r="D215" s="4"/>
      <c r="E215" s="333"/>
      <c r="F215" s="333"/>
      <c r="G215" s="4"/>
      <c r="H215" s="4"/>
      <c r="I215" s="5"/>
      <c r="J215" s="5"/>
      <c r="K215" s="5"/>
      <c r="L215" s="5"/>
      <c r="M215" s="5"/>
      <c r="N215" s="5"/>
      <c r="O215" s="5"/>
      <c r="P215" s="5"/>
      <c r="Q215" s="5"/>
      <c r="R215" s="5"/>
      <c r="S215" s="5"/>
      <c r="T215" s="5"/>
      <c r="U215" s="5"/>
      <c r="V215" s="5"/>
      <c r="W215" s="5"/>
      <c r="X215" s="5"/>
      <c r="Y215" s="5"/>
      <c r="Z215" s="5"/>
    </row>
    <row r="216" ht="14.25" customHeight="1">
      <c r="A216" s="4"/>
      <c r="B216" s="4"/>
      <c r="C216" s="4"/>
      <c r="D216" s="4"/>
      <c r="E216" s="333"/>
      <c r="F216" s="333"/>
      <c r="G216" s="4"/>
      <c r="H216" s="4"/>
      <c r="I216" s="5"/>
      <c r="J216" s="5"/>
      <c r="K216" s="5"/>
      <c r="L216" s="5"/>
      <c r="M216" s="5"/>
      <c r="N216" s="5"/>
      <c r="O216" s="5"/>
      <c r="P216" s="5"/>
      <c r="Q216" s="5"/>
      <c r="R216" s="5"/>
      <c r="S216" s="5"/>
      <c r="T216" s="5"/>
      <c r="U216" s="5"/>
      <c r="V216" s="5"/>
      <c r="W216" s="5"/>
      <c r="X216" s="5"/>
      <c r="Y216" s="5"/>
      <c r="Z216" s="5"/>
    </row>
    <row r="217" ht="14.25" customHeight="1">
      <c r="A217" s="4"/>
      <c r="B217" s="4"/>
      <c r="C217" s="4"/>
      <c r="D217" s="4"/>
      <c r="E217" s="333"/>
      <c r="F217" s="333"/>
      <c r="G217" s="4"/>
      <c r="H217" s="4"/>
      <c r="I217" s="5"/>
      <c r="J217" s="5"/>
      <c r="K217" s="5"/>
      <c r="L217" s="5"/>
      <c r="M217" s="5"/>
      <c r="N217" s="5"/>
      <c r="O217" s="5"/>
      <c r="P217" s="5"/>
      <c r="Q217" s="5"/>
      <c r="R217" s="5"/>
      <c r="S217" s="5"/>
      <c r="T217" s="5"/>
      <c r="U217" s="5"/>
      <c r="V217" s="5"/>
      <c r="W217" s="5"/>
      <c r="X217" s="5"/>
      <c r="Y217" s="5"/>
      <c r="Z217" s="5"/>
    </row>
    <row r="218" ht="14.25" customHeight="1">
      <c r="A218" s="4"/>
      <c r="B218" s="4"/>
      <c r="C218" s="4"/>
      <c r="D218" s="4"/>
      <c r="E218" s="333"/>
      <c r="F218" s="333"/>
      <c r="G218" s="4"/>
      <c r="H218" s="4"/>
      <c r="I218" s="5"/>
      <c r="J218" s="5"/>
      <c r="K218" s="5"/>
      <c r="L218" s="5"/>
      <c r="M218" s="5"/>
      <c r="N218" s="5"/>
      <c r="O218" s="5"/>
      <c r="P218" s="5"/>
      <c r="Q218" s="5"/>
      <c r="R218" s="5"/>
      <c r="S218" s="5"/>
      <c r="T218" s="5"/>
      <c r="U218" s="5"/>
      <c r="V218" s="5"/>
      <c r="W218" s="5"/>
      <c r="X218" s="5"/>
      <c r="Y218" s="5"/>
      <c r="Z218" s="5"/>
    </row>
    <row r="219" ht="14.25" customHeight="1">
      <c r="A219" s="4"/>
      <c r="B219" s="4"/>
      <c r="C219" s="4"/>
      <c r="D219" s="4"/>
      <c r="E219" s="333"/>
      <c r="F219" s="333"/>
      <c r="G219" s="4"/>
      <c r="H219" s="4"/>
      <c r="I219" s="5"/>
      <c r="J219" s="5"/>
      <c r="K219" s="5"/>
      <c r="L219" s="5"/>
      <c r="M219" s="5"/>
      <c r="N219" s="5"/>
      <c r="O219" s="5"/>
      <c r="P219" s="5"/>
      <c r="Q219" s="5"/>
      <c r="R219" s="5"/>
      <c r="S219" s="5"/>
      <c r="T219" s="5"/>
      <c r="U219" s="5"/>
      <c r="V219" s="5"/>
      <c r="W219" s="5"/>
      <c r="X219" s="5"/>
      <c r="Y219" s="5"/>
      <c r="Z219" s="5"/>
    </row>
    <row r="220" ht="14.25" customHeight="1">
      <c r="A220" s="4"/>
      <c r="B220" s="4"/>
      <c r="C220" s="4"/>
      <c r="D220" s="4"/>
      <c r="E220" s="333"/>
      <c r="F220" s="333"/>
      <c r="G220" s="4"/>
      <c r="H220" s="4"/>
      <c r="I220" s="5"/>
      <c r="J220" s="5"/>
      <c r="K220" s="5"/>
      <c r="L220" s="5"/>
      <c r="M220" s="5"/>
      <c r="N220" s="5"/>
      <c r="O220" s="5"/>
      <c r="P220" s="5"/>
      <c r="Q220" s="5"/>
      <c r="R220" s="5"/>
      <c r="S220" s="5"/>
      <c r="T220" s="5"/>
      <c r="U220" s="5"/>
      <c r="V220" s="5"/>
      <c r="W220" s="5"/>
      <c r="X220" s="5"/>
      <c r="Y220" s="5"/>
      <c r="Z220" s="5"/>
    </row>
    <row r="221" ht="14.25" customHeight="1">
      <c r="A221" s="4"/>
      <c r="B221" s="4"/>
      <c r="C221" s="4"/>
      <c r="D221" s="4"/>
      <c r="E221" s="333"/>
      <c r="F221" s="333"/>
      <c r="G221" s="4"/>
      <c r="H221" s="4"/>
      <c r="I221" s="5"/>
      <c r="J221" s="5"/>
      <c r="K221" s="5"/>
      <c r="L221" s="5"/>
      <c r="M221" s="5"/>
      <c r="N221" s="5"/>
      <c r="O221" s="5"/>
      <c r="P221" s="5"/>
      <c r="Q221" s="5"/>
      <c r="R221" s="5"/>
      <c r="S221" s="5"/>
      <c r="T221" s="5"/>
      <c r="U221" s="5"/>
      <c r="V221" s="5"/>
      <c r="W221" s="5"/>
      <c r="X221" s="5"/>
      <c r="Y221" s="5"/>
      <c r="Z221" s="5"/>
    </row>
    <row r="222" ht="14.25" customHeight="1">
      <c r="A222" s="4"/>
      <c r="B222" s="4"/>
      <c r="C222" s="4"/>
      <c r="D222" s="4"/>
      <c r="E222" s="333"/>
      <c r="F222" s="333"/>
      <c r="G222" s="4"/>
      <c r="H222" s="4"/>
      <c r="I222" s="5"/>
      <c r="J222" s="5"/>
      <c r="K222" s="5"/>
      <c r="L222" s="5"/>
      <c r="M222" s="5"/>
      <c r="N222" s="5"/>
      <c r="O222" s="5"/>
      <c r="P222" s="5"/>
      <c r="Q222" s="5"/>
      <c r="R222" s="5"/>
      <c r="S222" s="5"/>
      <c r="T222" s="5"/>
      <c r="U222" s="5"/>
      <c r="V222" s="5"/>
      <c r="W222" s="5"/>
      <c r="X222" s="5"/>
      <c r="Y222" s="5"/>
      <c r="Z222" s="5"/>
    </row>
    <row r="223" ht="14.25" customHeight="1">
      <c r="A223" s="4"/>
      <c r="B223" s="4"/>
      <c r="C223" s="4"/>
      <c r="D223" s="4"/>
      <c r="E223" s="333"/>
      <c r="F223" s="333"/>
      <c r="G223" s="4"/>
      <c r="H223" s="4"/>
      <c r="I223" s="5"/>
      <c r="J223" s="5"/>
      <c r="K223" s="5"/>
      <c r="L223" s="5"/>
      <c r="M223" s="5"/>
      <c r="N223" s="5"/>
      <c r="O223" s="5"/>
      <c r="P223" s="5"/>
      <c r="Q223" s="5"/>
      <c r="R223" s="5"/>
      <c r="S223" s="5"/>
      <c r="T223" s="5"/>
      <c r="U223" s="5"/>
      <c r="V223" s="5"/>
      <c r="W223" s="5"/>
      <c r="X223" s="5"/>
      <c r="Y223" s="5"/>
      <c r="Z223" s="5"/>
    </row>
    <row r="224" ht="14.25" customHeight="1">
      <c r="A224" s="4"/>
      <c r="B224" s="4"/>
      <c r="C224" s="4"/>
      <c r="D224" s="4"/>
      <c r="E224" s="333"/>
      <c r="F224" s="333"/>
      <c r="G224" s="4"/>
      <c r="H224" s="4"/>
      <c r="I224" s="5"/>
      <c r="J224" s="5"/>
      <c r="K224" s="5"/>
      <c r="L224" s="5"/>
      <c r="M224" s="5"/>
      <c r="N224" s="5"/>
      <c r="O224" s="5"/>
      <c r="P224" s="5"/>
      <c r="Q224" s="5"/>
      <c r="R224" s="5"/>
      <c r="S224" s="5"/>
      <c r="T224" s="5"/>
      <c r="U224" s="5"/>
      <c r="V224" s="5"/>
      <c r="W224" s="5"/>
      <c r="X224" s="5"/>
      <c r="Y224" s="5"/>
      <c r="Z224" s="5"/>
    </row>
    <row r="225" ht="14.25" customHeight="1">
      <c r="A225" s="4"/>
      <c r="B225" s="4"/>
      <c r="C225" s="4"/>
      <c r="D225" s="4"/>
      <c r="E225" s="333"/>
      <c r="F225" s="333"/>
      <c r="G225" s="4"/>
      <c r="H225" s="4"/>
      <c r="I225" s="5"/>
      <c r="J225" s="5"/>
      <c r="K225" s="5"/>
      <c r="L225" s="5"/>
      <c r="M225" s="5"/>
      <c r="N225" s="5"/>
      <c r="O225" s="5"/>
      <c r="P225" s="5"/>
      <c r="Q225" s="5"/>
      <c r="R225" s="5"/>
      <c r="S225" s="5"/>
      <c r="T225" s="5"/>
      <c r="U225" s="5"/>
      <c r="V225" s="5"/>
      <c r="W225" s="5"/>
      <c r="X225" s="5"/>
      <c r="Y225" s="5"/>
      <c r="Z225" s="5"/>
    </row>
    <row r="226" ht="14.25" customHeight="1">
      <c r="A226" s="4"/>
      <c r="B226" s="4"/>
      <c r="C226" s="4"/>
      <c r="D226" s="4"/>
      <c r="E226" s="333"/>
      <c r="F226" s="333"/>
      <c r="G226" s="4"/>
      <c r="H226" s="4"/>
      <c r="I226" s="5"/>
      <c r="J226" s="5"/>
      <c r="K226" s="5"/>
      <c r="L226" s="5"/>
      <c r="M226" s="5"/>
      <c r="N226" s="5"/>
      <c r="O226" s="5"/>
      <c r="P226" s="5"/>
      <c r="Q226" s="5"/>
      <c r="R226" s="5"/>
      <c r="S226" s="5"/>
      <c r="T226" s="5"/>
      <c r="U226" s="5"/>
      <c r="V226" s="5"/>
      <c r="W226" s="5"/>
      <c r="X226" s="5"/>
      <c r="Y226" s="5"/>
      <c r="Z226" s="5"/>
    </row>
    <row r="227" ht="14.25" customHeight="1">
      <c r="A227" s="4"/>
      <c r="B227" s="4"/>
      <c r="C227" s="4"/>
      <c r="D227" s="4"/>
      <c r="E227" s="333"/>
      <c r="F227" s="333"/>
      <c r="G227" s="4"/>
      <c r="H227" s="4"/>
      <c r="I227" s="5"/>
      <c r="J227" s="5"/>
      <c r="K227" s="5"/>
      <c r="L227" s="5"/>
      <c r="M227" s="5"/>
      <c r="N227" s="5"/>
      <c r="O227" s="5"/>
      <c r="P227" s="5"/>
      <c r="Q227" s="5"/>
      <c r="R227" s="5"/>
      <c r="S227" s="5"/>
      <c r="T227" s="5"/>
      <c r="U227" s="5"/>
      <c r="V227" s="5"/>
      <c r="W227" s="5"/>
      <c r="X227" s="5"/>
      <c r="Y227" s="5"/>
      <c r="Z227" s="5"/>
    </row>
    <row r="228" ht="14.25" customHeight="1">
      <c r="A228" s="4"/>
      <c r="B228" s="4"/>
      <c r="C228" s="4"/>
      <c r="D228" s="4"/>
      <c r="E228" s="333"/>
      <c r="F228" s="333"/>
      <c r="G228" s="4"/>
      <c r="H228" s="4"/>
      <c r="I228" s="5"/>
      <c r="J228" s="5"/>
      <c r="K228" s="5"/>
      <c r="L228" s="5"/>
      <c r="M228" s="5"/>
      <c r="N228" s="5"/>
      <c r="O228" s="5"/>
      <c r="P228" s="5"/>
      <c r="Q228" s="5"/>
      <c r="R228" s="5"/>
      <c r="S228" s="5"/>
      <c r="T228" s="5"/>
      <c r="U228" s="5"/>
      <c r="V228" s="5"/>
      <c r="W228" s="5"/>
      <c r="X228" s="5"/>
      <c r="Y228" s="5"/>
      <c r="Z228" s="5"/>
    </row>
    <row r="229" ht="14.25" customHeight="1">
      <c r="A229" s="4"/>
      <c r="B229" s="4"/>
      <c r="C229" s="4"/>
      <c r="D229" s="4"/>
      <c r="E229" s="333"/>
      <c r="F229" s="333"/>
      <c r="G229" s="4"/>
      <c r="H229" s="4"/>
      <c r="I229" s="5"/>
      <c r="J229" s="5"/>
      <c r="K229" s="5"/>
      <c r="L229" s="5"/>
      <c r="M229" s="5"/>
      <c r="N229" s="5"/>
      <c r="O229" s="5"/>
      <c r="P229" s="5"/>
      <c r="Q229" s="5"/>
      <c r="R229" s="5"/>
      <c r="S229" s="5"/>
      <c r="T229" s="5"/>
      <c r="U229" s="5"/>
      <c r="V229" s="5"/>
      <c r="W229" s="5"/>
      <c r="X229" s="5"/>
      <c r="Y229" s="5"/>
      <c r="Z229" s="5"/>
    </row>
    <row r="230" ht="14.25" customHeight="1">
      <c r="A230" s="4"/>
      <c r="B230" s="4"/>
      <c r="C230" s="4"/>
      <c r="D230" s="4"/>
      <c r="E230" s="333"/>
      <c r="F230" s="333"/>
      <c r="G230" s="4"/>
      <c r="H230" s="4"/>
      <c r="I230" s="5"/>
      <c r="J230" s="5"/>
      <c r="K230" s="5"/>
      <c r="L230" s="5"/>
      <c r="M230" s="5"/>
      <c r="N230" s="5"/>
      <c r="O230" s="5"/>
      <c r="P230" s="5"/>
      <c r="Q230" s="5"/>
      <c r="R230" s="5"/>
      <c r="S230" s="5"/>
      <c r="T230" s="5"/>
      <c r="U230" s="5"/>
      <c r="V230" s="5"/>
      <c r="W230" s="5"/>
      <c r="X230" s="5"/>
      <c r="Y230" s="5"/>
      <c r="Z230" s="5"/>
    </row>
    <row r="231" ht="14.25" customHeight="1">
      <c r="A231" s="4"/>
      <c r="B231" s="4"/>
      <c r="C231" s="4"/>
      <c r="D231" s="4"/>
      <c r="E231" s="333"/>
      <c r="F231" s="333"/>
      <c r="G231" s="4"/>
      <c r="H231" s="4"/>
      <c r="I231" s="5"/>
      <c r="J231" s="5"/>
      <c r="K231" s="5"/>
      <c r="L231" s="5"/>
      <c r="M231" s="5"/>
      <c r="N231" s="5"/>
      <c r="O231" s="5"/>
      <c r="P231" s="5"/>
      <c r="Q231" s="5"/>
      <c r="R231" s="5"/>
      <c r="S231" s="5"/>
      <c r="T231" s="5"/>
      <c r="U231" s="5"/>
      <c r="V231" s="5"/>
      <c r="W231" s="5"/>
      <c r="X231" s="5"/>
      <c r="Y231" s="5"/>
      <c r="Z231" s="5"/>
    </row>
    <row r="232" ht="14.25" customHeight="1">
      <c r="A232" s="4"/>
      <c r="B232" s="4"/>
      <c r="C232" s="4"/>
      <c r="D232" s="4"/>
      <c r="E232" s="333"/>
      <c r="F232" s="333"/>
      <c r="G232" s="4"/>
      <c r="H232" s="4"/>
      <c r="I232" s="5"/>
      <c r="J232" s="5"/>
      <c r="K232" s="5"/>
      <c r="L232" s="5"/>
      <c r="M232" s="5"/>
      <c r="N232" s="5"/>
      <c r="O232" s="5"/>
      <c r="P232" s="5"/>
      <c r="Q232" s="5"/>
      <c r="R232" s="5"/>
      <c r="S232" s="5"/>
      <c r="T232" s="5"/>
      <c r="U232" s="5"/>
      <c r="V232" s="5"/>
      <c r="W232" s="5"/>
      <c r="X232" s="5"/>
      <c r="Y232" s="5"/>
      <c r="Z232" s="5"/>
    </row>
    <row r="233" ht="14.25" customHeight="1">
      <c r="A233" s="4"/>
      <c r="B233" s="4"/>
      <c r="C233" s="4"/>
      <c r="D233" s="4"/>
      <c r="E233" s="333"/>
      <c r="F233" s="333"/>
      <c r="G233" s="4"/>
      <c r="H233" s="4"/>
      <c r="I233" s="5"/>
      <c r="J233" s="5"/>
      <c r="K233" s="5"/>
      <c r="L233" s="5"/>
      <c r="M233" s="5"/>
      <c r="N233" s="5"/>
      <c r="O233" s="5"/>
      <c r="P233" s="5"/>
      <c r="Q233" s="5"/>
      <c r="R233" s="5"/>
      <c r="S233" s="5"/>
      <c r="T233" s="5"/>
      <c r="U233" s="5"/>
      <c r="V233" s="5"/>
      <c r="W233" s="5"/>
      <c r="X233" s="5"/>
      <c r="Y233" s="5"/>
      <c r="Z233" s="5"/>
    </row>
    <row r="234" ht="14.25" customHeight="1">
      <c r="A234" s="4"/>
      <c r="B234" s="4"/>
      <c r="C234" s="4"/>
      <c r="D234" s="4"/>
      <c r="E234" s="333"/>
      <c r="F234" s="333"/>
      <c r="G234" s="4"/>
      <c r="H234" s="4"/>
      <c r="I234" s="5"/>
      <c r="J234" s="5"/>
      <c r="K234" s="5"/>
      <c r="L234" s="5"/>
      <c r="M234" s="5"/>
      <c r="N234" s="5"/>
      <c r="O234" s="5"/>
      <c r="P234" s="5"/>
      <c r="Q234" s="5"/>
      <c r="R234" s="5"/>
      <c r="S234" s="5"/>
      <c r="T234" s="5"/>
      <c r="U234" s="5"/>
      <c r="V234" s="5"/>
      <c r="W234" s="5"/>
      <c r="X234" s="5"/>
      <c r="Y234" s="5"/>
      <c r="Z234" s="5"/>
    </row>
    <row r="235" ht="14.25" customHeight="1">
      <c r="A235" s="4"/>
      <c r="B235" s="4"/>
      <c r="C235" s="4"/>
      <c r="D235" s="4"/>
      <c r="E235" s="333"/>
      <c r="F235" s="333"/>
      <c r="G235" s="4"/>
      <c r="H235" s="4"/>
      <c r="I235" s="5"/>
      <c r="J235" s="5"/>
      <c r="K235" s="5"/>
      <c r="L235" s="5"/>
      <c r="M235" s="5"/>
      <c r="N235" s="5"/>
      <c r="O235" s="5"/>
      <c r="P235" s="5"/>
      <c r="Q235" s="5"/>
      <c r="R235" s="5"/>
      <c r="S235" s="5"/>
      <c r="T235" s="5"/>
      <c r="U235" s="5"/>
      <c r="V235" s="5"/>
      <c r="W235" s="5"/>
      <c r="X235" s="5"/>
      <c r="Y235" s="5"/>
      <c r="Z235" s="5"/>
    </row>
    <row r="236" ht="14.25" customHeight="1">
      <c r="A236" s="4"/>
      <c r="B236" s="4"/>
      <c r="C236" s="4"/>
      <c r="D236" s="4"/>
      <c r="E236" s="333"/>
      <c r="F236" s="333"/>
      <c r="G236" s="4"/>
      <c r="H236" s="4"/>
      <c r="I236" s="5"/>
      <c r="J236" s="5"/>
      <c r="K236" s="5"/>
      <c r="L236" s="5"/>
      <c r="M236" s="5"/>
      <c r="N236" s="5"/>
      <c r="O236" s="5"/>
      <c r="P236" s="5"/>
      <c r="Q236" s="5"/>
      <c r="R236" s="5"/>
      <c r="S236" s="5"/>
      <c r="T236" s="5"/>
      <c r="U236" s="5"/>
      <c r="V236" s="5"/>
      <c r="W236" s="5"/>
      <c r="X236" s="5"/>
      <c r="Y236" s="5"/>
      <c r="Z236" s="5"/>
    </row>
    <row r="237" ht="14.25" customHeight="1">
      <c r="A237" s="4"/>
      <c r="B237" s="4"/>
      <c r="C237" s="4"/>
      <c r="D237" s="4"/>
      <c r="E237" s="333"/>
      <c r="F237" s="333"/>
      <c r="G237" s="4"/>
      <c r="H237" s="4"/>
      <c r="I237" s="5"/>
      <c r="J237" s="5"/>
      <c r="K237" s="5"/>
      <c r="L237" s="5"/>
      <c r="M237" s="5"/>
      <c r="N237" s="5"/>
      <c r="O237" s="5"/>
      <c r="P237" s="5"/>
      <c r="Q237" s="5"/>
      <c r="R237" s="5"/>
      <c r="S237" s="5"/>
      <c r="T237" s="5"/>
      <c r="U237" s="5"/>
      <c r="V237" s="5"/>
      <c r="W237" s="5"/>
      <c r="X237" s="5"/>
      <c r="Y237" s="5"/>
      <c r="Z237" s="5"/>
    </row>
    <row r="238" ht="14.25" customHeight="1">
      <c r="A238" s="4"/>
      <c r="B238" s="4"/>
      <c r="C238" s="4"/>
      <c r="D238" s="4"/>
      <c r="E238" s="333"/>
      <c r="F238" s="333"/>
      <c r="G238" s="4"/>
      <c r="H238" s="4"/>
      <c r="I238" s="5"/>
      <c r="J238" s="5"/>
      <c r="K238" s="5"/>
      <c r="L238" s="5"/>
      <c r="M238" s="5"/>
      <c r="N238" s="5"/>
      <c r="O238" s="5"/>
      <c r="P238" s="5"/>
      <c r="Q238" s="5"/>
      <c r="R238" s="5"/>
      <c r="S238" s="5"/>
      <c r="T238" s="5"/>
      <c r="U238" s="5"/>
      <c r="V238" s="5"/>
      <c r="W238" s="5"/>
      <c r="X238" s="5"/>
      <c r="Y238" s="5"/>
      <c r="Z238" s="5"/>
    </row>
    <row r="239" ht="14.25" customHeight="1">
      <c r="A239" s="4"/>
      <c r="B239" s="4"/>
      <c r="C239" s="4"/>
      <c r="D239" s="4"/>
      <c r="E239" s="333"/>
      <c r="F239" s="333"/>
      <c r="G239" s="4"/>
      <c r="H239" s="4"/>
      <c r="I239" s="5"/>
      <c r="J239" s="5"/>
      <c r="K239" s="5"/>
      <c r="L239" s="5"/>
      <c r="M239" s="5"/>
      <c r="N239" s="5"/>
      <c r="O239" s="5"/>
      <c r="P239" s="5"/>
      <c r="Q239" s="5"/>
      <c r="R239" s="5"/>
      <c r="S239" s="5"/>
      <c r="T239" s="5"/>
      <c r="U239" s="5"/>
      <c r="V239" s="5"/>
      <c r="W239" s="5"/>
      <c r="X239" s="5"/>
      <c r="Y239" s="5"/>
      <c r="Z239" s="5"/>
    </row>
    <row r="240" ht="14.25" customHeight="1">
      <c r="A240" s="4"/>
      <c r="B240" s="4"/>
      <c r="C240" s="4"/>
      <c r="D240" s="4"/>
      <c r="E240" s="333"/>
      <c r="F240" s="333"/>
      <c r="G240" s="4"/>
      <c r="H240" s="4"/>
      <c r="I240" s="5"/>
      <c r="J240" s="5"/>
      <c r="K240" s="5"/>
      <c r="L240" s="5"/>
      <c r="M240" s="5"/>
      <c r="N240" s="5"/>
      <c r="O240" s="5"/>
      <c r="P240" s="5"/>
      <c r="Q240" s="5"/>
      <c r="R240" s="5"/>
      <c r="S240" s="5"/>
      <c r="T240" s="5"/>
      <c r="U240" s="5"/>
      <c r="V240" s="5"/>
      <c r="W240" s="5"/>
      <c r="X240" s="5"/>
      <c r="Y240" s="5"/>
      <c r="Z240" s="5"/>
    </row>
    <row r="241" ht="14.25" customHeight="1">
      <c r="A241" s="4"/>
      <c r="B241" s="4"/>
      <c r="C241" s="4"/>
      <c r="D241" s="4"/>
      <c r="E241" s="333"/>
      <c r="F241" s="333"/>
      <c r="G241" s="4"/>
      <c r="H241" s="4"/>
      <c r="I241" s="5"/>
      <c r="J241" s="5"/>
      <c r="K241" s="5"/>
      <c r="L241" s="5"/>
      <c r="M241" s="5"/>
      <c r="N241" s="5"/>
      <c r="O241" s="5"/>
      <c r="P241" s="5"/>
      <c r="Q241" s="5"/>
      <c r="R241" s="5"/>
      <c r="S241" s="5"/>
      <c r="T241" s="5"/>
      <c r="U241" s="5"/>
      <c r="V241" s="5"/>
      <c r="W241" s="5"/>
      <c r="X241" s="5"/>
      <c r="Y241" s="5"/>
      <c r="Z241" s="5"/>
    </row>
    <row r="242" ht="14.25" customHeight="1">
      <c r="A242" s="4"/>
      <c r="B242" s="4"/>
      <c r="C242" s="4"/>
      <c r="D242" s="4"/>
      <c r="E242" s="333"/>
      <c r="F242" s="333"/>
      <c r="G242" s="4"/>
      <c r="H242" s="4"/>
      <c r="I242" s="5"/>
      <c r="J242" s="5"/>
      <c r="K242" s="5"/>
      <c r="L242" s="5"/>
      <c r="M242" s="5"/>
      <c r="N242" s="5"/>
      <c r="O242" s="5"/>
      <c r="P242" s="5"/>
      <c r="Q242" s="5"/>
      <c r="R242" s="5"/>
      <c r="S242" s="5"/>
      <c r="T242" s="5"/>
      <c r="U242" s="5"/>
      <c r="V242" s="5"/>
      <c r="W242" s="5"/>
      <c r="X242" s="5"/>
      <c r="Y242" s="5"/>
      <c r="Z242" s="5"/>
    </row>
    <row r="243" ht="14.25" customHeight="1">
      <c r="A243" s="4"/>
      <c r="B243" s="4"/>
      <c r="C243" s="4"/>
      <c r="D243" s="4"/>
      <c r="E243" s="333"/>
      <c r="F243" s="333"/>
      <c r="G243" s="4"/>
      <c r="H243" s="4"/>
      <c r="I243" s="5"/>
      <c r="J243" s="5"/>
      <c r="K243" s="5"/>
      <c r="L243" s="5"/>
      <c r="M243" s="5"/>
      <c r="N243" s="5"/>
      <c r="O243" s="5"/>
      <c r="P243" s="5"/>
      <c r="Q243" s="5"/>
      <c r="R243" s="5"/>
      <c r="S243" s="5"/>
      <c r="T243" s="5"/>
      <c r="U243" s="5"/>
      <c r="V243" s="5"/>
      <c r="W243" s="5"/>
      <c r="X243" s="5"/>
      <c r="Y243" s="5"/>
      <c r="Z243" s="5"/>
    </row>
    <row r="244" ht="14.25" customHeight="1">
      <c r="A244" s="4"/>
      <c r="B244" s="4"/>
      <c r="C244" s="4"/>
      <c r="D244" s="4"/>
      <c r="E244" s="333"/>
      <c r="F244" s="333"/>
      <c r="G244" s="4"/>
      <c r="H244" s="4"/>
      <c r="I244" s="5"/>
      <c r="J244" s="5"/>
      <c r="K244" s="5"/>
      <c r="L244" s="5"/>
      <c r="M244" s="5"/>
      <c r="N244" s="5"/>
      <c r="O244" s="5"/>
      <c r="P244" s="5"/>
      <c r="Q244" s="5"/>
      <c r="R244" s="5"/>
      <c r="S244" s="5"/>
      <c r="T244" s="5"/>
      <c r="U244" s="5"/>
      <c r="V244" s="5"/>
      <c r="W244" s="5"/>
      <c r="X244" s="5"/>
      <c r="Y244" s="5"/>
      <c r="Z244" s="5"/>
    </row>
    <row r="245" ht="14.25" customHeight="1">
      <c r="A245" s="4"/>
      <c r="B245" s="4"/>
      <c r="C245" s="4"/>
      <c r="D245" s="4"/>
      <c r="E245" s="333"/>
      <c r="F245" s="333"/>
      <c r="G245" s="4"/>
      <c r="H245" s="4"/>
      <c r="I245" s="5"/>
      <c r="J245" s="5"/>
      <c r="K245" s="5"/>
      <c r="L245" s="5"/>
      <c r="M245" s="5"/>
      <c r="N245" s="5"/>
      <c r="O245" s="5"/>
      <c r="P245" s="5"/>
      <c r="Q245" s="5"/>
      <c r="R245" s="5"/>
      <c r="S245" s="5"/>
      <c r="T245" s="5"/>
      <c r="U245" s="5"/>
      <c r="V245" s="5"/>
      <c r="W245" s="5"/>
      <c r="X245" s="5"/>
      <c r="Y245" s="5"/>
      <c r="Z245" s="5"/>
    </row>
    <row r="246" ht="14.25" customHeight="1">
      <c r="A246" s="4"/>
      <c r="B246" s="4"/>
      <c r="C246" s="4"/>
      <c r="D246" s="4"/>
      <c r="E246" s="333"/>
      <c r="F246" s="333"/>
      <c r="G246" s="4"/>
      <c r="H246" s="4"/>
      <c r="I246" s="5"/>
      <c r="J246" s="5"/>
      <c r="K246" s="5"/>
      <c r="L246" s="5"/>
      <c r="M246" s="5"/>
      <c r="N246" s="5"/>
      <c r="O246" s="5"/>
      <c r="P246" s="5"/>
      <c r="Q246" s="5"/>
      <c r="R246" s="5"/>
      <c r="S246" s="5"/>
      <c r="T246" s="5"/>
      <c r="U246" s="5"/>
      <c r="V246" s="5"/>
      <c r="W246" s="5"/>
      <c r="X246" s="5"/>
      <c r="Y246" s="5"/>
      <c r="Z246" s="5"/>
    </row>
    <row r="247" ht="14.25" customHeight="1">
      <c r="A247" s="4"/>
      <c r="B247" s="4"/>
      <c r="C247" s="4"/>
      <c r="D247" s="4"/>
      <c r="E247" s="333"/>
      <c r="F247" s="333"/>
      <c r="G247" s="4"/>
      <c r="H247" s="4"/>
      <c r="I247" s="5"/>
      <c r="J247" s="5"/>
      <c r="K247" s="5"/>
      <c r="L247" s="5"/>
      <c r="M247" s="5"/>
      <c r="N247" s="5"/>
      <c r="O247" s="5"/>
      <c r="P247" s="5"/>
      <c r="Q247" s="5"/>
      <c r="R247" s="5"/>
      <c r="S247" s="5"/>
      <c r="T247" s="5"/>
      <c r="U247" s="5"/>
      <c r="V247" s="5"/>
      <c r="W247" s="5"/>
      <c r="X247" s="5"/>
      <c r="Y247" s="5"/>
      <c r="Z247" s="5"/>
    </row>
    <row r="248" ht="14.25" customHeight="1">
      <c r="A248" s="4"/>
      <c r="B248" s="4"/>
      <c r="C248" s="4"/>
      <c r="D248" s="4"/>
      <c r="E248" s="333"/>
      <c r="F248" s="333"/>
      <c r="G248" s="4"/>
      <c r="H248" s="4"/>
      <c r="I248" s="5"/>
      <c r="J248" s="5"/>
      <c r="K248" s="5"/>
      <c r="L248" s="5"/>
      <c r="M248" s="5"/>
      <c r="N248" s="5"/>
      <c r="O248" s="5"/>
      <c r="P248" s="5"/>
      <c r="Q248" s="5"/>
      <c r="R248" s="5"/>
      <c r="S248" s="5"/>
      <c r="T248" s="5"/>
      <c r="U248" s="5"/>
      <c r="V248" s="5"/>
      <c r="W248" s="5"/>
      <c r="X248" s="5"/>
      <c r="Y248" s="5"/>
      <c r="Z248" s="5"/>
    </row>
    <row r="249" ht="14.25" customHeight="1">
      <c r="A249" s="4"/>
      <c r="B249" s="4"/>
      <c r="C249" s="4"/>
      <c r="D249" s="4"/>
      <c r="E249" s="333"/>
      <c r="F249" s="333"/>
      <c r="G249" s="4"/>
      <c r="H249" s="4"/>
      <c r="I249" s="5"/>
      <c r="J249" s="5"/>
      <c r="K249" s="5"/>
      <c r="L249" s="5"/>
      <c r="M249" s="5"/>
      <c r="N249" s="5"/>
      <c r="O249" s="5"/>
      <c r="P249" s="5"/>
      <c r="Q249" s="5"/>
      <c r="R249" s="5"/>
      <c r="S249" s="5"/>
      <c r="T249" s="5"/>
      <c r="U249" s="5"/>
      <c r="V249" s="5"/>
      <c r="W249" s="5"/>
      <c r="X249" s="5"/>
      <c r="Y249" s="5"/>
      <c r="Z249" s="5"/>
    </row>
    <row r="250" ht="14.25" customHeight="1">
      <c r="A250" s="4"/>
      <c r="B250" s="4"/>
      <c r="C250" s="4"/>
      <c r="D250" s="4"/>
      <c r="E250" s="333"/>
      <c r="F250" s="333"/>
      <c r="G250" s="4"/>
      <c r="H250" s="4"/>
      <c r="I250" s="5"/>
      <c r="J250" s="5"/>
      <c r="K250" s="5"/>
      <c r="L250" s="5"/>
      <c r="M250" s="5"/>
      <c r="N250" s="5"/>
      <c r="O250" s="5"/>
      <c r="P250" s="5"/>
      <c r="Q250" s="5"/>
      <c r="R250" s="5"/>
      <c r="S250" s="5"/>
      <c r="T250" s="5"/>
      <c r="U250" s="5"/>
      <c r="V250" s="5"/>
      <c r="W250" s="5"/>
      <c r="X250" s="5"/>
      <c r="Y250" s="5"/>
      <c r="Z250" s="5"/>
    </row>
    <row r="251" ht="14.25" customHeight="1">
      <c r="A251" s="4"/>
      <c r="B251" s="4"/>
      <c r="C251" s="4"/>
      <c r="D251" s="4"/>
      <c r="E251" s="333"/>
      <c r="F251" s="333"/>
      <c r="G251" s="4"/>
      <c r="H251" s="4"/>
      <c r="I251" s="5"/>
      <c r="J251" s="5"/>
      <c r="K251" s="5"/>
      <c r="L251" s="5"/>
      <c r="M251" s="5"/>
      <c r="N251" s="5"/>
      <c r="O251" s="5"/>
      <c r="P251" s="5"/>
      <c r="Q251" s="5"/>
      <c r="R251" s="5"/>
      <c r="S251" s="5"/>
      <c r="T251" s="5"/>
      <c r="U251" s="5"/>
      <c r="V251" s="5"/>
      <c r="W251" s="5"/>
      <c r="X251" s="5"/>
      <c r="Y251" s="5"/>
      <c r="Z251" s="5"/>
    </row>
    <row r="252" ht="14.25" customHeight="1">
      <c r="A252" s="4"/>
      <c r="B252" s="4"/>
      <c r="C252" s="4"/>
      <c r="D252" s="4"/>
      <c r="E252" s="333"/>
      <c r="F252" s="333"/>
      <c r="G252" s="4"/>
      <c r="H252" s="4"/>
      <c r="I252" s="5"/>
      <c r="J252" s="5"/>
      <c r="K252" s="5"/>
      <c r="L252" s="5"/>
      <c r="M252" s="5"/>
      <c r="N252" s="5"/>
      <c r="O252" s="5"/>
      <c r="P252" s="5"/>
      <c r="Q252" s="5"/>
      <c r="R252" s="5"/>
      <c r="S252" s="5"/>
      <c r="T252" s="5"/>
      <c r="U252" s="5"/>
      <c r="V252" s="5"/>
      <c r="W252" s="5"/>
      <c r="X252" s="5"/>
      <c r="Y252" s="5"/>
      <c r="Z252" s="5"/>
    </row>
    <row r="253" ht="14.25" customHeight="1">
      <c r="A253" s="4"/>
      <c r="B253" s="4"/>
      <c r="C253" s="4"/>
      <c r="D253" s="4"/>
      <c r="E253" s="333"/>
      <c r="F253" s="333"/>
      <c r="G253" s="4"/>
      <c r="H253" s="4"/>
      <c r="I253" s="5"/>
      <c r="J253" s="5"/>
      <c r="K253" s="5"/>
      <c r="L253" s="5"/>
      <c r="M253" s="5"/>
      <c r="N253" s="5"/>
      <c r="O253" s="5"/>
      <c r="P253" s="5"/>
      <c r="Q253" s="5"/>
      <c r="R253" s="5"/>
      <c r="S253" s="5"/>
      <c r="T253" s="5"/>
      <c r="U253" s="5"/>
      <c r="V253" s="5"/>
      <c r="W253" s="5"/>
      <c r="X253" s="5"/>
      <c r="Y253" s="5"/>
      <c r="Z253" s="5"/>
    </row>
    <row r="254" ht="14.25" customHeight="1">
      <c r="A254" s="4"/>
      <c r="B254" s="4"/>
      <c r="C254" s="4"/>
      <c r="D254" s="4"/>
      <c r="E254" s="333"/>
      <c r="F254" s="333"/>
      <c r="G254" s="4"/>
      <c r="H254" s="4"/>
      <c r="I254" s="5"/>
      <c r="J254" s="5"/>
      <c r="K254" s="5"/>
      <c r="L254" s="5"/>
      <c r="M254" s="5"/>
      <c r="N254" s="5"/>
      <c r="O254" s="5"/>
      <c r="P254" s="5"/>
      <c r="Q254" s="5"/>
      <c r="R254" s="5"/>
      <c r="S254" s="5"/>
      <c r="T254" s="5"/>
      <c r="U254" s="5"/>
      <c r="V254" s="5"/>
      <c r="W254" s="5"/>
      <c r="X254" s="5"/>
      <c r="Y254" s="5"/>
      <c r="Z254" s="5"/>
    </row>
    <row r="255" ht="14.25" customHeight="1">
      <c r="A255" s="4"/>
      <c r="B255" s="4"/>
      <c r="C255" s="4"/>
      <c r="D255" s="4"/>
      <c r="E255" s="333"/>
      <c r="F255" s="333"/>
      <c r="G255" s="4"/>
      <c r="H255" s="4"/>
      <c r="I255" s="5"/>
      <c r="J255" s="5"/>
      <c r="K255" s="5"/>
      <c r="L255" s="5"/>
      <c r="M255" s="5"/>
      <c r="N255" s="5"/>
      <c r="O255" s="5"/>
      <c r="P255" s="5"/>
      <c r="Q255" s="5"/>
      <c r="R255" s="5"/>
      <c r="S255" s="5"/>
      <c r="T255" s="5"/>
      <c r="U255" s="5"/>
      <c r="V255" s="5"/>
      <c r="W255" s="5"/>
      <c r="X255" s="5"/>
      <c r="Y255" s="5"/>
      <c r="Z255" s="5"/>
    </row>
    <row r="256" ht="14.25" customHeight="1">
      <c r="A256" s="4"/>
      <c r="B256" s="4"/>
      <c r="C256" s="4"/>
      <c r="D256" s="4"/>
      <c r="E256" s="333"/>
      <c r="F256" s="333"/>
      <c r="G256" s="4"/>
      <c r="H256" s="4"/>
      <c r="I256" s="5"/>
      <c r="J256" s="5"/>
      <c r="K256" s="5"/>
      <c r="L256" s="5"/>
      <c r="M256" s="5"/>
      <c r="N256" s="5"/>
      <c r="O256" s="5"/>
      <c r="P256" s="5"/>
      <c r="Q256" s="5"/>
      <c r="R256" s="5"/>
      <c r="S256" s="5"/>
      <c r="T256" s="5"/>
      <c r="U256" s="5"/>
      <c r="V256" s="5"/>
      <c r="W256" s="5"/>
      <c r="X256" s="5"/>
      <c r="Y256" s="5"/>
      <c r="Z256" s="5"/>
    </row>
    <row r="257" ht="14.25" customHeight="1">
      <c r="A257" s="4"/>
      <c r="B257" s="4"/>
      <c r="C257" s="4"/>
      <c r="D257" s="4"/>
      <c r="E257" s="333"/>
      <c r="F257" s="333"/>
      <c r="G257" s="4"/>
      <c r="H257" s="4"/>
      <c r="I257" s="5"/>
      <c r="J257" s="5"/>
      <c r="K257" s="5"/>
      <c r="L257" s="5"/>
      <c r="M257" s="5"/>
      <c r="N257" s="5"/>
      <c r="O257" s="5"/>
      <c r="P257" s="5"/>
      <c r="Q257" s="5"/>
      <c r="R257" s="5"/>
      <c r="S257" s="5"/>
      <c r="T257" s="5"/>
      <c r="U257" s="5"/>
      <c r="V257" s="5"/>
      <c r="W257" s="5"/>
      <c r="X257" s="5"/>
      <c r="Y257" s="5"/>
      <c r="Z257" s="5"/>
    </row>
    <row r="258" ht="14.25" customHeight="1">
      <c r="A258" s="4"/>
      <c r="B258" s="4"/>
      <c r="C258" s="4"/>
      <c r="D258" s="4"/>
      <c r="E258" s="333"/>
      <c r="F258" s="333"/>
      <c r="G258" s="4"/>
      <c r="H258" s="4"/>
      <c r="I258" s="5"/>
      <c r="J258" s="5"/>
      <c r="K258" s="5"/>
      <c r="L258" s="5"/>
      <c r="M258" s="5"/>
      <c r="N258" s="5"/>
      <c r="O258" s="5"/>
      <c r="P258" s="5"/>
      <c r="Q258" s="5"/>
      <c r="R258" s="5"/>
      <c r="S258" s="5"/>
      <c r="T258" s="5"/>
      <c r="U258" s="5"/>
      <c r="V258" s="5"/>
      <c r="W258" s="5"/>
      <c r="X258" s="5"/>
      <c r="Y258" s="5"/>
      <c r="Z258" s="5"/>
    </row>
    <row r="259" ht="14.25" customHeight="1">
      <c r="A259" s="4"/>
      <c r="B259" s="4"/>
      <c r="C259" s="4"/>
      <c r="D259" s="4"/>
      <c r="E259" s="333"/>
      <c r="F259" s="333"/>
      <c r="G259" s="4"/>
      <c r="H259" s="4"/>
      <c r="I259" s="5"/>
      <c r="J259" s="5"/>
      <c r="K259" s="5"/>
      <c r="L259" s="5"/>
      <c r="M259" s="5"/>
      <c r="N259" s="5"/>
      <c r="O259" s="5"/>
      <c r="P259" s="5"/>
      <c r="Q259" s="5"/>
      <c r="R259" s="5"/>
      <c r="S259" s="5"/>
      <c r="T259" s="5"/>
      <c r="U259" s="5"/>
      <c r="V259" s="5"/>
      <c r="W259" s="5"/>
      <c r="X259" s="5"/>
      <c r="Y259" s="5"/>
      <c r="Z259" s="5"/>
    </row>
    <row r="260" ht="14.25" customHeight="1">
      <c r="A260" s="4"/>
      <c r="B260" s="4"/>
      <c r="C260" s="4"/>
      <c r="D260" s="4"/>
      <c r="E260" s="333"/>
      <c r="F260" s="333"/>
      <c r="G260" s="4"/>
      <c r="H260" s="4"/>
      <c r="I260" s="5"/>
      <c r="J260" s="5"/>
      <c r="K260" s="5"/>
      <c r="L260" s="5"/>
      <c r="M260" s="5"/>
      <c r="N260" s="5"/>
      <c r="O260" s="5"/>
      <c r="P260" s="5"/>
      <c r="Q260" s="5"/>
      <c r="R260" s="5"/>
      <c r="S260" s="5"/>
      <c r="T260" s="5"/>
      <c r="U260" s="5"/>
      <c r="V260" s="5"/>
      <c r="W260" s="5"/>
      <c r="X260" s="5"/>
      <c r="Y260" s="5"/>
      <c r="Z260" s="5"/>
    </row>
    <row r="261" ht="14.25" customHeight="1">
      <c r="A261" s="4"/>
      <c r="B261" s="4"/>
      <c r="C261" s="4"/>
      <c r="D261" s="4"/>
      <c r="E261" s="333"/>
      <c r="F261" s="333"/>
      <c r="G261" s="4"/>
      <c r="H261" s="4"/>
      <c r="I261" s="5"/>
      <c r="J261" s="5"/>
      <c r="K261" s="5"/>
      <c r="L261" s="5"/>
      <c r="M261" s="5"/>
      <c r="N261" s="5"/>
      <c r="O261" s="5"/>
      <c r="P261" s="5"/>
      <c r="Q261" s="5"/>
      <c r="R261" s="5"/>
      <c r="S261" s="5"/>
      <c r="T261" s="5"/>
      <c r="U261" s="5"/>
      <c r="V261" s="5"/>
      <c r="W261" s="5"/>
      <c r="X261" s="5"/>
      <c r="Y261" s="5"/>
      <c r="Z261" s="5"/>
    </row>
    <row r="262" ht="14.25" customHeight="1">
      <c r="A262" s="4"/>
      <c r="B262" s="4"/>
      <c r="C262" s="4"/>
      <c r="D262" s="4"/>
      <c r="E262" s="333"/>
      <c r="F262" s="333"/>
      <c r="G262" s="4"/>
      <c r="H262" s="4"/>
      <c r="I262" s="5"/>
      <c r="J262" s="5"/>
      <c r="K262" s="5"/>
      <c r="L262" s="5"/>
      <c r="M262" s="5"/>
      <c r="N262" s="5"/>
      <c r="O262" s="5"/>
      <c r="P262" s="5"/>
      <c r="Q262" s="5"/>
      <c r="R262" s="5"/>
      <c r="S262" s="5"/>
      <c r="T262" s="5"/>
      <c r="U262" s="5"/>
      <c r="V262" s="5"/>
      <c r="W262" s="5"/>
      <c r="X262" s="5"/>
      <c r="Y262" s="5"/>
      <c r="Z262" s="5"/>
    </row>
    <row r="263" ht="14.25" customHeight="1">
      <c r="A263" s="4"/>
      <c r="B263" s="4"/>
      <c r="C263" s="4"/>
      <c r="D263" s="4"/>
      <c r="E263" s="333"/>
      <c r="F263" s="333"/>
      <c r="G263" s="4"/>
      <c r="H263" s="4"/>
      <c r="I263" s="5"/>
      <c r="J263" s="5"/>
      <c r="K263" s="5"/>
      <c r="L263" s="5"/>
      <c r="M263" s="5"/>
      <c r="N263" s="5"/>
      <c r="O263" s="5"/>
      <c r="P263" s="5"/>
      <c r="Q263" s="5"/>
      <c r="R263" s="5"/>
      <c r="S263" s="5"/>
      <c r="T263" s="5"/>
      <c r="U263" s="5"/>
      <c r="V263" s="5"/>
      <c r="W263" s="5"/>
      <c r="X263" s="5"/>
      <c r="Y263" s="5"/>
      <c r="Z263" s="5"/>
    </row>
    <row r="264" ht="14.25" customHeight="1">
      <c r="A264" s="4"/>
      <c r="B264" s="4"/>
      <c r="C264" s="4"/>
      <c r="D264" s="4"/>
      <c r="E264" s="333"/>
      <c r="F264" s="333"/>
      <c r="G264" s="4"/>
      <c r="H264" s="4"/>
      <c r="I264" s="5"/>
      <c r="J264" s="5"/>
      <c r="K264" s="5"/>
      <c r="L264" s="5"/>
      <c r="M264" s="5"/>
      <c r="N264" s="5"/>
      <c r="O264" s="5"/>
      <c r="P264" s="5"/>
      <c r="Q264" s="5"/>
      <c r="R264" s="5"/>
      <c r="S264" s="5"/>
      <c r="T264" s="5"/>
      <c r="U264" s="5"/>
      <c r="V264" s="5"/>
      <c r="W264" s="5"/>
      <c r="X264" s="5"/>
      <c r="Y264" s="5"/>
      <c r="Z264" s="5"/>
    </row>
    <row r="265" ht="14.25" customHeight="1">
      <c r="A265" s="4"/>
      <c r="B265" s="4"/>
      <c r="C265" s="4"/>
      <c r="D265" s="4"/>
      <c r="E265" s="333"/>
      <c r="F265" s="333"/>
      <c r="G265" s="4"/>
      <c r="H265" s="4"/>
      <c r="I265" s="5"/>
      <c r="J265" s="5"/>
      <c r="K265" s="5"/>
      <c r="L265" s="5"/>
      <c r="M265" s="5"/>
      <c r="N265" s="5"/>
      <c r="O265" s="5"/>
      <c r="P265" s="5"/>
      <c r="Q265" s="5"/>
      <c r="R265" s="5"/>
      <c r="S265" s="5"/>
      <c r="T265" s="5"/>
      <c r="U265" s="5"/>
      <c r="V265" s="5"/>
      <c r="W265" s="5"/>
      <c r="X265" s="5"/>
      <c r="Y265" s="5"/>
      <c r="Z265" s="5"/>
    </row>
    <row r="266" ht="14.25" customHeight="1">
      <c r="A266" s="4"/>
      <c r="B266" s="4"/>
      <c r="C266" s="4"/>
      <c r="D266" s="4"/>
      <c r="E266" s="333"/>
      <c r="F266" s="333"/>
      <c r="G266" s="4"/>
      <c r="H266" s="4"/>
      <c r="I266" s="5"/>
      <c r="J266" s="5"/>
      <c r="K266" s="5"/>
      <c r="L266" s="5"/>
      <c r="M266" s="5"/>
      <c r="N266" s="5"/>
      <c r="O266" s="5"/>
      <c r="P266" s="5"/>
      <c r="Q266" s="5"/>
      <c r="R266" s="5"/>
      <c r="S266" s="5"/>
      <c r="T266" s="5"/>
      <c r="U266" s="5"/>
      <c r="V266" s="5"/>
      <c r="W266" s="5"/>
      <c r="X266" s="5"/>
      <c r="Y266" s="5"/>
      <c r="Z266" s="5"/>
    </row>
    <row r="267" ht="14.25" customHeight="1">
      <c r="A267" s="4"/>
      <c r="B267" s="4"/>
      <c r="C267" s="4"/>
      <c r="D267" s="4"/>
      <c r="E267" s="333"/>
      <c r="F267" s="333"/>
      <c r="G267" s="4"/>
      <c r="H267" s="4"/>
      <c r="I267" s="5"/>
      <c r="J267" s="5"/>
      <c r="K267" s="5"/>
      <c r="L267" s="5"/>
      <c r="M267" s="5"/>
      <c r="N267" s="5"/>
      <c r="O267" s="5"/>
      <c r="P267" s="5"/>
      <c r="Q267" s="5"/>
      <c r="R267" s="5"/>
      <c r="S267" s="5"/>
      <c r="T267" s="5"/>
      <c r="U267" s="5"/>
      <c r="V267" s="5"/>
      <c r="W267" s="5"/>
      <c r="X267" s="5"/>
      <c r="Y267" s="5"/>
      <c r="Z267" s="5"/>
    </row>
    <row r="268" ht="14.25" customHeight="1">
      <c r="A268" s="4"/>
      <c r="B268" s="4"/>
      <c r="C268" s="4"/>
      <c r="D268" s="4"/>
      <c r="E268" s="333"/>
      <c r="F268" s="333"/>
      <c r="G268" s="4"/>
      <c r="H268" s="4"/>
      <c r="I268" s="5"/>
      <c r="J268" s="5"/>
      <c r="K268" s="5"/>
      <c r="L268" s="5"/>
      <c r="M268" s="5"/>
      <c r="N268" s="5"/>
      <c r="O268" s="5"/>
      <c r="P268" s="5"/>
      <c r="Q268" s="5"/>
      <c r="R268" s="5"/>
      <c r="S268" s="5"/>
      <c r="T268" s="5"/>
      <c r="U268" s="5"/>
      <c r="V268" s="5"/>
      <c r="W268" s="5"/>
      <c r="X268" s="5"/>
      <c r="Y268" s="5"/>
      <c r="Z268" s="5"/>
    </row>
    <row r="269" ht="14.25" customHeight="1">
      <c r="A269" s="4"/>
      <c r="B269" s="4"/>
      <c r="C269" s="4"/>
      <c r="D269" s="4"/>
      <c r="E269" s="333"/>
      <c r="F269" s="333"/>
      <c r="G269" s="4"/>
      <c r="H269" s="4"/>
      <c r="I269" s="5"/>
      <c r="J269" s="5"/>
      <c r="K269" s="5"/>
      <c r="L269" s="5"/>
      <c r="M269" s="5"/>
      <c r="N269" s="5"/>
      <c r="O269" s="5"/>
      <c r="P269" s="5"/>
      <c r="Q269" s="5"/>
      <c r="R269" s="5"/>
      <c r="S269" s="5"/>
      <c r="T269" s="5"/>
      <c r="U269" s="5"/>
      <c r="V269" s="5"/>
      <c r="W269" s="5"/>
      <c r="X269" s="5"/>
      <c r="Y269" s="5"/>
      <c r="Z269" s="5"/>
    </row>
    <row r="270" ht="14.25" customHeight="1">
      <c r="A270" s="4"/>
      <c r="B270" s="4"/>
      <c r="C270" s="4"/>
      <c r="D270" s="4"/>
      <c r="E270" s="333"/>
      <c r="F270" s="333"/>
      <c r="G270" s="4"/>
      <c r="H270" s="4"/>
      <c r="I270" s="5"/>
      <c r="J270" s="5"/>
      <c r="K270" s="5"/>
      <c r="L270" s="5"/>
      <c r="M270" s="5"/>
      <c r="N270" s="5"/>
      <c r="O270" s="5"/>
      <c r="P270" s="5"/>
      <c r="Q270" s="5"/>
      <c r="R270" s="5"/>
      <c r="S270" s="5"/>
      <c r="T270" s="5"/>
      <c r="U270" s="5"/>
      <c r="V270" s="5"/>
      <c r="W270" s="5"/>
      <c r="X270" s="5"/>
      <c r="Y270" s="5"/>
      <c r="Z270" s="5"/>
    </row>
    <row r="271" ht="14.25" customHeight="1">
      <c r="A271" s="4"/>
      <c r="B271" s="4"/>
      <c r="C271" s="4"/>
      <c r="D271" s="4"/>
      <c r="E271" s="333"/>
      <c r="F271" s="333"/>
      <c r="G271" s="4"/>
      <c r="H271" s="4"/>
      <c r="I271" s="5"/>
      <c r="J271" s="5"/>
      <c r="K271" s="5"/>
      <c r="L271" s="5"/>
      <c r="M271" s="5"/>
      <c r="N271" s="5"/>
      <c r="O271" s="5"/>
      <c r="P271" s="5"/>
      <c r="Q271" s="5"/>
      <c r="R271" s="5"/>
      <c r="S271" s="5"/>
      <c r="T271" s="5"/>
      <c r="U271" s="5"/>
      <c r="V271" s="5"/>
      <c r="W271" s="5"/>
      <c r="X271" s="5"/>
      <c r="Y271" s="5"/>
      <c r="Z271" s="5"/>
    </row>
    <row r="272" ht="14.25" customHeight="1">
      <c r="A272" s="4"/>
      <c r="B272" s="4"/>
      <c r="C272" s="4"/>
      <c r="D272" s="4"/>
      <c r="E272" s="333"/>
      <c r="F272" s="333"/>
      <c r="G272" s="4"/>
      <c r="H272" s="4"/>
      <c r="I272" s="5"/>
      <c r="J272" s="5"/>
      <c r="K272" s="5"/>
      <c r="L272" s="5"/>
      <c r="M272" s="5"/>
      <c r="N272" s="5"/>
      <c r="O272" s="5"/>
      <c r="P272" s="5"/>
      <c r="Q272" s="5"/>
      <c r="R272" s="5"/>
      <c r="S272" s="5"/>
      <c r="T272" s="5"/>
      <c r="U272" s="5"/>
      <c r="V272" s="5"/>
      <c r="W272" s="5"/>
      <c r="X272" s="5"/>
      <c r="Y272" s="5"/>
      <c r="Z272" s="5"/>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25">
    <sortState ref="A1:H25">
      <sortCondition descending="1" ref="H1:H25"/>
    </sortState>
  </autoFilter>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5"/>
    <col customWidth="1" min="2" max="2" width="23.25"/>
    <col customWidth="1" min="3" max="3" width="13.5"/>
    <col customWidth="1" min="4" max="4" width="11.38"/>
    <col customWidth="1" min="5" max="9" width="11.75"/>
    <col customWidth="1" min="10" max="10" width="58.63"/>
    <col customWidth="1" min="11" max="23" width="11.0"/>
  </cols>
  <sheetData>
    <row r="1">
      <c r="A1" s="3"/>
      <c r="B1" s="345" t="str">
        <f>Parametres!$B$1&amp;" "&amp;"2 pager"&amp;" "&amp;Parametres!$B$3&amp;" "&amp;Parametres!$B$4</f>
        <v>Ste-Marie Auto 2 pager Septembre 2026</v>
      </c>
      <c r="C1" s="346"/>
      <c r="D1" s="346"/>
      <c r="E1" s="346"/>
      <c r="F1" s="346"/>
      <c r="G1" s="346"/>
      <c r="H1" s="346"/>
      <c r="I1" s="346"/>
      <c r="J1" s="346"/>
      <c r="K1" s="3"/>
      <c r="L1" s="3"/>
      <c r="M1" s="3"/>
      <c r="N1" s="3"/>
      <c r="O1" s="3"/>
      <c r="P1" s="3"/>
      <c r="Q1" s="3"/>
      <c r="R1" s="3"/>
      <c r="S1" s="3"/>
      <c r="T1" s="3"/>
      <c r="U1" s="3"/>
      <c r="V1" s="3"/>
      <c r="W1" s="3"/>
    </row>
    <row r="2">
      <c r="A2" s="3"/>
      <c r="B2" s="33"/>
      <c r="C2" s="3"/>
      <c r="D2" s="3"/>
      <c r="E2" s="3"/>
      <c r="F2" s="3"/>
      <c r="G2" s="3"/>
      <c r="H2" s="3"/>
      <c r="I2" s="3"/>
      <c r="J2" s="3"/>
      <c r="K2" s="3"/>
      <c r="L2" s="3"/>
      <c r="M2" s="3"/>
      <c r="N2" s="3"/>
      <c r="O2" s="3"/>
      <c r="P2" s="3"/>
      <c r="Q2" s="3"/>
      <c r="R2" s="3"/>
      <c r="S2" s="3"/>
      <c r="T2" s="3"/>
      <c r="U2" s="3"/>
      <c r="V2" s="3"/>
      <c r="W2" s="3"/>
    </row>
    <row r="3">
      <c r="A3" s="3"/>
      <c r="B3" s="347" t="s">
        <v>706</v>
      </c>
      <c r="C3" s="348" t="s">
        <v>707</v>
      </c>
      <c r="D3" s="349" t="s">
        <v>708</v>
      </c>
      <c r="E3" s="350">
        <v>2023.0</v>
      </c>
      <c r="F3" s="349" t="s">
        <v>709</v>
      </c>
      <c r="G3" s="351" t="s">
        <v>710</v>
      </c>
      <c r="H3" s="349" t="s">
        <v>711</v>
      </c>
      <c r="I3" s="351" t="s">
        <v>712</v>
      </c>
      <c r="J3" s="347" t="s">
        <v>713</v>
      </c>
      <c r="K3" s="3"/>
      <c r="L3" s="3"/>
      <c r="M3" s="3"/>
      <c r="N3" s="3"/>
      <c r="O3" s="3"/>
      <c r="P3" s="3"/>
      <c r="Q3" s="3"/>
      <c r="R3" s="3"/>
      <c r="S3" s="3"/>
      <c r="T3" s="3"/>
      <c r="U3" s="3"/>
      <c r="V3" s="3"/>
      <c r="W3" s="3"/>
    </row>
    <row r="4" ht="14.25" customHeight="1">
      <c r="A4" s="3"/>
      <c r="B4" s="352" t="s">
        <v>714</v>
      </c>
      <c r="C4" s="353">
        <f>+Print_Mois!$J$13+Print_Mois!$J$15</f>
        <v>79</v>
      </c>
      <c r="D4" s="353">
        <f>+Print_Mois!$D$13+Print_Mois!$D$15</f>
        <v>0</v>
      </c>
      <c r="E4" s="353">
        <f>+Print_Mois!$O$13+Print_Mois!$O$15</f>
        <v>62</v>
      </c>
      <c r="F4" s="354">
        <f t="shared" ref="F4:G4" si="1">+IFERROR($C4-D4,"")</f>
        <v>79</v>
      </c>
      <c r="G4" s="355">
        <f t="shared" si="1"/>
        <v>17</v>
      </c>
      <c r="H4" s="356" t="str">
        <f t="shared" ref="H4:H15" si="3">+IFERROR(F4/ABS($D4),"")</f>
        <v/>
      </c>
      <c r="I4" s="357">
        <f t="shared" ref="I4:I15" si="4">+IFERROR(G4/ABS($E4),"")</f>
        <v>0.2741935484</v>
      </c>
      <c r="J4" s="358" t="s">
        <v>715</v>
      </c>
      <c r="K4" s="3"/>
      <c r="L4" s="3"/>
      <c r="M4" s="3"/>
      <c r="N4" s="3"/>
      <c r="O4" s="3"/>
      <c r="P4" s="3"/>
      <c r="Q4" s="3"/>
      <c r="R4" s="3"/>
      <c r="S4" s="3"/>
      <c r="T4" s="3"/>
      <c r="U4" s="3"/>
      <c r="V4" s="3"/>
      <c r="W4" s="3"/>
    </row>
    <row r="5">
      <c r="A5" s="3"/>
      <c r="B5" s="359" t="s">
        <v>716</v>
      </c>
      <c r="C5" s="360">
        <f>+Print_Mois!$L$13+Print_Mois!$L$15</f>
        <v>122739.28</v>
      </c>
      <c r="D5" s="360">
        <f>+Print_Mois!$F$13+Print_Mois!$F$15</f>
        <v>0</v>
      </c>
      <c r="E5" s="360">
        <f>+Print_Mois!$Q$13+Print_Mois!$Q$15</f>
        <v>145676.85</v>
      </c>
      <c r="F5" s="361">
        <f t="shared" ref="F5:G5" si="2">+IFERROR($C5-D5,"")</f>
        <v>122739.28</v>
      </c>
      <c r="G5" s="362">
        <f t="shared" si="2"/>
        <v>-22937.57</v>
      </c>
      <c r="H5" s="363" t="str">
        <f t="shared" si="3"/>
        <v/>
      </c>
      <c r="I5" s="364">
        <f t="shared" si="4"/>
        <v>-0.1574551482</v>
      </c>
      <c r="J5" s="365"/>
      <c r="K5" s="3"/>
      <c r="L5" s="3"/>
      <c r="M5" s="3"/>
      <c r="N5" s="3"/>
      <c r="O5" s="3"/>
      <c r="P5" s="3"/>
      <c r="Q5" s="3"/>
      <c r="R5" s="3"/>
      <c r="S5" s="3"/>
      <c r="T5" s="3"/>
      <c r="U5" s="3"/>
      <c r="V5" s="3"/>
      <c r="W5" s="3"/>
    </row>
    <row r="6">
      <c r="A6" s="3"/>
      <c r="B6" s="359" t="s">
        <v>717</v>
      </c>
      <c r="C6" s="360">
        <f t="shared" ref="C6:E6" si="5">+C5/C4</f>
        <v>1553.661772</v>
      </c>
      <c r="D6" s="360" t="str">
        <f t="shared" si="5"/>
        <v>#DIV/0!</v>
      </c>
      <c r="E6" s="360">
        <f t="shared" si="5"/>
        <v>2349.626613</v>
      </c>
      <c r="F6" s="361" t="str">
        <f t="shared" ref="F6:G6" si="6">+IFERROR($C6-D6,"")</f>
        <v/>
      </c>
      <c r="G6" s="362">
        <f t="shared" si="6"/>
        <v>-795.9648408</v>
      </c>
      <c r="H6" s="363" t="str">
        <f t="shared" si="3"/>
        <v/>
      </c>
      <c r="I6" s="364">
        <f t="shared" si="4"/>
        <v>-0.3387622682</v>
      </c>
      <c r="J6" s="365"/>
      <c r="K6" s="3"/>
      <c r="L6" s="3"/>
      <c r="M6" s="3"/>
      <c r="N6" s="3"/>
      <c r="O6" s="3"/>
      <c r="P6" s="3"/>
      <c r="Q6" s="3"/>
      <c r="R6" s="3"/>
      <c r="S6" s="3"/>
      <c r="T6" s="3"/>
      <c r="U6" s="3"/>
      <c r="V6" s="3"/>
      <c r="W6" s="3"/>
    </row>
    <row r="7">
      <c r="A7" s="3"/>
      <c r="B7" s="359" t="s">
        <v>718</v>
      </c>
      <c r="C7" s="360">
        <f>+Print_Mois!$L$31</f>
        <v>41136.25</v>
      </c>
      <c r="D7" s="360" t="str">
        <f>+Print_Mois!$F$31</f>
        <v/>
      </c>
      <c r="E7" s="360">
        <f>+Print_Mois!$Q$31</f>
        <v>61855.41</v>
      </c>
      <c r="F7" s="361">
        <f t="shared" ref="F7:G7" si="7">+IFERROR($C7-D7,"")</f>
        <v>41136.25</v>
      </c>
      <c r="G7" s="362">
        <f t="shared" si="7"/>
        <v>-20719.16</v>
      </c>
      <c r="H7" s="363" t="str">
        <f t="shared" si="3"/>
        <v/>
      </c>
      <c r="I7" s="364">
        <f t="shared" si="4"/>
        <v>-0.3349611618</v>
      </c>
      <c r="J7" s="365"/>
      <c r="K7" s="3"/>
      <c r="L7" s="3"/>
      <c r="M7" s="3"/>
      <c r="N7" s="3"/>
      <c r="O7" s="3"/>
      <c r="P7" s="3"/>
      <c r="Q7" s="3"/>
      <c r="R7" s="3"/>
      <c r="S7" s="3"/>
      <c r="T7" s="3"/>
      <c r="U7" s="3"/>
      <c r="V7" s="3"/>
      <c r="W7" s="3"/>
    </row>
    <row r="8">
      <c r="A8" s="3"/>
      <c r="B8" s="359" t="s">
        <v>719</v>
      </c>
      <c r="C8" s="366">
        <f t="shared" ref="C8:E8" si="8">+C7/C5</f>
        <v>0.335151469</v>
      </c>
      <c r="D8" s="366" t="str">
        <f t="shared" si="8"/>
        <v>#DIV/0!</v>
      </c>
      <c r="E8" s="366">
        <f t="shared" si="8"/>
        <v>0.4246069983</v>
      </c>
      <c r="F8" s="367" t="str">
        <f t="shared" ref="F8:G8" si="9">+IFERROR($C8-D8,"")</f>
        <v/>
      </c>
      <c r="G8" s="368">
        <f t="shared" si="9"/>
        <v>-0.08945552927</v>
      </c>
      <c r="H8" s="363" t="str">
        <f t="shared" si="3"/>
        <v/>
      </c>
      <c r="I8" s="364">
        <f t="shared" si="4"/>
        <v>-0.2106784147</v>
      </c>
      <c r="J8" s="365"/>
      <c r="K8" s="3"/>
      <c r="L8" s="3"/>
      <c r="M8" s="3"/>
      <c r="N8" s="3"/>
      <c r="O8" s="3"/>
      <c r="P8" s="3"/>
      <c r="Q8" s="3"/>
      <c r="R8" s="3"/>
      <c r="S8" s="3"/>
      <c r="T8" s="3"/>
      <c r="U8" s="3"/>
      <c r="V8" s="3"/>
      <c r="W8" s="3"/>
    </row>
    <row r="9">
      <c r="A9" s="3"/>
      <c r="B9" s="359" t="s">
        <v>720</v>
      </c>
      <c r="C9" s="360">
        <f>+Print_Mois!$L$24</f>
        <v>44726.9</v>
      </c>
      <c r="D9" s="360">
        <f>+Print_Mois!$F$24</f>
        <v>0</v>
      </c>
      <c r="E9" s="360">
        <f>+Print_Mois!$Q$24</f>
        <v>51120.92</v>
      </c>
      <c r="F9" s="361">
        <f t="shared" ref="F9:G9" si="10">+IFERROR($C9-D9,"")</f>
        <v>44726.9</v>
      </c>
      <c r="G9" s="362">
        <f t="shared" si="10"/>
        <v>-6394.02</v>
      </c>
      <c r="H9" s="363" t="str">
        <f t="shared" si="3"/>
        <v/>
      </c>
      <c r="I9" s="364">
        <f t="shared" si="4"/>
        <v>-0.1250763875</v>
      </c>
      <c r="J9" s="365"/>
      <c r="K9" s="3"/>
      <c r="L9" s="3"/>
      <c r="M9" s="3"/>
      <c r="N9" s="3"/>
      <c r="O9" s="3"/>
      <c r="P9" s="3"/>
      <c r="Q9" s="3"/>
      <c r="R9" s="3"/>
      <c r="S9" s="3"/>
      <c r="T9" s="3"/>
      <c r="U9" s="3"/>
      <c r="V9" s="3"/>
      <c r="W9" s="3"/>
    </row>
    <row r="10">
      <c r="A10" s="3"/>
      <c r="B10" s="359" t="s">
        <v>721</v>
      </c>
      <c r="C10" s="360">
        <f t="shared" ref="C10:E10" si="11">+C9/C4</f>
        <v>566.1632911</v>
      </c>
      <c r="D10" s="360" t="str">
        <f t="shared" si="11"/>
        <v>#DIV/0!</v>
      </c>
      <c r="E10" s="360">
        <f t="shared" si="11"/>
        <v>824.5309677</v>
      </c>
      <c r="F10" s="361" t="str">
        <f t="shared" ref="F10:G10" si="12">+IFERROR($C10-D10,"")</f>
        <v/>
      </c>
      <c r="G10" s="362">
        <f t="shared" si="12"/>
        <v>-258.3676766</v>
      </c>
      <c r="H10" s="363" t="str">
        <f t="shared" si="3"/>
        <v/>
      </c>
      <c r="I10" s="364">
        <f t="shared" si="4"/>
        <v>-0.3133510889</v>
      </c>
      <c r="J10" s="365"/>
      <c r="K10" s="3"/>
      <c r="L10" s="3"/>
      <c r="M10" s="3"/>
      <c r="N10" s="3"/>
      <c r="O10" s="3"/>
      <c r="P10" s="3"/>
      <c r="Q10" s="3"/>
      <c r="R10" s="3"/>
      <c r="S10" s="3"/>
      <c r="T10" s="3"/>
      <c r="U10" s="3"/>
      <c r="V10" s="3"/>
      <c r="W10" s="3"/>
    </row>
    <row r="11">
      <c r="A11" s="3"/>
      <c r="B11" s="359" t="s">
        <v>722</v>
      </c>
      <c r="C11" s="360">
        <f>+Print_Mois!$L$32</f>
        <v>14134.04</v>
      </c>
      <c r="D11" s="360" t="str">
        <f>+Print_Mois!$F$32</f>
        <v/>
      </c>
      <c r="E11" s="360">
        <f>+Print_Mois!$Q$32</f>
        <v>17003.09</v>
      </c>
      <c r="F11" s="361">
        <f t="shared" ref="F11:G11" si="13">+IFERROR($C11-D11,"")</f>
        <v>14134.04</v>
      </c>
      <c r="G11" s="362">
        <f t="shared" si="13"/>
        <v>-2869.05</v>
      </c>
      <c r="H11" s="363" t="str">
        <f t="shared" si="3"/>
        <v/>
      </c>
      <c r="I11" s="364">
        <f t="shared" si="4"/>
        <v>-0.1687369766</v>
      </c>
      <c r="J11" s="365"/>
      <c r="K11" s="3"/>
      <c r="L11" s="3"/>
      <c r="M11" s="3"/>
      <c r="N11" s="3"/>
      <c r="O11" s="3"/>
      <c r="P11" s="3"/>
      <c r="Q11" s="3"/>
      <c r="R11" s="3"/>
      <c r="S11" s="3"/>
      <c r="T11" s="3"/>
      <c r="U11" s="3"/>
      <c r="V11" s="3"/>
      <c r="W11" s="3"/>
    </row>
    <row r="12">
      <c r="A12" s="3"/>
      <c r="B12" s="359" t="s">
        <v>723</v>
      </c>
      <c r="C12" s="366">
        <f t="shared" ref="C12:E12" si="14">+C11/C9</f>
        <v>0.3160075927</v>
      </c>
      <c r="D12" s="366" t="str">
        <f t="shared" si="14"/>
        <v>#DIV/0!</v>
      </c>
      <c r="E12" s="366">
        <f t="shared" si="14"/>
        <v>0.3326053209</v>
      </c>
      <c r="F12" s="363" t="str">
        <f t="shared" ref="F12:G12" si="15">+IFERROR($C12-D12,"")</f>
        <v/>
      </c>
      <c r="G12" s="369">
        <f t="shared" si="15"/>
        <v>-0.01659772813</v>
      </c>
      <c r="H12" s="363" t="str">
        <f t="shared" si="3"/>
        <v/>
      </c>
      <c r="I12" s="364">
        <f t="shared" si="4"/>
        <v>-0.0499021726</v>
      </c>
      <c r="J12" s="365"/>
      <c r="K12" s="3"/>
      <c r="L12" s="3"/>
      <c r="M12" s="3"/>
      <c r="N12" s="3"/>
      <c r="O12" s="3"/>
      <c r="P12" s="3"/>
      <c r="Q12" s="3"/>
      <c r="R12" s="3"/>
      <c r="S12" s="3"/>
      <c r="T12" s="3"/>
      <c r="U12" s="3"/>
      <c r="V12" s="3"/>
      <c r="W12" s="3"/>
    </row>
    <row r="13">
      <c r="A13" s="3"/>
      <c r="B13" s="359" t="s">
        <v>724</v>
      </c>
      <c r="C13" s="360">
        <f>+Print_Mois!$L$41-C7-C11</f>
        <v>-132164.2</v>
      </c>
      <c r="D13" s="360">
        <f>+Print_Mois!$F$41-D7-D11</f>
        <v>0</v>
      </c>
      <c r="E13" s="360">
        <f>+Print_Mois!$Q$41-E7-E11</f>
        <v>-277851.65</v>
      </c>
      <c r="F13" s="361">
        <f t="shared" ref="F13:G13" si="16">+IFERROR($C13-D13,"")</f>
        <v>-132164.2</v>
      </c>
      <c r="G13" s="362">
        <f t="shared" si="16"/>
        <v>145687.45</v>
      </c>
      <c r="H13" s="363" t="str">
        <f t="shared" si="3"/>
        <v/>
      </c>
      <c r="I13" s="364">
        <f t="shared" si="4"/>
        <v>0.5243353782</v>
      </c>
      <c r="J13" s="365"/>
      <c r="K13" s="3"/>
      <c r="L13" s="3"/>
      <c r="M13" s="3"/>
      <c r="N13" s="3"/>
      <c r="O13" s="3"/>
      <c r="P13" s="3"/>
      <c r="Q13" s="3"/>
      <c r="R13" s="3"/>
      <c r="S13" s="3"/>
      <c r="T13" s="3"/>
      <c r="U13" s="3"/>
      <c r="V13" s="3"/>
      <c r="W13" s="3"/>
    </row>
    <row r="14">
      <c r="A14" s="3"/>
      <c r="B14" s="359" t="s">
        <v>725</v>
      </c>
      <c r="C14" s="360">
        <f t="shared" ref="C14:E14" si="17">+C13/C4</f>
        <v>-1672.964557</v>
      </c>
      <c r="D14" s="360" t="str">
        <f t="shared" si="17"/>
        <v>#DIV/0!</v>
      </c>
      <c r="E14" s="360">
        <f t="shared" si="17"/>
        <v>-4481.478226</v>
      </c>
      <c r="F14" s="361" t="str">
        <f t="shared" ref="F14:G14" si="18">+IFERROR($C14-D14,"")</f>
        <v/>
      </c>
      <c r="G14" s="362">
        <f t="shared" si="18"/>
        <v>2808.513669</v>
      </c>
      <c r="H14" s="363" t="str">
        <f t="shared" si="3"/>
        <v/>
      </c>
      <c r="I14" s="364">
        <f t="shared" si="4"/>
        <v>0.626693588</v>
      </c>
      <c r="J14" s="365"/>
      <c r="K14" s="3"/>
      <c r="L14" s="3"/>
      <c r="M14" s="3"/>
      <c r="N14" s="3"/>
      <c r="O14" s="3"/>
      <c r="P14" s="3"/>
      <c r="Q14" s="3"/>
      <c r="R14" s="3"/>
      <c r="S14" s="3"/>
      <c r="T14" s="3"/>
      <c r="U14" s="3"/>
      <c r="V14" s="3"/>
      <c r="W14" s="3"/>
    </row>
    <row r="15">
      <c r="A15" s="3"/>
      <c r="B15" s="359" t="s">
        <v>726</v>
      </c>
      <c r="C15" s="360">
        <f>+Print_Mois!$L$83</f>
        <v>94019.71</v>
      </c>
      <c r="D15" s="360">
        <f>+Print_Mois!$F$83</f>
        <v>0</v>
      </c>
      <c r="E15" s="360">
        <f>+Print_Mois!$Q$83</f>
        <v>26831.51</v>
      </c>
      <c r="F15" s="361">
        <f t="shared" ref="F15:G15" si="19">+IFERROR($C15-D15,"")</f>
        <v>94019.71</v>
      </c>
      <c r="G15" s="362">
        <f t="shared" si="19"/>
        <v>67188.2</v>
      </c>
      <c r="H15" s="363" t="str">
        <f t="shared" si="3"/>
        <v/>
      </c>
      <c r="I15" s="364">
        <f t="shared" si="4"/>
        <v>2.504078227</v>
      </c>
      <c r="J15" s="365"/>
      <c r="K15" s="3"/>
      <c r="L15" s="3"/>
      <c r="M15" s="3"/>
      <c r="N15" s="3"/>
      <c r="O15" s="3"/>
      <c r="P15" s="3"/>
      <c r="Q15" s="3"/>
      <c r="R15" s="3"/>
      <c r="S15" s="3"/>
      <c r="T15" s="3"/>
      <c r="U15" s="3"/>
      <c r="V15" s="3"/>
      <c r="W15" s="3"/>
    </row>
    <row r="16" ht="15.0" hidden="1" customHeight="1">
      <c r="A16" s="3"/>
      <c r="B16" s="370" t="s">
        <v>727</v>
      </c>
      <c r="C16" s="371"/>
      <c r="D16" s="371"/>
      <c r="E16" s="371"/>
      <c r="F16" s="372"/>
      <c r="G16" s="373"/>
      <c r="H16" s="374"/>
      <c r="I16" s="375"/>
      <c r="J16" s="365"/>
      <c r="K16" s="3"/>
      <c r="L16" s="3"/>
      <c r="M16" s="3"/>
      <c r="N16" s="3"/>
      <c r="O16" s="3"/>
      <c r="P16" s="3"/>
      <c r="Q16" s="3"/>
      <c r="R16" s="3"/>
      <c r="S16" s="3"/>
      <c r="T16" s="3"/>
      <c r="U16" s="3"/>
      <c r="V16" s="3"/>
      <c r="W16" s="3"/>
    </row>
    <row r="17" ht="15.0" hidden="1" customHeight="1">
      <c r="A17" s="3"/>
      <c r="B17" s="376" t="s">
        <v>714</v>
      </c>
      <c r="C17" s="377">
        <f>Inventaire_Neuf!L3</f>
        <v>71</v>
      </c>
      <c r="D17" s="377">
        <v>61.0</v>
      </c>
      <c r="E17" s="377">
        <v>164.0</v>
      </c>
      <c r="F17" s="361">
        <f t="shared" ref="F17:G17" si="20">+IFERROR($C17-D17,"")</f>
        <v>10</v>
      </c>
      <c r="G17" s="362">
        <f t="shared" si="20"/>
        <v>-93</v>
      </c>
      <c r="H17" s="363">
        <f t="shared" ref="H17:H18" si="22">+IFERROR(F17/ABS($D17),"")</f>
        <v>0.1639344262</v>
      </c>
      <c r="I17" s="364">
        <f t="shared" ref="I17:I18" si="23">+IFERROR(G17/ABS($E17),"")</f>
        <v>-0.5670731707</v>
      </c>
      <c r="J17" s="365"/>
      <c r="K17" s="3"/>
      <c r="L17" s="3"/>
      <c r="M17" s="3"/>
      <c r="N17" s="3"/>
      <c r="O17" s="3"/>
      <c r="P17" s="3"/>
      <c r="Q17" s="3"/>
      <c r="R17" s="3"/>
      <c r="S17" s="3"/>
      <c r="T17" s="3"/>
      <c r="U17" s="3"/>
      <c r="V17" s="3"/>
      <c r="W17" s="3"/>
    </row>
    <row r="18">
      <c r="A18" s="3"/>
      <c r="B18" s="378" t="s">
        <v>728</v>
      </c>
      <c r="C18" s="379">
        <f>Inventaire_Neuf!L2</f>
        <v>3059537.15</v>
      </c>
      <c r="D18" s="379">
        <v>2233570.0</v>
      </c>
      <c r="E18" s="379">
        <v>5689693.18</v>
      </c>
      <c r="F18" s="380">
        <f t="shared" ref="F18:G18" si="21">+IFERROR($C18-D18,"")</f>
        <v>825967.15</v>
      </c>
      <c r="G18" s="381">
        <f t="shared" si="21"/>
        <v>-2630156.03</v>
      </c>
      <c r="H18" s="382">
        <f t="shared" si="22"/>
        <v>0.3697968499</v>
      </c>
      <c r="I18" s="383">
        <f t="shared" si="23"/>
        <v>-0.4622667597</v>
      </c>
      <c r="J18" s="384"/>
      <c r="K18" s="3"/>
      <c r="L18" s="3"/>
      <c r="M18" s="3"/>
      <c r="N18" s="3"/>
      <c r="O18" s="3"/>
      <c r="P18" s="3"/>
      <c r="Q18" s="3"/>
      <c r="R18" s="3"/>
      <c r="S18" s="3"/>
      <c r="T18" s="3"/>
      <c r="U18" s="3"/>
      <c r="V18" s="3"/>
      <c r="W18" s="3"/>
    </row>
    <row r="19">
      <c r="A19" s="3"/>
      <c r="B19" s="3"/>
      <c r="C19" s="385"/>
      <c r="D19" s="385"/>
      <c r="E19" s="385"/>
      <c r="F19" s="3"/>
      <c r="G19" s="3"/>
      <c r="H19" s="3"/>
      <c r="I19" s="3"/>
      <c r="J19" s="3"/>
      <c r="K19" s="3"/>
      <c r="L19" s="3"/>
      <c r="M19" s="3"/>
      <c r="N19" s="3"/>
      <c r="O19" s="3"/>
      <c r="P19" s="3"/>
      <c r="Q19" s="3"/>
      <c r="R19" s="3"/>
      <c r="S19" s="3"/>
      <c r="T19" s="3"/>
      <c r="U19" s="3"/>
      <c r="V19" s="3"/>
      <c r="W19" s="3"/>
    </row>
    <row r="20">
      <c r="A20" s="3"/>
      <c r="B20" s="386" t="s">
        <v>729</v>
      </c>
      <c r="C20" s="387" t="s">
        <v>707</v>
      </c>
      <c r="D20" s="387" t="s">
        <v>708</v>
      </c>
      <c r="E20" s="387">
        <f>$E$3</f>
        <v>2023</v>
      </c>
      <c r="F20" s="388" t="s">
        <v>709</v>
      </c>
      <c r="G20" s="389" t="str">
        <f>$G$3</f>
        <v>▲2023</v>
      </c>
      <c r="H20" s="388" t="s">
        <v>711</v>
      </c>
      <c r="I20" s="389" t="str">
        <f>$I$3</f>
        <v>% ▲ 2023</v>
      </c>
      <c r="J20" s="390" t="s">
        <v>713</v>
      </c>
      <c r="K20" s="3"/>
      <c r="L20" s="3"/>
      <c r="M20" s="3"/>
      <c r="N20" s="3"/>
      <c r="O20" s="3"/>
      <c r="P20" s="3"/>
      <c r="Q20" s="3"/>
      <c r="R20" s="3"/>
      <c r="S20" s="3"/>
      <c r="T20" s="3"/>
      <c r="U20" s="3"/>
      <c r="V20" s="3"/>
      <c r="W20" s="3"/>
    </row>
    <row r="21" ht="15.75" customHeight="1">
      <c r="A21" s="3"/>
      <c r="B21" s="352" t="s">
        <v>714</v>
      </c>
      <c r="C21" s="353">
        <f>+Print_Mois!$J$97</f>
        <v>22</v>
      </c>
      <c r="D21" s="353">
        <f>+Print_Mois!$D$97</f>
        <v>0</v>
      </c>
      <c r="E21" s="353">
        <f>+Print_Mois!$O$97</f>
        <v>14</v>
      </c>
      <c r="F21" s="354">
        <f t="shared" ref="F21:G21" si="24">+IFERROR($C21-D21,"")</f>
        <v>22</v>
      </c>
      <c r="G21" s="355">
        <f t="shared" si="24"/>
        <v>8</v>
      </c>
      <c r="H21" s="356" t="str">
        <f t="shared" ref="H21:H32" si="26">+IFERROR(F21/ABS($D21),"")</f>
        <v/>
      </c>
      <c r="I21" s="357">
        <f t="shared" ref="I21:I32" si="27">+IFERROR(G21/ABS($E21),"")</f>
        <v>0.5714285714</v>
      </c>
      <c r="J21" s="358" t="s">
        <v>730</v>
      </c>
      <c r="K21" s="3"/>
      <c r="L21" s="3"/>
      <c r="M21" s="3"/>
      <c r="N21" s="3"/>
      <c r="O21" s="3"/>
      <c r="P21" s="3"/>
      <c r="Q21" s="3"/>
      <c r="R21" s="3"/>
      <c r="S21" s="3"/>
      <c r="T21" s="3"/>
      <c r="U21" s="3"/>
      <c r="V21" s="3"/>
      <c r="W21" s="3"/>
    </row>
    <row r="22" ht="15.75" customHeight="1">
      <c r="A22" s="3"/>
      <c r="B22" s="359" t="s">
        <v>716</v>
      </c>
      <c r="C22" s="360">
        <f>+Print_Mois!$L$97</f>
        <v>35979.75</v>
      </c>
      <c r="D22" s="360">
        <f>+Print_Mois!$F$97</f>
        <v>0</v>
      </c>
      <c r="E22" s="360">
        <f>+Print_Mois!$Q$97</f>
        <v>3671.2</v>
      </c>
      <c r="F22" s="361">
        <f t="shared" ref="F22:G22" si="25">+IFERROR($C22-D22,"")</f>
        <v>35979.75</v>
      </c>
      <c r="G22" s="362">
        <f t="shared" si="25"/>
        <v>32308.55</v>
      </c>
      <c r="H22" s="363" t="str">
        <f t="shared" si="26"/>
        <v/>
      </c>
      <c r="I22" s="364">
        <f t="shared" si="27"/>
        <v>8.800542057</v>
      </c>
      <c r="J22" s="365"/>
      <c r="K22" s="3"/>
      <c r="L22" s="3"/>
      <c r="M22" s="3"/>
      <c r="N22" s="3"/>
      <c r="O22" s="3"/>
      <c r="P22" s="3"/>
      <c r="Q22" s="3"/>
      <c r="R22" s="3"/>
      <c r="S22" s="3"/>
      <c r="T22" s="3"/>
      <c r="U22" s="3"/>
      <c r="V22" s="3"/>
      <c r="W22" s="3"/>
    </row>
    <row r="23" ht="15.75" customHeight="1">
      <c r="A23" s="3"/>
      <c r="B23" s="359" t="s">
        <v>717</v>
      </c>
      <c r="C23" s="360">
        <f t="shared" ref="C23:E23" si="28">+C22/C21</f>
        <v>1635.443182</v>
      </c>
      <c r="D23" s="360" t="str">
        <f t="shared" si="28"/>
        <v>#DIV/0!</v>
      </c>
      <c r="E23" s="360">
        <f t="shared" si="28"/>
        <v>262.2285714</v>
      </c>
      <c r="F23" s="361" t="str">
        <f t="shared" ref="F23:G23" si="29">+IFERROR($C23-D23,"")</f>
        <v/>
      </c>
      <c r="G23" s="362">
        <f t="shared" si="29"/>
        <v>1373.21461</v>
      </c>
      <c r="H23" s="363" t="str">
        <f t="shared" si="26"/>
        <v/>
      </c>
      <c r="I23" s="364">
        <f t="shared" si="27"/>
        <v>5.236708582</v>
      </c>
      <c r="J23" s="365"/>
      <c r="K23" s="3"/>
      <c r="L23" s="3"/>
      <c r="M23" s="3"/>
      <c r="N23" s="3"/>
      <c r="O23" s="3"/>
      <c r="P23" s="3"/>
      <c r="Q23" s="3"/>
      <c r="R23" s="3"/>
      <c r="S23" s="3"/>
      <c r="T23" s="3"/>
      <c r="U23" s="3"/>
      <c r="V23" s="3"/>
      <c r="W23" s="3"/>
    </row>
    <row r="24" ht="15.75" customHeight="1">
      <c r="A24" s="3"/>
      <c r="B24" s="359" t="s">
        <v>718</v>
      </c>
      <c r="C24" s="360">
        <f>+Print_Mois!$L$113</f>
        <v>8525.91</v>
      </c>
      <c r="D24" s="360" t="str">
        <f>+Print_Mois!$F$113</f>
        <v/>
      </c>
      <c r="E24" s="360">
        <f>+Print_Mois!$Q$113</f>
        <v>22985.69</v>
      </c>
      <c r="F24" s="361">
        <f t="shared" ref="F24:G24" si="30">+IFERROR($C24-D24,"")</f>
        <v>8525.91</v>
      </c>
      <c r="G24" s="362">
        <f t="shared" si="30"/>
        <v>-14459.78</v>
      </c>
      <c r="H24" s="363" t="str">
        <f t="shared" si="26"/>
        <v/>
      </c>
      <c r="I24" s="364">
        <f t="shared" si="27"/>
        <v>-0.6290774826</v>
      </c>
      <c r="J24" s="365"/>
      <c r="K24" s="3"/>
      <c r="L24" s="3"/>
      <c r="M24" s="3"/>
      <c r="N24" s="3"/>
      <c r="O24" s="3"/>
      <c r="P24" s="3"/>
      <c r="Q24" s="3"/>
      <c r="R24" s="3"/>
      <c r="S24" s="3"/>
      <c r="T24" s="3"/>
      <c r="U24" s="3"/>
      <c r="V24" s="3"/>
      <c r="W24" s="3"/>
    </row>
    <row r="25" ht="15.75" customHeight="1">
      <c r="A25" s="3"/>
      <c r="B25" s="359" t="s">
        <v>719</v>
      </c>
      <c r="C25" s="366">
        <f t="shared" ref="C25:E25" si="31">+C24/C22</f>
        <v>0.2369641257</v>
      </c>
      <c r="D25" s="366" t="str">
        <f t="shared" si="31"/>
        <v>#DIV/0!</v>
      </c>
      <c r="E25" s="366">
        <f t="shared" si="31"/>
        <v>6.261083569</v>
      </c>
      <c r="F25" s="367" t="str">
        <f t="shared" ref="F25:G25" si="32">+IFERROR($C25-D25,"")</f>
        <v/>
      </c>
      <c r="G25" s="368">
        <f t="shared" si="32"/>
        <v>-6.024119444</v>
      </c>
      <c r="H25" s="363" t="str">
        <f t="shared" si="26"/>
        <v/>
      </c>
      <c r="I25" s="364">
        <f t="shared" si="27"/>
        <v>-0.9621528569</v>
      </c>
      <c r="J25" s="365"/>
      <c r="K25" s="3"/>
      <c r="L25" s="3"/>
      <c r="M25" s="3"/>
      <c r="N25" s="3"/>
      <c r="O25" s="3"/>
      <c r="P25" s="3"/>
      <c r="Q25" s="3"/>
      <c r="R25" s="3"/>
      <c r="S25" s="3"/>
      <c r="T25" s="3"/>
      <c r="U25" s="3"/>
      <c r="V25" s="3"/>
      <c r="W25" s="3"/>
    </row>
    <row r="26" ht="15.75" customHeight="1">
      <c r="A26" s="3"/>
      <c r="B26" s="359" t="s">
        <v>720</v>
      </c>
      <c r="C26" s="360">
        <f>+Print_Mois!$L$106</f>
        <v>6256.64</v>
      </c>
      <c r="D26" s="360">
        <f>+Print_Mois!$F$106</f>
        <v>0</v>
      </c>
      <c r="E26" s="360">
        <f>+Print_Mois!$Q$106</f>
        <v>14409.39</v>
      </c>
      <c r="F26" s="361">
        <f t="shared" ref="F26:G26" si="33">+IFERROR($C26-D26,"")</f>
        <v>6256.64</v>
      </c>
      <c r="G26" s="362">
        <f t="shared" si="33"/>
        <v>-8152.75</v>
      </c>
      <c r="H26" s="363" t="str">
        <f t="shared" si="26"/>
        <v/>
      </c>
      <c r="I26" s="364">
        <f t="shared" si="27"/>
        <v>-0.5657942494</v>
      </c>
      <c r="J26" s="365"/>
      <c r="K26" s="3"/>
      <c r="L26" s="3"/>
      <c r="M26" s="3"/>
      <c r="N26" s="3"/>
      <c r="O26" s="3"/>
      <c r="P26" s="3"/>
      <c r="Q26" s="3"/>
      <c r="R26" s="3"/>
      <c r="S26" s="3"/>
      <c r="T26" s="3"/>
      <c r="U26" s="3"/>
      <c r="V26" s="3"/>
      <c r="W26" s="3"/>
    </row>
    <row r="27" ht="15.75" customHeight="1">
      <c r="A27" s="3"/>
      <c r="B27" s="359" t="s">
        <v>721</v>
      </c>
      <c r="C27" s="360">
        <f t="shared" ref="C27:E27" si="34">+C26/C21</f>
        <v>284.3927273</v>
      </c>
      <c r="D27" s="360" t="str">
        <f t="shared" si="34"/>
        <v>#DIV/0!</v>
      </c>
      <c r="E27" s="360">
        <f t="shared" si="34"/>
        <v>1029.242143</v>
      </c>
      <c r="F27" s="361" t="str">
        <f t="shared" ref="F27:G27" si="35">+IFERROR($C27-D27,"")</f>
        <v/>
      </c>
      <c r="G27" s="362">
        <f t="shared" si="35"/>
        <v>-744.8494156</v>
      </c>
      <c r="H27" s="363" t="str">
        <f t="shared" si="26"/>
        <v/>
      </c>
      <c r="I27" s="364">
        <f t="shared" si="27"/>
        <v>-0.7236872496</v>
      </c>
      <c r="J27" s="365"/>
      <c r="K27" s="3"/>
      <c r="L27" s="3"/>
      <c r="M27" s="3"/>
      <c r="N27" s="3"/>
      <c r="O27" s="3"/>
      <c r="P27" s="3"/>
      <c r="Q27" s="3"/>
      <c r="R27" s="3"/>
      <c r="S27" s="3"/>
      <c r="T27" s="3"/>
      <c r="U27" s="3"/>
      <c r="V27" s="3"/>
      <c r="W27" s="3"/>
    </row>
    <row r="28" ht="15.75" customHeight="1">
      <c r="A28" s="3"/>
      <c r="B28" s="359" t="s">
        <v>722</v>
      </c>
      <c r="C28" s="360">
        <f>+Print_Mois!$L$114</f>
        <v>2538.6</v>
      </c>
      <c r="D28" s="360" t="str">
        <f>+Print_Mois!$F$114</f>
        <v/>
      </c>
      <c r="E28" s="360">
        <f>+Print_Mois!$Q$114</f>
        <v>4176.23</v>
      </c>
      <c r="F28" s="361">
        <f t="shared" ref="F28:G28" si="36">+IFERROR($C28-D28,"")</f>
        <v>2538.6</v>
      </c>
      <c r="G28" s="362">
        <f t="shared" si="36"/>
        <v>-1637.63</v>
      </c>
      <c r="H28" s="363" t="str">
        <f t="shared" si="26"/>
        <v/>
      </c>
      <c r="I28" s="364">
        <f t="shared" si="27"/>
        <v>-0.3921311805</v>
      </c>
      <c r="J28" s="365"/>
      <c r="K28" s="3"/>
      <c r="L28" s="3"/>
      <c r="M28" s="3"/>
      <c r="N28" s="3"/>
      <c r="O28" s="3"/>
      <c r="P28" s="3"/>
      <c r="Q28" s="3"/>
      <c r="R28" s="3"/>
      <c r="S28" s="3"/>
      <c r="T28" s="3"/>
      <c r="U28" s="3"/>
      <c r="V28" s="3"/>
      <c r="W28" s="3"/>
    </row>
    <row r="29" ht="15.75" customHeight="1">
      <c r="A29" s="3"/>
      <c r="B29" s="359" t="s">
        <v>723</v>
      </c>
      <c r="C29" s="366">
        <f t="shared" ref="C29:E29" si="37">+C28/C26</f>
        <v>0.4057449366</v>
      </c>
      <c r="D29" s="366" t="str">
        <f t="shared" si="37"/>
        <v>#DIV/0!</v>
      </c>
      <c r="E29" s="366">
        <f t="shared" si="37"/>
        <v>0.2898269809</v>
      </c>
      <c r="F29" s="363" t="str">
        <f t="shared" ref="F29:G29" si="38">+IFERROR($C29-D29,"")</f>
        <v/>
      </c>
      <c r="G29" s="369">
        <f t="shared" si="38"/>
        <v>0.1159179557</v>
      </c>
      <c r="H29" s="363" t="str">
        <f t="shared" si="26"/>
        <v/>
      </c>
      <c r="I29" s="364">
        <f t="shared" si="27"/>
        <v>0.3999557093</v>
      </c>
      <c r="J29" s="365"/>
      <c r="K29" s="3"/>
      <c r="L29" s="3"/>
      <c r="M29" s="3"/>
      <c r="N29" s="3"/>
      <c r="O29" s="3"/>
      <c r="P29" s="3"/>
      <c r="Q29" s="3"/>
      <c r="R29" s="3"/>
      <c r="S29" s="3"/>
      <c r="T29" s="3"/>
      <c r="U29" s="3"/>
      <c r="V29" s="3"/>
      <c r="W29" s="3"/>
    </row>
    <row r="30" ht="15.75" customHeight="1">
      <c r="A30" s="3"/>
      <c r="B30" s="359" t="s">
        <v>724</v>
      </c>
      <c r="C30" s="360">
        <f>+Print_Mois!$L$123-C24-C28</f>
        <v>12781.25</v>
      </c>
      <c r="D30" s="360">
        <f>+Print_Mois!$F$123-D24-D28</f>
        <v>0</v>
      </c>
      <c r="E30" s="360">
        <f>+Print_Mois!$Q$123-E24-E28</f>
        <v>16434.03</v>
      </c>
      <c r="F30" s="361">
        <f t="shared" ref="F30:G30" si="39">+IFERROR($C30-D30,"")</f>
        <v>12781.25</v>
      </c>
      <c r="G30" s="362">
        <f t="shared" si="39"/>
        <v>-3652.78</v>
      </c>
      <c r="H30" s="363" t="str">
        <f t="shared" si="26"/>
        <v/>
      </c>
      <c r="I30" s="364">
        <f t="shared" si="27"/>
        <v>-0.2222692791</v>
      </c>
      <c r="J30" s="365"/>
      <c r="K30" s="3"/>
      <c r="L30" s="3"/>
      <c r="M30" s="3"/>
      <c r="N30" s="3"/>
      <c r="O30" s="3"/>
      <c r="P30" s="3"/>
      <c r="Q30" s="3"/>
      <c r="R30" s="3"/>
      <c r="S30" s="3"/>
      <c r="T30" s="3"/>
      <c r="U30" s="3"/>
      <c r="V30" s="3"/>
      <c r="W30" s="3"/>
    </row>
    <row r="31" ht="15.75" customHeight="1">
      <c r="A31" s="3"/>
      <c r="B31" s="359" t="s">
        <v>725</v>
      </c>
      <c r="C31" s="360">
        <f t="shared" ref="C31:E31" si="40">+C30/C21</f>
        <v>580.9659091</v>
      </c>
      <c r="D31" s="360" t="str">
        <f t="shared" si="40"/>
        <v>#DIV/0!</v>
      </c>
      <c r="E31" s="360">
        <f t="shared" si="40"/>
        <v>1173.859286</v>
      </c>
      <c r="F31" s="361" t="str">
        <f t="shared" ref="F31:G31" si="41">+IFERROR($C31-D31,"")</f>
        <v/>
      </c>
      <c r="G31" s="362">
        <f t="shared" si="41"/>
        <v>-592.8933766</v>
      </c>
      <c r="H31" s="363" t="str">
        <f t="shared" si="26"/>
        <v/>
      </c>
      <c r="I31" s="364">
        <f t="shared" si="27"/>
        <v>-0.5050804503</v>
      </c>
      <c r="J31" s="365"/>
      <c r="K31" s="3"/>
      <c r="L31" s="3"/>
      <c r="M31" s="3"/>
      <c r="N31" s="3"/>
      <c r="O31" s="3"/>
      <c r="P31" s="3"/>
      <c r="Q31" s="3"/>
      <c r="R31" s="3"/>
      <c r="S31" s="3"/>
      <c r="T31" s="3"/>
      <c r="U31" s="3"/>
      <c r="V31" s="3"/>
      <c r="W31" s="3"/>
    </row>
    <row r="32" ht="15.75" customHeight="1">
      <c r="A32" s="3"/>
      <c r="B32" s="359" t="s">
        <v>726</v>
      </c>
      <c r="C32" s="360">
        <f>+Print_Mois!$L$164</f>
        <v>5500</v>
      </c>
      <c r="D32" s="360">
        <f>+Print_Mois!$F$164</f>
        <v>0</v>
      </c>
      <c r="E32" s="360">
        <f>+Print_Mois!$Q$164</f>
        <v>0</v>
      </c>
      <c r="F32" s="361">
        <f t="shared" ref="F32:G32" si="42">+IFERROR($C32-D32,"")</f>
        <v>5500</v>
      </c>
      <c r="G32" s="362">
        <f t="shared" si="42"/>
        <v>5500</v>
      </c>
      <c r="H32" s="363" t="str">
        <f t="shared" si="26"/>
        <v/>
      </c>
      <c r="I32" s="364" t="str">
        <f t="shared" si="27"/>
        <v/>
      </c>
      <c r="J32" s="365"/>
      <c r="K32" s="3"/>
      <c r="L32" s="3"/>
      <c r="M32" s="3"/>
      <c r="N32" s="3"/>
      <c r="O32" s="3"/>
      <c r="P32" s="3"/>
      <c r="Q32" s="3"/>
      <c r="R32" s="3"/>
      <c r="S32" s="3"/>
      <c r="T32" s="3"/>
      <c r="U32" s="3"/>
      <c r="V32" s="3"/>
      <c r="W32" s="3"/>
    </row>
    <row r="33" ht="15.75" hidden="1" customHeight="1">
      <c r="A33" s="3"/>
      <c r="B33" s="370" t="s">
        <v>727</v>
      </c>
      <c r="C33" s="371"/>
      <c r="D33" s="371"/>
      <c r="E33" s="371"/>
      <c r="F33" s="372"/>
      <c r="G33" s="373"/>
      <c r="H33" s="374"/>
      <c r="I33" s="375"/>
      <c r="J33" s="365"/>
      <c r="K33" s="3"/>
      <c r="L33" s="3"/>
      <c r="M33" s="3"/>
      <c r="N33" s="3"/>
      <c r="O33" s="3"/>
      <c r="P33" s="3"/>
      <c r="Q33" s="3"/>
      <c r="R33" s="3"/>
      <c r="S33" s="3"/>
      <c r="T33" s="3"/>
      <c r="U33" s="3"/>
      <c r="V33" s="3"/>
      <c r="W33" s="3"/>
    </row>
    <row r="34" ht="15.75" hidden="1" customHeight="1">
      <c r="A34" s="3"/>
      <c r="B34" s="376" t="s">
        <v>714</v>
      </c>
      <c r="C34" s="391">
        <f>Inventaire_Used!N3</f>
        <v>111</v>
      </c>
      <c r="D34" s="377">
        <v>68.0</v>
      </c>
      <c r="E34" s="377">
        <v>92.0</v>
      </c>
      <c r="F34" s="361">
        <f t="shared" ref="F34:G34" si="43">+IFERROR($C34-D34,"")</f>
        <v>43</v>
      </c>
      <c r="G34" s="362">
        <f t="shared" si="43"/>
        <v>19</v>
      </c>
      <c r="H34" s="363">
        <f t="shared" ref="H34:H35" si="45">+IFERROR(F34/ABS($D34),"")</f>
        <v>0.6323529412</v>
      </c>
      <c r="I34" s="364">
        <f t="shared" ref="I34:I35" si="46">+IFERROR(G34/ABS($E34),"")</f>
        <v>0.2065217391</v>
      </c>
      <c r="J34" s="365"/>
      <c r="K34" s="3"/>
      <c r="L34" s="3"/>
      <c r="M34" s="3"/>
      <c r="N34" s="3"/>
      <c r="O34" s="3"/>
      <c r="P34" s="3"/>
      <c r="Q34" s="3"/>
      <c r="R34" s="3"/>
      <c r="S34" s="3"/>
      <c r="T34" s="3"/>
      <c r="U34" s="3"/>
      <c r="V34" s="3"/>
      <c r="W34" s="3"/>
    </row>
    <row r="35" ht="15.75" customHeight="1">
      <c r="A35" s="3"/>
      <c r="B35" s="378" t="s">
        <v>728</v>
      </c>
      <c r="C35" s="379">
        <f>Inventaire_Used!N2</f>
        <v>2779322.1</v>
      </c>
      <c r="D35" s="379">
        <v>1072231.0</v>
      </c>
      <c r="E35" s="379">
        <v>1510979.0</v>
      </c>
      <c r="F35" s="380">
        <f t="shared" ref="F35:G35" si="44">+IFERROR($C35-D35,"")</f>
        <v>1707091.1</v>
      </c>
      <c r="G35" s="381">
        <f t="shared" si="44"/>
        <v>1268343.1</v>
      </c>
      <c r="H35" s="382">
        <f t="shared" si="45"/>
        <v>1.592092655</v>
      </c>
      <c r="I35" s="383">
        <f t="shared" si="46"/>
        <v>0.8394180859</v>
      </c>
      <c r="J35" s="384"/>
      <c r="K35" s="3"/>
      <c r="L35" s="3"/>
      <c r="M35" s="3"/>
      <c r="N35" s="3"/>
      <c r="O35" s="3"/>
      <c r="P35" s="3"/>
      <c r="Q35" s="3"/>
      <c r="R35" s="3"/>
      <c r="S35" s="3"/>
      <c r="T35" s="3"/>
      <c r="U35" s="3"/>
      <c r="V35" s="3"/>
      <c r="W35" s="3"/>
    </row>
    <row r="36" ht="15.75" customHeight="1">
      <c r="A36" s="3"/>
      <c r="B36" s="3"/>
      <c r="C36" s="385"/>
      <c r="D36" s="385"/>
      <c r="E36" s="385"/>
      <c r="F36" s="3"/>
      <c r="G36" s="3"/>
      <c r="H36" s="3"/>
      <c r="I36" s="3"/>
      <c r="J36" s="3"/>
      <c r="K36" s="3"/>
      <c r="L36" s="3"/>
      <c r="M36" s="3"/>
      <c r="N36" s="3"/>
      <c r="O36" s="3"/>
      <c r="P36" s="3"/>
      <c r="Q36" s="3"/>
      <c r="R36" s="3"/>
      <c r="S36" s="3"/>
      <c r="T36" s="3"/>
      <c r="U36" s="3"/>
      <c r="V36" s="3"/>
      <c r="W36" s="3"/>
    </row>
    <row r="37" ht="15.75" customHeight="1">
      <c r="A37" s="3"/>
      <c r="B37" s="392" t="s">
        <v>161</v>
      </c>
      <c r="C37" s="393" t="s">
        <v>707</v>
      </c>
      <c r="D37" s="393" t="s">
        <v>708</v>
      </c>
      <c r="E37" s="393">
        <f>$E$3</f>
        <v>2023</v>
      </c>
      <c r="F37" s="394" t="s">
        <v>709</v>
      </c>
      <c r="G37" s="395" t="str">
        <f>$G$3</f>
        <v>▲2023</v>
      </c>
      <c r="H37" s="394" t="s">
        <v>711</v>
      </c>
      <c r="I37" s="395" t="str">
        <f>$I$3</f>
        <v>% ▲ 2023</v>
      </c>
      <c r="J37" s="392" t="s">
        <v>713</v>
      </c>
      <c r="K37" s="3"/>
      <c r="L37" s="3"/>
      <c r="M37" s="3"/>
      <c r="N37" s="3"/>
      <c r="O37" s="3"/>
      <c r="P37" s="3"/>
      <c r="Q37" s="3"/>
      <c r="R37" s="3"/>
      <c r="S37" s="3"/>
      <c r="T37" s="3"/>
      <c r="U37" s="3"/>
      <c r="V37" s="3"/>
      <c r="W37" s="3"/>
    </row>
    <row r="38" ht="15.75" customHeight="1">
      <c r="A38" s="3"/>
      <c r="B38" s="352" t="s">
        <v>731</v>
      </c>
      <c r="C38" s="396">
        <f>+Print_Mois!$K$268</f>
        <v>165773.14</v>
      </c>
      <c r="D38" s="396">
        <f>+Print_Mois!$E$268</f>
        <v>0</v>
      </c>
      <c r="E38" s="396">
        <f>+Print_Mois!$P$268</f>
        <v>217072.67</v>
      </c>
      <c r="F38" s="397">
        <f t="shared" ref="F38:G38" si="47">+IFERROR($C38-D38,"")</f>
        <v>165773.14</v>
      </c>
      <c r="G38" s="398">
        <f t="shared" si="47"/>
        <v>-51299.53</v>
      </c>
      <c r="H38" s="356" t="str">
        <f t="shared" ref="H38:H47" si="49">+IFERROR(F38/ABS($D38),"")</f>
        <v/>
      </c>
      <c r="I38" s="357">
        <f t="shared" ref="I38:I47" si="50">+IFERROR(G38/ABS($E38),"")</f>
        <v>-0.2363242227</v>
      </c>
      <c r="J38" s="358" t="s">
        <v>732</v>
      </c>
      <c r="K38" s="3"/>
      <c r="L38" s="3"/>
      <c r="M38" s="3"/>
      <c r="N38" s="3"/>
      <c r="O38" s="3"/>
      <c r="P38" s="3"/>
      <c r="Q38" s="3"/>
      <c r="R38" s="3"/>
      <c r="S38" s="3"/>
      <c r="T38" s="3"/>
      <c r="U38" s="3"/>
      <c r="V38" s="3"/>
      <c r="W38" s="3"/>
    </row>
    <row r="39" ht="15.75" customHeight="1">
      <c r="A39" s="3"/>
      <c r="B39" s="352" t="s">
        <v>733</v>
      </c>
      <c r="C39" s="396">
        <f>+Print_Mois!$L$268</f>
        <v>107821.07</v>
      </c>
      <c r="D39" s="396">
        <f>+Print_Mois!$F$268</f>
        <v>0</v>
      </c>
      <c r="E39" s="396">
        <f>+Print_Mois!$Q$268</f>
        <v>152404.22</v>
      </c>
      <c r="F39" s="397">
        <f t="shared" ref="F39:G39" si="48">+IFERROR($C39-D39,"")</f>
        <v>107821.07</v>
      </c>
      <c r="G39" s="398">
        <f t="shared" si="48"/>
        <v>-44583.15</v>
      </c>
      <c r="H39" s="399" t="str">
        <f t="shared" si="49"/>
        <v/>
      </c>
      <c r="I39" s="400">
        <f t="shared" si="50"/>
        <v>-0.292532254</v>
      </c>
      <c r="J39" s="365"/>
      <c r="K39" s="3"/>
      <c r="L39" s="3"/>
      <c r="M39" s="3"/>
      <c r="N39" s="3"/>
      <c r="O39" s="3"/>
      <c r="P39" s="3"/>
      <c r="Q39" s="3"/>
      <c r="R39" s="3"/>
      <c r="S39" s="3"/>
      <c r="T39" s="3"/>
      <c r="U39" s="3"/>
      <c r="V39" s="3"/>
      <c r="W39" s="3"/>
    </row>
    <row r="40" ht="15.75" customHeight="1">
      <c r="A40" s="3"/>
      <c r="B40" s="359" t="s">
        <v>734</v>
      </c>
      <c r="C40" s="360">
        <f>+Print_Mois!$K$246/Print_Mois!$J$246</f>
        <v>241.4521645</v>
      </c>
      <c r="D40" s="360" t="str">
        <f>+IFERROR(Print_Mois!$E$246/Print_Mois!$D$246,"")</f>
        <v/>
      </c>
      <c r="E40" s="360">
        <f>+Print_Mois!$P$246/Print_Mois!$O$246</f>
        <v>351.9385167</v>
      </c>
      <c r="F40" s="361">
        <f t="shared" ref="F40:G40" si="51">+IFERROR($C40-D40,"")</f>
        <v>241.4521645</v>
      </c>
      <c r="G40" s="362">
        <f t="shared" si="51"/>
        <v>-110.4863522</v>
      </c>
      <c r="H40" s="363" t="str">
        <f t="shared" si="49"/>
        <v/>
      </c>
      <c r="I40" s="364">
        <f t="shared" si="50"/>
        <v>-0.3139365173</v>
      </c>
      <c r="J40" s="365"/>
      <c r="K40" s="3"/>
      <c r="L40" s="3"/>
      <c r="M40" s="3"/>
      <c r="N40" s="3"/>
      <c r="O40" s="3"/>
      <c r="P40" s="3"/>
      <c r="Q40" s="3"/>
      <c r="R40" s="3"/>
      <c r="S40" s="3"/>
      <c r="T40" s="3"/>
      <c r="U40" s="3"/>
      <c r="V40" s="3"/>
      <c r="W40" s="3"/>
    </row>
    <row r="41" ht="15.75" customHeight="1">
      <c r="A41" s="3"/>
      <c r="B41" s="359" t="s">
        <v>735</v>
      </c>
      <c r="C41" s="360">
        <f>+Print_Mois!$K$249/Print_Mois!$J$249</f>
        <v>139.6912796</v>
      </c>
      <c r="D41" s="360" t="str">
        <f>+IFERROR(Print_Mois!$E$249/Print_Mois!$D$249,"")</f>
        <v/>
      </c>
      <c r="E41" s="360">
        <f>+Print_Mois!$P$249/Print_Mois!$O$249</f>
        <v>166.9152439</v>
      </c>
      <c r="F41" s="361">
        <f t="shared" ref="F41:G41" si="52">+IFERROR($C41-D41,"")</f>
        <v>139.6912796</v>
      </c>
      <c r="G41" s="362">
        <f t="shared" si="52"/>
        <v>-27.22396428</v>
      </c>
      <c r="H41" s="363" t="str">
        <f t="shared" si="49"/>
        <v/>
      </c>
      <c r="I41" s="364">
        <f t="shared" si="50"/>
        <v>-0.1631005272</v>
      </c>
      <c r="J41" s="365"/>
      <c r="K41" s="3"/>
      <c r="L41" s="3"/>
      <c r="M41" s="3"/>
      <c r="N41" s="3"/>
      <c r="O41" s="3"/>
      <c r="P41" s="3"/>
      <c r="Q41" s="3"/>
      <c r="R41" s="3"/>
      <c r="S41" s="3"/>
      <c r="T41" s="3"/>
      <c r="U41" s="3"/>
      <c r="V41" s="3"/>
      <c r="W41" s="3"/>
    </row>
    <row r="42" ht="15.75" customHeight="1">
      <c r="A42" s="3"/>
      <c r="B42" s="359" t="s">
        <v>736</v>
      </c>
      <c r="C42" s="360">
        <f>+Print_Mois!$L$258</f>
        <v>0</v>
      </c>
      <c r="D42" s="360" t="str">
        <f>+Print_Mois!$F$258</f>
        <v/>
      </c>
      <c r="E42" s="360">
        <f>+Print_Mois!$Q$258</f>
        <v>1668.89</v>
      </c>
      <c r="F42" s="361">
        <f t="shared" ref="F42:G42" si="53">+IFERROR($C42-D42,"")</f>
        <v>0</v>
      </c>
      <c r="G42" s="362">
        <f t="shared" si="53"/>
        <v>-1668.89</v>
      </c>
      <c r="H42" s="363" t="str">
        <f t="shared" si="49"/>
        <v/>
      </c>
      <c r="I42" s="364">
        <f t="shared" si="50"/>
        <v>-1</v>
      </c>
      <c r="J42" s="365"/>
      <c r="K42" s="3"/>
      <c r="L42" s="3"/>
      <c r="M42" s="3"/>
      <c r="N42" s="3"/>
      <c r="O42" s="3"/>
      <c r="P42" s="3"/>
      <c r="Q42" s="3"/>
      <c r="R42" s="3"/>
      <c r="S42" s="3"/>
      <c r="T42" s="3"/>
      <c r="U42" s="3"/>
      <c r="V42" s="3"/>
      <c r="W42" s="3"/>
    </row>
    <row r="43" ht="15.75" customHeight="1">
      <c r="A43" s="3"/>
      <c r="B43" s="359" t="s">
        <v>737</v>
      </c>
      <c r="C43" s="360">
        <f>+Print_Mois!$L$284</f>
        <v>76580.41</v>
      </c>
      <c r="D43" s="360">
        <f>+Print_Mois!$F$284</f>
        <v>0</v>
      </c>
      <c r="E43" s="360">
        <f>+Print_Mois!$Q$284</f>
        <v>103572.63</v>
      </c>
      <c r="F43" s="361">
        <f t="shared" ref="F43:G43" si="54">+IFERROR($C43-D43,"")</f>
        <v>76580.41</v>
      </c>
      <c r="G43" s="362">
        <f t="shared" si="54"/>
        <v>-26992.22</v>
      </c>
      <c r="H43" s="363" t="str">
        <f t="shared" si="49"/>
        <v/>
      </c>
      <c r="I43" s="364">
        <f t="shared" si="50"/>
        <v>-0.2606115148</v>
      </c>
      <c r="J43" s="365"/>
      <c r="K43" s="3"/>
      <c r="L43" s="3"/>
      <c r="M43" s="3"/>
      <c r="N43" s="3"/>
      <c r="O43" s="3"/>
      <c r="P43" s="3"/>
      <c r="Q43" s="3"/>
      <c r="R43" s="3"/>
      <c r="S43" s="3"/>
      <c r="T43" s="3"/>
      <c r="U43" s="3"/>
      <c r="V43" s="3"/>
      <c r="W43" s="3"/>
    </row>
    <row r="44" ht="15.75" customHeight="1">
      <c r="A44" s="3"/>
      <c r="B44" s="376" t="s">
        <v>738</v>
      </c>
      <c r="C44" s="360">
        <f>+SUM(Print_Mois!$L$272:$L$278)</f>
        <v>43480.65</v>
      </c>
      <c r="D44" s="360">
        <f>+SUM(Print_Mois!$F$272:$F$278)</f>
        <v>0</v>
      </c>
      <c r="E44" s="360">
        <f>+SUM(Print_Mois!$Q$272:$Q$278)</f>
        <v>62329.85</v>
      </c>
      <c r="F44" s="361">
        <f t="shared" ref="F44:G44" si="55">+IFERROR($C44-D44,"")</f>
        <v>43480.65</v>
      </c>
      <c r="G44" s="362">
        <f t="shared" si="55"/>
        <v>-18849.2</v>
      </c>
      <c r="H44" s="363" t="str">
        <f t="shared" si="49"/>
        <v/>
      </c>
      <c r="I44" s="364">
        <f t="shared" si="50"/>
        <v>-0.3024104823</v>
      </c>
      <c r="J44" s="365"/>
      <c r="K44" s="3"/>
      <c r="L44" s="3"/>
      <c r="M44" s="3"/>
      <c r="N44" s="3"/>
      <c r="O44" s="3"/>
      <c r="P44" s="3"/>
      <c r="Q44" s="3"/>
      <c r="R44" s="3"/>
      <c r="S44" s="3"/>
      <c r="T44" s="3"/>
      <c r="U44" s="3"/>
      <c r="V44" s="3"/>
      <c r="W44" s="3"/>
    </row>
    <row r="45" ht="15.75" customHeight="1">
      <c r="A45" s="3"/>
      <c r="B45" s="376" t="s">
        <v>739</v>
      </c>
      <c r="C45" s="360">
        <f>+SUM(Print_Mois!$L$279:$L$283)</f>
        <v>33099.76</v>
      </c>
      <c r="D45" s="360">
        <f>+SUM(Print_Mois!$F$279:$F$283)</f>
        <v>0</v>
      </c>
      <c r="E45" s="360">
        <f>+SUM(Print_Mois!$Q$279:$Q$283)</f>
        <v>41242.78</v>
      </c>
      <c r="F45" s="361">
        <f t="shared" ref="F45:G45" si="56">+IFERROR($C45-D45,"")</f>
        <v>33099.76</v>
      </c>
      <c r="G45" s="362">
        <f t="shared" si="56"/>
        <v>-8143.02</v>
      </c>
      <c r="H45" s="363" t="str">
        <f t="shared" si="49"/>
        <v/>
      </c>
      <c r="I45" s="364">
        <f t="shared" si="50"/>
        <v>-0.1974411036</v>
      </c>
      <c r="J45" s="365"/>
      <c r="K45" s="3"/>
      <c r="L45" s="3"/>
      <c r="M45" s="3"/>
      <c r="N45" s="3"/>
      <c r="O45" s="3"/>
      <c r="P45" s="3"/>
      <c r="Q45" s="3"/>
      <c r="R45" s="3"/>
      <c r="S45" s="3"/>
      <c r="T45" s="3"/>
      <c r="U45" s="3"/>
      <c r="V45" s="3"/>
      <c r="W45" s="3"/>
    </row>
    <row r="46" ht="15.75" customHeight="1">
      <c r="A46" s="3"/>
      <c r="B46" s="359" t="s">
        <v>740</v>
      </c>
      <c r="C46" s="366">
        <f t="shared" ref="C46:E46" si="57">+C43/C38</f>
        <v>0.4619590966</v>
      </c>
      <c r="D46" s="366" t="str">
        <f t="shared" si="57"/>
        <v>#DIV/0!</v>
      </c>
      <c r="E46" s="366">
        <f t="shared" si="57"/>
        <v>0.4771334411</v>
      </c>
      <c r="F46" s="367" t="str">
        <f t="shared" ref="F46:G46" si="58">+IFERROR($C46-D46,"")</f>
        <v/>
      </c>
      <c r="G46" s="368">
        <f t="shared" si="58"/>
        <v>-0.01517434444</v>
      </c>
      <c r="H46" s="363" t="str">
        <f t="shared" si="49"/>
        <v/>
      </c>
      <c r="I46" s="364">
        <f t="shared" si="50"/>
        <v>-0.0318031459</v>
      </c>
      <c r="J46" s="365"/>
      <c r="K46" s="3"/>
      <c r="L46" s="3"/>
      <c r="M46" s="3"/>
      <c r="N46" s="3"/>
      <c r="O46" s="3"/>
      <c r="P46" s="3"/>
      <c r="Q46" s="3"/>
      <c r="R46" s="3"/>
      <c r="S46" s="3"/>
      <c r="T46" s="3"/>
      <c r="U46" s="3"/>
      <c r="V46" s="3"/>
      <c r="W46" s="3"/>
    </row>
    <row r="47" ht="15.75" customHeight="1">
      <c r="A47" s="3"/>
      <c r="B47" s="401" t="s">
        <v>130</v>
      </c>
      <c r="C47" s="379">
        <f>+Print_Mois!$L$287</f>
        <v>4838.75</v>
      </c>
      <c r="D47" s="379" t="str">
        <f>+Print_Mois!$F$287</f>
        <v/>
      </c>
      <c r="E47" s="379">
        <f>+Print_Mois!$Q$287</f>
        <v>-5174.93</v>
      </c>
      <c r="F47" s="380">
        <f t="shared" ref="F47:G47" si="59">+IFERROR($C47-D47,"")</f>
        <v>4838.75</v>
      </c>
      <c r="G47" s="381">
        <f t="shared" si="59"/>
        <v>10013.68</v>
      </c>
      <c r="H47" s="382" t="str">
        <f t="shared" si="49"/>
        <v/>
      </c>
      <c r="I47" s="383">
        <f t="shared" si="50"/>
        <v>1.935036802</v>
      </c>
      <c r="J47" s="384"/>
      <c r="K47" s="3"/>
      <c r="L47" s="3"/>
      <c r="M47" s="3"/>
      <c r="N47" s="3"/>
      <c r="O47" s="3"/>
      <c r="P47" s="3"/>
      <c r="Q47" s="3"/>
      <c r="R47" s="3"/>
      <c r="S47" s="3"/>
      <c r="T47" s="3"/>
      <c r="U47" s="3"/>
      <c r="V47" s="3"/>
      <c r="W47" s="3"/>
    </row>
    <row r="48" ht="15.75" customHeight="1">
      <c r="A48" s="3"/>
      <c r="B48" s="3"/>
      <c r="C48" s="3"/>
      <c r="D48" s="3"/>
      <c r="E48" s="3"/>
      <c r="F48" s="3"/>
      <c r="G48" s="3"/>
      <c r="H48" s="3"/>
      <c r="I48" s="3"/>
      <c r="J48" s="3"/>
      <c r="K48" s="3"/>
      <c r="L48" s="3"/>
      <c r="M48" s="3"/>
      <c r="N48" s="3"/>
      <c r="O48" s="3"/>
      <c r="P48" s="3"/>
      <c r="Q48" s="3"/>
      <c r="R48" s="3"/>
      <c r="S48" s="3"/>
      <c r="T48" s="3"/>
      <c r="U48" s="3"/>
      <c r="V48" s="3"/>
      <c r="W48" s="3"/>
    </row>
    <row r="49" ht="15.75" customHeight="1">
      <c r="A49" s="3"/>
      <c r="B49" s="402" t="s">
        <v>741</v>
      </c>
      <c r="C49" s="403" t="s">
        <v>707</v>
      </c>
      <c r="D49" s="403" t="s">
        <v>708</v>
      </c>
      <c r="E49" s="403">
        <f>$E$3</f>
        <v>2023</v>
      </c>
      <c r="F49" s="404" t="s">
        <v>709</v>
      </c>
      <c r="G49" s="405" t="str">
        <f>$G$3</f>
        <v>▲2023</v>
      </c>
      <c r="H49" s="404" t="s">
        <v>711</v>
      </c>
      <c r="I49" s="405" t="str">
        <f>$I$3</f>
        <v>% ▲ 2023</v>
      </c>
      <c r="J49" s="406" t="s">
        <v>713</v>
      </c>
      <c r="K49" s="3"/>
      <c r="L49" s="3"/>
      <c r="M49" s="3"/>
      <c r="N49" s="3"/>
      <c r="O49" s="3"/>
      <c r="P49" s="3"/>
      <c r="Q49" s="3"/>
      <c r="R49" s="3"/>
      <c r="S49" s="3"/>
      <c r="T49" s="3"/>
      <c r="U49" s="3"/>
      <c r="V49" s="3"/>
      <c r="W49" s="3"/>
    </row>
    <row r="50" ht="15.0" customHeight="1">
      <c r="A50" s="3"/>
      <c r="B50" s="407" t="s">
        <v>731</v>
      </c>
      <c r="C50" s="396">
        <f>+Print_Mois!$J$390</f>
        <v>375313.01</v>
      </c>
      <c r="D50" s="396">
        <f>+Print_Mois!$D$390</f>
        <v>0</v>
      </c>
      <c r="E50" s="396">
        <f>+Print_Mois!$O$390</f>
        <v>430542.2</v>
      </c>
      <c r="F50" s="397">
        <f t="shared" ref="F50:G50" si="60">+IFERROR($C50-D50,"")</f>
        <v>375313.01</v>
      </c>
      <c r="G50" s="398">
        <f t="shared" si="60"/>
        <v>-55229.19</v>
      </c>
      <c r="H50" s="356" t="str">
        <f t="shared" ref="H50:H59" si="62">+IFERROR(F50/ABS($D50),"")</f>
        <v/>
      </c>
      <c r="I50" s="357">
        <f t="shared" ref="I50:I59" si="63">+IFERROR(G50/ABS($E50),"")</f>
        <v>-0.1282782268</v>
      </c>
      <c r="J50" s="358" t="s">
        <v>742</v>
      </c>
      <c r="K50" s="3"/>
      <c r="L50" s="3"/>
      <c r="M50" s="3"/>
      <c r="N50" s="3"/>
      <c r="O50" s="3"/>
      <c r="P50" s="3"/>
      <c r="Q50" s="3"/>
      <c r="R50" s="3"/>
      <c r="S50" s="3"/>
      <c r="T50" s="3"/>
      <c r="U50" s="3"/>
      <c r="V50" s="3"/>
      <c r="W50" s="3"/>
    </row>
    <row r="51" ht="15.75" customHeight="1">
      <c r="A51" s="3"/>
      <c r="B51" s="376" t="s">
        <v>743</v>
      </c>
      <c r="C51" s="360">
        <f>+Print_Mois!$J$371</f>
        <v>59844.55</v>
      </c>
      <c r="D51" s="360" t="str">
        <f>+Print_Mois!$D$371</f>
        <v/>
      </c>
      <c r="E51" s="360">
        <f>+Print_Mois!$O$371</f>
        <v>54282.65</v>
      </c>
      <c r="F51" s="361">
        <f t="shared" ref="F51:G51" si="61">+IFERROR($C51-D51,"")</f>
        <v>59844.55</v>
      </c>
      <c r="G51" s="362">
        <f t="shared" si="61"/>
        <v>5561.9</v>
      </c>
      <c r="H51" s="363" t="str">
        <f t="shared" si="62"/>
        <v/>
      </c>
      <c r="I51" s="364">
        <f t="shared" si="63"/>
        <v>0.1024618363</v>
      </c>
      <c r="J51" s="365"/>
      <c r="K51" s="3"/>
      <c r="L51" s="3"/>
      <c r="M51" s="3"/>
      <c r="N51" s="3"/>
      <c r="O51" s="3"/>
      <c r="P51" s="3"/>
      <c r="Q51" s="3"/>
      <c r="R51" s="3"/>
      <c r="S51" s="3"/>
      <c r="T51" s="3"/>
      <c r="U51" s="3"/>
      <c r="V51" s="3"/>
      <c r="W51" s="3"/>
    </row>
    <row r="52" ht="15.75" customHeight="1">
      <c r="A52" s="3"/>
      <c r="B52" s="376" t="s">
        <v>744</v>
      </c>
      <c r="C52" s="360">
        <f>+Print_Mois!$J$373</f>
        <v>41863.68</v>
      </c>
      <c r="D52" s="360" t="str">
        <f>+Print_Mois!$D$373</f>
        <v/>
      </c>
      <c r="E52" s="360">
        <f>+Print_Mois!$O$373</f>
        <v>74831.28</v>
      </c>
      <c r="F52" s="361">
        <f t="shared" ref="F52:G52" si="64">+IFERROR($C52-D52,"")</f>
        <v>41863.68</v>
      </c>
      <c r="G52" s="362">
        <f t="shared" si="64"/>
        <v>-32967.6</v>
      </c>
      <c r="H52" s="363" t="str">
        <f t="shared" si="62"/>
        <v/>
      </c>
      <c r="I52" s="364">
        <f t="shared" si="63"/>
        <v>-0.4405590817</v>
      </c>
      <c r="J52" s="365"/>
      <c r="K52" s="3"/>
      <c r="L52" s="3"/>
      <c r="M52" s="3"/>
      <c r="N52" s="3"/>
      <c r="O52" s="3"/>
      <c r="P52" s="3"/>
      <c r="Q52" s="3"/>
      <c r="R52" s="3"/>
      <c r="S52" s="3"/>
      <c r="T52" s="3"/>
      <c r="U52" s="3"/>
      <c r="V52" s="3"/>
      <c r="W52" s="3"/>
    </row>
    <row r="53" ht="15.75" customHeight="1">
      <c r="A53" s="3"/>
      <c r="B53" s="376" t="s">
        <v>745</v>
      </c>
      <c r="C53" s="360">
        <f>+Print_Mois!$J$376</f>
        <v>147838.78</v>
      </c>
      <c r="D53" s="360" t="str">
        <f>+Print_Mois!$D$376</f>
        <v/>
      </c>
      <c r="E53" s="360">
        <f>+Print_Mois!$O$376</f>
        <v>193176.42</v>
      </c>
      <c r="F53" s="361">
        <f t="shared" ref="F53:G53" si="65">+IFERROR($C53-D53,"")</f>
        <v>147838.78</v>
      </c>
      <c r="G53" s="362">
        <f t="shared" si="65"/>
        <v>-45337.64</v>
      </c>
      <c r="H53" s="363" t="str">
        <f t="shared" si="62"/>
        <v/>
      </c>
      <c r="I53" s="364">
        <f t="shared" si="63"/>
        <v>-0.2346955182</v>
      </c>
      <c r="J53" s="365"/>
      <c r="K53" s="3"/>
      <c r="L53" s="3"/>
      <c r="M53" s="3"/>
      <c r="N53" s="3"/>
      <c r="O53" s="3"/>
      <c r="P53" s="3"/>
      <c r="Q53" s="3"/>
      <c r="R53" s="3"/>
      <c r="S53" s="3"/>
      <c r="T53" s="3"/>
      <c r="U53" s="3"/>
      <c r="V53" s="3"/>
      <c r="W53" s="3"/>
    </row>
    <row r="54" ht="15.75" customHeight="1">
      <c r="A54" s="3"/>
      <c r="B54" s="376" t="s">
        <v>746</v>
      </c>
      <c r="C54" s="360">
        <f>+Print_Mois!$J$383</f>
        <v>39663.96</v>
      </c>
      <c r="D54" s="360" t="str">
        <f>+Print_Mois!$D$383</f>
        <v/>
      </c>
      <c r="E54" s="360">
        <f>+Print_Mois!$O$383</f>
        <v>20398.25</v>
      </c>
      <c r="F54" s="361">
        <f t="shared" ref="F54:G54" si="66">+IFERROR($C54-D54,"")</f>
        <v>39663.96</v>
      </c>
      <c r="G54" s="362">
        <f t="shared" si="66"/>
        <v>19265.71</v>
      </c>
      <c r="H54" s="363" t="str">
        <f t="shared" si="62"/>
        <v/>
      </c>
      <c r="I54" s="364">
        <f t="shared" si="63"/>
        <v>0.9444785705</v>
      </c>
      <c r="J54" s="365"/>
      <c r="K54" s="3"/>
      <c r="L54" s="3"/>
      <c r="M54" s="3"/>
      <c r="N54" s="3"/>
      <c r="O54" s="3"/>
      <c r="P54" s="3"/>
      <c r="Q54" s="3"/>
      <c r="R54" s="3"/>
      <c r="S54" s="3"/>
      <c r="T54" s="3"/>
      <c r="U54" s="3"/>
      <c r="V54" s="3"/>
      <c r="W54" s="3"/>
    </row>
    <row r="55" ht="15.75" customHeight="1">
      <c r="A55" s="3"/>
      <c r="B55" s="376" t="s">
        <v>747</v>
      </c>
      <c r="C55" s="360">
        <f t="shared" ref="C55:E55" si="67">+C50-SUM(C51:C54)</f>
        <v>86102.04</v>
      </c>
      <c r="D55" s="360">
        <f t="shared" si="67"/>
        <v>0</v>
      </c>
      <c r="E55" s="360">
        <f t="shared" si="67"/>
        <v>87853.6</v>
      </c>
      <c r="F55" s="361">
        <f t="shared" ref="F55:G55" si="68">+IFERROR($C55-D55,"")</f>
        <v>86102.04</v>
      </c>
      <c r="G55" s="362">
        <f t="shared" si="68"/>
        <v>-1751.56</v>
      </c>
      <c r="H55" s="363" t="str">
        <f t="shared" si="62"/>
        <v/>
      </c>
      <c r="I55" s="364">
        <f t="shared" si="63"/>
        <v>-0.01993725926</v>
      </c>
      <c r="J55" s="365"/>
      <c r="K55" s="3"/>
      <c r="L55" s="3"/>
      <c r="M55" s="3"/>
      <c r="N55" s="3"/>
      <c r="O55" s="3"/>
      <c r="P55" s="3"/>
      <c r="Q55" s="3"/>
      <c r="R55" s="3"/>
      <c r="S55" s="3"/>
      <c r="T55" s="3"/>
      <c r="U55" s="3"/>
      <c r="V55" s="3"/>
      <c r="W55" s="3"/>
    </row>
    <row r="56" ht="15.75" customHeight="1">
      <c r="A56" s="3"/>
      <c r="B56" s="352" t="s">
        <v>733</v>
      </c>
      <c r="C56" s="396">
        <f>+Print_Mois!$L$390</f>
        <v>95793.36</v>
      </c>
      <c r="D56" s="396">
        <f>+Print_Mois!$F$390</f>
        <v>0</v>
      </c>
      <c r="E56" s="396">
        <f>+Print_Mois!$Q$390</f>
        <v>116102.02</v>
      </c>
      <c r="F56" s="397">
        <f t="shared" ref="F56:G56" si="69">+IFERROR($C56-D56,"")</f>
        <v>95793.36</v>
      </c>
      <c r="G56" s="398">
        <f t="shared" si="69"/>
        <v>-20308.66</v>
      </c>
      <c r="H56" s="399" t="str">
        <f t="shared" si="62"/>
        <v/>
      </c>
      <c r="I56" s="400">
        <f t="shared" si="63"/>
        <v>-0.1749208153</v>
      </c>
      <c r="J56" s="365"/>
      <c r="K56" s="3"/>
      <c r="L56" s="3"/>
      <c r="M56" s="3"/>
      <c r="N56" s="3"/>
      <c r="O56" s="3"/>
      <c r="P56" s="3"/>
      <c r="Q56" s="3"/>
      <c r="R56" s="3"/>
      <c r="S56" s="3"/>
      <c r="T56" s="3"/>
      <c r="U56" s="3"/>
      <c r="V56" s="3"/>
      <c r="W56" s="3"/>
    </row>
    <row r="57" ht="15.75" customHeight="1">
      <c r="A57" s="3"/>
      <c r="B57" s="359" t="s">
        <v>734</v>
      </c>
      <c r="C57" s="360">
        <f>+Print_Mois!$J$371/Print_Mois!$J$246</f>
        <v>259.067316</v>
      </c>
      <c r="D57" s="360" t="str">
        <f>+IFERROR(Print_Mois!$D$371/Print_Mois!$D$246,"")</f>
        <v/>
      </c>
      <c r="E57" s="360">
        <f>+Print_Mois!$O$371/Print_Mois!$O$246</f>
        <v>259.7255981</v>
      </c>
      <c r="F57" s="361">
        <f t="shared" ref="F57:G57" si="70">+IFERROR($C57-D57,"")</f>
        <v>259.067316</v>
      </c>
      <c r="G57" s="362">
        <f t="shared" si="70"/>
        <v>-0.6582820688</v>
      </c>
      <c r="H57" s="363" t="str">
        <f t="shared" si="62"/>
        <v/>
      </c>
      <c r="I57" s="364">
        <f t="shared" si="63"/>
        <v>-0.002534529032</v>
      </c>
      <c r="J57" s="365"/>
      <c r="K57" s="3"/>
      <c r="L57" s="3"/>
      <c r="M57" s="3"/>
      <c r="N57" s="3"/>
      <c r="O57" s="3"/>
      <c r="P57" s="3"/>
      <c r="Q57" s="3"/>
      <c r="R57" s="3"/>
      <c r="S57" s="3"/>
      <c r="T57" s="3"/>
      <c r="U57" s="3"/>
      <c r="V57" s="3"/>
      <c r="W57" s="3"/>
    </row>
    <row r="58" ht="15.75" customHeight="1">
      <c r="A58" s="3"/>
      <c r="B58" s="359" t="s">
        <v>735</v>
      </c>
      <c r="C58" s="360">
        <f>+Print_Mois!$J$373/Print_Mois!$J$249</f>
        <v>198.4060664</v>
      </c>
      <c r="D58" s="360" t="str">
        <f>+IFERROR(Print_Mois!$D$373/Print_Mois!$D$249,"")</f>
        <v/>
      </c>
      <c r="E58" s="360">
        <f>+Print_Mois!$O$373/Print_Mois!$O$249</f>
        <v>228.1441463</v>
      </c>
      <c r="F58" s="361">
        <f t="shared" ref="F58:G58" si="71">+IFERROR($C58-D58,"")</f>
        <v>198.4060664</v>
      </c>
      <c r="G58" s="362">
        <f t="shared" si="71"/>
        <v>-29.73807999</v>
      </c>
      <c r="H58" s="363" t="str">
        <f t="shared" si="62"/>
        <v/>
      </c>
      <c r="I58" s="364">
        <f t="shared" si="63"/>
        <v>-0.1303477668</v>
      </c>
      <c r="J58" s="365"/>
      <c r="K58" s="3"/>
      <c r="L58" s="3"/>
      <c r="M58" s="3"/>
      <c r="N58" s="3"/>
      <c r="O58" s="3"/>
      <c r="P58" s="3"/>
      <c r="Q58" s="3"/>
      <c r="R58" s="3"/>
      <c r="S58" s="3"/>
      <c r="T58" s="3"/>
      <c r="U58" s="3"/>
      <c r="V58" s="3"/>
      <c r="W58" s="3"/>
    </row>
    <row r="59" ht="15.75" customHeight="1">
      <c r="A59" s="3"/>
      <c r="B59" s="401" t="s">
        <v>121</v>
      </c>
      <c r="C59" s="379">
        <f>+Print_Mois!$L$396</f>
        <v>13234.44</v>
      </c>
      <c r="D59" s="379" t="str">
        <f>+Print_Mois!$F$396</f>
        <v/>
      </c>
      <c r="E59" s="379">
        <f>+Print_Mois!$Q$396</f>
        <v>21239.36</v>
      </c>
      <c r="F59" s="380">
        <f t="shared" ref="F59:G59" si="72">+IFERROR($C59-D59,"")</f>
        <v>13234.44</v>
      </c>
      <c r="G59" s="381">
        <f t="shared" si="72"/>
        <v>-8004.92</v>
      </c>
      <c r="H59" s="382" t="str">
        <f t="shared" si="62"/>
        <v/>
      </c>
      <c r="I59" s="383">
        <f t="shared" si="63"/>
        <v>-0.3768908291</v>
      </c>
      <c r="J59" s="384"/>
      <c r="K59" s="3"/>
      <c r="L59" s="3"/>
      <c r="M59" s="3"/>
      <c r="N59" s="3"/>
      <c r="O59" s="3"/>
      <c r="P59" s="3"/>
      <c r="Q59" s="3"/>
      <c r="R59" s="3"/>
      <c r="S59" s="3"/>
      <c r="T59" s="3"/>
      <c r="U59" s="3"/>
      <c r="V59" s="3"/>
      <c r="W59" s="3"/>
    </row>
    <row r="60" ht="15.75" customHeight="1">
      <c r="A60" s="3"/>
      <c r="B60" s="3"/>
      <c r="C60" s="3"/>
      <c r="D60" s="3"/>
      <c r="E60" s="3"/>
      <c r="F60" s="3"/>
      <c r="G60" s="3"/>
      <c r="H60" s="3"/>
      <c r="I60" s="3"/>
      <c r="J60" s="3"/>
      <c r="K60" s="3"/>
      <c r="L60" s="3"/>
      <c r="M60" s="3"/>
      <c r="N60" s="3"/>
      <c r="O60" s="3"/>
      <c r="P60" s="3"/>
      <c r="Q60" s="3"/>
      <c r="R60" s="3"/>
      <c r="S60" s="3"/>
      <c r="T60" s="3"/>
      <c r="U60" s="3"/>
      <c r="V60" s="3"/>
      <c r="W60" s="3"/>
    </row>
    <row r="61" ht="15.75" customHeight="1">
      <c r="A61" s="3"/>
      <c r="B61" s="408" t="s">
        <v>748</v>
      </c>
      <c r="C61" s="409" t="s">
        <v>707</v>
      </c>
      <c r="D61" s="409" t="s">
        <v>708</v>
      </c>
      <c r="E61" s="409">
        <f>$E$3</f>
        <v>2023</v>
      </c>
      <c r="F61" s="410" t="s">
        <v>709</v>
      </c>
      <c r="G61" s="411" t="str">
        <f>$G$3</f>
        <v>▲2023</v>
      </c>
      <c r="H61" s="410" t="s">
        <v>711</v>
      </c>
      <c r="I61" s="411" t="str">
        <f>$I$3</f>
        <v>% ▲ 2023</v>
      </c>
      <c r="J61" s="412" t="s">
        <v>713</v>
      </c>
      <c r="K61" s="3"/>
      <c r="L61" s="3"/>
      <c r="M61" s="3"/>
      <c r="N61" s="3"/>
      <c r="O61" s="3"/>
      <c r="P61" s="3"/>
      <c r="Q61" s="3"/>
      <c r="R61" s="3"/>
      <c r="S61" s="3"/>
      <c r="T61" s="3"/>
      <c r="U61" s="3"/>
      <c r="V61" s="3"/>
      <c r="W61" s="3"/>
    </row>
    <row r="62" ht="15.0" customHeight="1">
      <c r="A62" s="3"/>
      <c r="B62" s="376" t="s">
        <v>749</v>
      </c>
      <c r="C62" s="366">
        <f>+Print_Mois!$AF$520/Print_Mois!$AF$494</f>
        <v>0.4764619595</v>
      </c>
      <c r="D62" s="366" t="str">
        <f>+Print_Mois!$Z$520/Print_Mois!$Z$494</f>
        <v>#REF!</v>
      </c>
      <c r="E62" s="366">
        <f>+Print_Mois!$AL$520/Print_Mois!$AL$494</f>
        <v>0.4182051188</v>
      </c>
      <c r="F62" s="367" t="str">
        <f t="shared" ref="F62:G62" si="73">+IFERROR($C62-D62,"")</f>
        <v/>
      </c>
      <c r="G62" s="368">
        <f t="shared" si="73"/>
        <v>0.05825684071</v>
      </c>
      <c r="H62" s="363" t="str">
        <f t="shared" ref="H62:H67" si="75">+IFERROR(F62/ABS($D62),"")</f>
        <v/>
      </c>
      <c r="I62" s="364">
        <f t="shared" ref="I62:I67" si="76">+IFERROR(G62/ABS($E62),"")</f>
        <v>0.1393020747</v>
      </c>
      <c r="J62" s="358"/>
      <c r="K62" s="3"/>
      <c r="L62" s="3"/>
      <c r="M62" s="3"/>
      <c r="N62" s="3"/>
      <c r="O62" s="3"/>
      <c r="P62" s="3"/>
      <c r="Q62" s="3"/>
      <c r="R62" s="3"/>
      <c r="S62" s="3"/>
      <c r="T62" s="3"/>
      <c r="U62" s="3"/>
      <c r="V62" s="3"/>
      <c r="W62" s="3"/>
    </row>
    <row r="63" ht="15.75" hidden="1" customHeight="1">
      <c r="A63" s="3"/>
      <c r="B63" s="376" t="s">
        <v>750</v>
      </c>
      <c r="C63" s="413">
        <v>57.0</v>
      </c>
      <c r="D63" s="413">
        <v>59.0</v>
      </c>
      <c r="E63" s="413">
        <v>56.0</v>
      </c>
      <c r="F63" s="414">
        <f t="shared" ref="F63:G63" si="74">+IFERROR($C63-D63,"")</f>
        <v>-2</v>
      </c>
      <c r="G63" s="415">
        <f t="shared" si="74"/>
        <v>1</v>
      </c>
      <c r="H63" s="363">
        <f t="shared" si="75"/>
        <v>-0.03389830508</v>
      </c>
      <c r="I63" s="364">
        <f t="shared" si="76"/>
        <v>0.01785714286</v>
      </c>
      <c r="J63" s="365"/>
      <c r="K63" s="3"/>
      <c r="L63" s="3"/>
      <c r="M63" s="3"/>
      <c r="N63" s="3"/>
      <c r="O63" s="3"/>
      <c r="P63" s="3"/>
      <c r="Q63" s="3"/>
      <c r="R63" s="3"/>
      <c r="S63" s="3"/>
      <c r="T63" s="3"/>
      <c r="U63" s="3"/>
      <c r="V63" s="3"/>
      <c r="W63" s="3"/>
    </row>
    <row r="64" ht="15.75" customHeight="1">
      <c r="A64" s="3"/>
      <c r="B64" s="376" t="s">
        <v>751</v>
      </c>
      <c r="C64" s="360">
        <f>N17+Print_Mois!$AF$501+Print_Mois!$AF$521</f>
        <v>-49636.75</v>
      </c>
      <c r="D64" s="360">
        <f>+Print_Mois!$Z$501+Print_Mois!$Z$521</f>
        <v>0</v>
      </c>
      <c r="E64" s="360">
        <f>+Print_Mois!$AL$501+Print_Mois!$AL$521</f>
        <v>-84471.44</v>
      </c>
      <c r="F64" s="361">
        <f t="shared" ref="F64:G64" si="77">+IFERROR($C64-D64,"")</f>
        <v>-49636.75</v>
      </c>
      <c r="G64" s="362">
        <f t="shared" si="77"/>
        <v>34834.69</v>
      </c>
      <c r="H64" s="363" t="str">
        <f t="shared" si="75"/>
        <v/>
      </c>
      <c r="I64" s="364">
        <f t="shared" si="76"/>
        <v>0.4123842331</v>
      </c>
      <c r="J64" s="365"/>
      <c r="K64" s="3"/>
      <c r="L64" s="3"/>
      <c r="M64" s="3"/>
      <c r="N64" s="3"/>
      <c r="O64" s="3"/>
      <c r="P64" s="3"/>
      <c r="Q64" s="3"/>
      <c r="R64" s="3"/>
      <c r="S64" s="3"/>
      <c r="T64" s="3"/>
      <c r="U64" s="3"/>
      <c r="V64" s="3"/>
      <c r="W64" s="3"/>
    </row>
    <row r="65" ht="15.75" customHeight="1">
      <c r="A65" s="3"/>
      <c r="B65" s="376" t="s">
        <v>752</v>
      </c>
      <c r="C65" s="360">
        <f>+Print_Mois!$AF$539-Print_Mois!$AF$521</f>
        <v>105355.34</v>
      </c>
      <c r="D65" s="360">
        <f>+Print_Mois!$Z$539-Print_Mois!$Z$521</f>
        <v>0</v>
      </c>
      <c r="E65" s="360">
        <f>+Print_Mois!$AL$539-Print_Mois!$AL$521</f>
        <v>147755.73</v>
      </c>
      <c r="F65" s="361">
        <f t="shared" ref="F65:G65" si="78">+IFERROR($C65-D65,"")</f>
        <v>105355.34</v>
      </c>
      <c r="G65" s="362">
        <f t="shared" si="78"/>
        <v>-42400.39</v>
      </c>
      <c r="H65" s="363" t="str">
        <f t="shared" si="75"/>
        <v/>
      </c>
      <c r="I65" s="364">
        <f t="shared" si="76"/>
        <v>-0.2869627459</v>
      </c>
      <c r="J65" s="365"/>
      <c r="K65" s="3"/>
      <c r="L65" s="3"/>
      <c r="M65" s="3"/>
      <c r="N65" s="3"/>
      <c r="O65" s="3"/>
      <c r="P65" s="3"/>
      <c r="Q65" s="3"/>
      <c r="R65" s="3"/>
      <c r="S65" s="3"/>
      <c r="T65" s="3"/>
      <c r="U65" s="3"/>
      <c r="V65" s="3"/>
      <c r="W65" s="3"/>
    </row>
    <row r="66" ht="15.75" customHeight="1">
      <c r="A66" s="3"/>
      <c r="B66" s="376" t="s">
        <v>753</v>
      </c>
      <c r="C66" s="360">
        <f>+Print_Mois!$AF$502</f>
        <v>49113.39</v>
      </c>
      <c r="D66" s="360">
        <f>+Print_Mois!$Z$502</f>
        <v>0</v>
      </c>
      <c r="E66" s="360">
        <f>+Print_Mois!$AL$502</f>
        <v>58233.44</v>
      </c>
      <c r="F66" s="361">
        <f t="shared" ref="F66:G66" si="79">+IFERROR($C66-D66,"")</f>
        <v>49113.39</v>
      </c>
      <c r="G66" s="362">
        <f t="shared" si="79"/>
        <v>-9120.05</v>
      </c>
      <c r="H66" s="363" t="str">
        <f t="shared" si="75"/>
        <v/>
      </c>
      <c r="I66" s="364">
        <f t="shared" si="76"/>
        <v>-0.1566119055</v>
      </c>
      <c r="J66" s="365"/>
      <c r="K66" s="3"/>
      <c r="L66" s="3"/>
      <c r="M66" s="3"/>
      <c r="N66" s="3"/>
      <c r="O66" s="3"/>
      <c r="P66" s="3"/>
      <c r="Q66" s="3"/>
      <c r="R66" s="3"/>
      <c r="S66" s="3"/>
      <c r="T66" s="3"/>
      <c r="U66" s="3"/>
      <c r="V66" s="3"/>
      <c r="W66" s="3"/>
    </row>
    <row r="67" ht="15.75" customHeight="1">
      <c r="A67" s="3"/>
      <c r="B67" s="378" t="s">
        <v>754</v>
      </c>
      <c r="C67" s="379">
        <f>+Print_Mois!$AF$568-C32-C15</f>
        <v>7630.02</v>
      </c>
      <c r="D67" s="379">
        <f>+Print_Mois!$Z$568-D32-D15</f>
        <v>0</v>
      </c>
      <c r="E67" s="379">
        <f>+Print_Mois!$AL$568-E32-E15</f>
        <v>139981.76</v>
      </c>
      <c r="F67" s="380">
        <f t="shared" ref="F67:G67" si="80">+IFERROR($C67-D67,"")</f>
        <v>7630.02</v>
      </c>
      <c r="G67" s="381">
        <f t="shared" si="80"/>
        <v>-132351.74</v>
      </c>
      <c r="H67" s="382" t="str">
        <f t="shared" si="75"/>
        <v/>
      </c>
      <c r="I67" s="383">
        <f t="shared" si="76"/>
        <v>-0.9454927556</v>
      </c>
      <c r="J67" s="384"/>
      <c r="K67" s="3"/>
      <c r="L67" s="3"/>
      <c r="M67" s="3"/>
      <c r="N67" s="3"/>
      <c r="O67" s="3"/>
      <c r="P67" s="3"/>
      <c r="Q67" s="3"/>
      <c r="R67" s="3"/>
      <c r="S67" s="3"/>
      <c r="T67" s="3"/>
      <c r="U67" s="3"/>
      <c r="V67" s="3"/>
      <c r="W67" s="3"/>
    </row>
    <row r="68" ht="15.75" customHeight="1">
      <c r="A68" s="3"/>
      <c r="B68" s="3"/>
      <c r="C68" s="3"/>
      <c r="D68" s="3"/>
      <c r="E68" s="3"/>
      <c r="F68" s="3"/>
      <c r="G68" s="3"/>
      <c r="H68" s="3"/>
      <c r="I68" s="3"/>
      <c r="J68" s="3"/>
      <c r="K68" s="3"/>
      <c r="L68" s="3"/>
      <c r="M68" s="3"/>
      <c r="N68" s="3"/>
      <c r="O68" s="3"/>
      <c r="P68" s="3"/>
      <c r="Q68" s="3"/>
      <c r="R68" s="3"/>
      <c r="S68" s="3"/>
      <c r="T68" s="3"/>
      <c r="U68" s="3"/>
      <c r="V68" s="3"/>
      <c r="W68" s="3"/>
    </row>
    <row r="69" ht="15.75" customHeight="1">
      <c r="A69" s="3"/>
      <c r="B69" s="416" t="s">
        <v>755</v>
      </c>
      <c r="C69" s="417" t="s">
        <v>707</v>
      </c>
      <c r="D69" s="417" t="s">
        <v>708</v>
      </c>
      <c r="E69" s="417">
        <f>$E$3</f>
        <v>2023</v>
      </c>
      <c r="F69" s="418" t="s">
        <v>709</v>
      </c>
      <c r="G69" s="419" t="str">
        <f>$G$3</f>
        <v>▲2023</v>
      </c>
      <c r="H69" s="418" t="s">
        <v>711</v>
      </c>
      <c r="I69" s="419" t="str">
        <f>$I$3</f>
        <v>% ▲ 2023</v>
      </c>
      <c r="J69" s="420" t="s">
        <v>713</v>
      </c>
      <c r="K69" s="3"/>
      <c r="L69" s="3"/>
      <c r="M69" s="3"/>
      <c r="N69" s="3"/>
      <c r="O69" s="3"/>
      <c r="P69" s="3"/>
      <c r="Q69" s="3"/>
      <c r="R69" s="3"/>
      <c r="S69" s="3"/>
      <c r="T69" s="3"/>
      <c r="U69" s="3"/>
      <c r="V69" s="3"/>
      <c r="W69" s="3"/>
    </row>
    <row r="70" ht="15.0" customHeight="1">
      <c r="A70" s="3"/>
      <c r="B70" s="376" t="s">
        <v>756</v>
      </c>
      <c r="C70" s="360">
        <f>+Print_Mois!$AF$506-Print_Mois!$AF$502+Print_Mois!$AF$521+Print_Mois!$AF$522+Print_Mois!$AF$523</f>
        <v>-66607.89</v>
      </c>
      <c r="D70" s="360">
        <f>+Print_Mois!$Z$506-Print_Mois!$Z$502+Print_Mois!$Z$521+Print_Mois!$Z$522+Print_Mois!$Z$523</f>
        <v>0</v>
      </c>
      <c r="E70" s="360">
        <f>+Print_Mois!$AL$506-Print_Mois!$AL$502+Print_Mois!$AL$521+Print_Mois!$AL$522+Print_Mois!$AL$523</f>
        <v>-185158.33</v>
      </c>
      <c r="F70" s="421">
        <f t="shared" ref="F70:G70" si="81">+IFERROR($C70-D70,"")</f>
        <v>-66607.89</v>
      </c>
      <c r="G70" s="422">
        <f t="shared" si="81"/>
        <v>118550.44</v>
      </c>
      <c r="H70" s="363" t="str">
        <f t="shared" ref="H70:H77" si="83">+IFERROR(F70/ABS($D70),"")</f>
        <v/>
      </c>
      <c r="I70" s="364">
        <f t="shared" ref="I70:I77" si="84">+IFERROR(G70/ABS($E70),"")</f>
        <v>0.640265226</v>
      </c>
      <c r="J70" s="358" t="s">
        <v>757</v>
      </c>
      <c r="K70" s="3"/>
      <c r="L70" s="3"/>
      <c r="M70" s="3"/>
      <c r="N70" s="3"/>
      <c r="O70" s="3"/>
      <c r="P70" s="3"/>
      <c r="Q70" s="3"/>
      <c r="R70" s="3"/>
      <c r="S70" s="3"/>
      <c r="T70" s="3"/>
      <c r="U70" s="3"/>
      <c r="V70" s="3"/>
      <c r="W70" s="3"/>
    </row>
    <row r="71" ht="15.75" customHeight="1">
      <c r="A71" s="3"/>
      <c r="B71" s="376" t="s">
        <v>758</v>
      </c>
      <c r="C71" s="366">
        <f>+C70/Print_Mois!$AF$494</f>
        <v>-0.117792799</v>
      </c>
      <c r="D71" s="366" t="str">
        <f>+D70/Print_Mois!$Z$494</f>
        <v>#REF!</v>
      </c>
      <c r="E71" s="366">
        <f>+E70/Print_Mois!$AL$494</f>
        <v>-0.2234993886</v>
      </c>
      <c r="F71" s="367" t="str">
        <f t="shared" ref="F71:G71" si="82">+IFERROR($C71-D71,"")</f>
        <v/>
      </c>
      <c r="G71" s="368">
        <f t="shared" si="82"/>
        <v>0.1057065897</v>
      </c>
      <c r="H71" s="363" t="str">
        <f t="shared" si="83"/>
        <v/>
      </c>
      <c r="I71" s="364">
        <f t="shared" si="84"/>
        <v>0.4729614265</v>
      </c>
      <c r="J71" s="365"/>
      <c r="K71" s="3"/>
      <c r="L71" s="3"/>
      <c r="M71" s="3"/>
      <c r="N71" s="3"/>
      <c r="O71" s="3"/>
      <c r="P71" s="3"/>
      <c r="Q71" s="3"/>
      <c r="R71" s="3"/>
      <c r="S71" s="3"/>
      <c r="T71" s="3"/>
      <c r="U71" s="3"/>
      <c r="V71" s="3"/>
      <c r="W71" s="3"/>
    </row>
    <row r="72" ht="15.75" customHeight="1">
      <c r="A72" s="3"/>
      <c r="B72" s="376" t="s">
        <v>759</v>
      </c>
      <c r="C72" s="360">
        <f>+Print_Mois!$AF$553+Print_Mois!$AF$520+Print_Mois!$AF$524+Print_Mois!$AF$526+SUM(Print_Mois!$AF$527:$AF$535)+Print_Mois!$AF$525</f>
        <v>554859.82</v>
      </c>
      <c r="D72" s="360">
        <f>+Print_Mois!$Z$553+Print_Mois!$Z$520+Print_Mois!$Z$524+Print_Mois!$Z$526+SUM(Print_Mois!$Z$527:$Z$535)+Print_Mois!$Z$525</f>
        <v>0</v>
      </c>
      <c r="E72" s="360">
        <f>+Print_Mois!$AL$553+Print_Mois!$AL$520+Print_Mois!$AL$524+Print_Mois!$AL$526+SUM(Print_Mois!$AL$527:$AL$535)+Print_Mois!$AL$525</f>
        <v>625087.24</v>
      </c>
      <c r="F72" s="361">
        <f t="shared" ref="F72:G72" si="85">+IFERROR($C72-D72,"")</f>
        <v>554859.82</v>
      </c>
      <c r="G72" s="362">
        <f t="shared" si="85"/>
        <v>-70227.42</v>
      </c>
      <c r="H72" s="363" t="str">
        <f t="shared" si="83"/>
        <v/>
      </c>
      <c r="I72" s="364">
        <f t="shared" si="84"/>
        <v>-0.11234819</v>
      </c>
      <c r="J72" s="365"/>
      <c r="K72" s="3"/>
      <c r="L72" s="3"/>
      <c r="M72" s="3"/>
      <c r="N72" s="3"/>
      <c r="O72" s="3"/>
      <c r="P72" s="3"/>
      <c r="Q72" s="3"/>
      <c r="R72" s="3"/>
      <c r="S72" s="3"/>
      <c r="T72" s="3"/>
      <c r="U72" s="3"/>
      <c r="V72" s="3"/>
      <c r="W72" s="3"/>
    </row>
    <row r="73" ht="15.75" customHeight="1">
      <c r="A73" s="3"/>
      <c r="B73" s="376" t="s">
        <v>760</v>
      </c>
      <c r="C73" s="366">
        <f>+C72/Print_Mois!$AF$494</f>
        <v>0.9812424809</v>
      </c>
      <c r="D73" s="366" t="str">
        <f>+D72/Print_Mois!$Z$494</f>
        <v>#REF!</v>
      </c>
      <c r="E73" s="366">
        <f>+E72/Print_Mois!$AL$494</f>
        <v>0.754525146</v>
      </c>
      <c r="F73" s="367" t="str">
        <f t="shared" ref="F73:G73" si="86">+IFERROR($C73-D73,"")</f>
        <v/>
      </c>
      <c r="G73" s="368">
        <f t="shared" si="86"/>
        <v>0.2267173349</v>
      </c>
      <c r="H73" s="363" t="str">
        <f t="shared" si="83"/>
        <v/>
      </c>
      <c r="I73" s="364">
        <f t="shared" si="84"/>
        <v>0.3004768444</v>
      </c>
      <c r="J73" s="365"/>
      <c r="K73" s="3"/>
      <c r="L73" s="3"/>
      <c r="M73" s="3"/>
      <c r="N73" s="3"/>
      <c r="O73" s="3"/>
      <c r="P73" s="3"/>
      <c r="Q73" s="3"/>
      <c r="R73" s="3"/>
      <c r="S73" s="3"/>
      <c r="T73" s="3"/>
      <c r="U73" s="3"/>
      <c r="V73" s="3"/>
      <c r="W73" s="3"/>
    </row>
    <row r="74" ht="15.75" customHeight="1">
      <c r="A74" s="1"/>
      <c r="B74" s="407" t="s">
        <v>761</v>
      </c>
      <c r="C74" s="396">
        <f>+Print_Mois!$AF$570+Print_Mois!$AF$502</f>
        <v>182085.99</v>
      </c>
      <c r="D74" s="396" t="str">
        <f>+Print_Mois!$Z$570+Print_Mois!$Z$502</f>
        <v>#REF!</v>
      </c>
      <c r="E74" s="396">
        <f>+Print_Mois!$AL$570+Print_Mois!$AL$502</f>
        <v>555335.53</v>
      </c>
      <c r="F74" s="397" t="str">
        <f t="shared" ref="F74:G74" si="87">+IFERROR($C74-D74,"")</f>
        <v/>
      </c>
      <c r="G74" s="398">
        <f t="shared" si="87"/>
        <v>-373249.54</v>
      </c>
      <c r="H74" s="399" t="str">
        <f t="shared" si="83"/>
        <v/>
      </c>
      <c r="I74" s="400">
        <f t="shared" si="84"/>
        <v>-0.6721153606</v>
      </c>
      <c r="J74" s="365"/>
      <c r="K74" s="1"/>
      <c r="L74" s="1"/>
      <c r="M74" s="1"/>
      <c r="N74" s="1"/>
      <c r="O74" s="1"/>
      <c r="P74" s="1"/>
      <c r="Q74" s="1"/>
      <c r="R74" s="1"/>
      <c r="S74" s="1"/>
      <c r="T74" s="1"/>
      <c r="U74" s="1"/>
      <c r="V74" s="1"/>
      <c r="W74" s="1"/>
    </row>
    <row r="75" ht="15.75" customHeight="1">
      <c r="A75" s="3"/>
      <c r="B75" s="359" t="s">
        <v>762</v>
      </c>
      <c r="C75" s="423">
        <f>+C74/Print_Mois!$AF$493</f>
        <v>0.0162627569</v>
      </c>
      <c r="D75" s="423" t="str">
        <f>+D74/Print_Mois!$Z$493</f>
        <v>#REF!</v>
      </c>
      <c r="E75" s="423">
        <f>+E74/Print_Mois!$AL$493</f>
        <v>0.03375027429</v>
      </c>
      <c r="F75" s="367" t="str">
        <f t="shared" ref="F75:G75" si="88">+IFERROR($C75-D75,"")</f>
        <v/>
      </c>
      <c r="G75" s="368">
        <f t="shared" si="88"/>
        <v>-0.01748751739</v>
      </c>
      <c r="H75" s="363" t="str">
        <f t="shared" si="83"/>
        <v/>
      </c>
      <c r="I75" s="364">
        <f t="shared" si="84"/>
        <v>-0.5181444523</v>
      </c>
      <c r="J75" s="365"/>
      <c r="K75" s="3"/>
      <c r="L75" s="3"/>
      <c r="M75" s="3"/>
      <c r="N75" s="3"/>
      <c r="O75" s="3"/>
      <c r="P75" s="3"/>
      <c r="Q75" s="3"/>
      <c r="R75" s="3"/>
      <c r="S75" s="3"/>
      <c r="T75" s="3"/>
      <c r="U75" s="3"/>
      <c r="V75" s="3"/>
      <c r="W75" s="3"/>
    </row>
    <row r="76" ht="15.75" customHeight="1">
      <c r="A76" s="1"/>
      <c r="B76" s="407" t="s">
        <v>763</v>
      </c>
      <c r="C76" s="396">
        <f>N9+Print_Mois!$AF$585</f>
        <v>114453.46</v>
      </c>
      <c r="D76" s="396" t="str">
        <f>+Print_Mois!$Z$585</f>
        <v>#REF!</v>
      </c>
      <c r="E76" s="396">
        <f>+Print_Mois!$AL$585</f>
        <v>486315.86</v>
      </c>
      <c r="F76" s="397" t="str">
        <f t="shared" ref="F76:G76" si="89">+IFERROR($C76-D76,"")</f>
        <v/>
      </c>
      <c r="G76" s="398">
        <f t="shared" si="89"/>
        <v>-371862.4</v>
      </c>
      <c r="H76" s="399" t="str">
        <f t="shared" si="83"/>
        <v/>
      </c>
      <c r="I76" s="400">
        <f t="shared" si="84"/>
        <v>-0.7646520103</v>
      </c>
      <c r="J76" s="365"/>
      <c r="K76" s="1"/>
      <c r="L76" s="1"/>
      <c r="M76" s="1"/>
      <c r="N76" s="1"/>
      <c r="O76" s="1"/>
      <c r="P76" s="1"/>
      <c r="Q76" s="1"/>
      <c r="R76" s="1"/>
      <c r="S76" s="1"/>
      <c r="T76" s="1"/>
      <c r="U76" s="1"/>
      <c r="V76" s="1"/>
      <c r="W76" s="1"/>
    </row>
    <row r="77" ht="15.75" customHeight="1">
      <c r="A77" s="3"/>
      <c r="B77" s="378" t="s">
        <v>764</v>
      </c>
      <c r="C77" s="424">
        <f>+C76/Print_Mois!$AF$493</f>
        <v>0.01022225157</v>
      </c>
      <c r="D77" s="424" t="str">
        <f>+D76/Print_Mois!$Z$493</f>
        <v>#REF!</v>
      </c>
      <c r="E77" s="424">
        <f>+E76/Print_Mois!$AL$493</f>
        <v>0.02955563399</v>
      </c>
      <c r="F77" s="425" t="str">
        <f t="shared" ref="F77:G77" si="90">+IFERROR($C77-D77,"")</f>
        <v/>
      </c>
      <c r="G77" s="426">
        <f t="shared" si="90"/>
        <v>-0.01933338242</v>
      </c>
      <c r="H77" s="382" t="str">
        <f t="shared" si="83"/>
        <v/>
      </c>
      <c r="I77" s="383">
        <f t="shared" si="84"/>
        <v>-0.6541352633</v>
      </c>
      <c r="J77" s="384"/>
      <c r="K77" s="3"/>
      <c r="L77" s="3"/>
      <c r="M77" s="3"/>
      <c r="N77" s="3"/>
      <c r="O77" s="3"/>
      <c r="P77" s="3"/>
      <c r="Q77" s="3"/>
      <c r="R77" s="3"/>
      <c r="S77" s="3"/>
      <c r="T77" s="3"/>
      <c r="U77" s="3"/>
      <c r="V77" s="3"/>
      <c r="W77" s="3"/>
    </row>
    <row r="78" ht="15.75" customHeight="1">
      <c r="A78" s="3"/>
      <c r="B78" s="3"/>
      <c r="C78" s="3"/>
      <c r="D78" s="3"/>
      <c r="E78" s="3"/>
      <c r="F78" s="3"/>
      <c r="G78" s="3"/>
      <c r="H78" s="3"/>
      <c r="I78" s="3"/>
      <c r="J78" s="3"/>
      <c r="K78" s="3"/>
      <c r="L78" s="3"/>
      <c r="M78" s="3"/>
      <c r="N78" s="3"/>
      <c r="O78" s="3"/>
      <c r="P78" s="3"/>
      <c r="Q78" s="3"/>
      <c r="R78" s="3"/>
      <c r="S78" s="3"/>
      <c r="T78" s="3"/>
      <c r="U78" s="3"/>
      <c r="V78" s="3"/>
      <c r="W78" s="3"/>
    </row>
    <row r="79" ht="15.75" customHeight="1">
      <c r="A79" s="3"/>
      <c r="B79" s="427" t="s">
        <v>765</v>
      </c>
      <c r="C79" s="428"/>
      <c r="D79" s="429"/>
      <c r="E79" s="3"/>
      <c r="F79" s="3"/>
      <c r="G79" s="3"/>
      <c r="H79" s="3"/>
      <c r="I79" s="3"/>
      <c r="J79" s="3"/>
      <c r="K79" s="3"/>
      <c r="L79" s="3"/>
      <c r="M79" s="3"/>
      <c r="N79" s="3"/>
      <c r="O79" s="3"/>
      <c r="P79" s="3"/>
      <c r="Q79" s="3"/>
      <c r="R79" s="3"/>
      <c r="S79" s="3"/>
      <c r="T79" s="3"/>
      <c r="U79" s="3"/>
      <c r="V79" s="3"/>
      <c r="W79" s="3"/>
    </row>
    <row r="80" ht="15.75" customHeight="1">
      <c r="A80" s="3"/>
      <c r="B80" s="430" t="s">
        <v>761</v>
      </c>
      <c r="C80" s="431">
        <v>59525.0</v>
      </c>
      <c r="D80" s="432">
        <v>0.011</v>
      </c>
      <c r="E80" s="3"/>
      <c r="F80" s="3"/>
      <c r="G80" s="3"/>
      <c r="H80" s="3"/>
      <c r="I80" s="3"/>
      <c r="J80" s="3"/>
      <c r="K80" s="3"/>
      <c r="L80" s="3"/>
      <c r="M80" s="3"/>
      <c r="N80" s="3"/>
      <c r="O80" s="3"/>
      <c r="P80" s="3"/>
      <c r="Q80" s="3"/>
      <c r="R80" s="3"/>
      <c r="S80" s="3"/>
      <c r="T80" s="3"/>
      <c r="U80" s="3"/>
      <c r="V80" s="3"/>
      <c r="W80" s="3"/>
    </row>
    <row r="81" ht="15.75" customHeight="1">
      <c r="A81" s="3"/>
      <c r="B81" s="430" t="s">
        <v>766</v>
      </c>
      <c r="C81" s="433">
        <f>+C74-C80</f>
        <v>122560.99</v>
      </c>
      <c r="D81" s="434"/>
      <c r="E81" s="3"/>
      <c r="F81" s="3"/>
      <c r="G81" s="3"/>
      <c r="H81" s="3"/>
      <c r="I81" s="3"/>
      <c r="J81" s="3"/>
      <c r="K81" s="3"/>
      <c r="L81" s="3"/>
      <c r="M81" s="3"/>
      <c r="N81" s="3"/>
      <c r="O81" s="3"/>
      <c r="P81" s="3"/>
      <c r="Q81" s="3"/>
      <c r="R81" s="3"/>
      <c r="S81" s="3"/>
      <c r="T81" s="3"/>
      <c r="U81" s="3"/>
      <c r="V81" s="3"/>
      <c r="W81" s="3"/>
    </row>
    <row r="82" ht="15.75" customHeight="1">
      <c r="A82" s="3"/>
      <c r="B82" s="435"/>
      <c r="C82" s="3"/>
      <c r="D82" s="434"/>
      <c r="E82" s="3"/>
      <c r="F82" s="3"/>
      <c r="G82" s="3"/>
      <c r="H82" s="3"/>
      <c r="I82" s="3"/>
      <c r="J82" s="3"/>
      <c r="K82" s="3"/>
      <c r="L82" s="3"/>
      <c r="M82" s="3"/>
      <c r="N82" s="3"/>
      <c r="O82" s="3"/>
      <c r="P82" s="3"/>
      <c r="Q82" s="3"/>
      <c r="R82" s="3"/>
      <c r="S82" s="3"/>
      <c r="T82" s="3"/>
      <c r="U82" s="3"/>
      <c r="V82" s="3"/>
      <c r="W82" s="3"/>
    </row>
    <row r="83" ht="15.75" customHeight="1">
      <c r="A83" s="3"/>
      <c r="B83" s="430" t="s">
        <v>763</v>
      </c>
      <c r="C83" s="431">
        <v>-23522.0</v>
      </c>
      <c r="D83" s="432">
        <v>-0.004</v>
      </c>
      <c r="E83" s="3"/>
      <c r="F83" s="3"/>
      <c r="G83" s="3"/>
      <c r="H83" s="3"/>
      <c r="I83" s="3"/>
      <c r="J83" s="3"/>
      <c r="K83" s="3"/>
      <c r="L83" s="3"/>
      <c r="M83" s="3"/>
      <c r="N83" s="3"/>
      <c r="O83" s="3"/>
      <c r="P83" s="3"/>
      <c r="Q83" s="3"/>
      <c r="R83" s="3"/>
      <c r="S83" s="3"/>
      <c r="T83" s="3"/>
      <c r="U83" s="3"/>
      <c r="V83" s="3"/>
      <c r="W83" s="3"/>
    </row>
    <row r="84" ht="15.75" customHeight="1">
      <c r="A84" s="3"/>
      <c r="B84" s="436" t="s">
        <v>766</v>
      </c>
      <c r="C84" s="437">
        <f>+C76-C83</f>
        <v>137975.46</v>
      </c>
      <c r="D84" s="438"/>
      <c r="E84" s="3"/>
      <c r="F84" s="3"/>
      <c r="G84" s="3"/>
      <c r="H84" s="3"/>
      <c r="I84" s="3"/>
      <c r="J84" s="3"/>
      <c r="K84" s="3"/>
      <c r="L84" s="3"/>
      <c r="M84" s="3"/>
      <c r="N84" s="3"/>
      <c r="O84" s="3"/>
      <c r="P84" s="3"/>
      <c r="Q84" s="3"/>
      <c r="R84" s="3"/>
      <c r="S84" s="3"/>
      <c r="T84" s="3"/>
      <c r="U84" s="3"/>
      <c r="V84" s="3"/>
      <c r="W84" s="3"/>
    </row>
    <row r="85" ht="15.75" customHeight="1">
      <c r="A85" s="3"/>
      <c r="B85" s="3"/>
      <c r="C85" s="3"/>
      <c r="D85" s="3"/>
      <c r="E85" s="3"/>
      <c r="F85" s="3"/>
      <c r="G85" s="3"/>
      <c r="H85" s="3"/>
      <c r="I85" s="3"/>
      <c r="J85" s="3"/>
      <c r="K85" s="3"/>
      <c r="L85" s="3"/>
      <c r="M85" s="3"/>
      <c r="N85" s="3"/>
      <c r="O85" s="3"/>
      <c r="P85" s="3"/>
      <c r="Q85" s="3"/>
      <c r="R85" s="3"/>
      <c r="S85" s="3"/>
      <c r="T85" s="3"/>
      <c r="U85" s="3"/>
      <c r="V85" s="3"/>
      <c r="W85" s="3"/>
    </row>
    <row r="86" ht="24.0" customHeight="1">
      <c r="A86" s="3"/>
      <c r="B86" s="439" t="str">
        <f>+Parametres!B1</f>
        <v>Ste-Marie Auto</v>
      </c>
      <c r="C86" s="440" t="str">
        <f>Parametres!$B$3&amp;" "&amp;Parametres!$B$4</f>
        <v>Septembre 2026</v>
      </c>
      <c r="D86" s="441" t="s">
        <v>767</v>
      </c>
      <c r="E86" s="3"/>
      <c r="F86" s="3"/>
      <c r="G86" s="3"/>
      <c r="H86" s="3"/>
      <c r="I86" s="3"/>
      <c r="J86" s="3"/>
      <c r="K86" s="3"/>
      <c r="L86" s="3"/>
      <c r="M86" s="3"/>
      <c r="N86" s="3"/>
      <c r="O86" s="3"/>
      <c r="P86" s="3"/>
      <c r="Q86" s="3"/>
      <c r="R86" s="3"/>
      <c r="S86" s="3"/>
      <c r="T86" s="3"/>
      <c r="U86" s="3"/>
      <c r="V86" s="3"/>
      <c r="W86" s="3"/>
    </row>
    <row r="87" ht="24.0" customHeight="1">
      <c r="A87" s="3"/>
      <c r="B87" s="442" t="str">
        <f>CONCATENATE("Réalisé ",Parametres!$B$3," ",Parametres!$B$4)</f>
        <v>Réalisé Septembre 2026</v>
      </c>
      <c r="C87" s="443">
        <f>+C76</f>
        <v>114453.46</v>
      </c>
      <c r="D87" s="444">
        <f>+Print_AAD!AF585</f>
        <v>1994223.99</v>
      </c>
      <c r="E87" s="3"/>
      <c r="F87" s="385"/>
      <c r="G87" s="3"/>
      <c r="H87" s="3"/>
      <c r="I87" s="3"/>
      <c r="J87" s="3"/>
      <c r="K87" s="3"/>
      <c r="L87" s="3"/>
      <c r="M87" s="3"/>
      <c r="N87" s="3"/>
      <c r="O87" s="3"/>
      <c r="P87" s="3"/>
      <c r="Q87" s="3"/>
      <c r="R87" s="3"/>
      <c r="S87" s="3"/>
      <c r="T87" s="3"/>
      <c r="U87" s="3"/>
      <c r="V87" s="3"/>
      <c r="W87" s="3"/>
    </row>
    <row r="88" ht="24.0" customHeight="1">
      <c r="A88" s="3"/>
      <c r="B88" s="442" t="str">
        <f>CONCATENATE("Budget ",Parametres!$B$3," ",Parametres!$B$4)</f>
        <v>Budget Septembre 2026</v>
      </c>
      <c r="C88" s="445" t="str">
        <f>+D76</f>
        <v>#REF!</v>
      </c>
      <c r="D88" s="446" t="str">
        <f>+Print_AAD!Z585</f>
        <v>#N/A</v>
      </c>
      <c r="E88" s="3"/>
      <c r="F88" s="3"/>
      <c r="G88" s="3"/>
      <c r="H88" s="3"/>
      <c r="I88" s="3"/>
      <c r="J88" s="3"/>
      <c r="K88" s="3"/>
      <c r="L88" s="3"/>
      <c r="M88" s="3"/>
      <c r="N88" s="3"/>
      <c r="O88" s="3"/>
      <c r="P88" s="3"/>
      <c r="Q88" s="3"/>
      <c r="R88" s="3"/>
      <c r="S88" s="3"/>
      <c r="T88" s="3"/>
      <c r="U88" s="3"/>
      <c r="V88" s="3"/>
      <c r="W88" s="3"/>
    </row>
    <row r="89" ht="24.0" customHeight="1">
      <c r="A89" s="3"/>
      <c r="B89" s="447" t="str">
        <f>CONCATENATE("Réalisé ",Parametres!$B$3," ",Parametres!$B$4-1)</f>
        <v>Réalisé Septembre 2025</v>
      </c>
      <c r="C89" s="448">
        <f>+E76</f>
        <v>486315.86</v>
      </c>
      <c r="D89" s="449">
        <f>+Print_AAD!AL585</f>
        <v>3069879.89</v>
      </c>
      <c r="E89" s="3"/>
      <c r="F89" s="3"/>
      <c r="G89" s="3"/>
      <c r="H89" s="3"/>
      <c r="I89" s="3"/>
      <c r="J89" s="3"/>
      <c r="K89" s="3"/>
      <c r="L89" s="3"/>
      <c r="M89" s="3"/>
      <c r="N89" s="3"/>
      <c r="O89" s="3"/>
      <c r="P89" s="3"/>
      <c r="Q89" s="3"/>
      <c r="R89" s="3"/>
      <c r="S89" s="3"/>
      <c r="T89" s="3"/>
      <c r="U89" s="3"/>
      <c r="V89" s="3"/>
      <c r="W89" s="3"/>
    </row>
    <row r="90" ht="15.75" customHeight="1">
      <c r="A90" s="3"/>
      <c r="B90" s="3"/>
      <c r="C90" s="3"/>
      <c r="D90" s="3"/>
      <c r="E90" s="3"/>
      <c r="F90" s="3"/>
      <c r="G90" s="3"/>
      <c r="H90" s="3"/>
      <c r="I90" s="3"/>
      <c r="J90" s="3"/>
      <c r="K90" s="3"/>
      <c r="L90" s="3"/>
      <c r="M90" s="3"/>
      <c r="N90" s="3"/>
      <c r="O90" s="3"/>
      <c r="P90" s="3"/>
      <c r="Q90" s="3"/>
      <c r="R90" s="3"/>
      <c r="S90" s="3"/>
      <c r="T90" s="3"/>
      <c r="U90" s="3"/>
      <c r="V90" s="3"/>
      <c r="W90" s="3"/>
    </row>
    <row r="91" ht="15.75" customHeight="1">
      <c r="A91" s="3"/>
      <c r="B91" s="3"/>
      <c r="C91" s="385"/>
      <c r="D91" s="3"/>
      <c r="E91" s="3"/>
      <c r="F91" s="3"/>
      <c r="G91" s="3"/>
      <c r="H91" s="3"/>
      <c r="I91" s="3"/>
      <c r="J91" s="3"/>
      <c r="K91" s="3"/>
      <c r="L91" s="3"/>
      <c r="M91" s="3"/>
      <c r="N91" s="3"/>
      <c r="O91" s="3"/>
      <c r="P91" s="3"/>
      <c r="Q91" s="3"/>
      <c r="R91" s="3"/>
      <c r="S91" s="3"/>
      <c r="T91" s="3"/>
      <c r="U91" s="3"/>
      <c r="V91" s="3"/>
      <c r="W91" s="3"/>
    </row>
    <row r="92" ht="15.75" customHeight="1">
      <c r="A92" s="3"/>
      <c r="C92" s="3"/>
      <c r="D92" s="3"/>
      <c r="E92" s="3"/>
      <c r="F92" s="3"/>
      <c r="G92" s="3"/>
      <c r="H92" s="3"/>
      <c r="I92" s="3"/>
      <c r="J92" s="3"/>
      <c r="K92" s="3"/>
      <c r="L92" s="3"/>
      <c r="M92" s="3"/>
      <c r="N92" s="3"/>
      <c r="O92" s="3"/>
      <c r="P92" s="3"/>
      <c r="Q92" s="3"/>
      <c r="R92" s="3"/>
      <c r="S92" s="3"/>
      <c r="T92" s="3"/>
      <c r="U92" s="3"/>
      <c r="V92" s="3"/>
      <c r="W92" s="3"/>
    </row>
    <row r="93" ht="15.75" customHeight="1">
      <c r="A93" s="3"/>
      <c r="C93" s="3"/>
      <c r="D93" s="3"/>
      <c r="E93" s="3"/>
      <c r="F93" s="3"/>
      <c r="G93" s="3"/>
      <c r="H93" s="3"/>
      <c r="I93" s="3"/>
      <c r="J93" s="3"/>
      <c r="K93" s="3"/>
      <c r="L93" s="3"/>
      <c r="M93" s="3"/>
      <c r="N93" s="3"/>
      <c r="O93" s="3"/>
      <c r="P93" s="3"/>
      <c r="Q93" s="3"/>
      <c r="R93" s="3"/>
      <c r="S93" s="3"/>
      <c r="T93" s="3"/>
      <c r="U93" s="3"/>
      <c r="V93" s="3"/>
      <c r="W93" s="3"/>
    </row>
    <row r="94" ht="15.75" customHeight="1">
      <c r="A94" s="3"/>
      <c r="C94" s="3"/>
      <c r="D94" s="3"/>
      <c r="E94" s="3"/>
      <c r="F94" s="3"/>
      <c r="G94" s="3"/>
      <c r="H94" s="3"/>
      <c r="I94" s="3"/>
      <c r="J94" s="3"/>
      <c r="K94" s="3"/>
      <c r="L94" s="3"/>
      <c r="M94" s="3"/>
      <c r="N94" s="3"/>
      <c r="O94" s="3"/>
      <c r="P94" s="3"/>
      <c r="Q94" s="3"/>
      <c r="R94" s="3"/>
      <c r="S94" s="3"/>
      <c r="T94" s="3"/>
      <c r="U94" s="3"/>
      <c r="V94" s="3"/>
      <c r="W94" s="3"/>
    </row>
    <row r="95" ht="15.75" customHeight="1">
      <c r="A95" s="3"/>
      <c r="B95" s="3"/>
      <c r="C95" s="3"/>
      <c r="D95" s="3"/>
      <c r="E95" s="3"/>
      <c r="F95" s="3"/>
      <c r="G95" s="3"/>
      <c r="H95" s="3"/>
      <c r="I95" s="3"/>
      <c r="J95" s="3"/>
      <c r="K95" s="3"/>
      <c r="L95" s="3"/>
      <c r="M95" s="3"/>
      <c r="N95" s="3"/>
      <c r="O95" s="3"/>
      <c r="P95" s="3"/>
      <c r="Q95" s="3"/>
      <c r="R95" s="3"/>
      <c r="S95" s="3"/>
      <c r="T95" s="3"/>
      <c r="U95" s="3"/>
      <c r="V95" s="3"/>
      <c r="W95" s="3"/>
    </row>
    <row r="96" ht="15.75" customHeight="1">
      <c r="A96" s="3"/>
      <c r="B96" s="3"/>
      <c r="C96" s="3"/>
      <c r="D96" s="3"/>
      <c r="E96" s="3"/>
      <c r="F96" s="3"/>
      <c r="G96" s="3"/>
      <c r="H96" s="3"/>
      <c r="I96" s="3"/>
      <c r="J96" s="3"/>
      <c r="K96" s="3"/>
      <c r="L96" s="3"/>
      <c r="M96" s="3"/>
      <c r="N96" s="3"/>
      <c r="O96" s="3"/>
      <c r="P96" s="3"/>
      <c r="Q96" s="3"/>
      <c r="R96" s="3"/>
      <c r="S96" s="3"/>
      <c r="T96" s="3"/>
      <c r="U96" s="3"/>
      <c r="V96" s="3"/>
      <c r="W96" s="3"/>
    </row>
    <row r="97" ht="15.75" customHeight="1">
      <c r="A97" s="3"/>
      <c r="B97" s="3"/>
      <c r="C97" s="3"/>
      <c r="D97" s="3"/>
      <c r="E97" s="3"/>
      <c r="F97" s="3"/>
      <c r="G97" s="3"/>
      <c r="H97" s="3"/>
      <c r="I97" s="3"/>
      <c r="J97" s="3"/>
      <c r="K97" s="3"/>
      <c r="L97" s="3"/>
      <c r="M97" s="3"/>
      <c r="N97" s="3"/>
      <c r="O97" s="3"/>
      <c r="P97" s="3"/>
      <c r="Q97" s="3"/>
      <c r="R97" s="3"/>
      <c r="S97" s="3"/>
      <c r="T97" s="3"/>
      <c r="U97" s="3"/>
      <c r="V97" s="3"/>
      <c r="W97" s="3"/>
    </row>
    <row r="98" ht="15.75" customHeight="1">
      <c r="A98" s="3"/>
      <c r="B98" s="3"/>
      <c r="C98" s="3"/>
      <c r="D98" s="3"/>
      <c r="E98" s="3"/>
      <c r="F98" s="3"/>
      <c r="G98" s="3"/>
      <c r="H98" s="3"/>
      <c r="I98" s="3"/>
      <c r="J98" s="3"/>
      <c r="K98" s="3"/>
      <c r="L98" s="3"/>
      <c r="M98" s="3"/>
      <c r="N98" s="3"/>
      <c r="O98" s="3"/>
      <c r="P98" s="3"/>
      <c r="Q98" s="3"/>
      <c r="R98" s="3"/>
      <c r="S98" s="3"/>
      <c r="T98" s="3"/>
      <c r="U98" s="3"/>
      <c r="V98" s="3"/>
      <c r="W98" s="3"/>
    </row>
    <row r="99" ht="15.75" customHeight="1">
      <c r="A99" s="3"/>
      <c r="B99" s="3"/>
      <c r="C99" s="3"/>
      <c r="D99" s="3"/>
      <c r="E99" s="3"/>
      <c r="F99" s="3"/>
      <c r="G99" s="3"/>
      <c r="H99" s="3"/>
      <c r="I99" s="3"/>
      <c r="J99" s="3"/>
      <c r="K99" s="3"/>
      <c r="L99" s="3"/>
      <c r="M99" s="3"/>
      <c r="N99" s="3"/>
      <c r="O99" s="3"/>
      <c r="P99" s="3"/>
      <c r="Q99" s="3"/>
      <c r="R99" s="3"/>
      <c r="S99" s="3"/>
      <c r="T99" s="3"/>
      <c r="U99" s="3"/>
      <c r="V99" s="3"/>
      <c r="W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1:J1"/>
    <mergeCell ref="J4:J18"/>
    <mergeCell ref="J21:J35"/>
    <mergeCell ref="J38:J47"/>
    <mergeCell ref="J50:J59"/>
    <mergeCell ref="J62:J67"/>
    <mergeCell ref="J70:J77"/>
  </mergeCells>
  <printOptions horizontalCentered="1"/>
  <pageMargins bottom="0.0" footer="0.0" header="0.0" left="1.0" right="0.0" top="0.0"/>
  <pageSetup paperSize="3" orientation="landscape"/>
  <rowBreaks count="1" manualBreakCount="1">
    <brk id="35" man="1"/>
  </rowBrea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sheetViews>
  <sheetFormatPr customHeight="1" defaultColWidth="12.63" defaultRowHeight="15.0"/>
  <cols>
    <col customWidth="1" min="1" max="1" width="5.38"/>
    <col customWidth="1" min="2" max="2" width="22.63"/>
    <col customWidth="1" min="3" max="3" width="39.38"/>
    <col customWidth="1" hidden="1" min="4" max="5" width="11.63"/>
    <col customWidth="1" hidden="1" min="6" max="6" width="13.88"/>
    <col customWidth="1" hidden="1" min="7" max="9" width="11.63"/>
    <col customWidth="1" min="10" max="12" width="17.25"/>
    <col customWidth="1" hidden="1" min="13" max="13" width="18.25"/>
    <col customWidth="1" hidden="1" min="14" max="14" width="13.38"/>
    <col customWidth="1" min="15" max="19" width="17.25"/>
    <col customWidth="1" min="20" max="21" width="11.63"/>
    <col customWidth="1" min="22" max="22" width="42.38"/>
    <col customWidth="1" hidden="1" min="23" max="29" width="11.63"/>
    <col customWidth="1" min="30" max="30" width="14.5"/>
    <col customWidth="1" min="31" max="31" width="14.88"/>
    <col customWidth="1" min="32" max="32" width="15.0"/>
    <col customWidth="1" hidden="1" min="33" max="35" width="11.63"/>
    <col customWidth="1" min="36" max="36" width="13.5"/>
    <col customWidth="1" min="37" max="37" width="13.38"/>
    <col customWidth="1" min="38" max="38" width="15.38"/>
    <col customWidth="1" min="39" max="39" width="13.5"/>
    <col customWidth="1" min="40" max="40" width="13.88"/>
    <col customWidth="1" min="41" max="41" width="14.13"/>
    <col customWidth="1" min="42" max="62" width="11.63"/>
  </cols>
  <sheetData>
    <row r="1">
      <c r="B1" s="38"/>
      <c r="C1" s="450" t="str">
        <f>Parametres!B1</f>
        <v>Ste-Marie Auto</v>
      </c>
      <c r="D1" s="451"/>
      <c r="E1" s="452"/>
      <c r="F1" s="451"/>
      <c r="G1" s="451"/>
      <c r="H1" s="450"/>
      <c r="I1" s="451"/>
      <c r="J1" s="450"/>
      <c r="K1" s="453" t="s">
        <v>90</v>
      </c>
      <c r="L1" s="451"/>
      <c r="M1" s="451"/>
      <c r="N1" s="454"/>
      <c r="O1" s="450"/>
      <c r="P1" s="451"/>
      <c r="Q1" s="450"/>
      <c r="R1" s="451"/>
      <c r="S1" s="455" t="str">
        <f>CONCATENATE("Réalisé,"," ",Parametres!B3," ",Parametres!B4)</f>
        <v>Réalisé, Septembre 2026</v>
      </c>
      <c r="T1" s="456" t="s">
        <v>768</v>
      </c>
      <c r="U1" s="457"/>
      <c r="V1" s="38"/>
      <c r="W1" s="38"/>
      <c r="X1" s="38"/>
      <c r="Y1" s="38"/>
      <c r="Z1" s="38"/>
      <c r="AA1" s="38"/>
      <c r="AB1" s="38"/>
      <c r="AC1" s="38"/>
      <c r="AD1" s="38"/>
      <c r="AE1" s="38"/>
      <c r="AF1" s="38"/>
      <c r="AG1" s="38"/>
      <c r="AH1" s="38"/>
      <c r="AI1" s="38"/>
      <c r="AJ1" s="38"/>
      <c r="AK1" s="38"/>
      <c r="AL1" s="38"/>
      <c r="AM1" s="38"/>
      <c r="AN1" s="38"/>
    </row>
    <row r="2" ht="15.0" customHeight="1">
      <c r="B2" s="3"/>
      <c r="C2" s="39"/>
      <c r="D2" s="458" t="s">
        <v>769</v>
      </c>
      <c r="E2" s="458" t="s">
        <v>770</v>
      </c>
      <c r="F2" s="458" t="s">
        <v>771</v>
      </c>
      <c r="G2" s="458"/>
      <c r="H2" s="458"/>
      <c r="I2" s="458"/>
      <c r="J2" s="458" t="s">
        <v>772</v>
      </c>
      <c r="K2" s="458"/>
      <c r="L2" s="458" t="s">
        <v>728</v>
      </c>
      <c r="M2" s="40"/>
      <c r="N2" s="40"/>
      <c r="O2" s="458" t="s">
        <v>772</v>
      </c>
      <c r="P2" s="458"/>
      <c r="Q2" s="458" t="s">
        <v>728</v>
      </c>
      <c r="R2" s="40"/>
      <c r="S2" s="40"/>
      <c r="T2" s="40"/>
      <c r="U2" s="40"/>
      <c r="V2" s="459" t="s">
        <v>773</v>
      </c>
      <c r="W2" s="460"/>
    </row>
    <row r="3">
      <c r="B3" s="48"/>
      <c r="C3" s="461"/>
      <c r="D3" s="462" t="s">
        <v>774</v>
      </c>
      <c r="E3" s="44"/>
      <c r="F3" s="45"/>
      <c r="G3" s="463"/>
      <c r="H3" s="44"/>
      <c r="I3" s="45"/>
      <c r="J3" s="463" t="s">
        <v>775</v>
      </c>
      <c r="K3" s="44"/>
      <c r="L3" s="45"/>
      <c r="M3" s="463" t="s">
        <v>776</v>
      </c>
      <c r="N3" s="45"/>
      <c r="O3" s="462" t="s">
        <v>777</v>
      </c>
      <c r="P3" s="44"/>
      <c r="Q3" s="45"/>
      <c r="R3" s="463" t="s">
        <v>778</v>
      </c>
      <c r="S3" s="45"/>
      <c r="T3" s="40"/>
      <c r="U3" s="40"/>
      <c r="V3" s="464" t="s">
        <v>779</v>
      </c>
      <c r="W3" s="465">
        <v>0.45</v>
      </c>
      <c r="X3" s="48"/>
      <c r="Y3" s="48"/>
      <c r="Z3" s="48"/>
      <c r="AA3" s="48"/>
      <c r="AB3" s="48"/>
      <c r="AC3" s="48"/>
      <c r="AD3" s="48"/>
      <c r="AE3" s="48"/>
      <c r="AF3" s="48"/>
      <c r="AG3" s="48"/>
      <c r="AH3" s="48"/>
      <c r="AI3" s="48"/>
      <c r="AJ3" s="48"/>
      <c r="AK3" s="48"/>
      <c r="AL3" s="48"/>
      <c r="AM3" s="48"/>
      <c r="AN3" s="48"/>
    </row>
    <row r="4">
      <c r="B4" s="48"/>
      <c r="C4" s="466"/>
      <c r="D4" s="467" t="s">
        <v>93</v>
      </c>
      <c r="E4" s="468" t="s">
        <v>780</v>
      </c>
      <c r="F4" s="469" t="s">
        <v>95</v>
      </c>
      <c r="G4" s="470"/>
      <c r="H4" s="468"/>
      <c r="I4" s="469"/>
      <c r="J4" s="470" t="s">
        <v>781</v>
      </c>
      <c r="K4" s="468" t="s">
        <v>94</v>
      </c>
      <c r="L4" s="469" t="s">
        <v>95</v>
      </c>
      <c r="M4" s="470" t="s">
        <v>781</v>
      </c>
      <c r="N4" s="469" t="s">
        <v>95</v>
      </c>
      <c r="O4" s="470" t="s">
        <v>781</v>
      </c>
      <c r="P4" s="468" t="s">
        <v>94</v>
      </c>
      <c r="Q4" s="469" t="s">
        <v>95</v>
      </c>
      <c r="R4" s="470" t="s">
        <v>781</v>
      </c>
      <c r="S4" s="469" t="s">
        <v>95</v>
      </c>
      <c r="T4" s="40"/>
      <c r="U4" s="40"/>
      <c r="V4" s="464" t="s">
        <v>782</v>
      </c>
      <c r="W4" s="465">
        <v>0.1</v>
      </c>
      <c r="X4" s="48"/>
      <c r="Y4" s="48"/>
      <c r="Z4" s="48"/>
      <c r="AA4" s="48"/>
      <c r="AB4" s="48"/>
      <c r="AC4" s="48"/>
      <c r="AD4" s="48"/>
      <c r="AE4" s="48"/>
      <c r="AF4" s="48"/>
      <c r="AG4" s="48"/>
      <c r="AH4" s="48"/>
      <c r="AI4" s="48"/>
      <c r="AJ4" s="48"/>
      <c r="AK4" s="48"/>
      <c r="AL4" s="48"/>
      <c r="AM4" s="48"/>
      <c r="AN4" s="48"/>
    </row>
    <row r="5">
      <c r="A5" s="5" t="s">
        <v>783</v>
      </c>
      <c r="B5" s="48" t="s">
        <v>90</v>
      </c>
      <c r="C5" s="471" t="s">
        <v>96</v>
      </c>
      <c r="D5" s="472"/>
      <c r="E5" s="472"/>
      <c r="F5" s="473" t="str">
        <f t="array" ref="F5">+INDEX('Budget original'!$A$2:$AO$501,MATCH($A5,'Budget original'!$A$2:$A$501,0),MATCH(F$2,'Budget original'!$A$2:$AO$2,0))</f>
        <v/>
      </c>
      <c r="G5" s="472"/>
      <c r="H5" s="472"/>
      <c r="I5" s="474"/>
      <c r="J5" s="471"/>
      <c r="K5" s="475"/>
      <c r="L5" s="476">
        <f>-SUMIFS(BV_Data_An_Cour!$AM:$AM,BV_Data_An_Cour!$AS:$AS,"Oui",BV_Data_An_Cour!$AP:$AP,$B5)</f>
        <v>7466141.33</v>
      </c>
      <c r="M5" s="477"/>
      <c r="N5" s="478"/>
      <c r="O5" s="471"/>
      <c r="P5" s="475"/>
      <c r="Q5" s="476">
        <f>-SUMIFS(BV_Data_An_Prec!$AM:$AM,BV_Data_An_Prec!$AS:$AS,"Oui",BV_Data_An_Prec!$AP:$AP,$B5)</f>
        <v>8922542.48</v>
      </c>
      <c r="R5" s="477"/>
      <c r="S5" s="479"/>
      <c r="T5" s="40"/>
      <c r="U5" s="40">
        <f>L5/AF493</f>
        <v>0.6668280269</v>
      </c>
      <c r="V5" s="464" t="s">
        <v>784</v>
      </c>
      <c r="W5" s="465">
        <v>0.225</v>
      </c>
      <c r="X5" s="48"/>
      <c r="Y5" s="48"/>
      <c r="Z5" s="48"/>
      <c r="AA5" s="48"/>
      <c r="AB5" s="48"/>
      <c r="AC5" s="48"/>
      <c r="AD5" s="48"/>
      <c r="AE5" s="48"/>
      <c r="AF5" s="48"/>
      <c r="AG5" s="48"/>
      <c r="AH5" s="48"/>
      <c r="AI5" s="48"/>
      <c r="AJ5" s="48"/>
      <c r="AK5" s="48"/>
      <c r="AL5" s="48"/>
      <c r="AM5" s="48"/>
      <c r="AN5" s="48"/>
    </row>
    <row r="6">
      <c r="A6" s="5" t="s">
        <v>785</v>
      </c>
      <c r="B6" s="48" t="s">
        <v>90</v>
      </c>
      <c r="C6" s="480" t="s">
        <v>97</v>
      </c>
      <c r="D6" s="481" t="str">
        <f t="array" ref="D6">+INDEX('Budget original'!$A$2:$AO$501,MATCH($A6,'Budget original'!$A$2:$A$501,0),MATCH(D$2,'Budget original'!$A$2:$AO$2,0))</f>
        <v/>
      </c>
      <c r="E6" s="481">
        <f t="shared" ref="E6:E12" si="1">IF(D6=0,0,F6/D6)</f>
        <v>0</v>
      </c>
      <c r="F6" s="481" t="str">
        <f t="array" ref="F6">+INDEX('Budget original'!$A$2:$AO$501,MATCH($A6,'Budget original'!$A$2:$A$501,0),MATCH(F$2,'Budget original'!$A$2:$AO$2,0))</f>
        <v/>
      </c>
      <c r="G6" s="482"/>
      <c r="H6" s="481"/>
      <c r="I6" s="481"/>
      <c r="J6" s="482">
        <f>SUMIFS(BV_Data_An_Cour!$AW:$AW,BV_Data_An_Cour!$AP:$AP,$B6,BV_Data_An_Cour!$AQ:$AQ,$C6,BV_Data_An_Cour!$AY:$AY,J$2)</f>
        <v>1</v>
      </c>
      <c r="K6" s="483">
        <f t="shared" ref="K6:K12" si="2">IF(J6=0,0,L6/J6)</f>
        <v>11544.36</v>
      </c>
      <c r="L6" s="484">
        <f>-SUMIFS(BV_Data_An_Cour!$AM:$AM,BV_Data_An_Cour!$AP:$AP,$B6,BV_Data_An_Cour!$AQ:$AQ,$C6,BV_Data_An_Cour!$AR:$AR,L$2)</f>
        <v>11544.36</v>
      </c>
      <c r="M6" s="482">
        <f t="shared" ref="M6:M12" si="3">J6-D6</f>
        <v>1</v>
      </c>
      <c r="N6" s="485">
        <f t="shared" ref="N6:N12" si="4">L6-F6</f>
        <v>11544.36</v>
      </c>
      <c r="O6" s="482">
        <f>SUMIFS(BV_Data_An_Prec!$AW:$AW,BV_Data_An_Prec!$AP:$AP,$B6,BV_Data_An_Prec!$AQ:$AQ,$C6,BV_Data_An_Prec!$AY:$AY,O$2)</f>
        <v>0</v>
      </c>
      <c r="P6" s="483">
        <f t="shared" ref="P6:P12" si="5">IF(O6=0,0,Q6/O6)</f>
        <v>0</v>
      </c>
      <c r="Q6" s="484">
        <f>-SUMIFS(BV_Data_An_Prec!$AM:$AM,BV_Data_An_Prec!$AP:$AP,$B6,BV_Data_An_Prec!$AQ:$AQ,$C6,BV_Data_An_Prec!$AR:$AR,Q$2)</f>
        <v>0</v>
      </c>
      <c r="R6" s="486">
        <f t="shared" ref="R6:R12" si="6">J6-O6</f>
        <v>1</v>
      </c>
      <c r="S6" s="484">
        <f t="shared" ref="S6:S12" si="7">L6-Q6</f>
        <v>11544.36</v>
      </c>
      <c r="T6" s="40"/>
      <c r="U6" s="40"/>
      <c r="V6" s="464" t="s">
        <v>786</v>
      </c>
      <c r="W6" s="465">
        <v>0.025</v>
      </c>
      <c r="X6" s="48"/>
      <c r="Y6" s="48"/>
      <c r="Z6" s="48"/>
      <c r="AA6" s="48"/>
      <c r="AB6" s="48"/>
      <c r="AC6" s="48"/>
      <c r="AD6" s="48"/>
      <c r="AE6" s="48"/>
      <c r="AF6" s="48"/>
      <c r="AG6" s="48"/>
      <c r="AH6" s="48"/>
      <c r="AI6" s="48"/>
      <c r="AJ6" s="48"/>
      <c r="AK6" s="48"/>
      <c r="AL6" s="48"/>
      <c r="AM6" s="48"/>
      <c r="AN6" s="48"/>
    </row>
    <row r="7">
      <c r="A7" s="5" t="s">
        <v>787</v>
      </c>
      <c r="B7" s="48" t="s">
        <v>90</v>
      </c>
      <c r="C7" s="480" t="s">
        <v>98</v>
      </c>
      <c r="D7" s="481" t="str">
        <f t="array" ref="D7">+INDEX('Budget original'!$A$2:$AO$501,MATCH($A7,'Budget original'!$A$2:$A$501,0),MATCH(D$2,'Budget original'!$A$2:$AO$2,0))</f>
        <v/>
      </c>
      <c r="E7" s="481">
        <f t="shared" si="1"/>
        <v>0</v>
      </c>
      <c r="F7" s="481" t="str">
        <f t="array" ref="F7">+INDEX('Budget original'!$A$2:$AO$501,MATCH($A7,'Budget original'!$A$2:$A$501,0),MATCH(F$2,'Budget original'!$A$2:$AO$2,0))</f>
        <v/>
      </c>
      <c r="G7" s="482"/>
      <c r="H7" s="481"/>
      <c r="I7" s="481"/>
      <c r="J7" s="482">
        <f>SUMIFS(BV_Data_An_Cour!$AW:$AW,BV_Data_An_Cour!$AP:$AP,$B7,BV_Data_An_Cour!$AQ:$AQ,$C7,BV_Data_An_Cour!$AY:$AY,J$2)</f>
        <v>30</v>
      </c>
      <c r="K7" s="483">
        <f t="shared" si="2"/>
        <v>1763.614</v>
      </c>
      <c r="L7" s="484">
        <f>-SUMIFS(BV_Data_An_Cour!$AM:$AM,BV_Data_An_Cour!$AP:$AP,$B7,BV_Data_An_Cour!$AQ:$AQ,$C7,BV_Data_An_Cour!$AR:$AR,L$2)</f>
        <v>52908.42</v>
      </c>
      <c r="M7" s="482">
        <f t="shared" si="3"/>
        <v>30</v>
      </c>
      <c r="N7" s="485">
        <f t="shared" si="4"/>
        <v>52908.42</v>
      </c>
      <c r="O7" s="482">
        <f>SUMIFS(BV_Data_An_Prec!$AW:$AW,BV_Data_An_Prec!$AP:$AP,$B7,BV_Data_An_Prec!$AQ:$AQ,$C7,BV_Data_An_Prec!$AY:$AY,O$2)</f>
        <v>38</v>
      </c>
      <c r="P7" s="483">
        <f t="shared" si="5"/>
        <v>2884.906579</v>
      </c>
      <c r="Q7" s="484">
        <f>-SUMIFS(BV_Data_An_Prec!$AM:$AM,BV_Data_An_Prec!$AP:$AP,$B7,BV_Data_An_Prec!$AQ:$AQ,$C7,BV_Data_An_Prec!$AR:$AR,Q$2)</f>
        <v>109626.45</v>
      </c>
      <c r="R7" s="486">
        <f t="shared" si="6"/>
        <v>-8</v>
      </c>
      <c r="S7" s="484">
        <f t="shared" si="7"/>
        <v>-56718.03</v>
      </c>
      <c r="T7" s="40"/>
      <c r="U7" s="40"/>
      <c r="V7" s="464" t="s">
        <v>788</v>
      </c>
      <c r="W7" s="465">
        <v>0.2</v>
      </c>
      <c r="X7" s="48"/>
      <c r="Y7" s="48"/>
      <c r="Z7" s="48"/>
      <c r="AA7" s="48"/>
      <c r="AB7" s="48"/>
      <c r="AC7" s="48"/>
      <c r="AD7" s="48"/>
      <c r="AE7" s="48"/>
      <c r="AF7" s="48"/>
      <c r="AG7" s="48"/>
      <c r="AH7" s="48"/>
      <c r="AI7" s="48"/>
      <c r="AJ7" s="48"/>
      <c r="AK7" s="48"/>
      <c r="AL7" s="48"/>
      <c r="AM7" s="48"/>
      <c r="AN7" s="48"/>
    </row>
    <row r="8">
      <c r="A8" s="5" t="s">
        <v>789</v>
      </c>
      <c r="B8" s="48" t="s">
        <v>90</v>
      </c>
      <c r="C8" s="480" t="s">
        <v>790</v>
      </c>
      <c r="D8" s="481" t="str">
        <f t="array" ref="D8">+INDEX('Budget original'!$A$2:$AO$501,MATCH($A8,'Budget original'!$A$2:$A$501,0),MATCH(D$2,'Budget original'!$A$2:$AO$2,0))</f>
        <v/>
      </c>
      <c r="E8" s="481">
        <f t="shared" si="1"/>
        <v>0</v>
      </c>
      <c r="F8" s="481" t="str">
        <f t="array" ref="F8">+INDEX('Budget original'!$A$2:$AO$501,MATCH($A8,'Budget original'!$A$2:$A$501,0),MATCH(F$2,'Budget original'!$A$2:$AO$2,0))</f>
        <v/>
      </c>
      <c r="G8" s="482"/>
      <c r="H8" s="481"/>
      <c r="I8" s="481"/>
      <c r="J8" s="482">
        <f>SUMIFS(BV_Data_An_Cour!$AW:$AW,BV_Data_An_Cour!$AP:$AP,$B8,BV_Data_An_Cour!$AQ:$AQ,$C8,BV_Data_An_Cour!$AY:$AY,J$2)</f>
        <v>0</v>
      </c>
      <c r="K8" s="483">
        <f t="shared" si="2"/>
        <v>0</v>
      </c>
      <c r="L8" s="484">
        <f>-SUMIFS(BV_Data_An_Cour!$AM:$AM,BV_Data_An_Cour!$AP:$AP,$B8,BV_Data_An_Cour!$AQ:$AQ,$C8,BV_Data_An_Cour!$AR:$AR,L$2)</f>
        <v>0</v>
      </c>
      <c r="M8" s="482">
        <f t="shared" si="3"/>
        <v>0</v>
      </c>
      <c r="N8" s="485">
        <f t="shared" si="4"/>
        <v>0</v>
      </c>
      <c r="O8" s="482">
        <f>SUMIFS(BV_Data_An_Prec!$AW:$AW,BV_Data_An_Prec!$AP:$AP,$B8,BV_Data_An_Prec!$AQ:$AQ,$C8,BV_Data_An_Prec!$AY:$AY,O$2)</f>
        <v>0</v>
      </c>
      <c r="P8" s="483">
        <f t="shared" si="5"/>
        <v>0</v>
      </c>
      <c r="Q8" s="484">
        <f>-SUMIFS(BV_Data_An_Prec!$AM:$AM,BV_Data_An_Prec!$AP:$AP,$B8,BV_Data_An_Prec!$AQ:$AQ,$C8,BV_Data_An_Prec!$AR:$AR,Q$2)</f>
        <v>0</v>
      </c>
      <c r="R8" s="486">
        <f t="shared" si="6"/>
        <v>0</v>
      </c>
      <c r="S8" s="484">
        <f t="shared" si="7"/>
        <v>0</v>
      </c>
      <c r="T8" s="40"/>
      <c r="U8" s="40"/>
      <c r="V8" s="487"/>
      <c r="W8" s="488">
        <f>SUM(W3:W7)</f>
        <v>1</v>
      </c>
      <c r="X8" s="48"/>
      <c r="Y8" s="48"/>
      <c r="Z8" s="48"/>
      <c r="AA8" s="48"/>
      <c r="AB8" s="48"/>
      <c r="AC8" s="48"/>
      <c r="AD8" s="48"/>
      <c r="AE8" s="48"/>
      <c r="AF8" s="48"/>
      <c r="AG8" s="48"/>
      <c r="AH8" s="48"/>
      <c r="AI8" s="48"/>
      <c r="AJ8" s="48"/>
      <c r="AK8" s="48"/>
      <c r="AL8" s="48"/>
      <c r="AM8" s="48"/>
      <c r="AN8" s="48"/>
    </row>
    <row r="9">
      <c r="A9" s="5" t="s">
        <v>791</v>
      </c>
      <c r="B9" s="48" t="s">
        <v>90</v>
      </c>
      <c r="C9" s="480" t="s">
        <v>792</v>
      </c>
      <c r="D9" s="481" t="str">
        <f t="array" ref="D9">+INDEX('Budget original'!$A$2:$AO$501,MATCH($A9,'Budget original'!$A$2:$A$501,0),MATCH(D$2,'Budget original'!$A$2:$AO$2,0))</f>
        <v/>
      </c>
      <c r="E9" s="481">
        <f t="shared" si="1"/>
        <v>0</v>
      </c>
      <c r="F9" s="481" t="str">
        <f t="array" ref="F9">+INDEX('Budget original'!$A$2:$AO$501,MATCH($A9,'Budget original'!$A$2:$A$501,0),MATCH(F$2,'Budget original'!$A$2:$AO$2,0))</f>
        <v/>
      </c>
      <c r="G9" s="482"/>
      <c r="H9" s="481"/>
      <c r="I9" s="481"/>
      <c r="J9" s="482">
        <f>SUMIFS(BV_Data_An_Cour!$AW:$AW,BV_Data_An_Cour!$AP:$AP,$B9,BV_Data_An_Cour!$AQ:$AQ,$C9,BV_Data_An_Cour!$AY:$AY,J$2)</f>
        <v>48</v>
      </c>
      <c r="K9" s="483">
        <f t="shared" si="2"/>
        <v>1214.302083</v>
      </c>
      <c r="L9" s="484">
        <f>-SUMIFS(BV_Data_An_Cour!$AM:$AM,BV_Data_An_Cour!$AP:$AP,$B9,BV_Data_An_Cour!$AQ:$AQ,$C9,BV_Data_An_Cour!$AR:$AR,L$2)</f>
        <v>58286.5</v>
      </c>
      <c r="M9" s="482">
        <f t="shared" si="3"/>
        <v>48</v>
      </c>
      <c r="N9" s="485">
        <f t="shared" si="4"/>
        <v>58286.5</v>
      </c>
      <c r="O9" s="482">
        <f>SUMIFS(BV_Data_An_Prec!$AW:$AW,BV_Data_An_Prec!$AP:$AP,$B9,BV_Data_An_Prec!$AQ:$AQ,$C9,BV_Data_An_Prec!$AY:$AY,O$2)</f>
        <v>24</v>
      </c>
      <c r="P9" s="483">
        <f t="shared" si="5"/>
        <v>1502.1</v>
      </c>
      <c r="Q9" s="484">
        <f>-SUMIFS(BV_Data_An_Prec!$AM:$AM,BV_Data_An_Prec!$AP:$AP,$B9,BV_Data_An_Prec!$AQ:$AQ,$C9,BV_Data_An_Prec!$AR:$AR,Q$2)</f>
        <v>36050.4</v>
      </c>
      <c r="R9" s="486">
        <f t="shared" si="6"/>
        <v>24</v>
      </c>
      <c r="S9" s="484">
        <f t="shared" si="7"/>
        <v>22236.1</v>
      </c>
      <c r="T9" s="40"/>
      <c r="U9" s="40" t="s">
        <v>793</v>
      </c>
      <c r="V9" s="48"/>
      <c r="W9" s="48"/>
      <c r="X9" s="48"/>
      <c r="Y9" s="48"/>
      <c r="Z9" s="48"/>
      <c r="AA9" s="48"/>
      <c r="AB9" s="48"/>
      <c r="AC9" s="48"/>
      <c r="AD9" s="48"/>
      <c r="AE9" s="48"/>
      <c r="AF9" s="48"/>
      <c r="AG9" s="48"/>
      <c r="AH9" s="48"/>
      <c r="AI9" s="48"/>
      <c r="AJ9" s="48"/>
      <c r="AK9" s="48"/>
      <c r="AL9" s="48"/>
      <c r="AM9" s="48"/>
      <c r="AN9" s="48"/>
    </row>
    <row r="10" ht="20.25" hidden="1" customHeight="1">
      <c r="A10" s="5" t="s">
        <v>794</v>
      </c>
      <c r="B10" s="48" t="s">
        <v>90</v>
      </c>
      <c r="C10" s="480" t="s">
        <v>56</v>
      </c>
      <c r="D10" s="481" t="str">
        <f t="array" ref="D10">+INDEX('Budget original'!$A$2:$AO$501,MATCH($A10,'Budget original'!$A$2:$A$501,0),MATCH(D$2,'Budget original'!$A$2:$AO$2,0))</f>
        <v/>
      </c>
      <c r="E10" s="481">
        <f t="shared" si="1"/>
        <v>0</v>
      </c>
      <c r="F10" s="481" t="str">
        <f t="array" ref="F10">+INDEX('Budget original'!$A$2:$AO$501,MATCH($A10,'Budget original'!$A$2:$A$501,0),MATCH(F$2,'Budget original'!$A$2:$AO$2,0))</f>
        <v/>
      </c>
      <c r="G10" s="482"/>
      <c r="H10" s="481"/>
      <c r="I10" s="481"/>
      <c r="J10" s="482">
        <f>-SUMIFS(BV_Data_An_Cour!$AM:$AM,BV_Data_An_Cour!$AP:$AP,$B10,BV_Data_An_Cour!$AQ:$AQ,$C10,BV_Data_An_Cour!$AR:$AR,J$2)</f>
        <v>0</v>
      </c>
      <c r="K10" s="483">
        <f t="shared" si="2"/>
        <v>0</v>
      </c>
      <c r="L10" s="484">
        <f>-SUMIFS(BV_Data_An_Cour!$AM:$AM,BV_Data_An_Cour!$AP:$AP,$B10,BV_Data_An_Cour!$AQ:$AQ,$C10,BV_Data_An_Cour!$AR:$AR,L$2)</f>
        <v>0</v>
      </c>
      <c r="M10" s="482">
        <f t="shared" si="3"/>
        <v>0</v>
      </c>
      <c r="N10" s="485">
        <f t="shared" si="4"/>
        <v>0</v>
      </c>
      <c r="O10" s="482">
        <f>-SUMIFS(BV_Data_An_Prec!$AM:$AM,BV_Data_An_Prec!$AP:$AP,$B10,BV_Data_An_Prec!$AQ:$AQ,$C10,BV_Data_An_Prec!$AR:$AR,O$2)</f>
        <v>0</v>
      </c>
      <c r="P10" s="483">
        <f t="shared" si="5"/>
        <v>0</v>
      </c>
      <c r="Q10" s="484">
        <f>-SUMIFS(BV_Data_An_Prec!$AM:$AM,BV_Data_An_Prec!$AP:$AP,$B10,BV_Data_An_Prec!$AQ:$AQ,$C10,BV_Data_An_Prec!$AR:$AR,Q$2)</f>
        <v>0</v>
      </c>
      <c r="R10" s="489">
        <f t="shared" si="6"/>
        <v>0</v>
      </c>
      <c r="S10" s="484">
        <f t="shared" si="7"/>
        <v>0</v>
      </c>
      <c r="T10" s="40"/>
      <c r="U10" s="40"/>
      <c r="V10" s="48"/>
      <c r="W10" s="48"/>
      <c r="X10" s="48"/>
      <c r="Y10" s="48"/>
      <c r="Z10" s="48"/>
      <c r="AA10" s="48"/>
      <c r="AB10" s="48"/>
      <c r="AC10" s="48"/>
      <c r="AD10" s="48"/>
      <c r="AE10" s="48"/>
      <c r="AF10" s="48"/>
      <c r="AG10" s="48"/>
      <c r="AH10" s="48"/>
      <c r="AI10" s="48"/>
      <c r="AJ10" s="48"/>
      <c r="AK10" s="48"/>
      <c r="AL10" s="48"/>
      <c r="AM10" s="48"/>
      <c r="AN10" s="48"/>
    </row>
    <row r="11" ht="20.25" hidden="1" customHeight="1">
      <c r="A11" s="5" t="s">
        <v>794</v>
      </c>
      <c r="B11" s="48" t="s">
        <v>90</v>
      </c>
      <c r="C11" s="480" t="s">
        <v>56</v>
      </c>
      <c r="D11" s="481" t="str">
        <f t="array" ref="D11">+INDEX('Budget original'!$A$2:$AO$501,MATCH($A11,'Budget original'!$A$2:$A$501,0),MATCH(D$2,'Budget original'!$A$2:$AO$2,0))</f>
        <v/>
      </c>
      <c r="E11" s="481">
        <f t="shared" si="1"/>
        <v>0</v>
      </c>
      <c r="F11" s="481" t="str">
        <f t="array" ref="F11">+INDEX('Budget original'!$A$2:$AO$501,MATCH($A11,'Budget original'!$A$2:$A$501,0),MATCH(F$2,'Budget original'!$A$2:$AO$2,0))</f>
        <v/>
      </c>
      <c r="G11" s="482"/>
      <c r="H11" s="481"/>
      <c r="I11" s="481"/>
      <c r="J11" s="482">
        <f>-SUMIFS(BV_Data_An_Cour!$AM:$AM,BV_Data_An_Cour!$AP:$AP,$B11,BV_Data_An_Cour!$AQ:$AQ,$C11,BV_Data_An_Cour!$AR:$AR,J$2)</f>
        <v>0</v>
      </c>
      <c r="K11" s="483">
        <f t="shared" si="2"/>
        <v>0</v>
      </c>
      <c r="L11" s="484">
        <f>-SUMIFS(BV_Data_An_Cour!$AM:$AM,BV_Data_An_Cour!$AP:$AP,$B11,BV_Data_An_Cour!$AQ:$AQ,$C11,BV_Data_An_Cour!$AR:$AR,L$2)</f>
        <v>0</v>
      </c>
      <c r="M11" s="482">
        <f t="shared" si="3"/>
        <v>0</v>
      </c>
      <c r="N11" s="485">
        <f t="shared" si="4"/>
        <v>0</v>
      </c>
      <c r="O11" s="482">
        <f>-SUMIFS(BV_Data_An_Prec!$AM:$AM,BV_Data_An_Prec!$AP:$AP,$B11,BV_Data_An_Prec!$AQ:$AQ,$C11,BV_Data_An_Prec!$AR:$AR,O$2)</f>
        <v>0</v>
      </c>
      <c r="P11" s="483">
        <f t="shared" si="5"/>
        <v>0</v>
      </c>
      <c r="Q11" s="484">
        <f>-SUMIFS(BV_Data_An_Prec!$AM:$AM,BV_Data_An_Prec!$AP:$AP,$B11,BV_Data_An_Prec!$AQ:$AQ,$C11,BV_Data_An_Prec!$AR:$AR,Q$2)</f>
        <v>0</v>
      </c>
      <c r="R11" s="482">
        <f t="shared" si="6"/>
        <v>0</v>
      </c>
      <c r="S11" s="484">
        <f t="shared" si="7"/>
        <v>0</v>
      </c>
      <c r="T11" s="40"/>
      <c r="U11" s="40"/>
      <c r="V11" s="48"/>
      <c r="W11" s="48"/>
      <c r="X11" s="48"/>
      <c r="Y11" s="48"/>
      <c r="Z11" s="48"/>
      <c r="AA11" s="48"/>
      <c r="AB11" s="48"/>
      <c r="AC11" s="48"/>
      <c r="AD11" s="48"/>
      <c r="AE11" s="48"/>
      <c r="AF11" s="48"/>
      <c r="AG11" s="48"/>
      <c r="AH11" s="48"/>
      <c r="AI11" s="48"/>
      <c r="AJ11" s="48"/>
      <c r="AK11" s="48"/>
      <c r="AL11" s="48"/>
      <c r="AM11" s="48"/>
      <c r="AN11" s="48"/>
    </row>
    <row r="12" ht="20.25" hidden="1" customHeight="1">
      <c r="A12" s="5" t="s">
        <v>794</v>
      </c>
      <c r="B12" s="48" t="s">
        <v>90</v>
      </c>
      <c r="C12" s="480" t="s">
        <v>56</v>
      </c>
      <c r="D12" s="481" t="str">
        <f t="array" ref="D12">+INDEX('Budget original'!$A$2:$AO$501,MATCH($A12,'Budget original'!$A$2:$A$501,0),MATCH(D$2,'Budget original'!$A$2:$AO$2,0))</f>
        <v/>
      </c>
      <c r="E12" s="481">
        <f t="shared" si="1"/>
        <v>0</v>
      </c>
      <c r="F12" s="481" t="str">
        <f t="array" ref="F12">+INDEX('Budget original'!$A$2:$AO$501,MATCH($A12,'Budget original'!$A$2:$A$501,0),MATCH(F$2,'Budget original'!$A$2:$AO$2,0))</f>
        <v/>
      </c>
      <c r="G12" s="482"/>
      <c r="H12" s="481"/>
      <c r="I12" s="481"/>
      <c r="J12" s="482">
        <f>-SUMIFS(BV_Data_An_Cour!$AM:$AM,BV_Data_An_Cour!$AP:$AP,$B12,BV_Data_An_Cour!$AQ:$AQ,$C12,BV_Data_An_Cour!$AR:$AR,J$2)</f>
        <v>0</v>
      </c>
      <c r="K12" s="483">
        <f t="shared" si="2"/>
        <v>0</v>
      </c>
      <c r="L12" s="484">
        <f>-SUMIFS(BV_Data_An_Cour!$AM:$AM,BV_Data_An_Cour!$AP:$AP,$B12,BV_Data_An_Cour!$AQ:$AQ,$C12,BV_Data_An_Cour!$AR:$AR,L$2)</f>
        <v>0</v>
      </c>
      <c r="M12" s="482">
        <f t="shared" si="3"/>
        <v>0</v>
      </c>
      <c r="N12" s="485">
        <f t="shared" si="4"/>
        <v>0</v>
      </c>
      <c r="O12" s="482">
        <f>-SUMIFS(BV_Data_An_Prec!$AM:$AM,BV_Data_An_Prec!$AP:$AP,$B12,BV_Data_An_Prec!$AQ:$AQ,$C12,BV_Data_An_Prec!$AR:$AR,O$2)</f>
        <v>0</v>
      </c>
      <c r="P12" s="483">
        <f t="shared" si="5"/>
        <v>0</v>
      </c>
      <c r="Q12" s="484">
        <f>-SUMIFS(BV_Data_An_Prec!$AM:$AM,BV_Data_An_Prec!$AP:$AP,$B12,BV_Data_An_Prec!$AQ:$AQ,$C12,BV_Data_An_Prec!$AR:$AR,Q$2)</f>
        <v>0</v>
      </c>
      <c r="R12" s="482">
        <f t="shared" si="6"/>
        <v>0</v>
      </c>
      <c r="S12" s="484">
        <f t="shared" si="7"/>
        <v>0</v>
      </c>
      <c r="T12" s="40"/>
      <c r="U12" s="40"/>
      <c r="V12" s="48"/>
      <c r="W12" s="48"/>
      <c r="X12" s="48"/>
      <c r="Y12" s="48"/>
      <c r="Z12" s="48"/>
      <c r="AA12" s="48"/>
      <c r="AB12" s="48"/>
      <c r="AC12" s="48"/>
      <c r="AD12" s="48"/>
      <c r="AE12" s="48"/>
      <c r="AF12" s="48"/>
      <c r="AG12" s="48"/>
      <c r="AH12" s="48"/>
      <c r="AI12" s="48"/>
      <c r="AJ12" s="48"/>
      <c r="AK12" s="48"/>
      <c r="AL12" s="48"/>
      <c r="AM12" s="48"/>
      <c r="AN12" s="48"/>
    </row>
    <row r="13">
      <c r="A13" s="5" t="s">
        <v>795</v>
      </c>
      <c r="B13" s="48" t="s">
        <v>90</v>
      </c>
      <c r="C13" s="490" t="s">
        <v>101</v>
      </c>
      <c r="D13" s="491">
        <f>+SUM(D6:D12)</f>
        <v>0</v>
      </c>
      <c r="E13" s="491">
        <f>IF(D13&lt;=0,0,F13/D13)</f>
        <v>0</v>
      </c>
      <c r="F13" s="492">
        <f>+SUM(F6:F12)</f>
        <v>0</v>
      </c>
      <c r="G13" s="493"/>
      <c r="H13" s="491"/>
      <c r="I13" s="492"/>
      <c r="J13" s="494">
        <f>+SUM(J6:J12)</f>
        <v>79</v>
      </c>
      <c r="K13" s="495">
        <f>IF(J13&lt;=0,0,L13/J13)</f>
        <v>1553.661772</v>
      </c>
      <c r="L13" s="496">
        <f t="shared" ref="L13:O13" si="8">+SUM(L6:L12)</f>
        <v>122739.28</v>
      </c>
      <c r="M13" s="493">
        <f t="shared" si="8"/>
        <v>79</v>
      </c>
      <c r="N13" s="492">
        <f t="shared" si="8"/>
        <v>122739.28</v>
      </c>
      <c r="O13" s="493">
        <f t="shared" si="8"/>
        <v>62</v>
      </c>
      <c r="P13" s="495">
        <f>IF(O13&lt;=0,0,Q13/O13)</f>
        <v>2349.626613</v>
      </c>
      <c r="Q13" s="497">
        <f t="shared" ref="Q13:S13" si="9">+SUM(Q6:Q12)</f>
        <v>145676.85</v>
      </c>
      <c r="R13" s="489">
        <f t="shared" si="9"/>
        <v>17</v>
      </c>
      <c r="S13" s="497">
        <f t="shared" si="9"/>
        <v>-22937.57</v>
      </c>
      <c r="T13" s="40">
        <v>79.0</v>
      </c>
      <c r="U13" s="498">
        <v>123369.0</v>
      </c>
      <c r="V13" s="499">
        <f>L13-U13</f>
        <v>-629.72</v>
      </c>
      <c r="W13" s="48"/>
      <c r="X13" s="48"/>
      <c r="Y13" s="48"/>
      <c r="Z13" s="48"/>
      <c r="AA13" s="48"/>
      <c r="AB13" s="48"/>
      <c r="AC13" s="48"/>
      <c r="AD13" s="483"/>
      <c r="AE13" s="48"/>
      <c r="AF13" s="48"/>
      <c r="AG13" s="48"/>
      <c r="AH13" s="48"/>
      <c r="AI13" s="48"/>
      <c r="AJ13" s="48"/>
      <c r="AK13" s="48"/>
      <c r="AL13" s="48"/>
      <c r="AM13" s="48"/>
      <c r="AN13" s="48"/>
    </row>
    <row r="14">
      <c r="A14" s="5" t="s">
        <v>90</v>
      </c>
      <c r="B14" s="48" t="s">
        <v>90</v>
      </c>
      <c r="C14" s="500"/>
      <c r="D14" s="11"/>
      <c r="E14" s="501"/>
      <c r="F14" s="502"/>
      <c r="G14" s="500"/>
      <c r="H14" s="501"/>
      <c r="I14" s="502"/>
      <c r="J14" s="500"/>
      <c r="K14" s="503"/>
      <c r="L14" s="504"/>
      <c r="M14" s="505">
        <f>IF(D13=0,0,M13/D13)</f>
        <v>0</v>
      </c>
      <c r="N14" s="506">
        <f>IF(F13=0,0,N13/F13)</f>
        <v>0</v>
      </c>
      <c r="O14" s="500"/>
      <c r="P14" s="503"/>
      <c r="Q14" s="504"/>
      <c r="R14" s="505">
        <f>R13/O13</f>
        <v>0.2741935484</v>
      </c>
      <c r="S14" s="507">
        <f>IF(Q13=0,0,(S13/Q13))</f>
        <v>-0.1574551482</v>
      </c>
      <c r="T14" s="40"/>
      <c r="U14" s="498"/>
      <c r="V14" s="499"/>
      <c r="W14" s="481"/>
      <c r="X14" s="481"/>
      <c r="Y14" s="48"/>
      <c r="Z14" s="48"/>
      <c r="AA14" s="48"/>
      <c r="AB14" s="48"/>
      <c r="AC14" s="48"/>
      <c r="AD14" s="48"/>
      <c r="AE14" s="48"/>
      <c r="AF14" s="48"/>
      <c r="AG14" s="48"/>
      <c r="AH14" s="48"/>
      <c r="AI14" s="48"/>
      <c r="AJ14" s="48"/>
      <c r="AK14" s="48"/>
      <c r="AL14" s="48"/>
      <c r="AM14" s="48"/>
      <c r="AN14" s="48"/>
    </row>
    <row r="15">
      <c r="A15" s="5" t="s">
        <v>796</v>
      </c>
      <c r="B15" s="48" t="s">
        <v>90</v>
      </c>
      <c r="C15" s="508" t="s">
        <v>102</v>
      </c>
      <c r="D15" s="509" t="str">
        <f t="array" ref="D15">+INDEX('Budget original'!$A$2:$AO$501,MATCH($A15,'Budget original'!$A$2:$A$501,0),MATCH(D$2,'Budget original'!$A$2:$AO$2,0))</f>
        <v/>
      </c>
      <c r="E15" s="509">
        <f>IF(D15=0,0,F15/D15)</f>
        <v>0</v>
      </c>
      <c r="F15" s="510" t="str">
        <f t="array" ref="F15">+INDEX('Budget original'!$A$2:$AO$501,MATCH($A15,'Budget original'!$A$2:$A$501,0),MATCH(F$2,'Budget original'!$A$2:$AO$2,0))</f>
        <v/>
      </c>
      <c r="G15" s="511"/>
      <c r="H15" s="509"/>
      <c r="I15" s="510"/>
      <c r="J15" s="512">
        <f>SUMIFS(BV_Data_An_Cour!$AW:$AW,BV_Data_An_Cour!$AP:$AP,$B15,BV_Data_An_Cour!$AQ:$AQ,$C15,BV_Data_An_Cour!$AY:$AY,J$2)</f>
        <v>0</v>
      </c>
      <c r="K15" s="513">
        <f>IF(J15=0,0,L15/J15)</f>
        <v>0</v>
      </c>
      <c r="L15" s="513">
        <f>-SUMIFS(BV_Data_An_Cour!$AM:$AM,BV_Data_An_Cour!$AP:$AP,$B15,BV_Data_An_Cour!$AQ:$AQ,$C15,BV_Data_An_Cour!$AR:$AR,L$2)</f>
        <v>0</v>
      </c>
      <c r="M15" s="512">
        <f>J15-D15</f>
        <v>0</v>
      </c>
      <c r="N15" s="473">
        <f>L15-F15</f>
        <v>0</v>
      </c>
      <c r="O15" s="512">
        <f>SUMIFS(BV_Data_An_Prec!$AW:$AW,BV_Data_An_Prec!$AP:$AP,$B15,BV_Data_An_Prec!$AQ:$AQ,$C15,BV_Data_An_Prec!$AY:$AY,O$2)</f>
        <v>0</v>
      </c>
      <c r="P15" s="513">
        <f>IF(O15=0,0,Q15/O15)</f>
        <v>0</v>
      </c>
      <c r="Q15" s="513">
        <f>-SUMIFS(BV_Data_An_Prec!$AM:$AM,BV_Data_An_Prec!$AP:$AP,$B15,BV_Data_An_Prec!$AQ:$AQ,$C15,BV_Data_An_Prec!$AR:$AR,Q$2)</f>
        <v>0</v>
      </c>
      <c r="R15" s="512">
        <f>J15-O15</f>
        <v>0</v>
      </c>
      <c r="S15" s="476">
        <f>L15-Q15</f>
        <v>0</v>
      </c>
      <c r="T15" s="40"/>
      <c r="U15" s="498"/>
      <c r="V15" s="499"/>
      <c r="W15" s="48"/>
      <c r="X15" s="48"/>
      <c r="Y15" s="48"/>
      <c r="Z15" s="48"/>
      <c r="AA15" s="48"/>
      <c r="AB15" s="48"/>
      <c r="AC15" s="48"/>
      <c r="AD15" s="48"/>
      <c r="AE15" s="48"/>
      <c r="AF15" s="48"/>
      <c r="AG15" s="48"/>
      <c r="AH15" s="48"/>
      <c r="AI15" s="48"/>
      <c r="AJ15" s="48"/>
      <c r="AK15" s="48"/>
      <c r="AL15" s="48"/>
      <c r="AM15" s="48"/>
      <c r="AN15" s="48"/>
    </row>
    <row r="16">
      <c r="A16" s="5" t="s">
        <v>90</v>
      </c>
      <c r="B16" s="48" t="s">
        <v>90</v>
      </c>
      <c r="C16" s="480"/>
      <c r="D16" s="48"/>
      <c r="E16" s="481"/>
      <c r="F16" s="514"/>
      <c r="G16" s="480"/>
      <c r="H16" s="481"/>
      <c r="I16" s="514"/>
      <c r="J16" s="480"/>
      <c r="K16" s="483"/>
      <c r="L16" s="484"/>
      <c r="M16" s="515"/>
      <c r="N16" s="516"/>
      <c r="O16" s="480"/>
      <c r="P16" s="483"/>
      <c r="Q16" s="484"/>
      <c r="R16" s="515"/>
      <c r="S16" s="484"/>
      <c r="T16" s="40"/>
      <c r="U16" s="498"/>
      <c r="V16" s="499"/>
      <c r="W16" s="48"/>
      <c r="X16" s="48"/>
      <c r="Y16" s="48"/>
      <c r="Z16" s="48"/>
      <c r="AA16" s="48"/>
      <c r="AB16" s="48"/>
      <c r="AC16" s="48"/>
      <c r="AD16" s="48"/>
      <c r="AE16" s="48"/>
      <c r="AF16" s="48"/>
      <c r="AG16" s="48"/>
      <c r="AH16" s="48"/>
      <c r="AI16" s="48"/>
      <c r="AJ16" s="48"/>
      <c r="AK16" s="48"/>
      <c r="AL16" s="48"/>
      <c r="AM16" s="48"/>
      <c r="AN16" s="48"/>
    </row>
    <row r="17">
      <c r="A17" s="5" t="s">
        <v>797</v>
      </c>
      <c r="B17" s="48" t="s">
        <v>90</v>
      </c>
      <c r="C17" s="500" t="s">
        <v>103</v>
      </c>
      <c r="D17" s="501" t="str">
        <f t="array" ref="D17">+INDEX('Budget original'!$A$2:$AO$501,MATCH($A17,'Budget original'!$A$2:$A$501,0),MATCH(D$2,'Budget original'!$A$2:$AO$2,0))</f>
        <v/>
      </c>
      <c r="E17" s="501">
        <f>IF(D17=0,0,F17/D17)</f>
        <v>0</v>
      </c>
      <c r="F17" s="501" t="str">
        <f t="array" ref="F17">+INDEX('Budget original'!$A$2:$AO$501,MATCH($A17,'Budget original'!$A$2:$A$501,0),MATCH(F$2,'Budget original'!$A$2:$AO$2,0))</f>
        <v/>
      </c>
      <c r="G17" s="517"/>
      <c r="H17" s="501"/>
      <c r="I17" s="501"/>
      <c r="J17" s="518">
        <f>SUMIFS(BV_Data_An_Cour!$AW:$AW,BV_Data_An_Cour!$AP:$AP,$B17,BV_Data_An_Cour!$AQ:$AQ,$C17,BV_Data_An_Cour!$AY:$AY,J$2)</f>
        <v>51</v>
      </c>
      <c r="K17" s="483">
        <f>IF(J17=0,0,L17/J17)</f>
        <v>799.28</v>
      </c>
      <c r="L17" s="484">
        <f>-SUMIFS(BV_Data_An_Cour!$AM:$AM,BV_Data_An_Cour!$AP:$AP,$B17,BV_Data_An_Cour!$AQ:$AQ,$C17,BV_Data_An_Cour!$AR:$AR,L$2)</f>
        <v>40763.28</v>
      </c>
      <c r="M17" s="512">
        <f>J17-D17</f>
        <v>51</v>
      </c>
      <c r="N17" s="485">
        <f>L17-F17</f>
        <v>40763.28</v>
      </c>
      <c r="O17" s="512">
        <f>SUMIFS(BV_Data_An_Prec!$AW:$AW,BV_Data_An_Prec!$AP:$AP,$B17,BV_Data_An_Prec!$AQ:$AQ,$C17,BV_Data_An_Prec!$AY:$AY,O$2)</f>
        <v>82</v>
      </c>
      <c r="P17" s="483">
        <f>IF(O17=0,0,Q17/O17)</f>
        <v>669.5785366</v>
      </c>
      <c r="Q17" s="484">
        <f>-SUMIFS(BV_Data_An_Prec!$AM:$AM,BV_Data_An_Prec!$AP:$AP,$B17,BV_Data_An_Prec!$AQ:$AQ,$C17,BV_Data_An_Prec!$AR:$AR,Q$2)</f>
        <v>54905.44</v>
      </c>
      <c r="R17" s="486">
        <f>J17-O17</f>
        <v>-31</v>
      </c>
      <c r="S17" s="484">
        <f>L17-Q17</f>
        <v>-14142.16</v>
      </c>
      <c r="T17" s="40">
        <v>51.0</v>
      </c>
      <c r="U17" s="498">
        <v>41372.0</v>
      </c>
      <c r="V17" s="499">
        <f>L17-U17</f>
        <v>-608.72</v>
      </c>
      <c r="W17" s="48"/>
      <c r="X17" s="48"/>
      <c r="Y17" s="48"/>
      <c r="Z17" s="48"/>
      <c r="AA17" s="481"/>
      <c r="AB17" s="48"/>
      <c r="AC17" s="48"/>
      <c r="AD17" s="483"/>
      <c r="AE17" s="48"/>
      <c r="AF17" s="48"/>
      <c r="AG17" s="48"/>
      <c r="AH17" s="48"/>
      <c r="AI17" s="48"/>
      <c r="AJ17" s="48"/>
      <c r="AK17" s="48"/>
      <c r="AL17" s="48"/>
      <c r="AM17" s="48"/>
      <c r="AN17" s="48"/>
    </row>
    <row r="18" hidden="1">
      <c r="A18" s="5" t="s">
        <v>90</v>
      </c>
      <c r="B18" s="48" t="s">
        <v>90</v>
      </c>
      <c r="C18" s="490"/>
      <c r="D18" s="519"/>
      <c r="E18" s="519"/>
      <c r="F18" s="520"/>
      <c r="G18" s="521"/>
      <c r="H18" s="519"/>
      <c r="I18" s="520"/>
      <c r="J18" s="482"/>
      <c r="K18" s="522"/>
      <c r="L18" s="523"/>
      <c r="M18" s="482"/>
      <c r="N18" s="520"/>
      <c r="O18" s="482"/>
      <c r="P18" s="522"/>
      <c r="Q18" s="523"/>
      <c r="R18" s="521"/>
      <c r="S18" s="523"/>
      <c r="T18" s="40"/>
      <c r="U18" s="498"/>
      <c r="V18" s="499"/>
      <c r="W18" s="48"/>
      <c r="X18" s="48"/>
      <c r="Y18" s="48"/>
      <c r="Z18" s="48"/>
      <c r="AA18" s="48"/>
      <c r="AB18" s="48"/>
      <c r="AC18" s="48"/>
      <c r="AD18" s="48"/>
      <c r="AE18" s="48"/>
      <c r="AF18" s="48"/>
      <c r="AG18" s="48"/>
      <c r="AH18" s="48"/>
      <c r="AI18" s="48"/>
      <c r="AJ18" s="48"/>
      <c r="AK18" s="48"/>
      <c r="AL18" s="48"/>
      <c r="AM18" s="48"/>
      <c r="AN18" s="48"/>
    </row>
    <row r="19" hidden="1">
      <c r="A19" s="5" t="s">
        <v>798</v>
      </c>
      <c r="B19" s="48" t="s">
        <v>90</v>
      </c>
      <c r="C19" s="508"/>
      <c r="D19" s="481"/>
      <c r="E19" s="481"/>
      <c r="F19" s="481"/>
      <c r="G19" s="482"/>
      <c r="H19" s="481"/>
      <c r="I19" s="481"/>
      <c r="J19" s="512"/>
      <c r="K19" s="483"/>
      <c r="L19" s="484"/>
      <c r="M19" s="482"/>
      <c r="N19" s="485"/>
      <c r="O19" s="512"/>
      <c r="P19" s="483"/>
      <c r="Q19" s="484"/>
      <c r="R19" s="482"/>
      <c r="S19" s="484"/>
      <c r="T19" s="40"/>
      <c r="U19" s="498"/>
      <c r="V19" s="499"/>
      <c r="W19" s="481"/>
      <c r="X19" s="524"/>
      <c r="Y19" s="48"/>
      <c r="Z19" s="48"/>
      <c r="AA19" s="48"/>
      <c r="AB19" s="48"/>
      <c r="AC19" s="48"/>
      <c r="AD19" s="48"/>
      <c r="AE19" s="48"/>
      <c r="AF19" s="48"/>
      <c r="AG19" s="48"/>
      <c r="AH19" s="48"/>
      <c r="AI19" s="48"/>
      <c r="AJ19" s="48"/>
      <c r="AK19" s="48"/>
      <c r="AL19" s="48"/>
      <c r="AM19" s="48"/>
      <c r="AN19" s="48"/>
    </row>
    <row r="20">
      <c r="A20" s="5" t="s">
        <v>90</v>
      </c>
      <c r="B20" s="48" t="s">
        <v>90</v>
      </c>
      <c r="C20" s="490"/>
      <c r="D20" s="519"/>
      <c r="E20" s="519"/>
      <c r="F20" s="520"/>
      <c r="G20" s="521"/>
      <c r="H20" s="519"/>
      <c r="I20" s="520"/>
      <c r="J20" s="482"/>
      <c r="K20" s="522"/>
      <c r="L20" s="523"/>
      <c r="M20" s="521"/>
      <c r="N20" s="520"/>
      <c r="O20" s="482"/>
      <c r="P20" s="522"/>
      <c r="Q20" s="523"/>
      <c r="R20" s="521"/>
      <c r="S20" s="523"/>
      <c r="T20" s="40"/>
      <c r="U20" s="498"/>
      <c r="V20" s="499"/>
      <c r="W20" s="481"/>
      <c r="X20" s="524"/>
      <c r="Y20" s="48"/>
      <c r="Z20" s="48"/>
      <c r="AA20" s="48"/>
      <c r="AB20" s="48"/>
      <c r="AC20" s="48"/>
      <c r="AD20" s="48"/>
      <c r="AE20" s="48"/>
      <c r="AF20" s="48"/>
      <c r="AG20" s="48"/>
      <c r="AH20" s="48"/>
      <c r="AI20" s="48"/>
      <c r="AJ20" s="48"/>
      <c r="AK20" s="48"/>
      <c r="AL20" s="48"/>
      <c r="AM20" s="48"/>
      <c r="AN20" s="48"/>
    </row>
    <row r="21" ht="15.75" customHeight="1">
      <c r="A21" s="5" t="s">
        <v>799</v>
      </c>
      <c r="B21" s="48" t="s">
        <v>90</v>
      </c>
      <c r="C21" s="480" t="s">
        <v>105</v>
      </c>
      <c r="D21" s="481" t="str">
        <f t="array" ref="D21">+INDEX('Budget original'!$A$2:$AO$501,MATCH($A21,'Budget original'!$A$2:$A$501,0),MATCH(D$2,'Budget original'!$A$2:$AO$2,0))</f>
        <v/>
      </c>
      <c r="E21" s="481">
        <f t="shared" ref="E21:E23" si="10">IF(D21=0,0,F21/D21)</f>
        <v>0</v>
      </c>
      <c r="F21" s="481" t="str">
        <f t="array" ref="F21">+INDEX('Budget original'!$A$2:$AO$501,MATCH($A21,'Budget original'!$A$2:$A$501,0),MATCH(F$2,'Budget original'!$A$2:$AO$2,0))</f>
        <v/>
      </c>
      <c r="G21" s="482"/>
      <c r="H21" s="481"/>
      <c r="I21" s="481"/>
      <c r="J21" s="482"/>
      <c r="K21" s="483">
        <f>IF(J13=0,0,L21/(J13+J15))</f>
        <v>-11.4643038</v>
      </c>
      <c r="L21" s="484">
        <f>-SUMIFS(BV_Data_An_Cour!$AM:$AM,BV_Data_An_Cour!$AP:$AP,$B21,BV_Data_An_Cour!$AQ:$AQ,$C21,BV_Data_An_Cour!$AR:$AR,L$2)</f>
        <v>-905.68</v>
      </c>
      <c r="M21" s="482"/>
      <c r="N21" s="485">
        <f t="shared" ref="N21:N24" si="11">L21-F21</f>
        <v>-905.68</v>
      </c>
      <c r="O21" s="482"/>
      <c r="P21" s="483">
        <f>IF(O13=0,0,Q21/(O13+O15))</f>
        <v>0</v>
      </c>
      <c r="Q21" s="484">
        <f>-SUMIFS(BV_Data_An_Prec!$AM:$AM,BV_Data_An_Prec!$AP:$AP,$B21,BV_Data_An_Prec!$AQ:$AQ,$C21,BV_Data_An_Prec!$AR:$AR,Q$2)</f>
        <v>0</v>
      </c>
      <c r="R21" s="486">
        <f t="shared" ref="R21:R24" si="12">P21-K21</f>
        <v>11.4643038</v>
      </c>
      <c r="S21" s="484">
        <f t="shared" ref="S21:S24" si="13">L21-Q21</f>
        <v>-905.68</v>
      </c>
      <c r="T21" s="40"/>
      <c r="U21" s="498"/>
      <c r="V21" s="499"/>
      <c r="W21" s="48"/>
      <c r="X21" s="524"/>
      <c r="Y21" s="48"/>
      <c r="Z21" s="48"/>
      <c r="AA21" s="48"/>
      <c r="AB21" s="48"/>
      <c r="AC21" s="48"/>
      <c r="AD21" s="48"/>
      <c r="AE21" s="48"/>
      <c r="AF21" s="48"/>
      <c r="AG21" s="48"/>
      <c r="AH21" s="48"/>
      <c r="AI21" s="48"/>
      <c r="AJ21" s="48"/>
      <c r="AK21" s="48"/>
      <c r="AL21" s="48"/>
      <c r="AM21" s="48"/>
      <c r="AN21" s="48"/>
    </row>
    <row r="22" ht="18.0" customHeight="1">
      <c r="A22" s="5" t="s">
        <v>800</v>
      </c>
      <c r="B22" s="48" t="s">
        <v>90</v>
      </c>
      <c r="C22" s="480" t="s">
        <v>106</v>
      </c>
      <c r="D22" s="481" t="str">
        <f t="array" ref="D22">+INDEX('Budget original'!$A$2:$AO$501,MATCH($A22,'Budget original'!$A$2:$A$501,0),MATCH(D$2,'Budget original'!$A$2:$AO$2,0))</f>
        <v/>
      </c>
      <c r="E22" s="481">
        <f t="shared" si="10"/>
        <v>0</v>
      </c>
      <c r="F22" s="481" t="str">
        <f t="array" ref="F22">+INDEX('Budget original'!$A$2:$AO$501,MATCH($A22,'Budget original'!$A$2:$A$501,0),MATCH(F$2,'Budget original'!$A$2:$AO$2,0))</f>
        <v/>
      </c>
      <c r="G22" s="482"/>
      <c r="H22" s="481"/>
      <c r="I22" s="481"/>
      <c r="J22" s="482"/>
      <c r="K22" s="483">
        <f>IF(J13=0,0,L22/(J13+J15))</f>
        <v>530.9440506</v>
      </c>
      <c r="L22" s="484">
        <f>-SUMIFS(BV_Data_An_Cour!$AM:$AM,BV_Data_An_Cour!$AP:$AP,$B22,BV_Data_An_Cour!$AQ:$AQ,$C22,BV_Data_An_Cour!$AR:$AR,L$2)</f>
        <v>41944.58</v>
      </c>
      <c r="M22" s="482"/>
      <c r="N22" s="485">
        <f t="shared" si="11"/>
        <v>41944.58</v>
      </c>
      <c r="O22" s="482"/>
      <c r="P22" s="483">
        <f>IF(O13=0,0,Q22/(O13+O15))</f>
        <v>752.9616129</v>
      </c>
      <c r="Q22" s="484">
        <f>-SUMIFS(BV_Data_An_Prec!$AM:$AM,BV_Data_An_Prec!$AP:$AP,$B22,BV_Data_An_Prec!$AQ:$AQ,$C22,BV_Data_An_Prec!$AR:$AR,Q$2)</f>
        <v>46683.62</v>
      </c>
      <c r="R22" s="486">
        <f t="shared" si="12"/>
        <v>222.0175623</v>
      </c>
      <c r="S22" s="484">
        <f t="shared" si="13"/>
        <v>-4739.04</v>
      </c>
      <c r="T22" s="40"/>
      <c r="U22" s="498"/>
      <c r="V22" s="499"/>
      <c r="W22" s="48"/>
      <c r="X22" s="48"/>
      <c r="Y22" s="48"/>
      <c r="Z22" s="48"/>
      <c r="AA22" s="48"/>
      <c r="AB22" s="48"/>
      <c r="AC22" s="48"/>
      <c r="AD22" s="48"/>
      <c r="AE22" s="48"/>
      <c r="AF22" s="48"/>
      <c r="AG22" s="48"/>
      <c r="AH22" s="48"/>
      <c r="AI22" s="48"/>
      <c r="AJ22" s="48"/>
      <c r="AK22" s="48"/>
      <c r="AL22" s="48"/>
      <c r="AM22" s="48"/>
      <c r="AN22" s="48"/>
    </row>
    <row r="23" ht="19.5" customHeight="1">
      <c r="A23" s="5" t="s">
        <v>801</v>
      </c>
      <c r="B23" s="48" t="s">
        <v>90</v>
      </c>
      <c r="C23" s="480" t="s">
        <v>107</v>
      </c>
      <c r="D23" s="481" t="str">
        <f t="array" ref="D23">+INDEX('Budget original'!$A$2:$AO$501,MATCH($A23,'Budget original'!$A$2:$A$501,0),MATCH(D$2,'Budget original'!$A$2:$AO$2,0))</f>
        <v/>
      </c>
      <c r="E23" s="481">
        <f t="shared" si="10"/>
        <v>0</v>
      </c>
      <c r="F23" s="481" t="str">
        <f t="array" ref="F23">+INDEX('Budget original'!$A$2:$AO$501,MATCH($A23,'Budget original'!$A$2:$A$501,0),MATCH(F$2,'Budget original'!$A$2:$AO$2,0))</f>
        <v/>
      </c>
      <c r="G23" s="482"/>
      <c r="H23" s="481"/>
      <c r="I23" s="481"/>
      <c r="J23" s="482"/>
      <c r="K23" s="483">
        <f>IF(J13=0,0,L23/(J13+J15))</f>
        <v>46.6835443</v>
      </c>
      <c r="L23" s="484">
        <f>-SUMIFS(BV_Data_An_Cour!$AM:$AM,BV_Data_An_Cour!$AP:$AP,$B23,BV_Data_An_Cour!$AQ:$AQ,$C23,BV_Data_An_Cour!$AR:$AR,L$2)</f>
        <v>3688</v>
      </c>
      <c r="M23" s="512"/>
      <c r="N23" s="485">
        <f t="shared" si="11"/>
        <v>3688</v>
      </c>
      <c r="O23" s="482"/>
      <c r="P23" s="483">
        <f>IF(O13=0,0,Q23/(O13+O15))</f>
        <v>71.56935484</v>
      </c>
      <c r="Q23" s="484">
        <f>-SUMIFS(BV_Data_An_Prec!$AM:$AM,BV_Data_An_Prec!$AP:$AP,$B23,BV_Data_An_Prec!$AQ:$AQ,$C23,BV_Data_An_Prec!$AR:$AR,Q$2)</f>
        <v>4437.3</v>
      </c>
      <c r="R23" s="486">
        <f t="shared" si="12"/>
        <v>24.88581053</v>
      </c>
      <c r="S23" s="484">
        <f t="shared" si="13"/>
        <v>-749.3</v>
      </c>
      <c r="T23" s="40"/>
      <c r="U23" s="498"/>
      <c r="V23" s="499"/>
      <c r="W23" s="48"/>
      <c r="X23" s="48"/>
      <c r="Y23" s="48"/>
      <c r="Z23" s="48"/>
      <c r="AA23" s="48"/>
      <c r="AB23" s="48"/>
      <c r="AC23" s="48"/>
      <c r="AD23" s="48"/>
      <c r="AE23" s="48"/>
      <c r="AF23" s="48"/>
      <c r="AG23" s="48"/>
      <c r="AH23" s="48"/>
      <c r="AI23" s="48"/>
      <c r="AJ23" s="48"/>
      <c r="AK23" s="48"/>
      <c r="AL23" s="48"/>
      <c r="AM23" s="48"/>
      <c r="AN23" s="48"/>
    </row>
    <row r="24" ht="18.0" customHeight="1">
      <c r="A24" s="5" t="s">
        <v>802</v>
      </c>
      <c r="B24" s="48" t="s">
        <v>90</v>
      </c>
      <c r="C24" s="490" t="s">
        <v>108</v>
      </c>
      <c r="D24" s="491">
        <f>+D15+D13</f>
        <v>0</v>
      </c>
      <c r="E24" s="491">
        <f>IF(D24&lt;=0,0,F24/D24)</f>
        <v>0</v>
      </c>
      <c r="F24" s="492">
        <f>F21+F22+F23</f>
        <v>0</v>
      </c>
      <c r="G24" s="493"/>
      <c r="H24" s="491"/>
      <c r="I24" s="492"/>
      <c r="J24" s="493">
        <f>+J15+J13</f>
        <v>79</v>
      </c>
      <c r="K24" s="495">
        <f>IF(J24&lt;=0,0,L24/J24)</f>
        <v>566.1632911</v>
      </c>
      <c r="L24" s="496">
        <f>L21+L22+L23</f>
        <v>44726.9</v>
      </c>
      <c r="M24" s="517">
        <f>J24-D24</f>
        <v>79</v>
      </c>
      <c r="N24" s="492">
        <f t="shared" si="11"/>
        <v>44726.9</v>
      </c>
      <c r="O24" s="493">
        <f>+O15+O13</f>
        <v>62</v>
      </c>
      <c r="P24" s="495">
        <f>IF(O24&lt;=0,0,Q24/O24)</f>
        <v>824.5309677</v>
      </c>
      <c r="Q24" s="497">
        <f>Q21+Q22+Q23</f>
        <v>51120.92</v>
      </c>
      <c r="R24" s="252">
        <f t="shared" si="12"/>
        <v>258.3676766</v>
      </c>
      <c r="S24" s="497">
        <f t="shared" si="13"/>
        <v>-6394.02</v>
      </c>
      <c r="T24" s="40"/>
      <c r="U24" s="498">
        <v>47620.0</v>
      </c>
      <c r="V24" s="499">
        <f>L24-U24</f>
        <v>-2893.1</v>
      </c>
      <c r="W24" s="48"/>
      <c r="X24" s="48"/>
      <c r="Y24" s="48"/>
      <c r="Z24" s="48"/>
      <c r="AA24" s="48"/>
      <c r="AB24" s="48"/>
      <c r="AC24" s="48"/>
      <c r="AD24" s="483"/>
      <c r="AE24" s="483"/>
      <c r="AF24" s="48"/>
      <c r="AG24" s="48"/>
      <c r="AH24" s="48"/>
      <c r="AI24" s="48"/>
      <c r="AJ24" s="48"/>
      <c r="AK24" s="48"/>
      <c r="AL24" s="48"/>
      <c r="AM24" s="48"/>
      <c r="AN24" s="48"/>
    </row>
    <row r="25" ht="15.75" customHeight="1">
      <c r="A25" s="5" t="s">
        <v>90</v>
      </c>
      <c r="B25" s="48" t="s">
        <v>90</v>
      </c>
      <c r="C25" s="480"/>
      <c r="D25" s="48"/>
      <c r="E25" s="48"/>
      <c r="F25" s="484"/>
      <c r="G25" s="480"/>
      <c r="H25" s="48"/>
      <c r="I25" s="484"/>
      <c r="J25" s="480"/>
      <c r="K25" s="483"/>
      <c r="L25" s="484"/>
      <c r="M25" s="525"/>
      <c r="N25" s="507" t="str">
        <f>IF(N24=0,0,N24/F24)</f>
        <v>#DIV/0!</v>
      </c>
      <c r="O25" s="480"/>
      <c r="P25" s="483"/>
      <c r="Q25" s="484"/>
      <c r="R25" s="486"/>
      <c r="S25" s="507">
        <f>IF(Q24=0,0,(S24/Q24))</f>
        <v>-0.1250763875</v>
      </c>
      <c r="T25" s="40"/>
      <c r="U25" s="498"/>
      <c r="V25" s="499"/>
      <c r="W25" s="48"/>
      <c r="X25" s="48"/>
      <c r="Y25" s="48"/>
      <c r="Z25" s="48"/>
      <c r="AA25" s="48"/>
      <c r="AB25" s="48"/>
      <c r="AC25" s="48"/>
      <c r="AD25" s="48"/>
      <c r="AE25" s="48"/>
      <c r="AF25" s="48"/>
      <c r="AG25" s="48"/>
      <c r="AH25" s="48"/>
      <c r="AI25" s="48"/>
      <c r="AJ25" s="48"/>
      <c r="AK25" s="48"/>
      <c r="AL25" s="48"/>
      <c r="AM25" s="48"/>
      <c r="AN25" s="48"/>
    </row>
    <row r="26" ht="15.75" customHeight="1">
      <c r="A26" s="5" t="s">
        <v>90</v>
      </c>
      <c r="B26" s="48" t="s">
        <v>90</v>
      </c>
      <c r="C26" s="480"/>
      <c r="D26" s="48"/>
      <c r="E26" s="48"/>
      <c r="F26" s="514"/>
      <c r="G26" s="480"/>
      <c r="H26" s="48"/>
      <c r="I26" s="514"/>
      <c r="J26" s="480"/>
      <c r="K26" s="483"/>
      <c r="L26" s="484"/>
      <c r="M26" s="480"/>
      <c r="N26" s="514"/>
      <c r="O26" s="480"/>
      <c r="P26" s="483"/>
      <c r="Q26" s="484"/>
      <c r="R26" s="486"/>
      <c r="S26" s="484"/>
      <c r="T26" s="40"/>
      <c r="U26" s="498"/>
      <c r="V26" s="499"/>
      <c r="W26" s="48"/>
      <c r="X26" s="48"/>
      <c r="Y26" s="48"/>
      <c r="Z26" s="48"/>
      <c r="AA26" s="48"/>
      <c r="AB26" s="48"/>
      <c r="AC26" s="48"/>
      <c r="AD26" s="483"/>
      <c r="AE26" s="48"/>
      <c r="AF26" s="48"/>
      <c r="AG26" s="48"/>
      <c r="AH26" s="48"/>
      <c r="AI26" s="48"/>
      <c r="AJ26" s="48"/>
      <c r="AK26" s="48"/>
      <c r="AL26" s="48"/>
      <c r="AM26" s="48"/>
      <c r="AN26" s="48"/>
    </row>
    <row r="27" ht="18.0" customHeight="1">
      <c r="A27" s="5" t="s">
        <v>803</v>
      </c>
      <c r="B27" s="48" t="s">
        <v>90</v>
      </c>
      <c r="C27" s="526" t="s">
        <v>109</v>
      </c>
      <c r="D27" s="527">
        <f>+D13+D15+D17</f>
        <v>0</v>
      </c>
      <c r="E27" s="528">
        <f>IF(D27&lt;=0,0,F27/D27)</f>
        <v>0</v>
      </c>
      <c r="F27" s="529">
        <f>F13+F17+F24+F19+F15</f>
        <v>0</v>
      </c>
      <c r="G27" s="530"/>
      <c r="H27" s="528"/>
      <c r="I27" s="529"/>
      <c r="J27" s="530">
        <f>+J13+J15+J17</f>
        <v>130</v>
      </c>
      <c r="K27" s="527">
        <f>IF(J27&lt;=0,0,L27/J27)</f>
        <v>1601.765077</v>
      </c>
      <c r="L27" s="529">
        <f>L13+L17+L24+L19+L15</f>
        <v>208229.46</v>
      </c>
      <c r="M27" s="530">
        <f>J27-D27</f>
        <v>130</v>
      </c>
      <c r="N27" s="529">
        <f>L27-F27</f>
        <v>208229.46</v>
      </c>
      <c r="O27" s="530">
        <f>+O13+O15+O17</f>
        <v>144</v>
      </c>
      <c r="P27" s="527">
        <f>IF(O27&lt;=0,0,Q27/O27)</f>
        <v>1747.938958</v>
      </c>
      <c r="Q27" s="529">
        <f>Q13+Q17+Q24+Q19+Q15</f>
        <v>251703.21</v>
      </c>
      <c r="R27" s="530">
        <f>J27-O27</f>
        <v>-14</v>
      </c>
      <c r="S27" s="529">
        <f>L27-Q27</f>
        <v>-43473.75</v>
      </c>
      <c r="T27" s="40"/>
      <c r="U27" s="498">
        <f>SUM(U13:U26)</f>
        <v>212361</v>
      </c>
      <c r="V27" s="499">
        <f>L27-U27</f>
        <v>-4131.54</v>
      </c>
      <c r="W27" s="48"/>
      <c r="X27" s="48"/>
      <c r="Y27" s="48"/>
      <c r="Z27" s="48"/>
      <c r="AA27" s="48"/>
      <c r="AB27" s="48"/>
      <c r="AC27" s="48"/>
      <c r="AD27" s="483"/>
      <c r="AE27" s="48"/>
      <c r="AF27" s="48"/>
      <c r="AG27" s="48"/>
      <c r="AH27" s="48"/>
      <c r="AI27" s="48"/>
      <c r="AJ27" s="48"/>
      <c r="AK27" s="48"/>
      <c r="AL27" s="48"/>
      <c r="AM27" s="48"/>
      <c r="AN27" s="48"/>
    </row>
    <row r="28" ht="22.5" customHeight="1">
      <c r="A28" s="5" t="s">
        <v>90</v>
      </c>
      <c r="B28" s="48" t="s">
        <v>90</v>
      </c>
      <c r="C28" s="531"/>
      <c r="D28" s="532"/>
      <c r="E28" s="532"/>
      <c r="F28" s="533"/>
      <c r="G28" s="531"/>
      <c r="H28" s="532"/>
      <c r="I28" s="533"/>
      <c r="J28" s="531"/>
      <c r="K28" s="534"/>
      <c r="L28" s="535"/>
      <c r="M28" s="536"/>
      <c r="N28" s="537"/>
      <c r="O28" s="531"/>
      <c r="P28" s="534"/>
      <c r="Q28" s="535"/>
      <c r="R28" s="536">
        <f>R27/O27</f>
        <v>-0.09722222222</v>
      </c>
      <c r="S28" s="538">
        <f>IF(Q27=0,0,S27/Q27)</f>
        <v>-0.1727182979</v>
      </c>
      <c r="T28" s="40"/>
      <c r="U28" s="40"/>
      <c r="V28" s="539"/>
      <c r="W28" s="48"/>
      <c r="X28" s="48"/>
      <c r="Y28" s="48"/>
      <c r="Z28" s="48"/>
      <c r="AA28" s="48"/>
      <c r="AB28" s="48"/>
      <c r="AC28" s="48"/>
      <c r="AD28" s="48"/>
      <c r="AE28" s="48"/>
      <c r="AF28" s="48"/>
      <c r="AG28" s="48"/>
      <c r="AH28" s="48"/>
      <c r="AI28" s="48"/>
      <c r="AJ28" s="48"/>
      <c r="AK28" s="48"/>
      <c r="AL28" s="48"/>
      <c r="AM28" s="48"/>
      <c r="AN28" s="48"/>
    </row>
    <row r="29" ht="15.75" customHeight="1">
      <c r="A29" s="5" t="s">
        <v>90</v>
      </c>
      <c r="B29" s="48" t="s">
        <v>90</v>
      </c>
      <c r="C29" s="500"/>
      <c r="D29" s="11"/>
      <c r="E29" s="11"/>
      <c r="F29" s="502"/>
      <c r="G29" s="500"/>
      <c r="H29" s="11"/>
      <c r="I29" s="502"/>
      <c r="J29" s="500"/>
      <c r="K29" s="503"/>
      <c r="L29" s="504"/>
      <c r="M29" s="525"/>
      <c r="N29" s="507"/>
      <c r="O29" s="500"/>
      <c r="P29" s="503"/>
      <c r="Q29" s="504"/>
      <c r="R29" s="525"/>
      <c r="S29" s="504"/>
      <c r="T29" s="40"/>
      <c r="U29" s="540"/>
      <c r="V29" s="48"/>
      <c r="W29" s="48"/>
      <c r="X29" s="48"/>
      <c r="Y29" s="48"/>
      <c r="Z29" s="48"/>
      <c r="AA29" s="48"/>
      <c r="AB29" s="48"/>
      <c r="AC29" s="48"/>
      <c r="AD29" s="48"/>
      <c r="AE29" s="48"/>
      <c r="AF29" s="48"/>
      <c r="AG29" s="48"/>
      <c r="AH29" s="48"/>
      <c r="AI29" s="48"/>
      <c r="AJ29" s="48"/>
      <c r="AK29" s="48"/>
      <c r="AL29" s="48"/>
      <c r="AM29" s="48"/>
      <c r="AN29" s="48"/>
    </row>
    <row r="30" ht="15.75" customHeight="1">
      <c r="A30" s="5" t="s">
        <v>804</v>
      </c>
      <c r="B30" s="48" t="s">
        <v>90</v>
      </c>
      <c r="C30" s="541" t="s">
        <v>110</v>
      </c>
      <c r="D30" s="48"/>
      <c r="E30" s="41"/>
      <c r="F30" s="484"/>
      <c r="G30" s="480"/>
      <c r="H30" s="41"/>
      <c r="I30" s="484"/>
      <c r="J30" s="480"/>
      <c r="K30" s="542"/>
      <c r="L30" s="484"/>
      <c r="M30" s="480"/>
      <c r="N30" s="514"/>
      <c r="O30" s="480"/>
      <c r="P30" s="542"/>
      <c r="Q30" s="484"/>
      <c r="R30" s="480"/>
      <c r="S30" s="484"/>
      <c r="T30" s="40"/>
      <c r="U30" s="40"/>
      <c r="V30" s="48"/>
      <c r="W30" s="48"/>
      <c r="X30" s="48"/>
      <c r="Y30" s="48"/>
      <c r="Z30" s="48"/>
      <c r="AA30" s="48"/>
      <c r="AB30" s="48"/>
      <c r="AC30" s="48"/>
      <c r="AD30" s="48"/>
      <c r="AE30" s="48"/>
      <c r="AF30" s="48"/>
      <c r="AG30" s="48"/>
      <c r="AH30" s="48"/>
      <c r="AI30" s="48"/>
      <c r="AJ30" s="48"/>
      <c r="AK30" s="48"/>
      <c r="AL30" s="48"/>
      <c r="AM30" s="48"/>
      <c r="AN30" s="48"/>
    </row>
    <row r="31" ht="15.75" customHeight="1">
      <c r="A31" s="5" t="s">
        <v>805</v>
      </c>
      <c r="B31" s="48" t="s">
        <v>90</v>
      </c>
      <c r="C31" s="480" t="s">
        <v>111</v>
      </c>
      <c r="D31" s="543" t="str">
        <f>F31/(F13+F15)</f>
        <v>#DIV/0!</v>
      </c>
      <c r="E31" s="483" t="str">
        <f t="shared" ref="E31:E40" si="14">F31/D$24</f>
        <v>#DIV/0!</v>
      </c>
      <c r="F31" s="481" t="str">
        <f t="array" ref="F31">+INDEX('Budget original'!$A$2:$AO$501,MATCH($A31,'Budget original'!$A$2:$A$501,0),MATCH(F$2,'Budget original'!$A$2:$AO$2,0))</f>
        <v/>
      </c>
      <c r="G31" s="515"/>
      <c r="H31" s="483"/>
      <c r="I31" s="481"/>
      <c r="J31" s="515">
        <f>L31/(L15+L13+L17)</f>
        <v>0.25159392</v>
      </c>
      <c r="K31" s="483">
        <f t="shared" ref="K31:K40" si="15">IF(L31=0,0,L31/J$24)</f>
        <v>520.7120253</v>
      </c>
      <c r="L31" s="484">
        <f>SUMIFS(BV_Data_An_Cour!$AM:$AM,BV_Data_An_Cour!$AP:$AP,$B31,BV_Data_An_Cour!$AQ:$AQ,$C31,BV_Data_An_Cour!$AR:$AR,L$2)</f>
        <v>41136.25</v>
      </c>
      <c r="M31" s="480"/>
      <c r="N31" s="484">
        <f t="shared" ref="N31:N53" si="16">L31-F31</f>
        <v>41136.25</v>
      </c>
      <c r="O31" s="515">
        <f>Q31/(Q15+Q13+Q17)</f>
        <v>0.3083792193</v>
      </c>
      <c r="P31" s="483">
        <f t="shared" ref="P31:P40" si="17">IF(Q31=0,0,Q31/O$24)</f>
        <v>997.6679032</v>
      </c>
      <c r="Q31" s="484">
        <f>SUMIFS(BV_Data_An_Prec!$AM:$AM,BV_Data_An_Prec!$AP:$AP,$B31,BV_Data_An_Prec!$AQ:$AQ,$C31,BV_Data_An_Prec!$AR:$AR,Q$2)</f>
        <v>61855.41</v>
      </c>
      <c r="R31" s="480"/>
      <c r="S31" s="484">
        <f t="shared" ref="S31:S53" si="18">L31-Q31</f>
        <v>-20719.16</v>
      </c>
      <c r="T31" s="40"/>
      <c r="U31" s="40"/>
      <c r="V31" s="48"/>
      <c r="W31" s="48"/>
      <c r="X31" s="48"/>
      <c r="Y31" s="48"/>
      <c r="Z31" s="48"/>
      <c r="AA31" s="48"/>
      <c r="AB31" s="48"/>
      <c r="AC31" s="48"/>
      <c r="AD31" s="48"/>
      <c r="AE31" s="48"/>
      <c r="AF31" s="48"/>
      <c r="AG31" s="48"/>
      <c r="AH31" s="48"/>
      <c r="AI31" s="48"/>
      <c r="AJ31" s="48"/>
      <c r="AK31" s="48"/>
      <c r="AL31" s="48"/>
      <c r="AM31" s="48"/>
      <c r="AN31" s="48"/>
    </row>
    <row r="32" ht="15.75" customHeight="1">
      <c r="A32" s="5" t="s">
        <v>806</v>
      </c>
      <c r="B32" s="48" t="s">
        <v>90</v>
      </c>
      <c r="C32" s="471" t="s">
        <v>112</v>
      </c>
      <c r="D32" s="544" t="str">
        <f>F32/F24</f>
        <v>#DIV/0!</v>
      </c>
      <c r="E32" s="513" t="str">
        <f t="shared" si="14"/>
        <v>#DIV/0!</v>
      </c>
      <c r="F32" s="473" t="str">
        <f t="array" ref="F32">+INDEX('Budget original'!$A$2:$AO$501,MATCH($A32,'Budget original'!$A$2:$A$501,0),MATCH(F$2,'Budget original'!$A$2:$AO$2,0))</f>
        <v/>
      </c>
      <c r="G32" s="545"/>
      <c r="H32" s="513"/>
      <c r="I32" s="473"/>
      <c r="J32" s="545">
        <f>L32/L24</f>
        <v>0.3160075927</v>
      </c>
      <c r="K32" s="513">
        <f t="shared" si="15"/>
        <v>178.9118987</v>
      </c>
      <c r="L32" s="484">
        <f>SUMIFS(BV_Data_An_Cour!$AM:$AM,BV_Data_An_Cour!$AP:$AP,$B32,BV_Data_An_Cour!$AQ:$AQ,$C32,BV_Data_An_Cour!$AR:$AR,L$2)</f>
        <v>14134.04</v>
      </c>
      <c r="M32" s="471"/>
      <c r="N32" s="476">
        <f t="shared" si="16"/>
        <v>14134.04</v>
      </c>
      <c r="O32" s="545">
        <f>Q32/Q24</f>
        <v>0.3326053209</v>
      </c>
      <c r="P32" s="513">
        <f t="shared" si="17"/>
        <v>274.2433871</v>
      </c>
      <c r="Q32" s="476">
        <f>SUMIFS(BV_Data_An_Prec!$AM:$AM,BV_Data_An_Prec!$AP:$AP,$B32,BV_Data_An_Prec!$AQ:$AQ,$C32,BV_Data_An_Prec!$AR:$AR,Q$2)</f>
        <v>17003.09</v>
      </c>
      <c r="R32" s="471"/>
      <c r="S32" s="476">
        <f t="shared" si="18"/>
        <v>-2869.05</v>
      </c>
      <c r="T32" s="40"/>
      <c r="U32" s="40"/>
      <c r="Z32" s="48"/>
      <c r="AA32" s="48"/>
      <c r="AB32" s="48"/>
      <c r="AC32" s="48"/>
      <c r="AD32" s="48"/>
      <c r="AE32" s="48"/>
      <c r="AF32" s="48"/>
      <c r="AG32" s="48"/>
      <c r="AH32" s="48"/>
      <c r="AI32" s="48"/>
      <c r="AJ32" s="48"/>
      <c r="AK32" s="48"/>
      <c r="AL32" s="48"/>
      <c r="AM32" s="48"/>
      <c r="AN32" s="48"/>
    </row>
    <row r="33" ht="15.75" customHeight="1">
      <c r="A33" s="5" t="s">
        <v>807</v>
      </c>
      <c r="B33" s="48" t="s">
        <v>90</v>
      </c>
      <c r="C33" s="480" t="s">
        <v>113</v>
      </c>
      <c r="D33" s="546"/>
      <c r="E33" s="483" t="str">
        <f t="shared" si="14"/>
        <v>#DIV/0!</v>
      </c>
      <c r="F33" s="481" t="str">
        <f t="array" ref="F33">+INDEX('Budget original'!$A$2:$AO$501,MATCH($A33,'Budget original'!$A$2:$A$501,0),MATCH(F$2,'Budget original'!$A$2:$AO$2,0))</f>
        <v/>
      </c>
      <c r="G33" s="547"/>
      <c r="H33" s="483"/>
      <c r="I33" s="481"/>
      <c r="J33" s="480"/>
      <c r="K33" s="483">
        <f t="shared" si="15"/>
        <v>357.4763291</v>
      </c>
      <c r="L33" s="523">
        <f>SUMIFS(BV_Data_An_Cour!$AM:$AM,BV_Data_An_Cour!$AP:$AP,$B33,BV_Data_An_Cour!$AQ:$AQ,$C33,BV_Data_An_Cour!$AR:$AR,L$2)</f>
        <v>28240.63</v>
      </c>
      <c r="M33" s="480"/>
      <c r="N33" s="484">
        <f t="shared" si="16"/>
        <v>28240.63</v>
      </c>
      <c r="O33" s="480"/>
      <c r="P33" s="483">
        <f t="shared" si="17"/>
        <v>-34.54354839</v>
      </c>
      <c r="Q33" s="484">
        <f>SUMIFS(BV_Data_An_Prec!$AM:$AM,BV_Data_An_Prec!$AP:$AP,$B33,BV_Data_An_Prec!$AQ:$AQ,$C33,BV_Data_An_Prec!$AR:$AR,Q$2)</f>
        <v>-2141.7</v>
      </c>
      <c r="R33" s="480"/>
      <c r="S33" s="484">
        <f t="shared" si="18"/>
        <v>30382.33</v>
      </c>
      <c r="T33" s="40">
        <f>-3973+600</f>
        <v>-3373</v>
      </c>
      <c r="U33" s="548" t="s">
        <v>808</v>
      </c>
      <c r="Z33" s="48"/>
      <c r="AA33" s="48"/>
      <c r="AB33" s="48"/>
      <c r="AC33" s="48"/>
      <c r="AD33" s="48"/>
      <c r="AE33" s="48"/>
      <c r="AF33" s="48"/>
      <c r="AG33" s="48"/>
      <c r="AH33" s="48"/>
      <c r="AI33" s="48"/>
      <c r="AJ33" s="48"/>
      <c r="AK33" s="48"/>
      <c r="AL33" s="48"/>
      <c r="AM33" s="48"/>
      <c r="AN33" s="48"/>
    </row>
    <row r="34" ht="15.75" customHeight="1">
      <c r="A34" s="5" t="s">
        <v>809</v>
      </c>
      <c r="B34" s="48" t="s">
        <v>90</v>
      </c>
      <c r="C34" s="480" t="s">
        <v>114</v>
      </c>
      <c r="D34" s="546"/>
      <c r="E34" s="483" t="str">
        <f t="shared" si="14"/>
        <v>#DIV/0!</v>
      </c>
      <c r="F34" s="481" t="str">
        <f t="array" ref="F34">+INDEX('Budget original'!$A$2:$AO$501,MATCH($A34,'Budget original'!$A$2:$A$501,0),MATCH(F$2,'Budget original'!$A$2:$AO$2,0))</f>
        <v/>
      </c>
      <c r="G34" s="547"/>
      <c r="H34" s="483"/>
      <c r="I34" s="481"/>
      <c r="J34" s="480"/>
      <c r="K34" s="483">
        <f t="shared" si="15"/>
        <v>6.647848101</v>
      </c>
      <c r="L34" s="484">
        <f>SUMIFS(BV_Data_An_Cour!$AM:$AM,BV_Data_An_Cour!$AP:$AP,$B34,BV_Data_An_Cour!$AQ:$AQ,$C34,BV_Data_An_Cour!$AR:$AR,L$2)</f>
        <v>525.18</v>
      </c>
      <c r="M34" s="480"/>
      <c r="N34" s="484">
        <f t="shared" si="16"/>
        <v>525.18</v>
      </c>
      <c r="O34" s="480"/>
      <c r="P34" s="483">
        <f t="shared" si="17"/>
        <v>5.536935484</v>
      </c>
      <c r="Q34" s="484">
        <f>SUMIFS(BV_Data_An_Prec!$AM:$AM,BV_Data_An_Prec!$AP:$AP,$B34,BV_Data_An_Prec!$AQ:$AQ,$C34,BV_Data_An_Prec!$AR:$AR,Q$2)</f>
        <v>343.29</v>
      </c>
      <c r="R34" s="480"/>
      <c r="S34" s="484">
        <f t="shared" si="18"/>
        <v>181.89</v>
      </c>
      <c r="T34" s="40"/>
      <c r="U34" s="40"/>
      <c r="Z34" s="48"/>
      <c r="AA34" s="48"/>
      <c r="AB34" s="48"/>
      <c r="AC34" s="48"/>
      <c r="AD34" s="48"/>
      <c r="AE34" s="48"/>
      <c r="AF34" s="48"/>
      <c r="AG34" s="48"/>
      <c r="AH34" s="48"/>
      <c r="AI34" s="48"/>
      <c r="AJ34" s="48"/>
      <c r="AK34" s="48"/>
      <c r="AL34" s="48"/>
      <c r="AM34" s="48"/>
      <c r="AN34" s="48"/>
    </row>
    <row r="35" ht="15.75" customHeight="1">
      <c r="A35" s="5" t="s">
        <v>810</v>
      </c>
      <c r="B35" s="48" t="s">
        <v>90</v>
      </c>
      <c r="C35" s="471" t="s">
        <v>115</v>
      </c>
      <c r="D35" s="549"/>
      <c r="E35" s="513" t="str">
        <f t="shared" si="14"/>
        <v>#DIV/0!</v>
      </c>
      <c r="F35" s="473" t="str">
        <f t="array" ref="F35">+INDEX('Budget original'!$A$2:$AO$501,MATCH($A35,'Budget original'!$A$2:$A$501,0),MATCH(F$2,'Budget original'!$A$2:$AO$2,0))</f>
        <v/>
      </c>
      <c r="G35" s="550"/>
      <c r="H35" s="513"/>
      <c r="I35" s="473"/>
      <c r="J35" s="471"/>
      <c r="K35" s="513">
        <f t="shared" si="15"/>
        <v>24.06734177</v>
      </c>
      <c r="L35" s="484">
        <f>SUMIFS(BV_Data_An_Cour!$AM:$AM,BV_Data_An_Cour!$AP:$AP,$B35,BV_Data_An_Cour!$AQ:$AQ,$C35,BV_Data_An_Cour!$AR:$AR,L$2)</f>
        <v>1901.32</v>
      </c>
      <c r="M35" s="471"/>
      <c r="N35" s="476">
        <f t="shared" si="16"/>
        <v>1901.32</v>
      </c>
      <c r="O35" s="471"/>
      <c r="P35" s="513">
        <f t="shared" si="17"/>
        <v>0</v>
      </c>
      <c r="Q35" s="476">
        <f>SUMIFS(BV_Data_An_Prec!$AM:$AM,BV_Data_An_Prec!$AP:$AP,$B35,BV_Data_An_Prec!$AQ:$AQ,$C35,BV_Data_An_Prec!$AR:$AR,Q$2)</f>
        <v>0</v>
      </c>
      <c r="R35" s="471"/>
      <c r="S35" s="476">
        <f t="shared" si="18"/>
        <v>1901.32</v>
      </c>
      <c r="T35" s="40"/>
      <c r="U35" s="40"/>
      <c r="Z35" s="48"/>
      <c r="AA35" s="48"/>
      <c r="AB35" s="48"/>
      <c r="AC35" s="48"/>
      <c r="AD35" s="48"/>
      <c r="AE35" s="48"/>
      <c r="AF35" s="48"/>
      <c r="AG35" s="48"/>
      <c r="AH35" s="48"/>
      <c r="AI35" s="48"/>
      <c r="AJ35" s="48"/>
      <c r="AK35" s="48"/>
      <c r="AL35" s="48"/>
      <c r="AM35" s="48"/>
      <c r="AN35" s="48"/>
    </row>
    <row r="36" ht="15.75" customHeight="1">
      <c r="A36" s="5" t="s">
        <v>811</v>
      </c>
      <c r="B36" s="48" t="s">
        <v>90</v>
      </c>
      <c r="C36" s="480" t="s">
        <v>116</v>
      </c>
      <c r="D36" s="546"/>
      <c r="E36" s="483" t="str">
        <f t="shared" si="14"/>
        <v>#DIV/0!</v>
      </c>
      <c r="F36" s="481" t="str">
        <f t="array" ref="F36">+INDEX('Budget original'!$A$2:$AO$501,MATCH($A36,'Budget original'!$A$2:$A$501,0),MATCH(F$2,'Budget original'!$A$2:$AO$2,0))</f>
        <v/>
      </c>
      <c r="G36" s="547"/>
      <c r="H36" s="483"/>
      <c r="I36" s="481"/>
      <c r="J36" s="480"/>
      <c r="K36" s="483">
        <f t="shared" si="15"/>
        <v>-838.3586076</v>
      </c>
      <c r="L36" s="523">
        <f>SUMIFS(BV_Data_An_Cour!$AM:$AM,BV_Data_An_Cour!$AP:$AP,$B36,BV_Data_An_Cour!$AQ:$AQ,$C36,BV_Data_An_Cour!$AR:$AR,L$2)</f>
        <v>-66230.33</v>
      </c>
      <c r="M36" s="480"/>
      <c r="N36" s="484">
        <f t="shared" si="16"/>
        <v>-66230.33</v>
      </c>
      <c r="O36" s="480"/>
      <c r="P36" s="483">
        <f t="shared" si="17"/>
        <v>-1597.146613</v>
      </c>
      <c r="Q36" s="484">
        <f>SUMIFS(BV_Data_An_Prec!$AM:$AM,BV_Data_An_Prec!$AP:$AP,$B36,BV_Data_An_Prec!$AQ:$AQ,$C36,BV_Data_An_Prec!$AR:$AR,Q$2)</f>
        <v>-99023.09</v>
      </c>
      <c r="R36" s="480"/>
      <c r="S36" s="484">
        <f t="shared" si="18"/>
        <v>32792.76</v>
      </c>
      <c r="T36" s="40"/>
      <c r="U36" s="40"/>
      <c r="Z36" s="48"/>
      <c r="AA36" s="48"/>
      <c r="AB36" s="48"/>
      <c r="AC36" s="48"/>
      <c r="AD36" s="48"/>
      <c r="AE36" s="48"/>
      <c r="AF36" s="48"/>
      <c r="AG36" s="48"/>
      <c r="AH36" s="48"/>
      <c r="AI36" s="48"/>
      <c r="AJ36" s="48"/>
      <c r="AK36" s="48"/>
      <c r="AL36" s="48"/>
      <c r="AM36" s="48"/>
      <c r="AN36" s="48"/>
    </row>
    <row r="37" ht="15.75" customHeight="1">
      <c r="A37" s="5" t="s">
        <v>812</v>
      </c>
      <c r="B37" s="48" t="s">
        <v>90</v>
      </c>
      <c r="C37" s="480" t="s">
        <v>117</v>
      </c>
      <c r="D37" s="546"/>
      <c r="E37" s="483" t="str">
        <f t="shared" si="14"/>
        <v>#DIV/0!</v>
      </c>
      <c r="F37" s="481" t="str">
        <f t="array" ref="F37">+INDEX('Budget original'!$A$2:$AO$501,MATCH($A37,'Budget original'!$A$2:$A$501,0),MATCH(F$2,'Budget original'!$A$2:$AO$2,0))</f>
        <v/>
      </c>
      <c r="G37" s="547"/>
      <c r="H37" s="483"/>
      <c r="I37" s="481"/>
      <c r="J37" s="480"/>
      <c r="K37" s="483">
        <f t="shared" si="15"/>
        <v>522.5670886</v>
      </c>
      <c r="L37" s="484">
        <f>SUMIFS(BV_Data_An_Cour!$AM:$AM,BV_Data_An_Cour!$AP:$AP,$B37,BV_Data_An_Cour!$AQ:$AQ,$C37,BV_Data_An_Cour!$AR:$AR,L$2)</f>
        <v>41282.8</v>
      </c>
      <c r="M37" s="480"/>
      <c r="N37" s="484">
        <f t="shared" si="16"/>
        <v>41282.8</v>
      </c>
      <c r="O37" s="480"/>
      <c r="P37" s="483">
        <f t="shared" si="17"/>
        <v>702.8498387</v>
      </c>
      <c r="Q37" s="484">
        <f>SUMIFS(BV_Data_An_Prec!$AM:$AM,BV_Data_An_Prec!$AP:$AP,$B37,BV_Data_An_Prec!$AQ:$AQ,$C37,BV_Data_An_Prec!$AR:$AR,Q$2)</f>
        <v>43576.69</v>
      </c>
      <c r="R37" s="480"/>
      <c r="S37" s="484">
        <f t="shared" si="18"/>
        <v>-2293.89</v>
      </c>
      <c r="T37" s="40"/>
      <c r="U37" s="40"/>
      <c r="Z37" s="48"/>
      <c r="AA37" s="48"/>
      <c r="AB37" s="48"/>
      <c r="AC37" s="48"/>
      <c r="AD37" s="48"/>
      <c r="AE37" s="48"/>
      <c r="AF37" s="48"/>
      <c r="AG37" s="48"/>
      <c r="AH37" s="48"/>
      <c r="AI37" s="48"/>
      <c r="AJ37" s="48"/>
      <c r="AK37" s="48"/>
      <c r="AL37" s="48"/>
      <c r="AM37" s="48"/>
      <c r="AN37" s="48"/>
    </row>
    <row r="38" ht="15.75" customHeight="1">
      <c r="A38" s="5" t="s">
        <v>794</v>
      </c>
      <c r="B38" s="48" t="s">
        <v>90</v>
      </c>
      <c r="C38" s="480" t="s">
        <v>813</v>
      </c>
      <c r="D38" s="546"/>
      <c r="E38" s="483" t="str">
        <f t="shared" si="14"/>
        <v>#DIV/0!</v>
      </c>
      <c r="F38" s="481" t="str">
        <f t="array" ref="F38">+INDEX('Budget original'!$A$2:$AO$501,MATCH($A38,'Budget original'!$A$2:$A$501,0),MATCH(F$2,'Budget original'!$A$2:$AO$2,0))</f>
        <v/>
      </c>
      <c r="G38" s="547"/>
      <c r="H38" s="483"/>
      <c r="I38" s="481"/>
      <c r="J38" s="480"/>
      <c r="K38" s="483">
        <f t="shared" si="15"/>
        <v>-1624.303038</v>
      </c>
      <c r="L38" s="484">
        <f>SUMIFS(BV_Data_An_Cour!$AM:$AM,BV_Data_An_Cour!$AP:$AP,$B38,BV_Data_An_Cour!$AQ:$AQ,$C38,BV_Data_An_Cour!$AR:$AR,L$2)</f>
        <v>-128319.94</v>
      </c>
      <c r="M38" s="48"/>
      <c r="N38" s="484">
        <f t="shared" si="16"/>
        <v>-128319.94</v>
      </c>
      <c r="O38" s="480"/>
      <c r="P38" s="483">
        <f t="shared" si="17"/>
        <v>-3558.174839</v>
      </c>
      <c r="Q38" s="484">
        <f>SUMIFS(BV_Data_An_Prec!$AM:$AM,BV_Data_An_Prec!$AP:$AP,$B38,BV_Data_An_Prec!$AQ:$AQ,$C38,BV_Data_An_Prec!$AR:$AR,Q$2)</f>
        <v>-220606.84</v>
      </c>
      <c r="R38" s="480"/>
      <c r="S38" s="484">
        <f t="shared" si="18"/>
        <v>92286.9</v>
      </c>
      <c r="T38" s="40"/>
      <c r="U38" s="40"/>
      <c r="V38" s="48"/>
      <c r="W38" s="48"/>
      <c r="X38" s="48"/>
      <c r="Y38" s="48"/>
      <c r="Z38" s="48"/>
      <c r="AA38" s="48"/>
      <c r="AB38" s="48"/>
      <c r="AC38" s="48"/>
      <c r="AD38" s="48"/>
      <c r="AE38" s="48"/>
      <c r="AF38" s="48"/>
      <c r="AG38" s="48"/>
      <c r="AH38" s="48"/>
      <c r="AI38" s="48"/>
      <c r="AJ38" s="48"/>
      <c r="AK38" s="48"/>
      <c r="AL38" s="48"/>
      <c r="AM38" s="48"/>
      <c r="AN38" s="48"/>
    </row>
    <row r="39" ht="15.75" customHeight="1">
      <c r="A39" s="5" t="s">
        <v>794</v>
      </c>
      <c r="B39" s="48" t="s">
        <v>90</v>
      </c>
      <c r="C39" s="480" t="s">
        <v>814</v>
      </c>
      <c r="D39" s="546"/>
      <c r="E39" s="483" t="str">
        <f t="shared" si="14"/>
        <v>#DIV/0!</v>
      </c>
      <c r="F39" s="481" t="str">
        <f t="array" ref="F39">+INDEX('Budget original'!$A$2:$AO$501,MATCH($A39,'Budget original'!$A$2:$A$501,0),MATCH(F$2,'Budget original'!$A$2:$AO$2,0))</f>
        <v/>
      </c>
      <c r="G39" s="547"/>
      <c r="H39" s="483"/>
      <c r="I39" s="481"/>
      <c r="J39" s="480"/>
      <c r="K39" s="483">
        <f t="shared" si="15"/>
        <v>-121.061519</v>
      </c>
      <c r="L39" s="484">
        <f>SUMIFS(BV_Data_An_Cour!$AM:$AM,BV_Data_An_Cour!$AP:$AP,$B39,BV_Data_An_Cour!$AQ:$AQ,$C39,BV_Data_An_Cour!$AR:$AR,L$2)</f>
        <v>-9563.86</v>
      </c>
      <c r="M39" s="48"/>
      <c r="N39" s="484">
        <f t="shared" si="16"/>
        <v>-9563.86</v>
      </c>
      <c r="O39" s="480"/>
      <c r="P39" s="483">
        <f t="shared" si="17"/>
        <v>0</v>
      </c>
      <c r="Q39" s="484">
        <f>SUMIFS(BV_Data_An_Prec!$AM:$AM,BV_Data_An_Prec!$AP:$AP,$B39,BV_Data_An_Prec!$AQ:$AQ,$C39,BV_Data_An_Prec!$AR:$AR,Q$2)</f>
        <v>0</v>
      </c>
      <c r="R39" s="480"/>
      <c r="S39" s="484">
        <f t="shared" si="18"/>
        <v>-9563.86</v>
      </c>
      <c r="T39" s="40"/>
      <c r="U39" s="540">
        <f>L39+L121+L194</f>
        <v>-11536.6</v>
      </c>
      <c r="V39" s="40"/>
      <c r="W39" s="48"/>
      <c r="X39" s="48"/>
      <c r="Y39" s="48"/>
      <c r="Z39" s="48"/>
      <c r="AA39" s="48"/>
      <c r="AB39" s="48"/>
      <c r="AC39" s="48"/>
      <c r="AD39" s="48"/>
      <c r="AE39" s="48"/>
      <c r="AF39" s="48"/>
      <c r="AG39" s="48"/>
      <c r="AH39" s="48"/>
      <c r="AI39" s="48"/>
      <c r="AJ39" s="48"/>
      <c r="AK39" s="48"/>
      <c r="AL39" s="48"/>
      <c r="AM39" s="48"/>
      <c r="AN39" s="48"/>
    </row>
    <row r="40" ht="20.25" hidden="1" customHeight="1">
      <c r="A40" s="5" t="s">
        <v>794</v>
      </c>
      <c r="B40" s="48" t="s">
        <v>90</v>
      </c>
      <c r="C40" s="480" t="s">
        <v>56</v>
      </c>
      <c r="D40" s="546"/>
      <c r="E40" s="483" t="str">
        <f t="shared" si="14"/>
        <v>#DIV/0!</v>
      </c>
      <c r="F40" s="481" t="str">
        <f t="array" ref="F40">+INDEX('Budget original'!$A$2:$AO$501,MATCH($A40,'Budget original'!$A$2:$A$501,0),MATCH(F$2,'Budget original'!$A$2:$AO$2,0))</f>
        <v/>
      </c>
      <c r="G40" s="547"/>
      <c r="H40" s="483"/>
      <c r="I40" s="481"/>
      <c r="J40" s="480"/>
      <c r="K40" s="483">
        <f t="shared" si="15"/>
        <v>0</v>
      </c>
      <c r="L40" s="551">
        <f>SUMIFS(BV_Data_An_Cour!$AM:$AM,BV_Data_An_Cour!$AP:$AP,$B40,BV_Data_An_Cour!$AQ:$AQ,$C40,BV_Data_An_Cour!$AR:$AR,L$2)</f>
        <v>0</v>
      </c>
      <c r="M40" s="48"/>
      <c r="N40" s="484">
        <f t="shared" si="16"/>
        <v>0</v>
      </c>
      <c r="O40" s="480"/>
      <c r="P40" s="483">
        <f t="shared" si="17"/>
        <v>0</v>
      </c>
      <c r="Q40" s="551">
        <f>SUMIFS(BV_Data_An_Prec!$AM:$AM,BV_Data_An_Prec!$AP:$AP,$B40,BV_Data_An_Prec!$AQ:$AQ,$C40,BV_Data_An_Prec!$AR:$AR,Q$2)</f>
        <v>0</v>
      </c>
      <c r="R40" s="480"/>
      <c r="S40" s="484">
        <f t="shared" si="18"/>
        <v>0</v>
      </c>
      <c r="T40" s="40"/>
      <c r="U40" s="40"/>
      <c r="V40" s="48"/>
      <c r="W40" s="48"/>
      <c r="X40" s="48"/>
      <c r="Y40" s="48"/>
      <c r="Z40" s="48"/>
      <c r="AA40" s="48"/>
      <c r="AB40" s="48"/>
      <c r="AC40" s="48"/>
      <c r="AD40" s="48"/>
      <c r="AE40" s="48"/>
      <c r="AF40" s="48"/>
      <c r="AG40" s="48"/>
      <c r="AH40" s="48"/>
      <c r="AI40" s="48"/>
      <c r="AJ40" s="48"/>
      <c r="AK40" s="48"/>
      <c r="AL40" s="48"/>
      <c r="AM40" s="48"/>
      <c r="AN40" s="48"/>
    </row>
    <row r="41" ht="18.0" customHeight="1">
      <c r="A41" s="5" t="s">
        <v>815</v>
      </c>
      <c r="B41" s="48" t="s">
        <v>90</v>
      </c>
      <c r="C41" s="552" t="s">
        <v>118</v>
      </c>
      <c r="D41" s="553" t="s">
        <v>225</v>
      </c>
      <c r="E41" s="554" t="str">
        <f>F41/F$27</f>
        <v>#DIV/0!</v>
      </c>
      <c r="F41" s="555">
        <f>SUM(F31:F40)</f>
        <v>0</v>
      </c>
      <c r="G41" s="556"/>
      <c r="H41" s="554"/>
      <c r="I41" s="555"/>
      <c r="J41" s="556" t="s">
        <v>225</v>
      </c>
      <c r="K41" s="554">
        <f>L41/L$27</f>
        <v>-0.3692748855</v>
      </c>
      <c r="L41" s="555">
        <f>SUM(L31:L40)</f>
        <v>-76893.91</v>
      </c>
      <c r="M41" s="557"/>
      <c r="N41" s="555">
        <f t="shared" si="16"/>
        <v>-76893.91</v>
      </c>
      <c r="O41" s="556" t="s">
        <v>225</v>
      </c>
      <c r="P41" s="554">
        <f>Q41/Q$27</f>
        <v>-0.7905864609</v>
      </c>
      <c r="Q41" s="555">
        <f>SUM(Q31:Q40)</f>
        <v>-198993.15</v>
      </c>
      <c r="R41" s="558"/>
      <c r="S41" s="555">
        <f t="shared" si="18"/>
        <v>122099.24</v>
      </c>
      <c r="T41" s="40"/>
      <c r="U41" s="40"/>
      <c r="V41" s="48"/>
      <c r="W41" s="48"/>
      <c r="X41" s="48"/>
      <c r="Y41" s="48"/>
      <c r="Z41" s="48"/>
      <c r="AA41" s="48"/>
      <c r="AB41" s="48"/>
      <c r="AC41" s="48"/>
      <c r="AD41" s="48"/>
      <c r="AE41" s="48"/>
      <c r="AF41" s="48"/>
      <c r="AG41" s="48"/>
      <c r="AH41" s="48"/>
      <c r="AI41" s="48"/>
      <c r="AJ41" s="48"/>
      <c r="AK41" s="48"/>
      <c r="AL41" s="48"/>
      <c r="AM41" s="48"/>
      <c r="AN41" s="48"/>
    </row>
    <row r="42" ht="15.75" customHeight="1">
      <c r="A42" s="5" t="s">
        <v>816</v>
      </c>
      <c r="B42" s="48" t="s">
        <v>90</v>
      </c>
      <c r="C42" s="559" t="s">
        <v>119</v>
      </c>
      <c r="D42" s="48"/>
      <c r="E42" s="48"/>
      <c r="F42" s="481" t="str">
        <f t="array" ref="F42">+INDEX('Budget original'!$A$2:$AO$501,MATCH($A42,'Budget original'!$A$2:$A$501,0),MATCH(F$2,'Budget original'!$A$2:$AO$2,0))</f>
        <v/>
      </c>
      <c r="G42" s="480"/>
      <c r="H42" s="48"/>
      <c r="I42" s="481"/>
      <c r="J42" s="480"/>
      <c r="K42" s="48"/>
      <c r="L42" s="483">
        <f>SUMIFS(BV_Data_An_Cour!$AM:$AM,BV_Data_An_Cour!$AP:$AP,$B42,BV_Data_An_Cour!$AQ:$AQ,$C42,BV_Data_An_Cour!$AR:$AR,L$2)</f>
        <v>7511.76</v>
      </c>
      <c r="M42" s="480"/>
      <c r="N42" s="484">
        <f t="shared" si="16"/>
        <v>7511.76</v>
      </c>
      <c r="O42" s="480"/>
      <c r="P42" s="48"/>
      <c r="Q42" s="483">
        <f>SUMIFS(BV_Data_An_Prec!$AM:$AM,BV_Data_An_Prec!$AP:$AP,$B42,BV_Data_An_Prec!$AQ:$AQ,$C42,BV_Data_An_Prec!$AR:$AR,Q$2)</f>
        <v>3195.4</v>
      </c>
      <c r="R42" s="480"/>
      <c r="S42" s="484">
        <f t="shared" si="18"/>
        <v>4316.36</v>
      </c>
      <c r="T42" s="40"/>
      <c r="U42" s="40"/>
      <c r="V42" s="48"/>
      <c r="W42" s="48"/>
      <c r="X42" s="48"/>
      <c r="Y42" s="48"/>
      <c r="Z42" s="48"/>
      <c r="AA42" s="48"/>
      <c r="AB42" s="48"/>
      <c r="AC42" s="48"/>
      <c r="AD42" s="48"/>
      <c r="AE42" s="48"/>
      <c r="AF42" s="48"/>
      <c r="AG42" s="48"/>
      <c r="AH42" s="48"/>
      <c r="AI42" s="48"/>
      <c r="AJ42" s="48"/>
      <c r="AK42" s="48"/>
      <c r="AL42" s="48"/>
      <c r="AM42" s="48"/>
      <c r="AN42" s="48"/>
    </row>
    <row r="43" ht="15.75" customHeight="1">
      <c r="A43" s="5" t="s">
        <v>817</v>
      </c>
      <c r="B43" s="48" t="s">
        <v>90</v>
      </c>
      <c r="C43" s="560" t="s">
        <v>120</v>
      </c>
      <c r="D43" s="546"/>
      <c r="E43" s="48"/>
      <c r="F43" s="473" t="str">
        <f t="array" ref="F43">+INDEX('Budget original'!$A$2:$AO$501,MATCH($A43,'Budget original'!$A$2:$A$501,0),MATCH(F$2,'Budget original'!$A$2:$AO$2,0))</f>
        <v/>
      </c>
      <c r="G43" s="547"/>
      <c r="H43" s="48"/>
      <c r="I43" s="473"/>
      <c r="J43" s="480"/>
      <c r="K43" s="48"/>
      <c r="L43" s="476">
        <f>SUMIFS(BV_Data_An_Cour!$AM:$AM,BV_Data_An_Cour!$AP:$AP,$B43,BV_Data_An_Cour!$AQ:$AQ,$C43,BV_Data_An_Cour!$AR:$AR,L$2)</f>
        <v>9795.23</v>
      </c>
      <c r="M43" s="480"/>
      <c r="N43" s="484">
        <f t="shared" si="16"/>
        <v>9795.23</v>
      </c>
      <c r="O43" s="480"/>
      <c r="P43" s="48"/>
      <c r="Q43" s="476">
        <f>SUMIFS(BV_Data_An_Prec!$AM:$AM,BV_Data_An_Prec!$AP:$AP,$B43,BV_Data_An_Prec!$AQ:$AQ,$C43,BV_Data_An_Prec!$AR:$AR,Q$2)</f>
        <v>33101.9</v>
      </c>
      <c r="R43" s="480"/>
      <c r="S43" s="484">
        <f t="shared" si="18"/>
        <v>-23306.67</v>
      </c>
      <c r="T43" s="40"/>
      <c r="U43" s="40"/>
      <c r="V43" s="48"/>
      <c r="W43" s="48"/>
      <c r="X43" s="48"/>
      <c r="Y43" s="48"/>
      <c r="Z43" s="48"/>
      <c r="AA43" s="48"/>
      <c r="AB43" s="48"/>
      <c r="AC43" s="48"/>
      <c r="AD43" s="48"/>
      <c r="AE43" s="48"/>
      <c r="AF43" s="48"/>
      <c r="AG43" s="48"/>
      <c r="AH43" s="48"/>
      <c r="AI43" s="48"/>
      <c r="AJ43" s="48"/>
      <c r="AK43" s="48"/>
      <c r="AL43" s="48"/>
      <c r="AM43" s="48"/>
      <c r="AN43" s="48"/>
    </row>
    <row r="44" ht="15.75" customHeight="1">
      <c r="A44" s="5" t="s">
        <v>818</v>
      </c>
      <c r="B44" s="48" t="s">
        <v>90</v>
      </c>
      <c r="C44" s="559" t="s">
        <v>121</v>
      </c>
      <c r="D44" s="561"/>
      <c r="E44" s="562"/>
      <c r="F44" s="481" t="str">
        <f t="array" ref="F44">+INDEX('Budget original'!$A$2:$AO$501,MATCH($A44,'Budget original'!$A$2:$A$501,0),MATCH(F$2,'Budget original'!$A$2:$AO$2,0))</f>
        <v/>
      </c>
      <c r="G44" s="563"/>
      <c r="H44" s="562"/>
      <c r="I44" s="481"/>
      <c r="J44" s="466"/>
      <c r="K44" s="562"/>
      <c r="L44" s="483">
        <f>SUMIFS(BV_Data_An_Cour!$AM:$AM,BV_Data_An_Cour!$AP:$AP,$B44,BV_Data_An_Cour!$AQ:$AQ,$C44,BV_Data_An_Cour!$AR:$AR,L$2)</f>
        <v>12795.48</v>
      </c>
      <c r="M44" s="466"/>
      <c r="N44" s="523">
        <f t="shared" si="16"/>
        <v>12795.48</v>
      </c>
      <c r="O44" s="466"/>
      <c r="P44" s="562"/>
      <c r="Q44" s="483">
        <f>SUMIFS(BV_Data_An_Prec!$AM:$AM,BV_Data_An_Prec!$AP:$AP,$B44,BV_Data_An_Prec!$AQ:$AQ,$C44,BV_Data_An_Prec!$AR:$AR,Q$2)</f>
        <v>4615.05</v>
      </c>
      <c r="R44" s="466"/>
      <c r="S44" s="523">
        <f t="shared" si="18"/>
        <v>8180.43</v>
      </c>
      <c r="T44" s="40"/>
      <c r="U44" s="40"/>
      <c r="V44" s="48"/>
      <c r="W44" s="48"/>
      <c r="X44" s="48"/>
      <c r="Y44" s="48"/>
      <c r="Z44" s="48"/>
      <c r="AA44" s="48"/>
      <c r="AB44" s="48"/>
      <c r="AC44" s="48"/>
      <c r="AD44" s="48"/>
      <c r="AE44" s="48"/>
      <c r="AF44" s="48"/>
      <c r="AG44" s="48"/>
      <c r="AH44" s="48"/>
      <c r="AI44" s="48"/>
      <c r="AJ44" s="48"/>
      <c r="AK44" s="48"/>
      <c r="AL44" s="48"/>
      <c r="AM44" s="48"/>
      <c r="AN44" s="48"/>
    </row>
    <row r="45" ht="20.25" hidden="1" customHeight="1">
      <c r="A45" s="5" t="s">
        <v>819</v>
      </c>
      <c r="B45" s="48" t="s">
        <v>90</v>
      </c>
      <c r="C45" s="559" t="s">
        <v>122</v>
      </c>
      <c r="D45" s="546"/>
      <c r="E45" s="48"/>
      <c r="F45" s="481" t="str">
        <f t="array" ref="F45">+INDEX('Budget original'!$A$2:$AO$501,MATCH($A45,'Budget original'!$A$2:$A$501,0),MATCH(F$2,'Budget original'!$A$2:$AO$2,0))</f>
        <v/>
      </c>
      <c r="G45" s="547"/>
      <c r="H45" s="48"/>
      <c r="I45" s="481"/>
      <c r="J45" s="480"/>
      <c r="K45" s="48"/>
      <c r="L45" s="483">
        <f>SUMIFS(BV_Data_An_Cour!$AM:$AM,BV_Data_An_Cour!$AP:$AP,$B45,BV_Data_An_Cour!$AQ:$AQ,$C45,BV_Data_An_Cour!$AR:$AR,L$2)</f>
        <v>0</v>
      </c>
      <c r="M45" s="480"/>
      <c r="N45" s="484">
        <f t="shared" si="16"/>
        <v>0</v>
      </c>
      <c r="O45" s="480"/>
      <c r="P45" s="48"/>
      <c r="Q45" s="483">
        <f>SUMIFS(BV_Data_An_Prec!$AM:$AM,BV_Data_An_Prec!$AP:$AP,$B45,BV_Data_An_Prec!$AQ:$AQ,$C45,BV_Data_An_Prec!$AR:$AR,Q$2)</f>
        <v>0</v>
      </c>
      <c r="R45" s="480"/>
      <c r="S45" s="484">
        <f t="shared" si="18"/>
        <v>0</v>
      </c>
      <c r="T45" s="40"/>
      <c r="U45" s="40"/>
      <c r="V45" s="48"/>
      <c r="W45" s="48"/>
      <c r="X45" s="48"/>
      <c r="Y45" s="48"/>
      <c r="Z45" s="48"/>
      <c r="AA45" s="48"/>
      <c r="AB45" s="48"/>
      <c r="AC45" s="48"/>
      <c r="AD45" s="48"/>
      <c r="AE45" s="48"/>
      <c r="AF45" s="48"/>
      <c r="AG45" s="48"/>
      <c r="AH45" s="48"/>
      <c r="AI45" s="48"/>
      <c r="AJ45" s="48"/>
      <c r="AK45" s="48"/>
      <c r="AL45" s="48"/>
      <c r="AM45" s="48"/>
      <c r="AN45" s="48"/>
    </row>
    <row r="46" ht="20.25" hidden="1" customHeight="1">
      <c r="A46" s="5" t="s">
        <v>794</v>
      </c>
      <c r="B46" s="48" t="s">
        <v>90</v>
      </c>
      <c r="C46" s="559" t="s">
        <v>56</v>
      </c>
      <c r="D46" s="546"/>
      <c r="E46" s="48"/>
      <c r="F46" s="481" t="str">
        <f t="array" ref="F46">+INDEX('Budget original'!$A$2:$AO$501,MATCH($A46,'Budget original'!$A$2:$A$501,0),MATCH(F$2,'Budget original'!$A$2:$AO$2,0))</f>
        <v/>
      </c>
      <c r="G46" s="547"/>
      <c r="H46" s="48"/>
      <c r="I46" s="481"/>
      <c r="J46" s="480"/>
      <c r="K46" s="48"/>
      <c r="L46" s="483">
        <f>SUMIFS(BV_Data_An_Cour!$AM:$AM,BV_Data_An_Cour!$AP:$AP,$B46,BV_Data_An_Cour!$AQ:$AQ,$C46,BV_Data_An_Cour!$AR:$AR,L$2)</f>
        <v>0</v>
      </c>
      <c r="M46" s="480"/>
      <c r="N46" s="484">
        <f t="shared" si="16"/>
        <v>0</v>
      </c>
      <c r="O46" s="480"/>
      <c r="P46" s="48"/>
      <c r="Q46" s="483">
        <f>SUMIFS(BV_Data_An_Prec!$AM:$AM,BV_Data_An_Prec!$AP:$AP,$B46,BV_Data_An_Prec!$AQ:$AQ,$C46,BV_Data_An_Prec!$AR:$AR,Q$2)</f>
        <v>0</v>
      </c>
      <c r="R46" s="480"/>
      <c r="S46" s="484">
        <f t="shared" si="18"/>
        <v>0</v>
      </c>
      <c r="T46" s="40"/>
      <c r="U46" s="40"/>
      <c r="V46" s="48"/>
      <c r="W46" s="48"/>
      <c r="X46" s="48"/>
      <c r="Y46" s="48"/>
      <c r="Z46" s="48"/>
      <c r="AA46" s="48"/>
      <c r="AB46" s="48"/>
      <c r="AC46" s="48"/>
      <c r="AD46" s="48"/>
      <c r="AE46" s="48"/>
      <c r="AF46" s="48"/>
      <c r="AG46" s="48"/>
      <c r="AH46" s="48"/>
      <c r="AI46" s="48"/>
      <c r="AJ46" s="48"/>
      <c r="AK46" s="48"/>
      <c r="AL46" s="48"/>
      <c r="AM46" s="48"/>
      <c r="AN46" s="48"/>
    </row>
    <row r="47" ht="20.25" hidden="1" customHeight="1">
      <c r="A47" s="5" t="s">
        <v>794</v>
      </c>
      <c r="B47" s="48" t="s">
        <v>90</v>
      </c>
      <c r="C47" s="559" t="s">
        <v>56</v>
      </c>
      <c r="D47" s="546"/>
      <c r="E47" s="48"/>
      <c r="F47" s="481" t="str">
        <f t="array" ref="F47">+INDEX('Budget original'!$A$2:$AO$501,MATCH($A47,'Budget original'!$A$2:$A$501,0),MATCH(F$2,'Budget original'!$A$2:$AO$2,0))</f>
        <v/>
      </c>
      <c r="G47" s="547"/>
      <c r="H47" s="48"/>
      <c r="I47" s="481"/>
      <c r="J47" s="480"/>
      <c r="K47" s="48"/>
      <c r="L47" s="483">
        <f>SUMIFS(BV_Data_An_Cour!$AM:$AM,BV_Data_An_Cour!$AP:$AP,$B47,BV_Data_An_Cour!$AQ:$AQ,$C47,BV_Data_An_Cour!$AR:$AR,L$2)</f>
        <v>0</v>
      </c>
      <c r="M47" s="480"/>
      <c r="N47" s="484">
        <f t="shared" si="16"/>
        <v>0</v>
      </c>
      <c r="O47" s="480"/>
      <c r="P47" s="48"/>
      <c r="Q47" s="483">
        <f>SUMIFS(BV_Data_An_Prec!$AM:$AM,BV_Data_An_Prec!$AP:$AP,$B47,BV_Data_An_Prec!$AQ:$AQ,$C47,BV_Data_An_Prec!$AR:$AR,Q$2)</f>
        <v>0</v>
      </c>
      <c r="R47" s="480"/>
      <c r="S47" s="484">
        <f t="shared" si="18"/>
        <v>0</v>
      </c>
      <c r="T47" s="40"/>
      <c r="U47" s="40"/>
      <c r="V47" s="48"/>
      <c r="W47" s="48"/>
      <c r="X47" s="48"/>
      <c r="Y47" s="48"/>
      <c r="Z47" s="48"/>
      <c r="AA47" s="48"/>
      <c r="AB47" s="48"/>
      <c r="AC47" s="48"/>
      <c r="AD47" s="48"/>
      <c r="AE47" s="48"/>
      <c r="AF47" s="48"/>
      <c r="AG47" s="48"/>
      <c r="AH47" s="48"/>
      <c r="AI47" s="48"/>
      <c r="AJ47" s="48"/>
      <c r="AK47" s="48"/>
      <c r="AL47" s="48"/>
      <c r="AM47" s="48"/>
      <c r="AN47" s="48"/>
    </row>
    <row r="48" ht="20.25" hidden="1" customHeight="1">
      <c r="A48" s="5" t="s">
        <v>794</v>
      </c>
      <c r="B48" s="48" t="s">
        <v>90</v>
      </c>
      <c r="C48" s="559" t="s">
        <v>56</v>
      </c>
      <c r="D48" s="546"/>
      <c r="E48" s="48"/>
      <c r="F48" s="481" t="str">
        <f t="array" ref="F48">+INDEX('Budget original'!$A$2:$AO$501,MATCH($A48,'Budget original'!$A$2:$A$501,0),MATCH(F$2,'Budget original'!$A$2:$AO$2,0))</f>
        <v/>
      </c>
      <c r="G48" s="547"/>
      <c r="H48" s="48"/>
      <c r="I48" s="481"/>
      <c r="J48" s="480"/>
      <c r="K48" s="48"/>
      <c r="L48" s="483">
        <f>SUMIFS(BV_Data_An_Cour!$AM:$AM,BV_Data_An_Cour!$AP:$AP,$B48,BV_Data_An_Cour!$AQ:$AQ,$C48,BV_Data_An_Cour!$AR:$AR,L$2)</f>
        <v>0</v>
      </c>
      <c r="M48" s="480"/>
      <c r="N48" s="484">
        <f t="shared" si="16"/>
        <v>0</v>
      </c>
      <c r="O48" s="480"/>
      <c r="P48" s="48"/>
      <c r="Q48" s="483">
        <f>SUMIFS(BV_Data_An_Prec!$AM:$AM,BV_Data_An_Prec!$AP:$AP,$B48,BV_Data_An_Prec!$AQ:$AQ,$C48,BV_Data_An_Prec!$AR:$AR,Q$2)</f>
        <v>0</v>
      </c>
      <c r="R48" s="480"/>
      <c r="S48" s="484">
        <f t="shared" si="18"/>
        <v>0</v>
      </c>
      <c r="T48" s="40"/>
      <c r="U48" s="40"/>
      <c r="V48" s="48"/>
      <c r="W48" s="48"/>
      <c r="X48" s="48"/>
      <c r="Y48" s="48"/>
      <c r="Z48" s="48"/>
      <c r="AA48" s="48"/>
      <c r="AB48" s="48"/>
      <c r="AC48" s="48"/>
      <c r="AD48" s="48"/>
      <c r="AE48" s="48"/>
      <c r="AF48" s="48"/>
      <c r="AG48" s="48"/>
      <c r="AH48" s="48"/>
      <c r="AI48" s="48"/>
      <c r="AJ48" s="48"/>
      <c r="AK48" s="48"/>
      <c r="AL48" s="48"/>
      <c r="AM48" s="48"/>
      <c r="AN48" s="48"/>
    </row>
    <row r="49" ht="15.75" customHeight="1">
      <c r="A49" s="5" t="s">
        <v>820</v>
      </c>
      <c r="B49" s="48" t="s">
        <v>90</v>
      </c>
      <c r="C49" s="560" t="s">
        <v>123</v>
      </c>
      <c r="D49" s="546"/>
      <c r="E49" s="48"/>
      <c r="F49" s="473" t="str">
        <f t="array" ref="F49">+INDEX('Budget original'!$A$2:$AO$501,MATCH($A49,'Budget original'!$A$2:$A$501,0),MATCH(F$2,'Budget original'!$A$2:$AO$2,0))</f>
        <v/>
      </c>
      <c r="G49" s="547"/>
      <c r="H49" s="48"/>
      <c r="I49" s="473"/>
      <c r="J49" s="480"/>
      <c r="K49" s="48"/>
      <c r="L49" s="476">
        <f>SUMIFS(BV_Data_An_Cour!$AM:$AM,BV_Data_An_Cour!$AP:$AP,$B49,BV_Data_An_Cour!$AQ:$AQ,$C49,BV_Data_An_Cour!$AR:$AR,L$2)</f>
        <v>7053.46</v>
      </c>
      <c r="M49" s="480"/>
      <c r="N49" s="484">
        <f t="shared" si="16"/>
        <v>7053.46</v>
      </c>
      <c r="O49" s="480"/>
      <c r="P49" s="48"/>
      <c r="Q49" s="476">
        <f>SUMIFS(BV_Data_An_Prec!$AM:$AM,BV_Data_An_Prec!$AP:$AP,$B49,BV_Data_An_Prec!$AQ:$AQ,$C49,BV_Data_An_Prec!$AR:$AR,Q$2)</f>
        <v>13387.36</v>
      </c>
      <c r="R49" s="480"/>
      <c r="S49" s="484">
        <f t="shared" si="18"/>
        <v>-6333.9</v>
      </c>
      <c r="T49" s="40"/>
      <c r="U49" s="40"/>
      <c r="V49" s="48"/>
      <c r="W49" s="48"/>
      <c r="X49" s="40"/>
      <c r="Y49" s="48"/>
      <c r="Z49" s="48"/>
      <c r="AA49" s="48"/>
      <c r="AB49" s="48"/>
      <c r="AC49" s="48"/>
      <c r="AD49" s="48"/>
      <c r="AE49" s="48"/>
      <c r="AF49" s="48"/>
      <c r="AG49" s="48"/>
      <c r="AH49" s="48"/>
      <c r="AI49" s="48"/>
      <c r="AJ49" s="48"/>
      <c r="AK49" s="48"/>
      <c r="AL49" s="48"/>
      <c r="AM49" s="48"/>
      <c r="AN49" s="48"/>
    </row>
    <row r="50" ht="15.75" customHeight="1">
      <c r="A50" s="5" t="s">
        <v>821</v>
      </c>
      <c r="B50" s="48" t="s">
        <v>90</v>
      </c>
      <c r="C50" s="559" t="s">
        <v>124</v>
      </c>
      <c r="D50" s="561"/>
      <c r="E50" s="562"/>
      <c r="F50" s="481" t="str">
        <f t="array" ref="F50">+INDEX('Budget original'!$A$2:$AO$501,MATCH($A50,'Budget original'!$A$2:$A$501,0),MATCH(F$2,'Budget original'!$A$2:$AO$2,0))</f>
        <v/>
      </c>
      <c r="G50" s="563"/>
      <c r="H50" s="562"/>
      <c r="I50" s="481"/>
      <c r="J50" s="466"/>
      <c r="K50" s="562"/>
      <c r="L50" s="483">
        <f>SUMIFS(BV_Data_An_Cour!$AM:$AM,BV_Data_An_Cour!$AP:$AP,$B50,BV_Data_An_Cour!$AQ:$AQ,$C50,BV_Data_An_Cour!$AR:$AR,L$2)</f>
        <v>7549.17</v>
      </c>
      <c r="M50" s="466"/>
      <c r="N50" s="523">
        <f t="shared" si="16"/>
        <v>7549.17</v>
      </c>
      <c r="O50" s="466"/>
      <c r="P50" s="562"/>
      <c r="Q50" s="483">
        <f>SUMIFS(BV_Data_An_Prec!$AM:$AM,BV_Data_An_Prec!$AP:$AP,$B50,BV_Data_An_Prec!$AQ:$AQ,$C50,BV_Data_An_Prec!$AR:$AR,Q$2)</f>
        <v>14720.75</v>
      </c>
      <c r="R50" s="466"/>
      <c r="S50" s="523">
        <f t="shared" si="18"/>
        <v>-7171.58</v>
      </c>
      <c r="T50" s="40"/>
      <c r="U50" s="40"/>
      <c r="V50" s="48"/>
      <c r="W50" s="48"/>
      <c r="X50" s="40"/>
      <c r="Y50" s="48"/>
      <c r="Z50" s="48"/>
      <c r="AA50" s="48"/>
      <c r="AB50" s="48"/>
      <c r="AC50" s="48"/>
      <c r="AD50" s="48"/>
      <c r="AE50" s="48"/>
      <c r="AF50" s="48"/>
      <c r="AG50" s="48"/>
      <c r="AH50" s="48"/>
      <c r="AI50" s="48"/>
      <c r="AJ50" s="48"/>
      <c r="AK50" s="48"/>
      <c r="AL50" s="48"/>
      <c r="AM50" s="48"/>
      <c r="AN50" s="48"/>
    </row>
    <row r="51" ht="15.75" customHeight="1">
      <c r="A51" s="5" t="s">
        <v>822</v>
      </c>
      <c r="B51" s="48" t="s">
        <v>90</v>
      </c>
      <c r="C51" s="559" t="s">
        <v>125</v>
      </c>
      <c r="D51" s="546"/>
      <c r="E51" s="48"/>
      <c r="F51" s="481" t="str">
        <f t="array" ref="F51">+INDEX('Budget original'!$A$2:$AO$501,MATCH($A51,'Budget original'!$A$2:$A$501,0),MATCH(F$2,'Budget original'!$A$2:$AO$2,0))</f>
        <v/>
      </c>
      <c r="G51" s="547"/>
      <c r="H51" s="48"/>
      <c r="I51" s="481"/>
      <c r="J51" s="480"/>
      <c r="K51" s="48"/>
      <c r="L51" s="483">
        <f>SUMIFS(BV_Data_An_Cour!$AM:$AM,BV_Data_An_Cour!$AP:$AP,$B51,BV_Data_An_Cour!$AQ:$AQ,$C51,BV_Data_An_Cour!$AR:$AR,L$2)</f>
        <v>802.23</v>
      </c>
      <c r="M51" s="480"/>
      <c r="N51" s="484">
        <f t="shared" si="16"/>
        <v>802.23</v>
      </c>
      <c r="O51" s="480"/>
      <c r="P51" s="48"/>
      <c r="Q51" s="483">
        <f>SUMIFS(BV_Data_An_Prec!$AM:$AM,BV_Data_An_Prec!$AP:$AP,$B51,BV_Data_An_Prec!$AQ:$AQ,$C51,BV_Data_An_Prec!$AR:$AR,Q$2)</f>
        <v>4541.75</v>
      </c>
      <c r="R51" s="480"/>
      <c r="S51" s="484">
        <f t="shared" si="18"/>
        <v>-3739.52</v>
      </c>
      <c r="T51" s="40"/>
      <c r="U51" s="40"/>
      <c r="V51" s="48"/>
      <c r="W51" s="48"/>
      <c r="X51" s="40"/>
      <c r="Y51" s="48"/>
      <c r="Z51" s="48"/>
      <c r="AA51" s="48"/>
      <c r="AB51" s="48"/>
      <c r="AC51" s="48"/>
      <c r="AD51" s="48"/>
      <c r="AE51" s="48"/>
      <c r="AF51" s="48"/>
      <c r="AG51" s="48"/>
      <c r="AH51" s="48"/>
      <c r="AI51" s="48"/>
      <c r="AJ51" s="48"/>
      <c r="AK51" s="48"/>
      <c r="AL51" s="48"/>
      <c r="AM51" s="48"/>
      <c r="AN51" s="48"/>
    </row>
    <row r="52" ht="15.75" customHeight="1">
      <c r="A52" s="5" t="s">
        <v>823</v>
      </c>
      <c r="B52" s="48" t="s">
        <v>90</v>
      </c>
      <c r="C52" s="559" t="s">
        <v>126</v>
      </c>
      <c r="D52" s="546"/>
      <c r="E52" s="48"/>
      <c r="F52" s="481" t="str">
        <f t="array" ref="F52">+INDEX('Budget original'!$A$2:$AO$501,MATCH($A52,'Budget original'!$A$2:$A$501,0),MATCH(F$2,'Budget original'!$A$2:$AO$2,0))</f>
        <v/>
      </c>
      <c r="G52" s="547"/>
      <c r="H52" s="48"/>
      <c r="I52" s="481"/>
      <c r="J52" s="480"/>
      <c r="K52" s="48"/>
      <c r="L52" s="483">
        <f>SUMIFS(BV_Data_An_Cour!$AM:$AM,BV_Data_An_Cour!$AP:$AP,$B52,BV_Data_An_Cour!$AQ:$AQ,$C52,BV_Data_An_Cour!$AR:$AR,L$2)</f>
        <v>3813.65</v>
      </c>
      <c r="M52" s="480"/>
      <c r="N52" s="484">
        <f t="shared" si="16"/>
        <v>3813.65</v>
      </c>
      <c r="O52" s="480"/>
      <c r="P52" s="48"/>
      <c r="Q52" s="483">
        <f>SUMIFS(BV_Data_An_Prec!$AM:$AM,BV_Data_An_Prec!$AP:$AP,$B52,BV_Data_An_Prec!$AQ:$AQ,$C52,BV_Data_An_Prec!$AR:$AR,Q$2)</f>
        <v>0.16</v>
      </c>
      <c r="R52" s="480"/>
      <c r="S52" s="484">
        <f t="shared" si="18"/>
        <v>3813.49</v>
      </c>
      <c r="T52" s="40"/>
      <c r="U52" s="40"/>
      <c r="V52" s="48"/>
      <c r="W52" s="48"/>
      <c r="X52" s="40"/>
      <c r="Y52" s="48"/>
      <c r="Z52" s="48"/>
      <c r="AA52" s="48"/>
      <c r="AB52" s="48"/>
      <c r="AC52" s="48"/>
      <c r="AD52" s="48"/>
      <c r="AE52" s="48"/>
      <c r="AF52" s="48"/>
      <c r="AG52" s="48"/>
      <c r="AH52" s="48"/>
      <c r="AI52" s="48"/>
      <c r="AJ52" s="48"/>
      <c r="AK52" s="48"/>
      <c r="AL52" s="48"/>
      <c r="AM52" s="48"/>
      <c r="AN52" s="48"/>
    </row>
    <row r="53" ht="20.25" hidden="1" customHeight="1">
      <c r="A53" s="5" t="s">
        <v>794</v>
      </c>
      <c r="B53" s="48" t="s">
        <v>90</v>
      </c>
      <c r="C53" s="480" t="s">
        <v>56</v>
      </c>
      <c r="D53" s="549" t="str">
        <f>VLOOKUP(C53,$B$2:$B$46,1,FALSE)</f>
        <v>#N/A</v>
      </c>
      <c r="E53" s="564"/>
      <c r="F53" s="481" t="str">
        <f t="array" ref="F53">+INDEX('Budget original'!$A$2:$AO$501,MATCH($A53,'Budget original'!$A$2:$A$501,0),MATCH(F$2,'Budget original'!$A$2:$AO$2,0))</f>
        <v/>
      </c>
      <c r="G53" s="550"/>
      <c r="H53" s="564"/>
      <c r="I53" s="481"/>
      <c r="J53" s="471"/>
      <c r="K53" s="564"/>
      <c r="L53" s="484">
        <f>SUMIFS(BV_Data_An_Cour!$AM:$AM,BV_Data_An_Cour!$AP:$AP,$B53,BV_Data_An_Cour!$AQ:$AQ,$C53,BV_Data_An_Cour!$AR:$AR,L$2)</f>
        <v>0</v>
      </c>
      <c r="M53" s="471"/>
      <c r="N53" s="476">
        <f t="shared" si="16"/>
        <v>0</v>
      </c>
      <c r="O53" s="471"/>
      <c r="P53" s="564"/>
      <c r="Q53" s="484">
        <f>SUMIFS(BV_Data_An_Prec!$AM:$AM,BV_Data_An_Prec!$AP:$AP,$B53,BV_Data_An_Prec!$AQ:$AQ,$C53,BV_Data_An_Prec!$AR:$AR,Q$2)</f>
        <v>0</v>
      </c>
      <c r="R53" s="471"/>
      <c r="S53" s="476">
        <f t="shared" si="18"/>
        <v>0</v>
      </c>
      <c r="T53" s="40"/>
      <c r="U53" s="40"/>
      <c r="V53" s="48"/>
      <c r="W53" s="48"/>
      <c r="X53" s="40"/>
      <c r="Y53" s="48"/>
      <c r="Z53" s="48"/>
      <c r="AA53" s="48"/>
      <c r="AB53" s="48"/>
      <c r="AC53" s="48"/>
      <c r="AD53" s="48"/>
      <c r="AE53" s="48"/>
      <c r="AF53" s="48"/>
      <c r="AG53" s="48"/>
      <c r="AH53" s="48"/>
      <c r="AI53" s="48"/>
      <c r="AJ53" s="48"/>
      <c r="AK53" s="48"/>
      <c r="AL53" s="48"/>
      <c r="AM53" s="48"/>
      <c r="AN53" s="48"/>
    </row>
    <row r="54" ht="18.0" customHeight="1">
      <c r="A54" s="5" t="s">
        <v>824</v>
      </c>
      <c r="B54" s="48" t="s">
        <v>90</v>
      </c>
      <c r="C54" s="552" t="s">
        <v>127</v>
      </c>
      <c r="D54" s="553" t="s">
        <v>225</v>
      </c>
      <c r="E54" s="554" t="str">
        <f>F54/F$27</f>
        <v>#DIV/0!</v>
      </c>
      <c r="F54" s="555">
        <f>+SUM(F42:F53)</f>
        <v>0</v>
      </c>
      <c r="G54" s="556"/>
      <c r="H54" s="554"/>
      <c r="I54" s="555"/>
      <c r="J54" s="556" t="s">
        <v>225</v>
      </c>
      <c r="K54" s="554">
        <f>L54/L$27</f>
        <v>0.2368587999</v>
      </c>
      <c r="L54" s="555">
        <f>+SUM(L42:L53)</f>
        <v>49320.98</v>
      </c>
      <c r="M54" s="557"/>
      <c r="N54" s="555">
        <f>+SUM(N42:N53)</f>
        <v>49320.98</v>
      </c>
      <c r="O54" s="556" t="s">
        <v>225</v>
      </c>
      <c r="P54" s="554">
        <f>Q54/Q$27</f>
        <v>0.2922583705</v>
      </c>
      <c r="Q54" s="555">
        <f>+SUM(Q42:Q53)</f>
        <v>73562.37</v>
      </c>
      <c r="R54" s="558"/>
      <c r="S54" s="555">
        <f>+SUM(S42:S53)</f>
        <v>-24241.39</v>
      </c>
      <c r="T54" s="40"/>
      <c r="U54" s="40"/>
      <c r="V54" s="48"/>
      <c r="W54" s="48"/>
      <c r="X54" s="48"/>
      <c r="Y54" s="48"/>
      <c r="Z54" s="48"/>
      <c r="AA54" s="48"/>
      <c r="AB54" s="48"/>
      <c r="AC54" s="48"/>
      <c r="AD54" s="48"/>
      <c r="AE54" s="48"/>
      <c r="AF54" s="48"/>
      <c r="AG54" s="48"/>
      <c r="AH54" s="48"/>
      <c r="AI54" s="48"/>
      <c r="AJ54" s="48"/>
      <c r="AK54" s="48"/>
      <c r="AL54" s="48"/>
      <c r="AM54" s="48"/>
      <c r="AN54" s="48"/>
    </row>
    <row r="55" ht="20.25" hidden="1" customHeight="1">
      <c r="A55" s="5" t="s">
        <v>825</v>
      </c>
      <c r="B55" s="48" t="s">
        <v>90</v>
      </c>
      <c r="C55" s="480" t="s">
        <v>128</v>
      </c>
      <c r="D55" s="546"/>
      <c r="E55" s="48"/>
      <c r="F55" s="481" t="str">
        <f t="array" ref="F55">+INDEX('Budget original'!$A$2:$AO$501,MATCH($A55,'Budget original'!$A$2:$A$501,0),MATCH(F$2,'Budget original'!$A$2:$AO$2,0))</f>
        <v/>
      </c>
      <c r="G55" s="547"/>
      <c r="H55" s="48"/>
      <c r="I55" s="481"/>
      <c r="J55" s="480"/>
      <c r="K55" s="48"/>
      <c r="L55" s="484">
        <f>SUMIFS(BV_Data_An_Cour!$AM:$AM,BV_Data_An_Cour!$AP:$AP,$B55,BV_Data_An_Cour!$AQ:$AQ,$C55,BV_Data_An_Cour!$AR:$AR,L$2)</f>
        <v>0</v>
      </c>
      <c r="M55" s="480"/>
      <c r="N55" s="484">
        <f t="shared" ref="N55:N71" si="19">L55-F55</f>
        <v>0</v>
      </c>
      <c r="O55" s="480"/>
      <c r="P55" s="48"/>
      <c r="Q55" s="484">
        <f>SUMIFS(BV_Data_An_Prec!$AM:$AM,BV_Data_An_Prec!$AP:$AP,$B55,BV_Data_An_Prec!$AQ:$AQ,$C55,BV_Data_An_Prec!$AR:$AR,Q$2)</f>
        <v>0</v>
      </c>
      <c r="R55" s="480"/>
      <c r="S55" s="484">
        <f t="shared" ref="S55:S71" si="20">L55-Q55</f>
        <v>0</v>
      </c>
      <c r="T55" s="540"/>
      <c r="U55" s="40"/>
      <c r="V55" s="48"/>
      <c r="W55" s="48"/>
      <c r="X55" s="40"/>
      <c r="Y55" s="48"/>
      <c r="Z55" s="48"/>
      <c r="AA55" s="48"/>
      <c r="AB55" s="48"/>
      <c r="AC55" s="48"/>
      <c r="AD55" s="48"/>
      <c r="AE55" s="48"/>
      <c r="AF55" s="48"/>
      <c r="AG55" s="48"/>
      <c r="AH55" s="48"/>
      <c r="AI55" s="48"/>
      <c r="AJ55" s="48"/>
      <c r="AK55" s="48"/>
      <c r="AL55" s="48"/>
      <c r="AM55" s="48"/>
      <c r="AN55" s="48"/>
    </row>
    <row r="56" ht="20.25" hidden="1" customHeight="1">
      <c r="A56" s="5" t="s">
        <v>826</v>
      </c>
      <c r="B56" s="48" t="s">
        <v>90</v>
      </c>
      <c r="C56" s="480" t="s">
        <v>129</v>
      </c>
      <c r="D56" s="546"/>
      <c r="E56" s="48"/>
      <c r="F56" s="481" t="str">
        <f t="array" ref="F56">+INDEX('Budget original'!$A$2:$AO$501,MATCH($A56,'Budget original'!$A$2:$A$501,0),MATCH(F$2,'Budget original'!$A$2:$AO$2,0))</f>
        <v/>
      </c>
      <c r="G56" s="547"/>
      <c r="H56" s="48"/>
      <c r="I56" s="481"/>
      <c r="J56" s="480"/>
      <c r="K56" s="48"/>
      <c r="L56" s="484">
        <f>SUMIFS(BV_Data_An_Cour!$AM:$AM,BV_Data_An_Cour!$AP:$AP,$B56,BV_Data_An_Cour!$AQ:$AQ,$C56,BV_Data_An_Cour!$AR:$AR,L$2)</f>
        <v>0</v>
      </c>
      <c r="M56" s="480"/>
      <c r="N56" s="484">
        <f t="shared" si="19"/>
        <v>0</v>
      </c>
      <c r="O56" s="480"/>
      <c r="P56" s="48"/>
      <c r="Q56" s="484">
        <f>SUMIFS(BV_Data_An_Prec!$AM:$AM,BV_Data_An_Prec!$AP:$AP,$B56,BV_Data_An_Prec!$AQ:$AQ,$C56,BV_Data_An_Prec!$AR:$AR,Q$2)</f>
        <v>0</v>
      </c>
      <c r="R56" s="480"/>
      <c r="S56" s="484">
        <f t="shared" si="20"/>
        <v>0</v>
      </c>
      <c r="T56" s="540"/>
      <c r="U56" s="40"/>
      <c r="V56" s="48"/>
      <c r="W56" s="48"/>
      <c r="X56" s="40"/>
      <c r="Y56" s="48"/>
      <c r="Z56" s="48"/>
      <c r="AA56" s="48"/>
      <c r="AB56" s="48"/>
      <c r="AC56" s="48"/>
      <c r="AD56" s="48"/>
      <c r="AE56" s="48"/>
      <c r="AF56" s="48"/>
      <c r="AG56" s="48"/>
      <c r="AH56" s="48"/>
      <c r="AI56" s="48"/>
      <c r="AJ56" s="48"/>
      <c r="AK56" s="48"/>
      <c r="AL56" s="48"/>
      <c r="AM56" s="48"/>
      <c r="AN56" s="48"/>
    </row>
    <row r="57" ht="18.75" customHeight="1">
      <c r="A57" s="5" t="s">
        <v>827</v>
      </c>
      <c r="B57" s="48" t="s">
        <v>90</v>
      </c>
      <c r="C57" s="471" t="s">
        <v>130</v>
      </c>
      <c r="D57" s="549"/>
      <c r="E57" s="564"/>
      <c r="F57" s="473" t="str">
        <f t="array" ref="F57">+INDEX('Budget original'!$A$2:$AO$501,MATCH($A57,'Budget original'!$A$2:$A$501,0),MATCH(F$2,'Budget original'!$A$2:$AO$2,0))</f>
        <v/>
      </c>
      <c r="G57" s="550"/>
      <c r="H57" s="564"/>
      <c r="I57" s="473"/>
      <c r="J57" s="471"/>
      <c r="K57" s="564"/>
      <c r="L57" s="476">
        <f>SUMIFS(BV_Data_An_Cour!$AM:$AM,BV_Data_An_Cour!$AP:$AP,$B57,BV_Data_An_Cour!$AQ:$AQ,$C57,BV_Data_An_Cour!$AR:$AR,L$2)</f>
        <v>6931.9</v>
      </c>
      <c r="M57" s="471"/>
      <c r="N57" s="476">
        <f t="shared" si="19"/>
        <v>6931.9</v>
      </c>
      <c r="O57" s="471"/>
      <c r="P57" s="564"/>
      <c r="Q57" s="476">
        <f>SUMIFS(BV_Data_An_Prec!$AM:$AM,BV_Data_An_Prec!$AP:$AP,$B57,BV_Data_An_Prec!$AQ:$AQ,$C57,BV_Data_An_Prec!$AR:$AR,Q$2)</f>
        <v>9251.35</v>
      </c>
      <c r="R57" s="471"/>
      <c r="S57" s="476">
        <f t="shared" si="20"/>
        <v>-2319.45</v>
      </c>
      <c r="T57" s="565"/>
      <c r="U57" s="40"/>
      <c r="V57" s="48"/>
      <c r="W57" s="48"/>
      <c r="X57" s="40"/>
      <c r="Y57" s="48"/>
      <c r="Z57" s="48"/>
      <c r="AA57" s="48"/>
      <c r="AB57" s="48"/>
      <c r="AC57" s="48"/>
      <c r="AD57" s="48"/>
      <c r="AE57" s="48"/>
      <c r="AF57" s="48"/>
      <c r="AG57" s="48"/>
      <c r="AH57" s="48"/>
      <c r="AI57" s="48"/>
      <c r="AJ57" s="48"/>
      <c r="AK57" s="48"/>
      <c r="AL57" s="48"/>
      <c r="AM57" s="48"/>
      <c r="AN57" s="48"/>
    </row>
    <row r="58" ht="15.75" customHeight="1">
      <c r="A58" s="5" t="s">
        <v>828</v>
      </c>
      <c r="B58" s="48" t="s">
        <v>90</v>
      </c>
      <c r="C58" s="480" t="s">
        <v>131</v>
      </c>
      <c r="D58" s="546"/>
      <c r="E58" s="48"/>
      <c r="F58" s="481" t="str">
        <f t="array" ref="F58">+INDEX('Budget original'!$A$2:$AO$501,MATCH($A58,'Budget original'!$A$2:$A$501,0),MATCH(F$2,'Budget original'!$A$2:$AO$2,0))</f>
        <v/>
      </c>
      <c r="G58" s="547"/>
      <c r="H58" s="48"/>
      <c r="I58" s="481"/>
      <c r="J58" s="480"/>
      <c r="K58" s="48"/>
      <c r="L58" s="484">
        <f>SUMIFS(BV_Data_An_Cour!$AM:$AM,BV_Data_An_Cour!$AP:$AP,$B58,BV_Data_An_Cour!$AQ:$AQ,$C58,BV_Data_An_Cour!$AR:$AR,L$2)</f>
        <v>3443.68</v>
      </c>
      <c r="M58" s="480"/>
      <c r="N58" s="484">
        <f t="shared" si="19"/>
        <v>3443.68</v>
      </c>
      <c r="O58" s="480"/>
      <c r="P58" s="48"/>
      <c r="Q58" s="484">
        <f>SUMIFS(BV_Data_An_Prec!$AM:$AM,BV_Data_An_Prec!$AP:$AP,$B58,BV_Data_An_Prec!$AQ:$AQ,$C58,BV_Data_An_Prec!$AR:$AR,Q$2)</f>
        <v>3035.29</v>
      </c>
      <c r="R58" s="480"/>
      <c r="S58" s="484">
        <f t="shared" si="20"/>
        <v>408.39</v>
      </c>
      <c r="T58" s="540"/>
      <c r="U58" s="40"/>
      <c r="V58" s="48"/>
      <c r="W58" s="48"/>
      <c r="X58" s="48"/>
      <c r="Y58" s="48"/>
      <c r="Z58" s="48"/>
      <c r="AA58" s="48"/>
      <c r="AB58" s="48"/>
      <c r="AC58" s="48"/>
      <c r="AD58" s="48"/>
      <c r="AE58" s="48"/>
      <c r="AF58" s="48"/>
      <c r="AG58" s="48"/>
      <c r="AH58" s="48"/>
      <c r="AI58" s="48"/>
      <c r="AJ58" s="48"/>
      <c r="AK58" s="48"/>
      <c r="AL58" s="48"/>
      <c r="AM58" s="48"/>
      <c r="AN58" s="48"/>
    </row>
    <row r="59" ht="15.75" customHeight="1">
      <c r="A59" s="5" t="s">
        <v>829</v>
      </c>
      <c r="B59" s="48" t="s">
        <v>90</v>
      </c>
      <c r="C59" s="480" t="s">
        <v>132</v>
      </c>
      <c r="D59" s="546"/>
      <c r="E59" s="48"/>
      <c r="F59" s="481" t="str">
        <f t="array" ref="F59">+INDEX('Budget original'!$A$2:$AO$501,MATCH($A59,'Budget original'!$A$2:$A$501,0),MATCH(F$2,'Budget original'!$A$2:$AO$2,0))</f>
        <v/>
      </c>
      <c r="G59" s="547"/>
      <c r="H59" s="48"/>
      <c r="I59" s="481"/>
      <c r="J59" s="480"/>
      <c r="K59" s="48"/>
      <c r="L59" s="484">
        <f>SUMIFS(BV_Data_An_Cour!$AM:$AM,BV_Data_An_Cour!$AP:$AP,$B59,BV_Data_An_Cour!$AQ:$AQ,$C59,BV_Data_An_Cour!$AR:$AR,L$2)</f>
        <v>904.69</v>
      </c>
      <c r="M59" s="480"/>
      <c r="N59" s="484">
        <f t="shared" si="19"/>
        <v>904.69</v>
      </c>
      <c r="O59" s="480"/>
      <c r="P59" s="48"/>
      <c r="Q59" s="484">
        <f>SUMIFS(BV_Data_An_Prec!$AM:$AM,BV_Data_An_Prec!$AP:$AP,$B59,BV_Data_An_Prec!$AQ:$AQ,$C59,BV_Data_An_Prec!$AR:$AR,Q$2)</f>
        <v>11699.53</v>
      </c>
      <c r="R59" s="480"/>
      <c r="S59" s="484">
        <f t="shared" si="20"/>
        <v>-10794.84</v>
      </c>
      <c r="T59" s="40"/>
      <c r="U59" s="40"/>
      <c r="V59" s="48"/>
      <c r="W59" s="48"/>
      <c r="X59" s="48"/>
      <c r="Y59" s="48"/>
      <c r="Z59" s="48"/>
      <c r="AA59" s="48"/>
      <c r="AB59" s="48"/>
      <c r="AC59" s="48"/>
      <c r="AD59" s="48"/>
      <c r="AE59" s="48"/>
      <c r="AF59" s="48"/>
      <c r="AG59" s="48"/>
      <c r="AH59" s="48"/>
      <c r="AI59" s="48"/>
      <c r="AJ59" s="48"/>
      <c r="AK59" s="48"/>
      <c r="AL59" s="48"/>
      <c r="AM59" s="48"/>
      <c r="AN59" s="48"/>
    </row>
    <row r="60" ht="15.75" customHeight="1">
      <c r="A60" s="5" t="s">
        <v>830</v>
      </c>
      <c r="B60" s="48" t="s">
        <v>90</v>
      </c>
      <c r="C60" s="471" t="s">
        <v>133</v>
      </c>
      <c r="D60" s="549"/>
      <c r="E60" s="564"/>
      <c r="F60" s="473" t="str">
        <f t="array" ref="F60">+INDEX('Budget original'!$A$2:$AO$501,MATCH($A60,'Budget original'!$A$2:$A$501,0),MATCH(F$2,'Budget original'!$A$2:$AO$2,0))</f>
        <v/>
      </c>
      <c r="G60" s="550"/>
      <c r="H60" s="564"/>
      <c r="I60" s="473"/>
      <c r="J60" s="471"/>
      <c r="K60" s="564"/>
      <c r="L60" s="476">
        <f>SUMIFS(BV_Data_An_Cour!$AM:$AM,BV_Data_An_Cour!$AP:$AP,$B60,BV_Data_An_Cour!$AQ:$AQ,$C60,BV_Data_An_Cour!$AR:$AR,L$2)</f>
        <v>3332.21</v>
      </c>
      <c r="M60" s="471"/>
      <c r="N60" s="476">
        <f t="shared" si="19"/>
        <v>3332.21</v>
      </c>
      <c r="O60" s="471"/>
      <c r="P60" s="564"/>
      <c r="Q60" s="476">
        <f>SUMIFS(BV_Data_An_Prec!$AM:$AM,BV_Data_An_Prec!$AP:$AP,$B60,BV_Data_An_Prec!$AQ:$AQ,$C60,BV_Data_An_Prec!$AR:$AR,Q$2)</f>
        <v>8700.18</v>
      </c>
      <c r="R60" s="471"/>
      <c r="S60" s="476">
        <f t="shared" si="20"/>
        <v>-5367.97</v>
      </c>
      <c r="T60" s="40"/>
      <c r="U60" s="40"/>
      <c r="V60" s="48"/>
      <c r="W60" s="48"/>
      <c r="X60" s="48"/>
      <c r="Y60" s="48"/>
      <c r="Z60" s="48"/>
      <c r="AA60" s="48"/>
      <c r="AB60" s="48"/>
      <c r="AC60" s="48"/>
      <c r="AD60" s="48"/>
      <c r="AE60" s="48"/>
      <c r="AF60" s="48"/>
      <c r="AG60" s="48"/>
      <c r="AH60" s="48"/>
      <c r="AI60" s="48"/>
      <c r="AJ60" s="48"/>
      <c r="AK60" s="48"/>
      <c r="AL60" s="48"/>
      <c r="AM60" s="48"/>
      <c r="AN60" s="48"/>
    </row>
    <row r="61" ht="15.75" customHeight="1">
      <c r="A61" s="5" t="s">
        <v>831</v>
      </c>
      <c r="B61" s="48" t="s">
        <v>90</v>
      </c>
      <c r="C61" s="480" t="s">
        <v>134</v>
      </c>
      <c r="D61" s="546"/>
      <c r="E61" s="48"/>
      <c r="F61" s="481" t="str">
        <f t="array" ref="F61">+INDEX('Budget original'!$A$2:$AO$501,MATCH($A61,'Budget original'!$A$2:$A$501,0),MATCH(F$2,'Budget original'!$A$2:$AO$2,0))</f>
        <v/>
      </c>
      <c r="G61" s="547"/>
      <c r="H61" s="48"/>
      <c r="I61" s="481"/>
      <c r="J61" s="480"/>
      <c r="K61" s="48"/>
      <c r="L61" s="484">
        <f>SUMIFS(BV_Data_An_Cour!$AM:$AM,BV_Data_An_Cour!$AP:$AP,$B61,BV_Data_An_Cour!$AQ:$AQ,$C61,BV_Data_An_Cour!$AR:$AR,L$2)</f>
        <v>252.3</v>
      </c>
      <c r="M61" s="480"/>
      <c r="N61" s="484">
        <f t="shared" si="19"/>
        <v>252.3</v>
      </c>
      <c r="O61" s="480"/>
      <c r="P61" s="48"/>
      <c r="Q61" s="484">
        <f>SUMIFS(BV_Data_An_Prec!$AM:$AM,BV_Data_An_Prec!$AP:$AP,$B61,BV_Data_An_Prec!$AQ:$AQ,$C61,BV_Data_An_Prec!$AR:$AR,Q$2)</f>
        <v>255.27</v>
      </c>
      <c r="R61" s="480"/>
      <c r="S61" s="484">
        <f t="shared" si="20"/>
        <v>-2.97</v>
      </c>
      <c r="T61" s="40"/>
      <c r="U61" s="40"/>
      <c r="V61" s="48"/>
      <c r="W61" s="48"/>
      <c r="X61" s="48"/>
      <c r="Y61" s="48"/>
      <c r="Z61" s="48"/>
      <c r="AA61" s="48"/>
      <c r="AB61" s="48"/>
      <c r="AC61" s="48"/>
      <c r="AD61" s="48"/>
      <c r="AE61" s="48"/>
      <c r="AF61" s="48"/>
      <c r="AG61" s="48"/>
      <c r="AH61" s="48"/>
      <c r="AI61" s="48"/>
      <c r="AJ61" s="48"/>
      <c r="AK61" s="48"/>
      <c r="AL61" s="48"/>
      <c r="AM61" s="48"/>
      <c r="AN61" s="48"/>
    </row>
    <row r="62" ht="15.75" customHeight="1">
      <c r="A62" s="5" t="s">
        <v>832</v>
      </c>
      <c r="B62" s="48" t="s">
        <v>90</v>
      </c>
      <c r="C62" s="480" t="s">
        <v>135</v>
      </c>
      <c r="D62" s="546"/>
      <c r="E62" s="48"/>
      <c r="F62" s="481" t="str">
        <f t="array" ref="F62">+INDEX('Budget original'!$A$2:$AO$501,MATCH($A62,'Budget original'!$A$2:$A$501,0),MATCH(F$2,'Budget original'!$A$2:$AO$2,0))</f>
        <v/>
      </c>
      <c r="G62" s="547"/>
      <c r="H62" s="48"/>
      <c r="I62" s="481"/>
      <c r="J62" s="480"/>
      <c r="K62" s="48"/>
      <c r="L62" s="484">
        <f>SUMIFS(BV_Data_An_Cour!$AM:$AM,BV_Data_An_Cour!$AP:$AP,$B62,BV_Data_An_Cour!$AQ:$AQ,$C62,BV_Data_An_Cour!$AR:$AR,L$2)</f>
        <v>0</v>
      </c>
      <c r="M62" s="480"/>
      <c r="N62" s="484">
        <f t="shared" si="19"/>
        <v>0</v>
      </c>
      <c r="O62" s="480"/>
      <c r="P62" s="48"/>
      <c r="Q62" s="484">
        <f>SUMIFS(BV_Data_An_Prec!$AM:$AM,BV_Data_An_Prec!$AP:$AP,$B62,BV_Data_An_Prec!$AQ:$AQ,$C62,BV_Data_An_Prec!$AR:$AR,Q$2)</f>
        <v>0</v>
      </c>
      <c r="R62" s="480"/>
      <c r="S62" s="484">
        <f t="shared" si="20"/>
        <v>0</v>
      </c>
      <c r="T62" s="40"/>
      <c r="U62" s="40"/>
      <c r="V62" s="48"/>
      <c r="W62" s="48"/>
      <c r="X62" s="48"/>
      <c r="Y62" s="48"/>
      <c r="Z62" s="48"/>
      <c r="AA62" s="48"/>
      <c r="AB62" s="48"/>
      <c r="AC62" s="48"/>
      <c r="AD62" s="48"/>
      <c r="AE62" s="48"/>
      <c r="AF62" s="48"/>
      <c r="AG62" s="48"/>
      <c r="AH62" s="48"/>
      <c r="AI62" s="48"/>
      <c r="AJ62" s="48"/>
      <c r="AK62" s="48"/>
      <c r="AL62" s="48"/>
      <c r="AM62" s="48"/>
      <c r="AN62" s="48"/>
    </row>
    <row r="63" ht="15.75" customHeight="1">
      <c r="A63" s="5" t="s">
        <v>833</v>
      </c>
      <c r="B63" s="48" t="s">
        <v>90</v>
      </c>
      <c r="C63" s="480" t="s">
        <v>136</v>
      </c>
      <c r="D63" s="546"/>
      <c r="E63" s="48"/>
      <c r="F63" s="481" t="str">
        <f t="array" ref="F63">+INDEX('Budget original'!$A$2:$AO$501,MATCH($A63,'Budget original'!$A$2:$A$501,0),MATCH(F$2,'Budget original'!$A$2:$AO$2,0))</f>
        <v/>
      </c>
      <c r="G63" s="547"/>
      <c r="H63" s="48"/>
      <c r="I63" s="481"/>
      <c r="J63" s="480"/>
      <c r="K63" s="48"/>
      <c r="L63" s="484">
        <f>SUMIFS(BV_Data_An_Cour!$AM:$AM,BV_Data_An_Cour!$AP:$AP,$B63,BV_Data_An_Cour!$AQ:$AQ,$C63,BV_Data_An_Cour!$AR:$AR,L$2)</f>
        <v>740.48</v>
      </c>
      <c r="M63" s="480"/>
      <c r="N63" s="484">
        <f t="shared" si="19"/>
        <v>740.48</v>
      </c>
      <c r="O63" s="480"/>
      <c r="P63" s="48"/>
      <c r="Q63" s="484">
        <f>SUMIFS(BV_Data_An_Prec!$AM:$AM,BV_Data_An_Prec!$AP:$AP,$B63,BV_Data_An_Prec!$AQ:$AQ,$C63,BV_Data_An_Prec!$AR:$AR,Q$2)</f>
        <v>2766.03</v>
      </c>
      <c r="R63" s="480"/>
      <c r="S63" s="484">
        <f t="shared" si="20"/>
        <v>-2025.55</v>
      </c>
      <c r="T63" s="40"/>
      <c r="U63" s="40"/>
      <c r="V63" s="48"/>
      <c r="W63" s="48"/>
      <c r="X63" s="48"/>
      <c r="Y63" s="48"/>
      <c r="Z63" s="48"/>
      <c r="AA63" s="48"/>
      <c r="AB63" s="48"/>
      <c r="AC63" s="48"/>
      <c r="AD63" s="48"/>
      <c r="AE63" s="48"/>
      <c r="AF63" s="48"/>
      <c r="AG63" s="48"/>
      <c r="AH63" s="48"/>
      <c r="AI63" s="48"/>
      <c r="AJ63" s="48"/>
      <c r="AK63" s="48"/>
      <c r="AL63" s="48"/>
      <c r="AM63" s="48"/>
      <c r="AN63" s="48"/>
    </row>
    <row r="64" ht="15.75" customHeight="1">
      <c r="A64" s="5" t="s">
        <v>834</v>
      </c>
      <c r="B64" s="48" t="s">
        <v>90</v>
      </c>
      <c r="C64" s="480" t="s">
        <v>137</v>
      </c>
      <c r="D64" s="546"/>
      <c r="E64" s="48"/>
      <c r="F64" s="481" t="str">
        <f t="array" ref="F64">+INDEX('Budget original'!$A$2:$AO$501,MATCH($A64,'Budget original'!$A$2:$A$501,0),MATCH(F$2,'Budget original'!$A$2:$AO$2,0))</f>
        <v/>
      </c>
      <c r="G64" s="547"/>
      <c r="H64" s="48"/>
      <c r="I64" s="481"/>
      <c r="J64" s="480"/>
      <c r="K64" s="48"/>
      <c r="L64" s="484">
        <f>SUMIFS(BV_Data_An_Cour!$AM:$AM,BV_Data_An_Cour!$AP:$AP,$B64,BV_Data_An_Cour!$AQ:$AQ,$C64,BV_Data_An_Cour!$AR:$AR,L$2)</f>
        <v>444.19</v>
      </c>
      <c r="M64" s="480"/>
      <c r="N64" s="484">
        <f t="shared" si="19"/>
        <v>444.19</v>
      </c>
      <c r="O64" s="480"/>
      <c r="P64" s="48"/>
      <c r="Q64" s="484">
        <f>SUMIFS(BV_Data_An_Prec!$AM:$AM,BV_Data_An_Prec!$AP:$AP,$B64,BV_Data_An_Prec!$AQ:$AQ,$C64,BV_Data_An_Prec!$AR:$AR,Q$2)</f>
        <v>157.97</v>
      </c>
      <c r="R64" s="480"/>
      <c r="S64" s="484">
        <f t="shared" si="20"/>
        <v>286.22</v>
      </c>
      <c r="T64" s="40"/>
      <c r="U64" s="40"/>
      <c r="V64" s="48"/>
      <c r="W64" s="48"/>
      <c r="X64" s="48"/>
      <c r="Y64" s="48"/>
      <c r="Z64" s="48"/>
      <c r="AA64" s="48"/>
      <c r="AB64" s="48"/>
      <c r="AC64" s="48"/>
      <c r="AD64" s="48"/>
      <c r="AE64" s="48"/>
      <c r="AF64" s="48"/>
      <c r="AG64" s="48"/>
      <c r="AH64" s="48"/>
      <c r="AI64" s="48"/>
      <c r="AJ64" s="48"/>
      <c r="AK64" s="48"/>
      <c r="AL64" s="48"/>
      <c r="AM64" s="48"/>
      <c r="AN64" s="48"/>
    </row>
    <row r="65" ht="15.75" customHeight="1">
      <c r="A65" s="5" t="s">
        <v>835</v>
      </c>
      <c r="B65" s="48" t="s">
        <v>90</v>
      </c>
      <c r="C65" s="480" t="s">
        <v>138</v>
      </c>
      <c r="D65" s="546"/>
      <c r="E65" s="48"/>
      <c r="F65" s="481" t="str">
        <f t="array" ref="F65">+INDEX('Budget original'!$A$2:$AO$501,MATCH($A65,'Budget original'!$A$2:$A$501,0),MATCH(F$2,'Budget original'!$A$2:$AO$2,0))</f>
        <v/>
      </c>
      <c r="G65" s="547"/>
      <c r="H65" s="48"/>
      <c r="I65" s="481"/>
      <c r="J65" s="480"/>
      <c r="K65" s="48"/>
      <c r="L65" s="484">
        <f>SUMIFS(BV_Data_An_Cour!$AM:$AM,BV_Data_An_Cour!$AP:$AP,$B65,BV_Data_An_Cour!$AQ:$AQ,$C65,BV_Data_An_Cour!$AR:$AR,L$2)</f>
        <v>1314.35</v>
      </c>
      <c r="M65" s="480"/>
      <c r="N65" s="484">
        <f t="shared" si="19"/>
        <v>1314.35</v>
      </c>
      <c r="O65" s="480"/>
      <c r="P65" s="48"/>
      <c r="Q65" s="484">
        <f>SUMIFS(BV_Data_An_Prec!$AM:$AM,BV_Data_An_Prec!$AP:$AP,$B65,BV_Data_An_Prec!$AQ:$AQ,$C65,BV_Data_An_Prec!$AR:$AR,Q$2)</f>
        <v>1214.46</v>
      </c>
      <c r="R65" s="480"/>
      <c r="S65" s="484">
        <f t="shared" si="20"/>
        <v>99.89</v>
      </c>
      <c r="T65" s="40"/>
      <c r="U65" s="40"/>
      <c r="V65" s="48"/>
      <c r="W65" s="48"/>
      <c r="X65" s="48"/>
      <c r="Y65" s="48"/>
      <c r="Z65" s="48"/>
      <c r="AA65" s="48"/>
      <c r="AB65" s="48"/>
      <c r="AC65" s="48"/>
      <c r="AD65" s="48"/>
      <c r="AE65" s="48"/>
      <c r="AF65" s="48"/>
      <c r="AG65" s="48"/>
      <c r="AH65" s="48"/>
      <c r="AI65" s="48"/>
      <c r="AJ65" s="48"/>
      <c r="AK65" s="48"/>
      <c r="AL65" s="48"/>
      <c r="AM65" s="48"/>
      <c r="AN65" s="48"/>
    </row>
    <row r="66" ht="15.75" customHeight="1">
      <c r="A66" s="5" t="s">
        <v>836</v>
      </c>
      <c r="B66" s="48" t="s">
        <v>90</v>
      </c>
      <c r="C66" s="480" t="s">
        <v>139</v>
      </c>
      <c r="D66" s="546"/>
      <c r="E66" s="48"/>
      <c r="F66" s="481" t="str">
        <f t="array" ref="F66">+INDEX('Budget original'!$A$2:$AO$501,MATCH($A66,'Budget original'!$A$2:$A$501,0),MATCH(F$2,'Budget original'!$A$2:$AO$2,0))</f>
        <v/>
      </c>
      <c r="G66" s="547"/>
      <c r="H66" s="48"/>
      <c r="I66" s="481"/>
      <c r="J66" s="480"/>
      <c r="K66" s="48"/>
      <c r="L66" s="484">
        <f>SUMIFS(BV_Data_An_Cour!$AM:$AM,BV_Data_An_Cour!$AP:$AP,$B66,BV_Data_An_Cour!$AQ:$AQ,$C66,BV_Data_An_Cour!$AR:$AR,L$2)</f>
        <v>3705.26</v>
      </c>
      <c r="M66" s="480"/>
      <c r="N66" s="484">
        <f t="shared" si="19"/>
        <v>3705.26</v>
      </c>
      <c r="O66" s="480"/>
      <c r="P66" s="48"/>
      <c r="Q66" s="484">
        <f>SUMIFS(BV_Data_An_Prec!$AM:$AM,BV_Data_An_Prec!$AP:$AP,$B66,BV_Data_An_Prec!$AQ:$AQ,$C66,BV_Data_An_Prec!$AR:$AR,Q$2)</f>
        <v>4629.35</v>
      </c>
      <c r="R66" s="480"/>
      <c r="S66" s="484">
        <f t="shared" si="20"/>
        <v>-924.09</v>
      </c>
      <c r="T66" s="40"/>
      <c r="U66" s="40"/>
      <c r="V66" s="48"/>
      <c r="W66" s="48"/>
      <c r="X66" s="48"/>
      <c r="Y66" s="48"/>
      <c r="Z66" s="48"/>
      <c r="AA66" s="48"/>
      <c r="AB66" s="48"/>
      <c r="AC66" s="48"/>
      <c r="AD66" s="48"/>
      <c r="AE66" s="48"/>
      <c r="AF66" s="48"/>
      <c r="AG66" s="48"/>
      <c r="AH66" s="48"/>
      <c r="AI66" s="48"/>
      <c r="AJ66" s="48"/>
      <c r="AK66" s="48"/>
      <c r="AL66" s="48"/>
      <c r="AM66" s="48"/>
      <c r="AN66" s="48"/>
    </row>
    <row r="67" ht="15.75" customHeight="1">
      <c r="A67" s="5" t="s">
        <v>837</v>
      </c>
      <c r="B67" s="48" t="s">
        <v>90</v>
      </c>
      <c r="C67" s="480" t="s">
        <v>140</v>
      </c>
      <c r="D67" s="546"/>
      <c r="E67" s="48"/>
      <c r="F67" s="481" t="str">
        <f t="array" ref="F67">+INDEX('Budget original'!$A$2:$AO$501,MATCH($A67,'Budget original'!$A$2:$A$501,0),MATCH(F$2,'Budget original'!$A$2:$AO$2,0))</f>
        <v/>
      </c>
      <c r="G67" s="547"/>
      <c r="H67" s="48"/>
      <c r="I67" s="481"/>
      <c r="J67" s="480"/>
      <c r="K67" s="48"/>
      <c r="L67" s="484">
        <f>SUMIFS(BV_Data_An_Cour!$AM:$AM,BV_Data_An_Cour!$AP:$AP,$B67,BV_Data_An_Cour!$AQ:$AQ,$C67,BV_Data_An_Cour!$AR:$AR,L$2)</f>
        <v>570</v>
      </c>
      <c r="M67" s="480"/>
      <c r="N67" s="484">
        <f t="shared" si="19"/>
        <v>570</v>
      </c>
      <c r="O67" s="480"/>
      <c r="P67" s="48"/>
      <c r="Q67" s="484">
        <f>SUMIFS(BV_Data_An_Prec!$AM:$AM,BV_Data_An_Prec!$AP:$AP,$B67,BV_Data_An_Prec!$AQ:$AQ,$C67,BV_Data_An_Prec!$AR:$AR,Q$2)</f>
        <v>965</v>
      </c>
      <c r="R67" s="480"/>
      <c r="S67" s="484">
        <f t="shared" si="20"/>
        <v>-395</v>
      </c>
      <c r="T67" s="40"/>
      <c r="U67" s="40"/>
      <c r="X67" s="48"/>
      <c r="Y67" s="48"/>
      <c r="Z67" s="48"/>
      <c r="AA67" s="48"/>
      <c r="AB67" s="48"/>
      <c r="AC67" s="48"/>
      <c r="AD67" s="48"/>
      <c r="AE67" s="48"/>
      <c r="AF67" s="48"/>
      <c r="AG67" s="48"/>
      <c r="AH67" s="48"/>
      <c r="AI67" s="48"/>
      <c r="AJ67" s="48"/>
      <c r="AK67" s="48"/>
      <c r="AL67" s="48"/>
      <c r="AM67" s="48"/>
      <c r="AN67" s="48"/>
    </row>
    <row r="68" ht="15.75" customHeight="1">
      <c r="A68" s="5" t="s">
        <v>838</v>
      </c>
      <c r="B68" s="48" t="s">
        <v>90</v>
      </c>
      <c r="C68" s="480" t="s">
        <v>141</v>
      </c>
      <c r="D68" s="546"/>
      <c r="E68" s="48"/>
      <c r="F68" s="481" t="str">
        <f t="array" ref="F68">+INDEX('Budget original'!$A$2:$AO$501,MATCH($A68,'Budget original'!$A$2:$A$501,0),MATCH(F$2,'Budget original'!$A$2:$AO$2,0))</f>
        <v/>
      </c>
      <c r="G68" s="547"/>
      <c r="H68" s="48"/>
      <c r="I68" s="481"/>
      <c r="J68" s="480"/>
      <c r="K68" s="48"/>
      <c r="L68" s="484">
        <f>SUMIFS(BV_Data_An_Cour!$AM:$AM,BV_Data_An_Cour!$AP:$AP,$B68,BV_Data_An_Cour!$AQ:$AQ,$C68,BV_Data_An_Cour!$AR:$AR,L$2)</f>
        <v>2389.34</v>
      </c>
      <c r="M68" s="480"/>
      <c r="N68" s="484">
        <f t="shared" si="19"/>
        <v>2389.34</v>
      </c>
      <c r="O68" s="480"/>
      <c r="P68" s="48"/>
      <c r="Q68" s="484">
        <f>SUMIFS(BV_Data_An_Prec!$AM:$AM,BV_Data_An_Prec!$AP:$AP,$B68,BV_Data_An_Prec!$AQ:$AQ,$C68,BV_Data_An_Prec!$AR:$AR,Q$2)</f>
        <v>385.63</v>
      </c>
      <c r="R68" s="480"/>
      <c r="S68" s="484">
        <f t="shared" si="20"/>
        <v>2003.71</v>
      </c>
      <c r="T68" s="40"/>
      <c r="U68" s="40"/>
      <c r="X68" s="48"/>
      <c r="Y68" s="48"/>
      <c r="Z68" s="48"/>
      <c r="AA68" s="48"/>
      <c r="AB68" s="48"/>
      <c r="AC68" s="48"/>
      <c r="AD68" s="48"/>
      <c r="AE68" s="48"/>
      <c r="AF68" s="48"/>
      <c r="AG68" s="48"/>
      <c r="AH68" s="48"/>
      <c r="AI68" s="48"/>
      <c r="AJ68" s="48"/>
      <c r="AK68" s="48"/>
      <c r="AL68" s="48"/>
      <c r="AM68" s="48"/>
      <c r="AN68" s="48"/>
    </row>
    <row r="69" ht="20.25" hidden="1" customHeight="1">
      <c r="A69" s="5" t="s">
        <v>794</v>
      </c>
      <c r="B69" s="48" t="s">
        <v>90</v>
      </c>
      <c r="C69" s="480" t="s">
        <v>56</v>
      </c>
      <c r="D69" s="546"/>
      <c r="E69" s="48"/>
      <c r="F69" s="481" t="str">
        <f t="array" ref="F69">+INDEX('Budget original'!$A$2:$AO$501,MATCH($A69,'Budget original'!$A$2:$A$501,0),MATCH(F$2,'Budget original'!$A$2:$AO$2,0))</f>
        <v/>
      </c>
      <c r="G69" s="547"/>
      <c r="H69" s="48"/>
      <c r="I69" s="481"/>
      <c r="J69" s="480"/>
      <c r="K69" s="48"/>
      <c r="L69" s="484"/>
      <c r="M69" s="480"/>
      <c r="N69" s="484">
        <f t="shared" si="19"/>
        <v>0</v>
      </c>
      <c r="O69" s="480"/>
      <c r="P69" s="48"/>
      <c r="Q69" s="484"/>
      <c r="R69" s="480"/>
      <c r="S69" s="484">
        <f t="shared" si="20"/>
        <v>0</v>
      </c>
      <c r="T69" s="40"/>
      <c r="U69" s="40"/>
      <c r="X69" s="48"/>
      <c r="Y69" s="48"/>
      <c r="Z69" s="48"/>
      <c r="AA69" s="48"/>
      <c r="AB69" s="48"/>
      <c r="AC69" s="48"/>
      <c r="AD69" s="48"/>
      <c r="AE69" s="48"/>
      <c r="AF69" s="48"/>
      <c r="AG69" s="48"/>
      <c r="AH69" s="48"/>
      <c r="AI69" s="48"/>
      <c r="AJ69" s="48"/>
      <c r="AK69" s="48"/>
      <c r="AL69" s="48"/>
      <c r="AM69" s="48"/>
      <c r="AN69" s="48"/>
    </row>
    <row r="70" ht="20.25" hidden="1" customHeight="1">
      <c r="A70" s="5" t="s">
        <v>794</v>
      </c>
      <c r="B70" s="48" t="s">
        <v>90</v>
      </c>
      <c r="C70" s="480" t="s">
        <v>56</v>
      </c>
      <c r="D70" s="546"/>
      <c r="E70" s="48"/>
      <c r="F70" s="481" t="str">
        <f t="array" ref="F70">+INDEX('Budget original'!$A$2:$AO$501,MATCH($A70,'Budget original'!$A$2:$A$501,0),MATCH(F$2,'Budget original'!$A$2:$AO$2,0))</f>
        <v/>
      </c>
      <c r="G70" s="547"/>
      <c r="H70" s="48"/>
      <c r="I70" s="481"/>
      <c r="J70" s="480"/>
      <c r="K70" s="48"/>
      <c r="L70" s="484">
        <f>SUMIFS(BV_Data_An_Cour!$AM:$AM,BV_Data_An_Cour!$AP:$AP,$B70,BV_Data_An_Cour!$AQ:$AQ,$C70,BV_Data_An_Cour!$AR:$AR,L$2)</f>
        <v>0</v>
      </c>
      <c r="M70" s="480"/>
      <c r="N70" s="484">
        <f t="shared" si="19"/>
        <v>0</v>
      </c>
      <c r="O70" s="480"/>
      <c r="P70" s="48"/>
      <c r="Q70" s="484">
        <f>SUMIFS(BV_Data_An_Prec!$AM:$AM,BV_Data_An_Prec!$AP:$AP,$B70,BV_Data_An_Prec!$AQ:$AQ,$C70,BV_Data_An_Prec!$AR:$AR,Q$2)</f>
        <v>0</v>
      </c>
      <c r="R70" s="480"/>
      <c r="S70" s="484">
        <f t="shared" si="20"/>
        <v>0</v>
      </c>
      <c r="T70" s="40"/>
      <c r="U70" s="40"/>
      <c r="X70" s="48"/>
      <c r="Y70" s="48"/>
      <c r="Z70" s="48"/>
      <c r="AA70" s="48"/>
      <c r="AB70" s="48"/>
      <c r="AC70" s="48"/>
      <c r="AD70" s="48"/>
      <c r="AE70" s="48"/>
      <c r="AF70" s="48"/>
      <c r="AG70" s="48"/>
      <c r="AH70" s="48"/>
      <c r="AI70" s="48"/>
      <c r="AJ70" s="48"/>
      <c r="AK70" s="48"/>
      <c r="AL70" s="48"/>
      <c r="AM70" s="48"/>
      <c r="AN70" s="48"/>
    </row>
    <row r="71" ht="20.25" hidden="1" customHeight="1">
      <c r="A71" s="5" t="s">
        <v>794</v>
      </c>
      <c r="B71" s="48" t="s">
        <v>90</v>
      </c>
      <c r="C71" s="480" t="s">
        <v>56</v>
      </c>
      <c r="D71" s="546"/>
      <c r="E71" s="48"/>
      <c r="F71" s="481" t="str">
        <f t="array" ref="F71">+INDEX('Budget original'!$A$2:$AO$501,MATCH($A71,'Budget original'!$A$2:$A$501,0),MATCH(F$2,'Budget original'!$A$2:$AO$2,0))</f>
        <v/>
      </c>
      <c r="G71" s="547"/>
      <c r="H71" s="48"/>
      <c r="I71" s="481"/>
      <c r="J71" s="480"/>
      <c r="K71" s="48"/>
      <c r="L71" s="484">
        <f>SUMIFS(BV_Data_An_Cour!$AM:$AM,BV_Data_An_Cour!$AP:$AP,$B71,BV_Data_An_Cour!$AQ:$AQ,$C71,BV_Data_An_Cour!$AR:$AR,L$2)*0.32</f>
        <v>0</v>
      </c>
      <c r="M71" s="480"/>
      <c r="N71" s="484">
        <f t="shared" si="19"/>
        <v>0</v>
      </c>
      <c r="O71" s="480"/>
      <c r="P71" s="48"/>
      <c r="Q71" s="484">
        <f>SUMIFS(BV_Data_An_Prec!$AM:$AM,BV_Data_An_Prec!$AP:$AP,$B71,BV_Data_An_Prec!$AQ:$AQ,$C71,BV_Data_An_Prec!$AR:$AR,Q$2)*0.32</f>
        <v>0</v>
      </c>
      <c r="R71" s="480"/>
      <c r="S71" s="484">
        <f t="shared" si="20"/>
        <v>0</v>
      </c>
      <c r="T71" s="40"/>
      <c r="U71" s="40"/>
      <c r="X71" s="48"/>
      <c r="Y71" s="48"/>
      <c r="Z71" s="48"/>
      <c r="AA71" s="48"/>
      <c r="AB71" s="48"/>
      <c r="AC71" s="48"/>
      <c r="AD71" s="48"/>
      <c r="AE71" s="48"/>
      <c r="AF71" s="48"/>
      <c r="AG71" s="48"/>
      <c r="AH71" s="48"/>
      <c r="AI71" s="48"/>
      <c r="AJ71" s="48"/>
      <c r="AK71" s="48"/>
      <c r="AL71" s="48"/>
      <c r="AM71" s="48"/>
      <c r="AN71" s="48"/>
    </row>
    <row r="72" ht="18.0" customHeight="1">
      <c r="A72" s="5" t="s">
        <v>839</v>
      </c>
      <c r="B72" s="48" t="s">
        <v>90</v>
      </c>
      <c r="C72" s="552" t="s">
        <v>142</v>
      </c>
      <c r="D72" s="553" t="s">
        <v>225</v>
      </c>
      <c r="E72" s="554" t="str">
        <f>F72/F$27</f>
        <v>#DIV/0!</v>
      </c>
      <c r="F72" s="555">
        <f>+SUM(F55:F71)</f>
        <v>0</v>
      </c>
      <c r="G72" s="556"/>
      <c r="H72" s="554"/>
      <c r="I72" s="555"/>
      <c r="J72" s="556" t="s">
        <v>225</v>
      </c>
      <c r="K72" s="554">
        <f>L72/L$27</f>
        <v>0.1153938545</v>
      </c>
      <c r="L72" s="555">
        <f>+SUM(L55:L71)</f>
        <v>24028.4</v>
      </c>
      <c r="M72" s="557"/>
      <c r="N72" s="555">
        <f>+SUM(N55:N71)</f>
        <v>24028.4</v>
      </c>
      <c r="O72" s="556" t="s">
        <v>225</v>
      </c>
      <c r="P72" s="554">
        <f>Q72/Q$27</f>
        <v>0.1710747352</v>
      </c>
      <c r="Q72" s="555">
        <f>+SUM(Q55:Q71)</f>
        <v>43060.06</v>
      </c>
      <c r="R72" s="558"/>
      <c r="S72" s="555">
        <f>+SUM(S55:S71)</f>
        <v>-19031.66</v>
      </c>
      <c r="T72" s="40"/>
      <c r="U72" s="40"/>
      <c r="V72" s="48"/>
      <c r="W72" s="48"/>
      <c r="X72" s="48"/>
      <c r="Y72" s="48"/>
      <c r="Z72" s="48"/>
      <c r="AA72" s="48"/>
      <c r="AB72" s="48"/>
      <c r="AC72" s="48"/>
      <c r="AD72" s="48"/>
      <c r="AE72" s="48"/>
      <c r="AF72" s="48"/>
      <c r="AG72" s="48"/>
      <c r="AH72" s="48"/>
      <c r="AI72" s="48"/>
      <c r="AJ72" s="48"/>
      <c r="AK72" s="48"/>
      <c r="AL72" s="48"/>
      <c r="AM72" s="48"/>
      <c r="AN72" s="48"/>
    </row>
    <row r="73" ht="15.75" customHeight="1">
      <c r="A73" s="5" t="s">
        <v>90</v>
      </c>
      <c r="B73" s="48" t="s">
        <v>90</v>
      </c>
      <c r="C73" s="471"/>
      <c r="D73" s="549"/>
      <c r="E73" s="564"/>
      <c r="F73" s="484"/>
      <c r="G73" s="550"/>
      <c r="H73" s="564"/>
      <c r="I73" s="484"/>
      <c r="J73" s="471"/>
      <c r="K73" s="564"/>
      <c r="L73" s="476"/>
      <c r="M73" s="471"/>
      <c r="N73" s="476"/>
      <c r="O73" s="471"/>
      <c r="P73" s="564"/>
      <c r="Q73" s="476"/>
      <c r="R73" s="471"/>
      <c r="S73" s="476"/>
      <c r="T73" s="40"/>
      <c r="U73" s="40"/>
      <c r="V73" s="48"/>
      <c r="W73" s="48"/>
      <c r="X73" s="48"/>
      <c r="Y73" s="48"/>
      <c r="Z73" s="48"/>
      <c r="AA73" s="48"/>
      <c r="AB73" s="48"/>
      <c r="AC73" s="48"/>
      <c r="AD73" s="48"/>
      <c r="AE73" s="48"/>
      <c r="AF73" s="48"/>
      <c r="AG73" s="48"/>
      <c r="AH73" s="48"/>
      <c r="AI73" s="48"/>
      <c r="AJ73" s="48"/>
      <c r="AK73" s="48"/>
      <c r="AL73" s="48"/>
      <c r="AM73" s="48"/>
      <c r="AN73" s="48"/>
    </row>
    <row r="74" ht="18.0" customHeight="1">
      <c r="A74" s="5" t="s">
        <v>840</v>
      </c>
      <c r="B74" s="48" t="s">
        <v>90</v>
      </c>
      <c r="C74" s="552" t="s">
        <v>143</v>
      </c>
      <c r="D74" s="553" t="s">
        <v>225</v>
      </c>
      <c r="E74" s="554" t="str">
        <f>F74/F$27</f>
        <v>#DIV/0!</v>
      </c>
      <c r="F74" s="555">
        <f>F41+F54+F72</f>
        <v>0</v>
      </c>
      <c r="G74" s="556"/>
      <c r="H74" s="554"/>
      <c r="I74" s="555"/>
      <c r="J74" s="556" t="s">
        <v>225</v>
      </c>
      <c r="K74" s="554">
        <f>L74/L$27</f>
        <v>-0.01702223115</v>
      </c>
      <c r="L74" s="555">
        <f>L41+L54+L72</f>
        <v>-3544.53</v>
      </c>
      <c r="M74" s="557"/>
      <c r="N74" s="555">
        <f t="shared" ref="N74:N82" si="21">L74-F74</f>
        <v>-3544.53</v>
      </c>
      <c r="O74" s="556" t="s">
        <v>225</v>
      </c>
      <c r="P74" s="554">
        <f>Q74/Q$27</f>
        <v>-0.3272533553</v>
      </c>
      <c r="Q74" s="555">
        <f>Q41+Q54+Q72</f>
        <v>-82370.72</v>
      </c>
      <c r="R74" s="558"/>
      <c r="S74" s="555">
        <f t="shared" ref="S74:S82" si="22">L74-Q74</f>
        <v>78826.19</v>
      </c>
      <c r="T74" s="40"/>
      <c r="U74" s="40"/>
      <c r="V74" s="48"/>
      <c r="W74" s="48"/>
      <c r="X74" s="48"/>
      <c r="Y74" s="48"/>
      <c r="Z74" s="48"/>
      <c r="AA74" s="48"/>
      <c r="AB74" s="48"/>
      <c r="AC74" s="48"/>
      <c r="AD74" s="48"/>
      <c r="AE74" s="48"/>
      <c r="AF74" s="48"/>
      <c r="AG74" s="48"/>
      <c r="AH74" s="48"/>
      <c r="AI74" s="48"/>
      <c r="AJ74" s="48"/>
      <c r="AK74" s="48"/>
      <c r="AL74" s="48"/>
      <c r="AM74" s="48"/>
      <c r="AN74" s="48"/>
    </row>
    <row r="75" ht="15.75" customHeight="1">
      <c r="A75" s="5" t="s">
        <v>841</v>
      </c>
      <c r="B75" s="48" t="s">
        <v>90</v>
      </c>
      <c r="C75" s="480" t="s">
        <v>842</v>
      </c>
      <c r="D75" s="546"/>
      <c r="E75" s="48"/>
      <c r="F75" s="481" t="str">
        <f t="array" ref="F75">+INDEX('Budget original'!$A$2:$AO$501,MATCH($A75,'Budget original'!$A$2:$A$501,0),MATCH(F$2,'Budget original'!$A$2:$AO$2,0))</f>
        <v/>
      </c>
      <c r="G75" s="547"/>
      <c r="H75" s="48"/>
      <c r="I75" s="481"/>
      <c r="J75" s="480"/>
      <c r="K75" s="48"/>
      <c r="L75" s="484">
        <f>-SUMIFS(BV_Data_An_Cour!$AM:$AM,BV_Data_An_Cour!$AP:$AP,$B75,BV_Data_An_Cour!$AQ:$AQ,$C75,BV_Data_An_Cour!$AR:$AR,L$2)</f>
        <v>45385.71</v>
      </c>
      <c r="M75" s="480"/>
      <c r="N75" s="484">
        <f t="shared" si="21"/>
        <v>45385.71</v>
      </c>
      <c r="O75" s="480"/>
      <c r="P75" s="48"/>
      <c r="Q75" s="484">
        <f>-SUMIFS(BV_Data_An_Prec!$AM:$AM,BV_Data_An_Prec!$AP:$AP,$B75,BV_Data_An_Prec!$AQ:$AQ,$C75,BV_Data_An_Prec!$AR:$AR,Q$2)-Q157</f>
        <v>26831.51</v>
      </c>
      <c r="R75" s="480"/>
      <c r="S75" s="484">
        <f t="shared" si="22"/>
        <v>18554.2</v>
      </c>
      <c r="T75" s="40"/>
      <c r="U75" s="40"/>
      <c r="V75" s="48"/>
      <c r="W75" s="48"/>
      <c r="X75" s="48"/>
      <c r="Y75" s="48"/>
      <c r="Z75" s="48"/>
      <c r="AA75" s="48"/>
      <c r="AB75" s="48"/>
      <c r="AC75" s="48"/>
      <c r="AD75" s="48"/>
      <c r="AE75" s="48"/>
      <c r="AF75" s="48"/>
      <c r="AG75" s="48"/>
      <c r="AH75" s="48"/>
      <c r="AI75" s="48"/>
      <c r="AJ75" s="48"/>
      <c r="AK75" s="48"/>
      <c r="AL75" s="48"/>
      <c r="AM75" s="48"/>
      <c r="AN75" s="48"/>
    </row>
    <row r="76" ht="15.75" hidden="1" customHeight="1">
      <c r="A76" s="5" t="s">
        <v>843</v>
      </c>
      <c r="B76" s="48" t="s">
        <v>90</v>
      </c>
      <c r="C76" s="566" t="s">
        <v>145</v>
      </c>
      <c r="D76" s="546"/>
      <c r="E76" s="48"/>
      <c r="F76" s="481" t="str">
        <f t="array" ref="F76">+INDEX('Budget original'!$A$2:$AO$501,MATCH($A76,'Budget original'!$A$2:$A$501,0),MATCH(F$2,'Budget original'!$A$2:$AO$2,0))</f>
        <v/>
      </c>
      <c r="G76" s="547"/>
      <c r="H76" s="48"/>
      <c r="I76" s="481"/>
      <c r="J76" s="480"/>
      <c r="K76" s="48"/>
      <c r="L76" s="484">
        <f>-SUMIFS(BV_Data_An_Cour!$AM:$AM,BV_Data_An_Cour!$AP:$AP,$B76,BV_Data_An_Cour!$AQ:$AQ,$C76,BV_Data_An_Cour!$AR:$AR,L$2)</f>
        <v>0</v>
      </c>
      <c r="M76" s="480"/>
      <c r="N76" s="484">
        <f t="shared" si="21"/>
        <v>0</v>
      </c>
      <c r="O76" s="480"/>
      <c r="P76" s="48"/>
      <c r="Q76" s="484">
        <f>-SUMIFS(BV_Data_An_Prec!$AM:$AM,BV_Data_An_Prec!$AP:$AP,$B76,BV_Data_An_Prec!$AQ:$AQ,$C76,BV_Data_An_Prec!$AR:$AR,Q$2)</f>
        <v>0</v>
      </c>
      <c r="R76" s="480"/>
      <c r="S76" s="484">
        <f t="shared" si="22"/>
        <v>0</v>
      </c>
      <c r="T76" s="40"/>
      <c r="U76" s="40"/>
      <c r="V76" s="48"/>
      <c r="W76" s="48"/>
      <c r="X76" s="48"/>
      <c r="Y76" s="48"/>
      <c r="Z76" s="48"/>
      <c r="AA76" s="48"/>
      <c r="AB76" s="48"/>
      <c r="AC76" s="48"/>
      <c r="AD76" s="48"/>
      <c r="AE76" s="48"/>
      <c r="AF76" s="48"/>
      <c r="AG76" s="48"/>
      <c r="AH76" s="48"/>
      <c r="AI76" s="48"/>
      <c r="AJ76" s="48"/>
      <c r="AK76" s="48"/>
      <c r="AL76" s="48"/>
      <c r="AM76" s="48"/>
      <c r="AN76" s="48"/>
    </row>
    <row r="77" ht="15.75" hidden="1" customHeight="1">
      <c r="A77" s="5" t="s">
        <v>844</v>
      </c>
      <c r="B77" s="48" t="s">
        <v>90</v>
      </c>
      <c r="C77" s="566" t="s">
        <v>146</v>
      </c>
      <c r="D77" s="546"/>
      <c r="E77" s="48"/>
      <c r="F77" s="481" t="str">
        <f t="array" ref="F77">+INDEX('Budget original'!$A$2:$AO$501,MATCH($A77,'Budget original'!$A$2:$A$501,0),MATCH(F$2,'Budget original'!$A$2:$AO$2,0))</f>
        <v/>
      </c>
      <c r="G77" s="547"/>
      <c r="H77" s="48"/>
      <c r="I77" s="481"/>
      <c r="J77" s="480"/>
      <c r="K77" s="48"/>
      <c r="L77" s="484">
        <f>-SUMIFS(BV_Data_An_Cour!$AM:$AM,BV_Data_An_Cour!$AP:$AP,$B77,BV_Data_An_Cour!$AQ:$AQ,$C77,BV_Data_An_Cour!$AR:$AR,L$2)</f>
        <v>0</v>
      </c>
      <c r="M77" s="480"/>
      <c r="N77" s="484">
        <f t="shared" si="21"/>
        <v>0</v>
      </c>
      <c r="O77" s="480"/>
      <c r="P77" s="48"/>
      <c r="Q77" s="484">
        <f>-SUMIFS(BV_Data_An_Prec!$AM:$AM,BV_Data_An_Prec!$AP:$AP,$B77,BV_Data_An_Prec!$AQ:$AQ,$C77,BV_Data_An_Prec!$AR:$AR,Q$2)</f>
        <v>0</v>
      </c>
      <c r="R77" s="480"/>
      <c r="S77" s="484">
        <f t="shared" si="22"/>
        <v>0</v>
      </c>
      <c r="T77" s="40"/>
      <c r="U77" s="40"/>
      <c r="V77" s="48"/>
      <c r="W77" s="48"/>
      <c r="X77" s="48"/>
      <c r="Y77" s="48"/>
      <c r="Z77" s="48"/>
      <c r="AA77" s="48"/>
      <c r="AB77" s="48"/>
      <c r="AC77" s="48"/>
      <c r="AD77" s="48"/>
      <c r="AE77" s="48"/>
      <c r="AF77" s="48"/>
      <c r="AG77" s="48"/>
      <c r="AH77" s="48"/>
      <c r="AI77" s="48"/>
      <c r="AJ77" s="48"/>
      <c r="AK77" s="48"/>
      <c r="AL77" s="48"/>
      <c r="AM77" s="48"/>
      <c r="AN77" s="48"/>
    </row>
    <row r="78" ht="15.75" hidden="1" customHeight="1">
      <c r="A78" s="5" t="s">
        <v>845</v>
      </c>
      <c r="B78" s="48" t="s">
        <v>90</v>
      </c>
      <c r="C78" s="566" t="s">
        <v>147</v>
      </c>
      <c r="D78" s="546"/>
      <c r="E78" s="567" t="str">
        <f>+F78/D27</f>
        <v>#DIV/0!</v>
      </c>
      <c r="F78" s="481" t="str">
        <f t="array" ref="F78">+INDEX('Budget original'!$A$2:$AO$501,MATCH($A78,'Budget original'!$A$2:$A$501,0),MATCH(F$2,'Budget original'!$A$2:$AO$2,0))</f>
        <v/>
      </c>
      <c r="G78" s="547"/>
      <c r="H78" s="48"/>
      <c r="I78" s="481"/>
      <c r="J78" s="568"/>
      <c r="K78" s="567">
        <f>+L78/J27</f>
        <v>0</v>
      </c>
      <c r="L78" s="484">
        <f>-SUMIFS(BV_Data_An_Cour!$AM:$AM,BV_Data_An_Cour!$AP:$AP,$B78,BV_Data_An_Cour!$AQ:$AQ,$C78,BV_Data_An_Cour!$AR:$AR,L$2)</f>
        <v>0</v>
      </c>
      <c r="M78" s="480"/>
      <c r="N78" s="484">
        <f t="shared" si="21"/>
        <v>0</v>
      </c>
      <c r="O78" s="568"/>
      <c r="P78" s="567">
        <f>+Q78/O27</f>
        <v>0</v>
      </c>
      <c r="Q78" s="484">
        <f>-SUMIFS(BV_Data_An_Prec!$AM:$AM,BV_Data_An_Prec!$AP:$AP,$B78,BV_Data_An_Prec!$AQ:$AQ,$C78,BV_Data_An_Prec!$AR:$AR,Q$2)</f>
        <v>0</v>
      </c>
      <c r="R78" s="480"/>
      <c r="S78" s="484">
        <f t="shared" si="22"/>
        <v>0</v>
      </c>
      <c r="T78" s="40"/>
      <c r="U78" s="40"/>
      <c r="V78" s="48"/>
      <c r="W78" s="48"/>
      <c r="X78" s="48"/>
      <c r="Y78" s="48"/>
      <c r="Z78" s="48"/>
      <c r="AA78" s="48"/>
      <c r="AB78" s="48"/>
      <c r="AC78" s="48"/>
      <c r="AD78" s="48"/>
      <c r="AE78" s="48"/>
      <c r="AF78" s="48"/>
      <c r="AG78" s="48"/>
      <c r="AH78" s="48"/>
      <c r="AI78" s="48"/>
      <c r="AJ78" s="48"/>
      <c r="AK78" s="48"/>
      <c r="AL78" s="48"/>
      <c r="AM78" s="48"/>
      <c r="AN78" s="48"/>
    </row>
    <row r="79" ht="15.75" hidden="1" customHeight="1">
      <c r="A79" s="5" t="s">
        <v>794</v>
      </c>
      <c r="B79" s="48" t="s">
        <v>90</v>
      </c>
      <c r="C79" s="566" t="s">
        <v>56</v>
      </c>
      <c r="D79" s="546"/>
      <c r="E79" s="48"/>
      <c r="F79" s="481" t="str">
        <f t="array" ref="F79">+INDEX('Budget original'!$A$2:$AO$501,MATCH($A79,'Budget original'!$A$2:$A$501,0),MATCH(F$2,'Budget original'!$A$2:$AO$2,0))</f>
        <v/>
      </c>
      <c r="G79" s="547"/>
      <c r="H79" s="48"/>
      <c r="I79" s="481"/>
      <c r="J79" s="480"/>
      <c r="K79" s="48"/>
      <c r="L79" s="484">
        <f>-SUMIFS(BV_Data_An_Cour!$AM:$AM,BV_Data_An_Cour!$AP:$AP,$B79,BV_Data_An_Cour!$AQ:$AQ,$C79,BV_Data_An_Cour!$AR:$AR,L$2)</f>
        <v>0</v>
      </c>
      <c r="M79" s="480"/>
      <c r="N79" s="484">
        <f t="shared" si="21"/>
        <v>0</v>
      </c>
      <c r="O79" s="480"/>
      <c r="P79" s="48"/>
      <c r="Q79" s="484">
        <f>-SUMIFS(BV_Data_An_Prec!$AM:$AM,BV_Data_An_Prec!$AP:$AP,$B79,BV_Data_An_Prec!$AQ:$AQ,$C79,BV_Data_An_Prec!$AR:$AR,Q$2)</f>
        <v>0</v>
      </c>
      <c r="R79" s="480"/>
      <c r="S79" s="484">
        <f t="shared" si="22"/>
        <v>0</v>
      </c>
      <c r="T79" s="40"/>
      <c r="U79" s="40"/>
      <c r="V79" s="48"/>
      <c r="W79" s="48"/>
      <c r="X79" s="48"/>
      <c r="Y79" s="48"/>
      <c r="Z79" s="48"/>
      <c r="AA79" s="48"/>
      <c r="AB79" s="48"/>
      <c r="AC79" s="48"/>
      <c r="AD79" s="48"/>
      <c r="AE79" s="48"/>
      <c r="AF79" s="48"/>
      <c r="AG79" s="48"/>
      <c r="AH79" s="48"/>
      <c r="AI79" s="48"/>
      <c r="AJ79" s="48"/>
      <c r="AK79" s="48"/>
      <c r="AL79" s="48"/>
      <c r="AM79" s="48"/>
      <c r="AN79" s="48"/>
    </row>
    <row r="80" ht="15.75" hidden="1" customHeight="1">
      <c r="A80" s="5" t="s">
        <v>794</v>
      </c>
      <c r="B80" s="48" t="s">
        <v>90</v>
      </c>
      <c r="C80" s="566" t="s">
        <v>56</v>
      </c>
      <c r="D80" s="546"/>
      <c r="E80" s="48"/>
      <c r="F80" s="481" t="str">
        <f t="array" ref="F80">+INDEX('Budget original'!$A$2:$AO$501,MATCH($A80,'Budget original'!$A$2:$A$501,0),MATCH(F$2,'Budget original'!$A$2:$AO$2,0))</f>
        <v/>
      </c>
      <c r="G80" s="547"/>
      <c r="H80" s="48"/>
      <c r="I80" s="481"/>
      <c r="J80" s="480"/>
      <c r="K80" s="48"/>
      <c r="L80" s="484">
        <f>-SUMIFS(BV_Data_An_Cour!$AM:$AM,BV_Data_An_Cour!$AP:$AP,$B80,BV_Data_An_Cour!$AQ:$AQ,$C80,BV_Data_An_Cour!$AR:$AR,L$2)</f>
        <v>0</v>
      </c>
      <c r="M80" s="480"/>
      <c r="N80" s="484">
        <f t="shared" si="21"/>
        <v>0</v>
      </c>
      <c r="O80" s="480"/>
      <c r="P80" s="48"/>
      <c r="Q80" s="484">
        <f>-SUMIFS(BV_Data_An_Prec!$AM:$AM,BV_Data_An_Prec!$AP:$AP,$B80,BV_Data_An_Prec!$AQ:$AQ,$C80,BV_Data_An_Prec!$AR:$AR,Q$2)</f>
        <v>0</v>
      </c>
      <c r="R80" s="480"/>
      <c r="S80" s="484">
        <f t="shared" si="22"/>
        <v>0</v>
      </c>
      <c r="T80" s="40"/>
      <c r="U80" s="40"/>
      <c r="V80" s="48"/>
      <c r="W80" s="48"/>
      <c r="X80" s="48"/>
      <c r="Y80" s="48"/>
      <c r="Z80" s="48"/>
      <c r="AA80" s="48"/>
      <c r="AB80" s="48"/>
      <c r="AC80" s="48"/>
      <c r="AD80" s="48"/>
      <c r="AE80" s="48"/>
      <c r="AF80" s="48"/>
      <c r="AG80" s="48"/>
      <c r="AH80" s="48"/>
      <c r="AI80" s="48"/>
      <c r="AJ80" s="48"/>
      <c r="AK80" s="48"/>
      <c r="AL80" s="48"/>
      <c r="AM80" s="48"/>
      <c r="AN80" s="48"/>
    </row>
    <row r="81" ht="15.75" hidden="1" customHeight="1">
      <c r="A81" s="5" t="s">
        <v>794</v>
      </c>
      <c r="B81" s="48" t="s">
        <v>90</v>
      </c>
      <c r="C81" s="566" t="s">
        <v>56</v>
      </c>
      <c r="D81" s="546"/>
      <c r="E81" s="48"/>
      <c r="F81" s="481" t="str">
        <f t="array" ref="F81">+INDEX('Budget original'!$A$2:$AO$501,MATCH($A81,'Budget original'!$A$2:$A$501,0),MATCH(F$2,'Budget original'!$A$2:$AO$2,0))</f>
        <v/>
      </c>
      <c r="G81" s="547"/>
      <c r="H81" s="48"/>
      <c r="I81" s="481"/>
      <c r="J81" s="480"/>
      <c r="K81" s="48"/>
      <c r="L81" s="484">
        <f>-SUMIFS(BV_Data_An_Cour!$AM:$AM,BV_Data_An_Cour!$AP:$AP,$B81,BV_Data_An_Cour!$AQ:$AQ,$C81,BV_Data_An_Cour!$AR:$AR,L$2)</f>
        <v>0</v>
      </c>
      <c r="M81" s="480"/>
      <c r="N81" s="484">
        <f t="shared" si="21"/>
        <v>0</v>
      </c>
      <c r="O81" s="480"/>
      <c r="P81" s="48"/>
      <c r="Q81" s="484">
        <f>-SUMIFS(BV_Data_An_Prec!$AM:$AM,BV_Data_An_Prec!$AP:$AP,$B81,BV_Data_An_Prec!$AQ:$AQ,$C81,BV_Data_An_Prec!$AR:$AR,Q$2)</f>
        <v>0</v>
      </c>
      <c r="R81" s="480"/>
      <c r="S81" s="484">
        <f t="shared" si="22"/>
        <v>0</v>
      </c>
      <c r="T81" s="40"/>
      <c r="U81" s="40"/>
      <c r="V81" s="48"/>
      <c r="W81" s="48"/>
      <c r="X81" s="48"/>
      <c r="Y81" s="48"/>
      <c r="Z81" s="48"/>
      <c r="AA81" s="48"/>
      <c r="AB81" s="48"/>
      <c r="AC81" s="48"/>
      <c r="AD81" s="48"/>
      <c r="AE81" s="48"/>
      <c r="AF81" s="48"/>
      <c r="AG81" s="48"/>
      <c r="AH81" s="48"/>
      <c r="AI81" s="48"/>
      <c r="AJ81" s="48"/>
      <c r="AK81" s="48"/>
      <c r="AL81" s="48"/>
      <c r="AM81" s="48"/>
      <c r="AN81" s="48"/>
    </row>
    <row r="82" ht="15.75" customHeight="1">
      <c r="A82" s="5" t="s">
        <v>846</v>
      </c>
      <c r="B82" s="48" t="s">
        <v>90</v>
      </c>
      <c r="C82" s="480" t="s">
        <v>148</v>
      </c>
      <c r="D82" s="569" t="str">
        <f>E82/499</f>
        <v>#DIV/0!</v>
      </c>
      <c r="E82" s="567" t="str">
        <f>+F82/D24</f>
        <v>#DIV/0!</v>
      </c>
      <c r="F82" s="481" t="str">
        <f t="array" ref="F82">+INDEX('Budget original'!$A$2:$AO$501,MATCH($A82,'Budget original'!$A$2:$A$501,0),MATCH(F$2,'Budget original'!$A$2:$AO$2,0))</f>
        <v/>
      </c>
      <c r="G82" s="547"/>
      <c r="H82" s="48"/>
      <c r="I82" s="481"/>
      <c r="J82" s="570">
        <f>K82/699</f>
        <v>0.8807156698</v>
      </c>
      <c r="K82" s="567">
        <f>+L82/J24</f>
        <v>615.6202532</v>
      </c>
      <c r="L82" s="484">
        <f>-SUMIFS(BV_Data_An_Cour!$AM:$AM,BV_Data_An_Cour!$AP:$AP,$B82,BV_Data_An_Cour!$AQ:$AQ,$C82,BV_Data_An_Cour!$AR:$AR,L$2)</f>
        <v>48634</v>
      </c>
      <c r="M82" s="480"/>
      <c r="N82" s="484">
        <f t="shared" si="21"/>
        <v>48634</v>
      </c>
      <c r="O82" s="570">
        <f>P82/699</f>
        <v>0</v>
      </c>
      <c r="P82" s="567">
        <f>+Q82/O24</f>
        <v>0</v>
      </c>
      <c r="Q82" s="484">
        <f>-SUMIFS(BV_Data_An_Prec!$AM:$AM,BV_Data_An_Prec!$AP:$AP,$B82,BV_Data_An_Prec!$AQ:$AQ,$C82,BV_Data_An_Prec!$AR:$AR,Q$2)</f>
        <v>0</v>
      </c>
      <c r="R82" s="480"/>
      <c r="S82" s="484">
        <f t="shared" si="22"/>
        <v>48634</v>
      </c>
      <c r="T82" s="40"/>
      <c r="U82" s="40"/>
      <c r="V82" s="48"/>
      <c r="W82" s="48"/>
      <c r="X82" s="48"/>
      <c r="Y82" s="48"/>
      <c r="Z82" s="48"/>
      <c r="AA82" s="48"/>
      <c r="AB82" s="48"/>
      <c r="AC82" s="48"/>
      <c r="AD82" s="48"/>
      <c r="AE82" s="48"/>
      <c r="AF82" s="48"/>
      <c r="AG82" s="48"/>
      <c r="AH82" s="48"/>
      <c r="AI82" s="48"/>
      <c r="AJ82" s="48"/>
      <c r="AK82" s="48"/>
      <c r="AL82" s="48"/>
      <c r="AM82" s="48"/>
      <c r="AN82" s="48"/>
    </row>
    <row r="83" ht="18.0" customHeight="1">
      <c r="A83" s="5" t="s">
        <v>847</v>
      </c>
      <c r="B83" s="48" t="s">
        <v>90</v>
      </c>
      <c r="C83" s="552" t="s">
        <v>149</v>
      </c>
      <c r="D83" s="553"/>
      <c r="E83" s="554"/>
      <c r="F83" s="555">
        <f>+SUM(F75:F82)</f>
        <v>0</v>
      </c>
      <c r="G83" s="556"/>
      <c r="H83" s="554"/>
      <c r="I83" s="555"/>
      <c r="J83" s="556"/>
      <c r="K83" s="554"/>
      <c r="L83" s="555">
        <f>+SUM(L75:L82)</f>
        <v>94019.71</v>
      </c>
      <c r="M83" s="557"/>
      <c r="N83" s="555">
        <f>+SUM(N75:N82)</f>
        <v>94019.71</v>
      </c>
      <c r="O83" s="556"/>
      <c r="P83" s="554"/>
      <c r="Q83" s="555">
        <f>+SUM(Q75:Q82)</f>
        <v>26831.51</v>
      </c>
      <c r="R83" s="558"/>
      <c r="S83" s="555">
        <f>+SUM(S75:S82)</f>
        <v>67188.2</v>
      </c>
      <c r="T83" s="40"/>
      <c r="U83" s="40"/>
      <c r="V83" s="48"/>
      <c r="W83" s="48"/>
      <c r="X83" s="48"/>
      <c r="Y83" s="48"/>
      <c r="Z83" s="48"/>
      <c r="AA83" s="48"/>
      <c r="AB83" s="48"/>
      <c r="AC83" s="48"/>
      <c r="AD83" s="48"/>
      <c r="AE83" s="48"/>
      <c r="AF83" s="48"/>
      <c r="AG83" s="48"/>
      <c r="AH83" s="48"/>
      <c r="AI83" s="48"/>
      <c r="AJ83" s="48"/>
      <c r="AK83" s="48"/>
      <c r="AL83" s="48"/>
      <c r="AM83" s="48"/>
      <c r="AN83" s="48"/>
    </row>
    <row r="84" ht="15.75" customHeight="1">
      <c r="A84" s="5" t="s">
        <v>90</v>
      </c>
      <c r="B84" s="48" t="s">
        <v>90</v>
      </c>
      <c r="C84" s="571"/>
      <c r="D84" s="572"/>
      <c r="E84" s="573"/>
      <c r="F84" s="574"/>
      <c r="G84" s="575"/>
      <c r="H84" s="573"/>
      <c r="I84" s="574"/>
      <c r="J84" s="576"/>
      <c r="K84" s="577"/>
      <c r="L84" s="574"/>
      <c r="M84" s="576"/>
      <c r="N84" s="578"/>
      <c r="O84" s="576"/>
      <c r="P84" s="577"/>
      <c r="Q84" s="574"/>
      <c r="R84" s="576"/>
      <c r="S84" s="578"/>
      <c r="T84" s="40"/>
      <c r="U84" s="40"/>
      <c r="V84" s="48"/>
      <c r="W84" s="48"/>
      <c r="X84" s="48"/>
      <c r="Y84" s="48"/>
      <c r="Z84" s="48"/>
      <c r="AA84" s="48"/>
      <c r="AB84" s="48"/>
      <c r="AC84" s="48"/>
      <c r="AD84" s="48"/>
      <c r="AE84" s="48"/>
      <c r="AF84" s="48"/>
      <c r="AG84" s="48"/>
      <c r="AH84" s="48"/>
      <c r="AI84" s="48"/>
      <c r="AJ84" s="48"/>
      <c r="AK84" s="48"/>
      <c r="AL84" s="48"/>
      <c r="AM84" s="48"/>
      <c r="AN84" s="48"/>
    </row>
    <row r="85" ht="18.0" customHeight="1">
      <c r="A85" s="5" t="s">
        <v>848</v>
      </c>
      <c r="B85" s="48" t="s">
        <v>90</v>
      </c>
      <c r="C85" s="579" t="s">
        <v>150</v>
      </c>
      <c r="D85" s="580"/>
      <c r="E85" s="581"/>
      <c r="F85" s="582">
        <f>F27-F74+F83</f>
        <v>0</v>
      </c>
      <c r="G85" s="583"/>
      <c r="H85" s="581"/>
      <c r="I85" s="582"/>
      <c r="J85" s="583"/>
      <c r="K85" s="581"/>
      <c r="L85" s="582">
        <f>L27-L74+L83</f>
        <v>305793.7</v>
      </c>
      <c r="M85" s="584"/>
      <c r="N85" s="582">
        <f>N27-N41-N54-N72+N83</f>
        <v>305793.7</v>
      </c>
      <c r="O85" s="583"/>
      <c r="P85" s="581"/>
      <c r="Q85" s="582">
        <f>Q27-Q74+Q83</f>
        <v>360905.44</v>
      </c>
      <c r="R85" s="585"/>
      <c r="S85" s="582">
        <f>S27-S41-S54-S72+S83</f>
        <v>-55111.74</v>
      </c>
      <c r="T85" s="40"/>
      <c r="U85" s="40"/>
      <c r="V85" s="48"/>
      <c r="W85" s="48"/>
      <c r="X85" s="48"/>
      <c r="Y85" s="48"/>
      <c r="Z85" s="48"/>
      <c r="AA85" s="48"/>
      <c r="AB85" s="48"/>
      <c r="AC85" s="48"/>
      <c r="AD85" s="48"/>
      <c r="AE85" s="48"/>
      <c r="AF85" s="48"/>
      <c r="AG85" s="48"/>
      <c r="AH85" s="48"/>
      <c r="AI85" s="48"/>
      <c r="AJ85" s="48"/>
      <c r="AK85" s="48"/>
      <c r="AL85" s="48"/>
      <c r="AM85" s="48"/>
      <c r="AN85" s="48"/>
    </row>
    <row r="86" ht="15.75" customHeight="1">
      <c r="B86" s="110"/>
      <c r="C86" s="110"/>
      <c r="D86" s="110"/>
      <c r="E86" s="110"/>
      <c r="F86" s="110"/>
      <c r="G86" s="110"/>
      <c r="H86" s="110"/>
      <c r="I86" s="110"/>
      <c r="J86" s="586"/>
      <c r="K86" s="110"/>
      <c r="L86" s="587"/>
      <c r="M86" s="110"/>
      <c r="N86" s="110"/>
      <c r="O86" s="110"/>
      <c r="P86" s="110"/>
      <c r="Q86" s="588"/>
      <c r="R86" s="110"/>
      <c r="S86" s="110"/>
      <c r="T86" s="40"/>
      <c r="U86" s="40"/>
      <c r="V86" s="110"/>
      <c r="W86" s="110"/>
      <c r="X86" s="110"/>
      <c r="Y86" s="110"/>
      <c r="Z86" s="110"/>
      <c r="AA86" s="110"/>
      <c r="AB86" s="110"/>
      <c r="AC86" s="110"/>
      <c r="AD86" s="110"/>
      <c r="AE86" s="110"/>
      <c r="AF86" s="110"/>
      <c r="AG86" s="110"/>
      <c r="AH86" s="110"/>
      <c r="AI86" s="110"/>
      <c r="AJ86" s="110"/>
      <c r="AK86" s="110"/>
      <c r="AL86" s="110"/>
      <c r="AM86" s="110"/>
      <c r="AN86" s="110"/>
    </row>
    <row r="87" ht="12.75" customHeight="1">
      <c r="B87" s="110"/>
      <c r="C87" s="110"/>
      <c r="D87" s="110"/>
      <c r="E87" s="110"/>
      <c r="F87" s="110"/>
      <c r="G87" s="110"/>
      <c r="H87" s="110"/>
      <c r="I87" s="588"/>
      <c r="J87" s="110"/>
      <c r="K87" s="110"/>
      <c r="L87" s="110"/>
      <c r="M87" s="110"/>
      <c r="N87" s="110"/>
      <c r="O87" s="110"/>
      <c r="P87" s="110"/>
      <c r="Q87" s="110"/>
      <c r="R87" s="110"/>
      <c r="S87" s="110"/>
      <c r="T87" s="40"/>
      <c r="U87" s="40"/>
      <c r="V87" s="110"/>
      <c r="W87" s="110"/>
      <c r="X87" s="110"/>
      <c r="Y87" s="110"/>
      <c r="Z87" s="110"/>
      <c r="AA87" s="110"/>
      <c r="AB87" s="110"/>
      <c r="AC87" s="110"/>
      <c r="AD87" s="110"/>
      <c r="AE87" s="110"/>
      <c r="AF87" s="110"/>
      <c r="AG87" s="110"/>
      <c r="AH87" s="110"/>
      <c r="AI87" s="110"/>
      <c r="AJ87" s="110"/>
      <c r="AK87" s="110"/>
      <c r="AL87" s="110"/>
      <c r="AM87" s="110"/>
      <c r="AN87" s="110"/>
    </row>
    <row r="88" ht="15.0" hidden="1" customHeight="1">
      <c r="B88" s="3"/>
      <c r="C88" s="40"/>
      <c r="D88" s="40"/>
      <c r="E88" s="40"/>
      <c r="F88" s="40"/>
      <c r="G88" s="40"/>
      <c r="H88" s="40"/>
      <c r="I88" s="40"/>
      <c r="J88" s="40"/>
      <c r="K88" s="40"/>
      <c r="L88" s="40"/>
      <c r="M88" s="40"/>
      <c r="N88" s="40"/>
      <c r="O88" s="40"/>
      <c r="P88" s="40"/>
      <c r="Q88" s="40"/>
      <c r="R88" s="40"/>
      <c r="S88" s="40"/>
      <c r="T88" s="40"/>
      <c r="U88" s="40"/>
    </row>
    <row r="89" ht="33.0" customHeight="1">
      <c r="B89" s="38"/>
      <c r="C89" s="450" t="str">
        <f>C1</f>
        <v>Ste-Marie Auto</v>
      </c>
      <c r="D89" s="451"/>
      <c r="E89" s="452"/>
      <c r="F89" s="451"/>
      <c r="G89" s="451"/>
      <c r="H89" s="450"/>
      <c r="I89" s="451"/>
      <c r="J89" s="450"/>
      <c r="K89" s="453" t="s">
        <v>151</v>
      </c>
      <c r="L89" s="451"/>
      <c r="M89" s="451"/>
      <c r="N89" s="454"/>
      <c r="O89" s="450"/>
      <c r="P89" s="451"/>
      <c r="Q89" s="450"/>
      <c r="R89" s="451"/>
      <c r="S89" s="455" t="str">
        <f>$S$1</f>
        <v>Réalisé, Septembre 2026</v>
      </c>
      <c r="T89" s="457"/>
      <c r="U89" s="457"/>
      <c r="V89" s="38"/>
      <c r="W89" s="38"/>
      <c r="X89" s="38"/>
      <c r="Y89" s="38"/>
      <c r="Z89" s="38"/>
      <c r="AA89" s="38"/>
      <c r="AB89" s="38"/>
      <c r="AC89" s="38"/>
      <c r="AD89" s="38"/>
      <c r="AE89" s="38"/>
      <c r="AF89" s="38"/>
      <c r="AG89" s="38"/>
      <c r="AH89" s="38"/>
      <c r="AI89" s="38"/>
      <c r="AJ89" s="38"/>
      <c r="AK89" s="38"/>
      <c r="AL89" s="38"/>
      <c r="AM89" s="38"/>
      <c r="AN89" s="38"/>
    </row>
    <row r="90" ht="15.75" customHeight="1">
      <c r="B90" s="3"/>
      <c r="C90" s="39"/>
      <c r="D90" s="40"/>
      <c r="E90" s="40"/>
      <c r="F90" s="40"/>
      <c r="G90" s="40"/>
      <c r="H90" s="40"/>
      <c r="I90" s="40"/>
      <c r="J90" s="40"/>
      <c r="K90" s="40"/>
      <c r="L90" s="40"/>
      <c r="M90" s="40"/>
      <c r="N90" s="40"/>
      <c r="O90" s="40"/>
      <c r="P90" s="40"/>
      <c r="Q90" s="40"/>
      <c r="R90" s="40"/>
      <c r="S90" s="40"/>
      <c r="T90" s="40"/>
      <c r="U90" s="40"/>
    </row>
    <row r="91" ht="15.75" customHeight="1">
      <c r="B91" s="48"/>
      <c r="C91" s="461"/>
      <c r="D91" s="462" t="s">
        <v>774</v>
      </c>
      <c r="E91" s="44"/>
      <c r="F91" s="45"/>
      <c r="G91" s="463"/>
      <c r="H91" s="44"/>
      <c r="I91" s="45"/>
      <c r="J91" s="463" t="s">
        <v>775</v>
      </c>
      <c r="K91" s="44"/>
      <c r="L91" s="45"/>
      <c r="M91" s="463" t="s">
        <v>776</v>
      </c>
      <c r="N91" s="45"/>
      <c r="O91" s="462" t="s">
        <v>777</v>
      </c>
      <c r="P91" s="44"/>
      <c r="Q91" s="45"/>
      <c r="R91" s="463" t="s">
        <v>778</v>
      </c>
      <c r="S91" s="45"/>
      <c r="T91" s="40"/>
      <c r="U91" s="40"/>
      <c r="V91" s="48"/>
      <c r="W91" s="48"/>
      <c r="X91" s="48"/>
      <c r="Y91" s="48"/>
      <c r="Z91" s="48"/>
      <c r="AA91" s="48"/>
      <c r="AB91" s="48"/>
      <c r="AC91" s="48"/>
      <c r="AD91" s="48"/>
      <c r="AE91" s="48"/>
      <c r="AF91" s="48"/>
      <c r="AG91" s="48"/>
      <c r="AH91" s="48"/>
      <c r="AI91" s="48"/>
      <c r="AJ91" s="48"/>
      <c r="AK91" s="48"/>
      <c r="AL91" s="48"/>
      <c r="AM91" s="48"/>
      <c r="AN91" s="48"/>
    </row>
    <row r="92" ht="15.75" customHeight="1">
      <c r="B92" s="48"/>
      <c r="C92" s="480"/>
      <c r="D92" s="467" t="s">
        <v>93</v>
      </c>
      <c r="E92" s="468" t="s">
        <v>780</v>
      </c>
      <c r="F92" s="469" t="s">
        <v>95</v>
      </c>
      <c r="G92" s="470"/>
      <c r="H92" s="468"/>
      <c r="I92" s="469"/>
      <c r="J92" s="470" t="s">
        <v>781</v>
      </c>
      <c r="K92" s="468" t="s">
        <v>94</v>
      </c>
      <c r="L92" s="469" t="s">
        <v>95</v>
      </c>
      <c r="M92" s="470" t="s">
        <v>781</v>
      </c>
      <c r="N92" s="469" t="s">
        <v>95</v>
      </c>
      <c r="O92" s="468" t="s">
        <v>93</v>
      </c>
      <c r="P92" s="468" t="s">
        <v>780</v>
      </c>
      <c r="Q92" s="469" t="s">
        <v>95</v>
      </c>
      <c r="R92" s="470" t="s">
        <v>781</v>
      </c>
      <c r="S92" s="469" t="s">
        <v>95</v>
      </c>
      <c r="T92" s="40"/>
      <c r="U92" s="40"/>
      <c r="V92" s="48"/>
      <c r="W92" s="48"/>
      <c r="X92" s="48"/>
      <c r="Y92" s="48"/>
      <c r="Z92" s="48"/>
      <c r="AA92" s="48"/>
      <c r="AB92" s="48"/>
      <c r="AC92" s="48"/>
      <c r="AD92" s="48"/>
      <c r="AE92" s="48"/>
      <c r="AF92" s="48"/>
      <c r="AG92" s="48"/>
      <c r="AH92" s="48"/>
      <c r="AI92" s="48"/>
      <c r="AJ92" s="48"/>
      <c r="AK92" s="48"/>
      <c r="AL92" s="48"/>
      <c r="AM92" s="48"/>
      <c r="AN92" s="48"/>
    </row>
    <row r="93" ht="24.0" customHeight="1">
      <c r="A93" s="5" t="s">
        <v>849</v>
      </c>
      <c r="B93" s="48" t="s">
        <v>151</v>
      </c>
      <c r="C93" s="471" t="s">
        <v>96</v>
      </c>
      <c r="D93" s="475"/>
      <c r="E93" s="475"/>
      <c r="F93" s="473" t="str">
        <f t="array" ref="F93">+INDEX('Budget original'!$A$2:$AO$501,MATCH($A93,'Budget original'!$A$2:$A$501,0),MATCH(F$2,'Budget original'!$A$2:$AO$2,0))</f>
        <v/>
      </c>
      <c r="G93" s="512"/>
      <c r="H93" s="475"/>
      <c r="I93" s="473"/>
      <c r="J93" s="471"/>
      <c r="K93" s="513"/>
      <c r="L93" s="476">
        <f>-SUMIFS(BV_Data_An_Cour!$AM:$AM,BV_Data_An_Cour!$AS:$AS,"Oui",BV_Data_An_Cour!$AP:$AP,$B93)</f>
        <v>1404490.23</v>
      </c>
      <c r="M93" s="589"/>
      <c r="N93" s="590"/>
      <c r="O93" s="471"/>
      <c r="P93" s="513"/>
      <c r="Q93" s="476">
        <f>-SUMIFS(BV_Data_An_Prec!$AM:$AM,BV_Data_An_Prec!$AS:$AS,"Oui",BV_Data_An_Prec!$AP:$AP,$B93)</f>
        <v>2798079.14</v>
      </c>
      <c r="R93" s="591"/>
      <c r="S93" s="479"/>
      <c r="T93" s="40"/>
      <c r="U93" s="40"/>
      <c r="V93" s="48"/>
      <c r="W93" s="48"/>
      <c r="X93" s="48"/>
      <c r="Y93" s="48"/>
      <c r="Z93" s="48"/>
      <c r="AA93" s="48"/>
      <c r="AB93" s="48"/>
      <c r="AC93" s="48"/>
      <c r="AD93" s="48"/>
      <c r="AE93" s="48"/>
      <c r="AF93" s="48"/>
      <c r="AG93" s="48"/>
      <c r="AH93" s="48"/>
      <c r="AI93" s="48"/>
      <c r="AJ93" s="48"/>
      <c r="AK93" s="48"/>
      <c r="AL93" s="48"/>
      <c r="AM93" s="48"/>
      <c r="AN93" s="48"/>
    </row>
    <row r="94" ht="21.75" customHeight="1">
      <c r="A94" s="5" t="s">
        <v>850</v>
      </c>
      <c r="B94" s="48" t="s">
        <v>151</v>
      </c>
      <c r="C94" s="480" t="s">
        <v>152</v>
      </c>
      <c r="D94" s="481" t="str">
        <f t="array" ref="D94">+INDEX('Budget original'!$A$2:$AO$501,MATCH($A94,'Budget original'!$A$2:$A$501,0),MATCH(D$2,'Budget original'!$A$2:$AO$2,0))</f>
        <v/>
      </c>
      <c r="E94" s="481">
        <f t="shared" ref="E94:E98" si="23">IF(D94=0,0,F94/D94)</f>
        <v>0</v>
      </c>
      <c r="F94" s="481" t="str">
        <f t="array" ref="F94">+INDEX('Budget original'!$A$2:$AO$501,MATCH($A94,'Budget original'!$A$2:$A$501,0),MATCH(F$2,'Budget original'!$A$2:$AO$2,0))</f>
        <v/>
      </c>
      <c r="G94" s="482"/>
      <c r="H94" s="481"/>
      <c r="I94" s="481"/>
      <c r="J94" s="482">
        <f>SUMIFS(BV_Data_An_Cour!$AW:$AW,BV_Data_An_Cour!$AP:$AP,$B94,BV_Data_An_Cour!$AQ:$AQ,$C94,BV_Data_An_Cour!$AY:$AY,J$2)</f>
        <v>0</v>
      </c>
      <c r="K94" s="483">
        <f t="shared" ref="K94:K96" si="24">IF(J94=0,0,L94/J94)</f>
        <v>0</v>
      </c>
      <c r="L94" s="484">
        <f>-SUMIFS(BV_Data_An_Cour!$AM:$AM,BV_Data_An_Cour!$AP:$AP,$B94,BV_Data_An_Cour!$AQ:$AQ,$C94,BV_Data_An_Cour!$AR:$AR,$L2)</f>
        <v>0</v>
      </c>
      <c r="M94" s="482">
        <f t="shared" ref="M94:M97" si="25">J94-D94</f>
        <v>0</v>
      </c>
      <c r="N94" s="485">
        <f t="shared" ref="N94:N97" si="26">L94-F94</f>
        <v>0</v>
      </c>
      <c r="O94" s="482">
        <f>SUMIFS(BV_Data_An_Prec!$AW:$AW,BV_Data_An_Prec!$AP:$AP,$B94,BV_Data_An_Prec!$AQ:$AQ,$C94,BV_Data_An_Prec!$AY:$AY,O$2)</f>
        <v>0</v>
      </c>
      <c r="P94" s="483">
        <f t="shared" ref="P94:P96" si="27">IF(O94=0,0,Q94/O94)</f>
        <v>0</v>
      </c>
      <c r="Q94" s="484">
        <f>-SUMIFS(BV_Data_An_Prec!$AM:$AM,BV_Data_An_Prec!$AP:$AP,$B94,BV_Data_An_Prec!$AQ:$AQ,$C94,BV_Data_An_Prec!$AR:$AR,$L2)</f>
        <v>0</v>
      </c>
      <c r="R94" s="482">
        <f t="shared" ref="R94:R96" si="28">J94-O94</f>
        <v>0</v>
      </c>
      <c r="S94" s="484">
        <f t="shared" ref="S94:S96" si="29">L94-Q94</f>
        <v>0</v>
      </c>
      <c r="T94" s="40"/>
      <c r="U94" s="40"/>
      <c r="V94" s="48"/>
      <c r="W94" s="48"/>
      <c r="X94" s="48"/>
      <c r="Y94" s="48"/>
      <c r="Z94" s="48"/>
      <c r="AA94" s="48"/>
      <c r="AB94" s="48"/>
      <c r="AC94" s="48"/>
      <c r="AD94" s="48"/>
      <c r="AE94" s="48"/>
      <c r="AF94" s="48"/>
      <c r="AG94" s="48"/>
      <c r="AH94" s="48"/>
      <c r="AI94" s="48"/>
      <c r="AJ94" s="48"/>
      <c r="AK94" s="48"/>
      <c r="AL94" s="48"/>
      <c r="AM94" s="48"/>
      <c r="AN94" s="48"/>
    </row>
    <row r="95" ht="18.75" customHeight="1">
      <c r="A95" s="5" t="s">
        <v>851</v>
      </c>
      <c r="B95" s="48" t="s">
        <v>151</v>
      </c>
      <c r="C95" s="480" t="s">
        <v>153</v>
      </c>
      <c r="D95" s="481" t="str">
        <f t="array" ref="D95">+INDEX('Budget original'!$A$2:$AO$501,MATCH($A95,'Budget original'!$A$2:$A$501,0),MATCH(D$2,'Budget original'!$A$2:$AO$2,0))</f>
        <v/>
      </c>
      <c r="E95" s="481">
        <f t="shared" si="23"/>
        <v>0</v>
      </c>
      <c r="F95" s="481" t="str">
        <f t="array" ref="F95">+INDEX('Budget original'!$A$2:$AO$501,MATCH($A95,'Budget original'!$A$2:$A$501,0),MATCH(F$2,'Budget original'!$A$2:$AO$2,0))</f>
        <v/>
      </c>
      <c r="G95" s="482"/>
      <c r="H95" s="481"/>
      <c r="I95" s="481"/>
      <c r="J95" s="482">
        <f>SUMIFS(BV_Data_An_Cour!$AW:$AW,BV_Data_An_Cour!$AP:$AP,$B95,BV_Data_An_Cour!$AQ:$AQ,$C95,BV_Data_An_Cour!$AY:$AY,J$2)</f>
        <v>22</v>
      </c>
      <c r="K95" s="483">
        <f t="shared" si="24"/>
        <v>1635.443182</v>
      </c>
      <c r="L95" s="484">
        <f>-SUMIFS(BV_Data_An_Cour!$AM:$AM,BV_Data_An_Cour!$AP:$AP,$B95,BV_Data_An_Cour!$AQ:$AQ,$C95,BV_Data_An_Cour!$AR:$AR,$L2)</f>
        <v>35979.75</v>
      </c>
      <c r="M95" s="482">
        <f t="shared" si="25"/>
        <v>22</v>
      </c>
      <c r="N95" s="485">
        <f t="shared" si="26"/>
        <v>35979.75</v>
      </c>
      <c r="O95" s="482">
        <f>SUMIFS(BV_Data_An_Prec!$AW:$AW,BV_Data_An_Prec!$AP:$AP,$B95,BV_Data_An_Prec!$AQ:$AQ,$C95,BV_Data_An_Prec!$AY:$AY,O$2)</f>
        <v>14</v>
      </c>
      <c r="P95" s="483">
        <f t="shared" si="27"/>
        <v>262.2285714</v>
      </c>
      <c r="Q95" s="484">
        <f>-SUMIFS(BV_Data_An_Prec!$AM:$AM,BV_Data_An_Prec!$AP:$AP,$B95,BV_Data_An_Prec!$AQ:$AQ,$C95,BV_Data_An_Prec!$AR:$AR,$L2)</f>
        <v>3671.2</v>
      </c>
      <c r="R95" s="482">
        <f t="shared" si="28"/>
        <v>8</v>
      </c>
      <c r="S95" s="484">
        <f t="shared" si="29"/>
        <v>32308.55</v>
      </c>
      <c r="T95" s="40"/>
      <c r="U95" s="40" t="s">
        <v>793</v>
      </c>
      <c r="V95" s="48"/>
      <c r="W95" s="48"/>
      <c r="X95" s="48"/>
      <c r="Y95" s="48"/>
      <c r="Z95" s="48"/>
      <c r="AA95" s="48"/>
      <c r="AB95" s="48"/>
      <c r="AC95" s="48"/>
      <c r="AD95" s="48"/>
      <c r="AE95" s="48"/>
      <c r="AF95" s="48"/>
      <c r="AG95" s="48"/>
      <c r="AH95" s="48"/>
      <c r="AI95" s="48"/>
      <c r="AJ95" s="48"/>
      <c r="AK95" s="48"/>
      <c r="AL95" s="48"/>
      <c r="AM95" s="48"/>
      <c r="AN95" s="48"/>
    </row>
    <row r="96" ht="18.75" customHeight="1">
      <c r="A96" s="5" t="str">
        <f t="shared" ref="A96:A100" si="30">B96&amp;C96</f>
        <v>Véhicules usagésAutres Marques</v>
      </c>
      <c r="B96" s="48" t="s">
        <v>151</v>
      </c>
      <c r="C96" s="480" t="s">
        <v>154</v>
      </c>
      <c r="D96" s="481" t="str">
        <f t="array" ref="D96">+INDEX('Budget original'!$A$2:$AO$501,MATCH($A96,'Budget original'!$A$2:$A$501,0),MATCH(D$2,'Budget original'!$A$2:$AO$2,0))</f>
        <v/>
      </c>
      <c r="E96" s="475">
        <f t="shared" si="23"/>
        <v>0</v>
      </c>
      <c r="F96" s="481" t="str">
        <f t="array" ref="F96">+INDEX('Budget original'!$A$2:$AO$501,MATCH($A96,'Budget original'!$A$2:$A$501,0),MATCH(F$2,'Budget original'!$A$2:$AO$2,0))</f>
        <v/>
      </c>
      <c r="G96" s="482"/>
      <c r="H96" s="481"/>
      <c r="I96" s="481"/>
      <c r="J96" s="482">
        <f>SUMIFS(BV_Data_An_Cour!$AW:$AW,BV_Data_An_Cour!$AP:$AP,$B96,BV_Data_An_Cour!$AQ:$AQ,$C96,BV_Data_An_Cour!$AY:$AY,J$2)</f>
        <v>0</v>
      </c>
      <c r="K96" s="513">
        <f t="shared" si="24"/>
        <v>0</v>
      </c>
      <c r="L96" s="484">
        <f>-SUMIFS(BV_Data_An_Cour!$AM:$AM,BV_Data_An_Cour!$AP:$AP,$B96,BV_Data_An_Cour!$AQ:$AQ,$C96,BV_Data_An_Cour!$AR:$AR,$L2)</f>
        <v>0</v>
      </c>
      <c r="M96" s="482">
        <f t="shared" si="25"/>
        <v>0</v>
      </c>
      <c r="N96" s="485">
        <f t="shared" si="26"/>
        <v>0</v>
      </c>
      <c r="O96" s="482">
        <f>SUMIFS(BV_Data_An_Prec!$AW:$AW,BV_Data_An_Prec!$AP:$AP,$B96,BV_Data_An_Prec!$AQ:$AQ,$C96,BV_Data_An_Prec!$AY:$AY,O$2)</f>
        <v>0</v>
      </c>
      <c r="P96" s="513">
        <f t="shared" si="27"/>
        <v>0</v>
      </c>
      <c r="Q96" s="484">
        <f>-SUMIFS(BV_Data_An_Prec!$AM:$AM,BV_Data_An_Prec!$AP:$AP,$B96,BV_Data_An_Prec!$AQ:$AQ,$C96,BV_Data_An_Prec!$AR:$AR,$L2)</f>
        <v>0</v>
      </c>
      <c r="R96" s="482">
        <f t="shared" si="28"/>
        <v>0</v>
      </c>
      <c r="S96" s="484">
        <f t="shared" si="29"/>
        <v>0</v>
      </c>
      <c r="T96" s="40"/>
      <c r="U96" s="40"/>
      <c r="V96" s="48"/>
      <c r="W96" s="48"/>
      <c r="X96" s="48"/>
      <c r="Y96" s="48"/>
      <c r="Z96" s="48"/>
      <c r="AA96" s="48"/>
      <c r="AB96" s="48"/>
      <c r="AC96" s="48"/>
      <c r="AD96" s="48"/>
      <c r="AE96" s="48"/>
      <c r="AF96" s="48"/>
      <c r="AG96" s="48"/>
      <c r="AH96" s="48"/>
      <c r="AI96" s="48"/>
      <c r="AJ96" s="48"/>
      <c r="AK96" s="48"/>
      <c r="AL96" s="48"/>
      <c r="AM96" s="48"/>
      <c r="AN96" s="48"/>
    </row>
    <row r="97" ht="15.75" customHeight="1">
      <c r="A97" s="5" t="str">
        <f t="shared" si="30"/>
        <v>Véhicules usagésTotal Usagés</v>
      </c>
      <c r="B97" s="48" t="s">
        <v>151</v>
      </c>
      <c r="C97" s="490" t="s">
        <v>155</v>
      </c>
      <c r="D97" s="491">
        <f>+D95+D94+D96</f>
        <v>0</v>
      </c>
      <c r="E97" s="501">
        <f t="shared" si="23"/>
        <v>0</v>
      </c>
      <c r="F97" s="492">
        <f>+F94+F95+F96</f>
        <v>0</v>
      </c>
      <c r="G97" s="493"/>
      <c r="H97" s="491"/>
      <c r="I97" s="492"/>
      <c r="J97" s="494">
        <f>+J94+J95+J96</f>
        <v>22</v>
      </c>
      <c r="K97" s="503">
        <f>IF(J97&lt;=0,0,L97/J97)</f>
        <v>1635.443182</v>
      </c>
      <c r="L97" s="592">
        <f>+L94+L95+L96</f>
        <v>35979.75</v>
      </c>
      <c r="M97" s="493">
        <f t="shared" si="25"/>
        <v>22</v>
      </c>
      <c r="N97" s="492">
        <f t="shared" si="26"/>
        <v>35979.75</v>
      </c>
      <c r="O97" s="491">
        <f>+O94+O95+O96</f>
        <v>14</v>
      </c>
      <c r="P97" s="503">
        <f>IF(O97&lt;=0,0,Q97/O97)</f>
        <v>262.2285714</v>
      </c>
      <c r="Q97" s="497">
        <f>+Q94+Q95+Q96</f>
        <v>3671.2</v>
      </c>
      <c r="R97" s="493">
        <f t="shared" ref="R97:S97" si="31">R94+R95</f>
        <v>8</v>
      </c>
      <c r="S97" s="497">
        <f t="shared" si="31"/>
        <v>32308.55</v>
      </c>
      <c r="T97" s="40">
        <v>22.0</v>
      </c>
      <c r="U97" s="498">
        <v>35980.0</v>
      </c>
      <c r="V97" s="499">
        <f>L97-U97</f>
        <v>-0.2500000001</v>
      </c>
      <c r="W97" s="48"/>
      <c r="X97" s="48"/>
      <c r="Y97" s="48"/>
      <c r="Z97" s="48"/>
      <c r="AA97" s="48"/>
      <c r="AB97" s="48"/>
      <c r="AC97" s="483"/>
      <c r="AD97" s="483"/>
      <c r="AE97" s="48"/>
      <c r="AF97" s="483"/>
      <c r="AG97" s="48"/>
      <c r="AH97" s="48"/>
      <c r="AI97" s="48"/>
      <c r="AJ97" s="48"/>
      <c r="AK97" s="48"/>
      <c r="AL97" s="48"/>
      <c r="AM97" s="48"/>
      <c r="AN97" s="48"/>
    </row>
    <row r="98" ht="15.75" customHeight="1">
      <c r="A98" s="5" t="str">
        <f t="shared" si="30"/>
        <v>Véhicules usagés</v>
      </c>
      <c r="B98" s="48" t="s">
        <v>151</v>
      </c>
      <c r="C98" s="500"/>
      <c r="D98" s="11"/>
      <c r="E98" s="501">
        <f t="shared" si="23"/>
        <v>0</v>
      </c>
      <c r="F98" s="502"/>
      <c r="G98" s="500"/>
      <c r="H98" s="11"/>
      <c r="I98" s="502"/>
      <c r="J98" s="500"/>
      <c r="K98" s="503"/>
      <c r="L98" s="504"/>
      <c r="M98" s="593"/>
      <c r="N98" s="594"/>
      <c r="O98" s="500"/>
      <c r="P98" s="503"/>
      <c r="Q98" s="504"/>
      <c r="R98" s="505">
        <f>R97/O97</f>
        <v>0.5714285714</v>
      </c>
      <c r="S98" s="507">
        <f>IF(Q97=0,0,(S97/Q97))</f>
        <v>8.800542057</v>
      </c>
      <c r="T98" s="40"/>
      <c r="U98" s="498"/>
      <c r="V98" s="499"/>
      <c r="W98" s="48"/>
      <c r="X98" s="48"/>
      <c r="Y98" s="48"/>
      <c r="Z98" s="48"/>
      <c r="AA98" s="48"/>
      <c r="AB98" s="48"/>
      <c r="AC98" s="48"/>
      <c r="AD98" s="48"/>
      <c r="AE98" s="48"/>
      <c r="AF98" s="48"/>
      <c r="AG98" s="48"/>
      <c r="AH98" s="48"/>
      <c r="AI98" s="48"/>
      <c r="AJ98" s="48"/>
      <c r="AK98" s="48"/>
      <c r="AL98" s="48"/>
      <c r="AM98" s="48"/>
      <c r="AN98" s="48"/>
    </row>
    <row r="99" ht="15.75" customHeight="1">
      <c r="A99" s="5" t="str">
        <f t="shared" si="30"/>
        <v>Véhicules usagésRachat bail</v>
      </c>
      <c r="B99" s="48" t="s">
        <v>151</v>
      </c>
      <c r="C99" s="500" t="s">
        <v>104</v>
      </c>
      <c r="D99" s="481"/>
      <c r="E99" s="481"/>
      <c r="F99" s="481"/>
      <c r="G99" s="482"/>
      <c r="H99" s="481"/>
      <c r="I99" s="481"/>
      <c r="J99" s="482"/>
      <c r="K99" s="483">
        <f>IF(J99=0,0,L99/J99)</f>
        <v>0</v>
      </c>
      <c r="L99" s="484">
        <f>-SUMIFS(BV_Data_An_Cour!$AM:$AM,BV_Data_An_Cour!$AP:$AP,$B99,BV_Data_An_Cour!$AQ:$AQ,$C99,BV_Data_An_Cour!$AR:$AR,L$2)</f>
        <v>0</v>
      </c>
      <c r="M99" s="482">
        <f>J99-D99</f>
        <v>0</v>
      </c>
      <c r="N99" s="485">
        <f>L99-F99</f>
        <v>0</v>
      </c>
      <c r="O99" s="482"/>
      <c r="P99" s="483">
        <f>IF(O99=0,0,Q99/O99)</f>
        <v>0</v>
      </c>
      <c r="Q99" s="484">
        <f>-SUMIFS(BV_Data_An_Prec!$AM:$AM,BV_Data_An_Prec!$AP:$AP,$B99,BV_Data_An_Prec!$AQ:$AQ,$C99,BV_Data_An_Prec!$AR:$AR,Q$2)</f>
        <v>0</v>
      </c>
      <c r="R99" s="482">
        <f>J99-O99</f>
        <v>0</v>
      </c>
      <c r="S99" s="484">
        <f>L99-Q99</f>
        <v>0</v>
      </c>
      <c r="T99" s="40"/>
      <c r="U99" s="498"/>
      <c r="V99" s="499"/>
      <c r="W99" s="48"/>
      <c r="X99" s="48"/>
      <c r="Y99" s="48"/>
      <c r="Z99" s="48"/>
      <c r="AA99" s="48"/>
      <c r="AB99" s="48"/>
      <c r="AC99" s="48"/>
      <c r="AD99" s="48"/>
      <c r="AE99" s="48"/>
      <c r="AF99" s="48"/>
      <c r="AG99" s="48"/>
      <c r="AH99" s="48"/>
      <c r="AI99" s="48"/>
      <c r="AJ99" s="48"/>
      <c r="AK99" s="48"/>
      <c r="AL99" s="48"/>
      <c r="AM99" s="48"/>
      <c r="AN99" s="48"/>
    </row>
    <row r="100" ht="15.75" customHeight="1">
      <c r="A100" s="5" t="str">
        <f t="shared" si="30"/>
        <v>Véhicules usagés</v>
      </c>
      <c r="B100" s="48" t="s">
        <v>151</v>
      </c>
      <c r="C100" s="500"/>
      <c r="D100" s="481"/>
      <c r="E100" s="481"/>
      <c r="F100" s="481"/>
      <c r="G100" s="482"/>
      <c r="H100" s="481"/>
      <c r="I100" s="481"/>
      <c r="J100" s="482"/>
      <c r="K100" s="483"/>
      <c r="L100" s="484"/>
      <c r="M100" s="482"/>
      <c r="N100" s="485"/>
      <c r="O100" s="482"/>
      <c r="P100" s="483"/>
      <c r="Q100" s="484"/>
      <c r="R100" s="482"/>
      <c r="S100" s="484"/>
      <c r="T100" s="40"/>
      <c r="U100" s="498"/>
      <c r="V100" s="499"/>
      <c r="W100" s="481"/>
      <c r="X100" s="481"/>
      <c r="Y100" s="48"/>
      <c r="Z100" s="48"/>
      <c r="AA100" s="48"/>
      <c r="AB100" s="48"/>
      <c r="AC100" s="48"/>
      <c r="AD100" s="48"/>
      <c r="AE100" s="48"/>
      <c r="AF100" s="48"/>
      <c r="AG100" s="48"/>
      <c r="AH100" s="48"/>
      <c r="AI100" s="48"/>
      <c r="AJ100" s="48"/>
      <c r="AK100" s="48"/>
      <c r="AL100" s="48"/>
      <c r="AM100" s="48"/>
      <c r="AN100" s="48"/>
    </row>
    <row r="101" ht="15.75" customHeight="1">
      <c r="A101" s="5" t="s">
        <v>852</v>
      </c>
      <c r="B101" s="48" t="s">
        <v>151</v>
      </c>
      <c r="C101" s="500" t="s">
        <v>156</v>
      </c>
      <c r="D101" s="481" t="str">
        <f t="array" ref="D101">+INDEX('Budget original'!$A$2:$AO$501,MATCH($A101,'Budget original'!$A$2:$A$501,0),MATCH(D$2,'Budget original'!$A$2:$AO$2,0))</f>
        <v/>
      </c>
      <c r="E101" s="481">
        <f>IF(D101=0,0,F101/D101)</f>
        <v>0</v>
      </c>
      <c r="F101" s="481" t="str">
        <f t="array" ref="F101">+INDEX('Budget original'!$A$2:$AO$501,MATCH($A101,'Budget original'!$A$2:$A$501,0),MATCH(F$2,'Budget original'!$A$2:$AO$2,0))</f>
        <v/>
      </c>
      <c r="G101" s="482"/>
      <c r="H101" s="481"/>
      <c r="I101" s="481"/>
      <c r="J101" s="595">
        <f>SUMIFS(BV_Data_An_Cour!$AW:$AW,BV_Data_An_Cour!$AP:$AP,$B101,BV_Data_An_Cour!$AQ:$AQ,$C101,BV_Data_An_Cour!$AY:$AY,J$2)</f>
        <v>23</v>
      </c>
      <c r="K101" s="483">
        <f>IF(J101=0,0,L101/J101)</f>
        <v>-126.6069565</v>
      </c>
      <c r="L101" s="596">
        <f>-SUMIFS(BV_Data_An_Cour!$AM:$AM,BV_Data_An_Cour!$AP:$AP,$B101,BV_Data_An_Cour!$AQ:$AQ,$C101,BV_Data_An_Cour!$AR:$AR,L$2)</f>
        <v>-2911.96</v>
      </c>
      <c r="M101" s="482">
        <f>J101-D101</f>
        <v>23</v>
      </c>
      <c r="N101" s="485">
        <f>L101-F101</f>
        <v>-2911.96</v>
      </c>
      <c r="O101" s="482">
        <f>SUMIFS(BV_Data_An_Prec!$AW:$AW,BV_Data_An_Prec!$AP:$AP,$B101,BV_Data_An_Prec!$AQ:$AQ,$C101,BV_Data_An_Prec!$AY:$AY,O$2)</f>
        <v>65</v>
      </c>
      <c r="P101" s="483">
        <f>IF(O101=0,0,Q101/O101)</f>
        <v>1596.983231</v>
      </c>
      <c r="Q101" s="484">
        <f>-SUMIFS(BV_Data_An_Prec!$AM:$AM,BV_Data_An_Prec!$AP:$AP,$B101,BV_Data_An_Prec!$AQ:$AQ,$C101,BV_Data_An_Prec!$AR:$AR,Q$2)</f>
        <v>103803.91</v>
      </c>
      <c r="R101" s="486">
        <f>J101-O101</f>
        <v>-42</v>
      </c>
      <c r="S101" s="484">
        <f>L101-Q101</f>
        <v>-106715.87</v>
      </c>
      <c r="T101" s="40">
        <v>23.0</v>
      </c>
      <c r="U101" s="498">
        <v>-2912.0</v>
      </c>
      <c r="V101" s="499">
        <f>L101-U101</f>
        <v>0.04000000004</v>
      </c>
      <c r="W101" s="48"/>
      <c r="X101" s="48"/>
      <c r="Y101" s="48"/>
      <c r="Z101" s="48"/>
      <c r="AA101" s="48"/>
      <c r="AB101" s="48"/>
      <c r="AC101" s="483"/>
      <c r="AD101" s="48"/>
      <c r="AE101" s="48"/>
      <c r="AF101" s="597"/>
      <c r="AG101" s="48"/>
      <c r="AH101" s="48"/>
      <c r="AI101" s="48"/>
      <c r="AJ101" s="48"/>
      <c r="AK101" s="48"/>
      <c r="AL101" s="48"/>
      <c r="AM101" s="48"/>
      <c r="AN101" s="48"/>
    </row>
    <row r="102" ht="15.75" customHeight="1">
      <c r="A102" s="5" t="s">
        <v>151</v>
      </c>
      <c r="B102" s="48" t="s">
        <v>151</v>
      </c>
      <c r="C102" s="471"/>
      <c r="D102" s="475"/>
      <c r="E102" s="475"/>
      <c r="F102" s="473"/>
      <c r="G102" s="512"/>
      <c r="H102" s="475"/>
      <c r="I102" s="473"/>
      <c r="J102" s="512"/>
      <c r="K102" s="513"/>
      <c r="L102" s="476"/>
      <c r="M102" s="511"/>
      <c r="N102" s="510"/>
      <c r="O102" s="512"/>
      <c r="P102" s="513"/>
      <c r="Q102" s="476"/>
      <c r="R102" s="511"/>
      <c r="S102" s="598"/>
      <c r="T102" s="40"/>
      <c r="U102" s="498"/>
      <c r="V102" s="499"/>
      <c r="W102" s="481"/>
      <c r="X102" s="48"/>
      <c r="Y102" s="48"/>
      <c r="Z102" s="48"/>
      <c r="AA102" s="48"/>
      <c r="AB102" s="48"/>
      <c r="AC102" s="48"/>
      <c r="AD102" s="48"/>
      <c r="AE102" s="48"/>
      <c r="AF102" s="597"/>
      <c r="AG102" s="48"/>
      <c r="AH102" s="48"/>
      <c r="AI102" s="48"/>
      <c r="AJ102" s="48"/>
      <c r="AK102" s="48"/>
      <c r="AL102" s="48"/>
      <c r="AM102" s="48"/>
      <c r="AN102" s="48"/>
    </row>
    <row r="103" ht="15.75" customHeight="1">
      <c r="A103" s="5" t="s">
        <v>853</v>
      </c>
      <c r="B103" s="48" t="s">
        <v>151</v>
      </c>
      <c r="C103" s="480" t="s">
        <v>105</v>
      </c>
      <c r="D103" s="481" t="str">
        <f t="array" ref="D103">+INDEX('Budget original'!$A$2:$AO$501,MATCH($A103,'Budget original'!$A$2:$A$501,0),MATCH(D$2,'Budget original'!$A$2:$AO$2,0))</f>
        <v/>
      </c>
      <c r="E103" s="481">
        <f t="shared" ref="E103:E106" si="32">IF(D103=0,0,F103/D103)</f>
        <v>0</v>
      </c>
      <c r="F103" s="485" t="str">
        <f t="array" ref="F103">+INDEX('Budget original'!$A$2:$AO$501,MATCH($A103,'Budget original'!$A$2:$A$501,0),MATCH(F$2,'Budget original'!$A$2:$AO$2,0))</f>
        <v/>
      </c>
      <c r="G103" s="482"/>
      <c r="H103" s="481"/>
      <c r="I103" s="481"/>
      <c r="J103" s="482"/>
      <c r="K103" s="483">
        <f>IF(J97=0,0,L103/J97)</f>
        <v>193.4836364</v>
      </c>
      <c r="L103" s="484">
        <f>-SUMIFS(BV_Data_An_Cour!$AM:$AM,BV_Data_An_Cour!$AP:$AP,$B103,BV_Data_An_Cour!$AQ:$AQ,$C103,BV_Data_An_Cour!$AR:$AR,$L2)</f>
        <v>4256.64</v>
      </c>
      <c r="M103" s="482"/>
      <c r="N103" s="485">
        <f t="shared" ref="N103:N106" si="33">L103-F103</f>
        <v>4256.64</v>
      </c>
      <c r="O103" s="482"/>
      <c r="P103" s="483">
        <f>IF(O97=0,0,Q103/O97)</f>
        <v>331.5992857</v>
      </c>
      <c r="Q103" s="484">
        <f>-SUMIFS(BV_Data_An_Prec!$AM:$AM,BV_Data_An_Prec!$AP:$AP,$B103,BV_Data_An_Prec!$AQ:$AQ,$C103,BV_Data_An_Prec!$AR:$AR,$L2)</f>
        <v>4642.39</v>
      </c>
      <c r="R103" s="486">
        <f t="shared" ref="R103:R106" si="34">P103-K103</f>
        <v>138.1156494</v>
      </c>
      <c r="S103" s="484">
        <f t="shared" ref="S103:S106" si="35">L103-Q103</f>
        <v>-385.75</v>
      </c>
      <c r="T103" s="40"/>
      <c r="U103" s="498"/>
      <c r="V103" s="499"/>
      <c r="W103" s="48"/>
      <c r="X103" s="48"/>
      <c r="Y103" s="48"/>
      <c r="Z103" s="48"/>
      <c r="AA103" s="48"/>
      <c r="AB103" s="48"/>
      <c r="AC103" s="48"/>
      <c r="AD103" s="48"/>
      <c r="AE103" s="48"/>
      <c r="AF103" s="48"/>
      <c r="AG103" s="48"/>
      <c r="AH103" s="48"/>
      <c r="AI103" s="48"/>
      <c r="AJ103" s="48"/>
      <c r="AK103" s="48"/>
      <c r="AL103" s="48"/>
      <c r="AM103" s="48"/>
      <c r="AN103" s="48"/>
    </row>
    <row r="104" ht="15.75" customHeight="1">
      <c r="A104" s="5" t="s">
        <v>854</v>
      </c>
      <c r="B104" s="48" t="s">
        <v>151</v>
      </c>
      <c r="C104" s="480" t="s">
        <v>106</v>
      </c>
      <c r="D104" s="481" t="str">
        <f t="array" ref="D104">+INDEX('Budget original'!$A$2:$AO$501,MATCH($A104,'Budget original'!$A$2:$A$501,0),MATCH(D$2,'Budget original'!$A$2:$AO$2,0))</f>
        <v/>
      </c>
      <c r="E104" s="481">
        <f t="shared" si="32"/>
        <v>0</v>
      </c>
      <c r="F104" s="485" t="str">
        <f t="array" ref="F104">+INDEX('Budget original'!$A$2:$AO$501,MATCH($A104,'Budget original'!$A$2:$A$501,0),MATCH(F$2,'Budget original'!$A$2:$AO$2,0))</f>
        <v/>
      </c>
      <c r="G104" s="482"/>
      <c r="H104" s="481"/>
      <c r="I104" s="481"/>
      <c r="J104" s="482"/>
      <c r="K104" s="483">
        <f>IF(J97=0,0,L104/J97)</f>
        <v>90.90909091</v>
      </c>
      <c r="L104" s="484">
        <f>-SUMIFS(BV_Data_An_Cour!$AM:$AM,BV_Data_An_Cour!$AP:$AP,$B104,BV_Data_An_Cour!$AQ:$AQ,$C104,BV_Data_An_Cour!$AR:$AR,$L2)</f>
        <v>2000</v>
      </c>
      <c r="M104" s="482"/>
      <c r="N104" s="485">
        <f t="shared" si="33"/>
        <v>2000</v>
      </c>
      <c r="O104" s="482"/>
      <c r="P104" s="483">
        <f>IF(O97=0,0,Q104/O97)</f>
        <v>697.6428571</v>
      </c>
      <c r="Q104" s="484">
        <f>-SUMIFS(BV_Data_An_Prec!$AM:$AM,BV_Data_An_Prec!$AP:$AP,$B104,BV_Data_An_Prec!$AQ:$AQ,$C104,BV_Data_An_Prec!$AR:$AR,$L2)</f>
        <v>9767</v>
      </c>
      <c r="R104" s="486">
        <f t="shared" si="34"/>
        <v>606.7337662</v>
      </c>
      <c r="S104" s="484">
        <f t="shared" si="35"/>
        <v>-7767</v>
      </c>
      <c r="T104" s="40"/>
      <c r="U104" s="498"/>
      <c r="V104" s="499"/>
      <c r="W104" s="48"/>
      <c r="X104" s="48"/>
      <c r="Y104" s="48"/>
      <c r="Z104" s="48"/>
      <c r="AA104" s="48"/>
      <c r="AB104" s="48"/>
      <c r="AC104" s="48"/>
      <c r="AD104" s="48"/>
      <c r="AE104" s="48"/>
      <c r="AF104" s="48"/>
      <c r="AG104" s="48"/>
      <c r="AH104" s="48"/>
      <c r="AI104" s="48"/>
      <c r="AJ104" s="48"/>
      <c r="AK104" s="48"/>
      <c r="AL104" s="48"/>
      <c r="AM104" s="48"/>
      <c r="AN104" s="48"/>
    </row>
    <row r="105" ht="15.75" customHeight="1">
      <c r="A105" s="5" t="s">
        <v>855</v>
      </c>
      <c r="B105" s="48" t="s">
        <v>151</v>
      </c>
      <c r="C105" s="480" t="s">
        <v>107</v>
      </c>
      <c r="D105" s="481" t="str">
        <f t="array" ref="D105">+INDEX('Budget original'!$A$2:$AO$501,MATCH($A105,'Budget original'!$A$2:$A$501,0),MATCH(D$2,'Budget original'!$A$2:$AO$2,0))</f>
        <v/>
      </c>
      <c r="E105" s="475">
        <f t="shared" si="32"/>
        <v>0</v>
      </c>
      <c r="F105" s="485" t="str">
        <f t="array" ref="F105">+INDEX('Budget original'!$A$2:$AO$501,MATCH($A105,'Budget original'!$A$2:$A$501,0),MATCH(F$2,'Budget original'!$A$2:$AO$2,0))</f>
        <v/>
      </c>
      <c r="G105" s="482"/>
      <c r="H105" s="475"/>
      <c r="I105" s="481"/>
      <c r="J105" s="482"/>
      <c r="K105" s="513">
        <f>IF(J97=0,0,L105/J97)</f>
        <v>0</v>
      </c>
      <c r="L105" s="484">
        <f>-SUMIFS(BV_Data_An_Cour!$AM:$AM,BV_Data_An_Cour!$AP:$AP,$B105,BV_Data_An_Cour!$AQ:$AQ,$C105,BV_Data_An_Cour!$AR:$AR,$L$2)</f>
        <v>0</v>
      </c>
      <c r="M105" s="512"/>
      <c r="N105" s="485">
        <f t="shared" si="33"/>
        <v>0</v>
      </c>
      <c r="O105" s="482"/>
      <c r="P105" s="513">
        <f>IF(O97=0,0,Q105/O97)</f>
        <v>0</v>
      </c>
      <c r="Q105" s="484">
        <f>-SUMIFS(BV_Data_An_Prec!$AM:$AM,BV_Data_An_Prec!$AP:$AP,$B105,BV_Data_An_Prec!$AQ:$AQ,$C105,BV_Data_An_Prec!$AR:$AR,$L$2)</f>
        <v>0</v>
      </c>
      <c r="R105" s="486">
        <f t="shared" si="34"/>
        <v>0</v>
      </c>
      <c r="S105" s="484">
        <f t="shared" si="35"/>
        <v>0</v>
      </c>
      <c r="T105" s="40"/>
      <c r="U105" s="498"/>
      <c r="V105" s="499"/>
      <c r="W105" s="48"/>
      <c r="X105" s="48"/>
      <c r="Y105" s="48"/>
      <c r="Z105" s="48"/>
      <c r="AA105" s="48"/>
      <c r="AB105" s="48"/>
      <c r="AC105" s="48"/>
      <c r="AD105" s="48"/>
      <c r="AE105" s="48"/>
      <c r="AF105" s="48"/>
      <c r="AG105" s="48"/>
      <c r="AH105" s="48"/>
      <c r="AI105" s="48"/>
      <c r="AJ105" s="48"/>
      <c r="AK105" s="48"/>
      <c r="AL105" s="48"/>
      <c r="AM105" s="48"/>
      <c r="AN105" s="48"/>
    </row>
    <row r="106" ht="15.75" customHeight="1">
      <c r="A106" s="5" t="s">
        <v>856</v>
      </c>
      <c r="B106" s="48" t="s">
        <v>151</v>
      </c>
      <c r="C106" s="490" t="s">
        <v>108</v>
      </c>
      <c r="D106" s="491">
        <f>D97</f>
        <v>0</v>
      </c>
      <c r="E106" s="501">
        <f t="shared" si="32"/>
        <v>0</v>
      </c>
      <c r="F106" s="492">
        <f>F103+F104+F105</f>
        <v>0</v>
      </c>
      <c r="G106" s="493"/>
      <c r="H106" s="491"/>
      <c r="I106" s="492"/>
      <c r="J106" s="493">
        <f>J97</f>
        <v>22</v>
      </c>
      <c r="K106" s="495">
        <f>IF(J106&lt;=0,0,L106/J106)</f>
        <v>284.3927273</v>
      </c>
      <c r="L106" s="496">
        <f>L103+L104+L105</f>
        <v>6256.64</v>
      </c>
      <c r="M106" s="517">
        <f>J106-D106</f>
        <v>22</v>
      </c>
      <c r="N106" s="492">
        <f t="shared" si="33"/>
        <v>6256.64</v>
      </c>
      <c r="O106" s="493">
        <f>O97</f>
        <v>14</v>
      </c>
      <c r="P106" s="495">
        <f>IF(O106&lt;=0,0,Q106/O106)</f>
        <v>1029.242143</v>
      </c>
      <c r="Q106" s="497">
        <f>Q103+Q104+Q105</f>
        <v>14409.39</v>
      </c>
      <c r="R106" s="489">
        <f t="shared" si="34"/>
        <v>744.8494156</v>
      </c>
      <c r="S106" s="497">
        <f t="shared" si="35"/>
        <v>-8152.75</v>
      </c>
      <c r="T106" s="40"/>
      <c r="U106" s="498">
        <v>6680.0</v>
      </c>
      <c r="V106" s="499">
        <f>L106-U106</f>
        <v>-423.36</v>
      </c>
      <c r="W106" s="48"/>
      <c r="X106" s="48"/>
      <c r="Y106" s="48"/>
      <c r="Z106" s="48"/>
      <c r="AA106" s="48"/>
      <c r="AB106" s="48"/>
      <c r="AC106" s="48"/>
      <c r="AD106" s="483"/>
      <c r="AE106" s="48"/>
      <c r="AF106" s="48"/>
      <c r="AG106" s="48"/>
      <c r="AH106" s="48"/>
      <c r="AI106" s="48"/>
      <c r="AJ106" s="48"/>
      <c r="AK106" s="48"/>
      <c r="AL106" s="48"/>
      <c r="AM106" s="48"/>
      <c r="AN106" s="48"/>
    </row>
    <row r="107" ht="15.75" customHeight="1">
      <c r="A107" s="5" t="s">
        <v>151</v>
      </c>
      <c r="B107" s="48" t="s">
        <v>151</v>
      </c>
      <c r="C107" s="500"/>
      <c r="D107" s="11"/>
      <c r="E107" s="11"/>
      <c r="F107" s="504"/>
      <c r="G107" s="500"/>
      <c r="H107" s="599"/>
      <c r="I107" s="504"/>
      <c r="J107" s="500"/>
      <c r="K107" s="503"/>
      <c r="L107" s="504"/>
      <c r="M107" s="525"/>
      <c r="N107" s="507" t="str">
        <f>N106/F106</f>
        <v>#DIV/0!</v>
      </c>
      <c r="O107" s="500"/>
      <c r="P107" s="503"/>
      <c r="Q107" s="504"/>
      <c r="R107" s="600"/>
      <c r="S107" s="507">
        <f>IF(Q106=0,0,(S106/Q106))</f>
        <v>-0.5657942494</v>
      </c>
      <c r="T107" s="40"/>
      <c r="U107" s="498"/>
      <c r="V107" s="499"/>
      <c r="W107" s="48"/>
      <c r="X107" s="48"/>
      <c r="Y107" s="48"/>
      <c r="Z107" s="48"/>
      <c r="AA107" s="48"/>
      <c r="AB107" s="48"/>
      <c r="AC107" s="48"/>
      <c r="AD107" s="48"/>
      <c r="AE107" s="48"/>
      <c r="AF107" s="48"/>
      <c r="AG107" s="48"/>
      <c r="AH107" s="48"/>
      <c r="AI107" s="48"/>
      <c r="AJ107" s="48"/>
      <c r="AK107" s="48"/>
      <c r="AL107" s="48"/>
      <c r="AM107" s="48"/>
      <c r="AN107" s="48"/>
    </row>
    <row r="108" ht="15.75" customHeight="1">
      <c r="A108" s="5" t="s">
        <v>151</v>
      </c>
      <c r="B108" s="48" t="s">
        <v>151</v>
      </c>
      <c r="C108" s="480"/>
      <c r="D108" s="48"/>
      <c r="E108" s="48"/>
      <c r="F108" s="484"/>
      <c r="G108" s="480"/>
      <c r="H108" s="601"/>
      <c r="I108" s="484"/>
      <c r="J108" s="480"/>
      <c r="K108" s="483"/>
      <c r="L108" s="484"/>
      <c r="M108" s="525"/>
      <c r="N108" s="507"/>
      <c r="O108" s="480"/>
      <c r="P108" s="483"/>
      <c r="Q108" s="484"/>
      <c r="R108" s="486"/>
      <c r="S108" s="507"/>
      <c r="T108" s="40"/>
      <c r="U108" s="498"/>
      <c r="V108" s="499"/>
      <c r="W108" s="48"/>
      <c r="X108" s="48"/>
      <c r="Y108" s="48"/>
      <c r="Z108" s="48"/>
      <c r="AA108" s="48"/>
      <c r="AB108" s="48"/>
      <c r="AC108" s="48"/>
      <c r="AD108" s="48"/>
      <c r="AE108" s="48"/>
      <c r="AF108" s="48"/>
      <c r="AG108" s="48"/>
      <c r="AH108" s="48"/>
      <c r="AI108" s="48"/>
      <c r="AJ108" s="48"/>
      <c r="AK108" s="48"/>
      <c r="AL108" s="48"/>
      <c r="AM108" s="48"/>
      <c r="AN108" s="48"/>
    </row>
    <row r="109" ht="18.0" customHeight="1">
      <c r="A109" s="5" t="s">
        <v>857</v>
      </c>
      <c r="B109" s="48" t="s">
        <v>151</v>
      </c>
      <c r="C109" s="526" t="s">
        <v>157</v>
      </c>
      <c r="D109" s="527">
        <f>D97+D101</f>
        <v>0</v>
      </c>
      <c r="E109" s="528">
        <f>IF(D109&lt;=0,0,F109/D109)</f>
        <v>0</v>
      </c>
      <c r="F109" s="529">
        <f>F97+F106+F101</f>
        <v>0</v>
      </c>
      <c r="G109" s="530"/>
      <c r="H109" s="528"/>
      <c r="I109" s="529"/>
      <c r="J109" s="530">
        <f>J97+J101</f>
        <v>45</v>
      </c>
      <c r="K109" s="527">
        <f>IF(J109&lt;=0,0,L109/J109)</f>
        <v>873.8762222</v>
      </c>
      <c r="L109" s="529">
        <f>L97+L106+L101+L99</f>
        <v>39324.43</v>
      </c>
      <c r="M109" s="530">
        <f>J109-D109</f>
        <v>45</v>
      </c>
      <c r="N109" s="529">
        <f>L109-F109</f>
        <v>39324.43</v>
      </c>
      <c r="O109" s="530">
        <f>O97+O101</f>
        <v>79</v>
      </c>
      <c r="P109" s="527">
        <f>IF(O109&lt;=0,0,Q109/O109)</f>
        <v>1542.841772</v>
      </c>
      <c r="Q109" s="529">
        <f>Q97+Q106+Q101+Q99</f>
        <v>121884.5</v>
      </c>
      <c r="R109" s="530">
        <f>J109-O109</f>
        <v>-34</v>
      </c>
      <c r="S109" s="529">
        <f>L109-Q109</f>
        <v>-82560.07</v>
      </c>
      <c r="T109" s="40"/>
      <c r="U109" s="498">
        <f>SUM(U97:U107)</f>
        <v>39748</v>
      </c>
      <c r="V109" s="499">
        <f>L109-U109</f>
        <v>-423.57</v>
      </c>
      <c r="W109" s="48"/>
      <c r="X109" s="48"/>
      <c r="Y109" s="48"/>
      <c r="Z109" s="48"/>
      <c r="AA109" s="48"/>
      <c r="AB109" s="48"/>
      <c r="AC109" s="48"/>
      <c r="AD109" s="48"/>
      <c r="AE109" s="48"/>
      <c r="AF109" s="48"/>
      <c r="AG109" s="48"/>
      <c r="AH109" s="48"/>
      <c r="AI109" s="48"/>
      <c r="AJ109" s="48"/>
      <c r="AK109" s="48"/>
      <c r="AL109" s="48"/>
      <c r="AM109" s="48"/>
      <c r="AN109" s="48"/>
    </row>
    <row r="110" ht="22.5" customHeight="1">
      <c r="A110" s="5" t="s">
        <v>151</v>
      </c>
      <c r="B110" s="48" t="s">
        <v>151</v>
      </c>
      <c r="C110" s="531"/>
      <c r="D110" s="532"/>
      <c r="E110" s="532"/>
      <c r="F110" s="533"/>
      <c r="G110" s="531"/>
      <c r="H110" s="532"/>
      <c r="I110" s="533"/>
      <c r="J110" s="531"/>
      <c r="K110" s="534"/>
      <c r="L110" s="535"/>
      <c r="M110" s="536"/>
      <c r="N110" s="537"/>
      <c r="O110" s="531"/>
      <c r="P110" s="534"/>
      <c r="Q110" s="535"/>
      <c r="R110" s="536">
        <f>O109/R109</f>
        <v>-2.323529412</v>
      </c>
      <c r="S110" s="538">
        <f>IF(Q109=0,0,(S109/Q109))</f>
        <v>-0.6773631594</v>
      </c>
      <c r="T110" s="40"/>
      <c r="U110" s="498"/>
      <c r="V110" s="499"/>
      <c r="W110" s="48"/>
      <c r="X110" s="48"/>
      <c r="Y110" s="48"/>
      <c r="Z110" s="48"/>
      <c r="AA110" s="48"/>
      <c r="AB110" s="48"/>
      <c r="AC110" s="48"/>
      <c r="AD110" s="48"/>
      <c r="AE110" s="48"/>
      <c r="AF110" s="48"/>
      <c r="AG110" s="48"/>
      <c r="AH110" s="48"/>
      <c r="AI110" s="48"/>
      <c r="AJ110" s="48"/>
      <c r="AK110" s="48"/>
      <c r="AL110" s="48"/>
      <c r="AM110" s="48"/>
      <c r="AN110" s="48"/>
    </row>
    <row r="111" ht="15.75" customHeight="1">
      <c r="A111" s="5" t="s">
        <v>151</v>
      </c>
      <c r="B111" s="48" t="s">
        <v>151</v>
      </c>
      <c r="C111" s="500"/>
      <c r="D111" s="11"/>
      <c r="E111" s="11"/>
      <c r="F111" s="502"/>
      <c r="G111" s="500"/>
      <c r="H111" s="11"/>
      <c r="I111" s="502"/>
      <c r="J111" s="500"/>
      <c r="K111" s="503"/>
      <c r="L111" s="504"/>
      <c r="M111" s="525"/>
      <c r="N111" s="507"/>
      <c r="O111" s="500"/>
      <c r="P111" s="503"/>
      <c r="Q111" s="504"/>
      <c r="R111" s="525"/>
      <c r="S111" s="504"/>
      <c r="T111" s="40"/>
      <c r="U111" s="498"/>
      <c r="V111" s="499"/>
      <c r="W111" s="48"/>
      <c r="X111" s="48"/>
      <c r="Y111" s="48"/>
      <c r="Z111" s="48"/>
      <c r="AA111" s="48"/>
      <c r="AB111" s="48"/>
      <c r="AC111" s="48"/>
      <c r="AD111" s="48"/>
      <c r="AE111" s="48"/>
      <c r="AF111" s="48"/>
      <c r="AG111" s="48"/>
      <c r="AH111" s="48"/>
      <c r="AI111" s="48"/>
      <c r="AJ111" s="48"/>
      <c r="AK111" s="48"/>
      <c r="AL111" s="48"/>
      <c r="AM111" s="48"/>
      <c r="AN111" s="48"/>
    </row>
    <row r="112" ht="15.75" customHeight="1">
      <c r="A112" s="5" t="s">
        <v>858</v>
      </c>
      <c r="B112" s="48" t="s">
        <v>151</v>
      </c>
      <c r="C112" s="541" t="s">
        <v>110</v>
      </c>
      <c r="D112" s="48"/>
      <c r="E112" s="41"/>
      <c r="F112" s="484"/>
      <c r="G112" s="480"/>
      <c r="H112" s="41"/>
      <c r="I112" s="484"/>
      <c r="J112" s="480"/>
      <c r="K112" s="542"/>
      <c r="L112" s="484"/>
      <c r="M112" s="480"/>
      <c r="N112" s="514"/>
      <c r="O112" s="480"/>
      <c r="P112" s="542"/>
      <c r="Q112" s="484"/>
      <c r="R112" s="480"/>
      <c r="S112" s="484"/>
      <c r="T112" s="40"/>
      <c r="U112" s="40"/>
      <c r="V112" s="48"/>
      <c r="W112" s="48"/>
      <c r="X112" s="48"/>
      <c r="Y112" s="48"/>
      <c r="Z112" s="48"/>
      <c r="AA112" s="48"/>
      <c r="AB112" s="48"/>
      <c r="AC112" s="48"/>
      <c r="AD112" s="48"/>
      <c r="AE112" s="48"/>
      <c r="AF112" s="48"/>
      <c r="AG112" s="48"/>
      <c r="AH112" s="48"/>
      <c r="AI112" s="48"/>
      <c r="AJ112" s="48"/>
      <c r="AK112" s="48"/>
      <c r="AL112" s="48"/>
      <c r="AM112" s="48"/>
      <c r="AN112" s="48"/>
    </row>
    <row r="113" ht="15.75" customHeight="1">
      <c r="A113" s="5" t="s">
        <v>859</v>
      </c>
      <c r="B113" s="48" t="s">
        <v>151</v>
      </c>
      <c r="C113" s="480" t="s">
        <v>111</v>
      </c>
      <c r="D113" s="602" t="str">
        <f>F113/F97</f>
        <v>#DIV/0!</v>
      </c>
      <c r="E113" s="483" t="str">
        <f t="shared" ref="E113:E122" si="36">F113/D$97</f>
        <v>#DIV/0!</v>
      </c>
      <c r="F113" s="481" t="str">
        <f t="array" ref="F113">+INDEX('Budget original'!$A$2:$AO$501,MATCH($A113,'Budget original'!$A$2:$A$501,0),MATCH(F$2,'Budget original'!$A$2:$AO$2,0))</f>
        <v/>
      </c>
      <c r="G113" s="515"/>
      <c r="H113" s="483"/>
      <c r="I113" s="481"/>
      <c r="J113" s="515">
        <f>L113/L97</f>
        <v>0.2369641257</v>
      </c>
      <c r="K113" s="483">
        <f>IF($J$97=0,0,L113/(J$94+J$95+J96))</f>
        <v>387.5413636</v>
      </c>
      <c r="L113" s="484">
        <f>SUMIFS(BV_Data_An_Cour!$AM:$AM,BV_Data_An_Cour!$AP:$AP,$B113,BV_Data_An_Cour!$AQ:$AQ,$C113,BV_Data_An_Cour!$AR:$AR,$L$2)</f>
        <v>8525.91</v>
      </c>
      <c r="M113" s="480"/>
      <c r="N113" s="484">
        <f t="shared" ref="N113:N154" si="37">L113-F113</f>
        <v>8525.91</v>
      </c>
      <c r="O113" s="515">
        <f>Q113/Q97</f>
        <v>6.261083569</v>
      </c>
      <c r="P113" s="483">
        <f>IF($J$97=0,0,Q113/(O$94+O$95+O96))</f>
        <v>1641.835</v>
      </c>
      <c r="Q113" s="484">
        <f>SUMIFS(BV_Data_An_Prec!$AM:$AM,BV_Data_An_Prec!$AP:$AP,$B113,BV_Data_An_Prec!$AQ:$AQ,$C113,BV_Data_An_Prec!$AR:$AR,$L$2)</f>
        <v>22985.69</v>
      </c>
      <c r="R113" s="480"/>
      <c r="S113" s="484">
        <f t="shared" ref="S113:S154" si="38">L113-Q113</f>
        <v>-14459.78</v>
      </c>
      <c r="T113" s="40"/>
      <c r="U113" s="40" t="s">
        <v>860</v>
      </c>
      <c r="V113" s="48"/>
      <c r="W113" s="48"/>
      <c r="X113" s="48"/>
      <c r="Y113" s="48"/>
      <c r="Z113" s="48"/>
      <c r="AA113" s="48"/>
      <c r="AB113" s="48"/>
      <c r="AC113" s="48"/>
      <c r="AD113" s="48"/>
      <c r="AE113" s="48"/>
      <c r="AF113" s="48"/>
      <c r="AG113" s="48"/>
      <c r="AH113" s="48"/>
      <c r="AI113" s="48"/>
      <c r="AJ113" s="48"/>
      <c r="AK113" s="48"/>
      <c r="AL113" s="48"/>
      <c r="AM113" s="48"/>
      <c r="AN113" s="48"/>
    </row>
    <row r="114" ht="15.75" customHeight="1">
      <c r="A114" s="5" t="s">
        <v>861</v>
      </c>
      <c r="B114" s="48" t="s">
        <v>151</v>
      </c>
      <c r="C114" s="471" t="s">
        <v>112</v>
      </c>
      <c r="D114" s="603" t="str">
        <f>F114/(F106)</f>
        <v>#DIV/0!</v>
      </c>
      <c r="E114" s="513" t="str">
        <f t="shared" si="36"/>
        <v>#DIV/0!</v>
      </c>
      <c r="F114" s="473" t="str">
        <f t="array" ref="F114">+INDEX('Budget original'!$A$2:$AO$501,MATCH($A114,'Budget original'!$A$2:$A$501,0),MATCH(F$2,'Budget original'!$A$2:$AO$2,0))</f>
        <v/>
      </c>
      <c r="G114" s="545"/>
      <c r="H114" s="513"/>
      <c r="I114" s="473"/>
      <c r="J114" s="545">
        <f>L114/(L106)</f>
        <v>0.4057449366</v>
      </c>
      <c r="K114" s="513">
        <f>IF($J$97=0,0,L114/(J$94+J$95+J96))</f>
        <v>115.3909091</v>
      </c>
      <c r="L114" s="484">
        <f>SUMIFS(BV_Data_An_Cour!$AM:$AM,BV_Data_An_Cour!$AP:$AP,$B114,BV_Data_An_Cour!$AQ:$AQ,$C114,BV_Data_An_Cour!$AR:$AR,$L$2)</f>
        <v>2538.6</v>
      </c>
      <c r="M114" s="471"/>
      <c r="N114" s="476">
        <f t="shared" si="37"/>
        <v>2538.6</v>
      </c>
      <c r="O114" s="545">
        <f>Q114/(Q106)</f>
        <v>0.2898269809</v>
      </c>
      <c r="P114" s="513">
        <f>IF($J$97=0,0,Q114/(O$94+O$95+O96))</f>
        <v>298.3021429</v>
      </c>
      <c r="Q114" s="484">
        <f>SUMIFS(BV_Data_An_Prec!$AM:$AM,BV_Data_An_Prec!$AP:$AP,$B114,BV_Data_An_Prec!$AQ:$AQ,$C114,BV_Data_An_Prec!$AR:$AR,$L$2)</f>
        <v>4176.23</v>
      </c>
      <c r="R114" s="471"/>
      <c r="S114" s="476">
        <f t="shared" si="38"/>
        <v>-1637.63</v>
      </c>
      <c r="T114" s="40"/>
      <c r="U114" s="40"/>
      <c r="V114" s="48"/>
      <c r="W114" s="48"/>
      <c r="X114" s="48"/>
      <c r="Y114" s="48"/>
      <c r="Z114" s="48"/>
      <c r="AA114" s="48"/>
      <c r="AB114" s="48"/>
      <c r="AC114" s="48"/>
      <c r="AD114" s="48"/>
      <c r="AE114" s="48"/>
      <c r="AF114" s="48"/>
      <c r="AG114" s="48"/>
      <c r="AH114" s="48"/>
      <c r="AI114" s="48"/>
      <c r="AJ114" s="48"/>
      <c r="AK114" s="48"/>
      <c r="AL114" s="48"/>
      <c r="AM114" s="48"/>
      <c r="AN114" s="48"/>
    </row>
    <row r="115" ht="15.75" customHeight="1">
      <c r="A115" s="5" t="s">
        <v>862</v>
      </c>
      <c r="B115" s="48" t="s">
        <v>151</v>
      </c>
      <c r="C115" s="480" t="s">
        <v>113</v>
      </c>
      <c r="D115" s="546"/>
      <c r="E115" s="483" t="str">
        <f t="shared" si="36"/>
        <v>#DIV/0!</v>
      </c>
      <c r="F115" s="481" t="str">
        <f t="array" ref="F115">+INDEX('Budget original'!$A$2:$AO$501,MATCH($A115,'Budget original'!$A$2:$A$501,0),MATCH(F$2,'Budget original'!$A$2:$AO$2,0))</f>
        <v/>
      </c>
      <c r="G115" s="547"/>
      <c r="H115" s="483"/>
      <c r="I115" s="481"/>
      <c r="J115" s="480"/>
      <c r="K115" s="483">
        <f>IF($J$97=0,0,L115/(J$94+J$95+J96))</f>
        <v>-38.07545455</v>
      </c>
      <c r="L115" s="523">
        <f>SUMIFS(BV_Data_An_Cour!$AM:$AM,BV_Data_An_Cour!$AP:$AP,$B115,BV_Data_An_Cour!$AQ:$AQ,$C115,BV_Data_An_Cour!$AR:$AR,$L$2)</f>
        <v>-837.66</v>
      </c>
      <c r="M115" s="480"/>
      <c r="N115" s="484">
        <f t="shared" si="37"/>
        <v>-837.66</v>
      </c>
      <c r="O115" s="480"/>
      <c r="P115" s="483">
        <f>IF($J$97=0,0,Q115/(O$94+O$95+O96))</f>
        <v>-397.77</v>
      </c>
      <c r="Q115" s="523">
        <f>SUMIFS(BV_Data_An_Prec!$AM:$AM,BV_Data_An_Prec!$AP:$AP,$B115,BV_Data_An_Prec!$AQ:$AQ,$C115,BV_Data_An_Prec!$AR:$AR,$L$2)</f>
        <v>-5568.78</v>
      </c>
      <c r="R115" s="480"/>
      <c r="S115" s="484">
        <f t="shared" si="38"/>
        <v>4731.12</v>
      </c>
      <c r="T115" s="40"/>
      <c r="U115" s="40"/>
      <c r="V115" s="48"/>
      <c r="W115" s="481"/>
      <c r="X115" s="48"/>
      <c r="Y115" s="48"/>
      <c r="Z115" s="48"/>
      <c r="AA115" s="48"/>
      <c r="AB115" s="48"/>
      <c r="AC115" s="48"/>
      <c r="AD115" s="48"/>
      <c r="AE115" s="48"/>
      <c r="AF115" s="48"/>
      <c r="AG115" s="48"/>
      <c r="AH115" s="48"/>
      <c r="AI115" s="48"/>
      <c r="AJ115" s="48"/>
      <c r="AK115" s="48"/>
      <c r="AL115" s="48"/>
      <c r="AM115" s="48"/>
      <c r="AN115" s="48"/>
    </row>
    <row r="116" ht="15.75" customHeight="1">
      <c r="A116" s="5" t="s">
        <v>863</v>
      </c>
      <c r="B116" s="48" t="s">
        <v>151</v>
      </c>
      <c r="C116" s="480" t="s">
        <v>114</v>
      </c>
      <c r="D116" s="546"/>
      <c r="E116" s="483" t="str">
        <f t="shared" si="36"/>
        <v>#DIV/0!</v>
      </c>
      <c r="F116" s="481" t="str">
        <f t="array" ref="F116">+INDEX('Budget original'!$A$2:$AO$501,MATCH($A116,'Budget original'!$A$2:$A$501,0),MATCH(F$2,'Budget original'!$A$2:$AO$2,0))</f>
        <v/>
      </c>
      <c r="G116" s="547"/>
      <c r="H116" s="483"/>
      <c r="I116" s="481"/>
      <c r="J116" s="480"/>
      <c r="K116" s="483">
        <f>IF($J$97=0,0,L116/(J$94+J$95+J96))</f>
        <v>11.77227273</v>
      </c>
      <c r="L116" s="484">
        <f>SUMIFS(BV_Data_An_Cour!$AM:$AM,BV_Data_An_Cour!$AP:$AP,$B116,BV_Data_An_Cour!$AQ:$AQ,$C116,BV_Data_An_Cour!$AR:$AR,$L$2)</f>
        <v>258.99</v>
      </c>
      <c r="M116" s="480"/>
      <c r="N116" s="484">
        <f t="shared" si="37"/>
        <v>258.99</v>
      </c>
      <c r="O116" s="480"/>
      <c r="P116" s="483">
        <f>IF($J$97=0,0,Q116/(O$94+O$95+O96))</f>
        <v>9.195</v>
      </c>
      <c r="Q116" s="484">
        <f>SUMIFS(BV_Data_An_Prec!$AM:$AM,BV_Data_An_Prec!$AP:$AP,$B116,BV_Data_An_Prec!$AQ:$AQ,$C116,BV_Data_An_Prec!$AR:$AR,$L$2)</f>
        <v>128.73</v>
      </c>
      <c r="R116" s="480"/>
      <c r="S116" s="484">
        <f t="shared" si="38"/>
        <v>130.26</v>
      </c>
      <c r="T116" s="40"/>
      <c r="U116" s="40"/>
      <c r="V116" s="48"/>
      <c r="W116" s="481"/>
      <c r="X116" s="48"/>
      <c r="Y116" s="48"/>
      <c r="Z116" s="48"/>
      <c r="AA116" s="48"/>
      <c r="AB116" s="48"/>
      <c r="AC116" s="48"/>
      <c r="AD116" s="48"/>
      <c r="AE116" s="48"/>
      <c r="AF116" s="48"/>
      <c r="AG116" s="48"/>
      <c r="AH116" s="48"/>
      <c r="AI116" s="48"/>
      <c r="AJ116" s="48"/>
      <c r="AK116" s="48"/>
      <c r="AL116" s="48"/>
      <c r="AM116" s="48"/>
      <c r="AN116" s="48"/>
    </row>
    <row r="117" ht="15.75" customHeight="1">
      <c r="A117" s="5" t="s">
        <v>864</v>
      </c>
      <c r="B117" s="48" t="s">
        <v>151</v>
      </c>
      <c r="C117" s="471" t="s">
        <v>115</v>
      </c>
      <c r="D117" s="549"/>
      <c r="E117" s="513" t="str">
        <f t="shared" si="36"/>
        <v>#DIV/0!</v>
      </c>
      <c r="F117" s="473" t="str">
        <f t="array" ref="F117">+INDEX('Budget original'!$A$2:$AO$501,MATCH($A117,'Budget original'!$A$2:$A$501,0),MATCH(F$2,'Budget original'!$A$2:$AO$2,0))</f>
        <v/>
      </c>
      <c r="G117" s="550"/>
      <c r="H117" s="513"/>
      <c r="I117" s="473"/>
      <c r="J117" s="471"/>
      <c r="K117" s="513">
        <f>IF($J$97=0,0,L117/(J$94+J$95+J96))</f>
        <v>55.265</v>
      </c>
      <c r="L117" s="476">
        <f>SUMIFS(BV_Data_An_Cour!$AM:$AM,BV_Data_An_Cour!$AP:$AP,$B117,BV_Data_An_Cour!$AQ:$AQ,$C117,BV_Data_An_Cour!$AR:$AR,$L$2)</f>
        <v>1215.83</v>
      </c>
      <c r="M117" s="471"/>
      <c r="N117" s="476">
        <f t="shared" si="37"/>
        <v>1215.83</v>
      </c>
      <c r="O117" s="471"/>
      <c r="P117" s="513">
        <f>IF($J$97=0,0,Q117/(O$94+O$95+O96))</f>
        <v>0</v>
      </c>
      <c r="Q117" s="476">
        <f>SUMIFS(BV_Data_An_Prec!$AM:$AM,BV_Data_An_Prec!$AP:$AP,$B117,BV_Data_An_Prec!$AQ:$AQ,$C117,BV_Data_An_Prec!$AR:$AR,$L$2)</f>
        <v>0</v>
      </c>
      <c r="R117" s="471"/>
      <c r="S117" s="476">
        <f t="shared" si="38"/>
        <v>1215.83</v>
      </c>
      <c r="T117" s="40"/>
      <c r="U117" s="540"/>
      <c r="V117" s="48"/>
      <c r="W117" s="481"/>
      <c r="X117" s="48"/>
      <c r="Y117" s="48"/>
      <c r="Z117" s="48"/>
      <c r="AA117" s="48"/>
      <c r="AB117" s="48"/>
      <c r="AC117" s="48"/>
      <c r="AD117" s="48"/>
      <c r="AE117" s="48"/>
      <c r="AF117" s="48"/>
      <c r="AG117" s="48"/>
      <c r="AH117" s="48"/>
      <c r="AI117" s="48"/>
      <c r="AJ117" s="48"/>
      <c r="AK117" s="48"/>
      <c r="AL117" s="48"/>
      <c r="AM117" s="48"/>
      <c r="AN117" s="48"/>
    </row>
    <row r="118" ht="19.5" customHeight="1">
      <c r="A118" s="5" t="s">
        <v>865</v>
      </c>
      <c r="B118" s="48" t="s">
        <v>151</v>
      </c>
      <c r="C118" s="480" t="s">
        <v>116</v>
      </c>
      <c r="D118" s="546"/>
      <c r="E118" s="483" t="str">
        <f t="shared" si="36"/>
        <v>#DIV/0!</v>
      </c>
      <c r="F118" s="481" t="str">
        <f t="array" ref="F118">+INDEX('Budget original'!$A$2:$AO$501,MATCH($A118,'Budget original'!$A$2:$A$501,0),MATCH(F$2,'Budget original'!$A$2:$AO$2,0))</f>
        <v/>
      </c>
      <c r="G118" s="547"/>
      <c r="H118" s="483"/>
      <c r="I118" s="481"/>
      <c r="J118" s="480"/>
      <c r="K118" s="483">
        <f>IF($J$97=0,0,L118/(J$94+J$95+J96))</f>
        <v>493.6977273</v>
      </c>
      <c r="L118" s="484">
        <f>SUMIFS(BV_Data_An_Cour!$AM:$AM,BV_Data_An_Cour!$AP:$AP,$B118,BV_Data_An_Cour!$AQ:$AQ,$C118,BV_Data_An_Cour!$AR:$AR,$L$2)</f>
        <v>10861.35</v>
      </c>
      <c r="M118" s="480"/>
      <c r="N118" s="484">
        <f t="shared" si="37"/>
        <v>10861.35</v>
      </c>
      <c r="O118" s="480"/>
      <c r="P118" s="483">
        <f>IF($J$97=0,0,Q118/(O$94+O$95+O96))</f>
        <v>634.2814286</v>
      </c>
      <c r="Q118" s="484">
        <f>SUMIFS(BV_Data_An_Prec!$AM:$AM,BV_Data_An_Prec!$AP:$AP,$B118,BV_Data_An_Prec!$AQ:$AQ,$C118,BV_Data_An_Prec!$AR:$AR,$L$2)</f>
        <v>8879.94</v>
      </c>
      <c r="R118" s="480"/>
      <c r="S118" s="484">
        <f t="shared" si="38"/>
        <v>1981.41</v>
      </c>
      <c r="T118" s="40"/>
      <c r="U118" s="540"/>
      <c r="V118" s="48"/>
      <c r="W118" s="481"/>
      <c r="Z118" s="48"/>
      <c r="AA118" s="48"/>
      <c r="AB118" s="48"/>
      <c r="AC118" s="48"/>
      <c r="AD118" s="48"/>
      <c r="AE118" s="48"/>
      <c r="AF118" s="48"/>
      <c r="AG118" s="48"/>
      <c r="AH118" s="48"/>
      <c r="AI118" s="48"/>
      <c r="AJ118" s="48"/>
      <c r="AK118" s="48"/>
      <c r="AL118" s="48"/>
      <c r="AM118" s="48"/>
      <c r="AN118" s="48"/>
    </row>
    <row r="119" ht="15.75" customHeight="1">
      <c r="A119" s="5" t="s">
        <v>866</v>
      </c>
      <c r="B119" s="48" t="s">
        <v>151</v>
      </c>
      <c r="C119" s="480" t="s">
        <v>117</v>
      </c>
      <c r="D119" s="546"/>
      <c r="E119" s="483" t="str">
        <f t="shared" si="36"/>
        <v>#DIV/0!</v>
      </c>
      <c r="F119" s="481" t="str">
        <f t="array" ref="F119">+INDEX('Budget original'!$A$2:$AO$501,MATCH($A119,'Budget original'!$A$2:$A$501,0),MATCH(F$2,'Budget original'!$A$2:$AO$2,0))</f>
        <v/>
      </c>
      <c r="G119" s="547"/>
      <c r="H119" s="483"/>
      <c r="I119" s="481"/>
      <c r="J119" s="480"/>
      <c r="K119" s="483">
        <f>IF($J$97=0,0,L119/(J$94+J$95+J96))</f>
        <v>110.3922727</v>
      </c>
      <c r="L119" s="484">
        <f>SUMIFS(BV_Data_An_Cour!$AM:$AM,BV_Data_An_Cour!$AP:$AP,$B119,BV_Data_An_Cour!$AQ:$AQ,$C119,BV_Data_An_Cour!$AR:$AR,$L$2)</f>
        <v>2428.63</v>
      </c>
      <c r="M119" s="480"/>
      <c r="N119" s="484">
        <f t="shared" si="37"/>
        <v>2428.63</v>
      </c>
      <c r="O119" s="480"/>
      <c r="P119" s="483">
        <f>IF($J$97=0,0,Q119/(O$94+O$95+O96))</f>
        <v>928.1528571</v>
      </c>
      <c r="Q119" s="484">
        <f>SUMIFS(BV_Data_An_Prec!$AM:$AM,BV_Data_An_Prec!$AP:$AP,$B119,BV_Data_An_Prec!$AQ:$AQ,$C119,BV_Data_An_Prec!$AR:$AR,$L$2)</f>
        <v>12994.14</v>
      </c>
      <c r="R119" s="480"/>
      <c r="S119" s="484">
        <f t="shared" si="38"/>
        <v>-10565.51</v>
      </c>
      <c r="T119" s="40"/>
      <c r="U119" s="540"/>
      <c r="W119" s="481"/>
      <c r="X119" s="48"/>
      <c r="Y119" s="48"/>
      <c r="Z119" s="48"/>
      <c r="AA119" s="48"/>
      <c r="AB119" s="48"/>
      <c r="AC119" s="48"/>
      <c r="AD119" s="48"/>
      <c r="AE119" s="48"/>
      <c r="AF119" s="48"/>
      <c r="AG119" s="48"/>
      <c r="AH119" s="48"/>
      <c r="AI119" s="48"/>
      <c r="AJ119" s="48"/>
      <c r="AK119" s="48"/>
      <c r="AL119" s="48"/>
      <c r="AM119" s="48"/>
      <c r="AN119" s="48"/>
    </row>
    <row r="120" ht="15.75" customHeight="1">
      <c r="A120" s="5" t="s">
        <v>867</v>
      </c>
      <c r="B120" s="48" t="s">
        <v>151</v>
      </c>
      <c r="C120" s="480" t="s">
        <v>813</v>
      </c>
      <c r="D120" s="546"/>
      <c r="E120" s="483" t="str">
        <f t="shared" si="36"/>
        <v>#DIV/0!</v>
      </c>
      <c r="F120" s="481" t="str">
        <f t="array" ref="F120">+INDEX('Budget original'!$A$2:$AO$501,MATCH($A120,'Budget original'!$A$2:$A$501,0),MATCH(F$2,'Budget original'!$A$2:$AO$2,0))</f>
        <v/>
      </c>
      <c r="G120" s="547"/>
      <c r="H120" s="483"/>
      <c r="I120" s="481"/>
      <c r="J120" s="480"/>
      <c r="K120" s="483">
        <f t="shared" ref="K120:K122" si="39">IF($J$97=0,0,L120/(J$94+J$95))</f>
        <v>0</v>
      </c>
      <c r="L120" s="484">
        <f>SUMIFS(BV_Data_An_Cour!$AM:$AM,BV_Data_An_Cour!$AP:$AP,$B120,BV_Data_An_Cour!$AQ:$AQ,$C120,BV_Data_An_Cour!$AR:$AR,$L$2)</f>
        <v>0</v>
      </c>
      <c r="M120" s="480"/>
      <c r="N120" s="484">
        <f t="shared" si="37"/>
        <v>0</v>
      </c>
      <c r="O120" s="480"/>
      <c r="P120" s="483">
        <f t="shared" ref="P120:P122" si="40">IF($J$97=0,0,Q120/(O$94+O$95))</f>
        <v>0</v>
      </c>
      <c r="Q120" s="484">
        <f>SUMIFS(BV_Data_An_Prec!$AM:$AM,BV_Data_An_Prec!$AP:$AP,$B120,BV_Data_An_Prec!$AQ:$AQ,$C120,BV_Data_An_Prec!$AR:$AR,$L$2)</f>
        <v>0</v>
      </c>
      <c r="R120" s="480"/>
      <c r="S120" s="484">
        <f t="shared" si="38"/>
        <v>0</v>
      </c>
      <c r="T120" s="40"/>
      <c r="U120" s="48"/>
      <c r="W120" s="48"/>
      <c r="X120" s="48"/>
      <c r="Y120" s="48"/>
      <c r="Z120" s="48"/>
      <c r="AA120" s="48"/>
      <c r="AB120" s="48"/>
      <c r="AC120" s="48"/>
      <c r="AD120" s="48"/>
      <c r="AE120" s="48"/>
      <c r="AF120" s="48"/>
      <c r="AG120" s="48"/>
      <c r="AH120" s="48"/>
      <c r="AI120" s="48"/>
      <c r="AJ120" s="48"/>
      <c r="AK120" s="48"/>
      <c r="AL120" s="48"/>
      <c r="AM120" s="48"/>
      <c r="AN120" s="48"/>
    </row>
    <row r="121" ht="15.75" customHeight="1">
      <c r="A121" s="5" t="s">
        <v>867</v>
      </c>
      <c r="B121" s="48" t="s">
        <v>151</v>
      </c>
      <c r="C121" s="480" t="s">
        <v>814</v>
      </c>
      <c r="D121" s="546"/>
      <c r="E121" s="483" t="str">
        <f t="shared" si="36"/>
        <v>#DIV/0!</v>
      </c>
      <c r="F121" s="481" t="str">
        <f t="array" ref="F121">+INDEX('Budget original'!$A$2:$AO$501,MATCH($A121,'Budget original'!$A$2:$A$501,0),MATCH(F$2,'Budget original'!$A$2:$AO$2,0))</f>
        <v/>
      </c>
      <c r="G121" s="547"/>
      <c r="H121" s="483"/>
      <c r="I121" s="481"/>
      <c r="J121" s="480"/>
      <c r="K121" s="483">
        <f t="shared" si="39"/>
        <v>-52.08590909</v>
      </c>
      <c r="L121" s="484">
        <f>SUMIFS(BV_Data_An_Cour!$AM:$AM,BV_Data_An_Cour!$AP:$AP,$B121,BV_Data_An_Cour!$AQ:$AQ,$C121,BV_Data_An_Cour!$AR:$AR,$L$2)</f>
        <v>-1145.89</v>
      </c>
      <c r="M121" s="480"/>
      <c r="N121" s="484">
        <f t="shared" si="37"/>
        <v>-1145.89</v>
      </c>
      <c r="O121" s="480"/>
      <c r="P121" s="483">
        <f t="shared" si="40"/>
        <v>0</v>
      </c>
      <c r="Q121" s="484">
        <f>SUMIFS(BV_Data_An_Prec!$AM:$AM,BV_Data_An_Prec!$AP:$AP,$B121,BV_Data_An_Prec!$AQ:$AQ,$C121,BV_Data_An_Prec!$AR:$AR,$L$2)</f>
        <v>0</v>
      </c>
      <c r="R121" s="480"/>
      <c r="S121" s="484">
        <f t="shared" si="38"/>
        <v>-1145.89</v>
      </c>
      <c r="T121" s="40"/>
      <c r="U121" s="48"/>
      <c r="W121" s="48"/>
      <c r="X121" s="48"/>
      <c r="Y121" s="48"/>
      <c r="Z121" s="48"/>
      <c r="AA121" s="48"/>
      <c r="AB121" s="48"/>
      <c r="AC121" s="48"/>
      <c r="AD121" s="48"/>
      <c r="AE121" s="48"/>
      <c r="AF121" s="48"/>
      <c r="AG121" s="48"/>
      <c r="AH121" s="48"/>
      <c r="AI121" s="48"/>
      <c r="AJ121" s="48"/>
      <c r="AK121" s="48"/>
      <c r="AL121" s="48"/>
      <c r="AM121" s="48"/>
      <c r="AN121" s="48"/>
    </row>
    <row r="122" ht="20.25" hidden="1" customHeight="1">
      <c r="A122" s="5" t="s">
        <v>867</v>
      </c>
      <c r="B122" s="48" t="s">
        <v>151</v>
      </c>
      <c r="C122" s="480" t="s">
        <v>56</v>
      </c>
      <c r="D122" s="546"/>
      <c r="E122" s="483" t="str">
        <f t="shared" si="36"/>
        <v>#DIV/0!</v>
      </c>
      <c r="F122" s="481" t="str">
        <f t="array" ref="F122">+INDEX('Budget original'!$A$2:$AO$501,MATCH($A122,'Budget original'!$A$2:$A$501,0),MATCH(F$2,'Budget original'!$A$2:$AO$2,0))</f>
        <v/>
      </c>
      <c r="G122" s="547"/>
      <c r="H122" s="483"/>
      <c r="I122" s="481"/>
      <c r="J122" s="480"/>
      <c r="K122" s="483">
        <f t="shared" si="39"/>
        <v>0</v>
      </c>
      <c r="L122" s="485">
        <f>SUMIFS(BV_Data_An_Cour!$AM:$AM,BV_Data_An_Cour!$AP:$AP,$B122,BV_Data_An_Cour!$AQ:$AQ,$C122,BV_Data_An_Cour!$AR:$AR,$L$2)</f>
        <v>0</v>
      </c>
      <c r="M122" s="480"/>
      <c r="N122" s="484">
        <f t="shared" si="37"/>
        <v>0</v>
      </c>
      <c r="O122" s="480"/>
      <c r="P122" s="483">
        <f t="shared" si="40"/>
        <v>0</v>
      </c>
      <c r="Q122" s="485">
        <f>SUMIFS(BV_Data_An_Prec!$AM:$AM,BV_Data_An_Prec!$AP:$AP,$B122,BV_Data_An_Prec!$AQ:$AQ,$C122,BV_Data_An_Prec!$AR:$AR,$L$2)</f>
        <v>0</v>
      </c>
      <c r="R122" s="480"/>
      <c r="S122" s="484">
        <f t="shared" si="38"/>
        <v>0</v>
      </c>
      <c r="T122" s="40"/>
      <c r="U122" s="40"/>
      <c r="V122" s="48"/>
      <c r="W122" s="48"/>
      <c r="X122" s="48"/>
      <c r="Y122" s="48"/>
      <c r="Z122" s="48"/>
      <c r="AA122" s="48"/>
      <c r="AB122" s="48"/>
      <c r="AC122" s="48"/>
      <c r="AD122" s="48"/>
      <c r="AE122" s="48"/>
      <c r="AF122" s="48"/>
      <c r="AG122" s="48"/>
      <c r="AH122" s="48"/>
      <c r="AI122" s="48"/>
      <c r="AJ122" s="48"/>
      <c r="AK122" s="48"/>
      <c r="AL122" s="48"/>
      <c r="AM122" s="48"/>
      <c r="AN122" s="48"/>
    </row>
    <row r="123" ht="18.0" customHeight="1">
      <c r="A123" s="5" t="s">
        <v>868</v>
      </c>
      <c r="B123" s="48" t="s">
        <v>151</v>
      </c>
      <c r="C123" s="552" t="s">
        <v>118</v>
      </c>
      <c r="D123" s="553" t="s">
        <v>225</v>
      </c>
      <c r="E123" s="554" t="str">
        <f>F123/F$109</f>
        <v>#DIV/0!</v>
      </c>
      <c r="F123" s="555">
        <f>SUM(F113:F122)</f>
        <v>0</v>
      </c>
      <c r="G123" s="556"/>
      <c r="H123" s="554"/>
      <c r="I123" s="555"/>
      <c r="J123" s="556" t="s">
        <v>225</v>
      </c>
      <c r="K123" s="554">
        <f>L123/L$109</f>
        <v>0.6063853945</v>
      </c>
      <c r="L123" s="555">
        <f>SUM(L113:L122)</f>
        <v>23845.76</v>
      </c>
      <c r="M123" s="557"/>
      <c r="N123" s="555">
        <f t="shared" si="37"/>
        <v>23845.76</v>
      </c>
      <c r="O123" s="556" t="s">
        <v>225</v>
      </c>
      <c r="P123" s="554">
        <f>Q123/Q$109</f>
        <v>0.3576824781</v>
      </c>
      <c r="Q123" s="555">
        <f>SUM(Q113:Q122)</f>
        <v>43595.95</v>
      </c>
      <c r="R123" s="558"/>
      <c r="S123" s="555">
        <f t="shared" si="38"/>
        <v>-19750.19</v>
      </c>
      <c r="T123" s="40"/>
      <c r="U123" s="40"/>
      <c r="V123" s="48"/>
      <c r="W123" s="48"/>
      <c r="X123" s="48"/>
      <c r="Y123" s="48"/>
      <c r="Z123" s="48"/>
      <c r="AA123" s="48"/>
      <c r="AB123" s="48"/>
      <c r="AC123" s="48"/>
      <c r="AD123" s="48"/>
      <c r="AE123" s="48"/>
      <c r="AF123" s="48"/>
      <c r="AG123" s="48"/>
      <c r="AH123" s="48"/>
      <c r="AI123" s="48"/>
      <c r="AJ123" s="48"/>
      <c r="AK123" s="48"/>
      <c r="AL123" s="48"/>
      <c r="AM123" s="48"/>
      <c r="AN123" s="48"/>
    </row>
    <row r="124" ht="15.75" customHeight="1">
      <c r="A124" s="5" t="s">
        <v>869</v>
      </c>
      <c r="B124" s="48" t="s">
        <v>151</v>
      </c>
      <c r="C124" s="559" t="s">
        <v>119</v>
      </c>
      <c r="D124" s="48"/>
      <c r="E124" s="48"/>
      <c r="F124" s="481" t="str">
        <f t="array" ref="F124">+INDEX('Budget original'!$A$2:$AO$501,MATCH($A124,'Budget original'!$A$2:$A$501,0),MATCH(F$2,'Budget original'!$A$2:$AO$2,0))</f>
        <v/>
      </c>
      <c r="G124" s="480"/>
      <c r="H124" s="48"/>
      <c r="I124" s="481"/>
      <c r="J124" s="480"/>
      <c r="K124" s="48"/>
      <c r="L124" s="484">
        <f>SUMIFS(BV_Data_An_Cour!$AM:$AM,BV_Data_An_Cour!$AP:$AP,$B124,BV_Data_An_Cour!$AQ:$AQ,$C124,BV_Data_An_Cour!$AR:$AR,$L$2)</f>
        <v>7550.02</v>
      </c>
      <c r="M124" s="480"/>
      <c r="N124" s="484">
        <f t="shared" si="37"/>
        <v>7550.02</v>
      </c>
      <c r="O124" s="480"/>
      <c r="P124" s="48"/>
      <c r="Q124" s="484">
        <f>SUMIFS(BV_Data_An_Prec!$AM:$AM,BV_Data_An_Prec!$AP:$AP,$B124,BV_Data_An_Prec!$AQ:$AQ,$C124,BV_Data_An_Prec!$AR:$AR,$L$2)</f>
        <v>8566.49</v>
      </c>
      <c r="R124" s="480"/>
      <c r="S124" s="484">
        <f t="shared" si="38"/>
        <v>-1016.47</v>
      </c>
      <c r="T124" s="40"/>
      <c r="U124" s="40"/>
      <c r="V124" s="48"/>
      <c r="W124" s="48"/>
      <c r="X124" s="48"/>
      <c r="Y124" s="48"/>
      <c r="Z124" s="48"/>
      <c r="AA124" s="48"/>
      <c r="AB124" s="48"/>
      <c r="AC124" s="48"/>
      <c r="AD124" s="48"/>
      <c r="AE124" s="48"/>
      <c r="AF124" s="48"/>
      <c r="AG124" s="48"/>
      <c r="AH124" s="48"/>
      <c r="AI124" s="48"/>
      <c r="AJ124" s="48"/>
      <c r="AK124" s="48"/>
      <c r="AL124" s="48"/>
      <c r="AM124" s="48"/>
      <c r="AN124" s="48"/>
    </row>
    <row r="125" ht="15.75" customHeight="1">
      <c r="A125" s="5" t="s">
        <v>870</v>
      </c>
      <c r="B125" s="48" t="s">
        <v>151</v>
      </c>
      <c r="C125" s="560" t="s">
        <v>120</v>
      </c>
      <c r="D125" s="546"/>
      <c r="E125" s="48"/>
      <c r="F125" s="473" t="str">
        <f t="array" ref="F125">+INDEX('Budget original'!$A$2:$AO$501,MATCH($A125,'Budget original'!$A$2:$A$501,0),MATCH(F$2,'Budget original'!$A$2:$AO$2,0))</f>
        <v/>
      </c>
      <c r="G125" s="547"/>
      <c r="H125" s="48"/>
      <c r="I125" s="473"/>
      <c r="J125" s="480"/>
      <c r="K125" s="48"/>
      <c r="L125" s="484">
        <f>SUMIFS(BV_Data_An_Cour!$AM:$AM,BV_Data_An_Cour!$AP:$AP,$B125,BV_Data_An_Cour!$AQ:$AQ,$C125,BV_Data_An_Cour!$AR:$AR,$L$2)</f>
        <v>6530.17</v>
      </c>
      <c r="M125" s="480"/>
      <c r="N125" s="484">
        <f t="shared" si="37"/>
        <v>6530.17</v>
      </c>
      <c r="O125" s="480"/>
      <c r="P125" s="48"/>
      <c r="Q125" s="484">
        <f>SUMIFS(BV_Data_An_Prec!$AM:$AM,BV_Data_An_Prec!$AP:$AP,$B125,BV_Data_An_Prec!$AQ:$AQ,$C125,BV_Data_An_Prec!$AR:$AR,$L$2)</f>
        <v>14083.08</v>
      </c>
      <c r="R125" s="480"/>
      <c r="S125" s="484">
        <f t="shared" si="38"/>
        <v>-7552.91</v>
      </c>
      <c r="T125" s="40"/>
      <c r="U125" s="40"/>
      <c r="V125" s="48"/>
      <c r="W125" s="48"/>
      <c r="X125" s="48"/>
      <c r="Y125" s="48"/>
      <c r="Z125" s="48"/>
      <c r="AA125" s="48"/>
      <c r="AB125" s="48"/>
      <c r="AC125" s="48"/>
      <c r="AD125" s="48"/>
      <c r="AE125" s="48"/>
      <c r="AF125" s="48"/>
      <c r="AG125" s="48"/>
      <c r="AH125" s="48"/>
      <c r="AI125" s="48"/>
      <c r="AJ125" s="48"/>
      <c r="AK125" s="48"/>
      <c r="AL125" s="48"/>
      <c r="AM125" s="48"/>
      <c r="AN125" s="48"/>
    </row>
    <row r="126" ht="15.75" customHeight="1">
      <c r="A126" s="5" t="s">
        <v>871</v>
      </c>
      <c r="B126" s="48" t="s">
        <v>151</v>
      </c>
      <c r="C126" s="559" t="s">
        <v>121</v>
      </c>
      <c r="D126" s="561"/>
      <c r="E126" s="562"/>
      <c r="F126" s="481" t="str">
        <f t="array" ref="F126">+INDEX('Budget original'!$A$2:$AO$501,MATCH($A126,'Budget original'!$A$2:$A$501,0),MATCH(F$2,'Budget original'!$A$2:$AO$2,0))</f>
        <v/>
      </c>
      <c r="G126" s="563"/>
      <c r="H126" s="562"/>
      <c r="I126" s="481"/>
      <c r="J126" s="466"/>
      <c r="K126" s="562"/>
      <c r="L126" s="523">
        <f>SUMIFS(BV_Data_An_Cour!$AM:$AM,BV_Data_An_Cour!$AP:$AP,$B126,BV_Data_An_Cour!$AQ:$AQ,$C126,BV_Data_An_Cour!$AR:$AR,$L$2)</f>
        <v>2431.36</v>
      </c>
      <c r="M126" s="466"/>
      <c r="N126" s="523">
        <f t="shared" si="37"/>
        <v>2431.36</v>
      </c>
      <c r="O126" s="466"/>
      <c r="P126" s="562"/>
      <c r="Q126" s="523">
        <f>SUMIFS(BV_Data_An_Prec!$AM:$AM,BV_Data_An_Prec!$AP:$AP,$B126,BV_Data_An_Prec!$AQ:$AQ,$C126,BV_Data_An_Prec!$AR:$AR,$L$2)</f>
        <v>1534.68</v>
      </c>
      <c r="R126" s="466"/>
      <c r="S126" s="523">
        <f t="shared" si="38"/>
        <v>896.68</v>
      </c>
      <c r="T126" s="40"/>
      <c r="U126" s="40"/>
      <c r="V126" s="48"/>
      <c r="W126" s="48"/>
      <c r="X126" s="48"/>
      <c r="Y126" s="48"/>
      <c r="Z126" s="48"/>
      <c r="AA126" s="48"/>
      <c r="AB126" s="48"/>
      <c r="AC126" s="48"/>
      <c r="AD126" s="48"/>
      <c r="AE126" s="48"/>
      <c r="AF126" s="48"/>
      <c r="AG126" s="48"/>
      <c r="AH126" s="48"/>
      <c r="AI126" s="48"/>
      <c r="AJ126" s="48"/>
      <c r="AK126" s="48"/>
      <c r="AL126" s="48"/>
      <c r="AM126" s="48"/>
      <c r="AN126" s="48"/>
    </row>
    <row r="127" ht="20.25" hidden="1" customHeight="1">
      <c r="A127" s="5" t="s">
        <v>872</v>
      </c>
      <c r="B127" s="48" t="s">
        <v>151</v>
      </c>
      <c r="C127" s="559" t="s">
        <v>122</v>
      </c>
      <c r="D127" s="546"/>
      <c r="E127" s="48"/>
      <c r="F127" s="481" t="str">
        <f t="array" ref="F127">+INDEX('Budget original'!$A$2:$AO$501,MATCH($A127,'Budget original'!$A$2:$A$501,0),MATCH(F$2,'Budget original'!$A$2:$AO$2,0))</f>
        <v/>
      </c>
      <c r="G127" s="547"/>
      <c r="H127" s="48"/>
      <c r="I127" s="481"/>
      <c r="J127" s="480"/>
      <c r="K127" s="48"/>
      <c r="L127" s="484">
        <f>SUMIFS(BV_Data_An_Cour!$AM:$AM,BV_Data_An_Cour!$AP:$AP,$B127,BV_Data_An_Cour!$AQ:$AQ,$C127,BV_Data_An_Cour!$AR:$AR,$L$2)</f>
        <v>0</v>
      </c>
      <c r="M127" s="480"/>
      <c r="N127" s="484">
        <f t="shared" si="37"/>
        <v>0</v>
      </c>
      <c r="O127" s="480"/>
      <c r="P127" s="48"/>
      <c r="Q127" s="484">
        <f>SUMIFS(BV_Data_An_Prec!$AM:$AM,BV_Data_An_Prec!$AP:$AP,$B127,BV_Data_An_Prec!$AQ:$AQ,$C127,BV_Data_An_Prec!$AR:$AR,$L$2)</f>
        <v>0</v>
      </c>
      <c r="R127" s="480"/>
      <c r="S127" s="484">
        <f t="shared" si="38"/>
        <v>0</v>
      </c>
      <c r="T127" s="40"/>
      <c r="U127" s="40"/>
      <c r="V127" s="48"/>
      <c r="W127" s="48"/>
      <c r="X127" s="48"/>
      <c r="Y127" s="48"/>
      <c r="Z127" s="48"/>
      <c r="AA127" s="48"/>
      <c r="AB127" s="48"/>
      <c r="AC127" s="48"/>
      <c r="AD127" s="48"/>
      <c r="AE127" s="48"/>
      <c r="AF127" s="48"/>
      <c r="AG127" s="48"/>
      <c r="AH127" s="48"/>
      <c r="AI127" s="48"/>
      <c r="AJ127" s="48"/>
      <c r="AK127" s="48"/>
      <c r="AL127" s="48"/>
      <c r="AM127" s="48"/>
      <c r="AN127" s="48"/>
    </row>
    <row r="128" ht="20.25" hidden="1" customHeight="1">
      <c r="A128" s="5" t="s">
        <v>867</v>
      </c>
      <c r="B128" s="48" t="s">
        <v>151</v>
      </c>
      <c r="C128" s="559" t="s">
        <v>56</v>
      </c>
      <c r="D128" s="546"/>
      <c r="E128" s="48"/>
      <c r="F128" s="481" t="str">
        <f t="array" ref="F128">+INDEX('Budget original'!$A$2:$AO$501,MATCH($A128,'Budget original'!$A$2:$A$501,0),MATCH(F$2,'Budget original'!$A$2:$AO$2,0))</f>
        <v/>
      </c>
      <c r="G128" s="547"/>
      <c r="H128" s="48"/>
      <c r="I128" s="481"/>
      <c r="J128" s="480"/>
      <c r="K128" s="48"/>
      <c r="L128" s="484">
        <f>SUMIFS(BV_Data_An_Cour!$AM:$AM,BV_Data_An_Cour!$AP:$AP,$B128,BV_Data_An_Cour!$AQ:$AQ,$C128,BV_Data_An_Cour!$AR:$AR,$L$2)</f>
        <v>0</v>
      </c>
      <c r="M128" s="480"/>
      <c r="N128" s="484">
        <f t="shared" si="37"/>
        <v>0</v>
      </c>
      <c r="O128" s="480"/>
      <c r="P128" s="48"/>
      <c r="Q128" s="484">
        <f>SUMIFS(BV_Data_An_Prec!$AM:$AM,BV_Data_An_Prec!$AP:$AP,$B128,BV_Data_An_Prec!$AQ:$AQ,$C128,BV_Data_An_Prec!$AR:$AR,$L$2)</f>
        <v>0</v>
      </c>
      <c r="R128" s="480"/>
      <c r="S128" s="484">
        <f t="shared" si="38"/>
        <v>0</v>
      </c>
      <c r="T128" s="40"/>
      <c r="U128" s="40"/>
      <c r="V128" s="48"/>
      <c r="W128" s="48"/>
      <c r="X128" s="48"/>
      <c r="Y128" s="48"/>
      <c r="Z128" s="48"/>
      <c r="AA128" s="48"/>
      <c r="AB128" s="48"/>
      <c r="AC128" s="48"/>
      <c r="AD128" s="48"/>
      <c r="AE128" s="48"/>
      <c r="AF128" s="48"/>
      <c r="AG128" s="48"/>
      <c r="AH128" s="48"/>
      <c r="AI128" s="48"/>
      <c r="AJ128" s="48"/>
      <c r="AK128" s="48"/>
      <c r="AL128" s="48"/>
      <c r="AM128" s="48"/>
      <c r="AN128" s="48"/>
    </row>
    <row r="129" ht="20.25" hidden="1" customHeight="1">
      <c r="A129" s="5" t="s">
        <v>867</v>
      </c>
      <c r="B129" s="48" t="s">
        <v>151</v>
      </c>
      <c r="C129" s="559" t="s">
        <v>56</v>
      </c>
      <c r="D129" s="546"/>
      <c r="E129" s="48"/>
      <c r="F129" s="481" t="str">
        <f t="array" ref="F129">+INDEX('Budget original'!$A$2:$AO$501,MATCH($A129,'Budget original'!$A$2:$A$501,0),MATCH(F$2,'Budget original'!$A$2:$AO$2,0))</f>
        <v/>
      </c>
      <c r="G129" s="547"/>
      <c r="H129" s="48"/>
      <c r="I129" s="481"/>
      <c r="J129" s="480"/>
      <c r="K129" s="48"/>
      <c r="L129" s="484">
        <f>SUMIFS(BV_Data_An_Cour!$AM:$AM,BV_Data_An_Cour!$AP:$AP,$B129,BV_Data_An_Cour!$AQ:$AQ,$C129,BV_Data_An_Cour!$AR:$AR,$L$2)</f>
        <v>0</v>
      </c>
      <c r="M129" s="480"/>
      <c r="N129" s="484">
        <f t="shared" si="37"/>
        <v>0</v>
      </c>
      <c r="O129" s="480"/>
      <c r="P129" s="48"/>
      <c r="Q129" s="484">
        <f>SUMIFS(BV_Data_An_Prec!$AM:$AM,BV_Data_An_Prec!$AP:$AP,$B129,BV_Data_An_Prec!$AQ:$AQ,$C129,BV_Data_An_Prec!$AR:$AR,$L$2)</f>
        <v>0</v>
      </c>
      <c r="R129" s="480"/>
      <c r="S129" s="484">
        <f t="shared" si="38"/>
        <v>0</v>
      </c>
      <c r="T129" s="40"/>
      <c r="U129" s="40"/>
      <c r="V129" s="48"/>
      <c r="W129" s="48"/>
      <c r="X129" s="48"/>
      <c r="Y129" s="48"/>
      <c r="Z129" s="48"/>
      <c r="AA129" s="48"/>
      <c r="AB129" s="48"/>
      <c r="AC129" s="48"/>
      <c r="AD129" s="48"/>
      <c r="AE129" s="48"/>
      <c r="AF129" s="48"/>
      <c r="AG129" s="48"/>
      <c r="AH129" s="48"/>
      <c r="AI129" s="48"/>
      <c r="AJ129" s="48"/>
      <c r="AK129" s="48"/>
      <c r="AL129" s="48"/>
      <c r="AM129" s="48"/>
      <c r="AN129" s="48"/>
    </row>
    <row r="130" ht="20.25" hidden="1" customHeight="1">
      <c r="A130" s="5" t="s">
        <v>867</v>
      </c>
      <c r="B130" s="48" t="s">
        <v>151</v>
      </c>
      <c r="C130" s="559" t="s">
        <v>56</v>
      </c>
      <c r="D130" s="546"/>
      <c r="E130" s="48"/>
      <c r="F130" s="481" t="str">
        <f t="array" ref="F130">+INDEX('Budget original'!$A$2:$AO$501,MATCH($A130,'Budget original'!$A$2:$A$501,0),MATCH(F$2,'Budget original'!$A$2:$AO$2,0))</f>
        <v/>
      </c>
      <c r="G130" s="547"/>
      <c r="H130" s="48"/>
      <c r="I130" s="481"/>
      <c r="J130" s="480"/>
      <c r="K130" s="48"/>
      <c r="L130" s="484">
        <f>SUMIFS(BV_Data_An_Cour!$AM:$AM,BV_Data_An_Cour!$AP:$AP,$B130,BV_Data_An_Cour!$AQ:$AQ,$C130,BV_Data_An_Cour!$AR:$AR,$L$2)</f>
        <v>0</v>
      </c>
      <c r="M130" s="480"/>
      <c r="N130" s="484">
        <f t="shared" si="37"/>
        <v>0</v>
      </c>
      <c r="O130" s="480"/>
      <c r="P130" s="48"/>
      <c r="Q130" s="484">
        <f>SUMIFS(BV_Data_An_Prec!$AM:$AM,BV_Data_An_Prec!$AP:$AP,$B130,BV_Data_An_Prec!$AQ:$AQ,$C130,BV_Data_An_Prec!$AR:$AR,$L$2)</f>
        <v>0</v>
      </c>
      <c r="R130" s="480"/>
      <c r="S130" s="484">
        <f t="shared" si="38"/>
        <v>0</v>
      </c>
      <c r="T130" s="40"/>
      <c r="U130" s="40"/>
      <c r="V130" s="48"/>
      <c r="W130" s="48"/>
      <c r="X130" s="48"/>
      <c r="Y130" s="48"/>
      <c r="Z130" s="48"/>
      <c r="AA130" s="48"/>
      <c r="AB130" s="48"/>
      <c r="AC130" s="48"/>
      <c r="AD130" s="48"/>
      <c r="AE130" s="48"/>
      <c r="AF130" s="48"/>
      <c r="AG130" s="48"/>
      <c r="AH130" s="48"/>
      <c r="AI130" s="48"/>
      <c r="AJ130" s="48"/>
      <c r="AK130" s="48"/>
      <c r="AL130" s="48"/>
      <c r="AM130" s="48"/>
      <c r="AN130" s="48"/>
    </row>
    <row r="131" ht="15.75" customHeight="1">
      <c r="A131" s="5" t="s">
        <v>873</v>
      </c>
      <c r="B131" s="48" t="s">
        <v>151</v>
      </c>
      <c r="C131" s="560" t="s">
        <v>123</v>
      </c>
      <c r="D131" s="546"/>
      <c r="E131" s="48"/>
      <c r="F131" s="481" t="str">
        <f t="array" ref="F131">+INDEX('Budget original'!$A$2:$AO$501,MATCH($A131,'Budget original'!$A$2:$A$501,0),MATCH(F$2,'Budget original'!$A$2:$AO$2,0))</f>
        <v/>
      </c>
      <c r="G131" s="547"/>
      <c r="H131" s="48"/>
      <c r="I131" s="481"/>
      <c r="J131" s="480"/>
      <c r="K131" s="48"/>
      <c r="L131" s="484">
        <f>SUMIFS(BV_Data_An_Cour!$AM:$AM,BV_Data_An_Cour!$AP:$AP,$B131,BV_Data_An_Cour!$AQ:$AQ,$C131,BV_Data_An_Cour!$AR:$AR,$L$2)</f>
        <v>3777.73</v>
      </c>
      <c r="M131" s="480"/>
      <c r="N131" s="484">
        <f t="shared" si="37"/>
        <v>3777.73</v>
      </c>
      <c r="O131" s="480"/>
      <c r="P131" s="48"/>
      <c r="Q131" s="484">
        <f>SUMIFS(BV_Data_An_Prec!$AM:$AM,BV_Data_An_Prec!$AP:$AP,$B131,BV_Data_An_Prec!$AQ:$AQ,$C131,BV_Data_An_Prec!$AR:$AR,$L$2)</f>
        <v>1439.1</v>
      </c>
      <c r="R131" s="480"/>
      <c r="S131" s="484">
        <f t="shared" si="38"/>
        <v>2338.63</v>
      </c>
      <c r="T131" s="40"/>
      <c r="U131" s="40"/>
      <c r="V131" s="48"/>
      <c r="W131" s="48"/>
      <c r="X131" s="48"/>
      <c r="Y131" s="48"/>
      <c r="Z131" s="48"/>
      <c r="AA131" s="48"/>
      <c r="AB131" s="48"/>
      <c r="AC131" s="48"/>
      <c r="AD131" s="48"/>
      <c r="AE131" s="48"/>
      <c r="AF131" s="48"/>
      <c r="AG131" s="48"/>
      <c r="AH131" s="48"/>
      <c r="AI131" s="48"/>
      <c r="AJ131" s="48"/>
      <c r="AK131" s="48"/>
      <c r="AL131" s="48"/>
      <c r="AM131" s="48"/>
      <c r="AN131" s="48"/>
    </row>
    <row r="132" ht="15.75" customHeight="1">
      <c r="A132" s="5" t="s">
        <v>874</v>
      </c>
      <c r="B132" s="48" t="s">
        <v>151</v>
      </c>
      <c r="C132" s="559" t="s">
        <v>124</v>
      </c>
      <c r="D132" s="561"/>
      <c r="E132" s="562"/>
      <c r="F132" s="519" t="str">
        <f t="array" ref="F132">+INDEX('Budget original'!$A$2:$AO$501,MATCH($A132,'Budget original'!$A$2:$A$501,0),MATCH(F$2,'Budget original'!$A$2:$AO$2,0))</f>
        <v/>
      </c>
      <c r="G132" s="563"/>
      <c r="H132" s="562"/>
      <c r="I132" s="519"/>
      <c r="J132" s="466"/>
      <c r="K132" s="562"/>
      <c r="L132" s="523">
        <f>SUMIFS(BV_Data_An_Cour!$AM:$AM,BV_Data_An_Cour!$AP:$AP,$B132,BV_Data_An_Cour!$AQ:$AQ,$C132,BV_Data_An_Cour!$AR:$AR,$L$2)</f>
        <v>4370.89</v>
      </c>
      <c r="M132" s="466"/>
      <c r="N132" s="523">
        <f t="shared" si="37"/>
        <v>4370.89</v>
      </c>
      <c r="O132" s="466"/>
      <c r="P132" s="562"/>
      <c r="Q132" s="523">
        <f>SUMIFS(BV_Data_An_Prec!$AM:$AM,BV_Data_An_Prec!$AP:$AP,$B132,BV_Data_An_Prec!$AQ:$AQ,$C132,BV_Data_An_Prec!$AR:$AR,$L$2)</f>
        <v>1792.93</v>
      </c>
      <c r="R132" s="466"/>
      <c r="S132" s="523">
        <f t="shared" si="38"/>
        <v>2577.96</v>
      </c>
      <c r="T132" s="40"/>
      <c r="U132" s="40"/>
      <c r="V132" s="48"/>
      <c r="W132" s="48"/>
      <c r="X132" s="48"/>
      <c r="Y132" s="48"/>
      <c r="Z132" s="48"/>
      <c r="AA132" s="48"/>
      <c r="AB132" s="48"/>
      <c r="AC132" s="48"/>
      <c r="AD132" s="48"/>
      <c r="AE132" s="48"/>
      <c r="AF132" s="48"/>
      <c r="AG132" s="48"/>
      <c r="AH132" s="48"/>
      <c r="AI132" s="48"/>
      <c r="AJ132" s="48"/>
      <c r="AK132" s="48"/>
      <c r="AL132" s="48"/>
      <c r="AM132" s="48"/>
      <c r="AN132" s="48"/>
    </row>
    <row r="133" ht="15.75" customHeight="1">
      <c r="A133" s="5" t="s">
        <v>875</v>
      </c>
      <c r="B133" s="48" t="s">
        <v>151</v>
      </c>
      <c r="C133" s="559" t="s">
        <v>125</v>
      </c>
      <c r="D133" s="546"/>
      <c r="E133" s="48"/>
      <c r="F133" s="481" t="str">
        <f t="array" ref="F133">+INDEX('Budget original'!$A$2:$AO$501,MATCH($A133,'Budget original'!$A$2:$A$501,0),MATCH(F$2,'Budget original'!$A$2:$AO$2,0))</f>
        <v/>
      </c>
      <c r="G133" s="547"/>
      <c r="H133" s="48"/>
      <c r="I133" s="481"/>
      <c r="J133" s="480"/>
      <c r="K133" s="48"/>
      <c r="L133" s="484">
        <f>SUMIFS(BV_Data_An_Cour!$AM:$AM,BV_Data_An_Cour!$AP:$AP,$B133,BV_Data_An_Cour!$AQ:$AQ,$C133,BV_Data_An_Cour!$AR:$AR,$L$2)</f>
        <v>470.68</v>
      </c>
      <c r="M133" s="480"/>
      <c r="N133" s="484">
        <f t="shared" si="37"/>
        <v>470.68</v>
      </c>
      <c r="O133" s="480"/>
      <c r="P133" s="48"/>
      <c r="Q133" s="484">
        <f>SUMIFS(BV_Data_An_Prec!$AM:$AM,BV_Data_An_Prec!$AP:$AP,$B133,BV_Data_An_Prec!$AQ:$AQ,$C133,BV_Data_An_Prec!$AR:$AR,$L$2)</f>
        <v>3430.58</v>
      </c>
      <c r="R133" s="480"/>
      <c r="S133" s="484">
        <f t="shared" si="38"/>
        <v>-2959.9</v>
      </c>
      <c r="T133" s="40"/>
      <c r="U133" s="40"/>
      <c r="V133" s="48"/>
      <c r="W133" s="48"/>
      <c r="X133" s="48"/>
      <c r="Y133" s="48"/>
      <c r="Z133" s="48"/>
      <c r="AA133" s="48"/>
      <c r="AB133" s="48"/>
      <c r="AC133" s="48"/>
      <c r="AD133" s="48"/>
      <c r="AE133" s="48"/>
      <c r="AF133" s="48"/>
      <c r="AG133" s="48"/>
      <c r="AH133" s="48"/>
      <c r="AI133" s="48"/>
      <c r="AJ133" s="48"/>
      <c r="AK133" s="48"/>
      <c r="AL133" s="48"/>
      <c r="AM133" s="48"/>
      <c r="AN133" s="48"/>
    </row>
    <row r="134" ht="15.75" customHeight="1">
      <c r="A134" s="5" t="s">
        <v>876</v>
      </c>
      <c r="B134" s="48" t="s">
        <v>151</v>
      </c>
      <c r="C134" s="559" t="s">
        <v>126</v>
      </c>
      <c r="D134" s="546"/>
      <c r="E134" s="48"/>
      <c r="F134" s="481" t="str">
        <f t="array" ref="F134">+INDEX('Budget original'!$A$2:$AO$501,MATCH($A134,'Budget original'!$A$2:$A$501,0),MATCH(F$2,'Budget original'!$A$2:$AO$2,0))</f>
        <v/>
      </c>
      <c r="G134" s="547"/>
      <c r="H134" s="48"/>
      <c r="I134" s="481"/>
      <c r="J134" s="480"/>
      <c r="K134" s="48"/>
      <c r="L134" s="484">
        <f>SUMIFS(BV_Data_An_Cour!$AM:$AM,BV_Data_An_Cour!$AP:$AP,$B134,BV_Data_An_Cour!$AQ:$AQ,$C134,BV_Data_An_Cour!$AR:$AR,$L$2)</f>
        <v>2430.42</v>
      </c>
      <c r="M134" s="480"/>
      <c r="N134" s="484">
        <f t="shared" si="37"/>
        <v>2430.42</v>
      </c>
      <c r="O134" s="480"/>
      <c r="P134" s="48"/>
      <c r="Q134" s="484">
        <f>SUMIFS(BV_Data_An_Prec!$AM:$AM,BV_Data_An_Prec!$AP:$AP,$B134,BV_Data_An_Prec!$AQ:$AQ,$C134,BV_Data_An_Prec!$AR:$AR,$L$2)</f>
        <v>31.95</v>
      </c>
      <c r="R134" s="480"/>
      <c r="S134" s="484">
        <f t="shared" si="38"/>
        <v>2398.47</v>
      </c>
      <c r="T134" s="40"/>
      <c r="U134" s="40"/>
      <c r="V134" s="48"/>
      <c r="W134" s="48"/>
      <c r="X134" s="48"/>
      <c r="Y134" s="48"/>
      <c r="Z134" s="48"/>
      <c r="AA134" s="48"/>
      <c r="AB134" s="48"/>
      <c r="AC134" s="48"/>
      <c r="AD134" s="48"/>
      <c r="AE134" s="48"/>
      <c r="AF134" s="48"/>
      <c r="AG134" s="48"/>
      <c r="AH134" s="48"/>
      <c r="AI134" s="48"/>
      <c r="AJ134" s="48"/>
      <c r="AK134" s="48"/>
      <c r="AL134" s="48"/>
      <c r="AM134" s="48"/>
      <c r="AN134" s="48"/>
    </row>
    <row r="135" ht="20.25" hidden="1" customHeight="1">
      <c r="A135" s="5" t="s">
        <v>867</v>
      </c>
      <c r="B135" s="48" t="s">
        <v>151</v>
      </c>
      <c r="C135" s="480" t="s">
        <v>56</v>
      </c>
      <c r="D135" s="549"/>
      <c r="E135" s="564"/>
      <c r="F135" s="481" t="str">
        <f t="array" ref="F135">+INDEX('Budget original'!$A$2:$AO$501,MATCH($A135,'Budget original'!$A$2:$A$501,0),MATCH(F$2,'Budget original'!$A$2:$AO$2,0))</f>
        <v/>
      </c>
      <c r="G135" s="550"/>
      <c r="H135" s="564"/>
      <c r="I135" s="481"/>
      <c r="J135" s="471"/>
      <c r="K135" s="564"/>
      <c r="L135" s="484">
        <f>SUMIFS(BV_Data_An_Cour!$AM:$AM,BV_Data_An_Cour!$AP:$AP,$B135,BV_Data_An_Cour!$AQ:$AQ,$C135,BV_Data_An_Cour!$AR:$AR,$L$2)</f>
        <v>0</v>
      </c>
      <c r="M135" s="471"/>
      <c r="N135" s="476">
        <f t="shared" si="37"/>
        <v>0</v>
      </c>
      <c r="O135" s="471"/>
      <c r="P135" s="564"/>
      <c r="Q135" s="484">
        <f>SUMIFS(BV_Data_An_Prec!$AM:$AM,BV_Data_An_Prec!$AP:$AP,$B135,BV_Data_An_Prec!$AQ:$AQ,$C135,BV_Data_An_Prec!$AR:$AR,$L$2)</f>
        <v>0</v>
      </c>
      <c r="R135" s="471"/>
      <c r="S135" s="476">
        <f t="shared" si="38"/>
        <v>0</v>
      </c>
      <c r="T135" s="40"/>
      <c r="U135" s="40"/>
      <c r="V135" s="48"/>
      <c r="W135" s="48"/>
      <c r="X135" s="48"/>
      <c r="Y135" s="48"/>
      <c r="Z135" s="48"/>
      <c r="AA135" s="48"/>
      <c r="AB135" s="48"/>
      <c r="AC135" s="48"/>
      <c r="AD135" s="48"/>
      <c r="AE135" s="48"/>
      <c r="AF135" s="48"/>
      <c r="AG135" s="48"/>
      <c r="AH135" s="48"/>
      <c r="AI135" s="48"/>
      <c r="AJ135" s="48"/>
      <c r="AK135" s="48"/>
      <c r="AL135" s="48"/>
      <c r="AM135" s="48"/>
      <c r="AN135" s="48"/>
    </row>
    <row r="136" ht="18.0" customHeight="1">
      <c r="A136" s="5" t="s">
        <v>877</v>
      </c>
      <c r="B136" s="48" t="s">
        <v>151</v>
      </c>
      <c r="C136" s="552" t="s">
        <v>127</v>
      </c>
      <c r="D136" s="553" t="s">
        <v>225</v>
      </c>
      <c r="E136" s="554" t="str">
        <f>F136/F$109</f>
        <v>#DIV/0!</v>
      </c>
      <c r="F136" s="555">
        <f>+SUM(F124:F135)</f>
        <v>0</v>
      </c>
      <c r="G136" s="556"/>
      <c r="H136" s="554"/>
      <c r="I136" s="555"/>
      <c r="J136" s="556" t="s">
        <v>225</v>
      </c>
      <c r="K136" s="554">
        <f>L136/L$109</f>
        <v>0.7008689001</v>
      </c>
      <c r="L136" s="555">
        <f>SUM(L124:L135)</f>
        <v>27561.27</v>
      </c>
      <c r="M136" s="557"/>
      <c r="N136" s="555">
        <f t="shared" si="37"/>
        <v>27561.27</v>
      </c>
      <c r="O136" s="556" t="s">
        <v>225</v>
      </c>
      <c r="P136" s="554">
        <f>Q136/Q$109</f>
        <v>0.253344847</v>
      </c>
      <c r="Q136" s="555">
        <f>SUM(Q124:Q135)</f>
        <v>30878.81</v>
      </c>
      <c r="R136" s="558"/>
      <c r="S136" s="555">
        <f t="shared" si="38"/>
        <v>-3317.54</v>
      </c>
      <c r="T136" s="40"/>
      <c r="U136" s="40"/>
      <c r="V136" s="48"/>
      <c r="W136" s="48"/>
      <c r="X136" s="48"/>
      <c r="Y136" s="48"/>
      <c r="Z136" s="48"/>
      <c r="AA136" s="48"/>
      <c r="AB136" s="48"/>
      <c r="AC136" s="48"/>
      <c r="AD136" s="48"/>
      <c r="AE136" s="48"/>
      <c r="AF136" s="48"/>
      <c r="AG136" s="48"/>
      <c r="AH136" s="48"/>
      <c r="AI136" s="48"/>
      <c r="AJ136" s="48"/>
      <c r="AK136" s="48"/>
      <c r="AL136" s="48"/>
      <c r="AM136" s="48"/>
      <c r="AN136" s="48"/>
    </row>
    <row r="137" ht="20.25" hidden="1" customHeight="1">
      <c r="A137" s="5" t="s">
        <v>878</v>
      </c>
      <c r="B137" s="48" t="s">
        <v>151</v>
      </c>
      <c r="C137" s="480" t="s">
        <v>128</v>
      </c>
      <c r="D137" s="546"/>
      <c r="E137" s="48"/>
      <c r="F137" s="481" t="str">
        <f t="array" ref="F137">+INDEX('Budget original'!$A$2:$AO$501,MATCH($A137,'Budget original'!$A$2:$A$501,0),MATCH(F$2,'Budget original'!$A$2:$AO$2,0))</f>
        <v/>
      </c>
      <c r="G137" s="547"/>
      <c r="H137" s="48"/>
      <c r="I137" s="481"/>
      <c r="J137" s="480"/>
      <c r="K137" s="48"/>
      <c r="L137" s="484">
        <f>SUMIFS(BV_Data_An_Cour!$AM:$AM,BV_Data_An_Cour!$AP:$AP,$B137,BV_Data_An_Cour!$AQ:$AQ,$C137,BV_Data_An_Cour!$AR:$AR,$L$2)</f>
        <v>0</v>
      </c>
      <c r="M137" s="480"/>
      <c r="N137" s="484">
        <f t="shared" si="37"/>
        <v>0</v>
      </c>
      <c r="O137" s="480"/>
      <c r="P137" s="48"/>
      <c r="Q137" s="484">
        <f>SUMIFS(BV_Data_An_Prec!$AM:$AM,BV_Data_An_Prec!$AP:$AP,$B137,BV_Data_An_Prec!$AQ:$AQ,$C137,BV_Data_An_Prec!$AR:$AR,$L$2)</f>
        <v>0</v>
      </c>
      <c r="R137" s="480"/>
      <c r="S137" s="484">
        <f t="shared" si="38"/>
        <v>0</v>
      </c>
      <c r="T137" s="40"/>
      <c r="U137" s="40"/>
      <c r="V137" s="48"/>
      <c r="W137" s="48"/>
      <c r="X137" s="48"/>
      <c r="Y137" s="48"/>
      <c r="Z137" s="48"/>
      <c r="AA137" s="48"/>
      <c r="AB137" s="48"/>
      <c r="AC137" s="48"/>
      <c r="AD137" s="48"/>
      <c r="AE137" s="48"/>
      <c r="AF137" s="48"/>
      <c r="AG137" s="48"/>
      <c r="AH137" s="48"/>
      <c r="AI137" s="48"/>
      <c r="AJ137" s="48"/>
      <c r="AK137" s="48"/>
      <c r="AL137" s="48"/>
      <c r="AM137" s="48"/>
      <c r="AN137" s="48"/>
    </row>
    <row r="138" ht="20.25" hidden="1" customHeight="1">
      <c r="A138" s="5" t="s">
        <v>879</v>
      </c>
      <c r="B138" s="48" t="s">
        <v>151</v>
      </c>
      <c r="C138" s="480" t="s">
        <v>129</v>
      </c>
      <c r="D138" s="546"/>
      <c r="E138" s="48"/>
      <c r="F138" s="481" t="str">
        <f t="array" ref="F138">+INDEX('Budget original'!$A$2:$AO$501,MATCH($A138,'Budget original'!$A$2:$A$501,0),MATCH(F$2,'Budget original'!$A$2:$AO$2,0))</f>
        <v/>
      </c>
      <c r="G138" s="547"/>
      <c r="H138" s="48"/>
      <c r="I138" s="481"/>
      <c r="J138" s="480"/>
      <c r="K138" s="48"/>
      <c r="L138" s="484">
        <f>SUMIFS(BV_Data_An_Cour!$AM:$AM,BV_Data_An_Cour!$AP:$AP,$B138,BV_Data_An_Cour!$AQ:$AQ,$C138,BV_Data_An_Cour!$AR:$AR,$L$2)</f>
        <v>0</v>
      </c>
      <c r="M138" s="480"/>
      <c r="N138" s="484">
        <f t="shared" si="37"/>
        <v>0</v>
      </c>
      <c r="O138" s="480"/>
      <c r="P138" s="48"/>
      <c r="Q138" s="484">
        <f>SUMIFS(BV_Data_An_Prec!$AM:$AM,BV_Data_An_Prec!$AP:$AP,$B138,BV_Data_An_Prec!$AQ:$AQ,$C138,BV_Data_An_Prec!$AR:$AR,$L$2)</f>
        <v>0</v>
      </c>
      <c r="R138" s="480"/>
      <c r="S138" s="484">
        <f t="shared" si="38"/>
        <v>0</v>
      </c>
      <c r="T138" s="40"/>
      <c r="U138" s="40"/>
      <c r="V138" s="48"/>
      <c r="W138" s="48"/>
      <c r="X138" s="48"/>
      <c r="Y138" s="48"/>
      <c r="Z138" s="48"/>
      <c r="AA138" s="48"/>
      <c r="AB138" s="48"/>
      <c r="AC138" s="48"/>
      <c r="AD138" s="48"/>
      <c r="AE138" s="48"/>
      <c r="AF138" s="48"/>
      <c r="AG138" s="48"/>
      <c r="AH138" s="48"/>
      <c r="AI138" s="48"/>
      <c r="AJ138" s="48"/>
      <c r="AK138" s="48"/>
      <c r="AL138" s="48"/>
      <c r="AM138" s="48"/>
      <c r="AN138" s="48"/>
    </row>
    <row r="139" ht="15.75" customHeight="1">
      <c r="A139" s="5" t="s">
        <v>880</v>
      </c>
      <c r="B139" s="48" t="s">
        <v>151</v>
      </c>
      <c r="C139" s="471" t="s">
        <v>130</v>
      </c>
      <c r="D139" s="549"/>
      <c r="E139" s="564"/>
      <c r="F139" s="473" t="str">
        <f t="array" ref="F139">+INDEX('Budget original'!$A$2:$AO$501,MATCH($A139,'Budget original'!$A$2:$A$501,0),MATCH(F$2,'Budget original'!$A$2:$AO$2,0))</f>
        <v/>
      </c>
      <c r="G139" s="550"/>
      <c r="H139" s="564"/>
      <c r="I139" s="473"/>
      <c r="J139" s="471"/>
      <c r="K139" s="564"/>
      <c r="L139" s="476">
        <f>SUMIFS(BV_Data_An_Cour!$AM:$AM,BV_Data_An_Cour!$AP:$AP,$B139,BV_Data_An_Cour!$AQ:$AQ,$C139,BV_Data_An_Cour!$AR:$AR,$L$2)</f>
        <v>1747.13</v>
      </c>
      <c r="M139" s="471"/>
      <c r="N139" s="476">
        <f t="shared" si="37"/>
        <v>1747.13</v>
      </c>
      <c r="O139" s="471"/>
      <c r="P139" s="564"/>
      <c r="Q139" s="476">
        <f>SUMIFS(BV_Data_An_Prec!$AM:$AM,BV_Data_An_Prec!$AP:$AP,$B139,BV_Data_An_Prec!$AQ:$AQ,$C139,BV_Data_An_Prec!$AR:$AR,$L$2)</f>
        <v>3988.68</v>
      </c>
      <c r="R139" s="471"/>
      <c r="S139" s="476">
        <f t="shared" si="38"/>
        <v>-2241.55</v>
      </c>
      <c r="T139" s="40"/>
      <c r="U139" s="40"/>
      <c r="V139" s="48"/>
      <c r="W139" s="48"/>
      <c r="X139" s="48"/>
      <c r="Y139" s="48"/>
      <c r="Z139" s="48"/>
      <c r="AA139" s="48"/>
      <c r="AB139" s="48"/>
      <c r="AC139" s="48"/>
      <c r="AD139" s="48"/>
      <c r="AE139" s="48"/>
      <c r="AF139" s="48"/>
      <c r="AG139" s="48"/>
      <c r="AH139" s="48"/>
      <c r="AI139" s="48"/>
      <c r="AJ139" s="48"/>
      <c r="AK139" s="48"/>
      <c r="AL139" s="48"/>
      <c r="AM139" s="48"/>
      <c r="AN139" s="48"/>
    </row>
    <row r="140" ht="15.75" customHeight="1">
      <c r="A140" s="5" t="s">
        <v>881</v>
      </c>
      <c r="B140" s="48" t="s">
        <v>151</v>
      </c>
      <c r="C140" s="480" t="s">
        <v>131</v>
      </c>
      <c r="D140" s="546"/>
      <c r="E140" s="48"/>
      <c r="F140" s="481" t="str">
        <f t="array" ref="F140">+INDEX('Budget original'!$A$2:$AO$501,MATCH($A140,'Budget original'!$A$2:$A$501,0),MATCH(F$2,'Budget original'!$A$2:$AO$2,0))</f>
        <v/>
      </c>
      <c r="G140" s="547"/>
      <c r="H140" s="48"/>
      <c r="I140" s="481"/>
      <c r="J140" s="480"/>
      <c r="K140" s="48"/>
      <c r="L140" s="484">
        <f>SUMIFS(BV_Data_An_Cour!$AM:$AM,BV_Data_An_Cour!$AP:$AP,$B140,BV_Data_An_Cour!$AQ:$AQ,$C140,BV_Data_An_Cour!$AR:$AR,$L$2)</f>
        <v>1889.53</v>
      </c>
      <c r="M140" s="480"/>
      <c r="N140" s="484">
        <f t="shared" si="37"/>
        <v>1889.53</v>
      </c>
      <c r="O140" s="480"/>
      <c r="P140" s="48"/>
      <c r="Q140" s="484">
        <f>SUMIFS(BV_Data_An_Prec!$AM:$AM,BV_Data_An_Prec!$AP:$AP,$B140,BV_Data_An_Prec!$AQ:$AQ,$C140,BV_Data_An_Prec!$AR:$AR,$L$2)</f>
        <v>892.36</v>
      </c>
      <c r="R140" s="480"/>
      <c r="S140" s="484">
        <f t="shared" si="38"/>
        <v>997.17</v>
      </c>
      <c r="T140" s="40"/>
      <c r="U140" s="40"/>
      <c r="V140" s="48"/>
      <c r="W140" s="48"/>
      <c r="X140" s="48"/>
      <c r="Y140" s="48"/>
      <c r="Z140" s="48"/>
      <c r="AA140" s="48"/>
      <c r="AB140" s="48"/>
      <c r="AC140" s="48"/>
      <c r="AD140" s="48"/>
      <c r="AE140" s="48"/>
      <c r="AF140" s="48"/>
      <c r="AG140" s="48"/>
      <c r="AH140" s="48"/>
      <c r="AI140" s="48"/>
      <c r="AJ140" s="48"/>
      <c r="AK140" s="48"/>
      <c r="AL140" s="48"/>
      <c r="AM140" s="48"/>
      <c r="AN140" s="48"/>
    </row>
    <row r="141" ht="15.75" customHeight="1">
      <c r="A141" s="5" t="s">
        <v>882</v>
      </c>
      <c r="B141" s="48" t="s">
        <v>151</v>
      </c>
      <c r="C141" s="480" t="s">
        <v>132</v>
      </c>
      <c r="D141" s="546"/>
      <c r="E141" s="48"/>
      <c r="F141" s="481" t="str">
        <f t="array" ref="F141">+INDEX('Budget original'!$A$2:$AO$501,MATCH($A141,'Budget original'!$A$2:$A$501,0),MATCH(F$2,'Budget original'!$A$2:$AO$2,0))</f>
        <v/>
      </c>
      <c r="G141" s="547"/>
      <c r="H141" s="48"/>
      <c r="I141" s="481"/>
      <c r="J141" s="480"/>
      <c r="K141" s="48"/>
      <c r="L141" s="484">
        <f>SUMIFS(BV_Data_An_Cour!$AM:$AM,BV_Data_An_Cour!$AP:$AP,$B141,BV_Data_An_Cour!$AQ:$AQ,$C141,BV_Data_An_Cour!$AR:$AR,$L$2)</f>
        <v>439.39</v>
      </c>
      <c r="M141" s="480"/>
      <c r="N141" s="484">
        <f t="shared" si="37"/>
        <v>439.39</v>
      </c>
      <c r="O141" s="480"/>
      <c r="P141" s="48"/>
      <c r="Q141" s="484">
        <f>SUMIFS(BV_Data_An_Prec!$AM:$AM,BV_Data_An_Prec!$AP:$AP,$B141,BV_Data_An_Prec!$AQ:$AQ,$C141,BV_Data_An_Prec!$AR:$AR,$L$2)</f>
        <v>6479.02</v>
      </c>
      <c r="R141" s="480"/>
      <c r="S141" s="484">
        <f t="shared" si="38"/>
        <v>-6039.63</v>
      </c>
      <c r="T141" s="604"/>
      <c r="U141" s="40"/>
      <c r="V141" s="48"/>
      <c r="W141" s="48"/>
      <c r="X141" s="48"/>
      <c r="Y141" s="48"/>
      <c r="Z141" s="48"/>
      <c r="AA141" s="48"/>
      <c r="AB141" s="48"/>
      <c r="AC141" s="48"/>
      <c r="AD141" s="48"/>
      <c r="AE141" s="48"/>
      <c r="AF141" s="48"/>
      <c r="AG141" s="48"/>
      <c r="AH141" s="48"/>
      <c r="AI141" s="48"/>
      <c r="AJ141" s="48"/>
      <c r="AK141" s="48"/>
      <c r="AL141" s="48"/>
      <c r="AM141" s="48"/>
      <c r="AN141" s="48"/>
    </row>
    <row r="142" ht="15.75" customHeight="1">
      <c r="A142" s="5" t="s">
        <v>883</v>
      </c>
      <c r="B142" s="48" t="s">
        <v>151</v>
      </c>
      <c r="C142" s="471" t="s">
        <v>133</v>
      </c>
      <c r="D142" s="549"/>
      <c r="E142" s="564"/>
      <c r="F142" s="473" t="str">
        <f t="array" ref="F142">+INDEX('Budget original'!$A$2:$AO$501,MATCH($A142,'Budget original'!$A$2:$A$501,0),MATCH(F$2,'Budget original'!$A$2:$AO$2,0))</f>
        <v/>
      </c>
      <c r="G142" s="550"/>
      <c r="H142" s="564"/>
      <c r="I142" s="473"/>
      <c r="J142" s="471"/>
      <c r="K142" s="564"/>
      <c r="L142" s="476">
        <f>SUMIFS(BV_Data_An_Cour!$AM:$AM,BV_Data_An_Cour!$AP:$AP,$B142,BV_Data_An_Cour!$AQ:$AQ,$C142,BV_Data_An_Cour!$AR:$AR,$L$2)</f>
        <v>1957.02</v>
      </c>
      <c r="M142" s="471"/>
      <c r="N142" s="476">
        <f t="shared" si="37"/>
        <v>1957.02</v>
      </c>
      <c r="O142" s="471"/>
      <c r="P142" s="564"/>
      <c r="Q142" s="476">
        <f>SUMIFS(BV_Data_An_Prec!$AM:$AM,BV_Data_An_Prec!$AP:$AP,$B142,BV_Data_An_Prec!$AQ:$AQ,$C142,BV_Data_An_Prec!$AR:$AR,$L$2)</f>
        <v>5700.76</v>
      </c>
      <c r="R142" s="471"/>
      <c r="S142" s="476">
        <f t="shared" si="38"/>
        <v>-3743.74</v>
      </c>
      <c r="T142" s="40"/>
      <c r="U142" s="540"/>
      <c r="V142" s="48"/>
      <c r="W142" s="48"/>
      <c r="X142" s="48"/>
      <c r="Y142" s="48"/>
      <c r="Z142" s="48"/>
      <c r="AA142" s="48"/>
      <c r="AB142" s="48"/>
      <c r="AC142" s="48"/>
      <c r="AD142" s="48"/>
      <c r="AE142" s="48"/>
      <c r="AF142" s="48"/>
      <c r="AG142" s="48"/>
      <c r="AH142" s="48"/>
      <c r="AI142" s="48"/>
      <c r="AJ142" s="48"/>
      <c r="AK142" s="48"/>
      <c r="AL142" s="48"/>
      <c r="AM142" s="48"/>
      <c r="AN142" s="48"/>
    </row>
    <row r="143" ht="15.75" customHeight="1">
      <c r="A143" s="5" t="s">
        <v>884</v>
      </c>
      <c r="B143" s="48" t="s">
        <v>151</v>
      </c>
      <c r="C143" s="480" t="s">
        <v>134</v>
      </c>
      <c r="D143" s="546"/>
      <c r="E143" s="48"/>
      <c r="F143" s="481" t="str">
        <f t="array" ref="F143">+INDEX('Budget original'!$A$2:$AO$501,MATCH($A143,'Budget original'!$A$2:$A$501,0),MATCH(F$2,'Budget original'!$A$2:$AO$2,0))</f>
        <v/>
      </c>
      <c r="G143" s="547"/>
      <c r="H143" s="48"/>
      <c r="I143" s="481"/>
      <c r="J143" s="480"/>
      <c r="K143" s="48"/>
      <c r="L143" s="484">
        <f>SUMIFS(BV_Data_An_Cour!$AM:$AM,BV_Data_An_Cour!$AP:$AP,$B143,BV_Data_An_Cour!$AQ:$AQ,$C143,BV_Data_An_Cour!$AR:$AR,$L$2)</f>
        <v>210.47</v>
      </c>
      <c r="M143" s="480"/>
      <c r="N143" s="484">
        <f t="shared" si="37"/>
        <v>210.47</v>
      </c>
      <c r="O143" s="480"/>
      <c r="P143" s="48"/>
      <c r="Q143" s="484">
        <f>SUMIFS(BV_Data_An_Prec!$AM:$AM,BV_Data_An_Prec!$AP:$AP,$B143,BV_Data_An_Prec!$AQ:$AQ,$C143,BV_Data_An_Prec!$AR:$AR,$L$2)</f>
        <v>104.12</v>
      </c>
      <c r="R143" s="480"/>
      <c r="S143" s="484">
        <f t="shared" si="38"/>
        <v>106.35</v>
      </c>
      <c r="T143" s="40"/>
      <c r="U143" s="40"/>
      <c r="V143" s="48"/>
      <c r="W143" s="48"/>
      <c r="X143" s="48"/>
      <c r="Y143" s="48"/>
      <c r="Z143" s="48"/>
      <c r="AA143" s="48"/>
      <c r="AB143" s="48"/>
      <c r="AC143" s="48"/>
      <c r="AD143" s="48"/>
      <c r="AE143" s="48"/>
      <c r="AF143" s="48"/>
      <c r="AG143" s="48"/>
      <c r="AH143" s="48"/>
      <c r="AI143" s="48"/>
      <c r="AJ143" s="48"/>
      <c r="AK143" s="48"/>
      <c r="AL143" s="48"/>
      <c r="AM143" s="48"/>
      <c r="AN143" s="48"/>
    </row>
    <row r="144" ht="15.75" customHeight="1">
      <c r="A144" s="5" t="s">
        <v>885</v>
      </c>
      <c r="B144" s="48" t="s">
        <v>151</v>
      </c>
      <c r="C144" s="480" t="s">
        <v>135</v>
      </c>
      <c r="D144" s="546"/>
      <c r="E144" s="48"/>
      <c r="F144" s="481" t="str">
        <f t="array" ref="F144">+INDEX('Budget original'!$A$2:$AO$501,MATCH($A144,'Budget original'!$A$2:$A$501,0),MATCH(F$2,'Budget original'!$A$2:$AO$2,0))</f>
        <v/>
      </c>
      <c r="G144" s="547"/>
      <c r="H144" s="48"/>
      <c r="I144" s="481"/>
      <c r="J144" s="480"/>
      <c r="K144" s="48"/>
      <c r="L144" s="484">
        <f>SUMIFS(BV_Data_An_Cour!$AM:$AM,BV_Data_An_Cour!$AP:$AP,$B144,BV_Data_An_Cour!$AQ:$AQ,$C144,BV_Data_An_Cour!$AR:$AR,$L$2)</f>
        <v>0</v>
      </c>
      <c r="M144" s="480"/>
      <c r="N144" s="484">
        <f t="shared" si="37"/>
        <v>0</v>
      </c>
      <c r="O144" s="480"/>
      <c r="P144" s="48"/>
      <c r="Q144" s="484">
        <f>SUMIFS(BV_Data_An_Prec!$AM:$AM,BV_Data_An_Prec!$AP:$AP,$B144,BV_Data_An_Prec!$AQ:$AQ,$C144,BV_Data_An_Prec!$AR:$AR,$L$2)</f>
        <v>0</v>
      </c>
      <c r="R144" s="480"/>
      <c r="S144" s="484">
        <f t="shared" si="38"/>
        <v>0</v>
      </c>
      <c r="T144" s="40"/>
      <c r="U144" s="540"/>
      <c r="V144" s="48"/>
      <c r="W144" s="48"/>
      <c r="X144" s="48"/>
      <c r="Y144" s="48"/>
      <c r="Z144" s="48"/>
      <c r="AA144" s="48"/>
      <c r="AB144" s="48"/>
      <c r="AC144" s="48"/>
      <c r="AD144" s="48"/>
      <c r="AE144" s="48"/>
      <c r="AF144" s="48"/>
      <c r="AG144" s="48"/>
      <c r="AH144" s="48"/>
      <c r="AI144" s="48"/>
      <c r="AJ144" s="48"/>
      <c r="AK144" s="48"/>
      <c r="AL144" s="48"/>
      <c r="AM144" s="48"/>
      <c r="AN144" s="48"/>
    </row>
    <row r="145" ht="15.75" customHeight="1">
      <c r="A145" s="5" t="s">
        <v>886</v>
      </c>
      <c r="B145" s="48" t="s">
        <v>151</v>
      </c>
      <c r="C145" s="480" t="s">
        <v>136</v>
      </c>
      <c r="D145" s="546"/>
      <c r="E145" s="48"/>
      <c r="F145" s="481" t="str">
        <f t="array" ref="F145">+INDEX('Budget original'!$A$2:$AO$501,MATCH($A145,'Budget original'!$A$2:$A$501,0),MATCH(F$2,'Budget original'!$A$2:$AO$2,0))</f>
        <v/>
      </c>
      <c r="G145" s="547"/>
      <c r="H145" s="48"/>
      <c r="I145" s="481"/>
      <c r="J145" s="480"/>
      <c r="K145" s="48"/>
      <c r="L145" s="484">
        <f>SUMIFS(BV_Data_An_Cour!$AM:$AM,BV_Data_An_Cour!$AP:$AP,$B145,BV_Data_An_Cour!$AQ:$AQ,$C145,BV_Data_An_Cour!$AR:$AR,$L$2)</f>
        <v>162.7</v>
      </c>
      <c r="M145" s="480"/>
      <c r="N145" s="484">
        <f t="shared" si="37"/>
        <v>162.7</v>
      </c>
      <c r="O145" s="480"/>
      <c r="P145" s="48"/>
      <c r="Q145" s="484">
        <f>SUMIFS(BV_Data_An_Prec!$AM:$AM,BV_Data_An_Prec!$AP:$AP,$B145,BV_Data_An_Prec!$AQ:$AQ,$C145,BV_Data_An_Prec!$AR:$AR,$L$2)</f>
        <v>240.25</v>
      </c>
      <c r="R145" s="480"/>
      <c r="S145" s="484">
        <f t="shared" si="38"/>
        <v>-77.55</v>
      </c>
      <c r="T145" s="40"/>
      <c r="U145" s="40"/>
      <c r="V145" s="48"/>
      <c r="W145" s="48"/>
      <c r="X145" s="48"/>
      <c r="Y145" s="48"/>
      <c r="Z145" s="48"/>
      <c r="AA145" s="48"/>
      <c r="AB145" s="48"/>
      <c r="AC145" s="48"/>
      <c r="AD145" s="48"/>
      <c r="AE145" s="48"/>
      <c r="AF145" s="48"/>
      <c r="AG145" s="48"/>
      <c r="AH145" s="48"/>
      <c r="AI145" s="48"/>
      <c r="AJ145" s="48"/>
      <c r="AK145" s="48"/>
      <c r="AL145" s="48"/>
      <c r="AM145" s="48"/>
      <c r="AN145" s="48"/>
    </row>
    <row r="146" ht="15.75" customHeight="1">
      <c r="A146" s="5" t="s">
        <v>887</v>
      </c>
      <c r="B146" s="48" t="s">
        <v>151</v>
      </c>
      <c r="C146" s="480" t="s">
        <v>137</v>
      </c>
      <c r="D146" s="546"/>
      <c r="E146" s="48"/>
      <c r="F146" s="481" t="str">
        <f t="array" ref="F146">+INDEX('Budget original'!$A$2:$AO$501,MATCH($A146,'Budget original'!$A$2:$A$501,0),MATCH(F$2,'Budget original'!$A$2:$AO$2,0))</f>
        <v/>
      </c>
      <c r="G146" s="547"/>
      <c r="H146" s="48"/>
      <c r="I146" s="481"/>
      <c r="J146" s="480"/>
      <c r="K146" s="48"/>
      <c r="L146" s="484">
        <f>SUMIFS(BV_Data_An_Cour!$AM:$AM,BV_Data_An_Cour!$AP:$AP,$B146,BV_Data_An_Cour!$AQ:$AQ,$C146,BV_Data_An_Cour!$AR:$AR,$L$2)</f>
        <v>296.13</v>
      </c>
      <c r="M146" s="480"/>
      <c r="N146" s="484">
        <f t="shared" si="37"/>
        <v>296.13</v>
      </c>
      <c r="O146" s="480"/>
      <c r="P146" s="48"/>
      <c r="Q146" s="484">
        <f>SUMIFS(BV_Data_An_Prec!$AM:$AM,BV_Data_An_Prec!$AP:$AP,$B146,BV_Data_An_Prec!$AQ:$AQ,$C146,BV_Data_An_Prec!$AR:$AR,$L$2)</f>
        <v>105.31</v>
      </c>
      <c r="R146" s="480"/>
      <c r="S146" s="484">
        <f t="shared" si="38"/>
        <v>190.82</v>
      </c>
      <c r="T146" s="40"/>
      <c r="U146" s="40"/>
      <c r="V146" s="48"/>
      <c r="W146" s="48"/>
      <c r="X146" s="48"/>
      <c r="Y146" s="48"/>
      <c r="Z146" s="48"/>
      <c r="AA146" s="48"/>
      <c r="AB146" s="48"/>
      <c r="AC146" s="48"/>
      <c r="AD146" s="48"/>
      <c r="AE146" s="48"/>
      <c r="AF146" s="48"/>
      <c r="AG146" s="48"/>
      <c r="AH146" s="48"/>
      <c r="AI146" s="48"/>
      <c r="AJ146" s="48"/>
      <c r="AK146" s="48"/>
      <c r="AL146" s="48"/>
      <c r="AM146" s="48"/>
      <c r="AN146" s="48"/>
    </row>
    <row r="147" ht="15.75" customHeight="1">
      <c r="A147" s="5" t="s">
        <v>888</v>
      </c>
      <c r="B147" s="48" t="s">
        <v>151</v>
      </c>
      <c r="C147" s="480" t="s">
        <v>138</v>
      </c>
      <c r="D147" s="546"/>
      <c r="E147" s="48"/>
      <c r="F147" s="481" t="str">
        <f t="array" ref="F147">+INDEX('Budget original'!$A$2:$AO$501,MATCH($A147,'Budget original'!$A$2:$A$501,0),MATCH(F$2,'Budget original'!$A$2:$AO$2,0))</f>
        <v/>
      </c>
      <c r="G147" s="547"/>
      <c r="H147" s="48"/>
      <c r="I147" s="481"/>
      <c r="J147" s="480"/>
      <c r="K147" s="48"/>
      <c r="L147" s="484">
        <f>SUMIFS(BV_Data_An_Cour!$AM:$AM,BV_Data_An_Cour!$AP:$AP,$B147,BV_Data_An_Cour!$AQ:$AQ,$C147,BV_Data_An_Cour!$AR:$AR,$L$2)</f>
        <v>765.28</v>
      </c>
      <c r="M147" s="480"/>
      <c r="N147" s="484">
        <f t="shared" si="37"/>
        <v>765.28</v>
      </c>
      <c r="O147" s="480"/>
      <c r="P147" s="48"/>
      <c r="Q147" s="484">
        <f>SUMIFS(BV_Data_An_Prec!$AM:$AM,BV_Data_An_Prec!$AP:$AP,$B147,BV_Data_An_Prec!$AQ:$AQ,$C147,BV_Data_An_Prec!$AR:$AR,$L$2)</f>
        <v>1586.26</v>
      </c>
      <c r="R147" s="480"/>
      <c r="S147" s="484">
        <f t="shared" si="38"/>
        <v>-820.98</v>
      </c>
      <c r="T147" s="40"/>
      <c r="U147" s="40"/>
      <c r="V147" s="48"/>
      <c r="W147" s="48"/>
      <c r="X147" s="48"/>
      <c r="Y147" s="48"/>
      <c r="Z147" s="48"/>
      <c r="AA147" s="48"/>
      <c r="AB147" s="48"/>
      <c r="AC147" s="48"/>
      <c r="AD147" s="48"/>
      <c r="AE147" s="48"/>
      <c r="AF147" s="48"/>
      <c r="AG147" s="48"/>
      <c r="AH147" s="48"/>
      <c r="AI147" s="48"/>
      <c r="AJ147" s="48"/>
      <c r="AK147" s="48"/>
      <c r="AL147" s="48"/>
      <c r="AM147" s="48"/>
      <c r="AN147" s="48"/>
    </row>
    <row r="148" ht="15.75" customHeight="1">
      <c r="A148" s="5" t="s">
        <v>889</v>
      </c>
      <c r="B148" s="48" t="s">
        <v>151</v>
      </c>
      <c r="C148" s="480" t="s">
        <v>139</v>
      </c>
      <c r="D148" s="546"/>
      <c r="E148" s="48"/>
      <c r="F148" s="481" t="str">
        <f t="array" ref="F148">+INDEX('Budget original'!$A$2:$AO$501,MATCH($A148,'Budget original'!$A$2:$A$501,0),MATCH(F$2,'Budget original'!$A$2:$AO$2,0))</f>
        <v/>
      </c>
      <c r="G148" s="547"/>
      <c r="H148" s="48"/>
      <c r="I148" s="481"/>
      <c r="J148" s="480"/>
      <c r="K148" s="48"/>
      <c r="L148" s="484">
        <f>SUMIFS(BV_Data_An_Cour!$AM:$AM,BV_Data_An_Cour!$AP:$AP,$B148,BV_Data_An_Cour!$AQ:$AQ,$C148,BV_Data_An_Cour!$AR:$AR,$L$2)</f>
        <v>1872.19</v>
      </c>
      <c r="M148" s="480"/>
      <c r="N148" s="484">
        <f t="shared" si="37"/>
        <v>1872.19</v>
      </c>
      <c r="O148" s="480"/>
      <c r="P148" s="48"/>
      <c r="Q148" s="484">
        <f>SUMIFS(BV_Data_An_Prec!$AM:$AM,BV_Data_An_Prec!$AP:$AP,$B148,BV_Data_An_Prec!$AQ:$AQ,$C148,BV_Data_An_Prec!$AR:$AR,$L$2)</f>
        <v>3098.5</v>
      </c>
      <c r="R148" s="480"/>
      <c r="S148" s="484">
        <f t="shared" si="38"/>
        <v>-1226.31</v>
      </c>
      <c r="T148" s="40"/>
      <c r="U148" s="40"/>
      <c r="V148" s="48"/>
      <c r="W148" s="48"/>
      <c r="X148" s="48"/>
      <c r="Y148" s="48"/>
      <c r="Z148" s="48"/>
      <c r="AA148" s="48"/>
      <c r="AB148" s="48"/>
      <c r="AC148" s="48"/>
      <c r="AD148" s="48"/>
      <c r="AE148" s="48"/>
      <c r="AF148" s="48"/>
      <c r="AG148" s="48"/>
      <c r="AH148" s="48"/>
      <c r="AI148" s="48"/>
      <c r="AJ148" s="48"/>
      <c r="AK148" s="48"/>
      <c r="AL148" s="48"/>
      <c r="AM148" s="48"/>
      <c r="AN148" s="48"/>
    </row>
    <row r="149" ht="15.75" customHeight="1">
      <c r="A149" s="5" t="s">
        <v>890</v>
      </c>
      <c r="B149" s="48" t="s">
        <v>151</v>
      </c>
      <c r="C149" s="480" t="s">
        <v>140</v>
      </c>
      <c r="D149" s="546"/>
      <c r="E149" s="48"/>
      <c r="F149" s="481" t="str">
        <f t="array" ref="F149">+INDEX('Budget original'!$A$2:$AO$501,MATCH($A149,'Budget original'!$A$2:$A$501,0),MATCH(F$2,'Budget original'!$A$2:$AO$2,0))</f>
        <v/>
      </c>
      <c r="G149" s="547"/>
      <c r="H149" s="48"/>
      <c r="I149" s="481"/>
      <c r="J149" s="480"/>
      <c r="K149" s="48"/>
      <c r="L149" s="484">
        <f>SUMIFS(BV_Data_An_Cour!$AM:$AM,BV_Data_An_Cour!$AP:$AP,$B149,BV_Data_An_Cour!$AQ:$AQ,$C149,BV_Data_An_Cour!$AR:$AR,$L$2)</f>
        <v>0</v>
      </c>
      <c r="M149" s="480"/>
      <c r="N149" s="484">
        <f t="shared" si="37"/>
        <v>0</v>
      </c>
      <c r="O149" s="480"/>
      <c r="P149" s="48"/>
      <c r="Q149" s="484">
        <f>SUMIFS(BV_Data_An_Prec!$AM:$AM,BV_Data_An_Prec!$AP:$AP,$B149,BV_Data_An_Prec!$AQ:$AQ,$C149,BV_Data_An_Prec!$AR:$AR,$L$2)</f>
        <v>0</v>
      </c>
      <c r="R149" s="480"/>
      <c r="S149" s="484">
        <f t="shared" si="38"/>
        <v>0</v>
      </c>
      <c r="T149" s="40"/>
      <c r="U149" s="40"/>
      <c r="X149" s="48"/>
      <c r="Y149" s="48"/>
      <c r="Z149" s="48"/>
      <c r="AA149" s="48"/>
      <c r="AB149" s="48"/>
      <c r="AC149" s="48"/>
      <c r="AD149" s="48"/>
      <c r="AE149" s="48"/>
      <c r="AF149" s="48"/>
      <c r="AG149" s="48"/>
      <c r="AH149" s="48"/>
      <c r="AI149" s="48"/>
      <c r="AJ149" s="48"/>
      <c r="AK149" s="48"/>
      <c r="AL149" s="48"/>
      <c r="AM149" s="48"/>
      <c r="AN149" s="48"/>
    </row>
    <row r="150" ht="15.75" customHeight="1">
      <c r="A150" s="5" t="s">
        <v>891</v>
      </c>
      <c r="B150" s="48" t="s">
        <v>151</v>
      </c>
      <c r="C150" s="480" t="s">
        <v>141</v>
      </c>
      <c r="D150" s="546"/>
      <c r="E150" s="48"/>
      <c r="F150" s="481" t="str">
        <f t="array" ref="F150">+INDEX('Budget original'!$A$2:$AO$501,MATCH($A150,'Budget original'!$A$2:$A$501,0),MATCH(F$2,'Budget original'!$A$2:$AO$2,0))</f>
        <v/>
      </c>
      <c r="G150" s="547"/>
      <c r="H150" s="48"/>
      <c r="I150" s="481"/>
      <c r="J150" s="480"/>
      <c r="K150" s="48"/>
      <c r="L150" s="484">
        <f>SUMIFS(BV_Data_An_Cour!$AM:$AM,BV_Data_An_Cour!$AP:$AP,$B150,BV_Data_An_Cour!$AQ:$AQ,$C150,BV_Data_An_Cour!$AR:$AR,$L$2)</f>
        <v>1645.38</v>
      </c>
      <c r="M150" s="480"/>
      <c r="N150" s="484">
        <f t="shared" si="37"/>
        <v>1645.38</v>
      </c>
      <c r="O150" s="480"/>
      <c r="P150" s="48"/>
      <c r="Q150" s="484">
        <f>SUMIFS(BV_Data_An_Prec!$AM:$AM,BV_Data_An_Prec!$AP:$AP,$B150,BV_Data_An_Prec!$AQ:$AQ,$C150,BV_Data_An_Prec!$AR:$AR,$L$2)</f>
        <v>251.75</v>
      </c>
      <c r="R150" s="480"/>
      <c r="S150" s="484">
        <f t="shared" si="38"/>
        <v>1393.63</v>
      </c>
      <c r="T150" s="540"/>
      <c r="U150" s="40"/>
      <c r="X150" s="48"/>
      <c r="Y150" s="48"/>
      <c r="Z150" s="48"/>
      <c r="AA150" s="48"/>
      <c r="AB150" s="48"/>
      <c r="AC150" s="48"/>
      <c r="AD150" s="48"/>
      <c r="AE150" s="48"/>
      <c r="AF150" s="48"/>
      <c r="AG150" s="48"/>
      <c r="AH150" s="48"/>
      <c r="AI150" s="48"/>
      <c r="AJ150" s="48"/>
      <c r="AK150" s="48"/>
      <c r="AL150" s="48"/>
      <c r="AM150" s="48"/>
      <c r="AN150" s="48"/>
    </row>
    <row r="151" ht="20.25" hidden="1" customHeight="1">
      <c r="A151" s="5" t="s">
        <v>867</v>
      </c>
      <c r="B151" s="48" t="s">
        <v>151</v>
      </c>
      <c r="C151" s="480" t="s">
        <v>56</v>
      </c>
      <c r="D151" s="546"/>
      <c r="E151" s="48"/>
      <c r="F151" s="481" t="str">
        <f t="array" ref="F151">+INDEX('Budget original'!$A$2:$AO$501,MATCH($A151,'Budget original'!$A$2:$A$501,0),MATCH(F$2,'Budget original'!$A$2:$AO$2,0))</f>
        <v/>
      </c>
      <c r="G151" s="547"/>
      <c r="H151" s="48"/>
      <c r="I151" s="481"/>
      <c r="J151" s="480"/>
      <c r="K151" s="48"/>
      <c r="L151" s="484">
        <f>SUMIFS(BV_Data_An_Cour!$AM:$AM,BV_Data_An_Cour!$AP:$AP,$B151,BV_Data_An_Cour!$AQ:$AQ,$C151,BV_Data_An_Cour!$AR:$AR,$L$2)</f>
        <v>0</v>
      </c>
      <c r="M151" s="480"/>
      <c r="N151" s="484">
        <f t="shared" si="37"/>
        <v>0</v>
      </c>
      <c r="O151" s="480"/>
      <c r="P151" s="48"/>
      <c r="Q151" s="484">
        <f>SUMIFS(BV_Data_An_Prec!$AM:$AM,BV_Data_An_Prec!$AP:$AP,$B151,BV_Data_An_Prec!$AQ:$AQ,$C151,BV_Data_An_Prec!$AR:$AR,$L$2)</f>
        <v>0</v>
      </c>
      <c r="R151" s="480"/>
      <c r="S151" s="484">
        <f t="shared" si="38"/>
        <v>0</v>
      </c>
      <c r="T151" s="40"/>
      <c r="U151" s="40"/>
      <c r="X151" s="48"/>
      <c r="Y151" s="48"/>
      <c r="Z151" s="48"/>
      <c r="AA151" s="48"/>
      <c r="AB151" s="48"/>
      <c r="AC151" s="48"/>
      <c r="AD151" s="48"/>
      <c r="AE151" s="48"/>
      <c r="AF151" s="48"/>
      <c r="AG151" s="48"/>
      <c r="AH151" s="48"/>
      <c r="AI151" s="48"/>
      <c r="AJ151" s="48"/>
      <c r="AK151" s="48"/>
      <c r="AL151" s="48"/>
      <c r="AM151" s="48"/>
      <c r="AN151" s="48"/>
    </row>
    <row r="152" ht="20.25" hidden="1" customHeight="1">
      <c r="A152" s="5" t="s">
        <v>867</v>
      </c>
      <c r="B152" s="48" t="s">
        <v>151</v>
      </c>
      <c r="C152" s="480" t="s">
        <v>56</v>
      </c>
      <c r="D152" s="546"/>
      <c r="E152" s="48"/>
      <c r="F152" s="481" t="str">
        <f t="array" ref="F152">+INDEX('Budget original'!$A$2:$AO$501,MATCH($A152,'Budget original'!$A$2:$A$501,0),MATCH(F$2,'Budget original'!$A$2:$AO$2,0))</f>
        <v/>
      </c>
      <c r="G152" s="547"/>
      <c r="H152" s="48"/>
      <c r="I152" s="481"/>
      <c r="J152" s="480"/>
      <c r="K152" s="48"/>
      <c r="L152" s="484">
        <f>SUMIFS(BV_Data_An_Cour!$AM:$AM,BV_Data_An_Cour!$AP:$AP,$B152,BV_Data_An_Cour!$AQ:$AQ,$C152,BV_Data_An_Cour!$AR:$AR,$L$2)</f>
        <v>0</v>
      </c>
      <c r="M152" s="480"/>
      <c r="N152" s="484">
        <f t="shared" si="37"/>
        <v>0</v>
      </c>
      <c r="O152" s="480"/>
      <c r="P152" s="48"/>
      <c r="Q152" s="484">
        <f>SUMIFS(BV_Data_An_Prec!$AM:$AM,BV_Data_An_Prec!$AP:$AP,$B152,BV_Data_An_Prec!$AQ:$AQ,$C152,BV_Data_An_Prec!$AR:$AR,$L$2)</f>
        <v>0</v>
      </c>
      <c r="R152" s="480"/>
      <c r="S152" s="484">
        <f t="shared" si="38"/>
        <v>0</v>
      </c>
      <c r="T152" s="40"/>
      <c r="U152" s="40"/>
      <c r="X152" s="48"/>
      <c r="Y152" s="48"/>
      <c r="Z152" s="48"/>
      <c r="AA152" s="48"/>
      <c r="AB152" s="48"/>
      <c r="AC152" s="48"/>
      <c r="AD152" s="48"/>
      <c r="AE152" s="48"/>
      <c r="AF152" s="48"/>
      <c r="AG152" s="48"/>
      <c r="AH152" s="48"/>
      <c r="AI152" s="48"/>
      <c r="AJ152" s="48"/>
      <c r="AK152" s="48"/>
      <c r="AL152" s="48"/>
      <c r="AM152" s="48"/>
      <c r="AN152" s="48"/>
    </row>
    <row r="153" ht="20.25" hidden="1" customHeight="1">
      <c r="A153" s="5" t="s">
        <v>867</v>
      </c>
      <c r="B153" s="48" t="s">
        <v>151</v>
      </c>
      <c r="C153" s="480" t="s">
        <v>56</v>
      </c>
      <c r="D153" s="546"/>
      <c r="E153" s="48"/>
      <c r="F153" s="481" t="str">
        <f t="array" ref="F153">+INDEX('Budget original'!$A$2:$AO$501,MATCH($A153,'Budget original'!$A$2:$A$501,0),MATCH(F$2,'Budget original'!$A$2:$AO$2,0))</f>
        <v/>
      </c>
      <c r="G153" s="547"/>
      <c r="H153" s="48"/>
      <c r="I153" s="481"/>
      <c r="J153" s="480"/>
      <c r="K153" s="48"/>
      <c r="L153" s="484">
        <f>SUMIFS(BV_Data_An_Cour!$AM:$AM,BV_Data_An_Cour!$AP:$AP,$B153,BV_Data_An_Cour!$AQ:$AQ,$C153,BV_Data_An_Cour!$AR:$AR,$L$2)</f>
        <v>0</v>
      </c>
      <c r="M153" s="480"/>
      <c r="N153" s="484">
        <f t="shared" si="37"/>
        <v>0</v>
      </c>
      <c r="O153" s="480"/>
      <c r="P153" s="48"/>
      <c r="Q153" s="484">
        <f>SUMIFS(BV_Data_An_Prec!$AM:$AM,BV_Data_An_Prec!$AP:$AP,$B153,BV_Data_An_Prec!$AQ:$AQ,$C153,BV_Data_An_Prec!$AR:$AR,$L$2)</f>
        <v>0</v>
      </c>
      <c r="R153" s="480"/>
      <c r="S153" s="484">
        <f t="shared" si="38"/>
        <v>0</v>
      </c>
      <c r="T153" s="540"/>
      <c r="U153" s="40"/>
      <c r="X153" s="48"/>
      <c r="Y153" s="48"/>
      <c r="Z153" s="48"/>
      <c r="AA153" s="48"/>
      <c r="AB153" s="48"/>
      <c r="AC153" s="48"/>
      <c r="AD153" s="48"/>
      <c r="AE153" s="48"/>
      <c r="AF153" s="48"/>
      <c r="AG153" s="48"/>
      <c r="AH153" s="48"/>
      <c r="AI153" s="48"/>
      <c r="AJ153" s="48"/>
      <c r="AK153" s="48"/>
      <c r="AL153" s="48"/>
      <c r="AM153" s="48"/>
      <c r="AN153" s="48"/>
    </row>
    <row r="154" ht="18.0" customHeight="1">
      <c r="A154" s="5" t="s">
        <v>892</v>
      </c>
      <c r="B154" s="48" t="s">
        <v>151</v>
      </c>
      <c r="C154" s="552" t="s">
        <v>142</v>
      </c>
      <c r="D154" s="553" t="s">
        <v>225</v>
      </c>
      <c r="E154" s="554" t="str">
        <f>F154/F$109</f>
        <v>#DIV/0!</v>
      </c>
      <c r="F154" s="555">
        <f>+SUM(F137:F153)</f>
        <v>0</v>
      </c>
      <c r="G154" s="556"/>
      <c r="H154" s="554"/>
      <c r="I154" s="555"/>
      <c r="J154" s="556" t="s">
        <v>225</v>
      </c>
      <c r="K154" s="554">
        <f>L154/L$109</f>
        <v>0.2793484864</v>
      </c>
      <c r="L154" s="555">
        <f>+SUM(L137:L153)</f>
        <v>10985.22</v>
      </c>
      <c r="M154" s="557"/>
      <c r="N154" s="555">
        <f t="shared" si="37"/>
        <v>10985.22</v>
      </c>
      <c r="O154" s="556" t="s">
        <v>225</v>
      </c>
      <c r="P154" s="554">
        <f>Q154/Q$109</f>
        <v>0.1841662393</v>
      </c>
      <c r="Q154" s="555">
        <f>+SUM(Q137:Q153)</f>
        <v>22447.01</v>
      </c>
      <c r="R154" s="558"/>
      <c r="S154" s="555">
        <f t="shared" si="38"/>
        <v>-11461.79</v>
      </c>
      <c r="T154" s="40"/>
      <c r="U154" s="40"/>
      <c r="V154" s="48"/>
      <c r="W154" s="48"/>
      <c r="X154" s="48"/>
      <c r="Y154" s="48"/>
      <c r="Z154" s="48"/>
      <c r="AA154" s="48"/>
      <c r="AB154" s="48"/>
      <c r="AC154" s="48"/>
      <c r="AD154" s="48"/>
      <c r="AE154" s="48"/>
      <c r="AF154" s="48"/>
      <c r="AG154" s="48"/>
      <c r="AH154" s="48"/>
      <c r="AI154" s="48"/>
      <c r="AJ154" s="48"/>
      <c r="AK154" s="48"/>
      <c r="AL154" s="48"/>
      <c r="AM154" s="48"/>
      <c r="AN154" s="48"/>
    </row>
    <row r="155" ht="15.75" customHeight="1">
      <c r="A155" s="5" t="s">
        <v>151</v>
      </c>
      <c r="B155" s="48" t="s">
        <v>151</v>
      </c>
      <c r="C155" s="471"/>
      <c r="D155" s="549"/>
      <c r="E155" s="564"/>
      <c r="F155" s="484"/>
      <c r="G155" s="550"/>
      <c r="H155" s="564"/>
      <c r="I155" s="484"/>
      <c r="J155" s="471"/>
      <c r="K155" s="564"/>
      <c r="L155" s="476"/>
      <c r="M155" s="471"/>
      <c r="N155" s="476"/>
      <c r="O155" s="471"/>
      <c r="P155" s="564"/>
      <c r="Q155" s="476"/>
      <c r="R155" s="471"/>
      <c r="S155" s="476"/>
      <c r="T155" s="565"/>
      <c r="U155" s="40"/>
      <c r="V155" s="48"/>
      <c r="W155" s="48"/>
      <c r="X155" s="48"/>
      <c r="Y155" s="48"/>
      <c r="Z155" s="48"/>
      <c r="AA155" s="48"/>
      <c r="AB155" s="48"/>
      <c r="AC155" s="48"/>
      <c r="AD155" s="48"/>
      <c r="AE155" s="48"/>
      <c r="AF155" s="48"/>
      <c r="AG155" s="48"/>
      <c r="AH155" s="48"/>
      <c r="AI155" s="48"/>
      <c r="AJ155" s="48"/>
      <c r="AK155" s="48"/>
      <c r="AL155" s="48"/>
      <c r="AM155" s="48"/>
      <c r="AN155" s="48"/>
    </row>
    <row r="156" ht="18.0" customHeight="1">
      <c r="A156" s="5" t="s">
        <v>893</v>
      </c>
      <c r="B156" s="48" t="s">
        <v>151</v>
      </c>
      <c r="C156" s="552" t="s">
        <v>143</v>
      </c>
      <c r="D156" s="553" t="s">
        <v>225</v>
      </c>
      <c r="E156" s="554" t="str">
        <f>F156/F$109</f>
        <v>#DIV/0!</v>
      </c>
      <c r="F156" s="555">
        <f>F123+F136+F154</f>
        <v>0</v>
      </c>
      <c r="G156" s="556"/>
      <c r="H156" s="554"/>
      <c r="I156" s="555"/>
      <c r="J156" s="556" t="s">
        <v>225</v>
      </c>
      <c r="K156" s="554">
        <f>L156/L$109</f>
        <v>1.586602781</v>
      </c>
      <c r="L156" s="555">
        <f>L123+L136+L154</f>
        <v>62392.25</v>
      </c>
      <c r="M156" s="557"/>
      <c r="N156" s="555">
        <f t="shared" ref="N156:N163" si="41">L156-F156</f>
        <v>62392.25</v>
      </c>
      <c r="O156" s="556" t="s">
        <v>225</v>
      </c>
      <c r="P156" s="554">
        <f>Q156/Q$109</f>
        <v>0.7951935644</v>
      </c>
      <c r="Q156" s="555">
        <f>Q123+Q136+Q154</f>
        <v>96921.77</v>
      </c>
      <c r="R156" s="558"/>
      <c r="S156" s="555">
        <f t="shared" ref="S156:S164" si="42">L156-Q156</f>
        <v>-34529.52</v>
      </c>
      <c r="T156" s="40"/>
      <c r="U156" s="40"/>
      <c r="V156" s="48"/>
      <c r="W156" s="48"/>
      <c r="X156" s="48"/>
      <c r="Y156" s="48"/>
      <c r="Z156" s="48"/>
      <c r="AA156" s="48"/>
      <c r="AB156" s="48"/>
      <c r="AC156" s="48"/>
      <c r="AD156" s="48"/>
      <c r="AE156" s="48"/>
      <c r="AF156" s="48"/>
      <c r="AG156" s="48"/>
      <c r="AH156" s="48"/>
      <c r="AI156" s="48"/>
      <c r="AJ156" s="48"/>
      <c r="AK156" s="48"/>
      <c r="AL156" s="48"/>
      <c r="AM156" s="48"/>
      <c r="AN156" s="48"/>
    </row>
    <row r="157" ht="21.0" hidden="1" customHeight="1">
      <c r="A157" s="5" t="s">
        <v>894</v>
      </c>
      <c r="B157" s="48" t="s">
        <v>151</v>
      </c>
      <c r="C157" s="566" t="s">
        <v>158</v>
      </c>
      <c r="D157" s="605"/>
      <c r="E157" s="606"/>
      <c r="F157" s="481" t="str">
        <f t="array" ref="F157">+INDEX('Budget original'!$A$2:$AO$501,MATCH($A157,'Budget original'!$A$2:$A$501,0),MATCH(F$2,'Budget original'!$A$2:$AO$2,0))</f>
        <v/>
      </c>
      <c r="G157" s="607"/>
      <c r="H157" s="606"/>
      <c r="I157" s="481"/>
      <c r="J157" s="607"/>
      <c r="K157" s="606"/>
      <c r="L157" s="484">
        <v>0.0</v>
      </c>
      <c r="M157" s="480"/>
      <c r="N157" s="484">
        <f t="shared" si="41"/>
        <v>0</v>
      </c>
      <c r="O157" s="607"/>
      <c r="P157" s="606"/>
      <c r="Q157" s="484">
        <v>0.0</v>
      </c>
      <c r="R157" s="480"/>
      <c r="S157" s="484">
        <f t="shared" si="42"/>
        <v>0</v>
      </c>
      <c r="T157" s="565"/>
      <c r="U157" s="40"/>
      <c r="V157" s="48"/>
      <c r="W157" s="48"/>
      <c r="X157" s="48"/>
      <c r="Y157" s="48"/>
      <c r="Z157" s="48"/>
      <c r="AA157" s="48"/>
      <c r="AB157" s="48"/>
      <c r="AC157" s="48"/>
      <c r="AD157" s="48"/>
      <c r="AE157" s="48"/>
      <c r="AF157" s="48"/>
      <c r="AG157" s="48"/>
      <c r="AH157" s="48"/>
      <c r="AI157" s="48"/>
      <c r="AJ157" s="48"/>
      <c r="AK157" s="48"/>
      <c r="AL157" s="48"/>
      <c r="AM157" s="48"/>
      <c r="AN157" s="48"/>
    </row>
    <row r="158" ht="21.0" hidden="1" customHeight="1">
      <c r="A158" s="5" t="s">
        <v>895</v>
      </c>
      <c r="B158" s="48" t="s">
        <v>151</v>
      </c>
      <c r="C158" s="566" t="s">
        <v>159</v>
      </c>
      <c r="D158" s="605"/>
      <c r="E158" s="606"/>
      <c r="F158" s="481" t="str">
        <f t="array" ref="F158">+INDEX('Budget original'!$A$2:$AO$501,MATCH($A158,'Budget original'!$A$2:$A$501,0),MATCH(F$2,'Budget original'!$A$2:$AO$2,0))</f>
        <v/>
      </c>
      <c r="G158" s="607"/>
      <c r="H158" s="606"/>
      <c r="I158" s="481"/>
      <c r="J158" s="607"/>
      <c r="K158" s="606"/>
      <c r="L158" s="484">
        <f>-SUMIFS(BV_Data_An_Cour!$AM:$AM,BV_Data_An_Cour!$AP:$AP,$B158,BV_Data_An_Cour!$AQ:$AQ,$C158,BV_Data_An_Cour!$AR:$AR,$L$2)</f>
        <v>0</v>
      </c>
      <c r="M158" s="480"/>
      <c r="N158" s="484">
        <f t="shared" si="41"/>
        <v>0</v>
      </c>
      <c r="O158" s="607"/>
      <c r="P158" s="606"/>
      <c r="Q158" s="484">
        <f>-SUMIFS(BV_Data_An_Prec!$AM:$AM,BV_Data_An_Prec!$AP:$AP,$B158,BV_Data_An_Prec!$AQ:$AQ,$C158,BV_Data_An_Prec!$AR:$AR,$L$2)</f>
        <v>0</v>
      </c>
      <c r="R158" s="480"/>
      <c r="S158" s="484">
        <f t="shared" si="42"/>
        <v>0</v>
      </c>
      <c r="T158" s="565"/>
      <c r="U158" s="40"/>
      <c r="V158" s="48"/>
      <c r="W158" s="48"/>
      <c r="X158" s="48"/>
      <c r="Y158" s="48"/>
      <c r="Z158" s="48"/>
      <c r="AA158" s="48"/>
      <c r="AB158" s="48"/>
      <c r="AC158" s="48"/>
      <c r="AD158" s="48"/>
      <c r="AE158" s="48"/>
      <c r="AF158" s="48"/>
      <c r="AG158" s="48"/>
      <c r="AH158" s="48"/>
      <c r="AI158" s="48"/>
      <c r="AJ158" s="48"/>
      <c r="AK158" s="48"/>
      <c r="AL158" s="48"/>
      <c r="AM158" s="48"/>
      <c r="AN158" s="48"/>
    </row>
    <row r="159" ht="21.0" hidden="1" customHeight="1">
      <c r="A159" s="5" t="s">
        <v>896</v>
      </c>
      <c r="B159" s="48" t="s">
        <v>151</v>
      </c>
      <c r="C159" s="566" t="s">
        <v>160</v>
      </c>
      <c r="D159" s="546"/>
      <c r="E159" s="48"/>
      <c r="F159" s="481" t="str">
        <f t="array" ref="F159">+INDEX('Budget original'!$A$2:$AO$501,MATCH($A159,'Budget original'!$A$2:$A$501,0),MATCH(F$2,'Budget original'!$A$2:$AO$2,0))</f>
        <v/>
      </c>
      <c r="G159" s="547"/>
      <c r="H159" s="48"/>
      <c r="I159" s="481"/>
      <c r="J159" s="480"/>
      <c r="K159" s="48"/>
      <c r="L159" s="484">
        <f>-SUMIFS(BV_Data_An_Cour!$AM:$AM,BV_Data_An_Cour!$AP:$AP,$B159,BV_Data_An_Cour!$AQ:$AQ,$C159,BV_Data_An_Cour!$AR:$AR,$L$2)</f>
        <v>0</v>
      </c>
      <c r="M159" s="480"/>
      <c r="N159" s="484">
        <f t="shared" si="41"/>
        <v>0</v>
      </c>
      <c r="O159" s="480"/>
      <c r="P159" s="48"/>
      <c r="Q159" s="484">
        <f>-SUMIFS(BV_Data_An_Prec!$AM:$AM,BV_Data_An_Prec!$AP:$AP,$B159,BV_Data_An_Prec!$AQ:$AQ,$C159,BV_Data_An_Prec!$AR:$AR,$L$2)</f>
        <v>0</v>
      </c>
      <c r="R159" s="480"/>
      <c r="S159" s="484">
        <f t="shared" si="42"/>
        <v>0</v>
      </c>
      <c r="T159" s="565"/>
      <c r="U159" s="40"/>
      <c r="V159" s="48"/>
      <c r="W159" s="48"/>
      <c r="X159" s="48"/>
      <c r="Y159" s="48"/>
      <c r="Z159" s="48"/>
      <c r="AA159" s="48"/>
      <c r="AB159" s="48"/>
      <c r="AC159" s="48"/>
      <c r="AD159" s="48"/>
      <c r="AE159" s="48"/>
      <c r="AF159" s="48"/>
      <c r="AG159" s="48"/>
      <c r="AH159" s="48"/>
      <c r="AI159" s="48"/>
      <c r="AJ159" s="48"/>
      <c r="AK159" s="48"/>
      <c r="AL159" s="48"/>
      <c r="AM159" s="48"/>
      <c r="AN159" s="48"/>
    </row>
    <row r="160" ht="21.0" customHeight="1">
      <c r="A160" s="5" t="s">
        <v>897</v>
      </c>
      <c r="B160" s="48" t="s">
        <v>151</v>
      </c>
      <c r="C160" s="480" t="s">
        <v>148</v>
      </c>
      <c r="D160" s="608" t="str">
        <f>E160/474</f>
        <v>#DIV/0!</v>
      </c>
      <c r="E160" s="567" t="str">
        <f>F160/D97</f>
        <v>#DIV/0!</v>
      </c>
      <c r="F160" s="481" t="str">
        <f t="array" ref="F160">+INDEX('Budget original'!$A$2:$AO$501,MATCH($A160,'Budget original'!$A$2:$A$501,0),MATCH(F$2,'Budget original'!$A$2:$AO$2,0))</f>
        <v/>
      </c>
      <c r="G160" s="547"/>
      <c r="H160" s="48"/>
      <c r="I160" s="481"/>
      <c r="J160" s="570">
        <f>K160/500</f>
        <v>0.5</v>
      </c>
      <c r="K160" s="567">
        <f>L160/J97</f>
        <v>250</v>
      </c>
      <c r="L160" s="484">
        <f>-SUMIFS(BV_Data_An_Cour!$AM:$AM,BV_Data_An_Cour!$AP:$AP,$B160,BV_Data_An_Cour!$AQ:$AQ,$C160,BV_Data_An_Cour!$AR:$AR,L$2)</f>
        <v>5500</v>
      </c>
      <c r="M160" s="480"/>
      <c r="N160" s="484">
        <f t="shared" si="41"/>
        <v>5500</v>
      </c>
      <c r="O160" s="570">
        <f>P160/500</f>
        <v>0</v>
      </c>
      <c r="P160" s="567">
        <f>Q160/O97</f>
        <v>0</v>
      </c>
      <c r="Q160" s="484">
        <f>-SUMIFS(BV_Data_An_Prec!$AM:$AM,BV_Data_An_Prec!$AP:$AP,$B160,BV_Data_An_Prec!$AQ:$AQ,$C160,BV_Data_An_Prec!$AR:$AR,Q$2)</f>
        <v>0</v>
      </c>
      <c r="R160" s="480"/>
      <c r="S160" s="484">
        <f t="shared" si="42"/>
        <v>5500</v>
      </c>
      <c r="T160" s="565"/>
      <c r="U160" s="40"/>
      <c r="V160" s="48"/>
      <c r="W160" s="48"/>
      <c r="X160" s="48"/>
      <c r="Y160" s="48"/>
      <c r="Z160" s="48"/>
      <c r="AA160" s="48"/>
      <c r="AB160" s="48"/>
      <c r="AC160" s="48"/>
      <c r="AD160" s="48"/>
      <c r="AE160" s="48"/>
      <c r="AF160" s="48"/>
      <c r="AG160" s="48"/>
      <c r="AH160" s="48"/>
      <c r="AI160" s="48"/>
      <c r="AJ160" s="48"/>
      <c r="AK160" s="48"/>
      <c r="AL160" s="48"/>
      <c r="AM160" s="48"/>
      <c r="AN160" s="48"/>
    </row>
    <row r="161" ht="21.0" hidden="1" customHeight="1">
      <c r="A161" s="5" t="s">
        <v>867</v>
      </c>
      <c r="B161" s="48" t="s">
        <v>151</v>
      </c>
      <c r="C161" s="480" t="s">
        <v>56</v>
      </c>
      <c r="D161" s="546"/>
      <c r="E161" s="48"/>
      <c r="F161" s="481" t="str">
        <f t="array" ref="F161">+INDEX('Budget original'!$A$2:$AO$501,MATCH($A161,'Budget original'!$A$2:$A$501,0),MATCH(F$2,'Budget original'!$A$2:$AO$2,0))</f>
        <v/>
      </c>
      <c r="G161" s="547"/>
      <c r="H161" s="48"/>
      <c r="I161" s="481"/>
      <c r="J161" s="480"/>
      <c r="K161" s="48"/>
      <c r="L161" s="484">
        <f>-SUMIFS(BV_Data_An_Cour!$AM:$AM,BV_Data_An_Cour!$AP:$AP,$B161,BV_Data_An_Cour!$AQ:$AQ,$C161,BV_Data_An_Cour!$AR:$AR,$L$2)</f>
        <v>0</v>
      </c>
      <c r="M161" s="480"/>
      <c r="N161" s="484">
        <f t="shared" si="41"/>
        <v>0</v>
      </c>
      <c r="O161" s="480"/>
      <c r="P161" s="48"/>
      <c r="Q161" s="484">
        <f>-SUMIFS(BV_Data_An_Prec!$AM:$AM,BV_Data_An_Prec!$AP:$AP,$B161,BV_Data_An_Prec!$AQ:$AQ,$C161,BV_Data_An_Prec!$AR:$AR,$L$2)</f>
        <v>0</v>
      </c>
      <c r="R161" s="480"/>
      <c r="S161" s="484">
        <f t="shared" si="42"/>
        <v>0</v>
      </c>
      <c r="T161" s="565"/>
      <c r="U161" s="40"/>
      <c r="V161" s="48"/>
      <c r="W161" s="48"/>
      <c r="X161" s="48"/>
      <c r="Y161" s="48"/>
      <c r="Z161" s="48"/>
      <c r="AA161" s="48"/>
      <c r="AB161" s="48"/>
      <c r="AC161" s="48"/>
      <c r="AD161" s="48"/>
      <c r="AE161" s="48"/>
      <c r="AF161" s="48"/>
      <c r="AG161" s="48"/>
      <c r="AH161" s="48"/>
      <c r="AI161" s="48"/>
      <c r="AJ161" s="48"/>
      <c r="AK161" s="48"/>
      <c r="AL161" s="48"/>
      <c r="AM161" s="48"/>
      <c r="AN161" s="48"/>
    </row>
    <row r="162" ht="21.0" hidden="1" customHeight="1">
      <c r="A162" s="5" t="s">
        <v>867</v>
      </c>
      <c r="B162" s="48" t="s">
        <v>151</v>
      </c>
      <c r="C162" s="480" t="s">
        <v>56</v>
      </c>
      <c r="D162" s="546"/>
      <c r="E162" s="48"/>
      <c r="F162" s="481" t="str">
        <f t="array" ref="F162">+INDEX('Budget original'!$A$2:$AO$501,MATCH($A162,'Budget original'!$A$2:$A$501,0),MATCH(F$2,'Budget original'!$A$2:$AO$2,0))</f>
        <v/>
      </c>
      <c r="G162" s="547"/>
      <c r="H162" s="48"/>
      <c r="I162" s="481"/>
      <c r="J162" s="480"/>
      <c r="K162" s="48"/>
      <c r="L162" s="484">
        <f>-SUMIFS(BV_Data_An_Cour!$AM:$AM,BV_Data_An_Cour!$AP:$AP,$B162,BV_Data_An_Cour!$AQ:$AQ,$C162,BV_Data_An_Cour!$AR:$AR,$L$2)</f>
        <v>0</v>
      </c>
      <c r="M162" s="480"/>
      <c r="N162" s="484">
        <f t="shared" si="41"/>
        <v>0</v>
      </c>
      <c r="O162" s="480"/>
      <c r="P162" s="48"/>
      <c r="Q162" s="484">
        <f>-SUMIFS(BV_Data_An_Prec!$AM:$AM,BV_Data_An_Prec!$AP:$AP,$B162,BV_Data_An_Prec!$AQ:$AQ,$C162,BV_Data_An_Prec!$AR:$AR,$L$2)</f>
        <v>0</v>
      </c>
      <c r="R162" s="480"/>
      <c r="S162" s="484">
        <f t="shared" si="42"/>
        <v>0</v>
      </c>
      <c r="T162" s="565"/>
      <c r="U162" s="40"/>
      <c r="V162" s="48"/>
      <c r="W162" s="48"/>
      <c r="X162" s="48"/>
      <c r="Y162" s="48"/>
      <c r="Z162" s="48"/>
      <c r="AA162" s="48"/>
      <c r="AB162" s="48"/>
      <c r="AC162" s="48"/>
      <c r="AD162" s="48"/>
      <c r="AE162" s="48"/>
      <c r="AF162" s="48"/>
      <c r="AG162" s="48"/>
      <c r="AH162" s="48"/>
      <c r="AI162" s="48"/>
      <c r="AJ162" s="48"/>
      <c r="AK162" s="48"/>
      <c r="AL162" s="48"/>
      <c r="AM162" s="48"/>
      <c r="AN162" s="48"/>
    </row>
    <row r="163" ht="21.0" hidden="1" customHeight="1">
      <c r="A163" s="5" t="s">
        <v>867</v>
      </c>
      <c r="B163" s="48" t="s">
        <v>151</v>
      </c>
      <c r="C163" s="471" t="s">
        <v>56</v>
      </c>
      <c r="D163" s="549"/>
      <c r="E163" s="564"/>
      <c r="F163" s="481" t="str">
        <f t="array" ref="F163">+INDEX('Budget original'!$A$2:$AO$501,MATCH($A163,'Budget original'!$A$2:$A$501,0),MATCH(F$2,'Budget original'!$A$2:$AO$2,0))</f>
        <v/>
      </c>
      <c r="G163" s="547"/>
      <c r="H163" s="48"/>
      <c r="I163" s="481"/>
      <c r="J163" s="480"/>
      <c r="K163" s="48"/>
      <c r="L163" s="484">
        <f>-SUMIFS(BV_Data_An_Cour!$AM:$AM,BV_Data_An_Cour!$AP:$AP,$B163,BV_Data_An_Cour!$AQ:$AQ,$C163,BV_Data_An_Cour!$AR:$AR,$L$2)</f>
        <v>0</v>
      </c>
      <c r="M163" s="480"/>
      <c r="N163" s="484">
        <f t="shared" si="41"/>
        <v>0</v>
      </c>
      <c r="O163" s="480"/>
      <c r="P163" s="48"/>
      <c r="Q163" s="484">
        <f>-SUMIFS(BV_Data_An_Prec!$AM:$AM,BV_Data_An_Prec!$AP:$AP,$B163,BV_Data_An_Prec!$AQ:$AQ,$C163,BV_Data_An_Prec!$AR:$AR,$L$2)</f>
        <v>0</v>
      </c>
      <c r="R163" s="480"/>
      <c r="S163" s="484">
        <f t="shared" si="42"/>
        <v>0</v>
      </c>
      <c r="T163" s="565"/>
      <c r="U163" s="40"/>
      <c r="V163" s="48"/>
      <c r="W163" s="48"/>
      <c r="X163" s="48"/>
      <c r="Y163" s="48"/>
      <c r="Z163" s="48"/>
      <c r="AA163" s="48"/>
      <c r="AB163" s="48"/>
      <c r="AC163" s="48"/>
      <c r="AD163" s="48"/>
      <c r="AE163" s="48"/>
      <c r="AF163" s="48"/>
      <c r="AG163" s="48"/>
      <c r="AH163" s="48"/>
      <c r="AI163" s="48"/>
      <c r="AJ163" s="48"/>
      <c r="AK163" s="48"/>
      <c r="AL163" s="48"/>
      <c r="AM163" s="48"/>
      <c r="AN163" s="48"/>
    </row>
    <row r="164" ht="18.0" customHeight="1">
      <c r="A164" s="5"/>
      <c r="B164" s="48"/>
      <c r="C164" s="552" t="s">
        <v>149</v>
      </c>
      <c r="D164" s="553"/>
      <c r="E164" s="554"/>
      <c r="F164" s="555">
        <f>+SUM(F157:F163)</f>
        <v>0</v>
      </c>
      <c r="G164" s="556"/>
      <c r="H164" s="554"/>
      <c r="I164" s="555"/>
      <c r="J164" s="556"/>
      <c r="K164" s="554"/>
      <c r="L164" s="555">
        <f>+SUM(L157:L163)</f>
        <v>5500</v>
      </c>
      <c r="M164" s="557"/>
      <c r="N164" s="555">
        <f>SUM(N157:N160)</f>
        <v>5500</v>
      </c>
      <c r="O164" s="556"/>
      <c r="P164" s="554"/>
      <c r="Q164" s="555">
        <f>+SUM(Q157:Q163)</f>
        <v>0</v>
      </c>
      <c r="R164" s="558"/>
      <c r="S164" s="555">
        <f t="shared" si="42"/>
        <v>5500</v>
      </c>
      <c r="T164" s="40"/>
      <c r="U164" s="40"/>
      <c r="V164" s="48"/>
      <c r="W164" s="48"/>
      <c r="X164" s="48"/>
      <c r="Y164" s="48"/>
      <c r="Z164" s="48"/>
      <c r="AA164" s="48"/>
      <c r="AB164" s="48"/>
      <c r="AC164" s="48"/>
      <c r="AD164" s="48"/>
      <c r="AE164" s="48"/>
      <c r="AF164" s="48"/>
      <c r="AG164" s="48"/>
      <c r="AH164" s="48"/>
      <c r="AI164" s="48"/>
      <c r="AJ164" s="48"/>
      <c r="AK164" s="48"/>
      <c r="AL164" s="48"/>
      <c r="AM164" s="48"/>
      <c r="AN164" s="48"/>
    </row>
    <row r="165" ht="15.75" customHeight="1">
      <c r="B165" s="48"/>
      <c r="C165" s="480"/>
      <c r="D165" s="546"/>
      <c r="E165" s="48"/>
      <c r="F165" s="484"/>
      <c r="G165" s="547"/>
      <c r="H165" s="48"/>
      <c r="I165" s="484"/>
      <c r="J165" s="480"/>
      <c r="K165" s="48"/>
      <c r="L165" s="484"/>
      <c r="M165" s="480"/>
      <c r="N165" s="484"/>
      <c r="O165" s="480"/>
      <c r="P165" s="48"/>
      <c r="Q165" s="484"/>
      <c r="R165" s="480"/>
      <c r="S165" s="484"/>
      <c r="T165" s="609"/>
      <c r="U165" s="40"/>
      <c r="V165" s="48"/>
      <c r="W165" s="48"/>
      <c r="X165" s="48"/>
      <c r="Y165" s="48"/>
      <c r="Z165" s="48"/>
      <c r="AA165" s="48"/>
      <c r="AB165" s="48"/>
      <c r="AC165" s="48"/>
      <c r="AD165" s="48"/>
      <c r="AE165" s="48"/>
      <c r="AF165" s="48"/>
      <c r="AG165" s="48"/>
      <c r="AH165" s="48"/>
      <c r="AI165" s="48"/>
      <c r="AJ165" s="48"/>
      <c r="AK165" s="48"/>
      <c r="AL165" s="48"/>
      <c r="AM165" s="48"/>
      <c r="AN165" s="48"/>
    </row>
    <row r="166" ht="18.0" customHeight="1">
      <c r="A166" s="5"/>
      <c r="B166" s="48"/>
      <c r="C166" s="579" t="s">
        <v>150</v>
      </c>
      <c r="D166" s="580"/>
      <c r="E166" s="581"/>
      <c r="F166" s="582">
        <f>F109-F156+F164</f>
        <v>0</v>
      </c>
      <c r="G166" s="583"/>
      <c r="H166" s="581"/>
      <c r="I166" s="582"/>
      <c r="J166" s="583"/>
      <c r="K166" s="581"/>
      <c r="L166" s="582">
        <f>L109-L156+L164</f>
        <v>-17567.82</v>
      </c>
      <c r="M166" s="584"/>
      <c r="N166" s="582">
        <f>L166-F166</f>
        <v>-17567.82</v>
      </c>
      <c r="O166" s="583"/>
      <c r="P166" s="581"/>
      <c r="Q166" s="582">
        <f>Q109-Q156+Q164</f>
        <v>24962.73</v>
      </c>
      <c r="R166" s="585"/>
      <c r="S166" s="582">
        <f>L166-Q166</f>
        <v>-42530.55</v>
      </c>
      <c r="T166" s="40"/>
      <c r="U166" s="40"/>
      <c r="V166" s="48"/>
      <c r="W166" s="48"/>
      <c r="X166" s="48"/>
      <c r="Y166" s="48"/>
      <c r="Z166" s="48"/>
      <c r="AA166" s="48"/>
      <c r="AB166" s="48"/>
      <c r="AC166" s="48"/>
      <c r="AD166" s="48"/>
      <c r="AE166" s="48"/>
      <c r="AF166" s="48"/>
      <c r="AG166" s="48"/>
      <c r="AH166" s="48"/>
      <c r="AI166" s="48"/>
      <c r="AJ166" s="48"/>
      <c r="AK166" s="48"/>
      <c r="AL166" s="48"/>
      <c r="AM166" s="48"/>
      <c r="AN166" s="48"/>
    </row>
    <row r="167" ht="15.75" customHeight="1">
      <c r="B167" s="48"/>
      <c r="C167" s="40"/>
      <c r="D167" s="40"/>
      <c r="E167" s="40"/>
      <c r="F167" s="540"/>
      <c r="G167" s="40"/>
      <c r="H167" s="40"/>
      <c r="I167" s="40"/>
      <c r="J167" s="40"/>
      <c r="K167" s="40"/>
      <c r="L167" s="540"/>
      <c r="M167" s="40"/>
      <c r="N167" s="40"/>
      <c r="O167" s="40"/>
      <c r="P167" s="40"/>
      <c r="Q167" s="40"/>
      <c r="R167" s="540"/>
      <c r="S167" s="40"/>
      <c r="T167" s="540"/>
      <c r="U167" s="40"/>
      <c r="V167" s="48"/>
      <c r="W167" s="48"/>
      <c r="X167" s="48"/>
      <c r="Y167" s="48"/>
      <c r="Z167" s="48"/>
      <c r="AA167" s="48"/>
      <c r="AB167" s="48"/>
      <c r="AC167" s="48"/>
      <c r="AD167" s="48"/>
      <c r="AE167" s="48"/>
      <c r="AF167" s="48"/>
      <c r="AG167" s="48"/>
      <c r="AH167" s="48"/>
      <c r="AI167" s="48"/>
      <c r="AJ167" s="48"/>
      <c r="AK167" s="48"/>
      <c r="AL167" s="48"/>
      <c r="AM167" s="48"/>
      <c r="AN167" s="48"/>
    </row>
    <row r="168" ht="15.75" customHeight="1">
      <c r="B168" s="48"/>
      <c r="C168" s="40"/>
      <c r="D168" s="40"/>
      <c r="E168" s="40"/>
      <c r="F168" s="540"/>
      <c r="G168" s="40"/>
      <c r="H168" s="40"/>
      <c r="I168" s="40"/>
      <c r="J168" s="40"/>
      <c r="K168" s="40"/>
      <c r="L168" s="540"/>
      <c r="M168" s="40"/>
      <c r="N168" s="40"/>
      <c r="O168" s="40"/>
      <c r="P168" s="40"/>
      <c r="Q168" s="40"/>
      <c r="R168" s="540"/>
      <c r="S168" s="40"/>
      <c r="T168" s="540"/>
      <c r="U168" s="40"/>
      <c r="V168" s="48"/>
      <c r="W168" s="48"/>
      <c r="X168" s="48"/>
      <c r="Y168" s="48"/>
      <c r="Z168" s="48"/>
      <c r="AA168" s="48"/>
      <c r="AB168" s="48"/>
      <c r="AC168" s="48"/>
      <c r="AD168" s="48"/>
      <c r="AE168" s="48"/>
      <c r="AF168" s="48"/>
      <c r="AG168" s="48"/>
      <c r="AH168" s="48"/>
      <c r="AI168" s="48"/>
      <c r="AJ168" s="48"/>
      <c r="AK168" s="48"/>
      <c r="AL168" s="48"/>
      <c r="AM168" s="48"/>
      <c r="AN168" s="48"/>
    </row>
    <row r="169" ht="33.0" customHeight="1">
      <c r="B169" s="38"/>
      <c r="C169" s="450" t="str">
        <f>C1</f>
        <v>Ste-Marie Auto</v>
      </c>
      <c r="D169" s="451"/>
      <c r="E169" s="452"/>
      <c r="F169" s="451"/>
      <c r="G169" s="451"/>
      <c r="H169" s="450"/>
      <c r="I169" s="451"/>
      <c r="J169" s="450"/>
      <c r="K169" s="453" t="s">
        <v>898</v>
      </c>
      <c r="L169" s="451"/>
      <c r="M169" s="451"/>
      <c r="N169" s="454"/>
      <c r="O169" s="450"/>
      <c r="P169" s="451"/>
      <c r="Q169" s="450"/>
      <c r="R169" s="451"/>
      <c r="S169" s="455" t="str">
        <f>$S$1</f>
        <v>Réalisé, Septembre 2026</v>
      </c>
      <c r="T169" s="457"/>
      <c r="U169" s="457"/>
      <c r="V169" s="38"/>
      <c r="W169" s="38"/>
      <c r="X169" s="38"/>
      <c r="Y169" s="38"/>
      <c r="Z169" s="38"/>
      <c r="AA169" s="38"/>
      <c r="AB169" s="38"/>
      <c r="AC169" s="38"/>
      <c r="AD169" s="38"/>
      <c r="AE169" s="38"/>
      <c r="AF169" s="38"/>
      <c r="AG169" s="38"/>
      <c r="AH169" s="38"/>
      <c r="AI169" s="38"/>
      <c r="AJ169" s="38"/>
      <c r="AK169" s="38"/>
      <c r="AL169" s="38"/>
      <c r="AM169" s="38"/>
      <c r="AN169" s="38"/>
    </row>
    <row r="170" ht="15.75" customHeight="1">
      <c r="B170" s="3"/>
      <c r="C170" s="39"/>
      <c r="D170" s="40"/>
      <c r="E170" s="40"/>
      <c r="F170" s="40"/>
      <c r="G170" s="40"/>
      <c r="H170" s="40"/>
      <c r="I170" s="40"/>
      <c r="J170" s="40"/>
      <c r="K170" s="40"/>
      <c r="L170" s="40"/>
      <c r="M170" s="40"/>
      <c r="N170" s="40"/>
      <c r="O170" s="40"/>
      <c r="P170" s="40"/>
      <c r="Q170" s="40"/>
      <c r="R170" s="40"/>
      <c r="S170" s="40"/>
      <c r="T170" s="40"/>
      <c r="U170" s="40"/>
    </row>
    <row r="171" ht="15.75" customHeight="1">
      <c r="B171" s="48"/>
      <c r="C171" s="461"/>
      <c r="D171" s="462" t="s">
        <v>774</v>
      </c>
      <c r="E171" s="44"/>
      <c r="F171" s="45"/>
      <c r="G171" s="463"/>
      <c r="H171" s="44"/>
      <c r="I171" s="45"/>
      <c r="J171" s="463" t="s">
        <v>775</v>
      </c>
      <c r="K171" s="44"/>
      <c r="L171" s="45"/>
      <c r="M171" s="463" t="s">
        <v>776</v>
      </c>
      <c r="N171" s="45"/>
      <c r="O171" s="463" t="s">
        <v>777</v>
      </c>
      <c r="P171" s="44"/>
      <c r="Q171" s="45"/>
      <c r="R171" s="463" t="s">
        <v>778</v>
      </c>
      <c r="S171" s="45"/>
      <c r="T171" s="40"/>
      <c r="U171" s="40"/>
      <c r="V171" s="48"/>
      <c r="W171" s="48"/>
      <c r="X171" s="48"/>
      <c r="Y171" s="48"/>
      <c r="Z171" s="48"/>
      <c r="AA171" s="48"/>
      <c r="AB171" s="48"/>
      <c r="AC171" s="48"/>
      <c r="AD171" s="48"/>
      <c r="AE171" s="48"/>
      <c r="AF171" s="48"/>
      <c r="AG171" s="48"/>
      <c r="AH171" s="48"/>
      <c r="AI171" s="48"/>
      <c r="AJ171" s="48"/>
      <c r="AK171" s="48"/>
      <c r="AL171" s="48"/>
      <c r="AM171" s="48"/>
      <c r="AN171" s="48"/>
    </row>
    <row r="172" ht="15.75" customHeight="1">
      <c r="B172" s="48"/>
      <c r="C172" s="480"/>
      <c r="D172" s="467" t="s">
        <v>93</v>
      </c>
      <c r="E172" s="468" t="s">
        <v>780</v>
      </c>
      <c r="F172" s="469" t="s">
        <v>95</v>
      </c>
      <c r="G172" s="470"/>
      <c r="H172" s="468"/>
      <c r="I172" s="469"/>
      <c r="J172" s="470" t="s">
        <v>781</v>
      </c>
      <c r="K172" s="468" t="s">
        <v>94</v>
      </c>
      <c r="L172" s="469" t="s">
        <v>95</v>
      </c>
      <c r="M172" s="470" t="s">
        <v>781</v>
      </c>
      <c r="N172" s="469" t="s">
        <v>95</v>
      </c>
      <c r="O172" s="468" t="s">
        <v>93</v>
      </c>
      <c r="P172" s="468" t="s">
        <v>780</v>
      </c>
      <c r="Q172" s="469" t="s">
        <v>95</v>
      </c>
      <c r="R172" s="470" t="s">
        <v>781</v>
      </c>
      <c r="S172" s="469" t="s">
        <v>95</v>
      </c>
      <c r="T172" s="40"/>
      <c r="U172" s="40"/>
      <c r="V172" s="48"/>
      <c r="W172" s="48"/>
      <c r="X172" s="48"/>
      <c r="Y172" s="48"/>
      <c r="Z172" s="48"/>
      <c r="AA172" s="48"/>
      <c r="AB172" s="48"/>
      <c r="AC172" s="48"/>
      <c r="AD172" s="48"/>
      <c r="AE172" s="48"/>
      <c r="AF172" s="48"/>
      <c r="AG172" s="48"/>
      <c r="AH172" s="48"/>
      <c r="AI172" s="48"/>
      <c r="AJ172" s="48"/>
      <c r="AK172" s="48"/>
      <c r="AL172" s="48"/>
      <c r="AM172" s="48"/>
      <c r="AN172" s="48"/>
    </row>
    <row r="173" ht="24.0" customHeight="1">
      <c r="A173" s="5" t="s">
        <v>849</v>
      </c>
      <c r="B173" s="48" t="s">
        <v>899</v>
      </c>
      <c r="C173" s="471" t="s">
        <v>96</v>
      </c>
      <c r="D173" s="475"/>
      <c r="E173" s="475"/>
      <c r="F173" s="473" t="str">
        <f t="array" ref="F173">+INDEX('Budget original'!$A$2:$AO$501,MATCH($A173,'Budget original'!$A$2:$A$501,0),MATCH(F$2,'Budget original'!$A$2:$AO$2,0))</f>
        <v/>
      </c>
      <c r="G173" s="512"/>
      <c r="H173" s="475"/>
      <c r="I173" s="473"/>
      <c r="J173" s="471"/>
      <c r="K173" s="513"/>
      <c r="L173" s="476">
        <f>-SUMIFS(BV_Data_An_Cour!$AM:$AM,BV_Data_An_Cour!$AS:$AS,"Oui",BV_Data_An_Cour!$AP:$AP,$B173)</f>
        <v>1505174.43</v>
      </c>
      <c r="M173" s="589"/>
      <c r="N173" s="590"/>
      <c r="O173" s="471"/>
      <c r="P173" s="513"/>
      <c r="Q173" s="476">
        <f>-SUMIFS(BV_Data_An_Prec!$AM:$AM,BV_Data_An_Prec!$AS:$AS,"Oui",BV_Data_An_Prec!$AP:$AP,$B173)</f>
        <v>3840991.42</v>
      </c>
      <c r="R173" s="589"/>
      <c r="S173" s="590"/>
      <c r="T173" s="40"/>
      <c r="U173" s="498"/>
      <c r="V173" s="499"/>
      <c r="W173" s="48"/>
      <c r="X173" s="48"/>
      <c r="Y173" s="48"/>
      <c r="Z173" s="48"/>
      <c r="AA173" s="48"/>
      <c r="AB173" s="48"/>
      <c r="AC173" s="48"/>
      <c r="AD173" s="48"/>
      <c r="AE173" s="48"/>
      <c r="AF173" s="48"/>
      <c r="AG173" s="48"/>
      <c r="AH173" s="48"/>
      <c r="AI173" s="48"/>
      <c r="AJ173" s="48"/>
      <c r="AK173" s="48"/>
      <c r="AL173" s="48"/>
      <c r="AM173" s="48"/>
      <c r="AN173" s="48"/>
    </row>
    <row r="174" ht="24.0" customHeight="1">
      <c r="A174" s="5"/>
      <c r="B174" s="48" t="s">
        <v>899</v>
      </c>
      <c r="C174" s="480"/>
      <c r="D174" s="481"/>
      <c r="E174" s="481"/>
      <c r="F174" s="481"/>
      <c r="G174" s="482"/>
      <c r="H174" s="481"/>
      <c r="I174" s="481"/>
      <c r="J174" s="480"/>
      <c r="K174" s="483"/>
      <c r="L174" s="484"/>
      <c r="M174" s="610"/>
      <c r="N174" s="611"/>
      <c r="O174" s="480"/>
      <c r="P174" s="483"/>
      <c r="Q174" s="484"/>
      <c r="R174" s="610"/>
      <c r="S174" s="612"/>
      <c r="T174" s="40"/>
      <c r="U174" s="498"/>
      <c r="V174" s="499"/>
      <c r="W174" s="48"/>
      <c r="X174" s="48"/>
      <c r="Y174" s="48"/>
      <c r="Z174" s="48"/>
      <c r="AA174" s="48"/>
      <c r="AB174" s="48"/>
      <c r="AC174" s="48"/>
      <c r="AD174" s="48"/>
      <c r="AE174" s="48"/>
      <c r="AF174" s="48"/>
      <c r="AG174" s="48"/>
      <c r="AH174" s="48"/>
      <c r="AI174" s="48"/>
      <c r="AJ174" s="48"/>
      <c r="AK174" s="48"/>
      <c r="AL174" s="48"/>
      <c r="AM174" s="48"/>
      <c r="AN174" s="48"/>
    </row>
    <row r="175" ht="21.75" customHeight="1">
      <c r="A175" s="5" t="s">
        <v>850</v>
      </c>
      <c r="B175" s="48" t="s">
        <v>899</v>
      </c>
      <c r="C175" s="480" t="s">
        <v>900</v>
      </c>
      <c r="D175" s="481" t="str">
        <f t="array" ref="D175">+INDEX('Budget original'!$A$2:$AO$501,MATCH($A175,'Budget original'!$A$2:$A$501,0),MATCH(D$2,'Budget original'!$A$2:$AO$2,0))</f>
        <v/>
      </c>
      <c r="E175" s="481">
        <f>IF(D175=0,0,F175/D175)</f>
        <v>0</v>
      </c>
      <c r="F175" s="481" t="str">
        <f t="array" ref="F175">+INDEX('Budget original'!$A$2:$AO$501,MATCH($A175,'Budget original'!$A$2:$A$501,0),MATCH(F$2,'Budget original'!$A$2:$AO$2,0))</f>
        <v/>
      </c>
      <c r="G175" s="482"/>
      <c r="H175" s="481"/>
      <c r="I175" s="481"/>
      <c r="J175" s="595">
        <f>SUMIFS(BV_Data_An_Cour!$AW:$AW,BV_Data_An_Cour!$AP:$AP,$B175,BV_Data_An_Cour!$AQ:$AQ,$C175,BV_Data_An_Cour!$AY:$AY,J$2)</f>
        <v>12</v>
      </c>
      <c r="K175" s="483">
        <f>IF(J175=0,0,L175/J175)</f>
        <v>-5622.999167</v>
      </c>
      <c r="L175" s="596">
        <f>-SUMIFS(BV_Data_An_Cour!$AM:$AM,BV_Data_An_Cour!$AP:$AP,$B175,BV_Data_An_Cour!$AQ:$AQ,$C175,BV_Data_An_Cour!$AR:$AR,$L2)</f>
        <v>-67475.99</v>
      </c>
      <c r="M175" s="482">
        <f>J175-D175</f>
        <v>12</v>
      </c>
      <c r="N175" s="485">
        <f>L175-F175</f>
        <v>-67475.99</v>
      </c>
      <c r="O175" s="482">
        <f>SUMIFS(BV_Data_An_Prec!$AW:$AW,BV_Data_An_Prec!$AP:$AP,$B175,BV_Data_An_Prec!$AQ:$AQ,$C175,BV_Data_An_Prec!$AY:$AY,O$2)</f>
        <v>10</v>
      </c>
      <c r="P175" s="483">
        <f>IF(O175=0,0,Q175/O175)</f>
        <v>-1561.525</v>
      </c>
      <c r="Q175" s="484">
        <f>-SUMIFS(BV_Data_An_Prec!$AM:$AM,BV_Data_An_Prec!$AP:$AP,$B175,BV_Data_An_Prec!$AQ:$AQ,$C175,BV_Data_An_Prec!$AR:$AR,$L2)</f>
        <v>-15615.25</v>
      </c>
      <c r="R175" s="482">
        <f>J175-O175</f>
        <v>2</v>
      </c>
      <c r="S175" s="484">
        <f>L175-Q175</f>
        <v>-51860.74</v>
      </c>
      <c r="T175" s="40">
        <v>12.0</v>
      </c>
      <c r="U175" s="498">
        <v>-67475.98</v>
      </c>
      <c r="V175" s="499">
        <f>L175-U175</f>
        <v>-0.01000000209</v>
      </c>
      <c r="W175" s="48"/>
      <c r="X175" s="48"/>
      <c r="Y175" s="48"/>
      <c r="Z175" s="48"/>
      <c r="AA175" s="48"/>
      <c r="AB175" s="48"/>
      <c r="AC175" s="48"/>
      <c r="AD175" s="48"/>
      <c r="AE175" s="48"/>
      <c r="AF175" s="48"/>
      <c r="AG175" s="48"/>
      <c r="AH175" s="48"/>
      <c r="AI175" s="48"/>
      <c r="AJ175" s="48"/>
      <c r="AK175" s="48"/>
      <c r="AL175" s="48"/>
      <c r="AM175" s="48"/>
      <c r="AN175" s="48"/>
    </row>
    <row r="176" ht="21.75" customHeight="1">
      <c r="A176" s="5"/>
      <c r="B176" s="48" t="s">
        <v>899</v>
      </c>
      <c r="C176" s="471"/>
      <c r="D176" s="475"/>
      <c r="E176" s="475"/>
      <c r="F176" s="475"/>
      <c r="G176" s="512"/>
      <c r="H176" s="475"/>
      <c r="I176" s="475"/>
      <c r="J176" s="512"/>
      <c r="K176" s="513"/>
      <c r="L176" s="476"/>
      <c r="M176" s="512"/>
      <c r="N176" s="473"/>
      <c r="O176" s="512"/>
      <c r="P176" s="513"/>
      <c r="Q176" s="476"/>
      <c r="R176" s="613">
        <f>R175/O175</f>
        <v>0.2</v>
      </c>
      <c r="S176" s="614">
        <f>IF(Q175=0,0,(S175/Q175))</f>
        <v>3.321159764</v>
      </c>
      <c r="T176" s="40"/>
      <c r="U176" s="498"/>
      <c r="V176" s="499"/>
      <c r="W176" s="48"/>
      <c r="X176" s="48"/>
      <c r="Y176" s="48"/>
      <c r="Z176" s="48"/>
      <c r="AA176" s="48"/>
      <c r="AB176" s="48"/>
      <c r="AC176" s="48"/>
      <c r="AD176" s="48"/>
      <c r="AE176" s="48"/>
      <c r="AF176" s="48"/>
      <c r="AG176" s="48"/>
      <c r="AH176" s="48"/>
      <c r="AI176" s="48"/>
      <c r="AJ176" s="48"/>
      <c r="AK176" s="48"/>
      <c r="AL176" s="48"/>
      <c r="AM176" s="48"/>
      <c r="AN176" s="48"/>
    </row>
    <row r="177" ht="18.75" customHeight="1">
      <c r="A177" s="5" t="s">
        <v>851</v>
      </c>
      <c r="B177" s="48" t="s">
        <v>899</v>
      </c>
      <c r="C177" s="480" t="s">
        <v>901</v>
      </c>
      <c r="D177" s="481" t="str">
        <f t="array" ref="D177">+INDEX('Budget original'!$A$2:$AO$501,MATCH($A177,'Budget original'!$A$2:$A$501,0),MATCH(D$2,'Budget original'!$A$2:$AO$2,0))</f>
        <v/>
      </c>
      <c r="E177" s="481">
        <f>IF(D177=0,0,F177/D177)</f>
        <v>0</v>
      </c>
      <c r="F177" s="481" t="str">
        <f t="array" ref="F177">+INDEX('Budget original'!$A$2:$AO$501,MATCH($A177,'Budget original'!$A$2:$A$501,0),MATCH(F$2,'Budget original'!$A$2:$AO$2,0))</f>
        <v/>
      </c>
      <c r="G177" s="482"/>
      <c r="H177" s="481"/>
      <c r="I177" s="481"/>
      <c r="J177" s="595">
        <f>SUMIFS(BV_Data_An_Cour!$AW:$AW,BV_Data_An_Cour!$AP:$AP,$B177,BV_Data_An_Cour!$AQ:$AQ,$C177,BV_Data_An_Cour!$AY:$AY,J$2)</f>
        <v>18</v>
      </c>
      <c r="K177" s="483">
        <f>IF(J177=0,0,L177/J177)</f>
        <v>968.4538889</v>
      </c>
      <c r="L177" s="596">
        <f>-SUMIFS(BV_Data_An_Cour!$AM:$AM,BV_Data_An_Cour!$AP:$AP,$B177,BV_Data_An_Cour!$AQ:$AQ,$C177,BV_Data_An_Cour!$AR:$AR,$L2)</f>
        <v>17432.17</v>
      </c>
      <c r="M177" s="482">
        <f>J177-D177</f>
        <v>18</v>
      </c>
      <c r="N177" s="485">
        <f>L177-F177</f>
        <v>17432.17</v>
      </c>
      <c r="O177" s="482">
        <f>SUMIFS(BV_Data_An_Prec!$AW:$AW,BV_Data_An_Prec!$AP:$AP,$B177,BV_Data_An_Prec!$AQ:$AQ,$C177,BV_Data_An_Prec!$AY:$AY,O$2)</f>
        <v>0</v>
      </c>
      <c r="P177" s="483">
        <f>IF(O177=0,0,Q177/O177)</f>
        <v>0</v>
      </c>
      <c r="Q177" s="484">
        <f>-SUMIFS(BV_Data_An_Prec!$AM:$AM,BV_Data_An_Prec!$AP:$AP,$B177,BV_Data_An_Prec!$AQ:$AQ,$C177,BV_Data_An_Prec!$AR:$AR,$L2)</f>
        <v>0</v>
      </c>
      <c r="R177" s="482">
        <f>J177-O177</f>
        <v>18</v>
      </c>
      <c r="S177" s="484">
        <f>L177-Q177</f>
        <v>17432.17</v>
      </c>
      <c r="T177" s="40">
        <v>18.0</v>
      </c>
      <c r="U177" s="498">
        <v>17432.0</v>
      </c>
      <c r="V177" s="499">
        <f>L177-U177</f>
        <v>0.1699999999</v>
      </c>
      <c r="W177" s="48"/>
      <c r="X177" s="48"/>
      <c r="Y177" s="48"/>
      <c r="Z177" s="48"/>
      <c r="AA177" s="48"/>
      <c r="AB177" s="48"/>
      <c r="AC177" s="48"/>
      <c r="AD177" s="615"/>
      <c r="AE177" s="48"/>
      <c r="AF177" s="48"/>
      <c r="AG177" s="48"/>
      <c r="AH177" s="48"/>
      <c r="AI177" s="48"/>
      <c r="AJ177" s="48"/>
      <c r="AK177" s="48"/>
      <c r="AL177" s="48"/>
      <c r="AM177" s="48"/>
      <c r="AN177" s="48"/>
    </row>
    <row r="178" ht="18.75" customHeight="1">
      <c r="A178" s="5"/>
      <c r="B178" s="48" t="s">
        <v>899</v>
      </c>
      <c r="C178" s="471"/>
      <c r="D178" s="475"/>
      <c r="E178" s="475"/>
      <c r="F178" s="475"/>
      <c r="G178" s="512"/>
      <c r="H178" s="475"/>
      <c r="I178" s="475"/>
      <c r="J178" s="512"/>
      <c r="K178" s="513"/>
      <c r="L178" s="476"/>
      <c r="M178" s="512"/>
      <c r="N178" s="473"/>
      <c r="O178" s="512"/>
      <c r="P178" s="513"/>
      <c r="Q178" s="476"/>
      <c r="R178" s="613" t="str">
        <f>R177/O177</f>
        <v>#DIV/0!</v>
      </c>
      <c r="S178" s="614">
        <f>IF(Q177=0,0,(S177/Q177))</f>
        <v>0</v>
      </c>
      <c r="T178" s="40"/>
      <c r="U178" s="498"/>
      <c r="V178" s="499"/>
      <c r="W178" s="48"/>
      <c r="X178" s="48"/>
      <c r="Y178" s="48"/>
      <c r="Z178" s="48"/>
      <c r="AA178" s="48"/>
      <c r="AB178" s="48"/>
      <c r="AC178" s="48"/>
      <c r="AD178" s="48"/>
      <c r="AE178" s="48"/>
      <c r="AF178" s="48"/>
      <c r="AG178" s="48"/>
      <c r="AH178" s="48"/>
      <c r="AI178" s="48"/>
      <c r="AJ178" s="48"/>
      <c r="AK178" s="48"/>
      <c r="AL178" s="48"/>
      <c r="AM178" s="48"/>
      <c r="AN178" s="48"/>
    </row>
    <row r="179" ht="18.75" customHeight="1">
      <c r="A179" s="5" t="str">
        <f>B179&amp;C179</f>
        <v>Wholesale autresWholesale Luxueux</v>
      </c>
      <c r="B179" s="48" t="s">
        <v>899</v>
      </c>
      <c r="C179" s="480" t="s">
        <v>902</v>
      </c>
      <c r="D179" s="481" t="str">
        <f t="array" ref="D179">+INDEX('Budget original'!$A$2:$AO$501,MATCH($A179,'Budget original'!$A$2:$A$501,0),MATCH(D$2,'Budget original'!$A$2:$AO$2,0))</f>
        <v>#N/A</v>
      </c>
      <c r="E179" s="481" t="str">
        <f>IF(D179=0,0,F179/D179)</f>
        <v>#N/A</v>
      </c>
      <c r="F179" s="481" t="str">
        <f t="array" ref="F179">+INDEX('Budget original'!$A$2:$AO$501,MATCH($A179,'Budget original'!$A$2:$A$501,0),MATCH(F$2,'Budget original'!$A$2:$AO$2,0))</f>
        <v>#N/A</v>
      </c>
      <c r="G179" s="482"/>
      <c r="H179" s="481"/>
      <c r="I179" s="481"/>
      <c r="J179" s="595">
        <f>SUMIFS(BV_Data_An_Cour!$AW:$AW,BV_Data_An_Cour!$AP:$AP,$B179,BV_Data_An_Cour!$AQ:$AQ,$C179,BV_Data_An_Cour!$AY:$AY,J$2)</f>
        <v>1</v>
      </c>
      <c r="K179" s="483">
        <f>IF(J179=0,0,L179/J179)</f>
        <v>6000</v>
      </c>
      <c r="L179" s="596">
        <f>-SUMIFS(BV_Data_An_Cour!$AM:$AM,BV_Data_An_Cour!$AP:$AP,$B179,BV_Data_An_Cour!$AQ:$AQ,$C179,BV_Data_An_Cour!$AR:$AR,$L2)</f>
        <v>6000</v>
      </c>
      <c r="M179" s="482" t="str">
        <f>J179-D179</f>
        <v>#N/A</v>
      </c>
      <c r="N179" s="485" t="str">
        <f>L179-F179</f>
        <v>#N/A</v>
      </c>
      <c r="O179" s="482">
        <f>SUMIFS(BV_Data_An_Prec!$AW:$AW,BV_Data_An_Prec!$AP:$AP,$B179,BV_Data_An_Prec!$AQ:$AQ,$C179,BV_Data_An_Prec!$AY:$AY,O$2)</f>
        <v>21</v>
      </c>
      <c r="P179" s="483">
        <f>IF(O179=0,0,Q179/O179)</f>
        <v>3421.428571</v>
      </c>
      <c r="Q179" s="484">
        <f>-SUMIFS(BV_Data_An_Prec!$AM:$AM,BV_Data_An_Prec!$AP:$AP,$B179,BV_Data_An_Prec!$AQ:$AQ,$C179,BV_Data_An_Prec!$AR:$AR,$L2)</f>
        <v>71850</v>
      </c>
      <c r="R179" s="482">
        <f>J179-O179</f>
        <v>-20</v>
      </c>
      <c r="S179" s="484">
        <f>L179-Q179</f>
        <v>-65850</v>
      </c>
      <c r="T179" s="40">
        <v>1.0</v>
      </c>
      <c r="U179" s="498">
        <v>6000.0</v>
      </c>
      <c r="V179" s="499">
        <f>L179-U179</f>
        <v>0</v>
      </c>
      <c r="W179" s="48"/>
      <c r="X179" s="48"/>
      <c r="Y179" s="48"/>
      <c r="Z179" s="48"/>
      <c r="AA179" s="48"/>
      <c r="AB179" s="48"/>
      <c r="AC179" s="48"/>
      <c r="AD179" s="48"/>
      <c r="AE179" s="48"/>
      <c r="AF179" s="48"/>
      <c r="AG179" s="48"/>
      <c r="AH179" s="48"/>
      <c r="AI179" s="48"/>
      <c r="AJ179" s="48"/>
      <c r="AK179" s="48"/>
      <c r="AL179" s="48"/>
      <c r="AM179" s="48"/>
      <c r="AN179" s="48"/>
    </row>
    <row r="180" ht="15.75" customHeight="1">
      <c r="A180" s="5" t="s">
        <v>151</v>
      </c>
      <c r="B180" s="48" t="s">
        <v>899</v>
      </c>
      <c r="C180" s="480"/>
      <c r="D180" s="48"/>
      <c r="E180" s="48"/>
      <c r="F180" s="484"/>
      <c r="G180" s="480"/>
      <c r="H180" s="601"/>
      <c r="I180" s="484"/>
      <c r="J180" s="480"/>
      <c r="K180" s="483"/>
      <c r="L180" s="484"/>
      <c r="M180" s="525"/>
      <c r="N180" s="507" t="str">
        <f>#REF!/#REF!</f>
        <v>#REF!</v>
      </c>
      <c r="O180" s="480"/>
      <c r="P180" s="483"/>
      <c r="Q180" s="484"/>
      <c r="R180" s="616">
        <f>R179/O179</f>
        <v>-0.9523809524</v>
      </c>
      <c r="S180" s="516">
        <f>IF(Q179=0,0,(S179/Q179))</f>
        <v>-0.9164926931</v>
      </c>
      <c r="T180" s="40"/>
      <c r="U180" s="498"/>
      <c r="V180" s="499"/>
      <c r="W180" s="48"/>
      <c r="X180" s="48"/>
      <c r="Y180" s="48"/>
      <c r="Z180" s="48"/>
      <c r="AA180" s="48"/>
      <c r="AB180" s="48"/>
      <c r="AC180" s="48"/>
      <c r="AD180" s="48"/>
      <c r="AE180" s="48"/>
      <c r="AF180" s="48"/>
      <c r="AG180" s="48"/>
      <c r="AH180" s="48"/>
      <c r="AI180" s="48"/>
      <c r="AJ180" s="48"/>
      <c r="AK180" s="48"/>
      <c r="AL180" s="48"/>
      <c r="AM180" s="48"/>
      <c r="AN180" s="48"/>
    </row>
    <row r="181" ht="15.75" customHeight="1">
      <c r="A181" s="5" t="s">
        <v>151</v>
      </c>
      <c r="B181" s="48" t="s">
        <v>899</v>
      </c>
      <c r="C181" s="480"/>
      <c r="D181" s="48"/>
      <c r="E181" s="48"/>
      <c r="F181" s="484"/>
      <c r="G181" s="480"/>
      <c r="H181" s="601"/>
      <c r="I181" s="484"/>
      <c r="J181" s="480"/>
      <c r="K181" s="483"/>
      <c r="L181" s="484"/>
      <c r="M181" s="525"/>
      <c r="N181" s="507"/>
      <c r="O181" s="480"/>
      <c r="P181" s="483"/>
      <c r="Q181" s="484"/>
      <c r="R181" s="486"/>
      <c r="S181" s="504"/>
      <c r="T181" s="40"/>
      <c r="U181" s="498"/>
      <c r="V181" s="499"/>
      <c r="W181" s="48"/>
      <c r="X181" s="48"/>
      <c r="Y181" s="48"/>
      <c r="Z181" s="48"/>
      <c r="AA181" s="48"/>
      <c r="AB181" s="48"/>
      <c r="AC181" s="48"/>
      <c r="AD181" s="48"/>
      <c r="AE181" s="48"/>
      <c r="AF181" s="48"/>
      <c r="AG181" s="48"/>
      <c r="AH181" s="48"/>
      <c r="AI181" s="48"/>
      <c r="AJ181" s="48"/>
      <c r="AK181" s="48"/>
      <c r="AL181" s="48"/>
      <c r="AM181" s="48"/>
      <c r="AN181" s="48"/>
    </row>
    <row r="182" ht="18.0" customHeight="1">
      <c r="A182" s="5" t="s">
        <v>857</v>
      </c>
      <c r="B182" s="48" t="s">
        <v>899</v>
      </c>
      <c r="C182" s="526" t="s">
        <v>903</v>
      </c>
      <c r="D182" s="527" t="str">
        <f>D175+D177+D179</f>
        <v>#N/A</v>
      </c>
      <c r="E182" s="528" t="str">
        <f>IF(D182&lt;=0,0,F182/D182)</f>
        <v>#N/A</v>
      </c>
      <c r="F182" s="529" t="str">
        <f>#REF!+#REF!+#REF!</f>
        <v>#REF!</v>
      </c>
      <c r="G182" s="530"/>
      <c r="H182" s="528"/>
      <c r="I182" s="529"/>
      <c r="J182" s="530">
        <f>J175+J177+J179</f>
        <v>31</v>
      </c>
      <c r="K182" s="527">
        <f>IF(J182&lt;=0,0,L182/J182)</f>
        <v>-1420.768387</v>
      </c>
      <c r="L182" s="529">
        <f>L175+L179+L177</f>
        <v>-44043.82</v>
      </c>
      <c r="M182" s="530" t="str">
        <f>J182-D182</f>
        <v>#N/A</v>
      </c>
      <c r="N182" s="529" t="str">
        <f>L182-F182</f>
        <v>#REF!</v>
      </c>
      <c r="O182" s="530">
        <f>O175+O177+O179</f>
        <v>31</v>
      </c>
      <c r="P182" s="527">
        <f>IF(O182&lt;=0,0,Q182/O182)</f>
        <v>1814.024194</v>
      </c>
      <c r="Q182" s="529">
        <f>Q175+Q179+Q177</f>
        <v>56234.75</v>
      </c>
      <c r="R182" s="530">
        <f>J182-O182</f>
        <v>0</v>
      </c>
      <c r="S182" s="529">
        <f>L182-Q182</f>
        <v>-100278.57</v>
      </c>
      <c r="T182" s="40"/>
      <c r="U182" s="498">
        <f>SUM(U175:U181)</f>
        <v>-44043.98</v>
      </c>
      <c r="V182" s="499">
        <f>L182-U182</f>
        <v>0.1599999978</v>
      </c>
      <c r="W182" s="48"/>
      <c r="X182" s="48"/>
      <c r="Y182" s="48"/>
      <c r="Z182" s="48"/>
      <c r="AA182" s="48"/>
      <c r="AB182" s="48"/>
      <c r="AC182" s="48"/>
      <c r="AD182" s="48"/>
      <c r="AE182" s="48"/>
      <c r="AF182" s="48"/>
      <c r="AG182" s="48"/>
      <c r="AH182" s="48"/>
      <c r="AI182" s="48"/>
      <c r="AJ182" s="48"/>
      <c r="AK182" s="48"/>
      <c r="AL182" s="48"/>
      <c r="AM182" s="48"/>
      <c r="AN182" s="48"/>
    </row>
    <row r="183" ht="22.5" customHeight="1">
      <c r="A183" s="5" t="s">
        <v>151</v>
      </c>
      <c r="B183" s="48" t="s">
        <v>899</v>
      </c>
      <c r="C183" s="531"/>
      <c r="D183" s="532"/>
      <c r="E183" s="532"/>
      <c r="F183" s="533"/>
      <c r="G183" s="531"/>
      <c r="H183" s="532"/>
      <c r="I183" s="533"/>
      <c r="J183" s="531"/>
      <c r="K183" s="534"/>
      <c r="L183" s="535"/>
      <c r="M183" s="536"/>
      <c r="N183" s="537"/>
      <c r="O183" s="531"/>
      <c r="P183" s="534"/>
      <c r="Q183" s="535"/>
      <c r="R183" s="536" t="str">
        <f>O182/R182</f>
        <v>#DIV/0!</v>
      </c>
      <c r="S183" s="538">
        <f>IF(Q182=0,0,(S182/Q182))</f>
        <v>-1.783213582</v>
      </c>
      <c r="T183" s="40"/>
      <c r="U183" s="498"/>
      <c r="V183" s="499"/>
      <c r="W183" s="48"/>
      <c r="X183" s="48"/>
      <c r="Y183" s="48"/>
      <c r="Z183" s="48"/>
      <c r="AA183" s="48"/>
      <c r="AB183" s="48"/>
      <c r="AC183" s="48"/>
      <c r="AD183" s="48"/>
      <c r="AE183" s="48"/>
      <c r="AF183" s="48"/>
      <c r="AG183" s="48"/>
      <c r="AH183" s="48"/>
      <c r="AI183" s="48"/>
      <c r="AJ183" s="48"/>
      <c r="AK183" s="48"/>
      <c r="AL183" s="48"/>
      <c r="AM183" s="48"/>
      <c r="AN183" s="48"/>
    </row>
    <row r="184" ht="15.75" customHeight="1">
      <c r="A184" s="5" t="s">
        <v>151</v>
      </c>
      <c r="B184" s="48" t="s">
        <v>899</v>
      </c>
      <c r="C184" s="500"/>
      <c r="D184" s="11"/>
      <c r="E184" s="11"/>
      <c r="F184" s="502"/>
      <c r="G184" s="500"/>
      <c r="H184" s="11"/>
      <c r="I184" s="502"/>
      <c r="J184" s="500"/>
      <c r="K184" s="503"/>
      <c r="L184" s="504"/>
      <c r="M184" s="525"/>
      <c r="N184" s="507"/>
      <c r="O184" s="500"/>
      <c r="P184" s="503"/>
      <c r="Q184" s="504"/>
      <c r="R184" s="525"/>
      <c r="S184" s="507"/>
      <c r="T184" s="40"/>
      <c r="U184" s="498"/>
      <c r="V184" s="499"/>
      <c r="W184" s="48"/>
      <c r="X184" s="48"/>
      <c r="Y184" s="48"/>
      <c r="Z184" s="48"/>
      <c r="AA184" s="48"/>
      <c r="AB184" s="48"/>
      <c r="AC184" s="48"/>
      <c r="AD184" s="48"/>
      <c r="AE184" s="48"/>
      <c r="AF184" s="48"/>
      <c r="AG184" s="48"/>
      <c r="AH184" s="48"/>
      <c r="AI184" s="48"/>
      <c r="AJ184" s="48"/>
      <c r="AK184" s="48"/>
      <c r="AL184" s="48"/>
      <c r="AM184" s="48"/>
      <c r="AN184" s="48"/>
    </row>
    <row r="185" ht="15.75" customHeight="1">
      <c r="A185" s="5" t="s">
        <v>858</v>
      </c>
      <c r="B185" s="48" t="s">
        <v>899</v>
      </c>
      <c r="C185" s="541" t="s">
        <v>110</v>
      </c>
      <c r="D185" s="48"/>
      <c r="E185" s="41"/>
      <c r="F185" s="484"/>
      <c r="G185" s="480"/>
      <c r="H185" s="41"/>
      <c r="I185" s="484"/>
      <c r="J185" s="480"/>
      <c r="K185" s="542"/>
      <c r="L185" s="484"/>
      <c r="M185" s="480"/>
      <c r="N185" s="514"/>
      <c r="O185" s="515"/>
      <c r="P185" s="483"/>
      <c r="Q185" s="484"/>
      <c r="R185" s="480"/>
      <c r="S185" s="514"/>
      <c r="T185" s="40"/>
      <c r="U185" s="498"/>
      <c r="V185" s="499"/>
      <c r="W185" s="48"/>
      <c r="X185" s="48"/>
      <c r="Y185" s="48"/>
      <c r="Z185" s="48"/>
      <c r="AA185" s="48"/>
      <c r="AB185" s="48"/>
      <c r="AC185" s="48"/>
      <c r="AD185" s="48"/>
      <c r="AE185" s="48"/>
      <c r="AF185" s="48"/>
      <c r="AG185" s="48"/>
      <c r="AH185" s="48"/>
      <c r="AI185" s="48"/>
      <c r="AJ185" s="48"/>
      <c r="AK185" s="48"/>
      <c r="AL185" s="48"/>
      <c r="AM185" s="48"/>
      <c r="AN185" s="48"/>
    </row>
    <row r="186" ht="15.75" customHeight="1">
      <c r="A186" s="5" t="s">
        <v>859</v>
      </c>
      <c r="B186" s="48" t="s">
        <v>899</v>
      </c>
      <c r="C186" s="480" t="s">
        <v>111</v>
      </c>
      <c r="D186" s="515" t="str">
        <f>F186/F182</f>
        <v>#REF!</v>
      </c>
      <c r="E186" s="483" t="str">
        <f>IF($J$97=0,0,F186/(D$94+D$95+D182))</f>
        <v>#N/A</v>
      </c>
      <c r="F186" s="481" t="str">
        <f t="array" ref="F186">+INDEX('Budget original'!$A$2:$AO$501,MATCH($A186,'Budget original'!$A$2:$A$501,0),MATCH(F$2,'Budget original'!$A$2:$AO$2,0))</f>
        <v/>
      </c>
      <c r="G186" s="515"/>
      <c r="H186" s="483"/>
      <c r="I186" s="481"/>
      <c r="J186" s="515">
        <f>L186/L182</f>
        <v>-0.06390340347</v>
      </c>
      <c r="K186" s="483">
        <f>IF($J$97=0,0,L186/(J$94+J$95+J182))</f>
        <v>53.10471698</v>
      </c>
      <c r="L186" s="484">
        <f>SUMIFS(BV_Data_An_Cour!$AM:$AM,BV_Data_An_Cour!$AP:$AP,$B186,BV_Data_An_Cour!$AQ:$AQ,$C186,BV_Data_An_Cour!$AR:$AR,$L$2)</f>
        <v>2814.55</v>
      </c>
      <c r="M186" s="480"/>
      <c r="N186" s="484">
        <f t="shared" ref="N186:N227" si="43">L186-F186</f>
        <v>2814.55</v>
      </c>
      <c r="O186" s="515">
        <f>Q186/Q182</f>
        <v>0</v>
      </c>
      <c r="P186" s="483">
        <f>IF($J$97=0,0,Q186/(O$94+O$95+O182))</f>
        <v>0</v>
      </c>
      <c r="Q186" s="484">
        <f>SUMIFS(BV_Data_An_Prec!$AM:$AM,BV_Data_An_Prec!$AP:$AP,$B186,BV_Data_An_Prec!$AQ:$AQ,$C186,BV_Data_An_Prec!$AR:$AR,$L$2)</f>
        <v>0</v>
      </c>
      <c r="R186" s="480"/>
      <c r="S186" s="484">
        <f t="shared" ref="S186:S227" si="44">L186-Q186</f>
        <v>2814.55</v>
      </c>
      <c r="T186" s="40"/>
      <c r="U186" s="40" t="s">
        <v>904</v>
      </c>
      <c r="V186" s="40" t="s">
        <v>904</v>
      </c>
      <c r="W186" s="48"/>
      <c r="X186" s="48"/>
      <c r="Y186" s="48"/>
      <c r="Z186" s="48"/>
      <c r="AA186" s="48"/>
      <c r="AB186" s="48"/>
      <c r="AC186" s="48"/>
      <c r="AD186" s="48"/>
      <c r="AE186" s="48"/>
      <c r="AF186" s="48"/>
      <c r="AG186" s="48"/>
      <c r="AH186" s="48"/>
      <c r="AI186" s="48"/>
      <c r="AJ186" s="48"/>
      <c r="AK186" s="48"/>
      <c r="AL186" s="48"/>
      <c r="AM186" s="48"/>
      <c r="AN186" s="48"/>
    </row>
    <row r="187" ht="15.75" customHeight="1">
      <c r="A187" s="5" t="s">
        <v>861</v>
      </c>
      <c r="B187" s="48" t="s">
        <v>899</v>
      </c>
      <c r="C187" s="471" t="s">
        <v>112</v>
      </c>
      <c r="D187" s="545" t="str">
        <f>F187/(F182)</f>
        <v>#REF!</v>
      </c>
      <c r="E187" s="513" t="str">
        <f>IF($J$97=0,0,F187/(D$94+D$95+D182))</f>
        <v>#N/A</v>
      </c>
      <c r="F187" s="473" t="str">
        <f t="array" ref="F187">+INDEX('Budget original'!$A$2:$AO$501,MATCH($A187,'Budget original'!$A$2:$A$501,0),MATCH(F$2,'Budget original'!$A$2:$AO$2,0))</f>
        <v/>
      </c>
      <c r="G187" s="545"/>
      <c r="H187" s="513"/>
      <c r="I187" s="473"/>
      <c r="J187" s="545">
        <f>L187/(L182)</f>
        <v>0</v>
      </c>
      <c r="K187" s="513">
        <f>IF($J$97=0,0,L187/(J$94+J$95+J182))</f>
        <v>0</v>
      </c>
      <c r="L187" s="484">
        <f>SUMIFS(BV_Data_An_Cour!$AM:$AM,BV_Data_An_Cour!$AP:$AP,$B187,BV_Data_An_Cour!$AQ:$AQ,$C187,BV_Data_An_Cour!$AR:$AR,$L$2)</f>
        <v>0</v>
      </c>
      <c r="M187" s="471"/>
      <c r="N187" s="476">
        <f t="shared" si="43"/>
        <v>0</v>
      </c>
      <c r="O187" s="545">
        <f>Q187/(Q182)</f>
        <v>0</v>
      </c>
      <c r="P187" s="513">
        <f>IF($J$97=0,0,Q187/(O$94+O$95+O182))</f>
        <v>0</v>
      </c>
      <c r="Q187" s="484">
        <f>SUMIFS(BV_Data_An_Prec!$AM:$AM,BV_Data_An_Prec!$AP:$AP,$B187,BV_Data_An_Prec!$AQ:$AQ,$C187,BV_Data_An_Prec!$AR:$AR,$L$2)</f>
        <v>0</v>
      </c>
      <c r="R187" s="471"/>
      <c r="S187" s="476">
        <f t="shared" si="44"/>
        <v>0</v>
      </c>
      <c r="T187" s="40"/>
      <c r="U187" s="40"/>
      <c r="V187" s="48"/>
      <c r="W187" s="48"/>
      <c r="X187" s="48"/>
      <c r="Y187" s="48"/>
      <c r="Z187" s="48"/>
      <c r="AA187" s="48"/>
      <c r="AB187" s="48"/>
      <c r="AC187" s="48"/>
      <c r="AD187" s="48"/>
      <c r="AE187" s="48"/>
      <c r="AF187" s="48"/>
      <c r="AG187" s="48"/>
      <c r="AH187" s="48"/>
      <c r="AI187" s="48"/>
      <c r="AJ187" s="48"/>
      <c r="AK187" s="48"/>
      <c r="AL187" s="48"/>
      <c r="AM187" s="48"/>
      <c r="AN187" s="48"/>
    </row>
    <row r="188" ht="15.75" customHeight="1">
      <c r="A188" s="5" t="s">
        <v>862</v>
      </c>
      <c r="B188" s="48" t="s">
        <v>899</v>
      </c>
      <c r="C188" s="480" t="s">
        <v>113</v>
      </c>
      <c r="D188" s="480"/>
      <c r="E188" s="483" t="str">
        <f>IF($J$97=0,0,F188/(D$94+D$95+D182))</f>
        <v>#N/A</v>
      </c>
      <c r="F188" s="481" t="str">
        <f t="array" ref="F188">+INDEX('Budget original'!$A$2:$AO$501,MATCH($A188,'Budget original'!$A$2:$A$501,0),MATCH(F$2,'Budget original'!$A$2:$AO$2,0))</f>
        <v/>
      </c>
      <c r="G188" s="547"/>
      <c r="H188" s="483"/>
      <c r="I188" s="481"/>
      <c r="J188" s="480"/>
      <c r="K188" s="483">
        <f>IF($J$97=0,0,L188/(J$94+J$95+J182))</f>
        <v>7.391698113</v>
      </c>
      <c r="L188" s="523">
        <f>SUMIFS(BV_Data_An_Cour!$AM:$AM,BV_Data_An_Cour!$AP:$AP,$B188,BV_Data_An_Cour!$AQ:$AQ,$C188,BV_Data_An_Cour!$AR:$AR,$L$2)</f>
        <v>391.76</v>
      </c>
      <c r="M188" s="480"/>
      <c r="N188" s="484">
        <f t="shared" si="43"/>
        <v>391.76</v>
      </c>
      <c r="O188" s="480"/>
      <c r="P188" s="483">
        <f>IF($J$97=0,0,Q188/(O$94+O$95+O182))</f>
        <v>49.01022222</v>
      </c>
      <c r="Q188" s="523">
        <f>SUMIFS(BV_Data_An_Prec!$AM:$AM,BV_Data_An_Prec!$AP:$AP,$B188,BV_Data_An_Prec!$AQ:$AQ,$C188,BV_Data_An_Prec!$AR:$AR,$L$2)</f>
        <v>2205.46</v>
      </c>
      <c r="R188" s="480"/>
      <c r="S188" s="484">
        <f t="shared" si="44"/>
        <v>-1813.7</v>
      </c>
      <c r="T188" s="40"/>
      <c r="U188" s="40"/>
      <c r="V188" s="48"/>
      <c r="W188" s="481"/>
      <c r="X188" s="48"/>
      <c r="Y188" s="48"/>
      <c r="Z188" s="48"/>
      <c r="AA188" s="48"/>
      <c r="AB188" s="48"/>
      <c r="AC188" s="48"/>
      <c r="AD188" s="48"/>
      <c r="AE188" s="48"/>
      <c r="AF188" s="48"/>
      <c r="AG188" s="48"/>
      <c r="AH188" s="48"/>
      <c r="AI188" s="48"/>
      <c r="AJ188" s="48"/>
      <c r="AK188" s="48"/>
      <c r="AL188" s="48"/>
      <c r="AM188" s="48"/>
      <c r="AN188" s="48"/>
    </row>
    <row r="189" ht="15.75" customHeight="1">
      <c r="A189" s="5" t="s">
        <v>863</v>
      </c>
      <c r="B189" s="48" t="s">
        <v>899</v>
      </c>
      <c r="C189" s="480" t="s">
        <v>114</v>
      </c>
      <c r="D189" s="480"/>
      <c r="E189" s="483" t="str">
        <f>IF($J$97=0,0,F189/(D$94+D$95+D182))</f>
        <v>#N/A</v>
      </c>
      <c r="F189" s="481" t="str">
        <f t="array" ref="F189">+INDEX('Budget original'!$A$2:$AO$501,MATCH($A189,'Budget original'!$A$2:$A$501,0),MATCH(F$2,'Budget original'!$A$2:$AO$2,0))</f>
        <v/>
      </c>
      <c r="G189" s="547"/>
      <c r="H189" s="483"/>
      <c r="I189" s="481"/>
      <c r="J189" s="480"/>
      <c r="K189" s="483">
        <f>IF($J$97=0,0,L189/(J$94+J$95+J182))</f>
        <v>0</v>
      </c>
      <c r="L189" s="484">
        <f>SUMIFS(BV_Data_An_Cour!$AM:$AM,BV_Data_An_Cour!$AP:$AP,$B189,BV_Data_An_Cour!$AQ:$AQ,$C189,BV_Data_An_Cour!$AR:$AR,$L$2)</f>
        <v>0</v>
      </c>
      <c r="M189" s="480"/>
      <c r="N189" s="484">
        <f t="shared" si="43"/>
        <v>0</v>
      </c>
      <c r="O189" s="480"/>
      <c r="P189" s="483">
        <f>IF($J$97=0,0,Q189/(O$94+O$95+O182))</f>
        <v>0</v>
      </c>
      <c r="Q189" s="484">
        <f>SUMIFS(BV_Data_An_Prec!$AM:$AM,BV_Data_An_Prec!$AP:$AP,$B189,BV_Data_An_Prec!$AQ:$AQ,$C189,BV_Data_An_Prec!$AR:$AR,$L$2)</f>
        <v>0</v>
      </c>
      <c r="R189" s="480"/>
      <c r="S189" s="484">
        <f t="shared" si="44"/>
        <v>0</v>
      </c>
      <c r="T189" s="40"/>
      <c r="U189" s="40"/>
      <c r="V189" s="48"/>
      <c r="W189" s="481"/>
      <c r="X189" s="48"/>
      <c r="Y189" s="48"/>
      <c r="Z189" s="48"/>
      <c r="AA189" s="48"/>
      <c r="AB189" s="48"/>
      <c r="AC189" s="48"/>
      <c r="AD189" s="48"/>
      <c r="AE189" s="48"/>
      <c r="AF189" s="48"/>
      <c r="AG189" s="48"/>
      <c r="AH189" s="48"/>
      <c r="AI189" s="48"/>
      <c r="AJ189" s="48"/>
      <c r="AK189" s="48"/>
      <c r="AL189" s="48"/>
      <c r="AM189" s="48"/>
      <c r="AN189" s="48"/>
    </row>
    <row r="190" ht="15.75" customHeight="1">
      <c r="A190" s="5" t="s">
        <v>864</v>
      </c>
      <c r="B190" s="48" t="s">
        <v>899</v>
      </c>
      <c r="C190" s="471" t="s">
        <v>115</v>
      </c>
      <c r="D190" s="471"/>
      <c r="E190" s="513" t="str">
        <f>IF($J$97=0,0,F190/(D$94+D$95+D182))</f>
        <v>#N/A</v>
      </c>
      <c r="F190" s="473" t="str">
        <f t="array" ref="F190">+INDEX('Budget original'!$A$2:$AO$501,MATCH($A190,'Budget original'!$A$2:$A$501,0),MATCH(F$2,'Budget original'!$A$2:$AO$2,0))</f>
        <v/>
      </c>
      <c r="G190" s="550"/>
      <c r="H190" s="513"/>
      <c r="I190" s="473"/>
      <c r="J190" s="471"/>
      <c r="K190" s="513">
        <f>IF($J$97=0,0,L190/(J$94+J$95+J182))</f>
        <v>0.3301886792</v>
      </c>
      <c r="L190" s="476">
        <f>SUMIFS(BV_Data_An_Cour!$AM:$AM,BV_Data_An_Cour!$AP:$AP,$B190,BV_Data_An_Cour!$AQ:$AQ,$C190,BV_Data_An_Cour!$AR:$AR,$L$2)</f>
        <v>17.5</v>
      </c>
      <c r="M190" s="471"/>
      <c r="N190" s="476">
        <f t="shared" si="43"/>
        <v>17.5</v>
      </c>
      <c r="O190" s="471"/>
      <c r="P190" s="513">
        <f>IF($J$97=0,0,Q190/(O$94+O$95+O182))</f>
        <v>0</v>
      </c>
      <c r="Q190" s="476">
        <f>SUMIFS(BV_Data_An_Prec!$AM:$AM,BV_Data_An_Prec!$AP:$AP,$B190,BV_Data_An_Prec!$AQ:$AQ,$C190,BV_Data_An_Prec!$AR:$AR,$L$2)</f>
        <v>0</v>
      </c>
      <c r="R190" s="471"/>
      <c r="S190" s="476">
        <f t="shared" si="44"/>
        <v>17.5</v>
      </c>
      <c r="T190" s="540"/>
      <c r="U190" s="40"/>
      <c r="V190" s="48"/>
      <c r="W190" s="481"/>
      <c r="X190" s="48"/>
      <c r="Y190" s="48"/>
      <c r="Z190" s="48"/>
      <c r="AA190" s="48"/>
      <c r="AB190" s="48"/>
      <c r="AC190" s="48"/>
      <c r="AD190" s="48"/>
      <c r="AE190" s="48"/>
      <c r="AF190" s="48"/>
      <c r="AG190" s="48"/>
      <c r="AH190" s="48"/>
      <c r="AI190" s="48"/>
      <c r="AJ190" s="48"/>
      <c r="AK190" s="48"/>
      <c r="AL190" s="48"/>
      <c r="AM190" s="48"/>
      <c r="AN190" s="48"/>
    </row>
    <row r="191" ht="19.5" customHeight="1">
      <c r="A191" s="5" t="s">
        <v>865</v>
      </c>
      <c r="B191" s="48" t="s">
        <v>899</v>
      </c>
      <c r="C191" s="480" t="s">
        <v>116</v>
      </c>
      <c r="D191" s="480"/>
      <c r="E191" s="483" t="str">
        <f>IF($J$97=0,0,F191/(D$94+D$95+D182))</f>
        <v>#N/A</v>
      </c>
      <c r="F191" s="481" t="str">
        <f t="array" ref="F191">+INDEX('Budget original'!$A$2:$AO$501,MATCH($A191,'Budget original'!$A$2:$A$501,0),MATCH(F$2,'Budget original'!$A$2:$AO$2,0))</f>
        <v/>
      </c>
      <c r="G191" s="547"/>
      <c r="H191" s="483"/>
      <c r="I191" s="481"/>
      <c r="J191" s="480"/>
      <c r="K191" s="483">
        <f>IF($J$97=0,0,L191/(J$94+J$95+J182))</f>
        <v>0</v>
      </c>
      <c r="L191" s="484">
        <f>SUMIFS(BV_Data_An_Cour!$AM:$AM,BV_Data_An_Cour!$AP:$AP,$B191,BV_Data_An_Cour!$AQ:$AQ,$C191,BV_Data_An_Cour!$AR:$AR,$L$2)</f>
        <v>0</v>
      </c>
      <c r="M191" s="480"/>
      <c r="N191" s="484">
        <f t="shared" si="43"/>
        <v>0</v>
      </c>
      <c r="O191" s="480"/>
      <c r="P191" s="483">
        <f>IF($J$97=0,0,Q191/(O$94+O$95+O182))</f>
        <v>0</v>
      </c>
      <c r="Q191" s="484">
        <f>SUMIFS(BV_Data_An_Prec!$AM:$AM,BV_Data_An_Prec!$AP:$AP,$B191,BV_Data_An_Prec!$AQ:$AQ,$C191,BV_Data_An_Prec!$AR:$AR,$L$2)</f>
        <v>0</v>
      </c>
      <c r="R191" s="480"/>
      <c r="S191" s="484">
        <f t="shared" si="44"/>
        <v>0</v>
      </c>
      <c r="T191" s="540"/>
      <c r="U191" s="40"/>
      <c r="V191" s="48"/>
      <c r="W191" s="481"/>
      <c r="Z191" s="48"/>
      <c r="AA191" s="48"/>
      <c r="AB191" s="48"/>
      <c r="AC191" s="48"/>
      <c r="AD191" s="48"/>
      <c r="AE191" s="48"/>
      <c r="AF191" s="48"/>
      <c r="AG191" s="48"/>
      <c r="AH191" s="48"/>
      <c r="AI191" s="48"/>
      <c r="AJ191" s="48"/>
      <c r="AK191" s="48"/>
      <c r="AL191" s="48"/>
      <c r="AM191" s="48"/>
      <c r="AN191" s="48"/>
    </row>
    <row r="192" ht="15.75" customHeight="1">
      <c r="A192" s="5" t="s">
        <v>866</v>
      </c>
      <c r="B192" s="48" t="s">
        <v>899</v>
      </c>
      <c r="C192" s="480" t="s">
        <v>117</v>
      </c>
      <c r="D192" s="480"/>
      <c r="E192" s="483" t="str">
        <f>IF($J$97=0,0,F192/(D$94+D$95+D182))</f>
        <v>#N/A</v>
      </c>
      <c r="F192" s="481" t="str">
        <f t="array" ref="F192">+INDEX('Budget original'!$A$2:$AO$501,MATCH($A192,'Budget original'!$A$2:$A$501,0),MATCH(F$2,'Budget original'!$A$2:$AO$2,0))</f>
        <v/>
      </c>
      <c r="G192" s="547"/>
      <c r="H192" s="483"/>
      <c r="I192" s="481"/>
      <c r="J192" s="480"/>
      <c r="K192" s="483">
        <f>IF($J$97=0,0,L192/(J$94+J$95+J182))</f>
        <v>101.9237736</v>
      </c>
      <c r="L192" s="484">
        <f>SUMIFS(BV_Data_An_Cour!$AM:$AM,BV_Data_An_Cour!$AP:$AP,$B192,BV_Data_An_Cour!$AQ:$AQ,$C192,BV_Data_An_Cour!$AR:$AR,$L$2)</f>
        <v>5401.96</v>
      </c>
      <c r="M192" s="480"/>
      <c r="N192" s="484">
        <f t="shared" si="43"/>
        <v>5401.96</v>
      </c>
      <c r="O192" s="480"/>
      <c r="P192" s="483">
        <f>IF($J$97=0,0,Q192/(O$94+O$95+O182))</f>
        <v>36.94688889</v>
      </c>
      <c r="Q192" s="484">
        <f>SUMIFS(BV_Data_An_Prec!$AM:$AM,BV_Data_An_Prec!$AP:$AP,$B192,BV_Data_An_Prec!$AQ:$AQ,$C192,BV_Data_An_Prec!$AR:$AR,$L$2)</f>
        <v>1662.61</v>
      </c>
      <c r="R192" s="480"/>
      <c r="S192" s="484">
        <f t="shared" si="44"/>
        <v>3739.35</v>
      </c>
      <c r="T192" s="40"/>
      <c r="U192" s="40"/>
      <c r="V192" s="48"/>
      <c r="W192" s="481"/>
      <c r="X192" s="48"/>
      <c r="Y192" s="48"/>
      <c r="Z192" s="48"/>
      <c r="AA192" s="48"/>
      <c r="AB192" s="48"/>
      <c r="AC192" s="48"/>
      <c r="AD192" s="48"/>
      <c r="AE192" s="48"/>
      <c r="AF192" s="48"/>
      <c r="AG192" s="48"/>
      <c r="AH192" s="48"/>
      <c r="AI192" s="48"/>
      <c r="AJ192" s="48"/>
      <c r="AK192" s="48"/>
      <c r="AL192" s="48"/>
      <c r="AM192" s="48"/>
      <c r="AN192" s="48"/>
    </row>
    <row r="193" ht="20.25" customHeight="1">
      <c r="A193" s="5" t="s">
        <v>867</v>
      </c>
      <c r="B193" s="48" t="s">
        <v>899</v>
      </c>
      <c r="C193" s="480" t="s">
        <v>813</v>
      </c>
      <c r="D193" s="546"/>
      <c r="E193" s="483" t="str">
        <f t="shared" ref="E193:E195" si="45">F193/D$97</f>
        <v>#DIV/0!</v>
      </c>
      <c r="F193" s="481" t="str">
        <f t="array" ref="F193">+INDEX('Budget original'!$A$2:$AO$501,MATCH($A193,'Budget original'!$A$2:$A$501,0),MATCH(F$2,'Budget original'!$A$2:$AO$2,0))</f>
        <v/>
      </c>
      <c r="G193" s="547"/>
      <c r="H193" s="483"/>
      <c r="I193" s="481"/>
      <c r="J193" s="480"/>
      <c r="K193" s="483">
        <f t="shared" ref="K193:K195" si="46">IF($J$97=0,0,L193/(J$94+J$95))</f>
        <v>0</v>
      </c>
      <c r="L193" s="485">
        <f>SUMIFS(BV_Data_An_Cour!$AM:$AM,BV_Data_An_Cour!$AP:$AP,$B193,BV_Data_An_Cour!$AQ:$AQ,$C193,BV_Data_An_Cour!$AR:$AR,$L$2)</f>
        <v>0</v>
      </c>
      <c r="M193" s="480"/>
      <c r="N193" s="484">
        <f t="shared" si="43"/>
        <v>0</v>
      </c>
      <c r="O193" s="480"/>
      <c r="P193" s="483">
        <f t="shared" ref="P193:P195" si="47">IF($J$97=0,0,Q193/(O$94+O$95))</f>
        <v>0</v>
      </c>
      <c r="Q193" s="485">
        <f>SUMIFS(BV_Data_An_Prec!$AM:$AM,BV_Data_An_Prec!$AP:$AP,$B193,BV_Data_An_Prec!$AQ:$AQ,$C193,BV_Data_An_Prec!$AR:$AR,$L$2)</f>
        <v>0</v>
      </c>
      <c r="R193" s="480"/>
      <c r="S193" s="484">
        <f t="shared" si="44"/>
        <v>0</v>
      </c>
      <c r="T193" s="40"/>
      <c r="U193" s="40"/>
      <c r="V193" s="48"/>
      <c r="W193" s="48"/>
      <c r="X193" s="48"/>
      <c r="Y193" s="48"/>
      <c r="Z193" s="48"/>
      <c r="AA193" s="48"/>
      <c r="AB193" s="48"/>
      <c r="AC193" s="48"/>
      <c r="AD193" s="48"/>
      <c r="AE193" s="48"/>
      <c r="AF193" s="48"/>
      <c r="AG193" s="48"/>
      <c r="AH193" s="48"/>
      <c r="AI193" s="48"/>
      <c r="AJ193" s="48"/>
      <c r="AK193" s="48"/>
      <c r="AL193" s="48"/>
      <c r="AM193" s="48"/>
      <c r="AN193" s="48"/>
    </row>
    <row r="194" ht="20.25" customHeight="1">
      <c r="A194" s="5" t="s">
        <v>867</v>
      </c>
      <c r="B194" s="48" t="s">
        <v>899</v>
      </c>
      <c r="C194" s="480" t="s">
        <v>814</v>
      </c>
      <c r="D194" s="546"/>
      <c r="E194" s="483" t="str">
        <f t="shared" si="45"/>
        <v>#DIV/0!</v>
      </c>
      <c r="F194" s="481" t="str">
        <f t="array" ref="F194">+INDEX('Budget original'!$A$2:$AO$501,MATCH($A194,'Budget original'!$A$2:$A$501,0),MATCH(F$2,'Budget original'!$A$2:$AO$2,0))</f>
        <v/>
      </c>
      <c r="G194" s="547"/>
      <c r="H194" s="483"/>
      <c r="I194" s="481"/>
      <c r="J194" s="480"/>
      <c r="K194" s="483">
        <f t="shared" si="46"/>
        <v>-37.58409091</v>
      </c>
      <c r="L194" s="484">
        <f>SUMIFS(BV_Data_An_Cour!$AM:$AM,BV_Data_An_Cour!$AP:$AP,$B194,BV_Data_An_Cour!$AQ:$AQ,$C194,BV_Data_An_Cour!$AR:$AR,$L$2)</f>
        <v>-826.85</v>
      </c>
      <c r="M194" s="480"/>
      <c r="N194" s="484">
        <f t="shared" si="43"/>
        <v>-826.85</v>
      </c>
      <c r="O194" s="480"/>
      <c r="P194" s="483">
        <f t="shared" si="47"/>
        <v>0</v>
      </c>
      <c r="Q194" s="485">
        <f>SUMIFS(BV_Data_An_Prec!$AM:$AM,BV_Data_An_Prec!$AP:$AP,$B194,BV_Data_An_Prec!$AQ:$AQ,$C194,BV_Data_An_Prec!$AR:$AR,$L$2)</f>
        <v>0</v>
      </c>
      <c r="R194" s="480"/>
      <c r="S194" s="484">
        <f t="shared" si="44"/>
        <v>-826.85</v>
      </c>
      <c r="T194" s="40"/>
      <c r="U194" s="40"/>
      <c r="V194" s="48"/>
      <c r="W194" s="48"/>
      <c r="X194" s="48"/>
      <c r="Y194" s="48"/>
      <c r="Z194" s="48"/>
      <c r="AA194" s="48"/>
      <c r="AB194" s="48"/>
      <c r="AC194" s="48"/>
      <c r="AD194" s="48"/>
      <c r="AE194" s="48"/>
      <c r="AF194" s="48"/>
      <c r="AG194" s="48"/>
      <c r="AH194" s="48"/>
      <c r="AI194" s="48"/>
      <c r="AJ194" s="48"/>
      <c r="AK194" s="48"/>
      <c r="AL194" s="48"/>
      <c r="AM194" s="48"/>
      <c r="AN194" s="48"/>
    </row>
    <row r="195" ht="20.25" hidden="1" customHeight="1">
      <c r="A195" s="5" t="s">
        <v>867</v>
      </c>
      <c r="B195" s="48" t="s">
        <v>899</v>
      </c>
      <c r="C195" s="480" t="s">
        <v>56</v>
      </c>
      <c r="D195" s="546"/>
      <c r="E195" s="483" t="str">
        <f t="shared" si="45"/>
        <v>#DIV/0!</v>
      </c>
      <c r="F195" s="481" t="str">
        <f t="array" ref="F195">+INDEX('Budget original'!$A$2:$AO$501,MATCH($A195,'Budget original'!$A$2:$A$501,0),MATCH(F$2,'Budget original'!$A$2:$AO$2,0))</f>
        <v/>
      </c>
      <c r="G195" s="547"/>
      <c r="H195" s="483"/>
      <c r="I195" s="481"/>
      <c r="J195" s="480"/>
      <c r="K195" s="483">
        <f t="shared" si="46"/>
        <v>0</v>
      </c>
      <c r="L195" s="485">
        <f>SUMIFS(BV_Data_An_Cour!$AM:$AM,BV_Data_An_Cour!$AP:$AP,$B195,BV_Data_An_Cour!$AQ:$AQ,$C195,BV_Data_An_Cour!$AR:$AR,$L$2)</f>
        <v>0</v>
      </c>
      <c r="M195" s="480"/>
      <c r="N195" s="484">
        <f t="shared" si="43"/>
        <v>0</v>
      </c>
      <c r="O195" s="480"/>
      <c r="P195" s="483">
        <f t="shared" si="47"/>
        <v>0</v>
      </c>
      <c r="Q195" s="485">
        <f>SUMIFS(BV_Data_An_Prec!$AM:$AM,BV_Data_An_Prec!$AP:$AP,$B195,BV_Data_An_Prec!$AQ:$AQ,$C195,BV_Data_An_Prec!$AR:$AR,$L$2)</f>
        <v>0</v>
      </c>
      <c r="R195" s="480"/>
      <c r="S195" s="484">
        <f t="shared" si="44"/>
        <v>0</v>
      </c>
      <c r="T195" s="40"/>
      <c r="U195" s="40"/>
      <c r="V195" s="48"/>
      <c r="W195" s="48"/>
      <c r="X195" s="48"/>
      <c r="Y195" s="48"/>
      <c r="Z195" s="48"/>
      <c r="AA195" s="48"/>
      <c r="AB195" s="48"/>
      <c r="AC195" s="48"/>
      <c r="AD195" s="48"/>
      <c r="AE195" s="48"/>
      <c r="AF195" s="48"/>
      <c r="AG195" s="48"/>
      <c r="AH195" s="48"/>
      <c r="AI195" s="48"/>
      <c r="AJ195" s="48"/>
      <c r="AK195" s="48"/>
      <c r="AL195" s="48"/>
      <c r="AM195" s="48"/>
      <c r="AN195" s="48"/>
    </row>
    <row r="196" ht="18.0" customHeight="1">
      <c r="A196" s="5" t="s">
        <v>868</v>
      </c>
      <c r="B196" s="48" t="s">
        <v>899</v>
      </c>
      <c r="C196" s="552" t="s">
        <v>118</v>
      </c>
      <c r="D196" s="553" t="s">
        <v>225</v>
      </c>
      <c r="E196" s="554" t="str">
        <f>F196/F$109</f>
        <v>#DIV/0!</v>
      </c>
      <c r="F196" s="555">
        <f>SUM(F186:F195)</f>
        <v>0</v>
      </c>
      <c r="G196" s="556"/>
      <c r="H196" s="554"/>
      <c r="I196" s="555"/>
      <c r="J196" s="556" t="s">
        <v>225</v>
      </c>
      <c r="K196" s="554">
        <f>L196/L$109</f>
        <v>0.1983225186</v>
      </c>
      <c r="L196" s="555">
        <f>SUM(L186:L195)</f>
        <v>7798.92</v>
      </c>
      <c r="M196" s="557"/>
      <c r="N196" s="555">
        <f t="shared" si="43"/>
        <v>7798.92</v>
      </c>
      <c r="O196" s="556" t="s">
        <v>225</v>
      </c>
      <c r="P196" s="554">
        <f>Q196/Q$109</f>
        <v>0.03173553651</v>
      </c>
      <c r="Q196" s="555">
        <f>SUM(Q186:Q195)</f>
        <v>3868.07</v>
      </c>
      <c r="R196" s="558"/>
      <c r="S196" s="555">
        <f t="shared" si="44"/>
        <v>3930.85</v>
      </c>
      <c r="T196" s="40"/>
      <c r="U196" s="40"/>
      <c r="V196" s="48"/>
      <c r="W196" s="48"/>
      <c r="X196" s="48"/>
      <c r="Y196" s="48"/>
      <c r="Z196" s="48"/>
      <c r="AA196" s="48"/>
      <c r="AB196" s="48"/>
      <c r="AC196" s="48"/>
      <c r="AD196" s="48"/>
      <c r="AE196" s="48"/>
      <c r="AF196" s="48"/>
      <c r="AG196" s="48"/>
      <c r="AH196" s="48"/>
      <c r="AI196" s="48"/>
      <c r="AJ196" s="48"/>
      <c r="AK196" s="48"/>
      <c r="AL196" s="48"/>
      <c r="AM196" s="48"/>
      <c r="AN196" s="48"/>
    </row>
    <row r="197" ht="15.75" customHeight="1">
      <c r="A197" s="5" t="s">
        <v>869</v>
      </c>
      <c r="B197" s="48" t="s">
        <v>899</v>
      </c>
      <c r="C197" s="559" t="s">
        <v>119</v>
      </c>
      <c r="D197" s="48"/>
      <c r="E197" s="48"/>
      <c r="F197" s="481" t="str">
        <f t="array" ref="F197">+INDEX('Budget original'!$A$2:$AO$501,MATCH($A197,'Budget original'!$A$2:$A$501,0),MATCH(F$2,'Budget original'!$A$2:$AO$2,0))</f>
        <v/>
      </c>
      <c r="G197" s="480"/>
      <c r="H197" s="48"/>
      <c r="I197" s="481"/>
      <c r="J197" s="480"/>
      <c r="K197" s="48"/>
      <c r="L197" s="484">
        <f>SUMIFS(BV_Data_An_Cour!$AM:$AM,BV_Data_An_Cour!$AP:$AP,$B197,BV_Data_An_Cour!$AQ:$AQ,$C197,BV_Data_An_Cour!$AR:$AR,$L$2)</f>
        <v>3670.8</v>
      </c>
      <c r="M197" s="480"/>
      <c r="N197" s="484">
        <f t="shared" si="43"/>
        <v>3670.8</v>
      </c>
      <c r="O197" s="480"/>
      <c r="P197" s="48"/>
      <c r="Q197" s="484">
        <f>SUMIFS(BV_Data_An_Prec!$AM:$AM,BV_Data_An_Prec!$AP:$AP,$B197,BV_Data_An_Prec!$AQ:$AQ,$C197,BV_Data_An_Prec!$AR:$AR,$L$2)</f>
        <v>1000</v>
      </c>
      <c r="R197" s="480"/>
      <c r="S197" s="484">
        <f t="shared" si="44"/>
        <v>2670.8</v>
      </c>
      <c r="T197" s="40"/>
      <c r="U197" s="40" t="s">
        <v>905</v>
      </c>
      <c r="V197" s="48"/>
      <c r="W197" s="48"/>
      <c r="X197" s="48"/>
      <c r="Y197" s="48"/>
      <c r="Z197" s="48"/>
      <c r="AA197" s="48"/>
      <c r="AB197" s="48"/>
      <c r="AC197" s="48"/>
      <c r="AD197" s="48"/>
      <c r="AE197" s="48"/>
      <c r="AF197" s="48"/>
      <c r="AG197" s="48"/>
      <c r="AH197" s="48"/>
      <c r="AI197" s="48"/>
      <c r="AJ197" s="48"/>
      <c r="AK197" s="48"/>
      <c r="AL197" s="48"/>
      <c r="AM197" s="48"/>
      <c r="AN197" s="48"/>
    </row>
    <row r="198" ht="15.75" customHeight="1">
      <c r="A198" s="5" t="s">
        <v>870</v>
      </c>
      <c r="B198" s="48" t="s">
        <v>899</v>
      </c>
      <c r="C198" s="560" t="s">
        <v>120</v>
      </c>
      <c r="D198" s="546"/>
      <c r="E198" s="48"/>
      <c r="F198" s="473" t="str">
        <f t="array" ref="F198">+INDEX('Budget original'!$A$2:$AO$501,MATCH($A198,'Budget original'!$A$2:$A$501,0),MATCH(F$2,'Budget original'!$A$2:$AO$2,0))</f>
        <v/>
      </c>
      <c r="G198" s="547"/>
      <c r="H198" s="48"/>
      <c r="I198" s="473"/>
      <c r="J198" s="480"/>
      <c r="K198" s="48"/>
      <c r="L198" s="484">
        <f>SUMIFS(BV_Data_An_Cour!$AM:$AM,BV_Data_An_Cour!$AP:$AP,$B198,BV_Data_An_Cour!$AQ:$AQ,$C198,BV_Data_An_Cour!$AR:$AR,$L$2)</f>
        <v>5819.41</v>
      </c>
      <c r="M198" s="480"/>
      <c r="N198" s="484">
        <f t="shared" si="43"/>
        <v>5819.41</v>
      </c>
      <c r="O198" s="480"/>
      <c r="P198" s="48"/>
      <c r="Q198" s="484">
        <f>SUMIFS(BV_Data_An_Prec!$AM:$AM,BV_Data_An_Prec!$AP:$AP,$B198,BV_Data_An_Prec!$AQ:$AQ,$C198,BV_Data_An_Prec!$AR:$AR,$L$2)</f>
        <v>13845.4</v>
      </c>
      <c r="R198" s="480"/>
      <c r="S198" s="484">
        <f t="shared" si="44"/>
        <v>-8025.99</v>
      </c>
      <c r="T198" s="40"/>
      <c r="U198" s="40" t="s">
        <v>906</v>
      </c>
      <c r="V198" s="48"/>
      <c r="W198" s="48"/>
      <c r="X198" s="48"/>
      <c r="Y198" s="48"/>
      <c r="Z198" s="48"/>
      <c r="AA198" s="48"/>
      <c r="AB198" s="48"/>
      <c r="AC198" s="48"/>
      <c r="AD198" s="48"/>
      <c r="AE198" s="48"/>
      <c r="AF198" s="48"/>
      <c r="AG198" s="48"/>
      <c r="AH198" s="48"/>
      <c r="AI198" s="48"/>
      <c r="AJ198" s="48"/>
      <c r="AK198" s="48"/>
      <c r="AL198" s="48"/>
      <c r="AM198" s="48"/>
      <c r="AN198" s="48"/>
    </row>
    <row r="199" ht="15.75" customHeight="1">
      <c r="A199" s="5" t="s">
        <v>871</v>
      </c>
      <c r="B199" s="48" t="s">
        <v>899</v>
      </c>
      <c r="C199" s="559" t="s">
        <v>121</v>
      </c>
      <c r="D199" s="561"/>
      <c r="E199" s="562"/>
      <c r="F199" s="481" t="str">
        <f t="array" ref="F199">+INDEX('Budget original'!$A$2:$AO$501,MATCH($A199,'Budget original'!$A$2:$A$501,0),MATCH(F$2,'Budget original'!$A$2:$AO$2,0))</f>
        <v/>
      </c>
      <c r="G199" s="563"/>
      <c r="H199" s="562"/>
      <c r="I199" s="481"/>
      <c r="J199" s="466"/>
      <c r="K199" s="562"/>
      <c r="L199" s="523">
        <f>SUMIFS(BV_Data_An_Cour!$AM:$AM,BV_Data_An_Cour!$AP:$AP,$B199,BV_Data_An_Cour!$AQ:$AQ,$C199,BV_Data_An_Cour!$AR:$AR,$L$2)</f>
        <v>0</v>
      </c>
      <c r="M199" s="466"/>
      <c r="N199" s="523">
        <f t="shared" si="43"/>
        <v>0</v>
      </c>
      <c r="O199" s="466"/>
      <c r="P199" s="562"/>
      <c r="Q199" s="523">
        <f>SUMIFS(BV_Data_An_Prec!$AM:$AM,BV_Data_An_Prec!$AP:$AP,$B199,BV_Data_An_Prec!$AQ:$AQ,$C199,BV_Data_An_Prec!$AR:$AR,$L$2)</f>
        <v>46957.5</v>
      </c>
      <c r="R199" s="466"/>
      <c r="S199" s="523">
        <f t="shared" si="44"/>
        <v>-46957.5</v>
      </c>
      <c r="T199" s="40"/>
      <c r="U199" s="40"/>
      <c r="V199" s="48"/>
      <c r="W199" s="48"/>
      <c r="X199" s="48"/>
      <c r="Y199" s="48"/>
      <c r="Z199" s="48"/>
      <c r="AA199" s="48"/>
      <c r="AB199" s="48"/>
      <c r="AC199" s="48"/>
      <c r="AD199" s="48"/>
      <c r="AE199" s="48"/>
      <c r="AF199" s="48"/>
      <c r="AG199" s="48"/>
      <c r="AH199" s="48"/>
      <c r="AI199" s="48"/>
      <c r="AJ199" s="48"/>
      <c r="AK199" s="48"/>
      <c r="AL199" s="48"/>
      <c r="AM199" s="48"/>
      <c r="AN199" s="48"/>
    </row>
    <row r="200" ht="20.25" hidden="1" customHeight="1">
      <c r="A200" s="5" t="s">
        <v>872</v>
      </c>
      <c r="B200" s="48" t="s">
        <v>899</v>
      </c>
      <c r="C200" s="559" t="s">
        <v>122</v>
      </c>
      <c r="D200" s="546"/>
      <c r="E200" s="48"/>
      <c r="F200" s="481" t="str">
        <f t="array" ref="F200">+INDEX('Budget original'!$A$2:$AO$501,MATCH($A200,'Budget original'!$A$2:$A$501,0),MATCH(F$2,'Budget original'!$A$2:$AO$2,0))</f>
        <v/>
      </c>
      <c r="G200" s="547"/>
      <c r="H200" s="48"/>
      <c r="I200" s="481"/>
      <c r="J200" s="480"/>
      <c r="K200" s="48"/>
      <c r="L200" s="484">
        <f>SUMIFS(BV_Data_An_Cour!$AM:$AM,BV_Data_An_Cour!$AP:$AP,$B200,BV_Data_An_Cour!$AQ:$AQ,$C200,BV_Data_An_Cour!$AR:$AR,$L$2)</f>
        <v>0</v>
      </c>
      <c r="M200" s="480"/>
      <c r="N200" s="484">
        <f t="shared" si="43"/>
        <v>0</v>
      </c>
      <c r="O200" s="480"/>
      <c r="P200" s="48"/>
      <c r="Q200" s="484">
        <f>SUMIFS(BV_Data_An_Prec!$AM:$AM,BV_Data_An_Prec!$AP:$AP,$B200,BV_Data_An_Prec!$AQ:$AQ,$C200,BV_Data_An_Prec!$AR:$AR,$L$2)</f>
        <v>0</v>
      </c>
      <c r="R200" s="480"/>
      <c r="S200" s="484">
        <f t="shared" si="44"/>
        <v>0</v>
      </c>
      <c r="T200" s="40"/>
      <c r="U200" s="40"/>
      <c r="V200" s="48"/>
      <c r="W200" s="48"/>
      <c r="X200" s="48"/>
      <c r="Y200" s="48"/>
      <c r="Z200" s="48"/>
      <c r="AA200" s="48"/>
      <c r="AB200" s="48"/>
      <c r="AC200" s="48"/>
      <c r="AD200" s="48"/>
      <c r="AE200" s="48"/>
      <c r="AF200" s="48"/>
      <c r="AG200" s="48"/>
      <c r="AH200" s="48"/>
      <c r="AI200" s="48"/>
      <c r="AJ200" s="48"/>
      <c r="AK200" s="48"/>
      <c r="AL200" s="48"/>
      <c r="AM200" s="48"/>
      <c r="AN200" s="48"/>
    </row>
    <row r="201" ht="20.25" hidden="1" customHeight="1">
      <c r="A201" s="5" t="s">
        <v>867</v>
      </c>
      <c r="B201" s="48" t="s">
        <v>899</v>
      </c>
      <c r="C201" s="559" t="s">
        <v>56</v>
      </c>
      <c r="D201" s="546"/>
      <c r="E201" s="48"/>
      <c r="F201" s="481" t="str">
        <f t="array" ref="F201">+INDEX('Budget original'!$A$2:$AO$501,MATCH($A201,'Budget original'!$A$2:$A$501,0),MATCH(F$2,'Budget original'!$A$2:$AO$2,0))</f>
        <v/>
      </c>
      <c r="G201" s="547"/>
      <c r="H201" s="48"/>
      <c r="I201" s="481"/>
      <c r="J201" s="480"/>
      <c r="K201" s="48"/>
      <c r="L201" s="484">
        <f>SUMIFS(BV_Data_An_Cour!$AM:$AM,BV_Data_An_Cour!$AP:$AP,$B201,BV_Data_An_Cour!$AQ:$AQ,$C201,BV_Data_An_Cour!$AR:$AR,$L$2)</f>
        <v>0</v>
      </c>
      <c r="M201" s="480"/>
      <c r="N201" s="484">
        <f t="shared" si="43"/>
        <v>0</v>
      </c>
      <c r="O201" s="480"/>
      <c r="P201" s="48"/>
      <c r="Q201" s="484">
        <f>SUMIFS(BV_Data_An_Prec!$AM:$AM,BV_Data_An_Prec!$AP:$AP,$B201,BV_Data_An_Prec!$AQ:$AQ,$C201,BV_Data_An_Prec!$AR:$AR,$L$2)</f>
        <v>0</v>
      </c>
      <c r="R201" s="480"/>
      <c r="S201" s="484">
        <f t="shared" si="44"/>
        <v>0</v>
      </c>
      <c r="T201" s="40"/>
      <c r="U201" s="40"/>
      <c r="V201" s="48"/>
      <c r="W201" s="48"/>
      <c r="X201" s="48"/>
      <c r="Y201" s="48"/>
      <c r="Z201" s="48"/>
      <c r="AA201" s="48"/>
      <c r="AB201" s="48"/>
      <c r="AC201" s="48"/>
      <c r="AD201" s="48"/>
      <c r="AE201" s="48"/>
      <c r="AF201" s="48"/>
      <c r="AG201" s="48"/>
      <c r="AH201" s="48"/>
      <c r="AI201" s="48"/>
      <c r="AJ201" s="48"/>
      <c r="AK201" s="48"/>
      <c r="AL201" s="48"/>
      <c r="AM201" s="48"/>
      <c r="AN201" s="48"/>
    </row>
    <row r="202" ht="20.25" hidden="1" customHeight="1">
      <c r="A202" s="5" t="s">
        <v>867</v>
      </c>
      <c r="B202" s="48" t="s">
        <v>899</v>
      </c>
      <c r="C202" s="559" t="s">
        <v>56</v>
      </c>
      <c r="D202" s="546"/>
      <c r="E202" s="48"/>
      <c r="F202" s="481" t="str">
        <f t="array" ref="F202">+INDEX('Budget original'!$A$2:$AO$501,MATCH($A202,'Budget original'!$A$2:$A$501,0),MATCH(F$2,'Budget original'!$A$2:$AO$2,0))</f>
        <v/>
      </c>
      <c r="G202" s="547"/>
      <c r="H202" s="48"/>
      <c r="I202" s="481"/>
      <c r="J202" s="480"/>
      <c r="K202" s="48"/>
      <c r="L202" s="484">
        <f>SUMIFS(BV_Data_An_Cour!$AM:$AM,BV_Data_An_Cour!$AP:$AP,$B202,BV_Data_An_Cour!$AQ:$AQ,$C202,BV_Data_An_Cour!$AR:$AR,$L$2)</f>
        <v>0</v>
      </c>
      <c r="M202" s="480"/>
      <c r="N202" s="484">
        <f t="shared" si="43"/>
        <v>0</v>
      </c>
      <c r="O202" s="480"/>
      <c r="P202" s="48"/>
      <c r="Q202" s="484">
        <f>SUMIFS(BV_Data_An_Prec!$AM:$AM,BV_Data_An_Prec!$AP:$AP,$B202,BV_Data_An_Prec!$AQ:$AQ,$C202,BV_Data_An_Prec!$AR:$AR,$L$2)</f>
        <v>0</v>
      </c>
      <c r="R202" s="480"/>
      <c r="S202" s="484">
        <f t="shared" si="44"/>
        <v>0</v>
      </c>
      <c r="T202" s="40"/>
      <c r="U202" s="40"/>
      <c r="V202" s="48"/>
      <c r="W202" s="48"/>
      <c r="X202" s="48"/>
      <c r="Y202" s="48"/>
      <c r="Z202" s="48"/>
      <c r="AA202" s="48"/>
      <c r="AB202" s="48"/>
      <c r="AC202" s="48"/>
      <c r="AD202" s="48"/>
      <c r="AE202" s="48"/>
      <c r="AF202" s="48"/>
      <c r="AG202" s="48"/>
      <c r="AH202" s="48"/>
      <c r="AI202" s="48"/>
      <c r="AJ202" s="48"/>
      <c r="AK202" s="48"/>
      <c r="AL202" s="48"/>
      <c r="AM202" s="48"/>
      <c r="AN202" s="48"/>
    </row>
    <row r="203" ht="20.25" hidden="1" customHeight="1">
      <c r="A203" s="5" t="s">
        <v>867</v>
      </c>
      <c r="B203" s="48" t="s">
        <v>899</v>
      </c>
      <c r="C203" s="559" t="s">
        <v>56</v>
      </c>
      <c r="D203" s="546"/>
      <c r="E203" s="48"/>
      <c r="F203" s="481" t="str">
        <f t="array" ref="F203">+INDEX('Budget original'!$A$2:$AO$501,MATCH($A203,'Budget original'!$A$2:$A$501,0),MATCH(F$2,'Budget original'!$A$2:$AO$2,0))</f>
        <v/>
      </c>
      <c r="G203" s="547"/>
      <c r="H203" s="48"/>
      <c r="I203" s="481"/>
      <c r="J203" s="480"/>
      <c r="K203" s="48"/>
      <c r="L203" s="484">
        <f>SUMIFS(BV_Data_An_Cour!$AM:$AM,BV_Data_An_Cour!$AP:$AP,$B203,BV_Data_An_Cour!$AQ:$AQ,$C203,BV_Data_An_Cour!$AR:$AR,$L$2)</f>
        <v>0</v>
      </c>
      <c r="M203" s="480"/>
      <c r="N203" s="484">
        <f t="shared" si="43"/>
        <v>0</v>
      </c>
      <c r="O203" s="480"/>
      <c r="P203" s="48"/>
      <c r="Q203" s="484">
        <f>SUMIFS(BV_Data_An_Prec!$AM:$AM,BV_Data_An_Prec!$AP:$AP,$B203,BV_Data_An_Prec!$AQ:$AQ,$C203,BV_Data_An_Prec!$AR:$AR,$L$2)</f>
        <v>0</v>
      </c>
      <c r="R203" s="480"/>
      <c r="S203" s="484">
        <f t="shared" si="44"/>
        <v>0</v>
      </c>
      <c r="T203" s="40"/>
      <c r="U203" s="40"/>
      <c r="V203" s="48"/>
      <c r="W203" s="48"/>
      <c r="X203" s="48"/>
      <c r="Y203" s="48"/>
      <c r="Z203" s="48"/>
      <c r="AA203" s="48"/>
      <c r="AB203" s="48"/>
      <c r="AC203" s="48"/>
      <c r="AD203" s="48"/>
      <c r="AE203" s="48"/>
      <c r="AF203" s="48"/>
      <c r="AG203" s="48"/>
      <c r="AH203" s="48"/>
      <c r="AI203" s="48"/>
      <c r="AJ203" s="48"/>
      <c r="AK203" s="48"/>
      <c r="AL203" s="48"/>
      <c r="AM203" s="48"/>
      <c r="AN203" s="48"/>
    </row>
    <row r="204" ht="15.75" customHeight="1">
      <c r="A204" s="5" t="s">
        <v>873</v>
      </c>
      <c r="B204" s="48" t="s">
        <v>899</v>
      </c>
      <c r="C204" s="560" t="s">
        <v>123</v>
      </c>
      <c r="D204" s="546"/>
      <c r="E204" s="48"/>
      <c r="F204" s="481" t="str">
        <f t="array" ref="F204">+INDEX('Budget original'!$A$2:$AO$501,MATCH($A204,'Budget original'!$A$2:$A$501,0),MATCH(F$2,'Budget original'!$A$2:$AO$2,0))</f>
        <v/>
      </c>
      <c r="G204" s="547"/>
      <c r="H204" s="48"/>
      <c r="I204" s="481"/>
      <c r="J204" s="480"/>
      <c r="K204" s="48"/>
      <c r="L204" s="484">
        <f>SUMIFS(BV_Data_An_Cour!$AM:$AM,BV_Data_An_Cour!$AP:$AP,$B204,BV_Data_An_Cour!$AQ:$AQ,$C204,BV_Data_An_Cour!$AR:$AR,$L$2)</f>
        <v>2274.15</v>
      </c>
      <c r="M204" s="480"/>
      <c r="N204" s="484">
        <f t="shared" si="43"/>
        <v>2274.15</v>
      </c>
      <c r="O204" s="480"/>
      <c r="P204" s="48"/>
      <c r="Q204" s="484">
        <f>SUMIFS(BV_Data_An_Prec!$AM:$AM,BV_Data_An_Prec!$AP:$AP,$B204,BV_Data_An_Prec!$AQ:$AQ,$C204,BV_Data_An_Prec!$AR:$AR,$L$2)</f>
        <v>2708.37</v>
      </c>
      <c r="R204" s="480"/>
      <c r="S204" s="484">
        <f t="shared" si="44"/>
        <v>-434.22</v>
      </c>
      <c r="T204" s="40"/>
      <c r="U204" s="40"/>
      <c r="V204" s="48"/>
      <c r="W204" s="48"/>
      <c r="X204" s="48"/>
      <c r="Y204" s="48"/>
      <c r="Z204" s="48"/>
      <c r="AA204" s="48"/>
      <c r="AB204" s="48"/>
      <c r="AC204" s="48"/>
      <c r="AD204" s="48"/>
      <c r="AE204" s="48"/>
      <c r="AF204" s="48"/>
      <c r="AG204" s="48"/>
      <c r="AH204" s="48"/>
      <c r="AI204" s="48"/>
      <c r="AJ204" s="48"/>
      <c r="AK204" s="48"/>
      <c r="AL204" s="48"/>
      <c r="AM204" s="48"/>
      <c r="AN204" s="48"/>
    </row>
    <row r="205" ht="15.75" customHeight="1">
      <c r="A205" s="5" t="s">
        <v>874</v>
      </c>
      <c r="B205" s="48" t="s">
        <v>899</v>
      </c>
      <c r="C205" s="559" t="s">
        <v>124</v>
      </c>
      <c r="D205" s="561"/>
      <c r="E205" s="562"/>
      <c r="F205" s="519" t="str">
        <f t="array" ref="F205">+INDEX('Budget original'!$A$2:$AO$501,MATCH($A205,'Budget original'!$A$2:$A$501,0),MATCH(F$2,'Budget original'!$A$2:$AO$2,0))</f>
        <v/>
      </c>
      <c r="G205" s="563"/>
      <c r="H205" s="562"/>
      <c r="I205" s="519"/>
      <c r="J205" s="466"/>
      <c r="K205" s="562"/>
      <c r="L205" s="523">
        <f>SUMIFS(BV_Data_An_Cour!$AM:$AM,BV_Data_An_Cour!$AP:$AP,$B205,BV_Data_An_Cour!$AQ:$AQ,$C205,BV_Data_An_Cour!$AR:$AR,$L$2)</f>
        <v>3343.88</v>
      </c>
      <c r="M205" s="466"/>
      <c r="N205" s="523">
        <f t="shared" si="43"/>
        <v>3343.88</v>
      </c>
      <c r="O205" s="466"/>
      <c r="P205" s="562"/>
      <c r="Q205" s="523">
        <f>SUMIFS(BV_Data_An_Prec!$AM:$AM,BV_Data_An_Prec!$AP:$AP,$B205,BV_Data_An_Prec!$AQ:$AQ,$C205,BV_Data_An_Prec!$AR:$AR,$L$2)</f>
        <v>3245.26</v>
      </c>
      <c r="R205" s="466"/>
      <c r="S205" s="523">
        <f t="shared" si="44"/>
        <v>98.62</v>
      </c>
      <c r="T205" s="40"/>
      <c r="U205" s="40"/>
      <c r="V205" s="48"/>
      <c r="W205" s="48"/>
      <c r="X205" s="48"/>
      <c r="Y205" s="48"/>
      <c r="Z205" s="48"/>
      <c r="AA205" s="48"/>
      <c r="AB205" s="48"/>
      <c r="AC205" s="48"/>
      <c r="AD205" s="48"/>
      <c r="AE205" s="48"/>
      <c r="AF205" s="48"/>
      <c r="AG205" s="48"/>
      <c r="AH205" s="48"/>
      <c r="AI205" s="48"/>
      <c r="AJ205" s="48"/>
      <c r="AK205" s="48"/>
      <c r="AL205" s="48"/>
      <c r="AM205" s="48"/>
      <c r="AN205" s="48"/>
    </row>
    <row r="206" ht="15.75" customHeight="1">
      <c r="A206" s="5" t="s">
        <v>875</v>
      </c>
      <c r="B206" s="48" t="s">
        <v>899</v>
      </c>
      <c r="C206" s="559" t="s">
        <v>125</v>
      </c>
      <c r="D206" s="546"/>
      <c r="E206" s="48"/>
      <c r="F206" s="481" t="str">
        <f t="array" ref="F206">+INDEX('Budget original'!$A$2:$AO$501,MATCH($A206,'Budget original'!$A$2:$A$501,0),MATCH(F$2,'Budget original'!$A$2:$AO$2,0))</f>
        <v/>
      </c>
      <c r="G206" s="547"/>
      <c r="H206" s="48"/>
      <c r="I206" s="481"/>
      <c r="J206" s="480"/>
      <c r="K206" s="48"/>
      <c r="L206" s="484">
        <f>SUMIFS(BV_Data_An_Cour!$AM:$AM,BV_Data_An_Cour!$AP:$AP,$B206,BV_Data_An_Cour!$AQ:$AQ,$C206,BV_Data_An_Cour!$AR:$AR,$L$2)</f>
        <v>228.65</v>
      </c>
      <c r="M206" s="480"/>
      <c r="N206" s="484">
        <f t="shared" si="43"/>
        <v>228.65</v>
      </c>
      <c r="O206" s="480"/>
      <c r="P206" s="48"/>
      <c r="Q206" s="484">
        <f>SUMIFS(BV_Data_An_Prec!$AM:$AM,BV_Data_An_Prec!$AP:$AP,$B206,BV_Data_An_Prec!$AQ:$AQ,$C206,BV_Data_An_Prec!$AR:$AR,$L$2)</f>
        <v>311.32</v>
      </c>
      <c r="R206" s="480"/>
      <c r="S206" s="484">
        <f t="shared" si="44"/>
        <v>-82.67</v>
      </c>
      <c r="T206" s="40"/>
      <c r="U206" s="40"/>
      <c r="V206" s="48"/>
      <c r="W206" s="48"/>
      <c r="X206" s="48"/>
      <c r="Y206" s="48"/>
      <c r="Z206" s="48"/>
      <c r="AA206" s="48"/>
      <c r="AB206" s="48"/>
      <c r="AC206" s="48"/>
      <c r="AD206" s="48"/>
      <c r="AE206" s="48"/>
      <c r="AF206" s="48"/>
      <c r="AG206" s="48"/>
      <c r="AH206" s="48"/>
      <c r="AI206" s="48"/>
      <c r="AJ206" s="48"/>
      <c r="AK206" s="48"/>
      <c r="AL206" s="48"/>
      <c r="AM206" s="48"/>
      <c r="AN206" s="48"/>
    </row>
    <row r="207" ht="15.75" customHeight="1">
      <c r="A207" s="5" t="s">
        <v>876</v>
      </c>
      <c r="B207" s="48" t="s">
        <v>899</v>
      </c>
      <c r="C207" s="559" t="s">
        <v>126</v>
      </c>
      <c r="D207" s="546"/>
      <c r="E207" s="48"/>
      <c r="F207" s="481" t="str">
        <f t="array" ref="F207">+INDEX('Budget original'!$A$2:$AO$501,MATCH($A207,'Budget original'!$A$2:$A$501,0),MATCH(F$2,'Budget original'!$A$2:$AO$2,0))</f>
        <v/>
      </c>
      <c r="G207" s="547"/>
      <c r="H207" s="48"/>
      <c r="I207" s="481"/>
      <c r="J207" s="480"/>
      <c r="K207" s="48"/>
      <c r="L207" s="484">
        <f>SUMIFS(BV_Data_An_Cour!$AM:$AM,BV_Data_An_Cour!$AP:$AP,$B207,BV_Data_An_Cour!$AQ:$AQ,$C207,BV_Data_An_Cour!$AR:$AR,$L$2)</f>
        <v>328.96</v>
      </c>
      <c r="M207" s="480"/>
      <c r="N207" s="484">
        <f t="shared" si="43"/>
        <v>328.96</v>
      </c>
      <c r="O207" s="480"/>
      <c r="P207" s="48"/>
      <c r="Q207" s="484">
        <f>SUMIFS(BV_Data_An_Prec!$AM:$AM,BV_Data_An_Prec!$AP:$AP,$B207,BV_Data_An_Prec!$AQ:$AQ,$C207,BV_Data_An_Prec!$AR:$AR,$L$2)</f>
        <v>0</v>
      </c>
      <c r="R207" s="480"/>
      <c r="S207" s="484">
        <f t="shared" si="44"/>
        <v>328.96</v>
      </c>
      <c r="T207" s="40"/>
      <c r="U207" s="40"/>
      <c r="V207" s="48"/>
      <c r="W207" s="48"/>
      <c r="X207" s="48"/>
      <c r="Y207" s="48"/>
      <c r="Z207" s="48"/>
      <c r="AA207" s="48"/>
      <c r="AB207" s="48"/>
      <c r="AC207" s="48"/>
      <c r="AD207" s="48"/>
      <c r="AE207" s="48"/>
      <c r="AF207" s="48"/>
      <c r="AG207" s="48"/>
      <c r="AH207" s="48"/>
      <c r="AI207" s="48"/>
      <c r="AJ207" s="48"/>
      <c r="AK207" s="48"/>
      <c r="AL207" s="48"/>
      <c r="AM207" s="48"/>
      <c r="AN207" s="48"/>
    </row>
    <row r="208" ht="20.25" hidden="1" customHeight="1">
      <c r="A208" s="5" t="s">
        <v>867</v>
      </c>
      <c r="B208" s="48" t="s">
        <v>899</v>
      </c>
      <c r="C208" s="480" t="s">
        <v>56</v>
      </c>
      <c r="D208" s="549"/>
      <c r="E208" s="564"/>
      <c r="F208" s="481" t="str">
        <f t="array" ref="F208">+INDEX('Budget original'!$A$2:$AO$501,MATCH($A208,'Budget original'!$A$2:$A$501,0),MATCH(F$2,'Budget original'!$A$2:$AO$2,0))</f>
        <v/>
      </c>
      <c r="G208" s="550"/>
      <c r="H208" s="564"/>
      <c r="I208" s="481"/>
      <c r="J208" s="471"/>
      <c r="K208" s="564"/>
      <c r="L208" s="484">
        <f>SUMIFS(BV_Data_An_Cour!$AM:$AM,BV_Data_An_Cour!$AP:$AP,$B208,BV_Data_An_Cour!$AQ:$AQ,$C208,BV_Data_An_Cour!$AR:$AR,$L$2)</f>
        <v>0</v>
      </c>
      <c r="M208" s="471"/>
      <c r="N208" s="476">
        <f t="shared" si="43"/>
        <v>0</v>
      </c>
      <c r="O208" s="471"/>
      <c r="P208" s="564"/>
      <c r="Q208" s="484">
        <f>SUMIFS(BV_Data_An_Prec!$AM:$AM,BV_Data_An_Prec!$AP:$AP,$B208,BV_Data_An_Prec!$AQ:$AQ,$C208,BV_Data_An_Prec!$AR:$AR,$L$2)</f>
        <v>0</v>
      </c>
      <c r="R208" s="471"/>
      <c r="S208" s="476">
        <f t="shared" si="44"/>
        <v>0</v>
      </c>
      <c r="T208" s="40"/>
      <c r="U208" s="40"/>
      <c r="V208" s="48"/>
      <c r="W208" s="48"/>
      <c r="X208" s="48"/>
      <c r="Y208" s="48"/>
      <c r="Z208" s="48"/>
      <c r="AA208" s="48"/>
      <c r="AB208" s="48"/>
      <c r="AC208" s="48"/>
      <c r="AD208" s="48"/>
      <c r="AE208" s="48"/>
      <c r="AF208" s="48"/>
      <c r="AG208" s="48"/>
      <c r="AH208" s="48"/>
      <c r="AI208" s="48"/>
      <c r="AJ208" s="48"/>
      <c r="AK208" s="48"/>
      <c r="AL208" s="48"/>
      <c r="AM208" s="48"/>
      <c r="AN208" s="48"/>
    </row>
    <row r="209" ht="18.0" customHeight="1">
      <c r="A209" s="5" t="s">
        <v>877</v>
      </c>
      <c r="B209" s="48" t="s">
        <v>899</v>
      </c>
      <c r="C209" s="552" t="s">
        <v>127</v>
      </c>
      <c r="D209" s="553" t="s">
        <v>225</v>
      </c>
      <c r="E209" s="554" t="str">
        <f>F209/F$109</f>
        <v>#DIV/0!</v>
      </c>
      <c r="F209" s="555">
        <f>+SUM(F197:F208)</f>
        <v>0</v>
      </c>
      <c r="G209" s="556"/>
      <c r="H209" s="554"/>
      <c r="I209" s="555"/>
      <c r="J209" s="556" t="s">
        <v>225</v>
      </c>
      <c r="K209" s="554">
        <f>L209/L$109</f>
        <v>0.3983744965</v>
      </c>
      <c r="L209" s="555">
        <f>SUM(L197:L208)</f>
        <v>15665.85</v>
      </c>
      <c r="M209" s="557"/>
      <c r="N209" s="555">
        <f t="shared" si="43"/>
        <v>15665.85</v>
      </c>
      <c r="O209" s="556" t="s">
        <v>225</v>
      </c>
      <c r="P209" s="554">
        <f>Q209/Q$109</f>
        <v>0.5584619045</v>
      </c>
      <c r="Q209" s="555">
        <f>SUM(Q197:Q208)</f>
        <v>68067.85</v>
      </c>
      <c r="R209" s="558"/>
      <c r="S209" s="555">
        <f t="shared" si="44"/>
        <v>-52402</v>
      </c>
      <c r="T209" s="40"/>
      <c r="U209" s="40"/>
      <c r="V209" s="48"/>
      <c r="W209" s="48"/>
      <c r="X209" s="48"/>
      <c r="Y209" s="48"/>
      <c r="Z209" s="48"/>
      <c r="AA209" s="48"/>
      <c r="AB209" s="48"/>
      <c r="AC209" s="48"/>
      <c r="AD209" s="48"/>
      <c r="AE209" s="48"/>
      <c r="AF209" s="48"/>
      <c r="AG209" s="48"/>
      <c r="AH209" s="48"/>
      <c r="AI209" s="48"/>
      <c r="AJ209" s="48"/>
      <c r="AK209" s="48"/>
      <c r="AL209" s="48"/>
      <c r="AM209" s="48"/>
      <c r="AN209" s="48"/>
    </row>
    <row r="210" ht="20.25" hidden="1" customHeight="1">
      <c r="A210" s="5" t="s">
        <v>878</v>
      </c>
      <c r="B210" s="48" t="s">
        <v>899</v>
      </c>
      <c r="C210" s="480" t="s">
        <v>128</v>
      </c>
      <c r="D210" s="546"/>
      <c r="E210" s="48"/>
      <c r="F210" s="481" t="str">
        <f t="array" ref="F210">+INDEX('Budget original'!$A$2:$AO$501,MATCH($A210,'Budget original'!$A$2:$A$501,0),MATCH(F$2,'Budget original'!$A$2:$AO$2,0))</f>
        <v/>
      </c>
      <c r="G210" s="547"/>
      <c r="H210" s="48"/>
      <c r="I210" s="481"/>
      <c r="J210" s="480"/>
      <c r="K210" s="48"/>
      <c r="L210" s="484">
        <f>SUMIFS(BV_Data_An_Cour!$AM:$AM,BV_Data_An_Cour!$AP:$AP,$B210,BV_Data_An_Cour!$AQ:$AQ,$C210,BV_Data_An_Cour!$AR:$AR,$L$2)</f>
        <v>0</v>
      </c>
      <c r="M210" s="480"/>
      <c r="N210" s="484">
        <f t="shared" si="43"/>
        <v>0</v>
      </c>
      <c r="O210" s="480"/>
      <c r="P210" s="48"/>
      <c r="Q210" s="484">
        <f>SUMIFS(BV_Data_An_Prec!$AM:$AM,BV_Data_An_Prec!$AP:$AP,$B210,BV_Data_An_Prec!$AQ:$AQ,$C210,BV_Data_An_Prec!$AR:$AR,$L$2)</f>
        <v>0</v>
      </c>
      <c r="R210" s="480"/>
      <c r="S210" s="484">
        <f t="shared" si="44"/>
        <v>0</v>
      </c>
      <c r="T210" s="40"/>
      <c r="U210" s="40"/>
      <c r="V210" s="48"/>
      <c r="W210" s="48"/>
      <c r="X210" s="48"/>
      <c r="Y210" s="48"/>
      <c r="Z210" s="48"/>
      <c r="AA210" s="48"/>
      <c r="AB210" s="48"/>
      <c r="AC210" s="48"/>
      <c r="AD210" s="48"/>
      <c r="AE210" s="48"/>
      <c r="AF210" s="48"/>
      <c r="AG210" s="48"/>
      <c r="AH210" s="48"/>
      <c r="AI210" s="48"/>
      <c r="AJ210" s="48"/>
      <c r="AK210" s="48"/>
      <c r="AL210" s="48"/>
      <c r="AM210" s="48"/>
      <c r="AN210" s="48"/>
    </row>
    <row r="211" ht="20.25" hidden="1" customHeight="1">
      <c r="A211" s="5" t="s">
        <v>879</v>
      </c>
      <c r="B211" s="48" t="s">
        <v>899</v>
      </c>
      <c r="C211" s="480" t="s">
        <v>129</v>
      </c>
      <c r="D211" s="546"/>
      <c r="E211" s="48"/>
      <c r="F211" s="481" t="str">
        <f t="array" ref="F211">+INDEX('Budget original'!$A$2:$AO$501,MATCH($A211,'Budget original'!$A$2:$A$501,0),MATCH(F$2,'Budget original'!$A$2:$AO$2,0))</f>
        <v/>
      </c>
      <c r="G211" s="547"/>
      <c r="H211" s="48"/>
      <c r="I211" s="481"/>
      <c r="J211" s="480"/>
      <c r="K211" s="48"/>
      <c r="L211" s="484">
        <f>SUMIFS(BV_Data_An_Cour!$AM:$AM,BV_Data_An_Cour!$AP:$AP,$B211,BV_Data_An_Cour!$AQ:$AQ,$C211,BV_Data_An_Cour!$AR:$AR,$L$2)</f>
        <v>0</v>
      </c>
      <c r="M211" s="480"/>
      <c r="N211" s="484">
        <f t="shared" si="43"/>
        <v>0</v>
      </c>
      <c r="O211" s="480"/>
      <c r="P211" s="48"/>
      <c r="Q211" s="484">
        <f>SUMIFS(BV_Data_An_Prec!$AM:$AM,BV_Data_An_Prec!$AP:$AP,$B211,BV_Data_An_Prec!$AQ:$AQ,$C211,BV_Data_An_Prec!$AR:$AR,$L$2)</f>
        <v>0</v>
      </c>
      <c r="R211" s="480"/>
      <c r="S211" s="484">
        <f t="shared" si="44"/>
        <v>0</v>
      </c>
      <c r="T211" s="40"/>
      <c r="U211" s="40"/>
      <c r="V211" s="48"/>
      <c r="W211" s="48"/>
      <c r="X211" s="48"/>
      <c r="Y211" s="48"/>
      <c r="Z211" s="48"/>
      <c r="AA211" s="48"/>
      <c r="AB211" s="48"/>
      <c r="AC211" s="48"/>
      <c r="AD211" s="48"/>
      <c r="AE211" s="48"/>
      <c r="AF211" s="48"/>
      <c r="AG211" s="48"/>
      <c r="AH211" s="48"/>
      <c r="AI211" s="48"/>
      <c r="AJ211" s="48"/>
      <c r="AK211" s="48"/>
      <c r="AL211" s="48"/>
      <c r="AM211" s="48"/>
      <c r="AN211" s="48"/>
    </row>
    <row r="212" ht="15.75" customHeight="1">
      <c r="A212" s="5" t="s">
        <v>880</v>
      </c>
      <c r="B212" s="48" t="s">
        <v>899</v>
      </c>
      <c r="C212" s="471" t="s">
        <v>130</v>
      </c>
      <c r="D212" s="549"/>
      <c r="E212" s="564"/>
      <c r="F212" s="473" t="str">
        <f t="array" ref="F212">+INDEX('Budget original'!$A$2:$AO$501,MATCH($A212,'Budget original'!$A$2:$A$501,0),MATCH(F$2,'Budget original'!$A$2:$AO$2,0))</f>
        <v/>
      </c>
      <c r="G212" s="550"/>
      <c r="H212" s="564"/>
      <c r="I212" s="473"/>
      <c r="J212" s="471"/>
      <c r="K212" s="564"/>
      <c r="L212" s="476">
        <f>SUMIFS(BV_Data_An_Cour!$AM:$AM,BV_Data_An_Cour!$AP:$AP,$B212,BV_Data_An_Cour!$AQ:$AQ,$C212,BV_Data_An_Cour!$AR:$AR,$L$2)</f>
        <v>0</v>
      </c>
      <c r="M212" s="471"/>
      <c r="N212" s="476">
        <f t="shared" si="43"/>
        <v>0</v>
      </c>
      <c r="O212" s="471"/>
      <c r="P212" s="564"/>
      <c r="Q212" s="476">
        <f>SUMIFS(BV_Data_An_Prec!$AM:$AM,BV_Data_An_Prec!$AP:$AP,$B212,BV_Data_An_Prec!$AQ:$AQ,$C212,BV_Data_An_Prec!$AR:$AR,$L$2)</f>
        <v>0</v>
      </c>
      <c r="R212" s="471"/>
      <c r="S212" s="476">
        <f t="shared" si="44"/>
        <v>0</v>
      </c>
      <c r="T212" s="40"/>
      <c r="U212" s="40"/>
      <c r="V212" s="48"/>
      <c r="W212" s="48"/>
      <c r="X212" s="48"/>
      <c r="Y212" s="48"/>
      <c r="Z212" s="48"/>
      <c r="AA212" s="48"/>
      <c r="AB212" s="48"/>
      <c r="AC212" s="48"/>
      <c r="AD212" s="48"/>
      <c r="AE212" s="48"/>
      <c r="AF212" s="48"/>
      <c r="AG212" s="48"/>
      <c r="AH212" s="48"/>
      <c r="AI212" s="48"/>
      <c r="AJ212" s="48"/>
      <c r="AK212" s="48"/>
      <c r="AL212" s="48"/>
      <c r="AM212" s="48"/>
      <c r="AN212" s="48"/>
    </row>
    <row r="213" ht="15.75" customHeight="1">
      <c r="A213" s="5" t="s">
        <v>881</v>
      </c>
      <c r="B213" s="48" t="s">
        <v>899</v>
      </c>
      <c r="C213" s="480" t="s">
        <v>131</v>
      </c>
      <c r="D213" s="546"/>
      <c r="E213" s="48"/>
      <c r="F213" s="481" t="str">
        <f t="array" ref="F213">+INDEX('Budget original'!$A$2:$AO$501,MATCH($A213,'Budget original'!$A$2:$A$501,0),MATCH(F$2,'Budget original'!$A$2:$AO$2,0))</f>
        <v/>
      </c>
      <c r="G213" s="547"/>
      <c r="H213" s="48"/>
      <c r="I213" s="481"/>
      <c r="J213" s="480"/>
      <c r="K213" s="48"/>
      <c r="L213" s="484">
        <f>SUMIFS(BV_Data_An_Cour!$AM:$AM,BV_Data_An_Cour!$AP:$AP,$B213,BV_Data_An_Cour!$AQ:$AQ,$C213,BV_Data_An_Cour!$AR:$AR,$L$2)</f>
        <v>0</v>
      </c>
      <c r="M213" s="480"/>
      <c r="N213" s="484">
        <f t="shared" si="43"/>
        <v>0</v>
      </c>
      <c r="O213" s="480"/>
      <c r="P213" s="48"/>
      <c r="Q213" s="484">
        <f>SUMIFS(BV_Data_An_Prec!$AM:$AM,BV_Data_An_Prec!$AP:$AP,$B213,BV_Data_An_Prec!$AQ:$AQ,$C213,BV_Data_An_Prec!$AR:$AR,$L$2)</f>
        <v>0</v>
      </c>
      <c r="R213" s="480"/>
      <c r="S213" s="484">
        <f t="shared" si="44"/>
        <v>0</v>
      </c>
      <c r="T213" s="40"/>
      <c r="U213" s="40"/>
      <c r="V213" s="48"/>
      <c r="W213" s="48"/>
      <c r="X213" s="48"/>
      <c r="Y213" s="48"/>
      <c r="Z213" s="48"/>
      <c r="AA213" s="48"/>
      <c r="AB213" s="48"/>
      <c r="AC213" s="48"/>
      <c r="AD213" s="48"/>
      <c r="AE213" s="48"/>
      <c r="AF213" s="48"/>
      <c r="AG213" s="48"/>
      <c r="AH213" s="48"/>
      <c r="AI213" s="48"/>
      <c r="AJ213" s="48"/>
      <c r="AK213" s="48"/>
      <c r="AL213" s="48"/>
      <c r="AM213" s="48"/>
      <c r="AN213" s="48"/>
    </row>
    <row r="214" ht="15.75" customHeight="1">
      <c r="A214" s="5" t="s">
        <v>882</v>
      </c>
      <c r="B214" s="48" t="s">
        <v>899</v>
      </c>
      <c r="C214" s="480" t="s">
        <v>132</v>
      </c>
      <c r="D214" s="546"/>
      <c r="E214" s="48"/>
      <c r="F214" s="481" t="str">
        <f t="array" ref="F214">+INDEX('Budget original'!$A$2:$AO$501,MATCH($A214,'Budget original'!$A$2:$A$501,0),MATCH(F$2,'Budget original'!$A$2:$AO$2,0))</f>
        <v/>
      </c>
      <c r="G214" s="547"/>
      <c r="H214" s="48"/>
      <c r="I214" s="481"/>
      <c r="J214" s="480"/>
      <c r="K214" s="48"/>
      <c r="L214" s="484">
        <f>SUMIFS(BV_Data_An_Cour!$AM:$AM,BV_Data_An_Cour!$AP:$AP,$B214,BV_Data_An_Cour!$AQ:$AQ,$C214,BV_Data_An_Cour!$AR:$AR,$L$2)</f>
        <v>0</v>
      </c>
      <c r="M214" s="480"/>
      <c r="N214" s="484">
        <f t="shared" si="43"/>
        <v>0</v>
      </c>
      <c r="O214" s="480"/>
      <c r="P214" s="48"/>
      <c r="Q214" s="484">
        <f>SUMIFS(BV_Data_An_Prec!$AM:$AM,BV_Data_An_Prec!$AP:$AP,$B214,BV_Data_An_Prec!$AQ:$AQ,$C214,BV_Data_An_Prec!$AR:$AR,$L$2)</f>
        <v>0</v>
      </c>
      <c r="R214" s="480"/>
      <c r="S214" s="484">
        <f t="shared" si="44"/>
        <v>0</v>
      </c>
      <c r="T214" s="604"/>
      <c r="U214" s="40"/>
      <c r="V214" s="48"/>
      <c r="W214" s="48"/>
      <c r="X214" s="48"/>
      <c r="Y214" s="48"/>
      <c r="Z214" s="48"/>
      <c r="AA214" s="48"/>
      <c r="AB214" s="48"/>
      <c r="AC214" s="48"/>
      <c r="AD214" s="48"/>
      <c r="AE214" s="48"/>
      <c r="AF214" s="48"/>
      <c r="AG214" s="48"/>
      <c r="AH214" s="48"/>
      <c r="AI214" s="48"/>
      <c r="AJ214" s="48"/>
      <c r="AK214" s="48"/>
      <c r="AL214" s="48"/>
      <c r="AM214" s="48"/>
      <c r="AN214" s="48"/>
    </row>
    <row r="215" ht="15.75" customHeight="1">
      <c r="A215" s="5" t="s">
        <v>883</v>
      </c>
      <c r="B215" s="48" t="s">
        <v>899</v>
      </c>
      <c r="C215" s="471" t="s">
        <v>133</v>
      </c>
      <c r="D215" s="549"/>
      <c r="E215" s="564"/>
      <c r="F215" s="473" t="str">
        <f t="array" ref="F215">+INDEX('Budget original'!$A$2:$AO$501,MATCH($A215,'Budget original'!$A$2:$A$501,0),MATCH(F$2,'Budget original'!$A$2:$AO$2,0))</f>
        <v/>
      </c>
      <c r="G215" s="550"/>
      <c r="H215" s="564"/>
      <c r="I215" s="473"/>
      <c r="J215" s="471"/>
      <c r="K215" s="564"/>
      <c r="L215" s="476">
        <f>SUMIFS(BV_Data_An_Cour!$AM:$AM,BV_Data_An_Cour!$AP:$AP,$B215,BV_Data_An_Cour!$AQ:$AQ,$C215,BV_Data_An_Cour!$AR:$AR,$L$2)</f>
        <v>0</v>
      </c>
      <c r="M215" s="471"/>
      <c r="N215" s="476">
        <f t="shared" si="43"/>
        <v>0</v>
      </c>
      <c r="O215" s="471"/>
      <c r="P215" s="564"/>
      <c r="Q215" s="476">
        <f>SUMIFS(BV_Data_An_Prec!$AM:$AM,BV_Data_An_Prec!$AP:$AP,$B215,BV_Data_An_Prec!$AQ:$AQ,$C215,BV_Data_An_Prec!$AR:$AR,$L$2)</f>
        <v>0</v>
      </c>
      <c r="R215" s="471"/>
      <c r="S215" s="476">
        <f t="shared" si="44"/>
        <v>0</v>
      </c>
      <c r="T215" s="40"/>
      <c r="U215" s="540"/>
      <c r="V215" s="48"/>
      <c r="W215" s="48"/>
      <c r="X215" s="48"/>
      <c r="Y215" s="48"/>
      <c r="Z215" s="48"/>
      <c r="AA215" s="48"/>
      <c r="AB215" s="48"/>
      <c r="AC215" s="48"/>
      <c r="AD215" s="48"/>
      <c r="AE215" s="48"/>
      <c r="AF215" s="48"/>
      <c r="AG215" s="48"/>
      <c r="AH215" s="48"/>
      <c r="AI215" s="48"/>
      <c r="AJ215" s="48"/>
      <c r="AK215" s="48"/>
      <c r="AL215" s="48"/>
      <c r="AM215" s="48"/>
      <c r="AN215" s="48"/>
    </row>
    <row r="216" ht="15.75" customHeight="1">
      <c r="A216" s="5" t="s">
        <v>884</v>
      </c>
      <c r="B216" s="48" t="s">
        <v>899</v>
      </c>
      <c r="C216" s="480" t="s">
        <v>134</v>
      </c>
      <c r="D216" s="546"/>
      <c r="E216" s="48"/>
      <c r="F216" s="481" t="str">
        <f t="array" ref="F216">+INDEX('Budget original'!$A$2:$AO$501,MATCH($A216,'Budget original'!$A$2:$A$501,0),MATCH(F$2,'Budget original'!$A$2:$AO$2,0))</f>
        <v/>
      </c>
      <c r="G216" s="547"/>
      <c r="H216" s="48"/>
      <c r="I216" s="481"/>
      <c r="J216" s="480"/>
      <c r="K216" s="48"/>
      <c r="L216" s="484">
        <f>SUMIFS(BV_Data_An_Cour!$AM:$AM,BV_Data_An_Cour!$AP:$AP,$B216,BV_Data_An_Cour!$AQ:$AQ,$C216,BV_Data_An_Cour!$AR:$AR,$L$2)</f>
        <v>0</v>
      </c>
      <c r="M216" s="480"/>
      <c r="N216" s="484">
        <f t="shared" si="43"/>
        <v>0</v>
      </c>
      <c r="O216" s="480"/>
      <c r="P216" s="48"/>
      <c r="Q216" s="484">
        <f>SUMIFS(BV_Data_An_Prec!$AM:$AM,BV_Data_An_Prec!$AP:$AP,$B216,BV_Data_An_Prec!$AQ:$AQ,$C216,BV_Data_An_Prec!$AR:$AR,$L$2)</f>
        <v>0</v>
      </c>
      <c r="R216" s="480"/>
      <c r="S216" s="484">
        <f t="shared" si="44"/>
        <v>0</v>
      </c>
      <c r="T216" s="40"/>
      <c r="U216" s="40"/>
      <c r="V216" s="48"/>
      <c r="W216" s="48"/>
      <c r="X216" s="48"/>
      <c r="Y216" s="48"/>
      <c r="Z216" s="48"/>
      <c r="AA216" s="48"/>
      <c r="AB216" s="48"/>
      <c r="AC216" s="48"/>
      <c r="AD216" s="48"/>
      <c r="AE216" s="48"/>
      <c r="AF216" s="48"/>
      <c r="AG216" s="48"/>
      <c r="AH216" s="48"/>
      <c r="AI216" s="48"/>
      <c r="AJ216" s="48"/>
      <c r="AK216" s="48"/>
      <c r="AL216" s="48"/>
      <c r="AM216" s="48"/>
      <c r="AN216" s="48"/>
    </row>
    <row r="217" ht="15.75" customHeight="1">
      <c r="A217" s="5" t="s">
        <v>885</v>
      </c>
      <c r="B217" s="48" t="s">
        <v>899</v>
      </c>
      <c r="C217" s="480" t="s">
        <v>135</v>
      </c>
      <c r="D217" s="546"/>
      <c r="E217" s="48"/>
      <c r="F217" s="481" t="str">
        <f t="array" ref="F217">+INDEX('Budget original'!$A$2:$AO$501,MATCH($A217,'Budget original'!$A$2:$A$501,0),MATCH(F$2,'Budget original'!$A$2:$AO$2,0))</f>
        <v/>
      </c>
      <c r="G217" s="547"/>
      <c r="H217" s="48"/>
      <c r="I217" s="481"/>
      <c r="J217" s="480"/>
      <c r="K217" s="48"/>
      <c r="L217" s="484">
        <f>SUMIFS(BV_Data_An_Cour!$AM:$AM,BV_Data_An_Cour!$AP:$AP,$B217,BV_Data_An_Cour!$AQ:$AQ,$C217,BV_Data_An_Cour!$AR:$AR,$L$2)</f>
        <v>0</v>
      </c>
      <c r="M217" s="480"/>
      <c r="N217" s="484">
        <f t="shared" si="43"/>
        <v>0</v>
      </c>
      <c r="O217" s="480"/>
      <c r="P217" s="48"/>
      <c r="Q217" s="484">
        <f>SUMIFS(BV_Data_An_Prec!$AM:$AM,BV_Data_An_Prec!$AP:$AP,$B217,BV_Data_An_Prec!$AQ:$AQ,$C217,BV_Data_An_Prec!$AR:$AR,$L$2)</f>
        <v>0</v>
      </c>
      <c r="R217" s="480"/>
      <c r="S217" s="484">
        <f t="shared" si="44"/>
        <v>0</v>
      </c>
      <c r="T217" s="40"/>
      <c r="U217" s="540"/>
      <c r="V217" s="48"/>
      <c r="W217" s="48"/>
      <c r="X217" s="48"/>
      <c r="Y217" s="48"/>
      <c r="Z217" s="48"/>
      <c r="AA217" s="48"/>
      <c r="AB217" s="48"/>
      <c r="AC217" s="48"/>
      <c r="AD217" s="48"/>
      <c r="AE217" s="48"/>
      <c r="AF217" s="48"/>
      <c r="AG217" s="48"/>
      <c r="AH217" s="48"/>
      <c r="AI217" s="48"/>
      <c r="AJ217" s="48"/>
      <c r="AK217" s="48"/>
      <c r="AL217" s="48"/>
      <c r="AM217" s="48"/>
      <c r="AN217" s="48"/>
    </row>
    <row r="218" ht="15.75" customHeight="1">
      <c r="A218" s="5" t="s">
        <v>886</v>
      </c>
      <c r="B218" s="48" t="s">
        <v>899</v>
      </c>
      <c r="C218" s="480" t="s">
        <v>136</v>
      </c>
      <c r="D218" s="546"/>
      <c r="E218" s="48"/>
      <c r="F218" s="481" t="str">
        <f t="array" ref="F218">+INDEX('Budget original'!$A$2:$AO$501,MATCH($A218,'Budget original'!$A$2:$A$501,0),MATCH(F$2,'Budget original'!$A$2:$AO$2,0))</f>
        <v/>
      </c>
      <c r="G218" s="547"/>
      <c r="H218" s="48"/>
      <c r="I218" s="481"/>
      <c r="J218" s="480"/>
      <c r="K218" s="48"/>
      <c r="L218" s="484">
        <f>SUMIFS(BV_Data_An_Cour!$AM:$AM,BV_Data_An_Cour!$AP:$AP,$B218,BV_Data_An_Cour!$AQ:$AQ,$C218,BV_Data_An_Cour!$AR:$AR,$L$2)</f>
        <v>0</v>
      </c>
      <c r="M218" s="480"/>
      <c r="N218" s="484">
        <f t="shared" si="43"/>
        <v>0</v>
      </c>
      <c r="O218" s="480"/>
      <c r="P218" s="48"/>
      <c r="Q218" s="484">
        <f>SUMIFS(BV_Data_An_Prec!$AM:$AM,BV_Data_An_Prec!$AP:$AP,$B218,BV_Data_An_Prec!$AQ:$AQ,$C218,BV_Data_An_Prec!$AR:$AR,$L$2)</f>
        <v>0</v>
      </c>
      <c r="R218" s="480"/>
      <c r="S218" s="484">
        <f t="shared" si="44"/>
        <v>0</v>
      </c>
      <c r="T218" s="40"/>
      <c r="U218" s="40"/>
      <c r="V218" s="48"/>
      <c r="W218" s="48"/>
      <c r="X218" s="48"/>
      <c r="Y218" s="48"/>
      <c r="Z218" s="48"/>
      <c r="AA218" s="48"/>
      <c r="AB218" s="48"/>
      <c r="AC218" s="48"/>
      <c r="AD218" s="48"/>
      <c r="AE218" s="48"/>
      <c r="AF218" s="48"/>
      <c r="AG218" s="48"/>
      <c r="AH218" s="48"/>
      <c r="AI218" s="48"/>
      <c r="AJ218" s="48"/>
      <c r="AK218" s="48"/>
      <c r="AL218" s="48"/>
      <c r="AM218" s="48"/>
      <c r="AN218" s="48"/>
    </row>
    <row r="219" ht="15.75" customHeight="1">
      <c r="A219" s="5" t="s">
        <v>887</v>
      </c>
      <c r="B219" s="48" t="s">
        <v>899</v>
      </c>
      <c r="C219" s="480" t="s">
        <v>137</v>
      </c>
      <c r="D219" s="546"/>
      <c r="E219" s="48"/>
      <c r="F219" s="481" t="str">
        <f t="array" ref="F219">+INDEX('Budget original'!$A$2:$AO$501,MATCH($A219,'Budget original'!$A$2:$A$501,0),MATCH(F$2,'Budget original'!$A$2:$AO$2,0))</f>
        <v/>
      </c>
      <c r="G219" s="547"/>
      <c r="H219" s="48"/>
      <c r="I219" s="481"/>
      <c r="J219" s="480"/>
      <c r="K219" s="48"/>
      <c r="L219" s="484">
        <f>SUMIFS(BV_Data_An_Cour!$AM:$AM,BV_Data_An_Cour!$AP:$AP,$B219,BV_Data_An_Cour!$AQ:$AQ,$C219,BV_Data_An_Cour!$AR:$AR,$L$2)</f>
        <v>0</v>
      </c>
      <c r="M219" s="480"/>
      <c r="N219" s="484">
        <f t="shared" si="43"/>
        <v>0</v>
      </c>
      <c r="O219" s="480"/>
      <c r="P219" s="48"/>
      <c r="Q219" s="484">
        <f>SUMIFS(BV_Data_An_Prec!$AM:$AM,BV_Data_An_Prec!$AP:$AP,$B219,BV_Data_An_Prec!$AQ:$AQ,$C219,BV_Data_An_Prec!$AR:$AR,$L$2)</f>
        <v>0</v>
      </c>
      <c r="R219" s="480"/>
      <c r="S219" s="484">
        <f t="shared" si="44"/>
        <v>0</v>
      </c>
      <c r="T219" s="40"/>
      <c r="U219" s="40"/>
      <c r="V219" s="48"/>
      <c r="W219" s="48"/>
      <c r="X219" s="48"/>
      <c r="Y219" s="48"/>
      <c r="Z219" s="48"/>
      <c r="AA219" s="48"/>
      <c r="AB219" s="48"/>
      <c r="AC219" s="48"/>
      <c r="AD219" s="48"/>
      <c r="AE219" s="48"/>
      <c r="AF219" s="48"/>
      <c r="AG219" s="48"/>
      <c r="AH219" s="48"/>
      <c r="AI219" s="48"/>
      <c r="AJ219" s="48"/>
      <c r="AK219" s="48"/>
      <c r="AL219" s="48"/>
      <c r="AM219" s="48"/>
      <c r="AN219" s="48"/>
    </row>
    <row r="220" ht="15.75" customHeight="1">
      <c r="A220" s="5" t="s">
        <v>888</v>
      </c>
      <c r="B220" s="48" t="s">
        <v>899</v>
      </c>
      <c r="C220" s="480" t="s">
        <v>138</v>
      </c>
      <c r="D220" s="546"/>
      <c r="E220" s="48"/>
      <c r="F220" s="481" t="str">
        <f t="array" ref="F220">+INDEX('Budget original'!$A$2:$AO$501,MATCH($A220,'Budget original'!$A$2:$A$501,0),MATCH(F$2,'Budget original'!$A$2:$AO$2,0))</f>
        <v/>
      </c>
      <c r="G220" s="547"/>
      <c r="H220" s="48"/>
      <c r="I220" s="481"/>
      <c r="J220" s="480"/>
      <c r="K220" s="48"/>
      <c r="L220" s="484">
        <f>SUMIFS(BV_Data_An_Cour!$AM:$AM,BV_Data_An_Cour!$AP:$AP,$B220,BV_Data_An_Cour!$AQ:$AQ,$C220,BV_Data_An_Cour!$AR:$AR,$L$2)</f>
        <v>19</v>
      </c>
      <c r="M220" s="480"/>
      <c r="N220" s="484">
        <f t="shared" si="43"/>
        <v>19</v>
      </c>
      <c r="O220" s="480"/>
      <c r="P220" s="48"/>
      <c r="Q220" s="484">
        <f>SUMIFS(BV_Data_An_Prec!$AM:$AM,BV_Data_An_Prec!$AP:$AP,$B220,BV_Data_An_Prec!$AQ:$AQ,$C220,BV_Data_An_Prec!$AR:$AR,$L$2)</f>
        <v>672.32</v>
      </c>
      <c r="R220" s="480"/>
      <c r="S220" s="484">
        <f t="shared" si="44"/>
        <v>-653.32</v>
      </c>
      <c r="T220" s="40"/>
      <c r="U220" s="40"/>
      <c r="V220" s="48"/>
      <c r="W220" s="48"/>
      <c r="X220" s="48"/>
      <c r="Y220" s="48"/>
      <c r="Z220" s="48"/>
      <c r="AA220" s="48"/>
      <c r="AB220" s="48"/>
      <c r="AC220" s="48"/>
      <c r="AD220" s="48"/>
      <c r="AE220" s="48"/>
      <c r="AF220" s="48"/>
      <c r="AG220" s="48"/>
      <c r="AH220" s="48"/>
      <c r="AI220" s="48"/>
      <c r="AJ220" s="48"/>
      <c r="AK220" s="48"/>
      <c r="AL220" s="48"/>
      <c r="AM220" s="48"/>
      <c r="AN220" s="48"/>
    </row>
    <row r="221" ht="15.75" customHeight="1">
      <c r="A221" s="5" t="s">
        <v>889</v>
      </c>
      <c r="B221" s="48" t="s">
        <v>899</v>
      </c>
      <c r="C221" s="480" t="s">
        <v>139</v>
      </c>
      <c r="D221" s="546"/>
      <c r="E221" s="48"/>
      <c r="F221" s="481" t="str">
        <f t="array" ref="F221">+INDEX('Budget original'!$A$2:$AO$501,MATCH($A221,'Budget original'!$A$2:$A$501,0),MATCH(F$2,'Budget original'!$A$2:$AO$2,0))</f>
        <v/>
      </c>
      <c r="G221" s="547"/>
      <c r="H221" s="48"/>
      <c r="I221" s="481"/>
      <c r="J221" s="480"/>
      <c r="K221" s="48"/>
      <c r="L221" s="484">
        <f>SUMIFS(BV_Data_An_Cour!$AM:$AM,BV_Data_An_Cour!$AP:$AP,$B221,BV_Data_An_Cour!$AQ:$AQ,$C221,BV_Data_An_Cour!$AR:$AR,$L$2)</f>
        <v>0</v>
      </c>
      <c r="M221" s="480"/>
      <c r="N221" s="484">
        <f t="shared" si="43"/>
        <v>0</v>
      </c>
      <c r="O221" s="480"/>
      <c r="P221" s="48"/>
      <c r="Q221" s="484">
        <f>SUMIFS(BV_Data_An_Prec!$AM:$AM,BV_Data_An_Prec!$AP:$AP,$B221,BV_Data_An_Prec!$AQ:$AQ,$C221,BV_Data_An_Prec!$AR:$AR,$L$2)</f>
        <v>0</v>
      </c>
      <c r="R221" s="480"/>
      <c r="S221" s="484">
        <f t="shared" si="44"/>
        <v>0</v>
      </c>
      <c r="T221" s="40"/>
      <c r="U221" s="40"/>
      <c r="V221" s="48"/>
      <c r="W221" s="48"/>
      <c r="X221" s="48"/>
      <c r="Y221" s="48"/>
      <c r="Z221" s="48"/>
      <c r="AA221" s="48"/>
      <c r="AB221" s="48"/>
      <c r="AC221" s="48"/>
      <c r="AD221" s="48"/>
      <c r="AE221" s="48"/>
      <c r="AF221" s="48"/>
      <c r="AG221" s="48"/>
      <c r="AH221" s="48"/>
      <c r="AI221" s="48"/>
      <c r="AJ221" s="48"/>
      <c r="AK221" s="48"/>
      <c r="AL221" s="48"/>
      <c r="AM221" s="48"/>
      <c r="AN221" s="48"/>
    </row>
    <row r="222" ht="15.75" customHeight="1">
      <c r="A222" s="5" t="s">
        <v>890</v>
      </c>
      <c r="B222" s="48" t="s">
        <v>899</v>
      </c>
      <c r="C222" s="480" t="s">
        <v>140</v>
      </c>
      <c r="D222" s="546"/>
      <c r="E222" s="48"/>
      <c r="F222" s="481" t="str">
        <f t="array" ref="F222">+INDEX('Budget original'!$A$2:$AO$501,MATCH($A222,'Budget original'!$A$2:$A$501,0),MATCH(F$2,'Budget original'!$A$2:$AO$2,0))</f>
        <v/>
      </c>
      <c r="G222" s="547"/>
      <c r="H222" s="48"/>
      <c r="I222" s="481"/>
      <c r="J222" s="480"/>
      <c r="K222" s="48"/>
      <c r="L222" s="484">
        <f>SUMIFS(BV_Data_An_Cour!$AM:$AM,BV_Data_An_Cour!$AP:$AP,$B222,BV_Data_An_Cour!$AQ:$AQ,$C222,BV_Data_An_Cour!$AR:$AR,$L$2)</f>
        <v>0</v>
      </c>
      <c r="M222" s="480"/>
      <c r="N222" s="484">
        <f t="shared" si="43"/>
        <v>0</v>
      </c>
      <c r="O222" s="480"/>
      <c r="P222" s="48"/>
      <c r="Q222" s="484">
        <f>SUMIFS(BV_Data_An_Prec!$AM:$AM,BV_Data_An_Prec!$AP:$AP,$B222,BV_Data_An_Prec!$AQ:$AQ,$C222,BV_Data_An_Prec!$AR:$AR,$L$2)</f>
        <v>0</v>
      </c>
      <c r="R222" s="480"/>
      <c r="S222" s="484">
        <f t="shared" si="44"/>
        <v>0</v>
      </c>
      <c r="T222" s="40"/>
      <c r="U222" s="40"/>
      <c r="X222" s="48"/>
      <c r="Y222" s="48"/>
      <c r="Z222" s="48"/>
      <c r="AA222" s="48"/>
      <c r="AB222" s="48"/>
      <c r="AC222" s="48"/>
      <c r="AD222" s="48"/>
      <c r="AE222" s="48"/>
      <c r="AF222" s="48"/>
      <c r="AG222" s="48"/>
      <c r="AH222" s="48"/>
      <c r="AI222" s="48"/>
      <c r="AJ222" s="48"/>
      <c r="AK222" s="48"/>
      <c r="AL222" s="48"/>
      <c r="AM222" s="48"/>
      <c r="AN222" s="48"/>
    </row>
    <row r="223" ht="15.75" customHeight="1">
      <c r="A223" s="5" t="s">
        <v>891</v>
      </c>
      <c r="B223" s="48" t="s">
        <v>899</v>
      </c>
      <c r="C223" s="480" t="s">
        <v>141</v>
      </c>
      <c r="D223" s="546"/>
      <c r="E223" s="48"/>
      <c r="F223" s="481" t="str">
        <f t="array" ref="F223">+INDEX('Budget original'!$A$2:$AO$501,MATCH($A223,'Budget original'!$A$2:$A$501,0),MATCH(F$2,'Budget original'!$A$2:$AO$2,0))</f>
        <v/>
      </c>
      <c r="G223" s="547"/>
      <c r="H223" s="48"/>
      <c r="I223" s="481"/>
      <c r="J223" s="480"/>
      <c r="K223" s="48"/>
      <c r="L223" s="484">
        <f>SUMIFS(BV_Data_An_Cour!$AM:$AM,BV_Data_An_Cour!$AP:$AP,$B223,BV_Data_An_Cour!$AQ:$AQ,$C223,BV_Data_An_Cour!$AR:$AR,$L$2)</f>
        <v>0</v>
      </c>
      <c r="M223" s="480"/>
      <c r="N223" s="484">
        <f t="shared" si="43"/>
        <v>0</v>
      </c>
      <c r="O223" s="480"/>
      <c r="P223" s="48"/>
      <c r="Q223" s="484">
        <f>SUMIFS(BV_Data_An_Prec!$AM:$AM,BV_Data_An_Prec!$AP:$AP,$B223,BV_Data_An_Prec!$AQ:$AQ,$C223,BV_Data_An_Prec!$AR:$AR,$L$2)</f>
        <v>0</v>
      </c>
      <c r="R223" s="480"/>
      <c r="S223" s="484">
        <f t="shared" si="44"/>
        <v>0</v>
      </c>
      <c r="T223" s="540"/>
      <c r="U223" s="40"/>
      <c r="X223" s="48"/>
      <c r="Y223" s="48"/>
      <c r="Z223" s="48"/>
      <c r="AA223" s="48"/>
      <c r="AB223" s="48"/>
      <c r="AC223" s="48"/>
      <c r="AD223" s="48"/>
      <c r="AE223" s="48"/>
      <c r="AF223" s="48"/>
      <c r="AG223" s="48"/>
      <c r="AH223" s="48"/>
      <c r="AI223" s="48"/>
      <c r="AJ223" s="48"/>
      <c r="AK223" s="48"/>
      <c r="AL223" s="48"/>
      <c r="AM223" s="48"/>
      <c r="AN223" s="48"/>
    </row>
    <row r="224" ht="20.25" hidden="1" customHeight="1">
      <c r="A224" s="5" t="s">
        <v>867</v>
      </c>
      <c r="B224" s="48" t="s">
        <v>899</v>
      </c>
      <c r="C224" s="480" t="s">
        <v>56</v>
      </c>
      <c r="D224" s="546"/>
      <c r="E224" s="48"/>
      <c r="F224" s="481" t="str">
        <f t="array" ref="F224">+INDEX('Budget original'!$A$2:$AO$501,MATCH($A224,'Budget original'!$A$2:$A$501,0),MATCH(F$2,'Budget original'!$A$2:$AO$2,0))</f>
        <v/>
      </c>
      <c r="G224" s="547"/>
      <c r="H224" s="48"/>
      <c r="I224" s="481"/>
      <c r="J224" s="480"/>
      <c r="K224" s="48"/>
      <c r="L224" s="484">
        <f>SUMIFS(BV_Data_An_Cour!$AM:$AM,BV_Data_An_Cour!$AP:$AP,$B224,BV_Data_An_Cour!$AQ:$AQ,$C224,BV_Data_An_Cour!$AR:$AR,$L$2)</f>
        <v>0</v>
      </c>
      <c r="M224" s="480"/>
      <c r="N224" s="484">
        <f t="shared" si="43"/>
        <v>0</v>
      </c>
      <c r="O224" s="480"/>
      <c r="P224" s="48"/>
      <c r="Q224" s="484">
        <f>SUMIFS(BV_Data_An_Prec!$AM:$AM,BV_Data_An_Prec!$AP:$AP,$B224,BV_Data_An_Prec!$AQ:$AQ,$C224,BV_Data_An_Prec!$AR:$AR,$L$2)</f>
        <v>0</v>
      </c>
      <c r="R224" s="480"/>
      <c r="S224" s="484">
        <f t="shared" si="44"/>
        <v>0</v>
      </c>
      <c r="T224" s="40"/>
      <c r="U224" s="40"/>
      <c r="X224" s="48"/>
      <c r="Y224" s="48"/>
      <c r="Z224" s="48"/>
      <c r="AA224" s="48"/>
      <c r="AB224" s="48"/>
      <c r="AC224" s="48"/>
      <c r="AD224" s="48"/>
      <c r="AE224" s="48"/>
      <c r="AF224" s="48"/>
      <c r="AG224" s="48"/>
      <c r="AH224" s="48"/>
      <c r="AI224" s="48"/>
      <c r="AJ224" s="48"/>
      <c r="AK224" s="48"/>
      <c r="AL224" s="48"/>
      <c r="AM224" s="48"/>
      <c r="AN224" s="48"/>
    </row>
    <row r="225" ht="20.25" hidden="1" customHeight="1">
      <c r="A225" s="5" t="s">
        <v>867</v>
      </c>
      <c r="B225" s="48" t="s">
        <v>899</v>
      </c>
      <c r="C225" s="480" t="s">
        <v>56</v>
      </c>
      <c r="D225" s="546"/>
      <c r="E225" s="48"/>
      <c r="F225" s="481" t="str">
        <f t="array" ref="F225">+INDEX('Budget original'!$A$2:$AO$501,MATCH($A225,'Budget original'!$A$2:$A$501,0),MATCH(F$2,'Budget original'!$A$2:$AO$2,0))</f>
        <v/>
      </c>
      <c r="G225" s="547"/>
      <c r="H225" s="48"/>
      <c r="I225" s="481"/>
      <c r="J225" s="480"/>
      <c r="K225" s="48"/>
      <c r="L225" s="484">
        <f>SUMIFS(BV_Data_An_Cour!$AM:$AM,BV_Data_An_Cour!$AP:$AP,$B225,BV_Data_An_Cour!$AQ:$AQ,$C225,BV_Data_An_Cour!$AR:$AR,$L$2)</f>
        <v>0</v>
      </c>
      <c r="M225" s="480"/>
      <c r="N225" s="484">
        <f t="shared" si="43"/>
        <v>0</v>
      </c>
      <c r="O225" s="480"/>
      <c r="P225" s="48"/>
      <c r="Q225" s="484">
        <f>SUMIFS(BV_Data_An_Prec!$AM:$AM,BV_Data_An_Prec!$AP:$AP,$B225,BV_Data_An_Prec!$AQ:$AQ,$C225,BV_Data_An_Prec!$AR:$AR,$L$2)</f>
        <v>0</v>
      </c>
      <c r="R225" s="480"/>
      <c r="S225" s="484">
        <f t="shared" si="44"/>
        <v>0</v>
      </c>
      <c r="T225" s="40"/>
      <c r="U225" s="40"/>
      <c r="X225" s="48"/>
      <c r="Y225" s="48"/>
      <c r="Z225" s="48"/>
      <c r="AA225" s="48"/>
      <c r="AB225" s="48"/>
      <c r="AC225" s="48"/>
      <c r="AD225" s="48"/>
      <c r="AE225" s="48"/>
      <c r="AF225" s="48"/>
      <c r="AG225" s="48"/>
      <c r="AH225" s="48"/>
      <c r="AI225" s="48"/>
      <c r="AJ225" s="48"/>
      <c r="AK225" s="48"/>
      <c r="AL225" s="48"/>
      <c r="AM225" s="48"/>
      <c r="AN225" s="48"/>
    </row>
    <row r="226" ht="20.25" hidden="1" customHeight="1">
      <c r="A226" s="5" t="s">
        <v>867</v>
      </c>
      <c r="B226" s="48" t="s">
        <v>899</v>
      </c>
      <c r="C226" s="480" t="s">
        <v>56</v>
      </c>
      <c r="D226" s="546"/>
      <c r="E226" s="48"/>
      <c r="F226" s="481" t="str">
        <f t="array" ref="F226">+INDEX('Budget original'!$A$2:$AO$501,MATCH($A226,'Budget original'!$A$2:$A$501,0),MATCH(F$2,'Budget original'!$A$2:$AO$2,0))</f>
        <v/>
      </c>
      <c r="G226" s="547"/>
      <c r="H226" s="48"/>
      <c r="I226" s="481"/>
      <c r="J226" s="480"/>
      <c r="K226" s="48"/>
      <c r="L226" s="484">
        <f>SUMIFS(BV_Data_An_Cour!$AM:$AM,BV_Data_An_Cour!$AP:$AP,$B226,BV_Data_An_Cour!$AQ:$AQ,$C226,BV_Data_An_Cour!$AR:$AR,$L$2)</f>
        <v>0</v>
      </c>
      <c r="M226" s="480"/>
      <c r="N226" s="484">
        <f t="shared" si="43"/>
        <v>0</v>
      </c>
      <c r="O226" s="480"/>
      <c r="P226" s="48"/>
      <c r="Q226" s="484">
        <f>SUMIFS(BV_Data_An_Prec!$AM:$AM,BV_Data_An_Prec!$AP:$AP,$B226,BV_Data_An_Prec!$AQ:$AQ,$C226,BV_Data_An_Prec!$AR:$AR,$L$2)</f>
        <v>0</v>
      </c>
      <c r="R226" s="480"/>
      <c r="S226" s="484">
        <f t="shared" si="44"/>
        <v>0</v>
      </c>
      <c r="T226" s="540"/>
      <c r="U226" s="40"/>
      <c r="X226" s="48"/>
      <c r="Y226" s="48"/>
      <c r="Z226" s="48"/>
      <c r="AA226" s="48"/>
      <c r="AB226" s="48"/>
      <c r="AC226" s="48"/>
      <c r="AD226" s="48"/>
      <c r="AE226" s="48"/>
      <c r="AF226" s="48"/>
      <c r="AG226" s="48"/>
      <c r="AH226" s="48"/>
      <c r="AI226" s="48"/>
      <c r="AJ226" s="48"/>
      <c r="AK226" s="48"/>
      <c r="AL226" s="48"/>
      <c r="AM226" s="48"/>
      <c r="AN226" s="48"/>
    </row>
    <row r="227" ht="18.0" customHeight="1">
      <c r="A227" s="5" t="s">
        <v>892</v>
      </c>
      <c r="B227" s="48" t="s">
        <v>899</v>
      </c>
      <c r="C227" s="552" t="s">
        <v>142</v>
      </c>
      <c r="D227" s="553" t="s">
        <v>225</v>
      </c>
      <c r="E227" s="554" t="str">
        <f>F227/F$109</f>
        <v>#DIV/0!</v>
      </c>
      <c r="F227" s="555">
        <f>+SUM(F210:F226)</f>
        <v>0</v>
      </c>
      <c r="G227" s="556"/>
      <c r="H227" s="554"/>
      <c r="I227" s="555"/>
      <c r="J227" s="556" t="s">
        <v>225</v>
      </c>
      <c r="K227" s="554">
        <f>L227/L$109</f>
        <v>0.0004831602136</v>
      </c>
      <c r="L227" s="555">
        <f>+SUM(L210:L226)</f>
        <v>19</v>
      </c>
      <c r="M227" s="557"/>
      <c r="N227" s="555">
        <f t="shared" si="43"/>
        <v>19</v>
      </c>
      <c r="O227" s="556" t="s">
        <v>225</v>
      </c>
      <c r="P227" s="554">
        <f>Q227/Q$109</f>
        <v>0.005516041826</v>
      </c>
      <c r="Q227" s="555">
        <f>+SUM(Q210:Q226)</f>
        <v>672.32</v>
      </c>
      <c r="R227" s="558"/>
      <c r="S227" s="555">
        <f t="shared" si="44"/>
        <v>-653.32</v>
      </c>
      <c r="T227" s="40"/>
      <c r="U227" s="40"/>
      <c r="V227" s="48"/>
      <c r="W227" s="48"/>
      <c r="X227" s="48"/>
      <c r="Y227" s="48"/>
      <c r="Z227" s="48"/>
      <c r="AA227" s="48"/>
      <c r="AB227" s="48"/>
      <c r="AC227" s="48"/>
      <c r="AD227" s="48"/>
      <c r="AE227" s="48"/>
      <c r="AF227" s="48"/>
      <c r="AG227" s="48"/>
      <c r="AH227" s="48"/>
      <c r="AI227" s="48"/>
      <c r="AJ227" s="48"/>
      <c r="AK227" s="48"/>
      <c r="AL227" s="48"/>
      <c r="AM227" s="48"/>
      <c r="AN227" s="48"/>
    </row>
    <row r="228" ht="15.75" customHeight="1">
      <c r="A228" s="5" t="s">
        <v>151</v>
      </c>
      <c r="B228" s="48" t="s">
        <v>899</v>
      </c>
      <c r="C228" s="471"/>
      <c r="D228" s="549"/>
      <c r="E228" s="564"/>
      <c r="F228" s="484"/>
      <c r="G228" s="550"/>
      <c r="H228" s="564"/>
      <c r="I228" s="484"/>
      <c r="J228" s="471"/>
      <c r="K228" s="564"/>
      <c r="L228" s="476"/>
      <c r="M228" s="471"/>
      <c r="N228" s="476"/>
      <c r="O228" s="471"/>
      <c r="P228" s="564"/>
      <c r="Q228" s="476"/>
      <c r="R228" s="471"/>
      <c r="S228" s="476"/>
      <c r="T228" s="565"/>
      <c r="U228" s="40"/>
      <c r="V228" s="48"/>
      <c r="W228" s="48"/>
      <c r="X228" s="48"/>
      <c r="Y228" s="48"/>
      <c r="Z228" s="48"/>
      <c r="AA228" s="48"/>
      <c r="AB228" s="48"/>
      <c r="AC228" s="48"/>
      <c r="AD228" s="48"/>
      <c r="AE228" s="48"/>
      <c r="AF228" s="48"/>
      <c r="AG228" s="48"/>
      <c r="AH228" s="48"/>
      <c r="AI228" s="48"/>
      <c r="AJ228" s="48"/>
      <c r="AK228" s="48"/>
      <c r="AL228" s="48"/>
      <c r="AM228" s="48"/>
      <c r="AN228" s="48"/>
    </row>
    <row r="229" ht="18.0" customHeight="1">
      <c r="A229" s="5" t="s">
        <v>893</v>
      </c>
      <c r="B229" s="48" t="s">
        <v>899</v>
      </c>
      <c r="C229" s="552" t="s">
        <v>143</v>
      </c>
      <c r="D229" s="553" t="s">
        <v>225</v>
      </c>
      <c r="E229" s="554" t="str">
        <f>F229/F$109</f>
        <v>#DIV/0!</v>
      </c>
      <c r="F229" s="555">
        <f>F196+F209+F227</f>
        <v>0</v>
      </c>
      <c r="G229" s="556"/>
      <c r="H229" s="554"/>
      <c r="I229" s="555"/>
      <c r="J229" s="556" t="s">
        <v>225</v>
      </c>
      <c r="K229" s="554">
        <f>L229/L$109</f>
        <v>0.5971801753</v>
      </c>
      <c r="L229" s="555">
        <f>L196+L209+L227</f>
        <v>23483.77</v>
      </c>
      <c r="M229" s="557"/>
      <c r="N229" s="555">
        <f t="shared" ref="N229:N236" si="48">L229-F229</f>
        <v>23483.77</v>
      </c>
      <c r="O229" s="556" t="s">
        <v>225</v>
      </c>
      <c r="P229" s="554">
        <f>Q229/Q$109</f>
        <v>0.5957134828</v>
      </c>
      <c r="Q229" s="555">
        <f>Q196+Q209+Q227</f>
        <v>72608.24</v>
      </c>
      <c r="R229" s="558"/>
      <c r="S229" s="555">
        <f t="shared" ref="S229:S236" si="49">L229-Q229</f>
        <v>-49124.47</v>
      </c>
      <c r="T229" s="40"/>
      <c r="U229" s="40"/>
      <c r="V229" s="48"/>
      <c r="W229" s="48"/>
      <c r="X229" s="48"/>
      <c r="Y229" s="48"/>
      <c r="Z229" s="48"/>
      <c r="AA229" s="48"/>
      <c r="AB229" s="48"/>
      <c r="AC229" s="48"/>
      <c r="AD229" s="48"/>
      <c r="AE229" s="48"/>
      <c r="AF229" s="48"/>
      <c r="AG229" s="48"/>
      <c r="AH229" s="48"/>
      <c r="AI229" s="48"/>
      <c r="AJ229" s="48"/>
      <c r="AK229" s="48"/>
      <c r="AL229" s="48"/>
      <c r="AM229" s="48"/>
      <c r="AN229" s="48"/>
    </row>
    <row r="230" ht="21.0" hidden="1" customHeight="1">
      <c r="A230" s="5" t="s">
        <v>894</v>
      </c>
      <c r="B230" s="48" t="s">
        <v>899</v>
      </c>
      <c r="C230" s="480" t="s">
        <v>158</v>
      </c>
      <c r="D230" s="605"/>
      <c r="E230" s="606"/>
      <c r="F230" s="481" t="str">
        <f t="array" ref="F230">+INDEX('Budget original'!$A$2:$AO$501,MATCH($A230,'Budget original'!$A$2:$A$501,0),MATCH(F$2,'Budget original'!$A$2:$AO$2,0))</f>
        <v/>
      </c>
      <c r="G230" s="607"/>
      <c r="H230" s="606"/>
      <c r="I230" s="481"/>
      <c r="J230" s="607"/>
      <c r="K230" s="606"/>
      <c r="L230" s="484">
        <v>0.0</v>
      </c>
      <c r="M230" s="480"/>
      <c r="N230" s="484">
        <f t="shared" si="48"/>
        <v>0</v>
      </c>
      <c r="O230" s="607"/>
      <c r="P230" s="606"/>
      <c r="Q230" s="484">
        <v>0.0</v>
      </c>
      <c r="R230" s="480"/>
      <c r="S230" s="484">
        <f t="shared" si="49"/>
        <v>0</v>
      </c>
      <c r="T230" s="565"/>
      <c r="U230" s="40"/>
      <c r="V230" s="48"/>
      <c r="W230" s="48"/>
      <c r="X230" s="48"/>
      <c r="Y230" s="48"/>
      <c r="Z230" s="48"/>
      <c r="AA230" s="48"/>
      <c r="AB230" s="48"/>
      <c r="AC230" s="48"/>
      <c r="AD230" s="48"/>
      <c r="AE230" s="48"/>
      <c r="AF230" s="48"/>
      <c r="AG230" s="48"/>
      <c r="AH230" s="48"/>
      <c r="AI230" s="48"/>
      <c r="AJ230" s="48"/>
      <c r="AK230" s="48"/>
      <c r="AL230" s="48"/>
      <c r="AM230" s="48"/>
      <c r="AN230" s="48"/>
    </row>
    <row r="231" ht="21.0" hidden="1" customHeight="1">
      <c r="A231" s="5" t="s">
        <v>895</v>
      </c>
      <c r="B231" s="48" t="s">
        <v>899</v>
      </c>
      <c r="C231" s="480" t="s">
        <v>159</v>
      </c>
      <c r="D231" s="605"/>
      <c r="E231" s="606"/>
      <c r="F231" s="481" t="str">
        <f t="array" ref="F231">+INDEX('Budget original'!$A$2:$AO$501,MATCH($A231,'Budget original'!$A$2:$A$501,0),MATCH(F$2,'Budget original'!$A$2:$AO$2,0))</f>
        <v/>
      </c>
      <c r="G231" s="607"/>
      <c r="H231" s="606"/>
      <c r="I231" s="481"/>
      <c r="J231" s="607"/>
      <c r="K231" s="606"/>
      <c r="L231" s="484">
        <f>-SUMIFS(BV_Data_An_Cour!$AM:$AM,BV_Data_An_Cour!$AP:$AP,$B231,BV_Data_An_Cour!$AQ:$AQ,$C231,BV_Data_An_Cour!$AR:$AR,$L$2)</f>
        <v>0</v>
      </c>
      <c r="M231" s="480"/>
      <c r="N231" s="484">
        <f t="shared" si="48"/>
        <v>0</v>
      </c>
      <c r="O231" s="607"/>
      <c r="P231" s="606"/>
      <c r="Q231" s="484">
        <f>-SUMIFS(BV_Data_An_Prec!$AM:$AM,BV_Data_An_Prec!$AP:$AP,$B231,BV_Data_An_Prec!$AQ:$AQ,$C231,BV_Data_An_Prec!$AR:$AR,$L$2)</f>
        <v>0</v>
      </c>
      <c r="R231" s="480"/>
      <c r="S231" s="484">
        <f t="shared" si="49"/>
        <v>0</v>
      </c>
      <c r="T231" s="565"/>
      <c r="U231" s="40"/>
      <c r="V231" s="48"/>
      <c r="W231" s="48"/>
      <c r="X231" s="48"/>
      <c r="Y231" s="48"/>
      <c r="Z231" s="48"/>
      <c r="AA231" s="48"/>
      <c r="AB231" s="48"/>
      <c r="AC231" s="48"/>
      <c r="AD231" s="48"/>
      <c r="AE231" s="48"/>
      <c r="AF231" s="48"/>
      <c r="AG231" s="48"/>
      <c r="AH231" s="48"/>
      <c r="AI231" s="48"/>
      <c r="AJ231" s="48"/>
      <c r="AK231" s="48"/>
      <c r="AL231" s="48"/>
      <c r="AM231" s="48"/>
      <c r="AN231" s="48"/>
    </row>
    <row r="232" ht="21.0" hidden="1" customHeight="1">
      <c r="A232" s="5" t="s">
        <v>896</v>
      </c>
      <c r="B232" s="48" t="s">
        <v>899</v>
      </c>
      <c r="C232" s="480" t="s">
        <v>160</v>
      </c>
      <c r="D232" s="546"/>
      <c r="E232" s="48"/>
      <c r="F232" s="481" t="str">
        <f t="array" ref="F232">+INDEX('Budget original'!$A$2:$AO$501,MATCH($A232,'Budget original'!$A$2:$A$501,0),MATCH(F$2,'Budget original'!$A$2:$AO$2,0))</f>
        <v/>
      </c>
      <c r="G232" s="547"/>
      <c r="H232" s="48"/>
      <c r="I232" s="481"/>
      <c r="J232" s="480"/>
      <c r="K232" s="48"/>
      <c r="L232" s="484">
        <f>-SUMIFS(BV_Data_An_Cour!$AM:$AM,BV_Data_An_Cour!$AP:$AP,$B232,BV_Data_An_Cour!$AQ:$AQ,$C232,BV_Data_An_Cour!$AR:$AR,$L$2)</f>
        <v>0</v>
      </c>
      <c r="M232" s="480"/>
      <c r="N232" s="484">
        <f t="shared" si="48"/>
        <v>0</v>
      </c>
      <c r="O232" s="480"/>
      <c r="P232" s="48"/>
      <c r="Q232" s="484">
        <f>-SUMIFS(BV_Data_An_Prec!$AM:$AM,BV_Data_An_Prec!$AP:$AP,$B232,BV_Data_An_Prec!$AQ:$AQ,$C232,BV_Data_An_Prec!$AR:$AR,$L$2)</f>
        <v>0</v>
      </c>
      <c r="R232" s="480"/>
      <c r="S232" s="484">
        <f t="shared" si="49"/>
        <v>0</v>
      </c>
      <c r="T232" s="565"/>
      <c r="U232" s="40"/>
      <c r="V232" s="48"/>
      <c r="W232" s="48"/>
      <c r="X232" s="48"/>
      <c r="Y232" s="48"/>
      <c r="Z232" s="48"/>
      <c r="AA232" s="48"/>
      <c r="AB232" s="48"/>
      <c r="AC232" s="48"/>
      <c r="AD232" s="48"/>
      <c r="AE232" s="48"/>
      <c r="AF232" s="48"/>
      <c r="AG232" s="48"/>
      <c r="AH232" s="48"/>
      <c r="AI232" s="48"/>
      <c r="AJ232" s="48"/>
      <c r="AK232" s="48"/>
      <c r="AL232" s="48"/>
      <c r="AM232" s="48"/>
      <c r="AN232" s="48"/>
    </row>
    <row r="233" ht="21.0" hidden="1" customHeight="1">
      <c r="A233" s="5" t="s">
        <v>897</v>
      </c>
      <c r="B233" s="48" t="s">
        <v>899</v>
      </c>
      <c r="C233" s="480" t="s">
        <v>148</v>
      </c>
      <c r="D233" s="608" t="str">
        <f>E233/474</f>
        <v>#REF!</v>
      </c>
      <c r="E233" s="567" t="str">
        <f>F233/#REF!</f>
        <v>#REF!</v>
      </c>
      <c r="F233" s="481" t="str">
        <f t="array" ref="F233">+INDEX('Budget original'!$A$2:$AO$501,MATCH($A233,'Budget original'!$A$2:$A$501,0),MATCH(F$2,'Budget original'!$A$2:$AO$2,0))</f>
        <v/>
      </c>
      <c r="G233" s="547"/>
      <c r="H233" s="48"/>
      <c r="I233" s="481"/>
      <c r="J233" s="570"/>
      <c r="K233" s="567"/>
      <c r="L233" s="484">
        <f>-SUMIFS(BV_Data_An_Cour!$AM:$AM,BV_Data_An_Cour!$AP:$AP,$B233,BV_Data_An_Cour!$AQ:$AQ,$C233,BV_Data_An_Cour!$AR:$AR,L$2)</f>
        <v>0</v>
      </c>
      <c r="M233" s="480"/>
      <c r="N233" s="484">
        <f t="shared" si="48"/>
        <v>0</v>
      </c>
      <c r="O233" s="570"/>
      <c r="P233" s="567"/>
      <c r="Q233" s="484">
        <f>-SUMIFS(BV_Data_An_Prec!$AM:$AM,BV_Data_An_Prec!$AP:$AP,$B233,BV_Data_An_Prec!$AQ:$AQ,$C233,BV_Data_An_Prec!$AR:$AR,Q$2)</f>
        <v>0</v>
      </c>
      <c r="R233" s="480"/>
      <c r="S233" s="484">
        <f t="shared" si="49"/>
        <v>0</v>
      </c>
      <c r="T233" s="565"/>
      <c r="U233" s="40"/>
      <c r="V233" s="48"/>
      <c r="W233" s="48"/>
      <c r="X233" s="48"/>
      <c r="Y233" s="48"/>
      <c r="Z233" s="48"/>
      <c r="AA233" s="48"/>
      <c r="AB233" s="48"/>
      <c r="AC233" s="48"/>
      <c r="AD233" s="48"/>
      <c r="AE233" s="48"/>
      <c r="AF233" s="48"/>
      <c r="AG233" s="48"/>
      <c r="AH233" s="48"/>
      <c r="AI233" s="48"/>
      <c r="AJ233" s="48"/>
      <c r="AK233" s="48"/>
      <c r="AL233" s="48"/>
      <c r="AM233" s="48"/>
      <c r="AN233" s="48"/>
    </row>
    <row r="234" ht="21.0" hidden="1" customHeight="1">
      <c r="A234" s="5" t="s">
        <v>867</v>
      </c>
      <c r="B234" s="48" t="s">
        <v>151</v>
      </c>
      <c r="C234" s="480" t="s">
        <v>56</v>
      </c>
      <c r="D234" s="546"/>
      <c r="E234" s="48"/>
      <c r="F234" s="481" t="str">
        <f t="array" ref="F234">+INDEX('Budget original'!$A$2:$AO$501,MATCH($A234,'Budget original'!$A$2:$A$501,0),MATCH(F$2,'Budget original'!$A$2:$AO$2,0))</f>
        <v/>
      </c>
      <c r="G234" s="547"/>
      <c r="H234" s="48"/>
      <c r="I234" s="481"/>
      <c r="J234" s="480"/>
      <c r="K234" s="48"/>
      <c r="L234" s="484">
        <f>-SUMIFS(BV_Data_An_Cour!$AM:$AM,BV_Data_An_Cour!$AP:$AP,$B234,BV_Data_An_Cour!$AQ:$AQ,$C234,BV_Data_An_Cour!$AR:$AR,$L$2)</f>
        <v>0</v>
      </c>
      <c r="M234" s="480"/>
      <c r="N234" s="484">
        <f t="shared" si="48"/>
        <v>0</v>
      </c>
      <c r="O234" s="480"/>
      <c r="P234" s="48"/>
      <c r="Q234" s="484">
        <f>-SUMIFS(BV_Data_An_Prec!$AM:$AM,BV_Data_An_Prec!$AP:$AP,$B234,BV_Data_An_Prec!$AQ:$AQ,$C234,BV_Data_An_Prec!$AR:$AR,$L$2)</f>
        <v>0</v>
      </c>
      <c r="R234" s="480"/>
      <c r="S234" s="484">
        <f t="shared" si="49"/>
        <v>0</v>
      </c>
      <c r="T234" s="565"/>
      <c r="U234" s="40"/>
      <c r="V234" s="48"/>
      <c r="W234" s="48"/>
      <c r="X234" s="48"/>
      <c r="Y234" s="48"/>
      <c r="Z234" s="48"/>
      <c r="AA234" s="48"/>
      <c r="AB234" s="48"/>
      <c r="AC234" s="48"/>
      <c r="AD234" s="48"/>
      <c r="AE234" s="48"/>
      <c r="AF234" s="48"/>
      <c r="AG234" s="48"/>
      <c r="AH234" s="48"/>
      <c r="AI234" s="48"/>
      <c r="AJ234" s="48"/>
      <c r="AK234" s="48"/>
      <c r="AL234" s="48"/>
      <c r="AM234" s="48"/>
      <c r="AN234" s="48"/>
    </row>
    <row r="235" ht="21.0" hidden="1" customHeight="1">
      <c r="A235" s="5" t="s">
        <v>867</v>
      </c>
      <c r="B235" s="48" t="s">
        <v>151</v>
      </c>
      <c r="C235" s="480" t="s">
        <v>56</v>
      </c>
      <c r="D235" s="546"/>
      <c r="E235" s="48"/>
      <c r="F235" s="481" t="str">
        <f t="array" ref="F235">+INDEX('Budget original'!$A$2:$AO$501,MATCH($A235,'Budget original'!$A$2:$A$501,0),MATCH(F$2,'Budget original'!$A$2:$AO$2,0))</f>
        <v/>
      </c>
      <c r="G235" s="547"/>
      <c r="H235" s="48"/>
      <c r="I235" s="481"/>
      <c r="J235" s="480"/>
      <c r="K235" s="48"/>
      <c r="L235" s="484">
        <f>-SUMIFS(BV_Data_An_Cour!$AM:$AM,BV_Data_An_Cour!$AP:$AP,$B235,BV_Data_An_Cour!$AQ:$AQ,$C235,BV_Data_An_Cour!$AR:$AR,$L$2)</f>
        <v>0</v>
      </c>
      <c r="M235" s="480"/>
      <c r="N235" s="484">
        <f t="shared" si="48"/>
        <v>0</v>
      </c>
      <c r="O235" s="480"/>
      <c r="P235" s="48"/>
      <c r="Q235" s="484">
        <f>-SUMIFS(BV_Data_An_Prec!$AM:$AM,BV_Data_An_Prec!$AP:$AP,$B235,BV_Data_An_Prec!$AQ:$AQ,$C235,BV_Data_An_Prec!$AR:$AR,$L$2)</f>
        <v>0</v>
      </c>
      <c r="R235" s="480"/>
      <c r="S235" s="484">
        <f t="shared" si="49"/>
        <v>0</v>
      </c>
      <c r="T235" s="565"/>
      <c r="U235" s="40"/>
      <c r="V235" s="48"/>
      <c r="W235" s="48"/>
      <c r="X235" s="48"/>
      <c r="Y235" s="48"/>
      <c r="Z235" s="48"/>
      <c r="AA235" s="48"/>
      <c r="AB235" s="48"/>
      <c r="AC235" s="48"/>
      <c r="AD235" s="48"/>
      <c r="AE235" s="48"/>
      <c r="AF235" s="48"/>
      <c r="AG235" s="48"/>
      <c r="AH235" s="48"/>
      <c r="AI235" s="48"/>
      <c r="AJ235" s="48"/>
      <c r="AK235" s="48"/>
      <c r="AL235" s="48"/>
      <c r="AM235" s="48"/>
      <c r="AN235" s="48"/>
    </row>
    <row r="236" ht="21.0" hidden="1" customHeight="1">
      <c r="A236" s="5" t="s">
        <v>867</v>
      </c>
      <c r="B236" s="48" t="s">
        <v>151</v>
      </c>
      <c r="C236" s="471" t="s">
        <v>56</v>
      </c>
      <c r="D236" s="549"/>
      <c r="E236" s="564"/>
      <c r="F236" s="481" t="str">
        <f t="array" ref="F236">+INDEX('Budget original'!$A$2:$AO$501,MATCH($A236,'Budget original'!$A$2:$A$501,0),MATCH(F$2,'Budget original'!$A$2:$AO$2,0))</f>
        <v/>
      </c>
      <c r="G236" s="547"/>
      <c r="H236" s="48"/>
      <c r="I236" s="481"/>
      <c r="J236" s="480"/>
      <c r="K236" s="48"/>
      <c r="L236" s="484">
        <f>-SUMIFS(BV_Data_An_Cour!$AM:$AM,BV_Data_An_Cour!$AP:$AP,$B236,BV_Data_An_Cour!$AQ:$AQ,$C236,BV_Data_An_Cour!$AR:$AR,$L$2)</f>
        <v>0</v>
      </c>
      <c r="M236" s="480"/>
      <c r="N236" s="484">
        <f t="shared" si="48"/>
        <v>0</v>
      </c>
      <c r="O236" s="480"/>
      <c r="P236" s="48"/>
      <c r="Q236" s="484">
        <f>-SUMIFS(BV_Data_An_Prec!$AM:$AM,BV_Data_An_Prec!$AP:$AP,$B236,BV_Data_An_Prec!$AQ:$AQ,$C236,BV_Data_An_Prec!$AR:$AR,$L$2)</f>
        <v>0</v>
      </c>
      <c r="R236" s="480"/>
      <c r="S236" s="484">
        <f t="shared" si="49"/>
        <v>0</v>
      </c>
      <c r="T236" s="565"/>
      <c r="U236" s="40"/>
      <c r="V236" s="48"/>
      <c r="W236" s="48"/>
      <c r="X236" s="48"/>
      <c r="Y236" s="48"/>
      <c r="Z236" s="48"/>
      <c r="AA236" s="48"/>
      <c r="AB236" s="48"/>
      <c r="AC236" s="48"/>
      <c r="AD236" s="48"/>
      <c r="AE236" s="48"/>
      <c r="AF236" s="48"/>
      <c r="AG236" s="48"/>
      <c r="AH236" s="48"/>
      <c r="AI236" s="48"/>
      <c r="AJ236" s="48"/>
      <c r="AK236" s="48"/>
      <c r="AL236" s="48"/>
      <c r="AM236" s="48"/>
      <c r="AN236" s="48"/>
    </row>
    <row r="237" ht="18.0" customHeight="1">
      <c r="A237" s="5"/>
      <c r="B237" s="48"/>
      <c r="C237" s="552" t="s">
        <v>149</v>
      </c>
      <c r="D237" s="553"/>
      <c r="E237" s="554"/>
      <c r="F237" s="555">
        <f>+SUM(F230:F236)</f>
        <v>0</v>
      </c>
      <c r="G237" s="556"/>
      <c r="H237" s="554"/>
      <c r="I237" s="555"/>
      <c r="J237" s="556"/>
      <c r="K237" s="554"/>
      <c r="L237" s="555">
        <f>+SUM(L230:L236)</f>
        <v>0</v>
      </c>
      <c r="M237" s="557"/>
      <c r="N237" s="555">
        <f>SUM(N230:N233)</f>
        <v>0</v>
      </c>
      <c r="O237" s="556"/>
      <c r="P237" s="554"/>
      <c r="Q237" s="555">
        <f>+SUM(Q230:Q236)</f>
        <v>0</v>
      </c>
      <c r="R237" s="558"/>
      <c r="S237" s="555">
        <f>+SUM(S230:S236)</f>
        <v>0</v>
      </c>
      <c r="T237" s="40"/>
      <c r="U237" s="40"/>
      <c r="V237" s="48"/>
      <c r="W237" s="48"/>
      <c r="X237" s="48"/>
      <c r="Y237" s="48"/>
      <c r="Z237" s="48"/>
      <c r="AA237" s="48"/>
      <c r="AB237" s="48"/>
      <c r="AC237" s="48"/>
      <c r="AD237" s="48"/>
      <c r="AE237" s="48"/>
      <c r="AF237" s="48"/>
      <c r="AG237" s="48"/>
      <c r="AH237" s="48"/>
      <c r="AI237" s="48"/>
      <c r="AJ237" s="48"/>
      <c r="AK237" s="48"/>
      <c r="AL237" s="48"/>
      <c r="AM237" s="48"/>
      <c r="AN237" s="48"/>
    </row>
    <row r="238" ht="15.75" customHeight="1">
      <c r="B238" s="48"/>
      <c r="C238" s="480"/>
      <c r="D238" s="546"/>
      <c r="E238" s="48"/>
      <c r="F238" s="484"/>
      <c r="G238" s="547"/>
      <c r="H238" s="48"/>
      <c r="I238" s="484"/>
      <c r="J238" s="480"/>
      <c r="K238" s="48"/>
      <c r="L238" s="484"/>
      <c r="M238" s="480"/>
      <c r="N238" s="484"/>
      <c r="O238" s="480"/>
      <c r="P238" s="48"/>
      <c r="Q238" s="484"/>
      <c r="R238" s="480"/>
      <c r="S238" s="484"/>
      <c r="T238" s="609"/>
      <c r="U238" s="40"/>
      <c r="V238" s="48"/>
      <c r="W238" s="48"/>
      <c r="X238" s="48"/>
      <c r="Y238" s="48"/>
      <c r="Z238" s="48"/>
      <c r="AA238" s="48"/>
      <c r="AB238" s="48"/>
      <c r="AC238" s="48"/>
      <c r="AD238" s="48"/>
      <c r="AE238" s="48"/>
      <c r="AF238" s="48"/>
      <c r="AG238" s="48"/>
      <c r="AH238" s="48"/>
      <c r="AI238" s="48"/>
      <c r="AJ238" s="48"/>
      <c r="AK238" s="48"/>
      <c r="AL238" s="48"/>
      <c r="AM238" s="48"/>
      <c r="AN238" s="48"/>
    </row>
    <row r="239" ht="18.0" customHeight="1">
      <c r="A239" s="5"/>
      <c r="B239" s="48"/>
      <c r="C239" s="579" t="s">
        <v>150</v>
      </c>
      <c r="D239" s="580"/>
      <c r="E239" s="581"/>
      <c r="F239" s="582" t="str">
        <f>F182-F229+F237</f>
        <v>#REF!</v>
      </c>
      <c r="G239" s="583"/>
      <c r="H239" s="581"/>
      <c r="I239" s="582"/>
      <c r="J239" s="583"/>
      <c r="K239" s="581"/>
      <c r="L239" s="582">
        <f>L182-L229+L237</f>
        <v>-67527.59</v>
      </c>
      <c r="M239" s="584"/>
      <c r="N239" s="582" t="str">
        <f>L239-F239</f>
        <v>#REF!</v>
      </c>
      <c r="O239" s="583"/>
      <c r="P239" s="581"/>
      <c r="Q239" s="582">
        <f>Q182-Q229+Q237</f>
        <v>-16373.49</v>
      </c>
      <c r="R239" s="585"/>
      <c r="S239" s="582">
        <f>L239-Q239</f>
        <v>-51154.1</v>
      </c>
      <c r="T239" s="40"/>
      <c r="U239" s="40"/>
      <c r="V239" s="48"/>
      <c r="W239" s="48"/>
      <c r="X239" s="48"/>
      <c r="Y239" s="48"/>
      <c r="Z239" s="48"/>
      <c r="AA239" s="48"/>
      <c r="AB239" s="48"/>
      <c r="AC239" s="48"/>
      <c r="AD239" s="48"/>
      <c r="AE239" s="48"/>
      <c r="AF239" s="48"/>
      <c r="AG239" s="48"/>
      <c r="AH239" s="48"/>
      <c r="AI239" s="48"/>
      <c r="AJ239" s="48"/>
      <c r="AK239" s="48"/>
      <c r="AL239" s="48"/>
      <c r="AM239" s="48"/>
      <c r="AN239" s="48"/>
    </row>
    <row r="240" ht="15.75" customHeight="1">
      <c r="B240" s="48"/>
      <c r="C240" s="40"/>
      <c r="D240" s="40"/>
      <c r="E240" s="40"/>
      <c r="F240" s="540"/>
      <c r="G240" s="40"/>
      <c r="H240" s="40"/>
      <c r="I240" s="40"/>
      <c r="J240" s="40"/>
      <c r="K240" s="40"/>
      <c r="L240" s="540"/>
      <c r="M240" s="40"/>
      <c r="N240" s="40"/>
      <c r="O240" s="40"/>
      <c r="P240" s="40"/>
      <c r="Q240" s="40"/>
      <c r="R240" s="540"/>
      <c r="S240" s="40"/>
      <c r="T240" s="540"/>
      <c r="U240" s="40"/>
      <c r="V240" s="48"/>
      <c r="W240" s="48"/>
      <c r="X240" s="48"/>
      <c r="Y240" s="48"/>
      <c r="Z240" s="48"/>
      <c r="AA240" s="48"/>
      <c r="AB240" s="48"/>
      <c r="AC240" s="48"/>
      <c r="AD240" s="48"/>
      <c r="AE240" s="48"/>
      <c r="AF240" s="48"/>
      <c r="AG240" s="48"/>
      <c r="AH240" s="48"/>
      <c r="AI240" s="48"/>
      <c r="AJ240" s="48"/>
      <c r="AK240" s="48"/>
      <c r="AL240" s="48"/>
      <c r="AM240" s="48"/>
      <c r="AN240" s="48"/>
    </row>
    <row r="241" ht="8.25" customHeight="1">
      <c r="B241" s="48"/>
      <c r="C241" s="40"/>
      <c r="D241" s="40"/>
      <c r="E241" s="40"/>
      <c r="F241" s="40"/>
      <c r="G241" s="40"/>
      <c r="H241" s="40"/>
      <c r="I241" s="40"/>
      <c r="J241" s="40"/>
      <c r="K241" s="40"/>
      <c r="L241" s="40"/>
      <c r="M241" s="40"/>
      <c r="N241" s="40"/>
      <c r="O241" s="40"/>
      <c r="P241" s="40"/>
      <c r="Q241" s="40"/>
      <c r="R241" s="40"/>
      <c r="S241" s="40"/>
      <c r="T241" s="540"/>
      <c r="U241" s="40"/>
      <c r="V241" s="40"/>
      <c r="W241" s="40"/>
      <c r="X241" s="40"/>
      <c r="Y241" s="40"/>
      <c r="Z241" s="40"/>
      <c r="AA241" s="40"/>
      <c r="AB241" s="40"/>
      <c r="AC241" s="40"/>
      <c r="AD241" s="40"/>
      <c r="AE241" s="40"/>
      <c r="AF241" s="40"/>
      <c r="AG241" s="40"/>
      <c r="AH241" s="40"/>
      <c r="AI241" s="40"/>
      <c r="AJ241" s="40"/>
      <c r="AK241" s="40"/>
      <c r="AL241" s="40"/>
      <c r="AM241" s="40"/>
      <c r="AN241" s="40"/>
    </row>
    <row r="242" ht="33.75" customHeight="1">
      <c r="B242" s="48"/>
      <c r="C242" s="450" t="str">
        <f>C1</f>
        <v>Ste-Marie Auto</v>
      </c>
      <c r="D242" s="451"/>
      <c r="E242" s="452"/>
      <c r="F242" s="451"/>
      <c r="G242" s="451"/>
      <c r="H242" s="450"/>
      <c r="I242" s="451"/>
      <c r="J242" s="450"/>
      <c r="K242" s="453" t="s">
        <v>161</v>
      </c>
      <c r="L242" s="451"/>
      <c r="M242" s="451"/>
      <c r="N242" s="454"/>
      <c r="O242" s="450"/>
      <c r="P242" s="451"/>
      <c r="Q242" s="450"/>
      <c r="R242" s="451"/>
      <c r="S242" s="455" t="str">
        <f>$S$1</f>
        <v>Réalisé, Septembre 2026</v>
      </c>
      <c r="T242" s="456"/>
      <c r="U242" s="457"/>
      <c r="V242" s="40"/>
      <c r="W242" s="40"/>
      <c r="X242" s="40"/>
      <c r="Y242" s="40"/>
      <c r="Z242" s="40"/>
      <c r="AA242" s="40"/>
      <c r="AB242" s="40"/>
      <c r="AC242" s="40"/>
      <c r="AD242" s="40"/>
      <c r="AE242" s="40"/>
      <c r="AF242" s="40"/>
      <c r="AG242" s="40"/>
      <c r="AH242" s="40"/>
      <c r="AI242" s="40"/>
      <c r="AJ242" s="40"/>
      <c r="AK242" s="40"/>
      <c r="AL242" s="40"/>
      <c r="AM242" s="40"/>
      <c r="AN242" s="40"/>
    </row>
    <row r="243" ht="15.75" customHeight="1">
      <c r="B243" s="48"/>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ht="15.75" customHeight="1">
      <c r="B244" s="48"/>
      <c r="C244" s="461"/>
      <c r="D244" s="462" t="s">
        <v>774</v>
      </c>
      <c r="E244" s="44"/>
      <c r="F244" s="45"/>
      <c r="G244" s="463"/>
      <c r="H244" s="44"/>
      <c r="I244" s="45"/>
      <c r="J244" s="463" t="s">
        <v>775</v>
      </c>
      <c r="K244" s="44"/>
      <c r="L244" s="45"/>
      <c r="M244" s="463" t="s">
        <v>776</v>
      </c>
      <c r="N244" s="45"/>
      <c r="O244" s="462" t="s">
        <v>777</v>
      </c>
      <c r="P244" s="44"/>
      <c r="Q244" s="45"/>
      <c r="R244" s="463" t="s">
        <v>778</v>
      </c>
      <c r="S244" s="45"/>
      <c r="T244" s="617"/>
      <c r="U244" s="40"/>
      <c r="AA244" s="40"/>
      <c r="AB244" s="40"/>
      <c r="AC244" s="40"/>
      <c r="AD244" s="40"/>
      <c r="AE244" s="40"/>
      <c r="AF244" s="40"/>
      <c r="AG244" s="40"/>
      <c r="AH244" s="40"/>
      <c r="AI244" s="40"/>
      <c r="AJ244" s="40"/>
      <c r="AK244" s="40"/>
      <c r="AL244" s="40"/>
      <c r="AM244" s="40"/>
      <c r="AN244" s="40"/>
    </row>
    <row r="245" ht="15.75" customHeight="1">
      <c r="A245" s="5" t="s">
        <v>161</v>
      </c>
      <c r="B245" s="48" t="s">
        <v>161</v>
      </c>
      <c r="C245" s="480"/>
      <c r="D245" s="41" t="s">
        <v>221</v>
      </c>
      <c r="E245" s="41" t="s">
        <v>222</v>
      </c>
      <c r="F245" s="611" t="s">
        <v>95</v>
      </c>
      <c r="G245" s="610"/>
      <c r="H245" s="41"/>
      <c r="I245" s="611"/>
      <c r="J245" s="610" t="s">
        <v>221</v>
      </c>
      <c r="K245" s="41" t="s">
        <v>222</v>
      </c>
      <c r="L245" s="611" t="s">
        <v>95</v>
      </c>
      <c r="M245" s="610" t="s">
        <v>907</v>
      </c>
      <c r="N245" s="611" t="s">
        <v>908</v>
      </c>
      <c r="O245" s="610" t="s">
        <v>221</v>
      </c>
      <c r="P245" s="41" t="s">
        <v>222</v>
      </c>
      <c r="Q245" s="611" t="s">
        <v>95</v>
      </c>
      <c r="R245" s="610" t="s">
        <v>909</v>
      </c>
      <c r="S245" s="611" t="s">
        <v>95</v>
      </c>
      <c r="T245" s="458"/>
      <c r="U245" s="40"/>
      <c r="AA245" s="48"/>
      <c r="AB245" s="48"/>
      <c r="AC245" s="48"/>
      <c r="AD245" s="48"/>
      <c r="AE245" s="48"/>
      <c r="AF245" s="48"/>
      <c r="AG245" s="48"/>
      <c r="AH245" s="48"/>
      <c r="AI245" s="48"/>
      <c r="AJ245" s="48"/>
      <c r="AK245" s="48"/>
      <c r="AL245" s="48"/>
      <c r="AM245" s="48"/>
      <c r="AN245" s="48"/>
    </row>
    <row r="246" ht="15.75" customHeight="1">
      <c r="A246" s="5" t="s">
        <v>910</v>
      </c>
      <c r="B246" s="48" t="s">
        <v>161</v>
      </c>
      <c r="C246" s="480" t="s">
        <v>162</v>
      </c>
      <c r="D246" s="483" t="str">
        <f t="array" ref="D246">+INDEX('Budget original'!$A$2:$AO$501,MATCH($A246,'Budget original'!$A$2:$A$501,0),MATCH(D$2,'Budget original'!$A$2:$AO$2,0))</f>
        <v/>
      </c>
      <c r="E246" s="483" t="str">
        <f t="array" ref="E246">+INDEX('Budget original'!$A$2:$AO$501,MATCH($A246,'Budget original'!$A$2:$A$501,0),MATCH(E$2,'Budget original'!$A$2:$AO$2,0))</f>
        <v/>
      </c>
      <c r="F246" s="483" t="str">
        <f t="array" ref="F246">+INDEX('Budget original'!$A$2:$AO$501,MATCH($A246,'Budget original'!$A$2:$A$501,0),MATCH(F$2,'Budget original'!$A$2:$AO$2,0))</f>
        <v/>
      </c>
      <c r="G246" s="486"/>
      <c r="H246" s="483"/>
      <c r="I246" s="483"/>
      <c r="J246" s="618">
        <f>SUMIFS(BV_Data_An_Cour!$AW:$AW,BV_Data_An_Cour!$AP:$AP,$B246,BV_Data_An_Cour!$AQ:$AQ,$C246,BV_Data_An_Cour!$AY:$AY,J$2)</f>
        <v>231</v>
      </c>
      <c r="K246" s="619">
        <f>-SUMIFS(BV_Data_An_Cour!$AM:$AM,BV_Data_An_Cour!$AS:$AS,"Oui",BV_Data_An_Cour!$AP:$AP,$B246,BV_Data_An_Cour!$AQ:$AQ,$C246)</f>
        <v>55775.45</v>
      </c>
      <c r="L246" s="620">
        <f>-SUMIFS(BV_Data_An_Cour!$AM:$AM,BV_Data_An_Cour!$AP:$AP,$B246,BV_Data_An_Cour!$AQ:$AQ,$C246,BV_Data_An_Cour!$AR:$AR,$L$2)</f>
        <v>39841.95</v>
      </c>
      <c r="M246" s="515" t="str">
        <f>(K246-E246)/E246</f>
        <v>#DIV/0!</v>
      </c>
      <c r="N246" s="484">
        <f>L246-F246</f>
        <v>39841.95</v>
      </c>
      <c r="O246" s="482">
        <f>SUMIFS(BV_Data_An_Prec!$AW:$AW,BV_Data_An_Prec!$AP:$AP,$B246,BV_Data_An_Prec!$AQ:$AQ,$C246,BV_Data_An_Prec!$AY:$AY,O$2)</f>
        <v>209</v>
      </c>
      <c r="P246" s="483">
        <f>-SUMIFS(BV_Data_An_Prec!$AM:$AM,BV_Data_An_Prec!$AS:$AS,"Oui",BV_Data_An_Prec!$AP:$AP,$B246,BV_Data_An_Prec!$AQ:$AQ,$C246)</f>
        <v>73555.15</v>
      </c>
      <c r="Q246" s="484">
        <f>-SUMIFS(BV_Data_An_Prec!$AM:$AM,BV_Data_An_Prec!$AP:$AP,$B246,BV_Data_An_Prec!$AQ:$AQ,$C246,BV_Data_An_Prec!$AR:$AR,$L$2)</f>
        <v>58839.14</v>
      </c>
      <c r="R246" s="515">
        <f>IF(O246=0,0,J246/O246)</f>
        <v>1.105263158</v>
      </c>
      <c r="S246" s="484">
        <f>L246-Q246</f>
        <v>-18997.19</v>
      </c>
      <c r="T246" s="540"/>
      <c r="U246" s="40"/>
      <c r="AA246" s="48"/>
      <c r="AB246" s="48"/>
      <c r="AC246" s="48"/>
      <c r="AD246" s="48"/>
      <c r="AE246" s="48"/>
      <c r="AF246" s="48"/>
      <c r="AG246" s="48"/>
      <c r="AH246" s="48"/>
      <c r="AI246" s="48"/>
      <c r="AJ246" s="48"/>
      <c r="AK246" s="48"/>
      <c r="AL246" s="48"/>
      <c r="AM246" s="48"/>
      <c r="AN246" s="48"/>
    </row>
    <row r="247" ht="15.75" customHeight="1">
      <c r="A247" s="5" t="s">
        <v>911</v>
      </c>
      <c r="B247" s="48" t="s">
        <v>161</v>
      </c>
      <c r="C247" s="480" t="s">
        <v>163</v>
      </c>
      <c r="D247" s="483"/>
      <c r="E247" s="601"/>
      <c r="F247" s="516" t="str">
        <f>F246/E246</f>
        <v>#DIV/0!</v>
      </c>
      <c r="G247" s="486"/>
      <c r="H247" s="601"/>
      <c r="I247" s="516"/>
      <c r="J247" s="486"/>
      <c r="K247" s="48"/>
      <c r="L247" s="516">
        <f>IF(L246=0,0,L246/K246)</f>
        <v>0.7143277195</v>
      </c>
      <c r="M247" s="515"/>
      <c r="N247" s="484"/>
      <c r="O247" s="486"/>
      <c r="P247" s="48"/>
      <c r="Q247" s="516">
        <f>IF(Q246=0,0,Q246/P246)</f>
        <v>0.7999322957</v>
      </c>
      <c r="R247" s="486"/>
      <c r="S247" s="516">
        <f>IF(Q246=0,0,(S246/Q246))</f>
        <v>-0.3228665477</v>
      </c>
      <c r="T247" s="540"/>
      <c r="U247" s="40"/>
      <c r="AA247" s="48"/>
      <c r="AB247" s="48"/>
      <c r="AC247" s="48"/>
      <c r="AD247" s="48"/>
      <c r="AE247" s="48"/>
      <c r="AF247" s="48"/>
      <c r="AG247" s="48"/>
      <c r="AH247" s="48"/>
      <c r="AI247" s="48"/>
      <c r="AJ247" s="48"/>
      <c r="AK247" s="48"/>
      <c r="AL247" s="48"/>
      <c r="AM247" s="48"/>
      <c r="AN247" s="48"/>
    </row>
    <row r="248" ht="15.75" customHeight="1">
      <c r="A248" s="5" t="s">
        <v>161</v>
      </c>
      <c r="B248" s="48" t="s">
        <v>161</v>
      </c>
      <c r="C248" s="471"/>
      <c r="D248" s="513"/>
      <c r="E248" s="621">
        <f>IFERROR(E246/D246,0)</f>
        <v>0</v>
      </c>
      <c r="F248" s="614"/>
      <c r="G248" s="622"/>
      <c r="H248" s="621"/>
      <c r="I248" s="614"/>
      <c r="J248" s="622"/>
      <c r="K248" s="621">
        <f>IFERROR(K246/J246,0)</f>
        <v>241.4521645</v>
      </c>
      <c r="L248" s="614"/>
      <c r="M248" s="545"/>
      <c r="N248" s="476"/>
      <c r="O248" s="622"/>
      <c r="P248" s="621">
        <f>IFERROR(P246/O246,0)</f>
        <v>351.9385167</v>
      </c>
      <c r="Q248" s="614"/>
      <c r="R248" s="622"/>
      <c r="S248" s="476"/>
      <c r="T248" s="540"/>
      <c r="U248" s="40"/>
      <c r="AA248" s="48"/>
      <c r="AB248" s="48"/>
      <c r="AC248" s="48"/>
      <c r="AD248" s="48"/>
      <c r="AE248" s="48"/>
      <c r="AF248" s="48"/>
      <c r="AG248" s="48"/>
      <c r="AH248" s="48"/>
      <c r="AI248" s="48"/>
      <c r="AJ248" s="48"/>
      <c r="AK248" s="48"/>
      <c r="AL248" s="48"/>
      <c r="AM248" s="48"/>
      <c r="AN248" s="48"/>
    </row>
    <row r="249" ht="18.0" customHeight="1">
      <c r="A249" s="5" t="s">
        <v>912</v>
      </c>
      <c r="B249" s="48" t="s">
        <v>161</v>
      </c>
      <c r="C249" s="466" t="s">
        <v>164</v>
      </c>
      <c r="D249" s="522" t="str">
        <f t="array" ref="D249">+INDEX('Budget original'!$A$2:$AO$501,MATCH($A249,'Budget original'!$A$2:$A$501,0),MATCH(D$2,'Budget original'!$A$2:$AO$2,0))</f>
        <v/>
      </c>
      <c r="E249" s="483" t="str">
        <f t="array" ref="E249">+INDEX('Budget original'!$A$2:$AO$501,MATCH($A249,'Budget original'!$A$2:$A$501,0),MATCH(E$2,'Budget original'!$A$2:$AO$2,0))</f>
        <v/>
      </c>
      <c r="F249" s="483" t="str">
        <f t="array" ref="F249">+INDEX('Budget original'!$A$2:$AO$501,MATCH($A249,'Budget original'!$A$2:$A$501,0),MATCH(F$2,'Budget original'!$A$2:$AO$2,0))</f>
        <v/>
      </c>
      <c r="G249" s="252"/>
      <c r="H249" s="483"/>
      <c r="I249" s="483"/>
      <c r="J249" s="482">
        <f>SUMIFS(BV_Data_An_Cour!$AW:$AW,BV_Data_An_Cour!$AP:$AP,$B249,BV_Data_An_Cour!$AQ:$AQ,$C249,BV_Data_An_Cour!$AY:$AY,J$2)</f>
        <v>211</v>
      </c>
      <c r="K249" s="522">
        <f>-SUMIFS(BV_Data_An_Cour!$AM:$AM,BV_Data_An_Cour!$AS:$AS,"Oui",BV_Data_An_Cour!$AP:$AP,$B249,BV_Data_An_Cour!$AQ:$AQ,$C249)</f>
        <v>29474.86</v>
      </c>
      <c r="L249" s="484">
        <f>-SUMIFS(BV_Data_An_Cour!$AM:$AM,BV_Data_An_Cour!$AP:$AP,$B249,BV_Data_An_Cour!$AQ:$AQ,$C249,BV_Data_An_Cour!$AR:$AR,$L$2)</f>
        <v>17192.24</v>
      </c>
      <c r="M249" s="515" t="str">
        <f>(K249-E249)/E249</f>
        <v>#DIV/0!</v>
      </c>
      <c r="N249" s="523">
        <f>L249-F249</f>
        <v>17192.24</v>
      </c>
      <c r="O249" s="482">
        <f>SUMIFS(BV_Data_An_Prec!$AW:$AW,BV_Data_An_Prec!$AP:$AP,$B249,BV_Data_An_Prec!$AQ:$AQ,$C249,BV_Data_An_Prec!$AY:$AY,O$2)</f>
        <v>328</v>
      </c>
      <c r="P249" s="522">
        <f>-SUMIFS(BV_Data_An_Prec!$AM:$AM,BV_Data_An_Prec!$AS:$AS,"Oui",BV_Data_An_Prec!$AP:$AP,$B249,BV_Data_An_Prec!$AQ:$AQ,$C249)</f>
        <v>54748.2</v>
      </c>
      <c r="Q249" s="484">
        <f>-SUMIFS(BV_Data_An_Prec!$AM:$AM,BV_Data_An_Prec!$AP:$AP,$B249,BV_Data_An_Prec!$AQ:$AQ,$C249,BV_Data_An_Prec!$AR:$AR,$L$2)</f>
        <v>34977.76</v>
      </c>
      <c r="R249" s="515">
        <f>IF(O249=0,0,J249/O249)</f>
        <v>0.6432926829</v>
      </c>
      <c r="S249" s="484">
        <f>L249-Q249</f>
        <v>-17785.52</v>
      </c>
      <c r="T249" s="540"/>
      <c r="U249" s="40"/>
      <c r="V249" s="481"/>
      <c r="W249" s="48"/>
      <c r="AA249" s="48"/>
      <c r="AB249" s="48"/>
      <c r="AC249" s="48"/>
      <c r="AD249" s="48"/>
      <c r="AE249" s="48"/>
      <c r="AF249" s="48"/>
      <c r="AG249" s="48"/>
      <c r="AH249" s="48"/>
      <c r="AI249" s="48"/>
      <c r="AJ249" s="48"/>
      <c r="AK249" s="48"/>
      <c r="AL249" s="48"/>
      <c r="AM249" s="48"/>
      <c r="AN249" s="48"/>
    </row>
    <row r="250" ht="15.75" customHeight="1">
      <c r="A250" s="5" t="s">
        <v>911</v>
      </c>
      <c r="B250" s="48" t="s">
        <v>161</v>
      </c>
      <c r="C250" s="480" t="s">
        <v>163</v>
      </c>
      <c r="D250" s="48"/>
      <c r="E250" s="48"/>
      <c r="F250" s="516" t="str">
        <f>F249/E249</f>
        <v>#DIV/0!</v>
      </c>
      <c r="G250" s="480"/>
      <c r="H250" s="48"/>
      <c r="I250" s="516"/>
      <c r="J250" s="480"/>
      <c r="K250" s="48"/>
      <c r="L250" s="516">
        <f>IF(L249=0,0,L249/K249)</f>
        <v>0.583284874</v>
      </c>
      <c r="M250" s="515"/>
      <c r="N250" s="516"/>
      <c r="O250" s="480"/>
      <c r="P250" s="48"/>
      <c r="Q250" s="516">
        <f>IF(Q249=0,0,Q249/P249)</f>
        <v>0.6388842008</v>
      </c>
      <c r="R250" s="515"/>
      <c r="S250" s="516">
        <f>IF(Q249=0,0,(S249/Q249))</f>
        <v>-0.5084808175</v>
      </c>
      <c r="T250" s="40"/>
      <c r="U250" s="40"/>
      <c r="V250" s="481"/>
      <c r="W250" s="623"/>
      <c r="AA250" s="48"/>
      <c r="AB250" s="48"/>
      <c r="AC250" s="48"/>
      <c r="AD250" s="48"/>
      <c r="AE250" s="48"/>
      <c r="AF250" s="48"/>
      <c r="AG250" s="48"/>
      <c r="AH250" s="48"/>
      <c r="AI250" s="48"/>
      <c r="AJ250" s="48"/>
      <c r="AK250" s="48"/>
      <c r="AL250" s="48"/>
      <c r="AM250" s="48"/>
      <c r="AN250" s="48"/>
    </row>
    <row r="251" ht="15.75" customHeight="1">
      <c r="A251" s="5" t="s">
        <v>161</v>
      </c>
      <c r="B251" s="48" t="s">
        <v>161</v>
      </c>
      <c r="C251" s="471"/>
      <c r="D251" s="564"/>
      <c r="E251" s="621">
        <f>IFERROR(E249/D249,0)</f>
        <v>0</v>
      </c>
      <c r="F251" s="614"/>
      <c r="G251" s="622"/>
      <c r="H251" s="621"/>
      <c r="I251" s="614"/>
      <c r="J251" s="622"/>
      <c r="K251" s="621">
        <f>IFERROR(K249/J249,0)</f>
        <v>139.6912796</v>
      </c>
      <c r="L251" s="614"/>
      <c r="M251" s="545"/>
      <c r="N251" s="476"/>
      <c r="O251" s="622"/>
      <c r="P251" s="621">
        <f>IFERROR(P249/O249,0)</f>
        <v>166.9152439</v>
      </c>
      <c r="Q251" s="614"/>
      <c r="R251" s="545"/>
      <c r="S251" s="614"/>
      <c r="T251" s="40"/>
      <c r="U251" s="40"/>
      <c r="AA251" s="48"/>
      <c r="AB251" s="48"/>
      <c r="AC251" s="48"/>
      <c r="AD251" s="48"/>
      <c r="AE251" s="48"/>
      <c r="AF251" s="48"/>
      <c r="AG251" s="48"/>
      <c r="AH251" s="48"/>
      <c r="AI251" s="48"/>
      <c r="AJ251" s="48"/>
      <c r="AK251" s="48"/>
      <c r="AL251" s="48"/>
      <c r="AM251" s="48"/>
      <c r="AN251" s="48"/>
    </row>
    <row r="252" ht="15.75" customHeight="1">
      <c r="A252" s="5" t="s">
        <v>913</v>
      </c>
      <c r="B252" s="48" t="s">
        <v>161</v>
      </c>
      <c r="C252" s="480" t="s">
        <v>165</v>
      </c>
      <c r="D252" s="483" t="str">
        <f t="array" ref="D252">+INDEX('Budget original'!$A$2:$AO$501,MATCH($A252,'Budget original'!$A$2:$A$501,0),MATCH(D$2,'Budget original'!$A$2:$AO$2,0))</f>
        <v/>
      </c>
      <c r="E252" s="483" t="str">
        <f t="array" ref="E252">+INDEX('Budget original'!$A$2:$AO$501,MATCH($A252,'Budget original'!$A$2:$A$501,0),MATCH(E$2,'Budget original'!$A$2:$AO$2,0))</f>
        <v/>
      </c>
      <c r="F252" s="483" t="str">
        <f t="array" ref="F252">+INDEX('Budget original'!$A$2:$AO$501,MATCH($A252,'Budget original'!$A$2:$A$501,0),MATCH(F$2,'Budget original'!$A$2:$AO$2,0))</f>
        <v/>
      </c>
      <c r="G252" s="486"/>
      <c r="H252" s="483"/>
      <c r="I252" s="483"/>
      <c r="J252" s="482">
        <f>SUMIFS(BV_Data_An_Cour!$AW:$AW,BV_Data_An_Cour!$AP:$AP,$B252,BV_Data_An_Cour!$AQ:$AQ,$C252,BV_Data_An_Cour!$AY:$AY,J$2)</f>
        <v>430</v>
      </c>
      <c r="K252" s="522">
        <f>-SUMIFS(BV_Data_An_Cour!$AM:$AM,BV_Data_An_Cour!$AS:$AS,"Oui",BV_Data_An_Cour!$AP:$AP,$B252,BV_Data_An_Cour!$AQ:$AQ,$C252)</f>
        <v>66639.28</v>
      </c>
      <c r="L252" s="484">
        <f>-SUMIFS(BV_Data_An_Cour!$AM:$AM,BV_Data_An_Cour!$AP:$AP,$B252,BV_Data_An_Cour!$AQ:$AQ,$C252,BV_Data_An_Cour!$AR:$AR,$L$2)</f>
        <v>47086.2</v>
      </c>
      <c r="M252" s="515" t="str">
        <f>(K252-E252)/E252</f>
        <v>#DIV/0!</v>
      </c>
      <c r="N252" s="484">
        <f t="shared" ref="N252:N253" si="50">L252-F252</f>
        <v>47086.2</v>
      </c>
      <c r="O252" s="482">
        <f>SUMIFS(BV_Data_An_Prec!$AW:$AW,BV_Data_An_Prec!$AP:$AP,$B252,BV_Data_An_Prec!$AQ:$AQ,$C252,BV_Data_An_Prec!$AY:$AY,O$2)</f>
        <v>517</v>
      </c>
      <c r="P252" s="522">
        <f>-SUMIFS(BV_Data_An_Prec!$AM:$AM,BV_Data_An_Prec!$AS:$AS,"Oui",BV_Data_An_Prec!$AP:$AP,$B252,BV_Data_An_Prec!$AQ:$AQ,$C252)</f>
        <v>68576.22</v>
      </c>
      <c r="Q252" s="484">
        <f>-SUMIFS(BV_Data_An_Prec!$AM:$AM,BV_Data_An_Prec!$AP:$AP,$B252,BV_Data_An_Prec!$AQ:$AQ,$C252,BV_Data_An_Prec!$AR:$AR,$L$2)</f>
        <v>51169.1</v>
      </c>
      <c r="R252" s="515">
        <f>IF(O252=0,0,J252/O252)</f>
        <v>0.83172147</v>
      </c>
      <c r="S252" s="484">
        <f>L252-Q252</f>
        <v>-4082.9</v>
      </c>
      <c r="T252" s="540"/>
      <c r="U252" s="40"/>
      <c r="AA252" s="48"/>
      <c r="AB252" s="48"/>
      <c r="AC252" s="48"/>
      <c r="AD252" s="48"/>
      <c r="AE252" s="48"/>
      <c r="AF252" s="48"/>
      <c r="AG252" s="48"/>
      <c r="AH252" s="48"/>
      <c r="AI252" s="48"/>
      <c r="AJ252" s="48"/>
      <c r="AK252" s="48"/>
      <c r="AL252" s="48"/>
      <c r="AM252" s="48"/>
      <c r="AN252" s="48"/>
    </row>
    <row r="253" ht="15.75" customHeight="1">
      <c r="A253" s="5" t="s">
        <v>911</v>
      </c>
      <c r="B253" s="48" t="s">
        <v>161</v>
      </c>
      <c r="C253" s="480" t="s">
        <v>163</v>
      </c>
      <c r="D253" s="483"/>
      <c r="E253" s="601"/>
      <c r="F253" s="516" t="str">
        <f>F252/E252</f>
        <v>#DIV/0!</v>
      </c>
      <c r="G253" s="486"/>
      <c r="H253" s="601"/>
      <c r="I253" s="516"/>
      <c r="J253" s="486"/>
      <c r="K253" s="601"/>
      <c r="L253" s="516">
        <f>IF(L252=0,0,L252/K252)</f>
        <v>0.7065832644</v>
      </c>
      <c r="M253" s="515"/>
      <c r="N253" s="484" t="str">
        <f t="shared" si="50"/>
        <v>#DIV/0!</v>
      </c>
      <c r="O253" s="486"/>
      <c r="P253" s="601"/>
      <c r="Q253" s="516">
        <f>IF(Q252=0,0,Q252/P252)</f>
        <v>0.7461639035</v>
      </c>
      <c r="R253" s="486"/>
      <c r="S253" s="516">
        <f>IF(Q252=0,0,(S252/Q252))</f>
        <v>-0.07979229652</v>
      </c>
      <c r="T253" s="540"/>
      <c r="U253" s="40"/>
      <c r="AA253" s="48"/>
      <c r="AB253" s="48"/>
      <c r="AC253" s="48"/>
      <c r="AD253" s="48"/>
      <c r="AE253" s="48"/>
      <c r="AF253" s="48"/>
      <c r="AG253" s="48"/>
      <c r="AH253" s="48"/>
      <c r="AI253" s="48"/>
      <c r="AJ253" s="48"/>
      <c r="AK253" s="48"/>
      <c r="AL253" s="48"/>
      <c r="AM253" s="48"/>
      <c r="AN253" s="48"/>
    </row>
    <row r="254" ht="15.75" customHeight="1">
      <c r="A254" s="5" t="s">
        <v>161</v>
      </c>
      <c r="B254" s="48" t="s">
        <v>161</v>
      </c>
      <c r="C254" s="480"/>
      <c r="D254" s="483"/>
      <c r="E254" s="621">
        <f>IFERROR(E252/D252,0)</f>
        <v>0</v>
      </c>
      <c r="F254" s="614"/>
      <c r="G254" s="622"/>
      <c r="H254" s="621"/>
      <c r="I254" s="614"/>
      <c r="J254" s="622"/>
      <c r="K254" s="621">
        <f>IFERROR(K252/J252,0)</f>
        <v>154.9750698</v>
      </c>
      <c r="L254" s="614"/>
      <c r="M254" s="545"/>
      <c r="N254" s="476"/>
      <c r="O254" s="622"/>
      <c r="P254" s="621">
        <f>IFERROR(P252/O252,0)</f>
        <v>132.6425919</v>
      </c>
      <c r="Q254" s="614"/>
      <c r="R254" s="622"/>
      <c r="S254" s="484"/>
      <c r="T254" s="540"/>
      <c r="U254" s="548"/>
      <c r="AA254" s="48"/>
      <c r="AB254" s="48"/>
      <c r="AC254" s="48"/>
      <c r="AD254" s="48"/>
      <c r="AE254" s="48"/>
      <c r="AF254" s="48"/>
      <c r="AG254" s="48"/>
      <c r="AH254" s="48"/>
      <c r="AI254" s="48"/>
      <c r="AJ254" s="48"/>
      <c r="AK254" s="48"/>
      <c r="AL254" s="48"/>
      <c r="AM254" s="48"/>
      <c r="AN254" s="48"/>
    </row>
    <row r="255" ht="15.75" customHeight="1">
      <c r="A255" s="5" t="s">
        <v>914</v>
      </c>
      <c r="B255" s="48" t="s">
        <v>161</v>
      </c>
      <c r="C255" s="466" t="s">
        <v>166</v>
      </c>
      <c r="D255" s="522" t="str">
        <f t="array" ref="D255">+INDEX('Budget original'!$A$2:$AO$501,MATCH($A255,'Budget original'!$A$2:$A$501,0),MATCH(D$2,'Budget original'!$A$2:$AO$2,0))</f>
        <v/>
      </c>
      <c r="E255" s="483" t="str">
        <f t="array" ref="E255">+INDEX('Budget original'!$A$2:$AO$501,MATCH($A255,'Budget original'!$A$2:$A$501,0),MATCH(E$2,'Budget original'!$A$2:$AO$2,0))</f>
        <v/>
      </c>
      <c r="F255" s="483" t="str">
        <f t="array" ref="F255">+INDEX('Budget original'!$A$2:$AO$501,MATCH($A255,'Budget original'!$A$2:$A$501,0),MATCH(F$2,'Budget original'!$A$2:$AO$2,0))</f>
        <v/>
      </c>
      <c r="G255" s="252"/>
      <c r="H255" s="483"/>
      <c r="I255" s="483"/>
      <c r="J255" s="482">
        <f>SUMIFS(BV_Data_An_Cour!$AW:$AW,BV_Data_An_Cour!$AP:$AP,$B255,BV_Data_An_Cour!$AQ:$AQ,$C255,BV_Data_An_Cour!$AY:$AY,J$2)</f>
        <v>0</v>
      </c>
      <c r="K255" s="522">
        <f>-SUMIFS(BV_Data_An_Cour!$AM:$AM,BV_Data_An_Cour!$AS:$AS,"Oui",BV_Data_An_Cour!$AP:$AP,$B255,BV_Data_An_Cour!$AQ:$AQ,$C255)</f>
        <v>0</v>
      </c>
      <c r="L255" s="523">
        <f>-SUMIFS(BV_Data_An_Cour!$AM:$AM,BV_Data_An_Cour!$AP:$AP,$B255,BV_Data_An_Cour!$AQ:$AQ,$C255,BV_Data_An_Cour!$AR:$AR,$L$2)</f>
        <v>0</v>
      </c>
      <c r="M255" s="624">
        <f>IF(E255=0,0,(K255-E255)/E255)</f>
        <v>0</v>
      </c>
      <c r="N255" s="523">
        <f>L255-F255</f>
        <v>0</v>
      </c>
      <c r="O255" s="482">
        <f>SUMIFS(BV_Data_An_Prec!$AW:$AW,BV_Data_An_Prec!$AP:$AP,$B255,BV_Data_An_Prec!$AQ:$AQ,$C255,BV_Data_An_Prec!$AY:$AY,O$2)</f>
        <v>0</v>
      </c>
      <c r="P255" s="522">
        <f>-SUMIFS(BV_Data_An_Prec!$AM:$AM,BV_Data_An_Prec!$AS:$AS,"Oui",BV_Data_An_Prec!$AP:$AP,$B255,BV_Data_An_Prec!$AQ:$AQ,$C255)</f>
        <v>0</v>
      </c>
      <c r="Q255" s="523">
        <f>-SUMIFS(BV_Data_An_Prec!$AM:$AM,BV_Data_An_Prec!$AP:$AP,$B255,BV_Data_An_Prec!$AQ:$AQ,$C255,BV_Data_An_Prec!$AR:$AR,$L$2)</f>
        <v>0</v>
      </c>
      <c r="R255" s="515">
        <f>IF(O255=0,0,J255/O255)</f>
        <v>0</v>
      </c>
      <c r="S255" s="523">
        <f>L255-Q255</f>
        <v>0</v>
      </c>
      <c r="T255" s="540"/>
      <c r="U255" s="40"/>
      <c r="AA255" s="48"/>
      <c r="AB255" s="48"/>
      <c r="AC255" s="48"/>
      <c r="AD255" s="48"/>
      <c r="AE255" s="48"/>
      <c r="AF255" s="48"/>
      <c r="AG255" s="48"/>
      <c r="AH255" s="48"/>
      <c r="AI255" s="48"/>
      <c r="AJ255" s="48"/>
      <c r="AK255" s="48"/>
      <c r="AL255" s="48"/>
      <c r="AM255" s="48"/>
      <c r="AN255" s="48"/>
    </row>
    <row r="256" ht="15.75" customHeight="1">
      <c r="A256" s="5" t="s">
        <v>911</v>
      </c>
      <c r="B256" s="48" t="s">
        <v>161</v>
      </c>
      <c r="C256" s="480" t="s">
        <v>163</v>
      </c>
      <c r="D256" s="48"/>
      <c r="E256" s="601"/>
      <c r="F256" s="516">
        <f>IFERROR(F255/E255,0)</f>
        <v>0</v>
      </c>
      <c r="G256" s="480"/>
      <c r="H256" s="601"/>
      <c r="I256" s="516"/>
      <c r="J256" s="486"/>
      <c r="K256" s="601"/>
      <c r="L256" s="516">
        <f>IF(L255=0,0,L255/K255)</f>
        <v>0</v>
      </c>
      <c r="M256" s="486">
        <f>J256-D256</f>
        <v>0</v>
      </c>
      <c r="N256" s="484"/>
      <c r="O256" s="486"/>
      <c r="P256" s="601"/>
      <c r="Q256" s="516">
        <f>IF(Q255=0,0,Q255/P255)</f>
        <v>0</v>
      </c>
      <c r="R256" s="480"/>
      <c r="S256" s="516">
        <f>IF(Q255=0,0,(S255/Q255))</f>
        <v>0</v>
      </c>
      <c r="T256" s="565"/>
      <c r="U256" s="548"/>
      <c r="AA256" s="48"/>
      <c r="AB256" s="48"/>
      <c r="AC256" s="48"/>
      <c r="AD256" s="48"/>
      <c r="AE256" s="48"/>
      <c r="AF256" s="48"/>
      <c r="AG256" s="48"/>
      <c r="AH256" s="48"/>
      <c r="AI256" s="48"/>
      <c r="AJ256" s="48"/>
      <c r="AK256" s="48"/>
      <c r="AL256" s="48"/>
      <c r="AM256" s="48"/>
      <c r="AN256" s="48"/>
    </row>
    <row r="257" ht="15.75" customHeight="1">
      <c r="A257" s="5" t="s">
        <v>161</v>
      </c>
      <c r="B257" s="48" t="s">
        <v>161</v>
      </c>
      <c r="C257" s="471"/>
      <c r="D257" s="564"/>
      <c r="E257" s="625"/>
      <c r="F257" s="614"/>
      <c r="G257" s="471"/>
      <c r="H257" s="625"/>
      <c r="I257" s="614"/>
      <c r="J257" s="622"/>
      <c r="K257" s="621">
        <f>IFERROR(K255/J255,0)</f>
        <v>0</v>
      </c>
      <c r="L257" s="614"/>
      <c r="M257" s="622"/>
      <c r="N257" s="476"/>
      <c r="O257" s="622"/>
      <c r="P257" s="621">
        <f>IFERROR(P255/O255,0)</f>
        <v>0</v>
      </c>
      <c r="Q257" s="614"/>
      <c r="R257" s="471"/>
      <c r="S257" s="476"/>
      <c r="T257" s="565"/>
      <c r="U257" s="40"/>
      <c r="AA257" s="48"/>
      <c r="AB257" s="48"/>
      <c r="AC257" s="48"/>
      <c r="AD257" s="48"/>
      <c r="AE257" s="48"/>
      <c r="AF257" s="48"/>
      <c r="AG257" s="48"/>
      <c r="AH257" s="48"/>
      <c r="AI257" s="48"/>
      <c r="AJ257" s="48"/>
      <c r="AK257" s="48"/>
      <c r="AL257" s="48"/>
      <c r="AM257" s="48"/>
      <c r="AN257" s="48"/>
    </row>
    <row r="258" ht="26.25" customHeight="1">
      <c r="A258" s="5" t="s">
        <v>915</v>
      </c>
      <c r="B258" s="48" t="s">
        <v>161</v>
      </c>
      <c r="C258" s="480" t="s">
        <v>167</v>
      </c>
      <c r="D258" s="48"/>
      <c r="E258" s="48"/>
      <c r="F258" s="484" t="str">
        <f t="array" ref="F258">+INDEX('Budget original'!$A$2:$AO$501,MATCH($A258,'Budget original'!$A$2:$A$501,0),MATCH(F$2,'Budget original'!$A$2:$AO$2,0))</f>
        <v/>
      </c>
      <c r="G258" s="480"/>
      <c r="H258" s="483"/>
      <c r="I258" s="483"/>
      <c r="J258" s="486"/>
      <c r="K258" s="483"/>
      <c r="L258" s="483">
        <f>-SUMIFS(BV_Data_An_Cour!$AM:$AM,BV_Data_An_Cour!$AP:$AP,$B258,BV_Data_An_Cour!$AQ:$AQ,$C258,BV_Data_An_Cour!$AR:$AR,$L$2)</f>
        <v>0</v>
      </c>
      <c r="M258" s="486"/>
      <c r="N258" s="484">
        <f t="shared" ref="N258:N259" si="53">L258-F258</f>
        <v>0</v>
      </c>
      <c r="O258" s="486"/>
      <c r="P258" s="483"/>
      <c r="Q258" s="483">
        <f>-SUMIFS(BV_Data_An_Prec!$AM:$AM,BV_Data_An_Prec!$AP:$AP,$B258,BV_Data_An_Prec!$AQ:$AQ,$C258,BV_Data_An_Prec!$AR:$AR,$L$2)</f>
        <v>1668.89</v>
      </c>
      <c r="R258" s="626"/>
      <c r="S258" s="484">
        <f t="shared" ref="S258:S259" si="55">L258-Q258</f>
        <v>-1668.89</v>
      </c>
      <c r="T258" s="40"/>
      <c r="U258" s="40"/>
      <c r="V258" s="48"/>
      <c r="W258" s="48"/>
      <c r="X258" s="48"/>
      <c r="Y258" s="48"/>
      <c r="Z258" s="48"/>
      <c r="AA258" s="48"/>
      <c r="AB258" s="48"/>
      <c r="AC258" s="48"/>
      <c r="AD258" s="48"/>
      <c r="AE258" s="48"/>
      <c r="AF258" s="48"/>
      <c r="AG258" s="48"/>
      <c r="AH258" s="48"/>
      <c r="AI258" s="48"/>
      <c r="AJ258" s="48"/>
      <c r="AK258" s="48"/>
      <c r="AL258" s="48"/>
      <c r="AM258" s="48"/>
      <c r="AN258" s="48"/>
    </row>
    <row r="259" ht="19.5" customHeight="1">
      <c r="A259" s="5" t="s">
        <v>916</v>
      </c>
      <c r="B259" s="48" t="s">
        <v>161</v>
      </c>
      <c r="C259" s="627" t="s">
        <v>168</v>
      </c>
      <c r="D259" s="628">
        <f t="shared" ref="D259:F259" si="51">D246+D249+D252+D255+D258</f>
        <v>0</v>
      </c>
      <c r="E259" s="628">
        <f t="shared" si="51"/>
        <v>0</v>
      </c>
      <c r="F259" s="629">
        <f t="shared" si="51"/>
        <v>0</v>
      </c>
      <c r="G259" s="630"/>
      <c r="H259" s="628"/>
      <c r="I259" s="629"/>
      <c r="J259" s="631">
        <f t="shared" ref="J259:L259" si="52">J246+J249+J252+J255+J258</f>
        <v>872</v>
      </c>
      <c r="K259" s="632">
        <f t="shared" si="52"/>
        <v>151889.59</v>
      </c>
      <c r="L259" s="633">
        <f t="shared" si="52"/>
        <v>104120.39</v>
      </c>
      <c r="M259" s="634" t="str">
        <f>(K259-E259)/E259</f>
        <v>#DIV/0!</v>
      </c>
      <c r="N259" s="633">
        <f t="shared" si="53"/>
        <v>104120.39</v>
      </c>
      <c r="O259" s="631">
        <f t="shared" ref="O259:Q259" si="54">O246+O249+O252+O255+O258</f>
        <v>1054</v>
      </c>
      <c r="P259" s="632">
        <f t="shared" si="54"/>
        <v>196879.57</v>
      </c>
      <c r="Q259" s="633">
        <f t="shared" si="54"/>
        <v>146654.89</v>
      </c>
      <c r="R259" s="525">
        <f>IF(O259=0,0,J259/O259)</f>
        <v>0.8273244782</v>
      </c>
      <c r="S259" s="629">
        <f t="shared" si="55"/>
        <v>-42534.5</v>
      </c>
      <c r="T259" s="565"/>
      <c r="U259" s="40"/>
      <c r="V259" s="48"/>
      <c r="W259" s="48"/>
      <c r="X259" s="48"/>
      <c r="Y259" s="48"/>
      <c r="Z259" s="48"/>
      <c r="AA259" s="48"/>
      <c r="AB259" s="48"/>
      <c r="AC259" s="48"/>
      <c r="AD259" s="48"/>
      <c r="AE259" s="48"/>
      <c r="AF259" s="48"/>
      <c r="AG259" s="48"/>
      <c r="AH259" s="48"/>
      <c r="AI259" s="48"/>
      <c r="AJ259" s="48"/>
      <c r="AK259" s="48"/>
      <c r="AL259" s="48"/>
      <c r="AM259" s="48"/>
      <c r="AN259" s="48"/>
    </row>
    <row r="260" ht="15.75" customHeight="1">
      <c r="A260" s="5" t="s">
        <v>917</v>
      </c>
      <c r="B260" s="48" t="s">
        <v>161</v>
      </c>
      <c r="C260" s="635" t="s">
        <v>169</v>
      </c>
      <c r="D260" s="636"/>
      <c r="E260" s="637"/>
      <c r="F260" s="638" t="str">
        <f>F259/E259</f>
        <v>#DIV/0!</v>
      </c>
      <c r="G260" s="639"/>
      <c r="H260" s="637"/>
      <c r="I260" s="507"/>
      <c r="J260" s="640"/>
      <c r="K260" s="641">
        <f>IF(J259=0,0,K259/J259)</f>
        <v>174.1853096</v>
      </c>
      <c r="L260" s="507">
        <f>IF(L259=0,0,L259/K259)</f>
        <v>0.6855005007</v>
      </c>
      <c r="M260" s="640"/>
      <c r="N260" s="642" t="str">
        <f>N259/F259</f>
        <v>#DIV/0!</v>
      </c>
      <c r="O260" s="640"/>
      <c r="P260" s="641">
        <f>IF(O259=0,0,P259/O259)</f>
        <v>186.7927609</v>
      </c>
      <c r="Q260" s="507">
        <f>IF(Q259=0,0,Q259/P259)</f>
        <v>0.7448964359</v>
      </c>
      <c r="R260" s="639"/>
      <c r="S260" s="507">
        <f>S259/Q259</f>
        <v>-0.2900312427</v>
      </c>
      <c r="T260" s="565"/>
      <c r="U260" s="40"/>
      <c r="V260" s="48"/>
      <c r="W260" s="48"/>
      <c r="X260" s="48"/>
      <c r="Y260" s="48"/>
      <c r="Z260" s="48"/>
      <c r="AA260" s="48"/>
      <c r="AB260" s="48"/>
      <c r="AC260" s="48"/>
      <c r="AD260" s="48"/>
      <c r="AE260" s="48"/>
      <c r="AF260" s="48"/>
      <c r="AG260" s="48"/>
      <c r="AH260" s="48"/>
      <c r="AI260" s="48"/>
      <c r="AJ260" s="48"/>
      <c r="AK260" s="48"/>
      <c r="AL260" s="48"/>
      <c r="AM260" s="48"/>
      <c r="AN260" s="48"/>
    </row>
    <row r="261" ht="15.75" customHeight="1">
      <c r="A261" s="5" t="s">
        <v>161</v>
      </c>
      <c r="B261" s="48" t="s">
        <v>161</v>
      </c>
      <c r="C261" s="466"/>
      <c r="D261" s="522"/>
      <c r="E261" s="643"/>
      <c r="F261" s="523"/>
      <c r="G261" s="252"/>
      <c r="H261" s="643"/>
      <c r="I261" s="523"/>
      <c r="J261" s="252"/>
      <c r="K261" s="643"/>
      <c r="L261" s="523"/>
      <c r="M261" s="252"/>
      <c r="N261" s="523"/>
      <c r="O261" s="252"/>
      <c r="P261" s="643"/>
      <c r="Q261" s="523"/>
      <c r="R261" s="252"/>
      <c r="S261" s="523"/>
      <c r="T261" s="565"/>
      <c r="U261" s="40"/>
      <c r="V261" s="48"/>
      <c r="W261" s="48"/>
      <c r="X261" s="48"/>
      <c r="Y261" s="48"/>
      <c r="Z261" s="48"/>
      <c r="AA261" s="48"/>
      <c r="AB261" s="48"/>
      <c r="AC261" s="48"/>
      <c r="AD261" s="48"/>
      <c r="AE261" s="48"/>
      <c r="AF261" s="48"/>
      <c r="AG261" s="48"/>
      <c r="AH261" s="48"/>
      <c r="AI261" s="48"/>
      <c r="AJ261" s="48"/>
      <c r="AK261" s="48"/>
      <c r="AL261" s="48"/>
      <c r="AM261" s="48"/>
      <c r="AN261" s="48"/>
    </row>
    <row r="262" ht="19.5" customHeight="1">
      <c r="A262" s="5" t="s">
        <v>918</v>
      </c>
      <c r="B262" s="48" t="s">
        <v>161</v>
      </c>
      <c r="C262" s="480" t="s">
        <v>170</v>
      </c>
      <c r="D262" s="483"/>
      <c r="E262" s="483" t="str">
        <f t="array" ref="E262">+INDEX('Budget original'!$A$2:$AO$501,MATCH($A262,'Budget original'!$A$2:$A$501,0),MATCH(E$2,'Budget original'!$A$2:$AO$2,0))</f>
        <v/>
      </c>
      <c r="F262" s="483" t="str">
        <f t="array" ref="F262">+INDEX('Budget original'!$A$2:$AO$501,MATCH($A262,'Budget original'!$A$2:$A$501,0),MATCH(F$2,'Budget original'!$A$2:$AO$2,0))</f>
        <v/>
      </c>
      <c r="G262" s="486"/>
      <c r="H262" s="483"/>
      <c r="I262" s="483"/>
      <c r="J262" s="482">
        <f>SUMIFS(BV_Data_An_Cour!$AW:$AW,BV_Data_An_Cour!$AP:$AP,$B262,BV_Data_An_Cour!$AQ:$AQ,$C262,BV_Data_An_Cour!$AY:$AY,J$2)</f>
        <v>333</v>
      </c>
      <c r="K262" s="483">
        <f>-SUMIFS(BV_Data_An_Cour!$AM:$AM,BV_Data_An_Cour!$AS:$AS,"Oui",BV_Data_An_Cour!$AP:$AP,$B262,BV_Data_An_Cour!$AQ:$AQ,$C262)</f>
        <v>13883.55</v>
      </c>
      <c r="L262" s="484">
        <f>-SUMIFS(BV_Data_An_Cour!$AM:$AM,BV_Data_An_Cour!$AP:$AP,$B262,BV_Data_An_Cour!$AQ:$AQ,$C262,BV_Data_An_Cour!$AR:$AR,$L$2)</f>
        <v>3700.68</v>
      </c>
      <c r="M262" s="515">
        <f>IF(E262=0,0,(K262-E262)/E262)</f>
        <v>0</v>
      </c>
      <c r="N262" s="484">
        <f>L262-F262</f>
        <v>3700.68</v>
      </c>
      <c r="O262" s="482">
        <f>SUMIFS(BV_Data_An_Prec!$AW:$AW,BV_Data_An_Prec!$AP:$AP,$B262,BV_Data_An_Prec!$AQ:$AQ,$C262,BV_Data_An_Prec!$AY:$AY,O$2)</f>
        <v>328</v>
      </c>
      <c r="P262" s="483">
        <f>-SUMIFS(BV_Data_An_Prec!$AM:$AM,BV_Data_An_Prec!$AS:$AS,"Oui",BV_Data_An_Prec!$AP:$AP,$B262,BV_Data_An_Prec!$AQ:$AQ,$C262)</f>
        <v>20193.1</v>
      </c>
      <c r="Q262" s="484">
        <f>-SUMIFS(BV_Data_An_Prec!$AM:$AM,BV_Data_An_Prec!$AP:$AP,$B262,BV_Data_An_Prec!$AQ:$AQ,$C262,BV_Data_An_Prec!$AR:$AR,$L$2)</f>
        <v>5749.33</v>
      </c>
      <c r="R262" s="515">
        <f>IF(O262=0,0,J262/O262)</f>
        <v>1.015243902</v>
      </c>
      <c r="S262" s="484">
        <f>L262-Q262</f>
        <v>-2048.65</v>
      </c>
      <c r="T262" s="565"/>
      <c r="U262" s="40"/>
      <c r="V262" s="48"/>
      <c r="W262" s="48"/>
      <c r="X262" s="48"/>
      <c r="Y262" s="48"/>
      <c r="Z262" s="48"/>
      <c r="AA262" s="48"/>
      <c r="AB262" s="48"/>
      <c r="AC262" s="48"/>
      <c r="AD262" s="48"/>
      <c r="AE262" s="48"/>
      <c r="AF262" s="48"/>
      <c r="AG262" s="48"/>
      <c r="AH262" s="48"/>
      <c r="AI262" s="48"/>
      <c r="AJ262" s="48"/>
      <c r="AK262" s="48"/>
      <c r="AL262" s="48"/>
      <c r="AM262" s="48"/>
      <c r="AN262" s="48"/>
    </row>
    <row r="263" ht="21.0" customHeight="1">
      <c r="A263" s="5" t="s">
        <v>911</v>
      </c>
      <c r="B263" s="48" t="s">
        <v>161</v>
      </c>
      <c r="C263" s="480" t="s">
        <v>163</v>
      </c>
      <c r="D263" s="48"/>
      <c r="E263" s="601"/>
      <c r="F263" s="516">
        <f>IFERROR(F262/E262,0)</f>
        <v>0</v>
      </c>
      <c r="G263" s="480"/>
      <c r="H263" s="601"/>
      <c r="I263" s="516"/>
      <c r="J263" s="486"/>
      <c r="K263" s="601"/>
      <c r="L263" s="516">
        <f>IF(L262=0,0,L262/K262)</f>
        <v>0.2665514224</v>
      </c>
      <c r="M263" s="486"/>
      <c r="N263" s="484"/>
      <c r="O263" s="486"/>
      <c r="P263" s="601"/>
      <c r="Q263" s="516">
        <f>IF(Q262=0,0,Q262/P262)</f>
        <v>0.284717552</v>
      </c>
      <c r="R263" s="486"/>
      <c r="S263" s="516">
        <f>IF(Q262=0,0,(S262/Q262))</f>
        <v>-0.3563284765</v>
      </c>
      <c r="T263" s="565"/>
      <c r="U263" s="40"/>
      <c r="V263" s="48"/>
      <c r="W263" s="48"/>
      <c r="X263" s="48"/>
      <c r="Y263" s="48"/>
      <c r="Z263" s="48"/>
      <c r="AA263" s="48"/>
      <c r="AB263" s="48"/>
      <c r="AC263" s="48"/>
      <c r="AD263" s="48"/>
      <c r="AE263" s="48"/>
      <c r="AF263" s="48"/>
      <c r="AG263" s="48"/>
      <c r="AH263" s="48"/>
      <c r="AI263" s="48"/>
      <c r="AJ263" s="48"/>
      <c r="AK263" s="48"/>
      <c r="AL263" s="48"/>
      <c r="AM263" s="48"/>
      <c r="AN263" s="48"/>
    </row>
    <row r="264" ht="21.0" hidden="1" customHeight="1">
      <c r="A264" s="5" t="s">
        <v>161</v>
      </c>
      <c r="B264" s="48" t="s">
        <v>161</v>
      </c>
      <c r="C264" s="480"/>
      <c r="D264" s="48"/>
      <c r="E264" s="601"/>
      <c r="F264" s="516"/>
      <c r="G264" s="480"/>
      <c r="H264" s="601"/>
      <c r="I264" s="516"/>
      <c r="J264" s="600"/>
      <c r="K264" s="599"/>
      <c r="L264" s="516"/>
      <c r="M264" s="600"/>
      <c r="N264" s="504"/>
      <c r="O264" s="600"/>
      <c r="P264" s="599"/>
      <c r="Q264" s="516"/>
      <c r="R264" s="600"/>
      <c r="S264" s="504"/>
      <c r="T264" s="565"/>
      <c r="U264" s="40"/>
      <c r="V264" s="48"/>
      <c r="W264" s="48"/>
      <c r="X264" s="48"/>
      <c r="Y264" s="48"/>
      <c r="Z264" s="48"/>
      <c r="AA264" s="48"/>
      <c r="AB264" s="48"/>
      <c r="AC264" s="48"/>
      <c r="AD264" s="48"/>
      <c r="AE264" s="48"/>
      <c r="AF264" s="48"/>
      <c r="AG264" s="48"/>
      <c r="AH264" s="48"/>
      <c r="AI264" s="48"/>
      <c r="AJ264" s="48"/>
      <c r="AK264" s="48"/>
      <c r="AL264" s="48"/>
      <c r="AM264" s="48"/>
      <c r="AN264" s="48"/>
    </row>
    <row r="265" ht="21.0" hidden="1" customHeight="1">
      <c r="A265" s="5" t="s">
        <v>919</v>
      </c>
      <c r="B265" s="48" t="s">
        <v>161</v>
      </c>
      <c r="C265" s="480" t="s">
        <v>171</v>
      </c>
      <c r="D265" s="48"/>
      <c r="E265" s="483" t="str">
        <f t="array" ref="E265">+INDEX('Budget original'!$A$2:$AO$501,MATCH($A265,'Budget original'!$A$2:$A$501,0),MATCH(E$2,'Budget original'!$A$2:$AO$2,0))</f>
        <v/>
      </c>
      <c r="F265" s="483" t="str">
        <f t="array" ref="F265">+INDEX('Budget original'!$A$2:$AO$501,MATCH($A265,'Budget original'!$A$2:$A$501,0),MATCH(F$2,'Budget original'!$A$2:$AO$2,0))</f>
        <v/>
      </c>
      <c r="G265" s="480"/>
      <c r="H265" s="483"/>
      <c r="I265" s="483"/>
      <c r="J265" s="482">
        <f>SUMIFS(BV_Data_An_Cour!$AW:$AW,BV_Data_An_Cour!$AP:$AP,$B265,BV_Data_An_Cour!$AQ:$AQ,$C265,BV_Data_An_Cour!$AY:$AY,J$2)</f>
        <v>0</v>
      </c>
      <c r="K265" s="481">
        <f>-SUMIFS(BV_Data_An_Cour!$AM:$AM,BV_Data_An_Cour!$AS:$AS,"Oui",BV_Data_An_Cour!$AP:$AP,$B265,BV_Data_An_Cour!$AQ:$AQ,$C265)</f>
        <v>0</v>
      </c>
      <c r="L265" s="485">
        <f>-SUMIFS(BV_Data_An_Cour!$AM:$AM,BV_Data_An_Cour!$AP:$AP,$B265,BV_Data_An_Cour!$AQ:$AQ,$C265,BV_Data_An_Cour!$AR:$AR,$L$2)</f>
        <v>0</v>
      </c>
      <c r="M265" s="515">
        <f>IF(E265=0,0,(K265-E265)/E265)</f>
        <v>0</v>
      </c>
      <c r="N265" s="484">
        <f>L265-F265</f>
        <v>0</v>
      </c>
      <c r="O265" s="482">
        <f>SUMIFS(BV_Data_An_Prec!$AW:$AW,BV_Data_An_Prec!$AP:$AP,$B265,BV_Data_An_Prec!$AQ:$AQ,$C265,BV_Data_An_Prec!$AY:$AY,O$2)</f>
        <v>0</v>
      </c>
      <c r="P265" s="481">
        <f>-SUMIFS(BV_Data_An_Prec!$AM:$AM,BV_Data_An_Prec!$AS:$AS,"Oui",BV_Data_An_Prec!$AP:$AP,$B265,BV_Data_An_Prec!$AQ:$AQ,$C265)</f>
        <v>0</v>
      </c>
      <c r="Q265" s="485">
        <f>-SUMIFS(BV_Data_An_Prec!$AM:$AM,BV_Data_An_Prec!$AP:$AP,$B265,BV_Data_An_Prec!$AQ:$AQ,$C265,BV_Data_An_Prec!$AR:$AR,$L$2)</f>
        <v>0</v>
      </c>
      <c r="R265" s="515">
        <f>IF(O265=0,0,J265/O265)</f>
        <v>0</v>
      </c>
      <c r="S265" s="484">
        <f>L265-Q265</f>
        <v>0</v>
      </c>
      <c r="T265" s="565"/>
      <c r="U265" s="40"/>
      <c r="V265" s="48"/>
      <c r="W265" s="48"/>
      <c r="X265" s="48"/>
      <c r="Y265" s="48"/>
      <c r="Z265" s="48"/>
      <c r="AA265" s="48"/>
      <c r="AB265" s="48"/>
      <c r="AC265" s="48"/>
      <c r="AD265" s="48"/>
      <c r="AE265" s="48"/>
      <c r="AF265" s="48"/>
      <c r="AG265" s="48"/>
      <c r="AH265" s="48"/>
      <c r="AI265" s="48"/>
      <c r="AJ265" s="48"/>
      <c r="AK265" s="48"/>
      <c r="AL265" s="48"/>
      <c r="AM265" s="48"/>
      <c r="AN265" s="48"/>
    </row>
    <row r="266" ht="21.0" hidden="1" customHeight="1">
      <c r="A266" s="5" t="s">
        <v>911</v>
      </c>
      <c r="B266" s="48" t="s">
        <v>161</v>
      </c>
      <c r="C266" s="480" t="s">
        <v>163</v>
      </c>
      <c r="D266" s="48"/>
      <c r="E266" s="601"/>
      <c r="F266" s="516">
        <f>IF(F265=0,0,F265/E265)</f>
        <v>0</v>
      </c>
      <c r="G266" s="480"/>
      <c r="H266" s="601"/>
      <c r="I266" s="516"/>
      <c r="J266" s="600"/>
      <c r="K266" s="599"/>
      <c r="L266" s="516">
        <f>IF(L265=0,0,L265/K265)</f>
        <v>0</v>
      </c>
      <c r="M266" s="600"/>
      <c r="N266" s="504"/>
      <c r="O266" s="600"/>
      <c r="P266" s="599"/>
      <c r="Q266" s="516">
        <f>IF(Q265=0,0,Q265/P265)</f>
        <v>0</v>
      </c>
      <c r="R266" s="600"/>
      <c r="S266" s="504"/>
      <c r="T266" s="565"/>
      <c r="U266" s="548"/>
      <c r="V266" s="48"/>
      <c r="W266" s="48"/>
      <c r="X266" s="48"/>
      <c r="Y266" s="48"/>
      <c r="Z266" s="48"/>
      <c r="AA266" s="48"/>
      <c r="AB266" s="48"/>
      <c r="AC266" s="48"/>
      <c r="AD266" s="48"/>
      <c r="AE266" s="48"/>
      <c r="AF266" s="48"/>
      <c r="AG266" s="48"/>
      <c r="AH266" s="48"/>
      <c r="AI266" s="48"/>
      <c r="AJ266" s="48"/>
      <c r="AK266" s="48"/>
      <c r="AL266" s="48"/>
      <c r="AM266" s="48"/>
      <c r="AN266" s="48"/>
    </row>
    <row r="267" ht="15.75" customHeight="1">
      <c r="A267" s="5" t="s">
        <v>161</v>
      </c>
      <c r="B267" s="48" t="s">
        <v>161</v>
      </c>
      <c r="C267" s="644"/>
      <c r="D267" s="645"/>
      <c r="E267" s="646"/>
      <c r="F267" s="647"/>
      <c r="G267" s="648"/>
      <c r="H267" s="646"/>
      <c r="I267" s="647"/>
      <c r="J267" s="648"/>
      <c r="K267" s="646"/>
      <c r="L267" s="647"/>
      <c r="M267" s="648"/>
      <c r="N267" s="647"/>
      <c r="O267" s="648"/>
      <c r="P267" s="646"/>
      <c r="Q267" s="647"/>
      <c r="R267" s="648"/>
      <c r="S267" s="647"/>
      <c r="T267" s="565"/>
      <c r="U267" s="40"/>
      <c r="V267" s="48"/>
      <c r="W267" s="48"/>
      <c r="X267" s="48"/>
      <c r="Y267" s="48"/>
      <c r="Z267" s="48"/>
      <c r="AA267" s="48"/>
      <c r="AB267" s="48"/>
      <c r="AC267" s="48"/>
      <c r="AD267" s="48"/>
      <c r="AE267" s="48"/>
      <c r="AF267" s="48"/>
      <c r="AG267" s="48"/>
      <c r="AH267" s="48"/>
      <c r="AI267" s="48"/>
      <c r="AJ267" s="48"/>
      <c r="AK267" s="48"/>
      <c r="AL267" s="48"/>
      <c r="AM267" s="48"/>
      <c r="AN267" s="48"/>
    </row>
    <row r="268" ht="18.0" customHeight="1">
      <c r="A268" s="5" t="s">
        <v>920</v>
      </c>
      <c r="B268" s="48" t="s">
        <v>161</v>
      </c>
      <c r="C268" s="526" t="s">
        <v>172</v>
      </c>
      <c r="D268" s="527"/>
      <c r="E268" s="528">
        <f t="shared" ref="E268:F268" si="56">E259+E262+E265</f>
        <v>0</v>
      </c>
      <c r="F268" s="529">
        <f t="shared" si="56"/>
        <v>0</v>
      </c>
      <c r="G268" s="530"/>
      <c r="H268" s="528"/>
      <c r="I268" s="529"/>
      <c r="J268" s="530"/>
      <c r="K268" s="527">
        <f t="shared" ref="K268:L268" si="57">K259+K262+K265</f>
        <v>165773.14</v>
      </c>
      <c r="L268" s="529">
        <f t="shared" si="57"/>
        <v>107821.07</v>
      </c>
      <c r="M268" s="530" t="str">
        <f>L269-F269</f>
        <v>#DIV/0!</v>
      </c>
      <c r="N268" s="529">
        <f>L268-F268</f>
        <v>107821.07</v>
      </c>
      <c r="O268" s="530"/>
      <c r="P268" s="527">
        <f t="shared" ref="P268:Q268" si="58">P259+P262+P265</f>
        <v>217072.67</v>
      </c>
      <c r="Q268" s="529">
        <f t="shared" si="58"/>
        <v>152404.22</v>
      </c>
      <c r="R268" s="530"/>
      <c r="S268" s="529">
        <f>L268-Q268</f>
        <v>-44583.15</v>
      </c>
      <c r="T268" s="40"/>
      <c r="U268" s="40"/>
      <c r="V268" s="48"/>
      <c r="W268" s="48"/>
      <c r="X268" s="48"/>
      <c r="Y268" s="48"/>
      <c r="Z268" s="48"/>
      <c r="AA268" s="48"/>
      <c r="AB268" s="48"/>
      <c r="AC268" s="48"/>
      <c r="AD268" s="48"/>
      <c r="AE268" s="48"/>
      <c r="AF268" s="48"/>
      <c r="AG268" s="48"/>
      <c r="AH268" s="48"/>
      <c r="AI268" s="48"/>
      <c r="AJ268" s="48"/>
      <c r="AK268" s="48"/>
      <c r="AL268" s="48"/>
      <c r="AM268" s="48"/>
      <c r="AN268" s="48"/>
    </row>
    <row r="269" ht="22.5" customHeight="1">
      <c r="A269" s="5" t="s">
        <v>161</v>
      </c>
      <c r="B269" s="48" t="s">
        <v>161</v>
      </c>
      <c r="C269" s="531"/>
      <c r="D269" s="532"/>
      <c r="E269" s="532"/>
      <c r="F269" s="533" t="str">
        <f>F268/E268</f>
        <v>#DIV/0!</v>
      </c>
      <c r="G269" s="531"/>
      <c r="H269" s="532"/>
      <c r="I269" s="533"/>
      <c r="J269" s="531"/>
      <c r="K269" s="534"/>
      <c r="L269" s="538">
        <f>L268/K268</f>
        <v>0.6504133903</v>
      </c>
      <c r="M269" s="536"/>
      <c r="N269" s="537" t="str">
        <f>N268/F268</f>
        <v>#DIV/0!</v>
      </c>
      <c r="O269" s="531"/>
      <c r="P269" s="534"/>
      <c r="Q269" s="538">
        <f>Q268/P268</f>
        <v>0.7020884757</v>
      </c>
      <c r="R269" s="536"/>
      <c r="S269" s="538">
        <f>L268/S268</f>
        <v>-2.418426468</v>
      </c>
      <c r="T269" s="40"/>
      <c r="U269" s="40"/>
      <c r="V269" s="48"/>
      <c r="W269" s="48"/>
      <c r="X269" s="48"/>
      <c r="Y269" s="48"/>
      <c r="Z269" s="48"/>
      <c r="AA269" s="48"/>
      <c r="AB269" s="48"/>
      <c r="AC269" s="48"/>
      <c r="AD269" s="48"/>
      <c r="AE269" s="48"/>
      <c r="AF269" s="48"/>
      <c r="AG269" s="48"/>
      <c r="AH269" s="48"/>
      <c r="AI269" s="48"/>
      <c r="AJ269" s="48"/>
      <c r="AK269" s="48"/>
      <c r="AL269" s="48"/>
      <c r="AM269" s="48"/>
      <c r="AN269" s="48"/>
    </row>
    <row r="270" ht="15.75" customHeight="1">
      <c r="A270" s="5" t="s">
        <v>161</v>
      </c>
      <c r="B270" s="48" t="s">
        <v>161</v>
      </c>
      <c r="C270" s="500"/>
      <c r="D270" s="11"/>
      <c r="E270" s="11"/>
      <c r="F270" s="507"/>
      <c r="G270" s="500"/>
      <c r="H270" s="11"/>
      <c r="I270" s="507"/>
      <c r="J270" s="500"/>
      <c r="K270" s="503"/>
      <c r="L270" s="507"/>
      <c r="M270" s="525"/>
      <c r="N270" s="507"/>
      <c r="O270" s="500"/>
      <c r="P270" s="503"/>
      <c r="Q270" s="507"/>
      <c r="R270" s="525"/>
      <c r="S270" s="507"/>
      <c r="T270" s="457"/>
      <c r="U270" s="40"/>
      <c r="V270" s="48"/>
      <c r="W270" s="48"/>
      <c r="X270" s="48"/>
      <c r="Y270" s="48"/>
      <c r="Z270" s="48"/>
      <c r="AA270" s="48"/>
      <c r="AB270" s="48"/>
      <c r="AC270" s="48"/>
      <c r="AD270" s="48"/>
      <c r="AE270" s="48"/>
      <c r="AF270" s="48"/>
      <c r="AG270" s="48"/>
      <c r="AH270" s="48"/>
      <c r="AI270" s="48"/>
      <c r="AJ270" s="48"/>
      <c r="AK270" s="48"/>
      <c r="AL270" s="48"/>
      <c r="AM270" s="48"/>
      <c r="AN270" s="48"/>
    </row>
    <row r="271" ht="15.75" customHeight="1">
      <c r="A271" s="5" t="s">
        <v>921</v>
      </c>
      <c r="B271" s="48" t="s">
        <v>161</v>
      </c>
      <c r="C271" s="541" t="s">
        <v>110</v>
      </c>
      <c r="D271" s="48"/>
      <c r="E271" s="48"/>
      <c r="F271" s="484"/>
      <c r="G271" s="480"/>
      <c r="H271" s="48"/>
      <c r="I271" s="484"/>
      <c r="J271" s="480"/>
      <c r="K271" s="48"/>
      <c r="L271" s="514"/>
      <c r="M271" s="480"/>
      <c r="N271" s="514"/>
      <c r="O271" s="480"/>
      <c r="P271" s="48"/>
      <c r="Q271" s="514"/>
      <c r="R271" s="480"/>
      <c r="S271" s="514"/>
      <c r="T271" s="40"/>
      <c r="U271" s="40"/>
      <c r="V271" s="48"/>
      <c r="W271" s="48"/>
      <c r="X271" s="48"/>
      <c r="Y271" s="48"/>
      <c r="Z271" s="48"/>
      <c r="AA271" s="48"/>
      <c r="AB271" s="48"/>
      <c r="AC271" s="48"/>
      <c r="AD271" s="48"/>
      <c r="AE271" s="48"/>
      <c r="AF271" s="48"/>
      <c r="AG271" s="48"/>
      <c r="AH271" s="48"/>
      <c r="AI271" s="48"/>
      <c r="AJ271" s="48"/>
      <c r="AK271" s="48"/>
      <c r="AL271" s="48"/>
      <c r="AM271" s="48"/>
      <c r="AN271" s="48"/>
    </row>
    <row r="272" ht="15.75" customHeight="1">
      <c r="A272" s="5" t="s">
        <v>922</v>
      </c>
      <c r="B272" s="48" t="s">
        <v>161</v>
      </c>
      <c r="C272" s="559" t="s">
        <v>119</v>
      </c>
      <c r="D272" s="48"/>
      <c r="E272" s="48"/>
      <c r="F272" s="481" t="str">
        <f t="array" ref="F272">+INDEX('Budget original'!$A$2:$AO$501,MATCH($A272,'Budget original'!$A$2:$A$501,0),MATCH(F$2,'Budget original'!$A$2:$AO$2,0))</f>
        <v/>
      </c>
      <c r="G272" s="480"/>
      <c r="H272" s="48"/>
      <c r="I272" s="481"/>
      <c r="J272" s="480"/>
      <c r="K272" s="48"/>
      <c r="L272" s="484">
        <f>SUMIFS(BV_Data_An_Cour!$AM:$AM,BV_Data_An_Cour!$AP:$AP,$B272,BV_Data_An_Cour!$AQ:$AQ,$C272,BV_Data_An_Cour!$AR:$AR,$L$2)</f>
        <v>15660.53</v>
      </c>
      <c r="M272" s="480"/>
      <c r="N272" s="484">
        <f t="shared" ref="N272:N303" si="59">L272-F272</f>
        <v>15660.53</v>
      </c>
      <c r="O272" s="480"/>
      <c r="P272" s="48"/>
      <c r="Q272" s="484">
        <f>SUMIFS(BV_Data_An_Prec!$AM:$AM,BV_Data_An_Prec!$AP:$AP,$B272,BV_Data_An_Prec!$AQ:$AQ,$C272,BV_Data_An_Prec!$AR:$AR,$L$2)</f>
        <v>15276.05</v>
      </c>
      <c r="R272" s="480"/>
      <c r="S272" s="484">
        <f t="shared" ref="S272:S303" si="60">L272-Q272</f>
        <v>384.48</v>
      </c>
      <c r="T272" s="40"/>
      <c r="U272" s="40"/>
      <c r="V272" s="48"/>
      <c r="W272" s="48"/>
      <c r="X272" s="48"/>
      <c r="Y272" s="48"/>
      <c r="Z272" s="48"/>
      <c r="AA272" s="48"/>
      <c r="AB272" s="48"/>
      <c r="AC272" s="48"/>
      <c r="AD272" s="48"/>
      <c r="AE272" s="48"/>
      <c r="AF272" s="48"/>
      <c r="AG272" s="48"/>
      <c r="AH272" s="48"/>
      <c r="AI272" s="48"/>
      <c r="AJ272" s="48"/>
      <c r="AK272" s="48"/>
      <c r="AL272" s="48"/>
      <c r="AM272" s="48"/>
      <c r="AN272" s="48"/>
    </row>
    <row r="273" ht="15.75" customHeight="1">
      <c r="A273" s="5" t="s">
        <v>923</v>
      </c>
      <c r="B273" s="48" t="s">
        <v>161</v>
      </c>
      <c r="C273" s="560" t="s">
        <v>120</v>
      </c>
      <c r="D273" s="546"/>
      <c r="E273" s="48"/>
      <c r="F273" s="473" t="str">
        <f t="array" ref="F273">+INDEX('Budget original'!$A$2:$AO$501,MATCH($A273,'Budget original'!$A$2:$A$501,0),MATCH(F$2,'Budget original'!$A$2:$AO$2,0))</f>
        <v/>
      </c>
      <c r="G273" s="547"/>
      <c r="H273" s="48"/>
      <c r="I273" s="473"/>
      <c r="J273" s="480"/>
      <c r="K273" s="48"/>
      <c r="L273" s="484">
        <f>SUMIFS(BV_Data_An_Cour!$AM:$AM,BV_Data_An_Cour!$AP:$AP,$B273,BV_Data_An_Cour!$AQ:$AQ,$C273,BV_Data_An_Cour!$AR:$AR,$L$2)</f>
        <v>7761.16</v>
      </c>
      <c r="M273" s="480"/>
      <c r="N273" s="484">
        <f t="shared" si="59"/>
        <v>7761.16</v>
      </c>
      <c r="O273" s="480"/>
      <c r="P273" s="48"/>
      <c r="Q273" s="484">
        <f>SUMIFS(BV_Data_An_Prec!$AM:$AM,BV_Data_An_Prec!$AP:$AP,$B273,BV_Data_An_Prec!$AQ:$AQ,$C273,BV_Data_An_Prec!$AR:$AR,$L$2)</f>
        <v>27639.72</v>
      </c>
      <c r="R273" s="480"/>
      <c r="S273" s="484">
        <f t="shared" si="60"/>
        <v>-19878.56</v>
      </c>
      <c r="T273" s="40"/>
      <c r="U273" s="40"/>
      <c r="V273" s="48"/>
      <c r="W273" s="48"/>
      <c r="X273" s="48"/>
      <c r="Y273" s="48"/>
      <c r="Z273" s="48"/>
      <c r="AA273" s="48"/>
      <c r="AB273" s="48"/>
      <c r="AC273" s="48"/>
      <c r="AD273" s="48"/>
      <c r="AE273" s="48"/>
      <c r="AF273" s="48"/>
      <c r="AG273" s="48"/>
      <c r="AH273" s="48"/>
      <c r="AI273" s="48"/>
      <c r="AJ273" s="48"/>
      <c r="AK273" s="48"/>
      <c r="AL273" s="48"/>
      <c r="AM273" s="48"/>
      <c r="AN273" s="48"/>
    </row>
    <row r="274" ht="15.75" customHeight="1">
      <c r="A274" s="5" t="s">
        <v>924</v>
      </c>
      <c r="B274" s="48" t="s">
        <v>161</v>
      </c>
      <c r="C274" s="559" t="s">
        <v>121</v>
      </c>
      <c r="D274" s="561"/>
      <c r="E274" s="562"/>
      <c r="F274" s="481" t="str">
        <f t="array" ref="F274">+INDEX('Budget original'!$A$2:$AO$501,MATCH($A274,'Budget original'!$A$2:$A$501,0),MATCH(F$2,'Budget original'!$A$2:$AO$2,0))</f>
        <v/>
      </c>
      <c r="G274" s="563"/>
      <c r="H274" s="562"/>
      <c r="I274" s="481"/>
      <c r="J274" s="466"/>
      <c r="K274" s="562"/>
      <c r="L274" s="523">
        <f>SUMIFS(BV_Data_An_Cour!$AM:$AM,BV_Data_An_Cour!$AP:$AP,$B274,BV_Data_An_Cour!$AQ:$AQ,$C274,BV_Data_An_Cour!$AR:$AR,$L$2)</f>
        <v>10231.36</v>
      </c>
      <c r="M274" s="466"/>
      <c r="N274" s="523">
        <f t="shared" si="59"/>
        <v>10231.36</v>
      </c>
      <c r="O274" s="466"/>
      <c r="P274" s="562"/>
      <c r="Q274" s="523">
        <f>SUMIFS(BV_Data_An_Prec!$AM:$AM,BV_Data_An_Prec!$AP:$AP,$B274,BV_Data_An_Prec!$AQ:$AQ,$C274,BV_Data_An_Prec!$AR:$AR,$L$2)</f>
        <v>19414.08</v>
      </c>
      <c r="R274" s="466"/>
      <c r="S274" s="523">
        <f t="shared" si="60"/>
        <v>-9182.72</v>
      </c>
      <c r="T274" s="40"/>
      <c r="U274" s="40"/>
      <c r="V274" s="48"/>
      <c r="W274" s="48"/>
      <c r="X274" s="48"/>
      <c r="Y274" s="48"/>
      <c r="Z274" s="48"/>
      <c r="AA274" s="48"/>
      <c r="AB274" s="48"/>
      <c r="AC274" s="48"/>
      <c r="AD274" s="48"/>
      <c r="AE274" s="48"/>
      <c r="AF274" s="48"/>
      <c r="AG274" s="48"/>
      <c r="AH274" s="48"/>
      <c r="AI274" s="48"/>
      <c r="AJ274" s="48"/>
      <c r="AK274" s="48"/>
      <c r="AL274" s="48"/>
      <c r="AM274" s="48"/>
      <c r="AN274" s="48"/>
    </row>
    <row r="275" ht="15.75" customHeight="1">
      <c r="A275" s="5" t="s">
        <v>925</v>
      </c>
      <c r="B275" s="48" t="s">
        <v>161</v>
      </c>
      <c r="C275" s="559" t="s">
        <v>122</v>
      </c>
      <c r="D275" s="546"/>
      <c r="E275" s="602" t="str">
        <f>F275/E246</f>
        <v>#DIV/0!</v>
      </c>
      <c r="F275" s="481" t="str">
        <f t="array" ref="F275">+INDEX('Budget original'!$A$2:$AO$501,MATCH($A275,'Budget original'!$A$2:$A$501,0),MATCH(F$2,'Budget original'!$A$2:$AO$2,0))</f>
        <v/>
      </c>
      <c r="G275" s="547"/>
      <c r="H275" s="48"/>
      <c r="I275" s="481"/>
      <c r="J275" s="480"/>
      <c r="K275" s="602"/>
      <c r="L275" s="484">
        <f>SUMIFS(BV_Data_An_Cour!$AM:$AM,BV_Data_An_Cour!$AP:$AP,$B275,BV_Data_An_Cour!$AQ:$AQ,$C275,BV_Data_An_Cour!$AR:$AR,$L$2)</f>
        <v>9827.6</v>
      </c>
      <c r="M275" s="480"/>
      <c r="N275" s="484">
        <f t="shared" si="59"/>
        <v>9827.6</v>
      </c>
      <c r="O275" s="480"/>
      <c r="P275" s="602"/>
      <c r="Q275" s="484">
        <f>SUMIFS(BV_Data_An_Prec!$AM:$AM,BV_Data_An_Prec!$AP:$AP,$B275,BV_Data_An_Prec!$AQ:$AQ,$C275,BV_Data_An_Prec!$AR:$AR,$L$2)</f>
        <v>0</v>
      </c>
      <c r="R275" s="480"/>
      <c r="S275" s="484">
        <f t="shared" si="60"/>
        <v>9827.6</v>
      </c>
      <c r="T275" s="40"/>
      <c r="U275" s="40"/>
      <c r="V275" s="48"/>
      <c r="W275" s="48"/>
      <c r="X275" s="48"/>
      <c r="Y275" s="48"/>
      <c r="Z275" s="48"/>
      <c r="AA275" s="48"/>
      <c r="AB275" s="48"/>
      <c r="AC275" s="48"/>
      <c r="AD275" s="48"/>
      <c r="AE275" s="48"/>
      <c r="AF275" s="48"/>
      <c r="AG275" s="48"/>
      <c r="AH275" s="48"/>
      <c r="AI275" s="48"/>
      <c r="AJ275" s="48"/>
      <c r="AK275" s="48"/>
      <c r="AL275" s="48"/>
      <c r="AM275" s="48"/>
      <c r="AN275" s="48"/>
    </row>
    <row r="276" ht="20.25" hidden="1" customHeight="1">
      <c r="A276" s="5" t="s">
        <v>926</v>
      </c>
      <c r="B276" s="48" t="s">
        <v>161</v>
      </c>
      <c r="C276" s="480" t="s">
        <v>56</v>
      </c>
      <c r="D276" s="546"/>
      <c r="E276" s="48"/>
      <c r="F276" s="481" t="str">
        <f t="array" ref="F276">+INDEX('Budget original'!$A$2:$AO$501,MATCH($A276,'Budget original'!$A$2:$A$501,0),MATCH(F$2,'Budget original'!$A$2:$AO$2,0))</f>
        <v/>
      </c>
      <c r="G276" s="547"/>
      <c r="H276" s="48"/>
      <c r="I276" s="481"/>
      <c r="J276" s="480"/>
      <c r="K276" s="48"/>
      <c r="L276" s="484">
        <f>SUMIFS(BV_Data_An_Cour!$AM:$AM,BV_Data_An_Cour!$AP:$AP,$B276,BV_Data_An_Cour!$AQ:$AQ,$C276,BV_Data_An_Cour!$AR:$AR,$L$2)</f>
        <v>0</v>
      </c>
      <c r="M276" s="480"/>
      <c r="N276" s="484">
        <f t="shared" si="59"/>
        <v>0</v>
      </c>
      <c r="O276" s="480"/>
      <c r="P276" s="48"/>
      <c r="Q276" s="484">
        <f>SUMIFS(BV_Data_An_Prec!$AM:$AM,BV_Data_An_Prec!$AP:$AP,$B276,BV_Data_An_Prec!$AQ:$AQ,$C276,BV_Data_An_Prec!$AR:$AR,$L$2)</f>
        <v>0</v>
      </c>
      <c r="R276" s="480"/>
      <c r="S276" s="484">
        <f t="shared" si="60"/>
        <v>0</v>
      </c>
      <c r="T276" s="40"/>
      <c r="U276" s="40"/>
      <c r="V276" s="48"/>
      <c r="W276" s="48"/>
      <c r="X276" s="48"/>
      <c r="Y276" s="48"/>
      <c r="Z276" s="48"/>
      <c r="AA276" s="48"/>
      <c r="AB276" s="48"/>
      <c r="AC276" s="48"/>
      <c r="AD276" s="48"/>
      <c r="AE276" s="48"/>
      <c r="AF276" s="48"/>
      <c r="AG276" s="48"/>
      <c r="AH276" s="48"/>
      <c r="AI276" s="48"/>
      <c r="AJ276" s="48"/>
      <c r="AK276" s="48"/>
      <c r="AL276" s="48"/>
      <c r="AM276" s="48"/>
      <c r="AN276" s="48"/>
    </row>
    <row r="277" ht="20.25" hidden="1" customHeight="1">
      <c r="A277" s="5" t="s">
        <v>926</v>
      </c>
      <c r="B277" s="48" t="s">
        <v>161</v>
      </c>
      <c r="C277" s="480" t="s">
        <v>56</v>
      </c>
      <c r="D277" s="546"/>
      <c r="E277" s="48"/>
      <c r="F277" s="481" t="str">
        <f t="array" ref="F277">+INDEX('Budget original'!$A$2:$AO$501,MATCH($A277,'Budget original'!$A$2:$A$501,0),MATCH(F$2,'Budget original'!$A$2:$AO$2,0))</f>
        <v/>
      </c>
      <c r="G277" s="547"/>
      <c r="H277" s="48"/>
      <c r="I277" s="481"/>
      <c r="J277" s="480"/>
      <c r="K277" s="48"/>
      <c r="L277" s="484">
        <f>SUMIFS(BV_Data_An_Cour!$AM:$AM,BV_Data_An_Cour!$AP:$AP,$B277,BV_Data_An_Cour!$AQ:$AQ,$C277,BV_Data_An_Cour!$AR:$AR,$L$2)</f>
        <v>0</v>
      </c>
      <c r="M277" s="480"/>
      <c r="N277" s="484">
        <f t="shared" si="59"/>
        <v>0</v>
      </c>
      <c r="O277" s="480"/>
      <c r="P277" s="48"/>
      <c r="Q277" s="484">
        <f>SUMIFS(BV_Data_An_Prec!$AM:$AM,BV_Data_An_Prec!$AP:$AP,$B277,BV_Data_An_Prec!$AQ:$AQ,$C277,BV_Data_An_Prec!$AR:$AR,$L$2)</f>
        <v>0</v>
      </c>
      <c r="R277" s="480"/>
      <c r="S277" s="484">
        <f t="shared" si="60"/>
        <v>0</v>
      </c>
      <c r="T277" s="40"/>
      <c r="U277" s="40"/>
      <c r="V277" s="48"/>
      <c r="W277" s="48"/>
      <c r="X277" s="48"/>
      <c r="Y277" s="48"/>
      <c r="Z277" s="48"/>
      <c r="AA277" s="48"/>
      <c r="AB277" s="48"/>
      <c r="AC277" s="48"/>
      <c r="AD277" s="48"/>
      <c r="AE277" s="48"/>
      <c r="AF277" s="48"/>
      <c r="AG277" s="48"/>
      <c r="AH277" s="48"/>
      <c r="AI277" s="48"/>
      <c r="AJ277" s="48"/>
      <c r="AK277" s="48"/>
      <c r="AL277" s="48"/>
      <c r="AM277" s="48"/>
      <c r="AN277" s="48"/>
    </row>
    <row r="278" ht="20.25" hidden="1" customHeight="1">
      <c r="A278" s="5" t="s">
        <v>926</v>
      </c>
      <c r="B278" s="48" t="s">
        <v>161</v>
      </c>
      <c r="C278" s="480" t="s">
        <v>56</v>
      </c>
      <c r="D278" s="546"/>
      <c r="E278" s="48"/>
      <c r="F278" s="481" t="str">
        <f t="array" ref="F278">+INDEX('Budget original'!$A$2:$AO$501,MATCH($A278,'Budget original'!$A$2:$A$501,0),MATCH(F$2,'Budget original'!$A$2:$AO$2,0))</f>
        <v/>
      </c>
      <c r="G278" s="547"/>
      <c r="H278" s="48"/>
      <c r="I278" s="481"/>
      <c r="J278" s="480"/>
      <c r="K278" s="48"/>
      <c r="L278" s="484">
        <f>SUMIFS(BV_Data_An_Cour!$AM:$AM,BV_Data_An_Cour!$AP:$AP,$B278,BV_Data_An_Cour!$AQ:$AQ,$C278,BV_Data_An_Cour!$AR:$AR,$L$2)</f>
        <v>0</v>
      </c>
      <c r="M278" s="480"/>
      <c r="N278" s="484">
        <f t="shared" si="59"/>
        <v>0</v>
      </c>
      <c r="O278" s="480"/>
      <c r="P278" s="48"/>
      <c r="Q278" s="484">
        <f>SUMIFS(BV_Data_An_Prec!$AM:$AM,BV_Data_An_Prec!$AP:$AP,$B278,BV_Data_An_Prec!$AQ:$AQ,$C278,BV_Data_An_Prec!$AR:$AR,$L$2)</f>
        <v>0</v>
      </c>
      <c r="R278" s="480"/>
      <c r="S278" s="484">
        <f t="shared" si="60"/>
        <v>0</v>
      </c>
      <c r="T278" s="40"/>
      <c r="U278" s="40"/>
      <c r="V278" s="48"/>
      <c r="W278" s="48"/>
      <c r="X278" s="48"/>
      <c r="Y278" s="48"/>
      <c r="Z278" s="48"/>
      <c r="AA278" s="48"/>
      <c r="AB278" s="48"/>
      <c r="AC278" s="48"/>
      <c r="AD278" s="48"/>
      <c r="AE278" s="48"/>
      <c r="AF278" s="48"/>
      <c r="AG278" s="48"/>
      <c r="AH278" s="48"/>
      <c r="AI278" s="48"/>
      <c r="AJ278" s="48"/>
      <c r="AK278" s="48"/>
      <c r="AL278" s="48"/>
      <c r="AM278" s="48"/>
      <c r="AN278" s="48"/>
    </row>
    <row r="279" ht="15.75" customHeight="1">
      <c r="A279" s="5" t="s">
        <v>927</v>
      </c>
      <c r="B279" s="48" t="s">
        <v>161</v>
      </c>
      <c r="C279" s="560" t="s">
        <v>123</v>
      </c>
      <c r="D279" s="546"/>
      <c r="E279" s="48"/>
      <c r="F279" s="481" t="str">
        <f t="array" ref="F279">+INDEX('Budget original'!$A$2:$AO$501,MATCH($A279,'Budget original'!$A$2:$A$501,0),MATCH(F$2,'Budget original'!$A$2:$AO$2,0))</f>
        <v/>
      </c>
      <c r="G279" s="547"/>
      <c r="H279" s="48"/>
      <c r="I279" s="481"/>
      <c r="J279" s="480"/>
      <c r="K279" s="48"/>
      <c r="L279" s="484">
        <f>SUMIFS(BV_Data_An_Cour!$AM:$AM,BV_Data_An_Cour!$AP:$AP,$B279,BV_Data_An_Cour!$AQ:$AQ,$C279,BV_Data_An_Cour!$AR:$AR,$L$2)</f>
        <v>11909.17</v>
      </c>
      <c r="M279" s="480"/>
      <c r="N279" s="484">
        <f t="shared" si="59"/>
        <v>11909.17</v>
      </c>
      <c r="O279" s="480"/>
      <c r="P279" s="48"/>
      <c r="Q279" s="484">
        <f>SUMIFS(BV_Data_An_Prec!$AM:$AM,BV_Data_An_Prec!$AP:$AP,$B279,BV_Data_An_Prec!$AQ:$AQ,$C279,BV_Data_An_Prec!$AR:$AR,$L$2)</f>
        <v>15591.6</v>
      </c>
      <c r="R279" s="480"/>
      <c r="S279" s="484">
        <f t="shared" si="60"/>
        <v>-3682.43</v>
      </c>
      <c r="T279" s="40"/>
      <c r="U279" s="40"/>
      <c r="V279" s="48"/>
      <c r="W279" s="48"/>
      <c r="X279" s="48"/>
      <c r="Y279" s="48"/>
      <c r="Z279" s="48"/>
      <c r="AA279" s="48"/>
      <c r="AB279" s="48"/>
      <c r="AC279" s="48"/>
      <c r="AD279" s="48"/>
      <c r="AE279" s="48"/>
      <c r="AF279" s="48"/>
      <c r="AG279" s="48"/>
      <c r="AH279" s="48"/>
      <c r="AI279" s="48"/>
      <c r="AJ279" s="48"/>
      <c r="AK279" s="48"/>
      <c r="AL279" s="48"/>
      <c r="AM279" s="48"/>
      <c r="AN279" s="48"/>
    </row>
    <row r="280" ht="15.75" customHeight="1">
      <c r="A280" s="5" t="s">
        <v>928</v>
      </c>
      <c r="B280" s="48" t="s">
        <v>161</v>
      </c>
      <c r="C280" s="559" t="s">
        <v>124</v>
      </c>
      <c r="D280" s="561"/>
      <c r="E280" s="562"/>
      <c r="F280" s="520" t="str">
        <f t="array" ref="F280">+INDEX('Budget original'!$A$2:$AO$501,MATCH($A280,'Budget original'!$A$2:$A$501,0),MATCH(F$2,'Budget original'!$A$2:$AO$2,0))</f>
        <v/>
      </c>
      <c r="G280" s="563"/>
      <c r="H280" s="562"/>
      <c r="I280" s="520"/>
      <c r="J280" s="466"/>
      <c r="K280" s="562"/>
      <c r="L280" s="523">
        <f>SUMIFS(BV_Data_An_Cour!$AM:$AM,BV_Data_An_Cour!$AP:$AP,$B280,BV_Data_An_Cour!$AQ:$AQ,$C280,BV_Data_An_Cour!$AR:$AR,$L$2)</f>
        <v>14699.76</v>
      </c>
      <c r="M280" s="466"/>
      <c r="N280" s="523">
        <f t="shared" si="59"/>
        <v>14699.76</v>
      </c>
      <c r="O280" s="466"/>
      <c r="P280" s="562"/>
      <c r="Q280" s="523">
        <f>SUMIFS(BV_Data_An_Prec!$AM:$AM,BV_Data_An_Prec!$AP:$AP,$B280,BV_Data_An_Prec!$AQ:$AQ,$C280,BV_Data_An_Prec!$AR:$AR,$L$2)</f>
        <v>15459.04</v>
      </c>
      <c r="R280" s="466"/>
      <c r="S280" s="523">
        <f t="shared" si="60"/>
        <v>-759.28</v>
      </c>
      <c r="T280" s="40"/>
      <c r="U280" s="40"/>
      <c r="V280" s="48"/>
      <c r="W280" s="48"/>
      <c r="X280" s="48"/>
      <c r="Y280" s="48"/>
      <c r="Z280" s="48"/>
      <c r="AA280" s="48"/>
      <c r="AB280" s="48"/>
      <c r="AC280" s="48"/>
      <c r="AD280" s="48"/>
      <c r="AE280" s="48"/>
      <c r="AF280" s="48"/>
      <c r="AG280" s="48"/>
      <c r="AH280" s="48"/>
      <c r="AI280" s="48"/>
      <c r="AJ280" s="48"/>
      <c r="AK280" s="48"/>
      <c r="AL280" s="48"/>
      <c r="AM280" s="48"/>
      <c r="AN280" s="48"/>
    </row>
    <row r="281" ht="15.75" customHeight="1">
      <c r="A281" s="5" t="s">
        <v>929</v>
      </c>
      <c r="B281" s="48" t="s">
        <v>161</v>
      </c>
      <c r="C281" s="559" t="s">
        <v>125</v>
      </c>
      <c r="D281" s="546"/>
      <c r="E281" s="48"/>
      <c r="F281" s="481" t="str">
        <f t="array" ref="F281">+INDEX('Budget original'!$A$2:$AO$501,MATCH($A281,'Budget original'!$A$2:$A$501,0),MATCH(F$2,'Budget original'!$A$2:$AO$2,0))</f>
        <v/>
      </c>
      <c r="G281" s="547"/>
      <c r="H281" s="48"/>
      <c r="I281" s="481"/>
      <c r="J281" s="480"/>
      <c r="K281" s="48"/>
      <c r="L281" s="484">
        <f>SUMIFS(BV_Data_An_Cour!$AM:$AM,BV_Data_An_Cour!$AP:$AP,$B281,BV_Data_An_Cour!$AQ:$AQ,$C281,BV_Data_An_Cour!$AR:$AR,$L$2)</f>
        <v>1774.75</v>
      </c>
      <c r="M281" s="480"/>
      <c r="N281" s="484">
        <f t="shared" si="59"/>
        <v>1774.75</v>
      </c>
      <c r="O281" s="480"/>
      <c r="P281" s="48"/>
      <c r="Q281" s="484">
        <f>SUMIFS(BV_Data_An_Prec!$AM:$AM,BV_Data_An_Prec!$AP:$AP,$B281,BV_Data_An_Prec!$AQ:$AQ,$C281,BV_Data_An_Prec!$AR:$AR,$L$2)</f>
        <v>9372.87</v>
      </c>
      <c r="R281" s="480"/>
      <c r="S281" s="484">
        <f t="shared" si="60"/>
        <v>-7598.12</v>
      </c>
      <c r="T281" s="40"/>
      <c r="U281" s="40"/>
      <c r="V281" s="48"/>
      <c r="W281" s="48"/>
      <c r="X281" s="48"/>
      <c r="Y281" s="48"/>
      <c r="Z281" s="48"/>
      <c r="AA281" s="48"/>
      <c r="AB281" s="48"/>
      <c r="AC281" s="48"/>
      <c r="AD281" s="48"/>
      <c r="AE281" s="48"/>
      <c r="AF281" s="48"/>
      <c r="AG281" s="48"/>
      <c r="AH281" s="48"/>
      <c r="AI281" s="48"/>
      <c r="AJ281" s="48"/>
      <c r="AK281" s="48"/>
      <c r="AL281" s="48"/>
      <c r="AM281" s="48"/>
      <c r="AN281" s="48"/>
    </row>
    <row r="282" ht="15.75" customHeight="1">
      <c r="A282" s="5" t="s">
        <v>930</v>
      </c>
      <c r="B282" s="48" t="s">
        <v>161</v>
      </c>
      <c r="C282" s="559" t="s">
        <v>126</v>
      </c>
      <c r="D282" s="546"/>
      <c r="E282" s="48"/>
      <c r="F282" s="481" t="str">
        <f t="array" ref="F282">+INDEX('Budget original'!$A$2:$AO$501,MATCH($A282,'Budget original'!$A$2:$A$501,0),MATCH(F$2,'Budget original'!$A$2:$AO$2,0))</f>
        <v/>
      </c>
      <c r="G282" s="547"/>
      <c r="H282" s="48"/>
      <c r="I282" s="481"/>
      <c r="J282" s="480"/>
      <c r="K282" s="48"/>
      <c r="L282" s="484">
        <f>SUMIFS(BV_Data_An_Cour!$AM:$AM,BV_Data_An_Cour!$AP:$AP,$B282,BV_Data_An_Cour!$AQ:$AQ,$C282,BV_Data_An_Cour!$AR:$AR,$L$2)</f>
        <v>4716.08</v>
      </c>
      <c r="M282" s="480"/>
      <c r="N282" s="484">
        <f t="shared" si="59"/>
        <v>4716.08</v>
      </c>
      <c r="O282" s="480"/>
      <c r="P282" s="48"/>
      <c r="Q282" s="484">
        <f>SUMIFS(BV_Data_An_Prec!$AM:$AM,BV_Data_An_Prec!$AP:$AP,$B282,BV_Data_An_Prec!$AQ:$AQ,$C282,BV_Data_An_Prec!$AR:$AR,$L$2)</f>
        <v>819.27</v>
      </c>
      <c r="R282" s="480"/>
      <c r="S282" s="484">
        <f t="shared" si="60"/>
        <v>3896.81</v>
      </c>
      <c r="T282" s="40"/>
      <c r="U282" s="40"/>
      <c r="V282" s="48"/>
      <c r="W282" s="48"/>
      <c r="X282" s="48"/>
      <c r="Y282" s="48"/>
      <c r="Z282" s="48"/>
      <c r="AA282" s="48"/>
      <c r="AB282" s="48"/>
      <c r="AC282" s="48"/>
      <c r="AD282" s="48"/>
      <c r="AE282" s="48"/>
      <c r="AF282" s="48"/>
      <c r="AG282" s="48"/>
      <c r="AH282" s="48"/>
      <c r="AI282" s="48"/>
      <c r="AJ282" s="48"/>
      <c r="AK282" s="48"/>
      <c r="AL282" s="48"/>
      <c r="AM282" s="48"/>
      <c r="AN282" s="48"/>
    </row>
    <row r="283" ht="20.25" hidden="1" customHeight="1">
      <c r="A283" s="5" t="s">
        <v>926</v>
      </c>
      <c r="B283" s="48" t="s">
        <v>161</v>
      </c>
      <c r="C283" s="480" t="s">
        <v>56</v>
      </c>
      <c r="D283" s="549"/>
      <c r="E283" s="564"/>
      <c r="F283" s="481" t="str">
        <f t="array" ref="F283">+INDEX('Budget original'!$A$2:$AO$501,MATCH($A283,'Budget original'!$A$2:$A$501,0),MATCH(F$2,'Budget original'!$A$2:$AO$2,0))</f>
        <v/>
      </c>
      <c r="G283" s="550"/>
      <c r="H283" s="564"/>
      <c r="I283" s="481"/>
      <c r="J283" s="471"/>
      <c r="K283" s="564"/>
      <c r="L283" s="484">
        <f>SUMIFS(BV_Data_An_Cour!$AM:$AM,BV_Data_An_Cour!$AP:$AP,$B283,BV_Data_An_Cour!$AQ:$AQ,$C283,BV_Data_An_Cour!$AR:$AR,$L$2)</f>
        <v>0</v>
      </c>
      <c r="M283" s="471"/>
      <c r="N283" s="485">
        <f t="shared" si="59"/>
        <v>0</v>
      </c>
      <c r="O283" s="471"/>
      <c r="P283" s="564"/>
      <c r="Q283" s="484">
        <f>SUMIFS(BV_Data_An_Prec!$AM:$AM,BV_Data_An_Prec!$AP:$AP,$B283,BV_Data_An_Prec!$AQ:$AQ,$C283,BV_Data_An_Prec!$AR:$AR,$L$2)</f>
        <v>0</v>
      </c>
      <c r="R283" s="471"/>
      <c r="S283" s="476">
        <f t="shared" si="60"/>
        <v>0</v>
      </c>
      <c r="T283" s="40"/>
      <c r="U283" s="40"/>
      <c r="V283" s="48"/>
      <c r="W283" s="48"/>
      <c r="X283" s="48"/>
      <c r="Y283" s="48"/>
      <c r="Z283" s="48"/>
      <c r="AA283" s="48"/>
      <c r="AB283" s="48"/>
      <c r="AC283" s="48"/>
      <c r="AD283" s="48"/>
      <c r="AE283" s="48"/>
      <c r="AF283" s="48"/>
      <c r="AG283" s="48"/>
      <c r="AH283" s="48"/>
      <c r="AI283" s="48"/>
      <c r="AJ283" s="48"/>
      <c r="AK283" s="48"/>
      <c r="AL283" s="48"/>
      <c r="AM283" s="48"/>
      <c r="AN283" s="48"/>
    </row>
    <row r="284" ht="18.0" customHeight="1">
      <c r="A284" s="5" t="s">
        <v>931</v>
      </c>
      <c r="B284" s="48" t="s">
        <v>161</v>
      </c>
      <c r="C284" s="552" t="s">
        <v>127</v>
      </c>
      <c r="D284" s="553" t="s">
        <v>932</v>
      </c>
      <c r="E284" s="554" t="str">
        <f>F284/F$268</f>
        <v>#DIV/0!</v>
      </c>
      <c r="F284" s="555">
        <f>+SUM(F272:F283)</f>
        <v>0</v>
      </c>
      <c r="G284" s="556"/>
      <c r="H284" s="554"/>
      <c r="I284" s="555"/>
      <c r="J284" s="556" t="s">
        <v>932</v>
      </c>
      <c r="K284" s="554">
        <f>L284/L$268</f>
        <v>0.7102545912</v>
      </c>
      <c r="L284" s="555">
        <f>+SUM(L272:L283)</f>
        <v>76580.41</v>
      </c>
      <c r="M284" s="557"/>
      <c r="N284" s="555">
        <f t="shared" si="59"/>
        <v>76580.41</v>
      </c>
      <c r="O284" s="556" t="s">
        <v>932</v>
      </c>
      <c r="P284" s="554">
        <f>Q284/Q$268</f>
        <v>0.679591615</v>
      </c>
      <c r="Q284" s="555">
        <f>+SUM(Q272:Q283)</f>
        <v>103572.63</v>
      </c>
      <c r="R284" s="558"/>
      <c r="S284" s="555">
        <f t="shared" si="60"/>
        <v>-26992.22</v>
      </c>
      <c r="T284" s="40"/>
      <c r="U284" s="40"/>
      <c r="V284" s="48"/>
      <c r="W284" s="48"/>
      <c r="X284" s="48"/>
      <c r="Y284" s="48"/>
      <c r="Z284" s="48"/>
      <c r="AA284" s="48"/>
      <c r="AB284" s="48"/>
      <c r="AC284" s="48"/>
      <c r="AD284" s="48"/>
      <c r="AE284" s="48"/>
      <c r="AF284" s="48"/>
      <c r="AG284" s="48"/>
      <c r="AH284" s="48"/>
      <c r="AI284" s="48"/>
      <c r="AJ284" s="48"/>
      <c r="AK284" s="48"/>
      <c r="AL284" s="48"/>
      <c r="AM284" s="48"/>
      <c r="AN284" s="48"/>
    </row>
    <row r="285" ht="15.75" customHeight="1">
      <c r="A285" s="5" t="s">
        <v>933</v>
      </c>
      <c r="B285" s="48" t="s">
        <v>161</v>
      </c>
      <c r="C285" s="480" t="s">
        <v>128</v>
      </c>
      <c r="D285" s="546"/>
      <c r="E285" s="48"/>
      <c r="F285" s="481" t="str">
        <f t="array" ref="F285">+INDEX('Budget original'!$A$2:$AO$501,MATCH($A285,'Budget original'!$A$2:$A$501,0),MATCH(F$2,'Budget original'!$A$2:$AO$2,0))</f>
        <v/>
      </c>
      <c r="G285" s="547"/>
      <c r="H285" s="48"/>
      <c r="I285" s="481"/>
      <c r="J285" s="480"/>
      <c r="K285" s="48"/>
      <c r="L285" s="484">
        <f>SUMIFS(BV_Data_An_Cour!$AM:$AM,BV_Data_An_Cour!$AP:$AP,$B285,BV_Data_An_Cour!$AQ:$AQ,$C285,BV_Data_An_Cour!$AR:$AR,$L$2)</f>
        <v>2608.32</v>
      </c>
      <c r="M285" s="480"/>
      <c r="N285" s="484">
        <f t="shared" si="59"/>
        <v>2608.32</v>
      </c>
      <c r="O285" s="480"/>
      <c r="P285" s="48"/>
      <c r="Q285" s="484">
        <f>SUMIFS(BV_Data_An_Prec!$AM:$AM,BV_Data_An_Prec!$AP:$AP,$B285,BV_Data_An_Prec!$AQ:$AQ,$C285,BV_Data_An_Prec!$AR:$AR,$L$2)</f>
        <v>2631.19</v>
      </c>
      <c r="R285" s="480"/>
      <c r="S285" s="484">
        <f t="shared" si="60"/>
        <v>-22.87</v>
      </c>
      <c r="T285" s="40"/>
      <c r="U285" s="40"/>
      <c r="V285" s="48"/>
      <c r="W285" s="48"/>
      <c r="X285" s="48"/>
      <c r="Y285" s="48"/>
      <c r="Z285" s="48"/>
      <c r="AA285" s="48"/>
      <c r="AB285" s="48"/>
      <c r="AC285" s="48"/>
      <c r="AD285" s="48"/>
      <c r="AE285" s="48"/>
      <c r="AF285" s="48"/>
      <c r="AG285" s="48"/>
      <c r="AH285" s="48"/>
      <c r="AI285" s="48"/>
      <c r="AJ285" s="48"/>
      <c r="AK285" s="48"/>
      <c r="AL285" s="48"/>
      <c r="AM285" s="48"/>
      <c r="AN285" s="48"/>
    </row>
    <row r="286" ht="15.75" customHeight="1">
      <c r="A286" s="5" t="s">
        <v>934</v>
      </c>
      <c r="B286" s="48" t="s">
        <v>161</v>
      </c>
      <c r="C286" s="480" t="s">
        <v>129</v>
      </c>
      <c r="D286" s="546"/>
      <c r="E286" s="48"/>
      <c r="F286" s="481" t="str">
        <f t="array" ref="F286">+INDEX('Budget original'!$A$2:$AO$501,MATCH($A286,'Budget original'!$A$2:$A$501,0),MATCH(F$2,'Budget original'!$A$2:$AO$2,0))</f>
        <v/>
      </c>
      <c r="G286" s="547"/>
      <c r="H286" s="48"/>
      <c r="I286" s="481"/>
      <c r="J286" s="480"/>
      <c r="K286" s="48"/>
      <c r="L286" s="484">
        <f>SUMIFS(BV_Data_An_Cour!$AM:$AM,BV_Data_An_Cour!$AP:$AP,$B286,BV_Data_An_Cour!$AQ:$AQ,$C286,BV_Data_An_Cour!$AR:$AR,$L$2)</f>
        <v>3801.99</v>
      </c>
      <c r="M286" s="480"/>
      <c r="N286" s="484">
        <f t="shared" si="59"/>
        <v>3801.99</v>
      </c>
      <c r="O286" s="480"/>
      <c r="P286" s="48"/>
      <c r="Q286" s="484">
        <f>SUMIFS(BV_Data_An_Prec!$AM:$AM,BV_Data_An_Prec!$AP:$AP,$B286,BV_Data_An_Prec!$AQ:$AQ,$C286,BV_Data_An_Prec!$AR:$AR,$L$2)</f>
        <v>5034.12</v>
      </c>
      <c r="R286" s="480"/>
      <c r="S286" s="484">
        <f t="shared" si="60"/>
        <v>-1232.13</v>
      </c>
      <c r="T286" s="40"/>
      <c r="U286" s="40"/>
      <c r="V286" s="48"/>
      <c r="W286" s="48"/>
      <c r="X286" s="48"/>
      <c r="Y286" s="48"/>
      <c r="Z286" s="48"/>
      <c r="AA286" s="48"/>
      <c r="AB286" s="48"/>
      <c r="AC286" s="48"/>
      <c r="AD286" s="48"/>
      <c r="AE286" s="48"/>
      <c r="AF286" s="48"/>
      <c r="AG286" s="48"/>
      <c r="AH286" s="48"/>
      <c r="AI286" s="48"/>
      <c r="AJ286" s="48"/>
      <c r="AK286" s="48"/>
      <c r="AL286" s="48"/>
      <c r="AM286" s="48"/>
      <c r="AN286" s="48"/>
    </row>
    <row r="287" ht="15.75" customHeight="1">
      <c r="A287" s="5" t="s">
        <v>935</v>
      </c>
      <c r="B287" s="48" t="s">
        <v>161</v>
      </c>
      <c r="C287" s="471" t="s">
        <v>130</v>
      </c>
      <c r="D287" s="549"/>
      <c r="E287" s="564"/>
      <c r="F287" s="473" t="str">
        <f t="array" ref="F287">+INDEX('Budget original'!$A$2:$AO$501,MATCH($A287,'Budget original'!$A$2:$A$501,0),MATCH(F$2,'Budget original'!$A$2:$AO$2,0))</f>
        <v/>
      </c>
      <c r="G287" s="550"/>
      <c r="H287" s="564"/>
      <c r="I287" s="473"/>
      <c r="J287" s="471"/>
      <c r="K287" s="564"/>
      <c r="L287" s="484">
        <f>SUMIFS(BV_Data_An_Cour!$AM:$AM,BV_Data_An_Cour!$AP:$AP,$B287,BV_Data_An_Cour!$AQ:$AQ,$C287,BV_Data_An_Cour!$AR:$AR,$L$2)</f>
        <v>4838.75</v>
      </c>
      <c r="M287" s="471"/>
      <c r="N287" s="476">
        <f t="shared" si="59"/>
        <v>4838.75</v>
      </c>
      <c r="O287" s="471"/>
      <c r="P287" s="564"/>
      <c r="Q287" s="484">
        <f>SUMIFS(BV_Data_An_Prec!$AM:$AM,BV_Data_An_Prec!$AP:$AP,$B287,BV_Data_An_Prec!$AQ:$AQ,$C287,BV_Data_An_Prec!$AR:$AR,$L$2)</f>
        <v>-5174.93</v>
      </c>
      <c r="R287" s="471"/>
      <c r="S287" s="476">
        <f t="shared" si="60"/>
        <v>10013.68</v>
      </c>
      <c r="T287" s="40"/>
      <c r="U287" s="40"/>
      <c r="V287" s="48"/>
      <c r="W287" s="48"/>
      <c r="X287" s="48"/>
      <c r="Y287" s="48"/>
      <c r="Z287" s="48"/>
      <c r="AA287" s="48"/>
      <c r="AB287" s="48"/>
      <c r="AC287" s="48"/>
      <c r="AD287" s="48"/>
      <c r="AE287" s="48"/>
      <c r="AF287" s="48"/>
      <c r="AG287" s="48"/>
      <c r="AH287" s="48"/>
      <c r="AI287" s="48"/>
      <c r="AJ287" s="48"/>
      <c r="AK287" s="48"/>
      <c r="AL287" s="48"/>
      <c r="AM287" s="48"/>
      <c r="AN287" s="48"/>
    </row>
    <row r="288" ht="15.75" customHeight="1">
      <c r="A288" s="5" t="s">
        <v>936</v>
      </c>
      <c r="B288" s="48" t="s">
        <v>161</v>
      </c>
      <c r="C288" s="480" t="s">
        <v>131</v>
      </c>
      <c r="D288" s="546"/>
      <c r="E288" s="48"/>
      <c r="F288" s="481" t="str">
        <f t="array" ref="F288">+INDEX('Budget original'!$A$2:$AO$501,MATCH($A288,'Budget original'!$A$2:$A$501,0),MATCH(F$2,'Budget original'!$A$2:$AO$2,0))</f>
        <v/>
      </c>
      <c r="G288" s="547"/>
      <c r="H288" s="48"/>
      <c r="I288" s="481"/>
      <c r="J288" s="480"/>
      <c r="K288" s="48"/>
      <c r="L288" s="523">
        <f>SUMIFS(BV_Data_An_Cour!$AM:$AM,BV_Data_An_Cour!$AP:$AP,$B288,BV_Data_An_Cour!$AQ:$AQ,$C288,BV_Data_An_Cour!$AR:$AR,$L$2)</f>
        <v>3527.16</v>
      </c>
      <c r="M288" s="480"/>
      <c r="N288" s="484">
        <f t="shared" si="59"/>
        <v>3527.16</v>
      </c>
      <c r="O288" s="480"/>
      <c r="P288" s="48"/>
      <c r="Q288" s="523">
        <f>SUMIFS(BV_Data_An_Prec!$AM:$AM,BV_Data_An_Prec!$AP:$AP,$B288,BV_Data_An_Prec!$AQ:$AQ,$C288,BV_Data_An_Prec!$AR:$AR,$L$2)</f>
        <v>3078.9</v>
      </c>
      <c r="R288" s="480"/>
      <c r="S288" s="484">
        <f t="shared" si="60"/>
        <v>448.26</v>
      </c>
      <c r="T288" s="40"/>
      <c r="U288" s="40"/>
      <c r="V288" s="48"/>
      <c r="W288" s="48"/>
      <c r="X288" s="48"/>
      <c r="Y288" s="48"/>
      <c r="Z288" s="48"/>
      <c r="AA288" s="48"/>
      <c r="AB288" s="48"/>
      <c r="AC288" s="48"/>
      <c r="AD288" s="48"/>
      <c r="AE288" s="48"/>
      <c r="AF288" s="48"/>
      <c r="AG288" s="48"/>
      <c r="AH288" s="48"/>
      <c r="AI288" s="48"/>
      <c r="AJ288" s="48"/>
      <c r="AK288" s="48"/>
      <c r="AL288" s="48"/>
      <c r="AM288" s="48"/>
      <c r="AN288" s="48"/>
    </row>
    <row r="289" ht="15.75" customHeight="1">
      <c r="A289" s="5" t="s">
        <v>937</v>
      </c>
      <c r="B289" s="48" t="s">
        <v>161</v>
      </c>
      <c r="C289" s="480" t="s">
        <v>132</v>
      </c>
      <c r="D289" s="546"/>
      <c r="E289" s="48"/>
      <c r="F289" s="481" t="str">
        <f t="array" ref="F289">+INDEX('Budget original'!$A$2:$AO$501,MATCH($A289,'Budget original'!$A$2:$A$501,0),MATCH(F$2,'Budget original'!$A$2:$AO$2,0))</f>
        <v/>
      </c>
      <c r="G289" s="547"/>
      <c r="H289" s="48"/>
      <c r="I289" s="481"/>
      <c r="J289" s="480"/>
      <c r="K289" s="48"/>
      <c r="L289" s="484">
        <f>SUMIFS(BV_Data_An_Cour!$AM:$AM,BV_Data_An_Cour!$AP:$AP,$B289,BV_Data_An_Cour!$AQ:$AQ,$C289,BV_Data_An_Cour!$AR:$AR,$L$2)</f>
        <v>719.95</v>
      </c>
      <c r="M289" s="480"/>
      <c r="N289" s="484">
        <f t="shared" si="59"/>
        <v>719.95</v>
      </c>
      <c r="O289" s="480"/>
      <c r="P289" s="48"/>
      <c r="Q289" s="484">
        <f>SUMIFS(BV_Data_An_Prec!$AM:$AM,BV_Data_An_Prec!$AP:$AP,$B289,BV_Data_An_Prec!$AQ:$AQ,$C289,BV_Data_An_Prec!$AR:$AR,$L$2)</f>
        <v>9780.51</v>
      </c>
      <c r="R289" s="480"/>
      <c r="S289" s="484">
        <f t="shared" si="60"/>
        <v>-9060.56</v>
      </c>
      <c r="T289" s="40"/>
      <c r="U289" s="40"/>
      <c r="V289" s="48"/>
      <c r="W289" s="48"/>
      <c r="X289" s="48"/>
      <c r="Y289" s="48"/>
      <c r="Z289" s="48"/>
      <c r="AA289" s="48"/>
      <c r="AB289" s="48"/>
      <c r="AC289" s="48"/>
      <c r="AD289" s="48"/>
      <c r="AE289" s="48"/>
      <c r="AF289" s="48"/>
      <c r="AG289" s="48"/>
      <c r="AH289" s="48"/>
      <c r="AI289" s="48"/>
      <c r="AJ289" s="48"/>
      <c r="AK289" s="48"/>
      <c r="AL289" s="48"/>
      <c r="AM289" s="48"/>
      <c r="AN289" s="48"/>
    </row>
    <row r="290" ht="15.75" customHeight="1">
      <c r="A290" s="5" t="s">
        <v>938</v>
      </c>
      <c r="B290" s="48" t="s">
        <v>161</v>
      </c>
      <c r="C290" s="471" t="s">
        <v>133</v>
      </c>
      <c r="D290" s="549"/>
      <c r="E290" s="564"/>
      <c r="F290" s="473" t="str">
        <f t="array" ref="F290">+INDEX('Budget original'!$A$2:$AO$501,MATCH($A290,'Budget original'!$A$2:$A$501,0),MATCH(F$2,'Budget original'!$A$2:$AO$2,0))</f>
        <v/>
      </c>
      <c r="G290" s="550"/>
      <c r="H290" s="564"/>
      <c r="I290" s="473"/>
      <c r="J290" s="471"/>
      <c r="K290" s="564"/>
      <c r="L290" s="484">
        <f>SUMIFS(BV_Data_An_Cour!$AM:$AM,BV_Data_An_Cour!$AP:$AP,$B290,BV_Data_An_Cour!$AQ:$AQ,$C290,BV_Data_An_Cour!$AR:$AR,$L$2)</f>
        <v>9625.28</v>
      </c>
      <c r="M290" s="471"/>
      <c r="N290" s="476">
        <f t="shared" si="59"/>
        <v>9625.28</v>
      </c>
      <c r="O290" s="471"/>
      <c r="P290" s="564"/>
      <c r="Q290" s="484">
        <f>SUMIFS(BV_Data_An_Prec!$AM:$AM,BV_Data_An_Prec!$AP:$AP,$B290,BV_Data_An_Prec!$AQ:$AQ,$C290,BV_Data_An_Prec!$AR:$AR,$L$2)</f>
        <v>13965.35</v>
      </c>
      <c r="R290" s="471"/>
      <c r="S290" s="476">
        <f t="shared" si="60"/>
        <v>-4340.07</v>
      </c>
      <c r="T290" s="40"/>
      <c r="U290" s="40"/>
      <c r="V290" s="48"/>
      <c r="W290" s="48"/>
      <c r="X290" s="48"/>
      <c r="Y290" s="48"/>
      <c r="Z290" s="48"/>
      <c r="AA290" s="48"/>
      <c r="AB290" s="48"/>
      <c r="AC290" s="48"/>
      <c r="AD290" s="48"/>
      <c r="AE290" s="48"/>
      <c r="AF290" s="48"/>
      <c r="AG290" s="48"/>
      <c r="AH290" s="48"/>
      <c r="AI290" s="48"/>
      <c r="AJ290" s="48"/>
      <c r="AK290" s="48"/>
      <c r="AL290" s="48"/>
      <c r="AM290" s="48"/>
      <c r="AN290" s="48"/>
    </row>
    <row r="291" ht="15.75" customHeight="1">
      <c r="A291" s="5" t="s">
        <v>939</v>
      </c>
      <c r="B291" s="48" t="s">
        <v>161</v>
      </c>
      <c r="C291" s="480" t="s">
        <v>173</v>
      </c>
      <c r="D291" s="546"/>
      <c r="E291" s="48"/>
      <c r="F291" s="481"/>
      <c r="G291" s="547"/>
      <c r="H291" s="48"/>
      <c r="I291" s="481"/>
      <c r="J291" s="480"/>
      <c r="K291" s="48"/>
      <c r="L291" s="523">
        <f>SUMIFS(BV_Data_An_Cour!$AM:$AM,BV_Data_An_Cour!$AP:$AP,$B291,BV_Data_An_Cour!$AQ:$AQ,$C291,BV_Data_An_Cour!$AR:$AR,$L$2)</f>
        <v>0</v>
      </c>
      <c r="M291" s="480"/>
      <c r="N291" s="484">
        <f t="shared" si="59"/>
        <v>0</v>
      </c>
      <c r="O291" s="480"/>
      <c r="P291" s="48"/>
      <c r="Q291" s="523">
        <f>SUMIFS(BV_Data_An_Prec!$AM:$AM,BV_Data_An_Prec!$AP:$AP,$B291,BV_Data_An_Prec!$AQ:$AQ,$C291,BV_Data_An_Prec!$AR:$AR,$L$2)</f>
        <v>0</v>
      </c>
      <c r="R291" s="480"/>
      <c r="S291" s="484">
        <f t="shared" si="60"/>
        <v>0</v>
      </c>
      <c r="T291" s="40"/>
      <c r="U291" s="40"/>
      <c r="V291" s="48"/>
      <c r="W291" s="48"/>
      <c r="X291" s="48"/>
      <c r="Y291" s="48"/>
      <c r="Z291" s="48"/>
      <c r="AA291" s="48"/>
      <c r="AB291" s="48"/>
      <c r="AC291" s="48"/>
      <c r="AD291" s="48"/>
      <c r="AE291" s="48"/>
      <c r="AF291" s="48"/>
      <c r="AG291" s="48"/>
      <c r="AH291" s="48"/>
      <c r="AI291" s="48"/>
      <c r="AJ291" s="48"/>
      <c r="AK291" s="48"/>
      <c r="AL291" s="48"/>
      <c r="AM291" s="48"/>
      <c r="AN291" s="48"/>
    </row>
    <row r="292" ht="15.75" customHeight="1">
      <c r="A292" s="5" t="s">
        <v>940</v>
      </c>
      <c r="B292" s="48" t="s">
        <v>161</v>
      </c>
      <c r="C292" s="480" t="s">
        <v>134</v>
      </c>
      <c r="D292" s="546"/>
      <c r="E292" s="48"/>
      <c r="F292" s="481" t="str">
        <f t="array" ref="F292">+INDEX('Budget original'!$A$2:$AO$501,MATCH($A292,'Budget original'!$A$2:$A$501,0),MATCH(F$2,'Budget original'!$A$2:$AO$2,0))</f>
        <v/>
      </c>
      <c r="G292" s="547"/>
      <c r="H292" s="48"/>
      <c r="I292" s="481"/>
      <c r="J292" s="480"/>
      <c r="K292" s="48"/>
      <c r="L292" s="484">
        <f>SUMIFS(BV_Data_An_Cour!$AM:$AM,BV_Data_An_Cour!$AP:$AP,$B292,BV_Data_An_Cour!$AQ:$AQ,$C292,BV_Data_An_Cour!$AR:$AR,$L$2)</f>
        <v>5384.47</v>
      </c>
      <c r="M292" s="480"/>
      <c r="N292" s="484">
        <f t="shared" si="59"/>
        <v>5384.47</v>
      </c>
      <c r="O292" s="480"/>
      <c r="P292" s="48"/>
      <c r="Q292" s="484">
        <f>SUMIFS(BV_Data_An_Prec!$AM:$AM,BV_Data_An_Prec!$AP:$AP,$B292,BV_Data_An_Prec!$AQ:$AQ,$C292,BV_Data_An_Prec!$AR:$AR,$L$2)</f>
        <v>6001.47</v>
      </c>
      <c r="R292" s="480"/>
      <c r="S292" s="484">
        <f t="shared" si="60"/>
        <v>-617</v>
      </c>
      <c r="T292" s="40"/>
      <c r="U292" s="40"/>
      <c r="V292" s="48"/>
      <c r="W292" s="48"/>
      <c r="X292" s="48"/>
      <c r="Y292" s="48"/>
      <c r="Z292" s="48"/>
      <c r="AA292" s="48"/>
      <c r="AB292" s="48"/>
      <c r="AC292" s="48"/>
      <c r="AD292" s="48"/>
      <c r="AE292" s="48"/>
      <c r="AF292" s="48"/>
      <c r="AG292" s="48"/>
      <c r="AH292" s="48"/>
      <c r="AI292" s="48"/>
      <c r="AJ292" s="48"/>
      <c r="AK292" s="48"/>
      <c r="AL292" s="48"/>
      <c r="AM292" s="48"/>
      <c r="AN292" s="48"/>
    </row>
    <row r="293" ht="15.75" customHeight="1">
      <c r="A293" s="5" t="s">
        <v>941</v>
      </c>
      <c r="B293" s="48" t="s">
        <v>161</v>
      </c>
      <c r="C293" s="480" t="s">
        <v>135</v>
      </c>
      <c r="D293" s="546"/>
      <c r="E293" s="48"/>
      <c r="F293" s="481" t="str">
        <f t="array" ref="F293">+INDEX('Budget original'!$A$2:$AO$501,MATCH($A293,'Budget original'!$A$2:$A$501,0),MATCH(F$2,'Budget original'!$A$2:$AO$2,0))</f>
        <v/>
      </c>
      <c r="G293" s="547"/>
      <c r="H293" s="48"/>
      <c r="I293" s="481"/>
      <c r="J293" s="480"/>
      <c r="K293" s="48"/>
      <c r="L293" s="484">
        <f>SUMIFS(BV_Data_An_Cour!$AM:$AM,BV_Data_An_Cour!$AP:$AP,$B293,BV_Data_An_Cour!$AQ:$AQ,$C293,BV_Data_An_Cour!$AR:$AR,$L$2)</f>
        <v>1732.35</v>
      </c>
      <c r="M293" s="480"/>
      <c r="N293" s="484">
        <f t="shared" si="59"/>
        <v>1732.35</v>
      </c>
      <c r="O293" s="480"/>
      <c r="P293" s="48"/>
      <c r="Q293" s="484">
        <f>SUMIFS(BV_Data_An_Prec!$AM:$AM,BV_Data_An_Prec!$AP:$AP,$B293,BV_Data_An_Prec!$AQ:$AQ,$C293,BV_Data_An_Prec!$AR:$AR,$L$2)</f>
        <v>0</v>
      </c>
      <c r="R293" s="480"/>
      <c r="S293" s="484">
        <f t="shared" si="60"/>
        <v>1732.35</v>
      </c>
      <c r="T293" s="40"/>
      <c r="U293" s="40"/>
      <c r="V293" s="48"/>
      <c r="W293" s="48"/>
      <c r="X293" s="48"/>
      <c r="Y293" s="48"/>
      <c r="Z293" s="48"/>
      <c r="AA293" s="48"/>
      <c r="AB293" s="48"/>
      <c r="AC293" s="48"/>
      <c r="AD293" s="48"/>
      <c r="AE293" s="48"/>
      <c r="AF293" s="48"/>
      <c r="AG293" s="48"/>
      <c r="AH293" s="48"/>
      <c r="AI293" s="48"/>
      <c r="AJ293" s="48"/>
      <c r="AK293" s="48"/>
      <c r="AL293" s="48"/>
      <c r="AM293" s="48"/>
      <c r="AN293" s="48"/>
    </row>
    <row r="294" ht="15.75" customHeight="1">
      <c r="A294" s="5" t="s">
        <v>942</v>
      </c>
      <c r="B294" s="48" t="s">
        <v>161</v>
      </c>
      <c r="C294" s="480" t="s">
        <v>136</v>
      </c>
      <c r="D294" s="546"/>
      <c r="E294" s="48"/>
      <c r="F294" s="481" t="str">
        <f t="array" ref="F294">+INDEX('Budget original'!$A$2:$AO$501,MATCH($A294,'Budget original'!$A$2:$A$501,0),MATCH(F$2,'Budget original'!$A$2:$AO$2,0))</f>
        <v/>
      </c>
      <c r="G294" s="547"/>
      <c r="H294" s="48"/>
      <c r="I294" s="481"/>
      <c r="J294" s="480"/>
      <c r="K294" s="48"/>
      <c r="L294" s="484">
        <f>SUMIFS(BV_Data_An_Cour!$AM:$AM,BV_Data_An_Cour!$AP:$AP,$B294,BV_Data_An_Cour!$AQ:$AQ,$C294,BV_Data_An_Cour!$AR:$AR,$L$2)</f>
        <v>338.54</v>
      </c>
      <c r="M294" s="480"/>
      <c r="N294" s="484">
        <f t="shared" si="59"/>
        <v>338.54</v>
      </c>
      <c r="O294" s="480"/>
      <c r="P294" s="483"/>
      <c r="Q294" s="484">
        <f>SUMIFS(BV_Data_An_Prec!$AM:$AM,BV_Data_An_Prec!$AP:$AP,$B294,BV_Data_An_Prec!$AQ:$AQ,$C294,BV_Data_An_Prec!$AR:$AR,$L$2)</f>
        <v>407.73</v>
      </c>
      <c r="R294" s="480"/>
      <c r="S294" s="484">
        <f t="shared" si="60"/>
        <v>-69.19</v>
      </c>
      <c r="T294" s="40"/>
      <c r="U294" s="40"/>
      <c r="V294" s="48"/>
      <c r="W294" s="48"/>
      <c r="X294" s="48"/>
      <c r="Y294" s="48"/>
      <c r="Z294" s="48"/>
      <c r="AA294" s="48"/>
      <c r="AB294" s="48"/>
      <c r="AC294" s="48"/>
      <c r="AD294" s="48"/>
      <c r="AE294" s="48"/>
      <c r="AF294" s="48"/>
      <c r="AG294" s="48"/>
      <c r="AH294" s="48"/>
      <c r="AI294" s="48"/>
      <c r="AJ294" s="48"/>
      <c r="AK294" s="48"/>
      <c r="AL294" s="48"/>
      <c r="AM294" s="48"/>
      <c r="AN294" s="48"/>
    </row>
    <row r="295" ht="15.75" customHeight="1">
      <c r="A295" s="5" t="s">
        <v>943</v>
      </c>
      <c r="B295" s="48" t="s">
        <v>161</v>
      </c>
      <c r="C295" s="480" t="s">
        <v>137</v>
      </c>
      <c r="D295" s="546"/>
      <c r="E295" s="48"/>
      <c r="F295" s="481" t="str">
        <f t="array" ref="F295">+INDEX('Budget original'!$A$2:$AO$501,MATCH($A295,'Budget original'!$A$2:$A$501,0),MATCH(F$2,'Budget original'!$A$2:$AO$2,0))</f>
        <v/>
      </c>
      <c r="G295" s="547"/>
      <c r="H295" s="48"/>
      <c r="I295" s="481"/>
      <c r="J295" s="480"/>
      <c r="K295" s="48"/>
      <c r="L295" s="484">
        <f>SUMIFS(BV_Data_An_Cour!$AM:$AM,BV_Data_An_Cour!$AP:$AP,$B295,BV_Data_An_Cour!$AQ:$AQ,$C295,BV_Data_An_Cour!$AR:$AR,$L$2)</f>
        <v>499.19</v>
      </c>
      <c r="M295" s="480"/>
      <c r="N295" s="484">
        <f t="shared" si="59"/>
        <v>499.19</v>
      </c>
      <c r="O295" s="480"/>
      <c r="P295" s="48"/>
      <c r="Q295" s="484">
        <f>SUMIFS(BV_Data_An_Prec!$AM:$AM,BV_Data_An_Prec!$AP:$AP,$B295,BV_Data_An_Prec!$AQ:$AQ,$C295,BV_Data_An_Prec!$AR:$AR,$L$2)</f>
        <v>212.97</v>
      </c>
      <c r="R295" s="480"/>
      <c r="S295" s="484">
        <f t="shared" si="60"/>
        <v>286.22</v>
      </c>
      <c r="T295" s="40"/>
      <c r="U295" s="40"/>
      <c r="V295" s="48"/>
      <c r="W295" s="48"/>
      <c r="X295" s="48"/>
      <c r="Y295" s="48"/>
      <c r="Z295" s="48"/>
      <c r="AA295" s="48"/>
      <c r="AB295" s="48"/>
      <c r="AC295" s="48"/>
      <c r="AD295" s="48"/>
      <c r="AE295" s="48"/>
      <c r="AF295" s="48"/>
      <c r="AG295" s="48"/>
      <c r="AH295" s="48"/>
      <c r="AI295" s="48"/>
      <c r="AJ295" s="48"/>
      <c r="AK295" s="48"/>
      <c r="AL295" s="48"/>
      <c r="AM295" s="48"/>
      <c r="AN295" s="48"/>
    </row>
    <row r="296" ht="15.75" customHeight="1">
      <c r="A296" s="5" t="s">
        <v>944</v>
      </c>
      <c r="B296" s="48" t="s">
        <v>161</v>
      </c>
      <c r="C296" s="480" t="s">
        <v>138</v>
      </c>
      <c r="D296" s="546"/>
      <c r="E296" s="48"/>
      <c r="F296" s="481" t="str">
        <f t="array" ref="F296">+INDEX('Budget original'!$A$2:$AO$501,MATCH($A296,'Budget original'!$A$2:$A$501,0),MATCH(F$2,'Budget original'!$A$2:$AO$2,0))</f>
        <v/>
      </c>
      <c r="G296" s="547"/>
      <c r="H296" s="48"/>
      <c r="I296" s="481"/>
      <c r="J296" s="480"/>
      <c r="K296" s="48"/>
      <c r="L296" s="484">
        <f>SUMIFS(BV_Data_An_Cour!$AM:$AM,BV_Data_An_Cour!$AP:$AP,$B296,BV_Data_An_Cour!$AQ:$AQ,$C296,BV_Data_An_Cour!$AR:$AR,$L$2)</f>
        <v>501.9</v>
      </c>
      <c r="M296" s="480"/>
      <c r="N296" s="484">
        <f t="shared" si="59"/>
        <v>501.9</v>
      </c>
      <c r="O296" s="480"/>
      <c r="P296" s="48"/>
      <c r="Q296" s="484">
        <f>SUMIFS(BV_Data_An_Prec!$AM:$AM,BV_Data_An_Prec!$AP:$AP,$B296,BV_Data_An_Prec!$AQ:$AQ,$C296,BV_Data_An_Prec!$AR:$AR,$L$2)</f>
        <v>1251.02</v>
      </c>
      <c r="R296" s="480"/>
      <c r="S296" s="484">
        <f t="shared" si="60"/>
        <v>-749.12</v>
      </c>
      <c r="T296" s="40"/>
      <c r="U296" s="40"/>
      <c r="V296" s="48"/>
      <c r="W296" s="48"/>
      <c r="X296" s="48"/>
      <c r="Y296" s="48"/>
      <c r="Z296" s="48"/>
      <c r="AA296" s="48"/>
      <c r="AB296" s="48"/>
      <c r="AC296" s="48"/>
      <c r="AD296" s="48"/>
      <c r="AE296" s="48"/>
      <c r="AF296" s="48"/>
      <c r="AG296" s="48"/>
      <c r="AH296" s="48"/>
      <c r="AI296" s="48"/>
      <c r="AJ296" s="48"/>
      <c r="AK296" s="48"/>
      <c r="AL296" s="48"/>
      <c r="AM296" s="48"/>
      <c r="AN296" s="48"/>
    </row>
    <row r="297" ht="15.75" customHeight="1">
      <c r="A297" s="5" t="s">
        <v>945</v>
      </c>
      <c r="B297" s="48" t="s">
        <v>161</v>
      </c>
      <c r="C297" s="480" t="s">
        <v>139</v>
      </c>
      <c r="D297" s="546"/>
      <c r="E297" s="48"/>
      <c r="F297" s="481" t="str">
        <f t="array" ref="F297">+INDEX('Budget original'!$A$2:$AO$501,MATCH($A297,'Budget original'!$A$2:$A$501,0),MATCH(F$2,'Budget original'!$A$2:$AO$2,0))</f>
        <v/>
      </c>
      <c r="G297" s="547"/>
      <c r="H297" s="48"/>
      <c r="I297" s="481"/>
      <c r="J297" s="480"/>
      <c r="K297" s="48"/>
      <c r="L297" s="484">
        <f>SUMIFS(BV_Data_An_Cour!$AM:$AM,BV_Data_An_Cour!$AP:$AP,$B297,BV_Data_An_Cour!$AQ:$AQ,$C297,BV_Data_An_Cour!$AR:$AR,$L$2)</f>
        <v>1358.6</v>
      </c>
      <c r="M297" s="480"/>
      <c r="N297" s="484">
        <f t="shared" si="59"/>
        <v>1358.6</v>
      </c>
      <c r="O297" s="480"/>
      <c r="P297" s="48"/>
      <c r="Q297" s="484">
        <f>SUMIFS(BV_Data_An_Prec!$AM:$AM,BV_Data_An_Prec!$AP:$AP,$B297,BV_Data_An_Prec!$AQ:$AQ,$C297,BV_Data_An_Prec!$AR:$AR,$L$2)</f>
        <v>3300.29</v>
      </c>
      <c r="R297" s="480"/>
      <c r="S297" s="484">
        <f t="shared" si="60"/>
        <v>-1941.69</v>
      </c>
      <c r="T297" s="40"/>
      <c r="U297" s="40"/>
      <c r="V297" s="48"/>
      <c r="W297" s="48"/>
      <c r="X297" s="48"/>
      <c r="Y297" s="48"/>
      <c r="Z297" s="48"/>
      <c r="AA297" s="48"/>
      <c r="AB297" s="48"/>
      <c r="AC297" s="48"/>
      <c r="AD297" s="48"/>
      <c r="AE297" s="48"/>
      <c r="AF297" s="48"/>
      <c r="AG297" s="48"/>
      <c r="AH297" s="48"/>
      <c r="AI297" s="48"/>
      <c r="AJ297" s="48"/>
      <c r="AK297" s="48"/>
      <c r="AL297" s="48"/>
      <c r="AM297" s="48"/>
      <c r="AN297" s="48"/>
    </row>
    <row r="298" ht="15.75" customHeight="1">
      <c r="A298" s="5" t="s">
        <v>946</v>
      </c>
      <c r="B298" s="48" t="s">
        <v>161</v>
      </c>
      <c r="C298" s="480" t="s">
        <v>140</v>
      </c>
      <c r="D298" s="546"/>
      <c r="E298" s="48"/>
      <c r="F298" s="481" t="str">
        <f t="array" ref="F298">+INDEX('Budget original'!$A$2:$AO$501,MATCH($A298,'Budget original'!$A$2:$A$501,0),MATCH(F$2,'Budget original'!$A$2:$AO$2,0))</f>
        <v/>
      </c>
      <c r="G298" s="547"/>
      <c r="H298" s="48"/>
      <c r="I298" s="481"/>
      <c r="J298" s="480"/>
      <c r="K298" s="48"/>
      <c r="L298" s="484">
        <f>SUMIFS(BV_Data_An_Cour!$AM:$AM,BV_Data_An_Cour!$AP:$AP,$B298,BV_Data_An_Cour!$AQ:$AQ,$C298,BV_Data_An_Cour!$AR:$AR,$L$2)</f>
        <v>4364.17</v>
      </c>
      <c r="M298" s="480"/>
      <c r="N298" s="484">
        <f t="shared" si="59"/>
        <v>4364.17</v>
      </c>
      <c r="O298" s="480"/>
      <c r="P298" s="48"/>
      <c r="Q298" s="484">
        <f>SUMIFS(BV_Data_An_Prec!$AM:$AM,BV_Data_An_Prec!$AP:$AP,$B298,BV_Data_An_Prec!$AQ:$AQ,$C298,BV_Data_An_Prec!$AR:$AR,$L$2)</f>
        <v>4903.76</v>
      </c>
      <c r="R298" s="480"/>
      <c r="S298" s="484">
        <f t="shared" si="60"/>
        <v>-539.59</v>
      </c>
      <c r="T298" s="40"/>
      <c r="U298" s="40"/>
      <c r="X298" s="48"/>
      <c r="Y298" s="48"/>
      <c r="Z298" s="48"/>
      <c r="AA298" s="48"/>
      <c r="AB298" s="48"/>
      <c r="AC298" s="48"/>
      <c r="AD298" s="48"/>
      <c r="AE298" s="48"/>
      <c r="AF298" s="48"/>
      <c r="AG298" s="48"/>
      <c r="AH298" s="48"/>
      <c r="AI298" s="48"/>
      <c r="AJ298" s="48"/>
      <c r="AK298" s="48"/>
      <c r="AL298" s="48"/>
      <c r="AM298" s="48"/>
      <c r="AN298" s="48"/>
    </row>
    <row r="299" ht="15.75" customHeight="1">
      <c r="A299" s="5" t="s">
        <v>947</v>
      </c>
      <c r="B299" s="48" t="s">
        <v>161</v>
      </c>
      <c r="C299" s="480" t="s">
        <v>141</v>
      </c>
      <c r="D299" s="546"/>
      <c r="E299" s="48"/>
      <c r="F299" s="481" t="str">
        <f t="array" ref="F299">+INDEX('Budget original'!$A$2:$AO$501,MATCH($A299,'Budget original'!$A$2:$A$501,0),MATCH(F$2,'Budget original'!$A$2:$AO$2,0))</f>
        <v/>
      </c>
      <c r="G299" s="547"/>
      <c r="H299" s="48"/>
      <c r="I299" s="481"/>
      <c r="J299" s="480"/>
      <c r="K299" s="48"/>
      <c r="L299" s="484">
        <f>SUMIFS(BV_Data_An_Cour!$AM:$AM,BV_Data_An_Cour!$AP:$AP,$B299,BV_Data_An_Cour!$AQ:$AQ,$C299,BV_Data_An_Cour!$AR:$AR,$L$2)</f>
        <v>2389.32</v>
      </c>
      <c r="M299" s="480"/>
      <c r="N299" s="484">
        <f t="shared" si="59"/>
        <v>2389.32</v>
      </c>
      <c r="O299" s="480"/>
      <c r="P299" s="48"/>
      <c r="Q299" s="484">
        <f>SUMIFS(BV_Data_An_Prec!$AM:$AM,BV_Data_An_Prec!$AP:$AP,$B299,BV_Data_An_Prec!$AQ:$AQ,$C299,BV_Data_An_Prec!$AR:$AR,$L$2)</f>
        <v>392.93</v>
      </c>
      <c r="R299" s="480"/>
      <c r="S299" s="484">
        <f t="shared" si="60"/>
        <v>1996.39</v>
      </c>
      <c r="T299" s="40"/>
      <c r="U299" s="40"/>
      <c r="X299" s="48"/>
      <c r="Y299" s="48"/>
      <c r="Z299" s="48"/>
      <c r="AA299" s="48"/>
      <c r="AB299" s="48"/>
      <c r="AC299" s="48"/>
      <c r="AD299" s="48"/>
      <c r="AE299" s="48"/>
      <c r="AF299" s="48"/>
      <c r="AG299" s="48"/>
      <c r="AH299" s="48"/>
      <c r="AI299" s="48"/>
      <c r="AJ299" s="48"/>
      <c r="AK299" s="48"/>
      <c r="AL299" s="48"/>
      <c r="AM299" s="48"/>
      <c r="AN299" s="48"/>
    </row>
    <row r="300" ht="20.25" hidden="1" customHeight="1">
      <c r="A300" s="5" t="s">
        <v>926</v>
      </c>
      <c r="B300" s="48" t="s">
        <v>161</v>
      </c>
      <c r="C300" s="480" t="s">
        <v>56</v>
      </c>
      <c r="D300" s="546"/>
      <c r="E300" s="48"/>
      <c r="F300" s="481" t="str">
        <f t="array" ref="F300">+INDEX('Budget original'!$A$2:$AO$501,MATCH($A300,'Budget original'!$A$2:$A$501,0),MATCH(F$2,'Budget original'!$A$2:$AO$2,0))</f>
        <v/>
      </c>
      <c r="G300" s="547"/>
      <c r="H300" s="48"/>
      <c r="I300" s="481"/>
      <c r="J300" s="480"/>
      <c r="K300" s="48"/>
      <c r="L300" s="484">
        <f>SUMIFS(BV_Data_An_Cour!$AM:$AM,BV_Data_An_Cour!$AP:$AP,$B300,BV_Data_An_Cour!$AQ:$AQ,$C300,BV_Data_An_Cour!$AR:$AR,$L$2)</f>
        <v>0</v>
      </c>
      <c r="M300" s="480"/>
      <c r="N300" s="484">
        <f t="shared" si="59"/>
        <v>0</v>
      </c>
      <c r="O300" s="480"/>
      <c r="P300" s="48"/>
      <c r="Q300" s="484">
        <f>SUMIFS(BV_Data_An_Prec!$AM:$AM,BV_Data_An_Prec!$AP:$AP,$B300,BV_Data_An_Prec!$AQ:$AQ,$C300,BV_Data_An_Prec!$AR:$AR,$L$2)</f>
        <v>0</v>
      </c>
      <c r="R300" s="480"/>
      <c r="S300" s="484">
        <f t="shared" si="60"/>
        <v>0</v>
      </c>
      <c r="T300" s="40"/>
      <c r="U300" s="40"/>
      <c r="V300" s="48"/>
      <c r="W300" s="48"/>
      <c r="X300" s="48"/>
      <c r="Y300" s="48"/>
      <c r="Z300" s="48"/>
      <c r="AA300" s="48"/>
      <c r="AB300" s="48"/>
      <c r="AC300" s="48"/>
      <c r="AD300" s="48"/>
      <c r="AE300" s="48"/>
      <c r="AF300" s="48"/>
      <c r="AG300" s="48"/>
      <c r="AH300" s="48"/>
      <c r="AI300" s="48"/>
      <c r="AJ300" s="48"/>
      <c r="AK300" s="48"/>
      <c r="AL300" s="48"/>
      <c r="AM300" s="48"/>
      <c r="AN300" s="48"/>
    </row>
    <row r="301" ht="20.25" hidden="1" customHeight="1">
      <c r="A301" s="5" t="s">
        <v>926</v>
      </c>
      <c r="B301" s="48" t="s">
        <v>161</v>
      </c>
      <c r="C301" s="480" t="s">
        <v>56</v>
      </c>
      <c r="D301" s="546"/>
      <c r="E301" s="48"/>
      <c r="F301" s="481" t="str">
        <f t="array" ref="F301">+INDEX('Budget original'!$A$2:$AO$501,MATCH($A301,'Budget original'!$A$2:$A$501,0),MATCH(F$2,'Budget original'!$A$2:$AO$2,0))</f>
        <v/>
      </c>
      <c r="G301" s="547"/>
      <c r="H301" s="48"/>
      <c r="I301" s="481"/>
      <c r="J301" s="480"/>
      <c r="K301" s="48"/>
      <c r="L301" s="484">
        <f>SUMIFS(BV_Data_An_Cour!$AM:$AM,BV_Data_An_Cour!$AP:$AP,$B301,BV_Data_An_Cour!$AQ:$AQ,$C301,BV_Data_An_Cour!$AR:$AR,$L$2)</f>
        <v>0</v>
      </c>
      <c r="M301" s="480"/>
      <c r="N301" s="484">
        <f t="shared" si="59"/>
        <v>0</v>
      </c>
      <c r="O301" s="480"/>
      <c r="P301" s="48"/>
      <c r="Q301" s="484">
        <f>SUMIFS(BV_Data_An_Prec!$AM:$AM,BV_Data_An_Prec!$AP:$AP,$B301,BV_Data_An_Prec!$AQ:$AQ,$C301,BV_Data_An_Prec!$AR:$AR,$L$2)</f>
        <v>0</v>
      </c>
      <c r="R301" s="480"/>
      <c r="S301" s="484">
        <f t="shared" si="60"/>
        <v>0</v>
      </c>
      <c r="T301" s="40"/>
      <c r="U301" s="40"/>
      <c r="V301" s="48"/>
      <c r="W301" s="48"/>
      <c r="X301" s="48"/>
      <c r="Y301" s="48"/>
      <c r="Z301" s="48"/>
      <c r="AA301" s="48"/>
      <c r="AB301" s="48"/>
      <c r="AC301" s="48"/>
      <c r="AD301" s="48"/>
      <c r="AE301" s="48"/>
      <c r="AF301" s="48"/>
      <c r="AG301" s="48"/>
      <c r="AH301" s="48"/>
      <c r="AI301" s="48"/>
      <c r="AJ301" s="48"/>
      <c r="AK301" s="48"/>
      <c r="AL301" s="48"/>
      <c r="AM301" s="48"/>
      <c r="AN301" s="48"/>
    </row>
    <row r="302" ht="20.25" hidden="1" customHeight="1">
      <c r="A302" s="5" t="s">
        <v>926</v>
      </c>
      <c r="B302" s="48" t="s">
        <v>161</v>
      </c>
      <c r="C302" s="480" t="s">
        <v>56</v>
      </c>
      <c r="D302" s="546"/>
      <c r="E302" s="48"/>
      <c r="F302" s="481" t="str">
        <f t="array" ref="F302">+INDEX('Budget original'!$A$2:$AO$501,MATCH($A302,'Budget original'!$A$2:$A$501,0),MATCH(F$2,'Budget original'!$A$2:$AO$2,0))</f>
        <v/>
      </c>
      <c r="G302" s="547"/>
      <c r="H302" s="48"/>
      <c r="I302" s="481"/>
      <c r="J302" s="480"/>
      <c r="K302" s="48"/>
      <c r="L302" s="484">
        <f>SUMIFS(BV_Data_An_Cour!$AM:$AM,BV_Data_An_Cour!$AP:$AP,$B302,BV_Data_An_Cour!$AQ:$AQ,$C302,BV_Data_An_Cour!$AR:$AR,$L$2)</f>
        <v>0</v>
      </c>
      <c r="M302" s="480"/>
      <c r="N302" s="484">
        <f t="shared" si="59"/>
        <v>0</v>
      </c>
      <c r="O302" s="480"/>
      <c r="P302" s="48"/>
      <c r="Q302" s="484">
        <f>SUMIFS(BV_Data_An_Prec!$AM:$AM,BV_Data_An_Prec!$AP:$AP,$B302,BV_Data_An_Prec!$AQ:$AQ,$C302,BV_Data_An_Prec!$AR:$AR,$L$2)</f>
        <v>0</v>
      </c>
      <c r="R302" s="480"/>
      <c r="S302" s="484">
        <f t="shared" si="60"/>
        <v>0</v>
      </c>
      <c r="T302" s="40"/>
      <c r="U302" s="40"/>
      <c r="V302" s="48"/>
      <c r="W302" s="48"/>
      <c r="X302" s="48"/>
      <c r="Y302" s="48"/>
      <c r="Z302" s="48"/>
      <c r="AA302" s="48"/>
      <c r="AB302" s="48"/>
      <c r="AC302" s="48"/>
      <c r="AD302" s="48"/>
      <c r="AE302" s="48"/>
      <c r="AF302" s="48"/>
      <c r="AG302" s="48"/>
      <c r="AH302" s="48"/>
      <c r="AI302" s="48"/>
      <c r="AJ302" s="48"/>
      <c r="AK302" s="48"/>
      <c r="AL302" s="48"/>
      <c r="AM302" s="48"/>
      <c r="AN302" s="48"/>
    </row>
    <row r="303" ht="18.0" customHeight="1">
      <c r="A303" s="5"/>
      <c r="B303" s="48"/>
      <c r="C303" s="552" t="s">
        <v>142</v>
      </c>
      <c r="D303" s="553" t="s">
        <v>932</v>
      </c>
      <c r="E303" s="554" t="str">
        <f>F303/F$268</f>
        <v>#DIV/0!</v>
      </c>
      <c r="F303" s="555">
        <f>+SUM(F285:F302)</f>
        <v>0</v>
      </c>
      <c r="G303" s="556"/>
      <c r="H303" s="554"/>
      <c r="I303" s="555"/>
      <c r="J303" s="556" t="s">
        <v>932</v>
      </c>
      <c r="K303" s="554">
        <f>L303/L$268</f>
        <v>0.3866590268</v>
      </c>
      <c r="L303" s="555">
        <f>+SUM(L285:L302)</f>
        <v>41689.99</v>
      </c>
      <c r="M303" s="557"/>
      <c r="N303" s="555">
        <f t="shared" si="59"/>
        <v>41689.99</v>
      </c>
      <c r="O303" s="556" t="s">
        <v>932</v>
      </c>
      <c r="P303" s="554">
        <f>Q303/Q$268</f>
        <v>0.3004202246</v>
      </c>
      <c r="Q303" s="555">
        <f>+SUM(Q285:Q302)</f>
        <v>45785.31</v>
      </c>
      <c r="R303" s="558"/>
      <c r="S303" s="555">
        <f t="shared" si="60"/>
        <v>-4095.32</v>
      </c>
      <c r="T303" s="40"/>
      <c r="U303" s="40"/>
      <c r="V303" s="48"/>
      <c r="W303" s="48"/>
      <c r="X303" s="48"/>
      <c r="Y303" s="48"/>
      <c r="Z303" s="48"/>
      <c r="AA303" s="48"/>
      <c r="AB303" s="48"/>
      <c r="AC303" s="48"/>
      <c r="AD303" s="48"/>
      <c r="AE303" s="48"/>
      <c r="AF303" s="48"/>
      <c r="AG303" s="48"/>
      <c r="AH303" s="48"/>
      <c r="AI303" s="48"/>
      <c r="AJ303" s="48"/>
      <c r="AK303" s="48"/>
      <c r="AL303" s="48"/>
      <c r="AM303" s="48"/>
      <c r="AN303" s="48"/>
    </row>
    <row r="304" ht="15.75" customHeight="1">
      <c r="B304" s="48"/>
      <c r="C304" s="471"/>
      <c r="D304" s="549"/>
      <c r="E304" s="564"/>
      <c r="F304" s="484"/>
      <c r="G304" s="550"/>
      <c r="H304" s="564"/>
      <c r="I304" s="484"/>
      <c r="J304" s="471"/>
      <c r="K304" s="564"/>
      <c r="L304" s="476"/>
      <c r="M304" s="471"/>
      <c r="N304" s="476"/>
      <c r="O304" s="471"/>
      <c r="P304" s="564"/>
      <c r="Q304" s="476"/>
      <c r="R304" s="471"/>
      <c r="S304" s="476"/>
      <c r="T304" s="40"/>
      <c r="U304" s="40"/>
      <c r="V304" s="48"/>
      <c r="W304" s="48"/>
      <c r="X304" s="48"/>
      <c r="Y304" s="48"/>
      <c r="Z304" s="48"/>
      <c r="AA304" s="48"/>
      <c r="AB304" s="48"/>
      <c r="AC304" s="48"/>
      <c r="AD304" s="48"/>
      <c r="AE304" s="48"/>
      <c r="AF304" s="48"/>
      <c r="AG304" s="48"/>
      <c r="AH304" s="48"/>
      <c r="AI304" s="48"/>
      <c r="AJ304" s="48"/>
      <c r="AK304" s="48"/>
      <c r="AL304" s="48"/>
      <c r="AM304" s="48"/>
      <c r="AN304" s="48"/>
    </row>
    <row r="305" ht="18.0" customHeight="1">
      <c r="A305" s="5"/>
      <c r="B305" s="48"/>
      <c r="C305" s="552" t="s">
        <v>143</v>
      </c>
      <c r="D305" s="553" t="s">
        <v>225</v>
      </c>
      <c r="E305" s="554" t="str">
        <f>F305/F$268</f>
        <v>#DIV/0!</v>
      </c>
      <c r="F305" s="555">
        <f>F284+F303</f>
        <v>0</v>
      </c>
      <c r="G305" s="556"/>
      <c r="H305" s="554"/>
      <c r="I305" s="555"/>
      <c r="J305" s="556" t="s">
        <v>225</v>
      </c>
      <c r="K305" s="554">
        <f>L305/L$268</f>
        <v>1.096913618</v>
      </c>
      <c r="L305" s="555">
        <f>L284+L303</f>
        <v>118270.4</v>
      </c>
      <c r="M305" s="557"/>
      <c r="N305" s="555">
        <f t="shared" ref="N305:N307" si="61">L305-F305</f>
        <v>118270.4</v>
      </c>
      <c r="O305" s="556" t="s">
        <v>225</v>
      </c>
      <c r="P305" s="554">
        <f>Q305/Q$268</f>
        <v>0.9800118396</v>
      </c>
      <c r="Q305" s="555">
        <f>Q284+Q303</f>
        <v>149357.94</v>
      </c>
      <c r="R305" s="558"/>
      <c r="S305" s="555">
        <f>L305-Q305</f>
        <v>-31087.54</v>
      </c>
      <c r="T305" s="40"/>
      <c r="U305" s="40"/>
      <c r="V305" s="48"/>
      <c r="W305" s="48"/>
      <c r="X305" s="48"/>
      <c r="Y305" s="48"/>
      <c r="Z305" s="48"/>
      <c r="AA305" s="48"/>
      <c r="AB305" s="48"/>
      <c r="AC305" s="48"/>
      <c r="AD305" s="48"/>
      <c r="AE305" s="48"/>
      <c r="AF305" s="48"/>
      <c r="AG305" s="48"/>
      <c r="AH305" s="48"/>
      <c r="AI305" s="48"/>
      <c r="AJ305" s="48"/>
      <c r="AK305" s="48"/>
      <c r="AL305" s="48"/>
      <c r="AM305" s="48"/>
      <c r="AN305" s="48"/>
    </row>
    <row r="306" ht="15.75" customHeight="1">
      <c r="B306" s="48"/>
      <c r="C306" s="480"/>
      <c r="D306" s="546"/>
      <c r="E306" s="48"/>
      <c r="F306" s="484"/>
      <c r="G306" s="547"/>
      <c r="H306" s="48"/>
      <c r="I306" s="484"/>
      <c r="J306" s="480"/>
      <c r="K306" s="48"/>
      <c r="L306" s="484"/>
      <c r="M306" s="480"/>
      <c r="N306" s="484">
        <f t="shared" si="61"/>
        <v>0</v>
      </c>
      <c r="O306" s="480"/>
      <c r="P306" s="48"/>
      <c r="Q306" s="484"/>
      <c r="R306" s="480"/>
      <c r="S306" s="484"/>
      <c r="T306" s="40"/>
      <c r="U306" s="40"/>
      <c r="V306" s="48"/>
      <c r="W306" s="48"/>
      <c r="X306" s="48"/>
      <c r="Y306" s="48"/>
      <c r="Z306" s="48"/>
      <c r="AA306" s="48"/>
      <c r="AB306" s="48"/>
      <c r="AC306" s="48"/>
      <c r="AD306" s="48"/>
      <c r="AE306" s="48"/>
      <c r="AF306" s="48"/>
      <c r="AG306" s="48"/>
      <c r="AH306" s="48"/>
      <c r="AI306" s="48"/>
      <c r="AJ306" s="48"/>
      <c r="AK306" s="48"/>
      <c r="AL306" s="48"/>
      <c r="AM306" s="48"/>
      <c r="AN306" s="48"/>
    </row>
    <row r="307" ht="18.0" customHeight="1">
      <c r="A307" s="5"/>
      <c r="B307" s="48"/>
      <c r="C307" s="579" t="s">
        <v>150</v>
      </c>
      <c r="D307" s="580"/>
      <c r="E307" s="581"/>
      <c r="F307" s="582">
        <f>F268-F305</f>
        <v>0</v>
      </c>
      <c r="G307" s="583"/>
      <c r="H307" s="581"/>
      <c r="I307" s="582"/>
      <c r="J307" s="583"/>
      <c r="K307" s="581"/>
      <c r="L307" s="582">
        <f>L268-L305</f>
        <v>-10449.33</v>
      </c>
      <c r="M307" s="584"/>
      <c r="N307" s="582">
        <f t="shared" si="61"/>
        <v>-10449.33</v>
      </c>
      <c r="O307" s="583"/>
      <c r="P307" s="581"/>
      <c r="Q307" s="582">
        <f>Q268-Q305</f>
        <v>3046.28</v>
      </c>
      <c r="R307" s="585"/>
      <c r="S307" s="582">
        <f>L307-Q307</f>
        <v>-13495.61</v>
      </c>
      <c r="T307" s="40"/>
      <c r="U307" s="40"/>
      <c r="V307" s="48"/>
      <c r="W307" s="48"/>
      <c r="X307" s="48"/>
      <c r="Y307" s="48"/>
      <c r="Z307" s="48"/>
      <c r="AA307" s="48"/>
      <c r="AB307" s="48"/>
      <c r="AC307" s="48"/>
      <c r="AD307" s="48"/>
      <c r="AE307" s="48"/>
      <c r="AF307" s="48"/>
      <c r="AG307" s="48"/>
      <c r="AH307" s="48"/>
      <c r="AI307" s="48"/>
      <c r="AJ307" s="48"/>
      <c r="AK307" s="48"/>
      <c r="AL307" s="48"/>
      <c r="AM307" s="48"/>
      <c r="AN307" s="48"/>
    </row>
    <row r="308" ht="15.75" customHeight="1">
      <c r="B308" s="48"/>
      <c r="C308" s="48"/>
      <c r="D308" s="48"/>
      <c r="E308" s="48"/>
      <c r="F308" s="48"/>
      <c r="G308" s="48"/>
      <c r="H308" s="48"/>
      <c r="I308" s="48"/>
      <c r="J308" s="48"/>
      <c r="K308" s="48"/>
      <c r="L308" s="483"/>
      <c r="M308" s="483"/>
      <c r="N308" s="48"/>
      <c r="O308" s="483"/>
      <c r="P308" s="483"/>
      <c r="Q308" s="483"/>
      <c r="R308" s="48"/>
      <c r="S308" s="48"/>
      <c r="T308" s="40"/>
      <c r="U308" s="40"/>
      <c r="V308" s="48"/>
      <c r="W308" s="48"/>
      <c r="X308" s="48"/>
      <c r="Y308" s="48"/>
      <c r="Z308" s="48"/>
      <c r="AA308" s="48"/>
      <c r="AB308" s="48"/>
      <c r="AC308" s="48"/>
      <c r="AD308" s="48"/>
      <c r="AE308" s="48"/>
      <c r="AF308" s="48"/>
      <c r="AG308" s="48"/>
      <c r="AH308" s="48"/>
      <c r="AI308" s="48"/>
      <c r="AJ308" s="48"/>
      <c r="AK308" s="48"/>
      <c r="AL308" s="48"/>
      <c r="AM308" s="48"/>
      <c r="AN308" s="48"/>
    </row>
    <row r="309" ht="15.75" customHeight="1">
      <c r="B309" s="48"/>
      <c r="C309" s="40"/>
      <c r="D309" s="40"/>
      <c r="E309" s="40"/>
      <c r="F309" s="40"/>
      <c r="G309" s="40"/>
      <c r="H309" s="40"/>
      <c r="I309" s="40"/>
      <c r="J309" s="40"/>
      <c r="K309" s="40"/>
      <c r="L309" s="540"/>
      <c r="M309" s="540"/>
      <c r="N309" s="40"/>
      <c r="O309" s="540"/>
      <c r="P309" s="40"/>
      <c r="Q309" s="540"/>
      <c r="R309" s="40"/>
      <c r="S309" s="40"/>
      <c r="T309" s="40"/>
      <c r="U309" s="40"/>
      <c r="V309" s="48"/>
      <c r="W309" s="48"/>
      <c r="X309" s="48"/>
      <c r="Y309" s="48"/>
      <c r="Z309" s="48"/>
      <c r="AA309" s="48"/>
      <c r="AB309" s="48"/>
      <c r="AC309" s="48"/>
      <c r="AD309" s="48"/>
      <c r="AE309" s="48"/>
      <c r="AF309" s="48"/>
      <c r="AG309" s="48"/>
      <c r="AH309" s="48"/>
      <c r="AI309" s="48"/>
      <c r="AJ309" s="48"/>
      <c r="AK309" s="48"/>
      <c r="AL309" s="48"/>
      <c r="AM309" s="48"/>
      <c r="AN309" s="48"/>
    </row>
    <row r="310" ht="33.0" customHeight="1">
      <c r="B310" s="48"/>
      <c r="C310" s="450" t="str">
        <f>C1</f>
        <v>Ste-Marie Auto</v>
      </c>
      <c r="D310" s="451"/>
      <c r="E310" s="452"/>
      <c r="F310" s="451"/>
      <c r="G310" s="451"/>
      <c r="H310" s="450"/>
      <c r="I310" s="451"/>
      <c r="J310" s="450"/>
      <c r="K310" s="453" t="s">
        <v>174</v>
      </c>
      <c r="L310" s="451"/>
      <c r="M310" s="451"/>
      <c r="N310" s="454"/>
      <c r="O310" s="450"/>
      <c r="P310" s="451"/>
      <c r="Q310" s="450"/>
      <c r="R310" s="451"/>
      <c r="S310" s="455" t="str">
        <f>$S$1</f>
        <v>Réalisé, Septembre 2026</v>
      </c>
      <c r="T310" s="456"/>
      <c r="U310" s="457"/>
      <c r="V310" s="40"/>
      <c r="W310" s="40"/>
      <c r="X310" s="40"/>
      <c r="Y310" s="40"/>
      <c r="Z310" s="40"/>
      <c r="AA310" s="40"/>
      <c r="AB310" s="40"/>
      <c r="AC310" s="40"/>
      <c r="AD310" s="40"/>
      <c r="AE310" s="40"/>
      <c r="AF310" s="40"/>
      <c r="AG310" s="40"/>
      <c r="AH310" s="40"/>
      <c r="AI310" s="40"/>
      <c r="AJ310" s="40"/>
      <c r="AK310" s="40"/>
      <c r="AL310" s="40"/>
      <c r="AM310" s="40"/>
      <c r="AN310" s="40"/>
    </row>
    <row r="311" ht="24.0" customHeight="1">
      <c r="B311" s="48"/>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ht="15.75" customHeight="1">
      <c r="B312" s="48"/>
      <c r="C312" s="461"/>
      <c r="D312" s="462" t="s">
        <v>774</v>
      </c>
      <c r="E312" s="44"/>
      <c r="F312" s="45"/>
      <c r="G312" s="463"/>
      <c r="H312" s="44"/>
      <c r="I312" s="45"/>
      <c r="J312" s="463" t="s">
        <v>775</v>
      </c>
      <c r="K312" s="44"/>
      <c r="L312" s="45"/>
      <c r="M312" s="463" t="s">
        <v>776</v>
      </c>
      <c r="N312" s="45"/>
      <c r="O312" s="462" t="s">
        <v>777</v>
      </c>
      <c r="P312" s="44"/>
      <c r="Q312" s="45"/>
      <c r="R312" s="463" t="s">
        <v>778</v>
      </c>
      <c r="S312" s="45"/>
      <c r="T312" s="617"/>
      <c r="U312" s="40"/>
      <c r="V312" s="40"/>
      <c r="W312" s="40"/>
      <c r="X312" s="40"/>
      <c r="Y312" s="40"/>
      <c r="Z312" s="40"/>
      <c r="AA312" s="40"/>
      <c r="AB312" s="40"/>
      <c r="AC312" s="40"/>
      <c r="AD312" s="40"/>
      <c r="AE312" s="40"/>
      <c r="AF312" s="40"/>
      <c r="AG312" s="40"/>
      <c r="AH312" s="40"/>
      <c r="AI312" s="40"/>
      <c r="AJ312" s="40"/>
      <c r="AK312" s="40"/>
      <c r="AL312" s="40"/>
      <c r="AM312" s="40"/>
      <c r="AN312" s="40"/>
    </row>
    <row r="313" ht="15.75" customHeight="1">
      <c r="A313" s="5" t="s">
        <v>174</v>
      </c>
      <c r="B313" s="48" t="s">
        <v>174</v>
      </c>
      <c r="C313" s="480"/>
      <c r="D313" s="41" t="s">
        <v>221</v>
      </c>
      <c r="E313" s="41" t="s">
        <v>222</v>
      </c>
      <c r="F313" s="611" t="s">
        <v>95</v>
      </c>
      <c r="G313" s="610"/>
      <c r="H313" s="41"/>
      <c r="I313" s="611"/>
      <c r="J313" s="610" t="s">
        <v>221</v>
      </c>
      <c r="K313" s="41" t="s">
        <v>222</v>
      </c>
      <c r="L313" s="611" t="s">
        <v>95</v>
      </c>
      <c r="M313" s="610" t="s">
        <v>221</v>
      </c>
      <c r="N313" s="611" t="s">
        <v>908</v>
      </c>
      <c r="O313" s="41" t="s">
        <v>221</v>
      </c>
      <c r="P313" s="41" t="s">
        <v>222</v>
      </c>
      <c r="Q313" s="611" t="s">
        <v>95</v>
      </c>
      <c r="R313" s="610" t="s">
        <v>909</v>
      </c>
      <c r="S313" s="611" t="s">
        <v>95</v>
      </c>
      <c r="T313" s="458"/>
      <c r="U313" s="40"/>
      <c r="V313" s="48"/>
      <c r="W313" s="48"/>
      <c r="X313" s="48"/>
      <c r="Y313" s="48"/>
      <c r="Z313" s="48"/>
      <c r="AA313" s="48"/>
      <c r="AB313" s="48"/>
      <c r="AC313" s="48"/>
      <c r="AD313" s="48"/>
      <c r="AE313" s="48"/>
      <c r="AF313" s="48"/>
      <c r="AG313" s="48"/>
      <c r="AH313" s="48"/>
      <c r="AI313" s="48"/>
      <c r="AJ313" s="48"/>
      <c r="AK313" s="48"/>
      <c r="AL313" s="48"/>
      <c r="AM313" s="48"/>
      <c r="AN313" s="48"/>
    </row>
    <row r="314" ht="15.75" customHeight="1">
      <c r="A314" s="5" t="s">
        <v>174</v>
      </c>
      <c r="B314" s="48" t="s">
        <v>174</v>
      </c>
      <c r="C314" s="480"/>
      <c r="D314" s="41"/>
      <c r="E314" s="41"/>
      <c r="F314" s="611"/>
      <c r="G314" s="610"/>
      <c r="H314" s="41"/>
      <c r="I314" s="611"/>
      <c r="J314" s="610"/>
      <c r="K314" s="481"/>
      <c r="L314" s="485"/>
      <c r="M314" s="610"/>
      <c r="N314" s="611"/>
      <c r="O314" s="41"/>
      <c r="P314" s="41"/>
      <c r="Q314" s="611"/>
      <c r="R314" s="610"/>
      <c r="S314" s="611"/>
      <c r="T314" s="458"/>
      <c r="U314" s="40"/>
      <c r="V314" s="48"/>
      <c r="W314" s="48"/>
      <c r="X314" s="48"/>
      <c r="Y314" s="48"/>
      <c r="Z314" s="48"/>
      <c r="AA314" s="48"/>
      <c r="AB314" s="48"/>
      <c r="AC314" s="48"/>
      <c r="AD314" s="48"/>
      <c r="AE314" s="48"/>
      <c r="AF314" s="48"/>
      <c r="AG314" s="48"/>
      <c r="AH314" s="48"/>
      <c r="AI314" s="48"/>
      <c r="AJ314" s="48"/>
      <c r="AK314" s="48"/>
      <c r="AL314" s="48"/>
      <c r="AM314" s="48"/>
      <c r="AN314" s="48"/>
    </row>
    <row r="315" ht="15.75" customHeight="1">
      <c r="A315" s="5" t="s">
        <v>948</v>
      </c>
      <c r="B315" s="48" t="s">
        <v>174</v>
      </c>
      <c r="C315" s="480" t="s">
        <v>949</v>
      </c>
      <c r="D315" s="542" t="str">
        <f t="array" ref="D315">+INDEX('Budget original'!$A$2:$AO$501,MATCH($A315,'Budget original'!$A$2:$A$501,0),MATCH(D$2,'Budget original'!$A$2:$AO$2,0))</f>
        <v/>
      </c>
      <c r="E315" s="483" t="str">
        <f t="array" ref="E315">+INDEX('Budget original'!$A$2:$AO$501,MATCH($A315,'Budget original'!$A$2:$A$501,0),MATCH(E$2,'Budget original'!$A$2:$AO$2,0))</f>
        <v/>
      </c>
      <c r="F315" s="483" t="str">
        <f t="array" ref="F315">+INDEX('Budget original'!$A$2:$AO$501,MATCH($A315,'Budget original'!$A$2:$A$501,0),MATCH(F$2,'Budget original'!$A$2:$AO$2,0))</f>
        <v/>
      </c>
      <c r="G315" s="649"/>
      <c r="H315" s="483"/>
      <c r="I315" s="483"/>
      <c r="J315" s="486"/>
      <c r="K315" s="483">
        <f>-SUMIFS(BV_Data_An_Cour!$AM:$AM,BV_Data_An_Cour!$AS:$AS,"Oui",BV_Data_An_Cour!$AP:$AP,$B315,BV_Data_An_Cour!$AQ:$AQ,$C315)</f>
        <v>152593.67</v>
      </c>
      <c r="L315" s="484">
        <f>-SUMIFS(BV_Data_An_Cour!$AM:$AM,BV_Data_An_Cour!$AP:$AP,$B315,BV_Data_An_Cour!$AQ:$AQ,$C315,BV_Data_An_Cour!$AR:$AR,$L$2)</f>
        <v>68105.11</v>
      </c>
      <c r="M315" s="515">
        <f>IFERROR((K315-E315)/E315,0)</f>
        <v>0</v>
      </c>
      <c r="N315" s="484">
        <f>L315-F315</f>
        <v>68105.11</v>
      </c>
      <c r="O315" s="486"/>
      <c r="P315" s="483">
        <f>-SUMIFS(BV_Data_An_Prec!$AM:$AM,BV_Data_An_Prec!$AS:$AS,"Oui",BV_Data_An_Prec!$AP:$AP,$B315,BV_Data_An_Prec!$AQ:$AQ,$C315)</f>
        <v>162856.78</v>
      </c>
      <c r="Q315" s="484">
        <f>-SUMIFS(BV_Data_An_Prec!$AM:$AM,BV_Data_An_Prec!$AP:$AP,$B315,BV_Data_An_Prec!$AQ:$AQ,$C315,BV_Data_An_Prec!$AR:$AR,$L$2)</f>
        <v>69072.86</v>
      </c>
      <c r="R315" s="515">
        <f>IF(O315=0,0,J315/O315)</f>
        <v>0</v>
      </c>
      <c r="S315" s="484">
        <f>L315-Q315</f>
        <v>-967.75</v>
      </c>
      <c r="T315" s="458"/>
      <c r="U315" s="40"/>
      <c r="V315" s="48"/>
      <c r="W315" s="48"/>
      <c r="X315" s="48"/>
      <c r="Y315" s="48"/>
      <c r="Z315" s="48"/>
      <c r="AA315" s="48"/>
      <c r="AB315" s="48"/>
      <c r="AC315" s="48"/>
      <c r="AD315" s="48"/>
      <c r="AE315" s="48"/>
      <c r="AF315" s="48"/>
      <c r="AG315" s="48"/>
      <c r="AH315" s="48"/>
      <c r="AI315" s="48"/>
      <c r="AJ315" s="48"/>
      <c r="AK315" s="48"/>
      <c r="AL315" s="48"/>
      <c r="AM315" s="48"/>
      <c r="AN315" s="48"/>
    </row>
    <row r="316" ht="15.75" customHeight="1">
      <c r="A316" s="5" t="s">
        <v>950</v>
      </c>
      <c r="B316" s="48" t="s">
        <v>174</v>
      </c>
      <c r="C316" s="480" t="s">
        <v>163</v>
      </c>
      <c r="D316" s="41"/>
      <c r="E316" s="601"/>
      <c r="F316" s="516">
        <f>IFERROR(F315/E315,0)</f>
        <v>0</v>
      </c>
      <c r="G316" s="480"/>
      <c r="H316" s="601"/>
      <c r="I316" s="516"/>
      <c r="J316" s="486"/>
      <c r="K316" s="48"/>
      <c r="L316" s="516">
        <f>IFERROR(L315/K315,0)</f>
        <v>0.4463167443</v>
      </c>
      <c r="M316" s="515"/>
      <c r="N316" s="484">
        <f>IFERROR(N315/M315,0)</f>
        <v>0</v>
      </c>
      <c r="O316" s="486"/>
      <c r="P316" s="48"/>
      <c r="Q316" s="516">
        <f>IFERROR(Q315/P315,0)</f>
        <v>0.4241325415</v>
      </c>
      <c r="R316" s="486"/>
      <c r="S316" s="516">
        <f>IF(Q315=0,0,(S315/Q315))</f>
        <v>-0.01401056797</v>
      </c>
      <c r="T316" s="458"/>
      <c r="U316" s="40"/>
      <c r="V316" s="48"/>
      <c r="W316" s="48"/>
      <c r="X316" s="48"/>
      <c r="Y316" s="48"/>
      <c r="Z316" s="48"/>
      <c r="AA316" s="48"/>
      <c r="AB316" s="48"/>
      <c r="AC316" s="48"/>
      <c r="AD316" s="48"/>
      <c r="AE316" s="48"/>
      <c r="AF316" s="48"/>
      <c r="AG316" s="48"/>
      <c r="AH316" s="48"/>
      <c r="AI316" s="48"/>
      <c r="AJ316" s="48"/>
      <c r="AK316" s="48"/>
      <c r="AL316" s="48"/>
      <c r="AM316" s="48"/>
      <c r="AN316" s="48"/>
    </row>
    <row r="317" ht="15.75" customHeight="1">
      <c r="A317" s="5" t="s">
        <v>174</v>
      </c>
      <c r="B317" s="48" t="s">
        <v>174</v>
      </c>
      <c r="C317" s="480"/>
      <c r="D317" s="41"/>
      <c r="E317" s="650"/>
      <c r="F317" s="590"/>
      <c r="G317" s="610"/>
      <c r="H317" s="650"/>
      <c r="I317" s="590"/>
      <c r="J317" s="610"/>
      <c r="K317" s="41"/>
      <c r="L317" s="611"/>
      <c r="M317" s="610"/>
      <c r="N317" s="611"/>
      <c r="O317" s="610"/>
      <c r="P317" s="41"/>
      <c r="Q317" s="611"/>
      <c r="R317" s="589"/>
      <c r="S317" s="590"/>
      <c r="T317" s="458"/>
      <c r="U317" s="40"/>
      <c r="V317" s="48"/>
      <c r="W317" s="48"/>
      <c r="X317" s="48"/>
      <c r="Y317" s="48"/>
      <c r="Z317" s="48"/>
      <c r="AA317" s="48"/>
      <c r="AB317" s="48"/>
      <c r="AC317" s="48"/>
      <c r="AD317" s="48"/>
      <c r="AE317" s="48"/>
      <c r="AF317" s="48"/>
      <c r="AG317" s="48"/>
      <c r="AH317" s="48"/>
      <c r="AI317" s="48"/>
      <c r="AJ317" s="48"/>
      <c r="AK317" s="48"/>
      <c r="AL317" s="48"/>
      <c r="AM317" s="48"/>
      <c r="AN317" s="48"/>
    </row>
    <row r="318" ht="15.75" customHeight="1">
      <c r="A318" s="5" t="s">
        <v>951</v>
      </c>
      <c r="B318" s="48" t="s">
        <v>174</v>
      </c>
      <c r="C318" s="466" t="s">
        <v>952</v>
      </c>
      <c r="D318" s="522" t="str">
        <f t="array" ref="D318">+INDEX('Budget original'!$A$2:$AO$501,MATCH($A318,'Budget original'!$A$2:$A$501,0),MATCH(D$2,'Budget original'!$A$2:$AO$2,0))</f>
        <v/>
      </c>
      <c r="E318" s="483" t="str">
        <f t="array" ref="E318">+INDEX('Budget original'!$A$2:$AO$501,MATCH($A318,'Budget original'!$A$2:$A$501,0),MATCH(E$2,'Budget original'!$A$2:$AO$2,0))</f>
        <v/>
      </c>
      <c r="F318" s="483" t="str">
        <f t="array" ref="F318">+INDEX('Budget original'!$A$2:$AO$501,MATCH($A318,'Budget original'!$A$2:$A$501,0),MATCH(F$2,'Budget original'!$A$2:$AO$2,0))</f>
        <v/>
      </c>
      <c r="G318" s="651"/>
      <c r="H318" s="483"/>
      <c r="I318" s="483"/>
      <c r="J318" s="252"/>
      <c r="K318" s="522">
        <f>-SUMIFS(BV_Data_An_Cour!$AM:$AM,BV_Data_An_Cour!$AS:$AS,"Oui",BV_Data_An_Cour!$AP:$AP,$B318,BV_Data_An_Cour!$AQ:$AQ,$C318)</f>
        <v>10652.45</v>
      </c>
      <c r="L318" s="523">
        <f>-SUMIFS(BV_Data_An_Cour!$AM:$AM,BV_Data_An_Cour!$AP:$AP,$B318,BV_Data_An_Cour!$AQ:$AQ,$C318,BV_Data_An_Cour!$AR:$AR,$L$2)</f>
        <v>6504.81</v>
      </c>
      <c r="M318" s="624">
        <f>IFERROR((K318-E318)/E318,0)</f>
        <v>0</v>
      </c>
      <c r="N318" s="523">
        <f>L318-F318</f>
        <v>6504.81</v>
      </c>
      <c r="O318" s="252"/>
      <c r="P318" s="522">
        <f>-SUMIFS(BV_Data_An_Prec!$AM:$AM,BV_Data_An_Prec!$AS:$AS,"Oui",BV_Data_An_Prec!$AP:$AP,$B318,BV_Data_An_Prec!$AQ:$AQ,$C318)</f>
        <v>9764.26</v>
      </c>
      <c r="Q318" s="523">
        <f>-SUMIFS(BV_Data_An_Prec!$AM:$AM,BV_Data_An_Prec!$AP:$AP,$B318,BV_Data_An_Prec!$AQ:$AQ,$C318,BV_Data_An_Prec!$AR:$AR,$L$2)</f>
        <v>4717.31</v>
      </c>
      <c r="R318" s="515">
        <f>IF(O318=0,0,J318/O318)</f>
        <v>0</v>
      </c>
      <c r="S318" s="484">
        <f>L318-Q318</f>
        <v>1787.5</v>
      </c>
      <c r="T318" s="604"/>
      <c r="U318" s="40"/>
      <c r="V318" s="48"/>
      <c r="W318" s="48"/>
      <c r="X318" s="48"/>
      <c r="Y318" s="48"/>
      <c r="Z318" s="48"/>
      <c r="AA318" s="48"/>
      <c r="AB318" s="48"/>
      <c r="AC318" s="48"/>
      <c r="AD318" s="48"/>
      <c r="AE318" s="48"/>
      <c r="AF318" s="48"/>
      <c r="AG318" s="48"/>
      <c r="AH318" s="48"/>
      <c r="AI318" s="48"/>
      <c r="AJ318" s="48"/>
      <c r="AK318" s="48"/>
      <c r="AL318" s="48"/>
      <c r="AM318" s="48"/>
      <c r="AN318" s="48"/>
    </row>
    <row r="319" ht="15.75" customHeight="1">
      <c r="A319" s="5" t="s">
        <v>950</v>
      </c>
      <c r="B319" s="48" t="s">
        <v>174</v>
      </c>
      <c r="C319" s="480" t="s">
        <v>163</v>
      </c>
      <c r="D319" s="48"/>
      <c r="E319" s="601"/>
      <c r="F319" s="516" t="str">
        <f>F318/E318</f>
        <v>#DIV/0!</v>
      </c>
      <c r="G319" s="480"/>
      <c r="H319" s="601"/>
      <c r="I319" s="516"/>
      <c r="J319" s="486"/>
      <c r="K319" s="48"/>
      <c r="L319" s="516">
        <f>IFERROR(L318/K318,0)</f>
        <v>0.6106398059</v>
      </c>
      <c r="M319" s="515"/>
      <c r="N319" s="484">
        <f>IFERROR(N318/F318,0)</f>
        <v>0</v>
      </c>
      <c r="O319" s="486"/>
      <c r="P319" s="48"/>
      <c r="Q319" s="516">
        <f>IFERROR(Q318/P318,0)</f>
        <v>0.4831200726</v>
      </c>
      <c r="R319" s="486"/>
      <c r="S319" s="516">
        <f>IF(Q318=0,0,(S318/Q318))</f>
        <v>0.3789235814</v>
      </c>
      <c r="T319" s="604"/>
      <c r="U319" s="40"/>
      <c r="V319" s="48"/>
      <c r="W319" s="48"/>
      <c r="X319" s="48"/>
      <c r="Y319" s="48"/>
      <c r="Z319" s="48"/>
      <c r="AA319" s="48"/>
      <c r="AB319" s="48"/>
      <c r="AC319" s="48"/>
      <c r="AD319" s="48"/>
      <c r="AE319" s="48"/>
      <c r="AF319" s="48"/>
      <c r="AG319" s="48"/>
      <c r="AH319" s="48"/>
      <c r="AI319" s="48"/>
      <c r="AJ319" s="48"/>
      <c r="AK319" s="48"/>
      <c r="AL319" s="48"/>
      <c r="AM319" s="48"/>
      <c r="AN319" s="48"/>
    </row>
    <row r="320" ht="15.75" customHeight="1">
      <c r="A320" s="5" t="s">
        <v>174</v>
      </c>
      <c r="B320" s="48" t="s">
        <v>174</v>
      </c>
      <c r="C320" s="471"/>
      <c r="D320" s="564"/>
      <c r="E320" s="625"/>
      <c r="F320" s="614"/>
      <c r="G320" s="471"/>
      <c r="H320" s="625"/>
      <c r="I320" s="614"/>
      <c r="J320" s="622"/>
      <c r="K320" s="652"/>
      <c r="L320" s="614"/>
      <c r="M320" s="545"/>
      <c r="N320" s="476"/>
      <c r="O320" s="622"/>
      <c r="P320" s="652"/>
      <c r="Q320" s="614"/>
      <c r="R320" s="622"/>
      <c r="S320" s="476"/>
      <c r="T320" s="604"/>
      <c r="U320" s="40"/>
      <c r="V320" s="48"/>
      <c r="W320" s="48"/>
      <c r="X320" s="48"/>
      <c r="Y320" s="48"/>
      <c r="Z320" s="48"/>
      <c r="AA320" s="48"/>
      <c r="AB320" s="48"/>
      <c r="AC320" s="48"/>
      <c r="AD320" s="48"/>
      <c r="AE320" s="48"/>
      <c r="AF320" s="48"/>
      <c r="AG320" s="48"/>
      <c r="AH320" s="48"/>
      <c r="AI320" s="48"/>
      <c r="AJ320" s="48"/>
      <c r="AK320" s="48"/>
      <c r="AL320" s="48"/>
      <c r="AM320" s="48"/>
      <c r="AN320" s="48"/>
    </row>
    <row r="321" ht="15.75" customHeight="1">
      <c r="A321" s="5" t="s">
        <v>953</v>
      </c>
      <c r="B321" s="48" t="s">
        <v>174</v>
      </c>
      <c r="C321" s="466" t="s">
        <v>954</v>
      </c>
      <c r="D321" s="522">
        <v>0.0</v>
      </c>
      <c r="E321" s="483">
        <v>0.0</v>
      </c>
      <c r="F321" s="483">
        <v>0.0</v>
      </c>
      <c r="G321" s="252"/>
      <c r="H321" s="483"/>
      <c r="I321" s="483"/>
      <c r="J321" s="252"/>
      <c r="K321" s="483">
        <f>-SUMIFS(BV_Data_An_Cour!$AM:$AM,BV_Data_An_Cour!$AS:$AS,"Oui",BV_Data_An_Cour!$AP:$AP,$B321,BV_Data_An_Cour!$AQ:$AQ,$C321)</f>
        <v>27283.73</v>
      </c>
      <c r="L321" s="484">
        <f>-SUMIFS(BV_Data_An_Cour!$AM:$AM,BV_Data_An_Cour!$AP:$AP,$B321,BV_Data_An_Cour!$AQ:$AQ,$C321,BV_Data_An_Cour!$AR:$AR,$L$2)</f>
        <v>15494.44</v>
      </c>
      <c r="M321" s="515">
        <f>IFERROR((K321-E321)/E321,0)</f>
        <v>0</v>
      </c>
      <c r="N321" s="523">
        <f>L321-F321</f>
        <v>15494.44</v>
      </c>
      <c r="O321" s="252"/>
      <c r="P321" s="483">
        <f>-SUMIFS(BV_Data_An_Prec!$AM:$AM,BV_Data_An_Prec!$AS:$AS,"Oui",BV_Data_An_Prec!$AP:$AP,$B321,BV_Data_An_Prec!$AQ:$AQ,$C321)</f>
        <v>0</v>
      </c>
      <c r="Q321" s="484">
        <f>-SUMIFS(BV_Data_An_Prec!$AM:$AM,BV_Data_An_Prec!$AP:$AP,$B321,BV_Data_An_Prec!$AQ:$AQ,$C321,BV_Data_An_Prec!$AR:$AR,$L$2)</f>
        <v>0</v>
      </c>
      <c r="R321" s="515">
        <f>IF(O321=0,0,J321/O321)</f>
        <v>0</v>
      </c>
      <c r="S321" s="484">
        <f>L321-Q321</f>
        <v>15494.44</v>
      </c>
      <c r="T321" s="604"/>
      <c r="U321" s="40"/>
      <c r="V321" s="48"/>
      <c r="W321" s="48"/>
      <c r="X321" s="48"/>
      <c r="Y321" s="48"/>
      <c r="Z321" s="48"/>
      <c r="AA321" s="48"/>
      <c r="AB321" s="48"/>
      <c r="AC321" s="48"/>
      <c r="AD321" s="48"/>
      <c r="AE321" s="48"/>
      <c r="AF321" s="48"/>
      <c r="AG321" s="48"/>
      <c r="AH321" s="48"/>
      <c r="AI321" s="48"/>
      <c r="AJ321" s="48"/>
      <c r="AK321" s="48"/>
      <c r="AL321" s="48"/>
      <c r="AM321" s="48"/>
      <c r="AN321" s="48"/>
    </row>
    <row r="322" ht="15.75" customHeight="1">
      <c r="A322" s="5" t="s">
        <v>950</v>
      </c>
      <c r="B322" s="48" t="s">
        <v>174</v>
      </c>
      <c r="C322" s="480" t="s">
        <v>163</v>
      </c>
      <c r="D322" s="48"/>
      <c r="E322" s="48"/>
      <c r="F322" s="516" t="str">
        <f>F321/E321</f>
        <v>#DIV/0!</v>
      </c>
      <c r="G322" s="480"/>
      <c r="H322" s="48"/>
      <c r="I322" s="516"/>
      <c r="J322" s="480"/>
      <c r="K322" s="48"/>
      <c r="L322" s="516">
        <f>IFERROR(L321/K321,0)</f>
        <v>0.5679003567</v>
      </c>
      <c r="M322" s="525"/>
      <c r="N322" s="507">
        <f>IF(L321=0,0,N321/L321)</f>
        <v>1</v>
      </c>
      <c r="O322" s="480"/>
      <c r="P322" s="48"/>
      <c r="Q322" s="516">
        <f>IFERROR(Q321/P321,0)</f>
        <v>0</v>
      </c>
      <c r="R322" s="486"/>
      <c r="S322" s="516">
        <f>IF(Q321=0,0,(S321/Q321))</f>
        <v>0</v>
      </c>
      <c r="T322" s="604"/>
      <c r="U322" s="40"/>
      <c r="V322" s="48"/>
      <c r="W322" s="48"/>
      <c r="X322" s="48"/>
      <c r="Y322" s="48"/>
      <c r="Z322" s="48"/>
      <c r="AA322" s="48"/>
      <c r="AB322" s="48"/>
      <c r="AC322" s="48"/>
      <c r="AD322" s="48"/>
      <c r="AE322" s="48"/>
      <c r="AF322" s="48"/>
      <c r="AG322" s="48"/>
      <c r="AH322" s="48"/>
      <c r="AI322" s="48"/>
      <c r="AJ322" s="48"/>
      <c r="AK322" s="48"/>
      <c r="AL322" s="48"/>
      <c r="AM322" s="48"/>
      <c r="AN322" s="48"/>
    </row>
    <row r="323" ht="15.75" customHeight="1">
      <c r="A323" s="5"/>
      <c r="B323" s="48" t="s">
        <v>174</v>
      </c>
      <c r="C323" s="471"/>
      <c r="D323" s="564"/>
      <c r="E323" s="564"/>
      <c r="F323" s="614"/>
      <c r="G323" s="471"/>
      <c r="H323" s="564"/>
      <c r="I323" s="614"/>
      <c r="J323" s="471"/>
      <c r="K323" s="564"/>
      <c r="L323" s="476"/>
      <c r="M323" s="653"/>
      <c r="N323" s="642"/>
      <c r="O323" s="471"/>
      <c r="P323" s="564"/>
      <c r="Q323" s="614"/>
      <c r="R323" s="545"/>
      <c r="S323" s="614"/>
      <c r="T323" s="604"/>
      <c r="U323" s="40"/>
      <c r="V323" s="48"/>
      <c r="W323" s="48"/>
      <c r="X323" s="48"/>
      <c r="Y323" s="48"/>
      <c r="Z323" s="48"/>
      <c r="AA323" s="48"/>
      <c r="AB323" s="48"/>
      <c r="AC323" s="48"/>
      <c r="AD323" s="48"/>
      <c r="AE323" s="48"/>
      <c r="AF323" s="48"/>
      <c r="AG323" s="48"/>
      <c r="AH323" s="48"/>
      <c r="AI323" s="48"/>
      <c r="AJ323" s="48"/>
      <c r="AK323" s="48"/>
      <c r="AL323" s="48"/>
      <c r="AM323" s="48"/>
      <c r="AN323" s="48"/>
    </row>
    <row r="324" ht="15.75" customHeight="1">
      <c r="A324" s="5"/>
      <c r="B324" s="48" t="s">
        <v>174</v>
      </c>
      <c r="C324" s="480" t="s">
        <v>955</v>
      </c>
      <c r="D324" s="48"/>
      <c r="E324" s="48"/>
      <c r="F324" s="516"/>
      <c r="G324" s="480"/>
      <c r="H324" s="48"/>
      <c r="I324" s="516"/>
      <c r="J324" s="480"/>
      <c r="K324" s="48"/>
      <c r="L324" s="484">
        <f>-SUMIFS(BV_Data_An_Cour!$AM:$AM,BV_Data_An_Cour!$AP:$AP,$B324,BV_Data_An_Cour!$AQ:$AQ,$C324,BV_Data_An_Cour!$AR:$AR,$L$2)</f>
        <v>0</v>
      </c>
      <c r="M324" s="525"/>
      <c r="N324" s="507"/>
      <c r="O324" s="480"/>
      <c r="P324" s="48"/>
      <c r="Q324" s="484">
        <f>-SUMIFS(BV_Data_An_Prec!$AM:$AM,BV_Data_An_Prec!$AP:$AP,$B324,BV_Data_An_Prec!$AQ:$AQ,$C324,BV_Data_An_Prec!$AR:$AR,$L$2)</f>
        <v>1697.59</v>
      </c>
      <c r="R324" s="515">
        <f>IF(O324=0,0,J324/O324)</f>
        <v>0</v>
      </c>
      <c r="S324" s="484">
        <f>L324-Q324</f>
        <v>-1697.59</v>
      </c>
      <c r="T324" s="604"/>
      <c r="U324" s="40"/>
      <c r="V324" s="48"/>
      <c r="W324" s="48"/>
      <c r="X324" s="48"/>
      <c r="Y324" s="48"/>
      <c r="Z324" s="48"/>
      <c r="AA324" s="48"/>
      <c r="AB324" s="48"/>
      <c r="AC324" s="48"/>
      <c r="AD324" s="48"/>
      <c r="AE324" s="48"/>
      <c r="AF324" s="48"/>
      <c r="AG324" s="48"/>
      <c r="AH324" s="48"/>
      <c r="AI324" s="48"/>
      <c r="AJ324" s="48"/>
      <c r="AK324" s="48"/>
      <c r="AL324" s="48"/>
      <c r="AM324" s="48"/>
      <c r="AN324" s="48"/>
    </row>
    <row r="325" ht="15.75" customHeight="1">
      <c r="A325" s="5" t="s">
        <v>174</v>
      </c>
      <c r="B325" s="48" t="s">
        <v>174</v>
      </c>
      <c r="C325" s="480"/>
      <c r="D325" s="48"/>
      <c r="E325" s="48"/>
      <c r="F325" s="516"/>
      <c r="G325" s="480"/>
      <c r="H325" s="48"/>
      <c r="I325" s="516"/>
      <c r="J325" s="480"/>
      <c r="K325" s="48"/>
      <c r="L325" s="484"/>
      <c r="M325" s="525"/>
      <c r="N325" s="507"/>
      <c r="O325" s="480"/>
      <c r="P325" s="48"/>
      <c r="Q325" s="484"/>
      <c r="R325" s="525"/>
      <c r="S325" s="507"/>
      <c r="T325" s="604"/>
      <c r="U325" s="40"/>
      <c r="V325" s="48"/>
      <c r="W325" s="48"/>
      <c r="X325" s="48"/>
      <c r="Y325" s="48"/>
      <c r="Z325" s="48"/>
      <c r="AA325" s="48"/>
      <c r="AB325" s="48"/>
      <c r="AC325" s="48"/>
      <c r="AD325" s="48"/>
      <c r="AE325" s="48"/>
      <c r="AF325" s="48"/>
      <c r="AG325" s="48"/>
      <c r="AH325" s="48"/>
      <c r="AI325" s="48"/>
      <c r="AJ325" s="48"/>
      <c r="AK325" s="48"/>
      <c r="AL325" s="48"/>
      <c r="AM325" s="48"/>
      <c r="AN325" s="48"/>
    </row>
    <row r="326" ht="18.0" customHeight="1">
      <c r="A326" s="5" t="s">
        <v>956</v>
      </c>
      <c r="B326" s="48" t="s">
        <v>174</v>
      </c>
      <c r="C326" s="526" t="s">
        <v>957</v>
      </c>
      <c r="D326" s="527"/>
      <c r="E326" s="528">
        <f t="shared" ref="E326:F326" si="62">E318+E321+E315</f>
        <v>0</v>
      </c>
      <c r="F326" s="529">
        <f t="shared" si="62"/>
        <v>0</v>
      </c>
      <c r="G326" s="530"/>
      <c r="H326" s="528"/>
      <c r="I326" s="529"/>
      <c r="J326" s="530"/>
      <c r="K326" s="527">
        <f>K318+K321+K315</f>
        <v>190529.85</v>
      </c>
      <c r="L326" s="529">
        <f>L318+L321+L315+L324</f>
        <v>90104.36</v>
      </c>
      <c r="M326" s="530" t="str">
        <f>L327-F327</f>
        <v>#DIV/0!</v>
      </c>
      <c r="N326" s="529">
        <f>L326-F326</f>
        <v>90104.36</v>
      </c>
      <c r="O326" s="530"/>
      <c r="P326" s="527">
        <f>P318+P321+P315</f>
        <v>172621.04</v>
      </c>
      <c r="Q326" s="529">
        <f>Q318+Q321+Q315+Q324</f>
        <v>75487.76</v>
      </c>
      <c r="R326" s="530"/>
      <c r="S326" s="529">
        <f>L326-Q326</f>
        <v>14616.6</v>
      </c>
      <c r="T326" s="40"/>
      <c r="U326" s="40"/>
      <c r="V326" s="48"/>
      <c r="W326" s="48"/>
      <c r="X326" s="48"/>
      <c r="Y326" s="48"/>
      <c r="Z326" s="48"/>
      <c r="AA326" s="48"/>
      <c r="AB326" s="48"/>
      <c r="AC326" s="48"/>
      <c r="AD326" s="48"/>
      <c r="AE326" s="48"/>
      <c r="AF326" s="48"/>
      <c r="AG326" s="48"/>
      <c r="AH326" s="48"/>
      <c r="AI326" s="48"/>
      <c r="AJ326" s="48"/>
      <c r="AK326" s="48"/>
      <c r="AL326" s="48"/>
      <c r="AM326" s="48"/>
      <c r="AN326" s="48"/>
    </row>
    <row r="327" ht="22.5" customHeight="1">
      <c r="A327" s="5" t="s">
        <v>174</v>
      </c>
      <c r="B327" s="48" t="s">
        <v>174</v>
      </c>
      <c r="C327" s="531"/>
      <c r="D327" s="532"/>
      <c r="E327" s="532"/>
      <c r="F327" s="533" t="str">
        <f>F326/E326</f>
        <v>#DIV/0!</v>
      </c>
      <c r="G327" s="531"/>
      <c r="H327" s="532"/>
      <c r="I327" s="533"/>
      <c r="J327" s="531"/>
      <c r="K327" s="534"/>
      <c r="L327" s="538">
        <f>L326/K326</f>
        <v>0.472914664</v>
      </c>
      <c r="M327" s="536"/>
      <c r="N327" s="537" t="str">
        <f>N326/F326</f>
        <v>#DIV/0!</v>
      </c>
      <c r="O327" s="531"/>
      <c r="P327" s="534"/>
      <c r="Q327" s="538">
        <f>Q326/P326</f>
        <v>0.4373033554</v>
      </c>
      <c r="R327" s="536"/>
      <c r="S327" s="538">
        <f>S326/Q326</f>
        <v>0.1936287419</v>
      </c>
      <c r="T327" s="40"/>
      <c r="U327" s="40"/>
      <c r="V327" s="48"/>
      <c r="W327" s="48"/>
      <c r="X327" s="48"/>
      <c r="Y327" s="48"/>
      <c r="Z327" s="48"/>
      <c r="AA327" s="48"/>
      <c r="AB327" s="48"/>
      <c r="AC327" s="48"/>
      <c r="AD327" s="48"/>
      <c r="AE327" s="48"/>
      <c r="AF327" s="48"/>
      <c r="AG327" s="48"/>
      <c r="AH327" s="48"/>
      <c r="AI327" s="48"/>
      <c r="AJ327" s="48"/>
      <c r="AK327" s="48"/>
      <c r="AL327" s="48"/>
      <c r="AM327" s="48"/>
      <c r="AN327" s="48"/>
    </row>
    <row r="328" ht="15.75" customHeight="1">
      <c r="A328" s="5" t="s">
        <v>174</v>
      </c>
      <c r="B328" s="48" t="s">
        <v>174</v>
      </c>
      <c r="C328" s="480"/>
      <c r="D328" s="48"/>
      <c r="E328" s="48"/>
      <c r="F328" s="484"/>
      <c r="G328" s="480"/>
      <c r="H328" s="48"/>
      <c r="I328" s="484"/>
      <c r="J328" s="480"/>
      <c r="K328" s="48"/>
      <c r="L328" s="514"/>
      <c r="M328" s="480"/>
      <c r="N328" s="514"/>
      <c r="O328" s="480"/>
      <c r="P328" s="48"/>
      <c r="Q328" s="514"/>
      <c r="R328" s="480"/>
      <c r="S328" s="514"/>
      <c r="T328" s="40"/>
      <c r="U328" s="40"/>
      <c r="V328" s="48"/>
      <c r="W328" s="48"/>
      <c r="X328" s="48"/>
      <c r="Y328" s="48"/>
      <c r="Z328" s="48"/>
      <c r="AA328" s="48"/>
      <c r="AB328" s="48"/>
      <c r="AC328" s="48"/>
      <c r="AD328" s="48"/>
      <c r="AE328" s="48"/>
      <c r="AF328" s="48"/>
      <c r="AG328" s="48"/>
      <c r="AH328" s="48"/>
      <c r="AI328" s="48"/>
      <c r="AJ328" s="48"/>
      <c r="AK328" s="48"/>
      <c r="AL328" s="48"/>
      <c r="AM328" s="48"/>
      <c r="AN328" s="48"/>
    </row>
    <row r="329" ht="15.75" customHeight="1">
      <c r="A329" s="5" t="s">
        <v>958</v>
      </c>
      <c r="B329" s="48" t="s">
        <v>174</v>
      </c>
      <c r="C329" s="541" t="s">
        <v>110</v>
      </c>
      <c r="D329" s="48"/>
      <c r="E329" s="48"/>
      <c r="F329" s="484"/>
      <c r="G329" s="480"/>
      <c r="H329" s="48"/>
      <c r="I329" s="484"/>
      <c r="J329" s="480"/>
      <c r="K329" s="48"/>
      <c r="L329" s="514"/>
      <c r="M329" s="480"/>
      <c r="N329" s="514"/>
      <c r="O329" s="480"/>
      <c r="P329" s="48"/>
      <c r="Q329" s="514"/>
      <c r="R329" s="480"/>
      <c r="S329" s="514"/>
      <c r="T329" s="40"/>
      <c r="U329" s="40"/>
      <c r="V329" s="48"/>
      <c r="W329" s="48"/>
      <c r="X329" s="48"/>
      <c r="Y329" s="48"/>
      <c r="Z329" s="48"/>
      <c r="AA329" s="48"/>
      <c r="AB329" s="48"/>
      <c r="AC329" s="48"/>
      <c r="AD329" s="48"/>
      <c r="AE329" s="48"/>
      <c r="AF329" s="48"/>
      <c r="AG329" s="48"/>
      <c r="AH329" s="48"/>
      <c r="AI329" s="48"/>
      <c r="AJ329" s="48"/>
      <c r="AK329" s="48"/>
      <c r="AL329" s="48"/>
      <c r="AM329" s="48"/>
      <c r="AN329" s="48"/>
    </row>
    <row r="330" ht="15.75" customHeight="1">
      <c r="A330" s="5" t="s">
        <v>959</v>
      </c>
      <c r="B330" s="48" t="s">
        <v>174</v>
      </c>
      <c r="C330" s="559" t="s">
        <v>119</v>
      </c>
      <c r="D330" s="48"/>
      <c r="E330" s="48"/>
      <c r="F330" s="481" t="str">
        <f t="array" ref="F330">+INDEX('Budget original'!$A$2:$AO$501,MATCH($A330,'Budget original'!$A$2:$A$501,0),MATCH(F$2,'Budget original'!$A$2:$AO$2,0))</f>
        <v/>
      </c>
      <c r="G330" s="480"/>
      <c r="H330" s="48"/>
      <c r="I330" s="481"/>
      <c r="J330" s="480"/>
      <c r="K330" s="48"/>
      <c r="L330" s="484">
        <f>SUMIFS(BV_Data_An_Cour!$AM:$AM,BV_Data_An_Cour!$AP:$AP,$B330,BV_Data_An_Cour!$AQ:$AQ,$C330,BV_Data_An_Cour!$AR:$AR,$L$2)</f>
        <v>14083.03</v>
      </c>
      <c r="M330" s="480"/>
      <c r="N330" s="484">
        <f t="shared" ref="N330:N360" si="63">L330-F330</f>
        <v>14083.03</v>
      </c>
      <c r="O330" s="480"/>
      <c r="P330" s="48"/>
      <c r="Q330" s="484">
        <f>SUMIFS(BV_Data_An_Prec!$AM:$AM,BV_Data_An_Prec!$AP:$AP,$B330,BV_Data_An_Prec!$AQ:$AQ,$C330,BV_Data_An_Prec!$AR:$AR,$L$2)</f>
        <v>20900.51</v>
      </c>
      <c r="R330" s="480"/>
      <c r="S330" s="484">
        <f t="shared" ref="S330:S361" si="64">L330-Q330</f>
        <v>-6817.48</v>
      </c>
      <c r="T330" s="40"/>
      <c r="U330" s="40"/>
      <c r="V330" s="48"/>
      <c r="W330" s="48"/>
      <c r="X330" s="48"/>
      <c r="Y330" s="48"/>
      <c r="Z330" s="48"/>
      <c r="AA330" s="48"/>
      <c r="AB330" s="48"/>
      <c r="AC330" s="48"/>
      <c r="AD330" s="48"/>
      <c r="AE330" s="48"/>
      <c r="AF330" s="48"/>
      <c r="AG330" s="48"/>
      <c r="AH330" s="48"/>
      <c r="AI330" s="48"/>
      <c r="AJ330" s="48"/>
      <c r="AK330" s="48"/>
      <c r="AL330" s="48"/>
      <c r="AM330" s="48"/>
      <c r="AN330" s="48"/>
    </row>
    <row r="331" ht="15.75" customHeight="1">
      <c r="A331" s="5" t="s">
        <v>960</v>
      </c>
      <c r="B331" s="48" t="s">
        <v>174</v>
      </c>
      <c r="C331" s="560" t="s">
        <v>120</v>
      </c>
      <c r="D331" s="546"/>
      <c r="E331" s="48"/>
      <c r="F331" s="473" t="str">
        <f t="array" ref="F331">+INDEX('Budget original'!$A$2:$AO$501,MATCH($A331,'Budget original'!$A$2:$A$501,0),MATCH(F$2,'Budget original'!$A$2:$AO$2,0))</f>
        <v/>
      </c>
      <c r="G331" s="547"/>
      <c r="H331" s="48"/>
      <c r="I331" s="473"/>
      <c r="J331" s="480"/>
      <c r="K331" s="48"/>
      <c r="L331" s="484">
        <f>SUMIFS(BV_Data_An_Cour!$AM:$AM,BV_Data_An_Cour!$AP:$AP,$B331,BV_Data_An_Cour!$AQ:$AQ,$C331,BV_Data_An_Cour!$AR:$AR,$L$2)</f>
        <v>5677.78</v>
      </c>
      <c r="M331" s="480"/>
      <c r="N331" s="484">
        <f t="shared" si="63"/>
        <v>5677.78</v>
      </c>
      <c r="O331" s="480"/>
      <c r="P331" s="48"/>
      <c r="Q331" s="484">
        <f>SUMIFS(BV_Data_An_Prec!$AM:$AM,BV_Data_An_Prec!$AP:$AP,$B331,BV_Data_An_Prec!$AQ:$AQ,$C331,BV_Data_An_Prec!$AR:$AR,$L$2)</f>
        <v>6227.19</v>
      </c>
      <c r="R331" s="480"/>
      <c r="S331" s="484">
        <f t="shared" si="64"/>
        <v>-549.41</v>
      </c>
      <c r="T331" s="40"/>
      <c r="U331" s="40"/>
      <c r="V331" s="48"/>
      <c r="W331" s="48"/>
      <c r="X331" s="48"/>
      <c r="Y331" s="48"/>
      <c r="Z331" s="48"/>
      <c r="AA331" s="48"/>
      <c r="AB331" s="48"/>
      <c r="AC331" s="48"/>
      <c r="AD331" s="48"/>
      <c r="AE331" s="48"/>
      <c r="AF331" s="48"/>
      <c r="AG331" s="48"/>
      <c r="AH331" s="48"/>
      <c r="AI331" s="48"/>
      <c r="AJ331" s="48"/>
      <c r="AK331" s="48"/>
      <c r="AL331" s="48"/>
      <c r="AM331" s="48"/>
      <c r="AN331" s="48"/>
    </row>
    <row r="332" ht="15.75" customHeight="1">
      <c r="A332" s="5" t="s">
        <v>961</v>
      </c>
      <c r="B332" s="48" t="s">
        <v>174</v>
      </c>
      <c r="C332" s="559" t="s">
        <v>121</v>
      </c>
      <c r="D332" s="561"/>
      <c r="E332" s="562"/>
      <c r="F332" s="481" t="str">
        <f t="array" ref="F332">+INDEX('Budget original'!$A$2:$AO$501,MATCH($A332,'Budget original'!$A$2:$A$501,0),MATCH(F$2,'Budget original'!$A$2:$AO$2,0))</f>
        <v/>
      </c>
      <c r="G332" s="563"/>
      <c r="H332" s="562"/>
      <c r="I332" s="481"/>
      <c r="J332" s="466"/>
      <c r="K332" s="562"/>
      <c r="L332" s="523">
        <f>SUMIFS(BV_Data_An_Cour!$AM:$AM,BV_Data_An_Cour!$AP:$AP,$B332,BV_Data_An_Cour!$AQ:$AQ,$C332,BV_Data_An_Cour!$AR:$AR,$L$2)</f>
        <v>2747.85</v>
      </c>
      <c r="M332" s="466"/>
      <c r="N332" s="523">
        <f t="shared" si="63"/>
        <v>2747.85</v>
      </c>
      <c r="O332" s="466"/>
      <c r="P332" s="562"/>
      <c r="Q332" s="523">
        <f>SUMIFS(BV_Data_An_Prec!$AM:$AM,BV_Data_An_Prec!$AP:$AP,$B332,BV_Data_An_Prec!$AQ:$AQ,$C332,BV_Data_An_Prec!$AR:$AR,$L$2)</f>
        <v>0</v>
      </c>
      <c r="R332" s="466"/>
      <c r="S332" s="523">
        <f t="shared" si="64"/>
        <v>2747.85</v>
      </c>
      <c r="T332" s="40"/>
      <c r="U332" s="40"/>
      <c r="V332" s="48"/>
      <c r="W332" s="48"/>
      <c r="X332" s="48"/>
      <c r="Y332" s="48"/>
      <c r="Z332" s="48"/>
      <c r="AA332" s="48"/>
      <c r="AB332" s="48"/>
      <c r="AC332" s="48"/>
      <c r="AD332" s="48"/>
      <c r="AE332" s="48"/>
      <c r="AF332" s="48"/>
      <c r="AG332" s="48"/>
      <c r="AH332" s="48"/>
      <c r="AI332" s="48"/>
      <c r="AJ332" s="48"/>
      <c r="AK332" s="48"/>
      <c r="AL332" s="48"/>
      <c r="AM332" s="48"/>
      <c r="AN332" s="48"/>
    </row>
    <row r="333" ht="15.75" customHeight="1">
      <c r="A333" s="5" t="s">
        <v>962</v>
      </c>
      <c r="B333" s="48" t="s">
        <v>174</v>
      </c>
      <c r="C333" s="559" t="s">
        <v>122</v>
      </c>
      <c r="D333" s="546"/>
      <c r="E333" s="48"/>
      <c r="F333" s="481" t="str">
        <f t="array" ref="F333">+INDEX('Budget original'!$A$2:$AO$501,MATCH($A333,'Budget original'!$A$2:$A$501,0),MATCH(F$2,'Budget original'!$A$2:$AO$2,0))</f>
        <v/>
      </c>
      <c r="G333" s="547"/>
      <c r="H333" s="48"/>
      <c r="I333" s="481"/>
      <c r="J333" s="480"/>
      <c r="K333" s="48"/>
      <c r="L333" s="484">
        <f>SUMIFS(BV_Data_An_Cour!$AM:$AM,BV_Data_An_Cour!$AP:$AP,$B333,BV_Data_An_Cour!$AQ:$AQ,$C333,BV_Data_An_Cour!$AR:$AR,$L$2)</f>
        <v>0</v>
      </c>
      <c r="M333" s="480"/>
      <c r="N333" s="484">
        <f t="shared" si="63"/>
        <v>0</v>
      </c>
      <c r="O333" s="480"/>
      <c r="P333" s="48"/>
      <c r="Q333" s="484">
        <f>SUMIFS(BV_Data_An_Prec!$AM:$AM,BV_Data_An_Prec!$AP:$AP,$B333,BV_Data_An_Prec!$AQ:$AQ,$C333,BV_Data_An_Prec!$AR:$AR,$L$2)</f>
        <v>0</v>
      </c>
      <c r="R333" s="480"/>
      <c r="S333" s="484">
        <f t="shared" si="64"/>
        <v>0</v>
      </c>
      <c r="T333" s="40"/>
      <c r="U333" s="40"/>
      <c r="V333" s="48"/>
      <c r="W333" s="48"/>
      <c r="X333" s="48"/>
      <c r="Y333" s="48"/>
      <c r="Z333" s="48"/>
      <c r="AA333" s="48"/>
      <c r="AB333" s="48"/>
      <c r="AC333" s="48"/>
      <c r="AD333" s="48"/>
      <c r="AE333" s="48"/>
      <c r="AF333" s="48"/>
      <c r="AG333" s="48"/>
      <c r="AH333" s="48"/>
      <c r="AI333" s="48"/>
      <c r="AJ333" s="48"/>
      <c r="AK333" s="48"/>
      <c r="AL333" s="48"/>
      <c r="AM333" s="48"/>
      <c r="AN333" s="48"/>
    </row>
    <row r="334" ht="20.25" hidden="1" customHeight="1">
      <c r="A334" s="5" t="s">
        <v>963</v>
      </c>
      <c r="B334" s="48" t="s">
        <v>174</v>
      </c>
      <c r="C334" s="480" t="s">
        <v>56</v>
      </c>
      <c r="D334" s="546"/>
      <c r="E334" s="48"/>
      <c r="F334" s="481" t="str">
        <f t="array" ref="F334">+INDEX('Budget original'!$A$2:$AO$501,MATCH($A334,'Budget original'!$A$2:$A$501,0),MATCH(F$2,'Budget original'!$A$2:$AO$2,0))</f>
        <v/>
      </c>
      <c r="G334" s="547"/>
      <c r="H334" s="48"/>
      <c r="I334" s="481"/>
      <c r="J334" s="480"/>
      <c r="K334" s="48"/>
      <c r="L334" s="484">
        <f>SUMIFS(BV_Data_An_Cour!$AM:$AM,BV_Data_An_Cour!$AP:$AP,$B334,BV_Data_An_Cour!$AQ:$AQ,$C334,BV_Data_An_Cour!$AR:$AR,$L$2)</f>
        <v>0</v>
      </c>
      <c r="M334" s="480"/>
      <c r="N334" s="484">
        <f t="shared" si="63"/>
        <v>0</v>
      </c>
      <c r="O334" s="480"/>
      <c r="P334" s="48"/>
      <c r="Q334" s="484">
        <f>SUMIFS(BV_Data_An_Prec!$AM:$AM,BV_Data_An_Prec!$AP:$AP,$B334,BV_Data_An_Prec!$AQ:$AQ,$C334,BV_Data_An_Prec!$AR:$AR,$L$2)</f>
        <v>0</v>
      </c>
      <c r="R334" s="480"/>
      <c r="S334" s="484">
        <f t="shared" si="64"/>
        <v>0</v>
      </c>
      <c r="T334" s="40"/>
      <c r="U334" s="40"/>
      <c r="V334" s="48"/>
      <c r="W334" s="48"/>
      <c r="X334" s="48"/>
      <c r="Y334" s="48"/>
      <c r="Z334" s="48"/>
      <c r="AA334" s="48"/>
      <c r="AB334" s="48"/>
      <c r="AC334" s="48"/>
      <c r="AD334" s="48"/>
      <c r="AE334" s="48"/>
      <c r="AF334" s="48"/>
      <c r="AG334" s="48"/>
      <c r="AH334" s="48"/>
      <c r="AI334" s="48"/>
      <c r="AJ334" s="48"/>
      <c r="AK334" s="48"/>
      <c r="AL334" s="48"/>
      <c r="AM334" s="48"/>
      <c r="AN334" s="48"/>
    </row>
    <row r="335" ht="20.25" hidden="1" customHeight="1">
      <c r="A335" s="5" t="s">
        <v>963</v>
      </c>
      <c r="B335" s="48" t="s">
        <v>174</v>
      </c>
      <c r="C335" s="480" t="s">
        <v>56</v>
      </c>
      <c r="D335" s="546"/>
      <c r="E335" s="48"/>
      <c r="F335" s="481" t="str">
        <f t="array" ref="F335">+INDEX('Budget original'!$A$2:$AO$501,MATCH($A335,'Budget original'!$A$2:$A$501,0),MATCH(F$2,'Budget original'!$A$2:$AO$2,0))</f>
        <v/>
      </c>
      <c r="G335" s="547"/>
      <c r="H335" s="48"/>
      <c r="I335" s="481"/>
      <c r="J335" s="480"/>
      <c r="K335" s="48"/>
      <c r="L335" s="484">
        <f>SUMIFS(BV_Data_An_Cour!$AM:$AM,BV_Data_An_Cour!$AP:$AP,$B335,BV_Data_An_Cour!$AQ:$AQ,$C335,BV_Data_An_Cour!$AR:$AR,$L$2)</f>
        <v>0</v>
      </c>
      <c r="M335" s="480"/>
      <c r="N335" s="484">
        <f t="shared" si="63"/>
        <v>0</v>
      </c>
      <c r="O335" s="480"/>
      <c r="P335" s="48"/>
      <c r="Q335" s="484">
        <f>SUMIFS(BV_Data_An_Prec!$AM:$AM,BV_Data_An_Prec!$AP:$AP,$B335,BV_Data_An_Prec!$AQ:$AQ,$C335,BV_Data_An_Prec!$AR:$AR,$L$2)</f>
        <v>0</v>
      </c>
      <c r="R335" s="480"/>
      <c r="S335" s="484">
        <f t="shared" si="64"/>
        <v>0</v>
      </c>
      <c r="T335" s="40"/>
      <c r="U335" s="40"/>
      <c r="V335" s="48"/>
      <c r="W335" s="48"/>
      <c r="X335" s="48"/>
      <c r="Y335" s="48"/>
      <c r="Z335" s="48"/>
      <c r="AA335" s="48"/>
      <c r="AB335" s="48"/>
      <c r="AC335" s="48"/>
      <c r="AD335" s="48"/>
      <c r="AE335" s="48"/>
      <c r="AF335" s="48"/>
      <c r="AG335" s="48"/>
      <c r="AH335" s="48"/>
      <c r="AI335" s="48"/>
      <c r="AJ335" s="48"/>
      <c r="AK335" s="48"/>
      <c r="AL335" s="48"/>
      <c r="AM335" s="48"/>
      <c r="AN335" s="48"/>
    </row>
    <row r="336" ht="20.25" hidden="1" customHeight="1">
      <c r="A336" s="5" t="s">
        <v>963</v>
      </c>
      <c r="B336" s="48" t="s">
        <v>174</v>
      </c>
      <c r="C336" s="480" t="s">
        <v>56</v>
      </c>
      <c r="D336" s="546"/>
      <c r="E336" s="48"/>
      <c r="F336" s="481" t="str">
        <f t="array" ref="F336">+INDEX('Budget original'!$A$2:$AO$501,MATCH($A336,'Budget original'!$A$2:$A$501,0),MATCH(F$2,'Budget original'!$A$2:$AO$2,0))</f>
        <v/>
      </c>
      <c r="G336" s="547"/>
      <c r="H336" s="48"/>
      <c r="I336" s="481"/>
      <c r="J336" s="480"/>
      <c r="K336" s="48"/>
      <c r="L336" s="484">
        <f>SUMIFS(BV_Data_An_Cour!$AM:$AM,BV_Data_An_Cour!$AP:$AP,$B336,BV_Data_An_Cour!$AQ:$AQ,$C336,BV_Data_An_Cour!$AR:$AR,$L$2)</f>
        <v>0</v>
      </c>
      <c r="M336" s="480"/>
      <c r="N336" s="484">
        <f t="shared" si="63"/>
        <v>0</v>
      </c>
      <c r="O336" s="480"/>
      <c r="P336" s="48"/>
      <c r="Q336" s="484">
        <f>SUMIFS(BV_Data_An_Prec!$AM:$AM,BV_Data_An_Prec!$AP:$AP,$B336,BV_Data_An_Prec!$AQ:$AQ,$C336,BV_Data_An_Prec!$AR:$AR,$L$2)</f>
        <v>0</v>
      </c>
      <c r="R336" s="480"/>
      <c r="S336" s="484">
        <f t="shared" si="64"/>
        <v>0</v>
      </c>
      <c r="T336" s="40"/>
      <c r="U336" s="40"/>
      <c r="V336" s="48"/>
      <c r="W336" s="48"/>
      <c r="X336" s="48"/>
      <c r="Y336" s="48"/>
      <c r="Z336" s="48"/>
      <c r="AA336" s="48"/>
      <c r="AB336" s="48"/>
      <c r="AC336" s="48"/>
      <c r="AD336" s="48"/>
      <c r="AE336" s="48"/>
      <c r="AF336" s="48"/>
      <c r="AG336" s="48"/>
      <c r="AH336" s="48"/>
      <c r="AI336" s="48"/>
      <c r="AJ336" s="48"/>
      <c r="AK336" s="48"/>
      <c r="AL336" s="48"/>
      <c r="AM336" s="48"/>
      <c r="AN336" s="48"/>
    </row>
    <row r="337" ht="15.75" customHeight="1">
      <c r="A337" s="5" t="s">
        <v>964</v>
      </c>
      <c r="B337" s="48" t="s">
        <v>174</v>
      </c>
      <c r="C337" s="560" t="s">
        <v>123</v>
      </c>
      <c r="D337" s="546"/>
      <c r="E337" s="48"/>
      <c r="F337" s="473" t="str">
        <f t="array" ref="F337">+INDEX('Budget original'!$A$2:$AO$501,MATCH($A337,'Budget original'!$A$2:$A$501,0),MATCH(F$2,'Budget original'!$A$2:$AO$2,0))</f>
        <v/>
      </c>
      <c r="G337" s="547"/>
      <c r="H337" s="48"/>
      <c r="I337" s="473"/>
      <c r="J337" s="480"/>
      <c r="K337" s="48"/>
      <c r="L337" s="484">
        <f>SUMIFS(BV_Data_An_Cour!$AM:$AM,BV_Data_An_Cour!$AP:$AP,$B337,BV_Data_An_Cour!$AQ:$AQ,$C337,BV_Data_An_Cour!$AR:$AR,$L$2)</f>
        <v>4731.08</v>
      </c>
      <c r="M337" s="480"/>
      <c r="N337" s="484">
        <f t="shared" si="63"/>
        <v>4731.08</v>
      </c>
      <c r="O337" s="480"/>
      <c r="P337" s="48"/>
      <c r="Q337" s="484">
        <f>SUMIFS(BV_Data_An_Prec!$AM:$AM,BV_Data_An_Prec!$AP:$AP,$B337,BV_Data_An_Prec!$AQ:$AQ,$C337,BV_Data_An_Prec!$AR:$AR,$L$2)</f>
        <v>4524.42</v>
      </c>
      <c r="R337" s="480"/>
      <c r="S337" s="484">
        <f t="shared" si="64"/>
        <v>206.66</v>
      </c>
      <c r="T337" s="40"/>
      <c r="U337" s="40"/>
      <c r="V337" s="48"/>
      <c r="W337" s="48"/>
      <c r="X337" s="48"/>
      <c r="Y337" s="48"/>
      <c r="Z337" s="48"/>
      <c r="AA337" s="48"/>
      <c r="AB337" s="48"/>
      <c r="AC337" s="48"/>
      <c r="AD337" s="48"/>
      <c r="AE337" s="48"/>
      <c r="AF337" s="48"/>
      <c r="AG337" s="48"/>
      <c r="AH337" s="48"/>
      <c r="AI337" s="48"/>
      <c r="AJ337" s="48"/>
      <c r="AK337" s="48"/>
      <c r="AL337" s="48"/>
      <c r="AM337" s="48"/>
      <c r="AN337" s="48"/>
    </row>
    <row r="338" ht="15.75" customHeight="1">
      <c r="A338" s="5" t="s">
        <v>965</v>
      </c>
      <c r="B338" s="48" t="s">
        <v>174</v>
      </c>
      <c r="C338" s="559" t="s">
        <v>124</v>
      </c>
      <c r="D338" s="561"/>
      <c r="E338" s="562"/>
      <c r="F338" s="481" t="str">
        <f t="array" ref="F338">+INDEX('Budget original'!$A$2:$AO$501,MATCH($A338,'Budget original'!$A$2:$A$501,0),MATCH(F$2,'Budget original'!$A$2:$AO$2,0))</f>
        <v/>
      </c>
      <c r="G338" s="563"/>
      <c r="H338" s="562"/>
      <c r="I338" s="481"/>
      <c r="J338" s="466"/>
      <c r="K338" s="562"/>
      <c r="L338" s="523">
        <f>SUMIFS(BV_Data_An_Cour!$AM:$AM,BV_Data_An_Cour!$AP:$AP,$B338,BV_Data_An_Cour!$AQ:$AQ,$C338,BV_Data_An_Cour!$AR:$AR,$L$2)</f>
        <v>5519.69</v>
      </c>
      <c r="M338" s="466"/>
      <c r="N338" s="523">
        <f t="shared" si="63"/>
        <v>5519.69</v>
      </c>
      <c r="O338" s="466"/>
      <c r="P338" s="562"/>
      <c r="Q338" s="523">
        <f>SUMIFS(BV_Data_An_Prec!$AM:$AM,BV_Data_An_Prec!$AP:$AP,$B338,BV_Data_An_Prec!$AQ:$AQ,$C338,BV_Data_An_Prec!$AR:$AR,$L$2)</f>
        <v>5123.91</v>
      </c>
      <c r="R338" s="466"/>
      <c r="S338" s="523">
        <f t="shared" si="64"/>
        <v>395.78</v>
      </c>
      <c r="T338" s="40"/>
      <c r="U338" s="40"/>
      <c r="V338" s="48"/>
      <c r="W338" s="48"/>
      <c r="X338" s="48"/>
      <c r="Y338" s="48"/>
      <c r="Z338" s="48"/>
      <c r="AA338" s="48"/>
      <c r="AB338" s="48"/>
      <c r="AC338" s="48"/>
      <c r="AD338" s="48"/>
      <c r="AE338" s="48"/>
      <c r="AF338" s="48"/>
      <c r="AG338" s="48"/>
      <c r="AH338" s="48"/>
      <c r="AI338" s="48"/>
      <c r="AJ338" s="48"/>
      <c r="AK338" s="48"/>
      <c r="AL338" s="48"/>
      <c r="AM338" s="48"/>
      <c r="AN338" s="48"/>
    </row>
    <row r="339" ht="15.75" customHeight="1">
      <c r="A339" s="5" t="s">
        <v>966</v>
      </c>
      <c r="B339" s="48" t="s">
        <v>174</v>
      </c>
      <c r="C339" s="559" t="s">
        <v>125</v>
      </c>
      <c r="D339" s="546"/>
      <c r="E339" s="48"/>
      <c r="F339" s="481" t="str">
        <f t="array" ref="F339">+INDEX('Budget original'!$A$2:$AO$501,MATCH($A339,'Budget original'!$A$2:$A$501,0),MATCH(F$2,'Budget original'!$A$2:$AO$2,0))</f>
        <v/>
      </c>
      <c r="G339" s="547"/>
      <c r="H339" s="48"/>
      <c r="I339" s="481"/>
      <c r="J339" s="480"/>
      <c r="K339" s="48"/>
      <c r="L339" s="484">
        <f>SUMIFS(BV_Data_An_Cour!$AM:$AM,BV_Data_An_Cour!$AP:$AP,$B339,BV_Data_An_Cour!$AQ:$AQ,$C339,BV_Data_An_Cour!$AR:$AR,$L$2)</f>
        <v>441.36</v>
      </c>
      <c r="M339" s="480"/>
      <c r="N339" s="484">
        <f t="shared" si="63"/>
        <v>441.36</v>
      </c>
      <c r="O339" s="480"/>
      <c r="P339" s="48"/>
      <c r="Q339" s="484">
        <f>SUMIFS(BV_Data_An_Prec!$AM:$AM,BV_Data_An_Prec!$AP:$AP,$B339,BV_Data_An_Prec!$AQ:$AQ,$C339,BV_Data_An_Prec!$AR:$AR,$L$2)</f>
        <v>2673.92</v>
      </c>
      <c r="R339" s="480"/>
      <c r="S339" s="484">
        <f t="shared" si="64"/>
        <v>-2232.56</v>
      </c>
      <c r="T339" s="40"/>
      <c r="U339" s="40"/>
      <c r="V339" s="48"/>
      <c r="W339" s="48"/>
      <c r="X339" s="48"/>
      <c r="Y339" s="48"/>
      <c r="Z339" s="48"/>
      <c r="AA339" s="48"/>
      <c r="AB339" s="48"/>
      <c r="AC339" s="48"/>
      <c r="AD339" s="48"/>
      <c r="AE339" s="48"/>
      <c r="AF339" s="48"/>
      <c r="AG339" s="48"/>
      <c r="AH339" s="48"/>
      <c r="AI339" s="48"/>
      <c r="AJ339" s="48"/>
      <c r="AK339" s="48"/>
      <c r="AL339" s="48"/>
      <c r="AM339" s="48"/>
      <c r="AN339" s="48"/>
    </row>
    <row r="340" ht="15.75" customHeight="1">
      <c r="A340" s="5" t="s">
        <v>967</v>
      </c>
      <c r="B340" s="48" t="s">
        <v>174</v>
      </c>
      <c r="C340" s="559" t="s">
        <v>126</v>
      </c>
      <c r="D340" s="546"/>
      <c r="E340" s="48"/>
      <c r="F340" s="481" t="str">
        <f t="array" ref="F340">+INDEX('Budget original'!$A$2:$AO$501,MATCH($A340,'Budget original'!$A$2:$A$501,0),MATCH(F$2,'Budget original'!$A$2:$AO$2,0))</f>
        <v/>
      </c>
      <c r="G340" s="547"/>
      <c r="H340" s="48"/>
      <c r="I340" s="481"/>
      <c r="J340" s="480"/>
      <c r="K340" s="48"/>
      <c r="L340" s="484">
        <f>SUMIFS(BV_Data_An_Cour!$AM:$AM,BV_Data_An_Cour!$AP:$AP,$B340,BV_Data_An_Cour!$AQ:$AQ,$C340,BV_Data_An_Cour!$AR:$AR,$L$2)</f>
        <v>1652.83</v>
      </c>
      <c r="M340" s="480"/>
      <c r="N340" s="484">
        <f t="shared" si="63"/>
        <v>1652.83</v>
      </c>
      <c r="O340" s="480"/>
      <c r="P340" s="48"/>
      <c r="Q340" s="484">
        <f>SUMIFS(BV_Data_An_Prec!$AM:$AM,BV_Data_An_Prec!$AP:$AP,$B340,BV_Data_An_Prec!$AQ:$AQ,$C340,BV_Data_An_Prec!$AR:$AR,$L$2)</f>
        <v>46.26</v>
      </c>
      <c r="R340" s="480"/>
      <c r="S340" s="484">
        <f t="shared" si="64"/>
        <v>1606.57</v>
      </c>
      <c r="T340" s="40"/>
      <c r="U340" s="40"/>
      <c r="V340" s="48"/>
      <c r="W340" s="48"/>
      <c r="X340" s="48"/>
      <c r="Y340" s="48"/>
      <c r="Z340" s="48"/>
      <c r="AA340" s="48"/>
      <c r="AB340" s="48"/>
      <c r="AC340" s="48"/>
      <c r="AD340" s="48"/>
      <c r="AE340" s="48"/>
      <c r="AF340" s="48"/>
      <c r="AG340" s="48"/>
      <c r="AH340" s="48"/>
      <c r="AI340" s="48"/>
      <c r="AJ340" s="48"/>
      <c r="AK340" s="48"/>
      <c r="AL340" s="48"/>
      <c r="AM340" s="48"/>
      <c r="AN340" s="48"/>
    </row>
    <row r="341" ht="20.25" hidden="1" customHeight="1">
      <c r="A341" s="5" t="s">
        <v>963</v>
      </c>
      <c r="B341" s="48" t="s">
        <v>174</v>
      </c>
      <c r="C341" s="480" t="s">
        <v>56</v>
      </c>
      <c r="D341" s="549"/>
      <c r="E341" s="564"/>
      <c r="F341" s="481" t="str">
        <f t="array" ref="F341">+INDEX('Budget original'!$A$2:$AO$501,MATCH($A341,'Budget original'!$A$2:$A$501,0),MATCH(F$2,'Budget original'!$A$2:$AO$2,0))</f>
        <v/>
      </c>
      <c r="G341" s="550"/>
      <c r="H341" s="564"/>
      <c r="I341" s="481"/>
      <c r="J341" s="471"/>
      <c r="K341" s="564"/>
      <c r="L341" s="484">
        <f>SUMIFS(BV_Data_An_Cour!$AM:$AM,BV_Data_An_Cour!$AP:$AP,$B341,BV_Data_An_Cour!$AQ:$AQ,$C341,BV_Data_An_Cour!$AR:$AR,$L$2)</f>
        <v>0</v>
      </c>
      <c r="M341" s="471"/>
      <c r="N341" s="476">
        <f t="shared" si="63"/>
        <v>0</v>
      </c>
      <c r="O341" s="471"/>
      <c r="P341" s="564"/>
      <c r="Q341" s="484">
        <f>SUMIFS(BV_Data_An_Prec!$AM:$AM,BV_Data_An_Prec!$AP:$AP,$B341,BV_Data_An_Prec!$AQ:$AQ,$C341,BV_Data_An_Prec!$AR:$AR,$L$2)</f>
        <v>0</v>
      </c>
      <c r="R341" s="471"/>
      <c r="S341" s="476">
        <f t="shared" si="64"/>
        <v>0</v>
      </c>
      <c r="T341" s="40"/>
      <c r="U341" s="40"/>
      <c r="V341" s="48"/>
      <c r="W341" s="48"/>
      <c r="X341" s="48"/>
      <c r="Y341" s="48"/>
      <c r="Z341" s="48"/>
      <c r="AA341" s="48"/>
      <c r="AB341" s="48"/>
      <c r="AC341" s="48"/>
      <c r="AD341" s="48"/>
      <c r="AE341" s="48"/>
      <c r="AF341" s="48"/>
      <c r="AG341" s="48"/>
      <c r="AH341" s="48"/>
      <c r="AI341" s="48"/>
      <c r="AJ341" s="48"/>
      <c r="AK341" s="48"/>
      <c r="AL341" s="48"/>
      <c r="AM341" s="48"/>
      <c r="AN341" s="48"/>
    </row>
    <row r="342" ht="18.0" customHeight="1">
      <c r="A342" s="5" t="s">
        <v>968</v>
      </c>
      <c r="B342" s="48" t="s">
        <v>174</v>
      </c>
      <c r="C342" s="552" t="s">
        <v>127</v>
      </c>
      <c r="D342" s="553" t="s">
        <v>225</v>
      </c>
      <c r="E342" s="554" t="str">
        <f>F342/F$326</f>
        <v>#DIV/0!</v>
      </c>
      <c r="F342" s="555">
        <f>+SUM(F330:F341)</f>
        <v>0</v>
      </c>
      <c r="G342" s="556"/>
      <c r="H342" s="554"/>
      <c r="I342" s="555"/>
      <c r="J342" s="556" t="s">
        <v>225</v>
      </c>
      <c r="K342" s="554">
        <f>IF(L326=0,0,L342/L$326)</f>
        <v>0.3868139122</v>
      </c>
      <c r="L342" s="555">
        <f>+SUM(L330:L341)</f>
        <v>34853.62</v>
      </c>
      <c r="M342" s="557"/>
      <c r="N342" s="555">
        <f t="shared" si="63"/>
        <v>34853.62</v>
      </c>
      <c r="O342" s="556" t="s">
        <v>225</v>
      </c>
      <c r="P342" s="554">
        <f>IF(Q326=0,0,Q342/Q$326)</f>
        <v>0.5232134322</v>
      </c>
      <c r="Q342" s="555">
        <f>+SUM(Q330:Q341)</f>
        <v>39496.21</v>
      </c>
      <c r="R342" s="558"/>
      <c r="S342" s="555">
        <f t="shared" si="64"/>
        <v>-4642.59</v>
      </c>
      <c r="T342" s="40"/>
      <c r="U342" s="40"/>
      <c r="V342" s="48"/>
      <c r="W342" s="48"/>
      <c r="X342" s="48"/>
      <c r="Y342" s="48"/>
      <c r="Z342" s="48"/>
      <c r="AA342" s="48"/>
      <c r="AB342" s="48"/>
      <c r="AC342" s="48"/>
      <c r="AD342" s="48"/>
      <c r="AE342" s="48"/>
      <c r="AF342" s="48"/>
      <c r="AG342" s="48"/>
      <c r="AH342" s="48"/>
      <c r="AI342" s="48"/>
      <c r="AJ342" s="48"/>
      <c r="AK342" s="48"/>
      <c r="AL342" s="48"/>
      <c r="AM342" s="48"/>
      <c r="AN342" s="48"/>
    </row>
    <row r="343" ht="15.75" customHeight="1">
      <c r="A343" s="5" t="s">
        <v>969</v>
      </c>
      <c r="B343" s="48" t="s">
        <v>174</v>
      </c>
      <c r="C343" s="654" t="s">
        <v>128</v>
      </c>
      <c r="D343" s="546"/>
      <c r="E343" s="48"/>
      <c r="F343" s="481" t="str">
        <f t="array" ref="F343">+INDEX('Budget original'!$A$2:$AO$501,MATCH($A343,'Budget original'!$A$2:$A$501,0),MATCH(F$2,'Budget original'!$A$2:$AO$2,0))</f>
        <v/>
      </c>
      <c r="G343" s="547"/>
      <c r="H343" s="48"/>
      <c r="I343" s="481"/>
      <c r="J343" s="480"/>
      <c r="K343" s="48"/>
      <c r="L343" s="484">
        <f>SUMIFS(BV_Data_An_Cour!$AM:$AM,BV_Data_An_Cour!$AP:$AP,$B343,BV_Data_An_Cour!$AQ:$AQ,$C343,BV_Data_An_Cour!$AR:$AR,$L$2)</f>
        <v>1885.45</v>
      </c>
      <c r="M343" s="480"/>
      <c r="N343" s="484">
        <f t="shared" si="63"/>
        <v>1885.45</v>
      </c>
      <c r="O343" s="480"/>
      <c r="P343" s="48"/>
      <c r="Q343" s="484">
        <f>SUMIFS(BV_Data_An_Prec!$AM:$AM,BV_Data_An_Prec!$AP:$AP,$B343,BV_Data_An_Prec!$AQ:$AQ,$C343,BV_Data_An_Prec!$AR:$AR,$L$2)</f>
        <v>1266.09</v>
      </c>
      <c r="R343" s="480"/>
      <c r="S343" s="484">
        <f t="shared" si="64"/>
        <v>619.36</v>
      </c>
      <c r="T343" s="40"/>
      <c r="U343" s="40"/>
      <c r="V343" s="48"/>
      <c r="W343" s="48"/>
      <c r="X343" s="48"/>
      <c r="Y343" s="48"/>
      <c r="Z343" s="48"/>
      <c r="AA343" s="48"/>
      <c r="AB343" s="48"/>
      <c r="AC343" s="48"/>
      <c r="AD343" s="48"/>
      <c r="AE343" s="48"/>
      <c r="AF343" s="48"/>
      <c r="AG343" s="48"/>
      <c r="AH343" s="48"/>
      <c r="AI343" s="48"/>
      <c r="AJ343" s="48"/>
      <c r="AK343" s="48"/>
      <c r="AL343" s="48"/>
      <c r="AM343" s="48"/>
      <c r="AN343" s="48"/>
    </row>
    <row r="344" ht="15.75" customHeight="1">
      <c r="A344" s="5" t="s">
        <v>970</v>
      </c>
      <c r="B344" s="48" t="s">
        <v>174</v>
      </c>
      <c r="C344" s="559" t="s">
        <v>129</v>
      </c>
      <c r="D344" s="546"/>
      <c r="E344" s="48"/>
      <c r="F344" s="481" t="str">
        <f t="array" ref="F344">+INDEX('Budget original'!$A$2:$AO$501,MATCH($A344,'Budget original'!$A$2:$A$501,0),MATCH(F$2,'Budget original'!$A$2:$AO$2,0))</f>
        <v/>
      </c>
      <c r="G344" s="547"/>
      <c r="H344" s="48"/>
      <c r="I344" s="481"/>
      <c r="J344" s="480"/>
      <c r="K344" s="48"/>
      <c r="L344" s="484">
        <f>SUMIFS(BV_Data_An_Cour!$AM:$AM,BV_Data_An_Cour!$AP:$AP,$B344,BV_Data_An_Cour!$AQ:$AQ,$C344,BV_Data_An_Cour!$AR:$AR,$L$2)</f>
        <v>1829.22</v>
      </c>
      <c r="M344" s="480"/>
      <c r="N344" s="484">
        <f t="shared" si="63"/>
        <v>1829.22</v>
      </c>
      <c r="O344" s="480"/>
      <c r="P344" s="48"/>
      <c r="Q344" s="484">
        <f>SUMIFS(BV_Data_An_Prec!$AM:$AM,BV_Data_An_Prec!$AP:$AP,$B344,BV_Data_An_Prec!$AQ:$AQ,$C344,BV_Data_An_Prec!$AR:$AR,$L$2)</f>
        <v>821.71</v>
      </c>
      <c r="R344" s="480"/>
      <c r="S344" s="484">
        <f t="shared" si="64"/>
        <v>1007.51</v>
      </c>
      <c r="T344" s="40"/>
      <c r="U344" s="40"/>
      <c r="V344" s="48"/>
      <c r="W344" s="48"/>
      <c r="X344" s="48"/>
      <c r="Y344" s="48"/>
      <c r="Z344" s="48"/>
      <c r="AA344" s="48"/>
      <c r="AB344" s="48"/>
      <c r="AC344" s="48"/>
      <c r="AD344" s="48"/>
      <c r="AE344" s="48"/>
      <c r="AF344" s="48"/>
      <c r="AG344" s="48"/>
      <c r="AH344" s="48"/>
      <c r="AI344" s="48"/>
      <c r="AJ344" s="48"/>
      <c r="AK344" s="48"/>
      <c r="AL344" s="48"/>
      <c r="AM344" s="48"/>
      <c r="AN344" s="48"/>
    </row>
    <row r="345" ht="15.75" customHeight="1">
      <c r="A345" s="5" t="s">
        <v>971</v>
      </c>
      <c r="B345" s="48" t="s">
        <v>174</v>
      </c>
      <c r="C345" s="560" t="s">
        <v>130</v>
      </c>
      <c r="D345" s="549"/>
      <c r="E345" s="564"/>
      <c r="F345" s="473" t="str">
        <f t="array" ref="F345">+INDEX('Budget original'!$A$2:$AO$501,MATCH($A345,'Budget original'!$A$2:$A$501,0),MATCH(F$2,'Budget original'!$A$2:$AO$2,0))</f>
        <v/>
      </c>
      <c r="G345" s="550"/>
      <c r="H345" s="564"/>
      <c r="I345" s="473"/>
      <c r="J345" s="471"/>
      <c r="K345" s="564"/>
      <c r="L345" s="484">
        <f>SUMIFS(BV_Data_An_Cour!$AM:$AM,BV_Data_An_Cour!$AP:$AP,$B345,BV_Data_An_Cour!$AQ:$AQ,$C345,BV_Data_An_Cour!$AR:$AR,$L$2)</f>
        <v>575.59</v>
      </c>
      <c r="M345" s="471"/>
      <c r="N345" s="476">
        <f t="shared" si="63"/>
        <v>575.59</v>
      </c>
      <c r="O345" s="471"/>
      <c r="P345" s="564"/>
      <c r="Q345" s="484">
        <f>SUMIFS(BV_Data_An_Prec!$AM:$AM,BV_Data_An_Prec!$AP:$AP,$B345,BV_Data_An_Prec!$AQ:$AQ,$C345,BV_Data_An_Prec!$AR:$AR,$L$2)</f>
        <v>1041.16</v>
      </c>
      <c r="R345" s="471"/>
      <c r="S345" s="476">
        <f t="shared" si="64"/>
        <v>-465.57</v>
      </c>
      <c r="T345" s="40"/>
      <c r="U345" s="40"/>
      <c r="V345" s="48"/>
      <c r="W345" s="48"/>
      <c r="X345" s="48"/>
      <c r="Y345" s="48"/>
      <c r="Z345" s="48"/>
      <c r="AA345" s="48"/>
      <c r="AB345" s="48"/>
      <c r="AC345" s="48"/>
      <c r="AD345" s="48"/>
      <c r="AE345" s="48"/>
      <c r="AF345" s="48"/>
      <c r="AG345" s="48"/>
      <c r="AH345" s="48"/>
      <c r="AI345" s="48"/>
      <c r="AJ345" s="48"/>
      <c r="AK345" s="48"/>
      <c r="AL345" s="48"/>
      <c r="AM345" s="48"/>
      <c r="AN345" s="48"/>
    </row>
    <row r="346" ht="15.75" customHeight="1">
      <c r="A346" s="5" t="s">
        <v>972</v>
      </c>
      <c r="B346" s="48" t="s">
        <v>174</v>
      </c>
      <c r="C346" s="559" t="s">
        <v>131</v>
      </c>
      <c r="D346" s="546"/>
      <c r="E346" s="48"/>
      <c r="F346" s="481" t="str">
        <f t="array" ref="F346">+INDEX('Budget original'!$A$2:$AO$501,MATCH($A346,'Budget original'!$A$2:$A$501,0),MATCH(F$2,'Budget original'!$A$2:$AO$2,0))</f>
        <v/>
      </c>
      <c r="G346" s="547"/>
      <c r="H346" s="48"/>
      <c r="I346" s="481"/>
      <c r="J346" s="480"/>
      <c r="K346" s="48"/>
      <c r="L346" s="523">
        <f>SUMIFS(BV_Data_An_Cour!$AM:$AM,BV_Data_An_Cour!$AP:$AP,$B346,BV_Data_An_Cour!$AQ:$AQ,$C346,BV_Data_An_Cour!$AR:$AR,$L$2)</f>
        <v>3939.31</v>
      </c>
      <c r="M346" s="480"/>
      <c r="N346" s="484">
        <f t="shared" si="63"/>
        <v>3939.31</v>
      </c>
      <c r="O346" s="480"/>
      <c r="P346" s="48"/>
      <c r="Q346" s="523">
        <f>SUMIFS(BV_Data_An_Prec!$AM:$AM,BV_Data_An_Prec!$AP:$AP,$B346,BV_Data_An_Prec!$AQ:$AQ,$C346,BV_Data_An_Prec!$AR:$AR,$L$2)</f>
        <v>2561.89</v>
      </c>
      <c r="R346" s="480"/>
      <c r="S346" s="484">
        <f t="shared" si="64"/>
        <v>1377.42</v>
      </c>
      <c r="T346" s="40"/>
      <c r="U346" s="40"/>
      <c r="V346" s="48"/>
      <c r="W346" s="48"/>
      <c r="X346" s="48"/>
      <c r="Y346" s="48"/>
      <c r="Z346" s="48"/>
      <c r="AA346" s="48"/>
      <c r="AB346" s="48"/>
      <c r="AC346" s="48"/>
      <c r="AD346" s="48"/>
      <c r="AE346" s="48"/>
      <c r="AF346" s="48"/>
      <c r="AG346" s="48"/>
      <c r="AH346" s="48"/>
      <c r="AI346" s="48"/>
      <c r="AJ346" s="48"/>
      <c r="AK346" s="48"/>
      <c r="AL346" s="48"/>
      <c r="AM346" s="48"/>
      <c r="AN346" s="48"/>
    </row>
    <row r="347" ht="15.75" customHeight="1">
      <c r="A347" s="5" t="s">
        <v>973</v>
      </c>
      <c r="B347" s="48" t="s">
        <v>174</v>
      </c>
      <c r="C347" s="559" t="s">
        <v>132</v>
      </c>
      <c r="D347" s="546"/>
      <c r="E347" s="48"/>
      <c r="F347" s="481" t="str">
        <f t="array" ref="F347">+INDEX('Budget original'!$A$2:$AO$501,MATCH($A347,'Budget original'!$A$2:$A$501,0),MATCH(F$2,'Budget original'!$A$2:$AO$2,0))</f>
        <v/>
      </c>
      <c r="G347" s="547"/>
      <c r="H347" s="48"/>
      <c r="I347" s="481"/>
      <c r="J347" s="480"/>
      <c r="K347" s="48"/>
      <c r="L347" s="484">
        <f>SUMIFS(BV_Data_An_Cour!$AM:$AM,BV_Data_An_Cour!$AP:$AP,$B347,BV_Data_An_Cour!$AQ:$AQ,$C347,BV_Data_An_Cour!$AR:$AR,$L$2)</f>
        <v>219.69</v>
      </c>
      <c r="M347" s="480"/>
      <c r="N347" s="484">
        <f t="shared" si="63"/>
        <v>219.69</v>
      </c>
      <c r="O347" s="480"/>
      <c r="P347" s="48"/>
      <c r="Q347" s="484">
        <f>SUMIFS(BV_Data_An_Prec!$AM:$AM,BV_Data_An_Prec!$AP:$AP,$B347,BV_Data_An_Prec!$AQ:$AQ,$C347,BV_Data_An_Prec!$AR:$AR,$L$2)</f>
        <v>3239.51</v>
      </c>
      <c r="R347" s="480"/>
      <c r="S347" s="484">
        <f t="shared" si="64"/>
        <v>-3019.82</v>
      </c>
      <c r="T347" s="40"/>
      <c r="U347" s="40"/>
      <c r="V347" s="48"/>
      <c r="W347" s="48"/>
      <c r="X347" s="48"/>
      <c r="Y347" s="48"/>
      <c r="Z347" s="48"/>
      <c r="AA347" s="48"/>
      <c r="AB347" s="48"/>
      <c r="AC347" s="48"/>
      <c r="AD347" s="48"/>
      <c r="AE347" s="48"/>
      <c r="AF347" s="48"/>
      <c r="AG347" s="48"/>
      <c r="AH347" s="48"/>
      <c r="AI347" s="48"/>
      <c r="AJ347" s="48"/>
      <c r="AK347" s="48"/>
      <c r="AL347" s="48"/>
      <c r="AM347" s="48"/>
      <c r="AN347" s="48"/>
    </row>
    <row r="348" ht="15.75" customHeight="1">
      <c r="A348" s="5" t="s">
        <v>974</v>
      </c>
      <c r="B348" s="48" t="s">
        <v>174</v>
      </c>
      <c r="C348" s="559" t="s">
        <v>133</v>
      </c>
      <c r="D348" s="549"/>
      <c r="E348" s="564"/>
      <c r="F348" s="473" t="str">
        <f t="array" ref="F348">+INDEX('Budget original'!$A$2:$AO$501,MATCH($A348,'Budget original'!$A$2:$A$501,0),MATCH(F$2,'Budget original'!$A$2:$AO$2,0))</f>
        <v/>
      </c>
      <c r="G348" s="550"/>
      <c r="H348" s="564"/>
      <c r="I348" s="473"/>
      <c r="J348" s="471"/>
      <c r="K348" s="564"/>
      <c r="L348" s="484">
        <f>SUMIFS(BV_Data_An_Cour!$AM:$AM,BV_Data_An_Cour!$AP:$AP,$B348,BV_Data_An_Cour!$AQ:$AQ,$C348,BV_Data_An_Cour!$AR:$AR,$L$2)</f>
        <v>1748.53</v>
      </c>
      <c r="M348" s="471"/>
      <c r="N348" s="476">
        <f t="shared" si="63"/>
        <v>1748.53</v>
      </c>
      <c r="O348" s="471"/>
      <c r="P348" s="564"/>
      <c r="Q348" s="484">
        <f>SUMIFS(BV_Data_An_Prec!$AM:$AM,BV_Data_An_Prec!$AP:$AP,$B348,BV_Data_An_Prec!$AQ:$AQ,$C348,BV_Data_An_Prec!$AR:$AR,$L$2)</f>
        <v>3090.19</v>
      </c>
      <c r="R348" s="471"/>
      <c r="S348" s="476">
        <f t="shared" si="64"/>
        <v>-1341.66</v>
      </c>
      <c r="T348" s="40"/>
      <c r="U348" s="40"/>
      <c r="V348" s="48"/>
      <c r="W348" s="48"/>
      <c r="X348" s="48"/>
      <c r="Y348" s="48"/>
      <c r="Z348" s="48"/>
      <c r="AA348" s="48"/>
      <c r="AB348" s="48"/>
      <c r="AC348" s="48"/>
      <c r="AD348" s="48"/>
      <c r="AE348" s="48"/>
      <c r="AF348" s="48"/>
      <c r="AG348" s="48"/>
      <c r="AH348" s="48"/>
      <c r="AI348" s="48"/>
      <c r="AJ348" s="48"/>
      <c r="AK348" s="48"/>
      <c r="AL348" s="48"/>
      <c r="AM348" s="48"/>
      <c r="AN348" s="48"/>
    </row>
    <row r="349" ht="15.75" customHeight="1">
      <c r="A349" s="5" t="s">
        <v>975</v>
      </c>
      <c r="B349" s="48" t="s">
        <v>174</v>
      </c>
      <c r="C349" s="654" t="s">
        <v>173</v>
      </c>
      <c r="D349" s="546"/>
      <c r="E349" s="48"/>
      <c r="F349" s="481"/>
      <c r="G349" s="547"/>
      <c r="H349" s="48"/>
      <c r="I349" s="481"/>
      <c r="J349" s="480"/>
      <c r="K349" s="48"/>
      <c r="L349" s="523">
        <f>SUMIFS(BV_Data_An_Cour!$AM:$AM,BV_Data_An_Cour!$AP:$AP,$B349,BV_Data_An_Cour!$AQ:$AQ,$C349,BV_Data_An_Cour!$AR:$AR,$L$2)</f>
        <v>0</v>
      </c>
      <c r="M349" s="480"/>
      <c r="N349" s="484">
        <f t="shared" si="63"/>
        <v>0</v>
      </c>
      <c r="O349" s="480"/>
      <c r="P349" s="48"/>
      <c r="Q349" s="523">
        <f>SUMIFS(BV_Data_An_Prec!$AM:$AM,BV_Data_An_Prec!$AP:$AP,$B349,BV_Data_An_Prec!$AQ:$AQ,$C349,BV_Data_An_Prec!$AR:$AR,$L$2)</f>
        <v>0</v>
      </c>
      <c r="R349" s="480"/>
      <c r="S349" s="484">
        <f t="shared" si="64"/>
        <v>0</v>
      </c>
      <c r="T349" s="40"/>
      <c r="U349" s="40"/>
      <c r="V349" s="48"/>
      <c r="W349" s="48"/>
      <c r="X349" s="48"/>
      <c r="Y349" s="48"/>
      <c r="Z349" s="48"/>
      <c r="AA349" s="48"/>
      <c r="AB349" s="48"/>
      <c r="AC349" s="48"/>
      <c r="AD349" s="48"/>
      <c r="AE349" s="48"/>
      <c r="AF349" s="48"/>
      <c r="AG349" s="48"/>
      <c r="AH349" s="48"/>
      <c r="AI349" s="48"/>
      <c r="AJ349" s="48"/>
      <c r="AK349" s="48"/>
      <c r="AL349" s="48"/>
      <c r="AM349" s="48"/>
      <c r="AN349" s="48"/>
    </row>
    <row r="350" ht="15.75" customHeight="1">
      <c r="A350" s="5" t="s">
        <v>976</v>
      </c>
      <c r="B350" s="48" t="s">
        <v>174</v>
      </c>
      <c r="C350" s="559" t="s">
        <v>134</v>
      </c>
      <c r="D350" s="546"/>
      <c r="E350" s="48"/>
      <c r="F350" s="481" t="str">
        <f t="array" ref="F350">+INDEX('Budget original'!$A$2:$AO$501,MATCH($A350,'Budget original'!$A$2:$A$501,0),MATCH(F$2,'Budget original'!$A$2:$AO$2,0))</f>
        <v/>
      </c>
      <c r="G350" s="547"/>
      <c r="H350" s="48"/>
      <c r="I350" s="481"/>
      <c r="J350" s="480"/>
      <c r="K350" s="48"/>
      <c r="L350" s="484">
        <f>SUMIFS(BV_Data_An_Cour!$AM:$AM,BV_Data_An_Cour!$AP:$AP,$B350,BV_Data_An_Cour!$AQ:$AQ,$C350,BV_Data_An_Cour!$AR:$AR,$L$2)</f>
        <v>5084.62</v>
      </c>
      <c r="M350" s="480"/>
      <c r="N350" s="484">
        <f t="shared" si="63"/>
        <v>5084.62</v>
      </c>
      <c r="O350" s="480"/>
      <c r="P350" s="48"/>
      <c r="Q350" s="484">
        <f>SUMIFS(BV_Data_An_Prec!$AM:$AM,BV_Data_An_Prec!$AP:$AP,$B350,BV_Data_An_Prec!$AQ:$AQ,$C350,BV_Data_An_Prec!$AR:$AR,$L$2)</f>
        <v>9024.45</v>
      </c>
      <c r="R350" s="480"/>
      <c r="S350" s="484">
        <f t="shared" si="64"/>
        <v>-3939.83</v>
      </c>
      <c r="T350" s="40"/>
      <c r="U350" s="40"/>
      <c r="V350" s="48"/>
      <c r="W350" s="48"/>
      <c r="X350" s="48"/>
      <c r="Y350" s="48"/>
      <c r="Z350" s="48"/>
      <c r="AA350" s="48"/>
      <c r="AB350" s="48"/>
      <c r="AC350" s="48"/>
      <c r="AD350" s="48"/>
      <c r="AE350" s="48"/>
      <c r="AF350" s="48"/>
      <c r="AG350" s="48"/>
      <c r="AH350" s="48"/>
      <c r="AI350" s="48"/>
      <c r="AJ350" s="48"/>
      <c r="AK350" s="48"/>
      <c r="AL350" s="48"/>
      <c r="AM350" s="48"/>
      <c r="AN350" s="48"/>
    </row>
    <row r="351" ht="15.75" customHeight="1">
      <c r="A351" s="5" t="s">
        <v>977</v>
      </c>
      <c r="B351" s="48" t="s">
        <v>174</v>
      </c>
      <c r="C351" s="559" t="s">
        <v>135</v>
      </c>
      <c r="D351" s="546"/>
      <c r="E351" s="48"/>
      <c r="F351" s="481" t="str">
        <f t="array" ref="F351">+INDEX('Budget original'!$A$2:$AO$501,MATCH($A351,'Budget original'!$A$2:$A$501,0),MATCH(F$2,'Budget original'!$A$2:$AO$2,0))</f>
        <v/>
      </c>
      <c r="G351" s="547"/>
      <c r="H351" s="48"/>
      <c r="I351" s="481"/>
      <c r="J351" s="480"/>
      <c r="K351" s="48"/>
      <c r="L351" s="484">
        <f>SUMIFS(BV_Data_An_Cour!$AM:$AM,BV_Data_An_Cour!$AP:$AP,$B351,BV_Data_An_Cour!$AQ:$AQ,$C351,BV_Data_An_Cour!$AR:$AR,$L$2)</f>
        <v>411.05</v>
      </c>
      <c r="M351" s="480"/>
      <c r="N351" s="484">
        <f t="shared" si="63"/>
        <v>411.05</v>
      </c>
      <c r="O351" s="480"/>
      <c r="P351" s="48"/>
      <c r="Q351" s="484">
        <f>SUMIFS(BV_Data_An_Prec!$AM:$AM,BV_Data_An_Prec!$AP:$AP,$B351,BV_Data_An_Prec!$AQ:$AQ,$C351,BV_Data_An_Prec!$AR:$AR,$L$2)</f>
        <v>0</v>
      </c>
      <c r="R351" s="480"/>
      <c r="S351" s="484">
        <f t="shared" si="64"/>
        <v>411.05</v>
      </c>
      <c r="T351" s="40"/>
      <c r="U351" s="40"/>
      <c r="V351" s="48"/>
      <c r="W351" s="48"/>
      <c r="X351" s="48"/>
      <c r="Y351" s="48"/>
      <c r="Z351" s="48"/>
      <c r="AA351" s="48"/>
      <c r="AB351" s="48"/>
      <c r="AC351" s="48"/>
      <c r="AD351" s="48"/>
      <c r="AE351" s="48"/>
      <c r="AF351" s="48"/>
      <c r="AG351" s="48"/>
      <c r="AH351" s="48"/>
      <c r="AI351" s="48"/>
      <c r="AJ351" s="48"/>
      <c r="AK351" s="48"/>
      <c r="AL351" s="48"/>
      <c r="AM351" s="48"/>
      <c r="AN351" s="48"/>
    </row>
    <row r="352" ht="15.75" customHeight="1">
      <c r="A352" s="5" t="s">
        <v>978</v>
      </c>
      <c r="B352" s="48" t="s">
        <v>174</v>
      </c>
      <c r="C352" s="559" t="s">
        <v>136</v>
      </c>
      <c r="D352" s="546"/>
      <c r="E352" s="48"/>
      <c r="F352" s="481" t="str">
        <f t="array" ref="F352">+INDEX('Budget original'!$A$2:$AO$501,MATCH($A352,'Budget original'!$A$2:$A$501,0),MATCH(F$2,'Budget original'!$A$2:$AO$2,0))</f>
        <v/>
      </c>
      <c r="G352" s="547"/>
      <c r="H352" s="48"/>
      <c r="I352" s="481"/>
      <c r="J352" s="480"/>
      <c r="K352" s="48"/>
      <c r="L352" s="484">
        <f>SUMIFS(BV_Data_An_Cour!$AM:$AM,BV_Data_An_Cour!$AP:$AP,$B352,BV_Data_An_Cour!$AQ:$AQ,$C352,BV_Data_An_Cour!$AR:$AR,$L$2)</f>
        <v>48.8</v>
      </c>
      <c r="M352" s="480"/>
      <c r="N352" s="484">
        <f t="shared" si="63"/>
        <v>48.8</v>
      </c>
      <c r="O352" s="480"/>
      <c r="P352" s="48"/>
      <c r="Q352" s="484">
        <f>SUMIFS(BV_Data_An_Prec!$AM:$AM,BV_Data_An_Prec!$AP:$AP,$B352,BV_Data_An_Prec!$AQ:$AQ,$C352,BV_Data_An_Prec!$AR:$AR,$L$2)</f>
        <v>692.51</v>
      </c>
      <c r="R352" s="480"/>
      <c r="S352" s="484">
        <f t="shared" si="64"/>
        <v>-643.71</v>
      </c>
      <c r="T352" s="40"/>
      <c r="U352" s="40"/>
      <c r="V352" s="48"/>
      <c r="W352" s="48"/>
      <c r="X352" s="48"/>
      <c r="Y352" s="48"/>
      <c r="Z352" s="48"/>
      <c r="AA352" s="48"/>
      <c r="AB352" s="48"/>
      <c r="AC352" s="48"/>
      <c r="AD352" s="48"/>
      <c r="AE352" s="48"/>
      <c r="AF352" s="48"/>
      <c r="AG352" s="48"/>
      <c r="AH352" s="48"/>
      <c r="AI352" s="48"/>
      <c r="AJ352" s="48"/>
      <c r="AK352" s="48"/>
      <c r="AL352" s="48"/>
      <c r="AM352" s="48"/>
      <c r="AN352" s="48"/>
    </row>
    <row r="353" ht="15.75" customHeight="1">
      <c r="A353" s="5" t="s">
        <v>979</v>
      </c>
      <c r="B353" s="48" t="s">
        <v>174</v>
      </c>
      <c r="C353" s="559" t="s">
        <v>137</v>
      </c>
      <c r="D353" s="546"/>
      <c r="E353" s="48"/>
      <c r="F353" s="481" t="str">
        <f t="array" ref="F353">+INDEX('Budget original'!$A$2:$AO$501,MATCH($A353,'Budget original'!$A$2:$A$501,0),MATCH(F$2,'Budget original'!$A$2:$AO$2,0))</f>
        <v/>
      </c>
      <c r="G353" s="547"/>
      <c r="H353" s="48"/>
      <c r="I353" s="481"/>
      <c r="J353" s="480"/>
      <c r="K353" s="48"/>
      <c r="L353" s="484">
        <f>SUMIFS(BV_Data_An_Cour!$AM:$AM,BV_Data_An_Cour!$AP:$AP,$B353,BV_Data_An_Cour!$AQ:$AQ,$C353,BV_Data_An_Cour!$AR:$AR,$L$2)</f>
        <v>506.07</v>
      </c>
      <c r="M353" s="480"/>
      <c r="N353" s="484">
        <f t="shared" si="63"/>
        <v>506.07</v>
      </c>
      <c r="O353" s="480"/>
      <c r="P353" s="48"/>
      <c r="Q353" s="484">
        <f>SUMIFS(BV_Data_An_Prec!$AM:$AM,BV_Data_An_Prec!$AP:$AP,$B353,BV_Data_An_Prec!$AQ:$AQ,$C353,BV_Data_An_Prec!$AR:$AR,$L$2)</f>
        <v>52.66</v>
      </c>
      <c r="R353" s="480"/>
      <c r="S353" s="484">
        <f t="shared" si="64"/>
        <v>453.41</v>
      </c>
      <c r="T353" s="40"/>
      <c r="U353" s="40"/>
      <c r="V353" s="48"/>
      <c r="W353" s="48"/>
      <c r="X353" s="48"/>
      <c r="Y353" s="48"/>
      <c r="Z353" s="48"/>
      <c r="AA353" s="48"/>
      <c r="AB353" s="48"/>
      <c r="AC353" s="48"/>
      <c r="AD353" s="48"/>
      <c r="AE353" s="48"/>
      <c r="AF353" s="48"/>
      <c r="AG353" s="48"/>
      <c r="AH353" s="48"/>
      <c r="AI353" s="48"/>
      <c r="AJ353" s="48"/>
      <c r="AK353" s="48"/>
      <c r="AL353" s="48"/>
      <c r="AM353" s="48"/>
      <c r="AN353" s="48"/>
    </row>
    <row r="354" ht="15.75" customHeight="1">
      <c r="A354" s="5" t="s">
        <v>980</v>
      </c>
      <c r="B354" s="48" t="s">
        <v>174</v>
      </c>
      <c r="C354" s="559" t="s">
        <v>138</v>
      </c>
      <c r="D354" s="546"/>
      <c r="E354" s="48"/>
      <c r="F354" s="481" t="str">
        <f t="array" ref="F354">+INDEX('Budget original'!$A$2:$AO$501,MATCH($A354,'Budget original'!$A$2:$A$501,0),MATCH(F$2,'Budget original'!$A$2:$AO$2,0))</f>
        <v/>
      </c>
      <c r="G354" s="547"/>
      <c r="H354" s="48"/>
      <c r="I354" s="481"/>
      <c r="J354" s="480"/>
      <c r="K354" s="48"/>
      <c r="L354" s="484">
        <f>SUMIFS(BV_Data_An_Cour!$AM:$AM,BV_Data_An_Cour!$AP:$AP,$B354,BV_Data_An_Cour!$AQ:$AQ,$C354,BV_Data_An_Cour!$AR:$AR,$L$2)</f>
        <v>167.3</v>
      </c>
      <c r="M354" s="480"/>
      <c r="N354" s="484">
        <f t="shared" si="63"/>
        <v>167.3</v>
      </c>
      <c r="O354" s="480"/>
      <c r="P354" s="48"/>
      <c r="Q354" s="484">
        <f>SUMIFS(BV_Data_An_Prec!$AM:$AM,BV_Data_An_Prec!$AP:$AP,$B354,BV_Data_An_Prec!$AQ:$AQ,$C354,BV_Data_An_Prec!$AR:$AR,$L$2)</f>
        <v>261.45</v>
      </c>
      <c r="R354" s="480"/>
      <c r="S354" s="484">
        <f t="shared" si="64"/>
        <v>-94.15</v>
      </c>
      <c r="T354" s="40"/>
      <c r="U354" s="40"/>
      <c r="V354" s="48"/>
      <c r="W354" s="48"/>
      <c r="X354" s="48"/>
      <c r="Y354" s="48"/>
      <c r="Z354" s="48"/>
      <c r="AA354" s="48"/>
      <c r="AB354" s="48"/>
      <c r="AC354" s="48"/>
      <c r="AD354" s="48"/>
      <c r="AE354" s="48"/>
      <c r="AF354" s="48"/>
      <c r="AG354" s="48"/>
      <c r="AH354" s="48"/>
      <c r="AI354" s="48"/>
      <c r="AJ354" s="48"/>
      <c r="AK354" s="48"/>
      <c r="AL354" s="48"/>
      <c r="AM354" s="48"/>
      <c r="AN354" s="48"/>
    </row>
    <row r="355" ht="15.75" customHeight="1">
      <c r="A355" s="5" t="s">
        <v>981</v>
      </c>
      <c r="B355" s="48" t="s">
        <v>174</v>
      </c>
      <c r="C355" s="559" t="s">
        <v>139</v>
      </c>
      <c r="D355" s="546"/>
      <c r="E355" s="48"/>
      <c r="F355" s="481" t="str">
        <f t="array" ref="F355">+INDEX('Budget original'!$A$2:$AO$501,MATCH($A355,'Budget original'!$A$2:$A$501,0),MATCH(F$2,'Budget original'!$A$2:$AO$2,0))</f>
        <v/>
      </c>
      <c r="G355" s="547"/>
      <c r="H355" s="48"/>
      <c r="I355" s="481"/>
      <c r="J355" s="480"/>
      <c r="K355" s="48"/>
      <c r="L355" s="484">
        <f>SUMIFS(BV_Data_An_Cour!$AM:$AM,BV_Data_An_Cour!$AP:$AP,$B355,BV_Data_An_Cour!$AQ:$AQ,$C355,BV_Data_An_Cour!$AR:$AR,$L$2)</f>
        <v>1623.22</v>
      </c>
      <c r="M355" s="480"/>
      <c r="N355" s="484">
        <f t="shared" si="63"/>
        <v>1623.22</v>
      </c>
      <c r="O355" s="480"/>
      <c r="P355" s="48"/>
      <c r="Q355" s="484">
        <f>SUMIFS(BV_Data_An_Prec!$AM:$AM,BV_Data_An_Prec!$AP:$AP,$B355,BV_Data_An_Prec!$AQ:$AQ,$C355,BV_Data_An_Prec!$AR:$AR,$L$2)</f>
        <v>2100.88</v>
      </c>
      <c r="R355" s="480"/>
      <c r="S355" s="484">
        <f t="shared" si="64"/>
        <v>-477.66</v>
      </c>
      <c r="T355" s="40"/>
      <c r="U355" s="40"/>
      <c r="V355" s="48"/>
      <c r="W355" s="48"/>
      <c r="X355" s="48"/>
      <c r="Y355" s="48"/>
      <c r="Z355" s="48"/>
      <c r="AA355" s="48"/>
      <c r="AB355" s="48"/>
      <c r="AC355" s="48"/>
      <c r="AD355" s="48"/>
      <c r="AE355" s="48"/>
      <c r="AF355" s="48"/>
      <c r="AG355" s="48"/>
      <c r="AH355" s="48"/>
      <c r="AI355" s="48"/>
      <c r="AJ355" s="48"/>
      <c r="AK355" s="48"/>
      <c r="AL355" s="48"/>
      <c r="AM355" s="48"/>
      <c r="AN355" s="48"/>
    </row>
    <row r="356" ht="15.75" customHeight="1">
      <c r="A356" s="5" t="s">
        <v>982</v>
      </c>
      <c r="B356" s="48" t="s">
        <v>174</v>
      </c>
      <c r="C356" s="559" t="s">
        <v>140</v>
      </c>
      <c r="D356" s="546"/>
      <c r="E356" s="48"/>
      <c r="F356" s="481" t="str">
        <f t="array" ref="F356">+INDEX('Budget original'!$A$2:$AO$501,MATCH($A356,'Budget original'!$A$2:$A$501,0),MATCH(F$2,'Budget original'!$A$2:$AO$2,0))</f>
        <v/>
      </c>
      <c r="G356" s="547"/>
      <c r="H356" s="48"/>
      <c r="I356" s="481"/>
      <c r="J356" s="480"/>
      <c r="K356" s="48"/>
      <c r="L356" s="484">
        <f>SUMIFS(BV_Data_An_Cour!$AM:$AM,BV_Data_An_Cour!$AP:$AP,$B356,BV_Data_An_Cour!$AQ:$AQ,$C356,BV_Data_An_Cour!$AR:$AR,$L$2)</f>
        <v>0</v>
      </c>
      <c r="M356" s="480"/>
      <c r="N356" s="484">
        <f t="shared" si="63"/>
        <v>0</v>
      </c>
      <c r="O356" s="480"/>
      <c r="P356" s="48"/>
      <c r="Q356" s="484">
        <f>SUMIFS(BV_Data_An_Prec!$AM:$AM,BV_Data_An_Prec!$AP:$AP,$B356,BV_Data_An_Prec!$AQ:$AQ,$C356,BV_Data_An_Prec!$AR:$AR,$L$2)</f>
        <v>1692</v>
      </c>
      <c r="R356" s="480"/>
      <c r="S356" s="484">
        <f t="shared" si="64"/>
        <v>-1692</v>
      </c>
      <c r="T356" s="40"/>
      <c r="U356" s="40"/>
      <c r="X356" s="48"/>
      <c r="Y356" s="48"/>
      <c r="Z356" s="48"/>
      <c r="AA356" s="48"/>
      <c r="AB356" s="48"/>
      <c r="AC356" s="48"/>
      <c r="AD356" s="48"/>
      <c r="AE356" s="48"/>
      <c r="AF356" s="48"/>
      <c r="AG356" s="48"/>
      <c r="AH356" s="48"/>
      <c r="AI356" s="48"/>
      <c r="AJ356" s="48"/>
      <c r="AK356" s="48"/>
      <c r="AL356" s="48"/>
      <c r="AM356" s="48"/>
      <c r="AN356" s="48"/>
    </row>
    <row r="357" ht="15.75" customHeight="1">
      <c r="A357" s="5" t="s">
        <v>983</v>
      </c>
      <c r="B357" s="48" t="s">
        <v>174</v>
      </c>
      <c r="C357" s="559" t="s">
        <v>141</v>
      </c>
      <c r="D357" s="546"/>
      <c r="E357" s="48"/>
      <c r="F357" s="481" t="str">
        <f t="array" ref="F357">+INDEX('Budget original'!$A$2:$AO$501,MATCH($A357,'Budget original'!$A$2:$A$501,0),MATCH(F$2,'Budget original'!$A$2:$AO$2,0))</f>
        <v/>
      </c>
      <c r="G357" s="547"/>
      <c r="H357" s="48"/>
      <c r="I357" s="481"/>
      <c r="J357" s="480"/>
      <c r="K357" s="48"/>
      <c r="L357" s="484">
        <f>SUMIFS(BV_Data_An_Cour!$AM:$AM,BV_Data_An_Cour!$AP:$AP,$B357,BV_Data_An_Cour!$AQ:$AQ,$C357,BV_Data_An_Cour!$AR:$AR,$L$2)</f>
        <v>796.44</v>
      </c>
      <c r="M357" s="480"/>
      <c r="N357" s="484">
        <f t="shared" si="63"/>
        <v>796.44</v>
      </c>
      <c r="O357" s="480"/>
      <c r="P357" s="48"/>
      <c r="Q357" s="484">
        <f>SUMIFS(BV_Data_An_Prec!$AM:$AM,BV_Data_An_Prec!$AP:$AP,$B357,BV_Data_An_Prec!$AQ:$AQ,$C357,BV_Data_An_Prec!$AR:$AR,$L$2)</f>
        <v>125.88</v>
      </c>
      <c r="R357" s="480"/>
      <c r="S357" s="484">
        <f t="shared" si="64"/>
        <v>670.56</v>
      </c>
      <c r="T357" s="40"/>
      <c r="U357" s="40"/>
      <c r="X357" s="48"/>
      <c r="Y357" s="48"/>
      <c r="Z357" s="48"/>
      <c r="AA357" s="48"/>
      <c r="AB357" s="48"/>
      <c r="AC357" s="48"/>
      <c r="AD357" s="48"/>
      <c r="AE357" s="48"/>
      <c r="AF357" s="48"/>
      <c r="AG357" s="48"/>
      <c r="AH357" s="48"/>
      <c r="AI357" s="48"/>
      <c r="AJ357" s="48"/>
      <c r="AK357" s="48"/>
      <c r="AL357" s="48"/>
      <c r="AM357" s="48"/>
      <c r="AN357" s="48"/>
    </row>
    <row r="358" ht="20.25" customHeight="1">
      <c r="A358" s="5" t="s">
        <v>963</v>
      </c>
      <c r="B358" s="48" t="s">
        <v>174</v>
      </c>
      <c r="C358" s="559" t="s">
        <v>984</v>
      </c>
      <c r="D358" s="546"/>
      <c r="E358" s="48"/>
      <c r="F358" s="481" t="str">
        <f t="array" ref="F358">+INDEX('Budget original'!$A$2:$AO$501,MATCH($A358,'Budget original'!$A$2:$A$501,0),MATCH(F$2,'Budget original'!$A$2:$AO$2,0))</f>
        <v/>
      </c>
      <c r="G358" s="547"/>
      <c r="H358" s="48"/>
      <c r="I358" s="481"/>
      <c r="J358" s="480"/>
      <c r="K358" s="48"/>
      <c r="L358" s="484">
        <f>SUMIFS(BV_Data_An_Cour!$AM:$AM,BV_Data_An_Cour!$AP:$AP,$B358,BV_Data_An_Cour!$AQ:$AQ,$C358,BV_Data_An_Cour!$AR:$AR,$L$2)</f>
        <v>2278.38</v>
      </c>
      <c r="M358" s="480"/>
      <c r="N358" s="484">
        <f t="shared" si="63"/>
        <v>2278.38</v>
      </c>
      <c r="O358" s="480"/>
      <c r="P358" s="48"/>
      <c r="Q358" s="484">
        <f>SUMIFS(BV_Data_An_Prec!$AM:$AM,BV_Data_An_Prec!$AP:$AP,$B358,BV_Data_An_Prec!$AQ:$AQ,$C358,BV_Data_An_Prec!$AR:$AR,$L$2)</f>
        <v>0</v>
      </c>
      <c r="R358" s="480"/>
      <c r="S358" s="484">
        <f t="shared" si="64"/>
        <v>2278.38</v>
      </c>
      <c r="T358" s="40"/>
      <c r="U358" s="40"/>
      <c r="X358" s="48"/>
      <c r="Y358" s="48"/>
      <c r="Z358" s="48"/>
      <c r="AA358" s="48"/>
      <c r="AB358" s="48"/>
      <c r="AC358" s="48"/>
      <c r="AD358" s="48"/>
      <c r="AE358" s="48"/>
      <c r="AF358" s="48"/>
      <c r="AG358" s="48"/>
      <c r="AH358" s="48"/>
      <c r="AI358" s="48"/>
      <c r="AJ358" s="48"/>
      <c r="AK358" s="48"/>
      <c r="AL358" s="48"/>
      <c r="AM358" s="48"/>
      <c r="AN358" s="48"/>
    </row>
    <row r="359" ht="20.25" hidden="1" customHeight="1">
      <c r="A359" s="5" t="s">
        <v>963</v>
      </c>
      <c r="B359" s="48" t="s">
        <v>174</v>
      </c>
      <c r="C359" s="559" t="s">
        <v>56</v>
      </c>
      <c r="D359" s="546"/>
      <c r="E359" s="48"/>
      <c r="F359" s="481" t="str">
        <f t="array" ref="F359">+INDEX('Budget original'!$A$2:$AO$501,MATCH($A359,'Budget original'!$A$2:$A$501,0),MATCH(F$2,'Budget original'!$A$2:$AO$2,0))</f>
        <v/>
      </c>
      <c r="G359" s="547"/>
      <c r="H359" s="48"/>
      <c r="I359" s="481"/>
      <c r="J359" s="480"/>
      <c r="K359" s="48"/>
      <c r="L359" s="484">
        <f>SUMIFS(BV_Data_An_Cour!$AM:$AM,BV_Data_An_Cour!$AP:$AP,$B359,BV_Data_An_Cour!$AQ:$AQ,$C359,BV_Data_An_Cour!$AR:$AR,$L$2)</f>
        <v>0</v>
      </c>
      <c r="M359" s="480"/>
      <c r="N359" s="484">
        <f t="shared" si="63"/>
        <v>0</v>
      </c>
      <c r="O359" s="480"/>
      <c r="P359" s="48"/>
      <c r="Q359" s="484">
        <f>SUMIFS(BV_Data_An_Prec!$AM:$AM,BV_Data_An_Prec!$AP:$AP,$B359,BV_Data_An_Prec!$AQ:$AQ,$C359,BV_Data_An_Prec!$AR:$AR,$L$2)</f>
        <v>0</v>
      </c>
      <c r="R359" s="480"/>
      <c r="S359" s="484">
        <f t="shared" si="64"/>
        <v>0</v>
      </c>
      <c r="T359" s="40"/>
      <c r="U359" s="40"/>
      <c r="X359" s="48"/>
      <c r="Y359" s="48"/>
      <c r="Z359" s="48"/>
      <c r="AA359" s="48"/>
      <c r="AB359" s="48"/>
      <c r="AC359" s="48"/>
      <c r="AD359" s="48"/>
      <c r="AE359" s="48"/>
      <c r="AF359" s="48"/>
      <c r="AG359" s="48"/>
      <c r="AH359" s="48"/>
      <c r="AI359" s="48"/>
      <c r="AJ359" s="48"/>
      <c r="AK359" s="48"/>
      <c r="AL359" s="48"/>
      <c r="AM359" s="48"/>
      <c r="AN359" s="48"/>
    </row>
    <row r="360" ht="20.25" hidden="1" customHeight="1">
      <c r="A360" s="5" t="s">
        <v>963</v>
      </c>
      <c r="B360" s="48" t="s">
        <v>174</v>
      </c>
      <c r="C360" s="559" t="s">
        <v>56</v>
      </c>
      <c r="D360" s="546"/>
      <c r="E360" s="48"/>
      <c r="F360" s="481" t="str">
        <f t="array" ref="F360">+INDEX('Budget original'!$A$2:$AO$501,MATCH($A360,'Budget original'!$A$2:$A$501,0),MATCH(F$2,'Budget original'!$A$2:$AO$2,0))</f>
        <v/>
      </c>
      <c r="G360" s="547"/>
      <c r="H360" s="48"/>
      <c r="I360" s="481"/>
      <c r="J360" s="480"/>
      <c r="K360" s="48"/>
      <c r="L360" s="484">
        <f>SUMIFS(BV_Data_An_Cour!$AM:$AM,BV_Data_An_Cour!$AP:$AP,$B360,BV_Data_An_Cour!$AQ:$AQ,$C360,BV_Data_An_Cour!$AR:$AR,$L$2)</f>
        <v>0</v>
      </c>
      <c r="M360" s="480"/>
      <c r="N360" s="484">
        <f t="shared" si="63"/>
        <v>0</v>
      </c>
      <c r="O360" s="480"/>
      <c r="P360" s="48"/>
      <c r="Q360" s="484">
        <f>SUMIFS(BV_Data_An_Prec!$AM:$AM,BV_Data_An_Prec!$AP:$AP,$B360,BV_Data_An_Prec!$AQ:$AQ,$C360,BV_Data_An_Prec!$AR:$AR,$L$2)</f>
        <v>0</v>
      </c>
      <c r="R360" s="480"/>
      <c r="S360" s="484">
        <f t="shared" si="64"/>
        <v>0</v>
      </c>
      <c r="T360" s="40"/>
      <c r="U360" s="40"/>
      <c r="X360" s="48"/>
      <c r="Y360" s="48"/>
      <c r="Z360" s="48"/>
      <c r="AA360" s="48"/>
      <c r="AB360" s="48"/>
      <c r="AC360" s="48"/>
      <c r="AD360" s="48"/>
      <c r="AE360" s="48"/>
      <c r="AF360" s="48"/>
      <c r="AG360" s="48"/>
      <c r="AH360" s="48"/>
      <c r="AI360" s="48"/>
      <c r="AJ360" s="48"/>
      <c r="AK360" s="48"/>
      <c r="AL360" s="48"/>
      <c r="AM360" s="48"/>
      <c r="AN360" s="48"/>
    </row>
    <row r="361" ht="18.0" customHeight="1">
      <c r="A361" s="5"/>
      <c r="B361" s="48"/>
      <c r="C361" s="552" t="s">
        <v>142</v>
      </c>
      <c r="D361" s="553" t="s">
        <v>225</v>
      </c>
      <c r="E361" s="554" t="str">
        <f>F361/F$318</f>
        <v>#DIV/0!</v>
      </c>
      <c r="F361" s="555">
        <f>+SUM(F343:F360)</f>
        <v>0</v>
      </c>
      <c r="G361" s="556"/>
      <c r="H361" s="554"/>
      <c r="I361" s="555"/>
      <c r="J361" s="556" t="s">
        <v>225</v>
      </c>
      <c r="K361" s="554">
        <f>L361/L$326</f>
        <v>0.2343246209</v>
      </c>
      <c r="L361" s="555">
        <f>+SUM(L343:L360)</f>
        <v>21113.67</v>
      </c>
      <c r="M361" s="557"/>
      <c r="N361" s="555">
        <f>+SUM(N343:N360)</f>
        <v>21113.67</v>
      </c>
      <c r="O361" s="556" t="s">
        <v>225</v>
      </c>
      <c r="P361" s="554">
        <f>Q361/Q$326</f>
        <v>0.3440343176</v>
      </c>
      <c r="Q361" s="555">
        <f>+SUM(Q343:Q360)</f>
        <v>25970.38</v>
      </c>
      <c r="R361" s="558"/>
      <c r="S361" s="555">
        <f t="shared" si="64"/>
        <v>-4856.71</v>
      </c>
      <c r="T361" s="40"/>
      <c r="U361" s="40"/>
      <c r="V361" s="48"/>
      <c r="W361" s="48"/>
      <c r="X361" s="48"/>
      <c r="Y361" s="48"/>
      <c r="Z361" s="48"/>
      <c r="AA361" s="48"/>
      <c r="AB361" s="48"/>
      <c r="AC361" s="48"/>
      <c r="AD361" s="48"/>
      <c r="AE361" s="48"/>
      <c r="AF361" s="48"/>
      <c r="AG361" s="48"/>
      <c r="AH361" s="48"/>
      <c r="AI361" s="48"/>
      <c r="AJ361" s="48"/>
      <c r="AK361" s="48"/>
      <c r="AL361" s="48"/>
      <c r="AM361" s="48"/>
      <c r="AN361" s="48"/>
    </row>
    <row r="362" ht="15.75" customHeight="1">
      <c r="B362" s="48"/>
      <c r="C362" s="471"/>
      <c r="D362" s="549"/>
      <c r="E362" s="564"/>
      <c r="F362" s="484"/>
      <c r="G362" s="550"/>
      <c r="H362" s="564"/>
      <c r="I362" s="484"/>
      <c r="J362" s="471"/>
      <c r="K362" s="564"/>
      <c r="L362" s="476"/>
      <c r="M362" s="471"/>
      <c r="N362" s="476"/>
      <c r="O362" s="471"/>
      <c r="P362" s="564"/>
      <c r="Q362" s="476"/>
      <c r="R362" s="471"/>
      <c r="S362" s="476"/>
      <c r="T362" s="457"/>
      <c r="U362" s="40"/>
      <c r="V362" s="48"/>
      <c r="W362" s="48"/>
      <c r="X362" s="48"/>
      <c r="Y362" s="48"/>
      <c r="Z362" s="48"/>
      <c r="AA362" s="48"/>
      <c r="AB362" s="48"/>
      <c r="AC362" s="48"/>
      <c r="AD362" s="48"/>
      <c r="AE362" s="48"/>
      <c r="AF362" s="48"/>
      <c r="AG362" s="48"/>
      <c r="AH362" s="48"/>
      <c r="AI362" s="48"/>
      <c r="AJ362" s="48"/>
      <c r="AK362" s="48"/>
      <c r="AL362" s="48"/>
      <c r="AM362" s="48"/>
      <c r="AN362" s="48"/>
    </row>
    <row r="363" ht="18.0" customHeight="1">
      <c r="A363" s="5"/>
      <c r="B363" s="48"/>
      <c r="C363" s="552" t="s">
        <v>143</v>
      </c>
      <c r="D363" s="553" t="s">
        <v>225</v>
      </c>
      <c r="E363" s="554" t="str">
        <f>F363/F$318</f>
        <v>#DIV/0!</v>
      </c>
      <c r="F363" s="555">
        <f>F342+F361</f>
        <v>0</v>
      </c>
      <c r="G363" s="556"/>
      <c r="H363" s="554"/>
      <c r="I363" s="555"/>
      <c r="J363" s="556" t="s">
        <v>225</v>
      </c>
      <c r="K363" s="554">
        <f>L363/L$326</f>
        <v>0.6211385331</v>
      </c>
      <c r="L363" s="555">
        <f>L342+L361</f>
        <v>55967.29</v>
      </c>
      <c r="M363" s="557"/>
      <c r="N363" s="555">
        <f t="shared" ref="N363:N365" si="65">L363-F363</f>
        <v>55967.29</v>
      </c>
      <c r="O363" s="556" t="s">
        <v>225</v>
      </c>
      <c r="P363" s="554">
        <f>Q363/Q$326</f>
        <v>0.8672477498</v>
      </c>
      <c r="Q363" s="555">
        <f>Q342+Q361</f>
        <v>65466.59</v>
      </c>
      <c r="R363" s="558"/>
      <c r="S363" s="555">
        <f>L363-Q363</f>
        <v>-9499.3</v>
      </c>
      <c r="T363" s="40"/>
      <c r="U363" s="40"/>
      <c r="V363" s="48"/>
      <c r="W363" s="48"/>
      <c r="X363" s="48"/>
      <c r="Y363" s="48"/>
      <c r="Z363" s="48"/>
      <c r="AA363" s="48"/>
      <c r="AB363" s="48"/>
      <c r="AC363" s="48"/>
      <c r="AD363" s="48"/>
      <c r="AE363" s="48"/>
      <c r="AF363" s="48"/>
      <c r="AG363" s="48"/>
      <c r="AH363" s="48"/>
      <c r="AI363" s="48"/>
      <c r="AJ363" s="48"/>
      <c r="AK363" s="48"/>
      <c r="AL363" s="48"/>
      <c r="AM363" s="48"/>
      <c r="AN363" s="48"/>
    </row>
    <row r="364" ht="15.75" customHeight="1">
      <c r="B364" s="48"/>
      <c r="C364" s="480"/>
      <c r="D364" s="546"/>
      <c r="E364" s="48"/>
      <c r="F364" s="484"/>
      <c r="G364" s="547"/>
      <c r="H364" s="48"/>
      <c r="I364" s="484"/>
      <c r="J364" s="480"/>
      <c r="K364" s="48"/>
      <c r="L364" s="484"/>
      <c r="M364" s="480"/>
      <c r="N364" s="484">
        <f t="shared" si="65"/>
        <v>0</v>
      </c>
      <c r="O364" s="480"/>
      <c r="P364" s="48"/>
      <c r="Q364" s="484"/>
      <c r="R364" s="480"/>
      <c r="S364" s="484"/>
      <c r="T364" s="40"/>
      <c r="U364" s="40"/>
      <c r="V364" s="48"/>
      <c r="W364" s="48"/>
      <c r="X364" s="48"/>
      <c r="Y364" s="48"/>
      <c r="Z364" s="48"/>
      <c r="AA364" s="48"/>
      <c r="AB364" s="48"/>
      <c r="AC364" s="48"/>
      <c r="AD364" s="48"/>
      <c r="AE364" s="48"/>
      <c r="AF364" s="48"/>
      <c r="AG364" s="48"/>
      <c r="AH364" s="48"/>
      <c r="AI364" s="48"/>
      <c r="AJ364" s="48"/>
      <c r="AK364" s="48"/>
      <c r="AL364" s="48"/>
      <c r="AM364" s="48"/>
      <c r="AN364" s="48"/>
    </row>
    <row r="365" ht="18.0" customHeight="1">
      <c r="A365" s="5"/>
      <c r="B365" s="48"/>
      <c r="C365" s="579" t="s">
        <v>150</v>
      </c>
      <c r="D365" s="580"/>
      <c r="E365" s="581"/>
      <c r="F365" s="582">
        <f>F326-F363</f>
        <v>0</v>
      </c>
      <c r="G365" s="583"/>
      <c r="H365" s="581"/>
      <c r="I365" s="582"/>
      <c r="J365" s="583"/>
      <c r="K365" s="581"/>
      <c r="L365" s="582">
        <f>L326-L363</f>
        <v>34137.07</v>
      </c>
      <c r="M365" s="584"/>
      <c r="N365" s="582">
        <f t="shared" si="65"/>
        <v>34137.07</v>
      </c>
      <c r="O365" s="583"/>
      <c r="P365" s="581"/>
      <c r="Q365" s="582">
        <f>Q326-Q363</f>
        <v>10021.17</v>
      </c>
      <c r="R365" s="585"/>
      <c r="S365" s="582">
        <f>L365-Q365</f>
        <v>24115.9</v>
      </c>
      <c r="T365" s="40"/>
      <c r="U365" s="40"/>
      <c r="V365" s="48"/>
      <c r="W365" s="48"/>
      <c r="X365" s="48"/>
      <c r="Y365" s="48"/>
      <c r="Z365" s="48"/>
      <c r="AA365" s="48"/>
      <c r="AB365" s="48"/>
      <c r="AC365" s="48"/>
      <c r="AD365" s="48"/>
      <c r="AE365" s="48"/>
      <c r="AF365" s="48"/>
      <c r="AG365" s="48"/>
      <c r="AH365" s="48"/>
      <c r="AI365" s="48"/>
      <c r="AJ365" s="48"/>
      <c r="AK365" s="48"/>
      <c r="AL365" s="48"/>
      <c r="AM365" s="48"/>
      <c r="AN365" s="48"/>
    </row>
    <row r="366" ht="15.75" customHeight="1">
      <c r="B366" s="48"/>
      <c r="C366" s="48"/>
      <c r="D366" s="48"/>
      <c r="E366" s="48"/>
      <c r="F366" s="48"/>
      <c r="G366" s="48"/>
      <c r="H366" s="48"/>
      <c r="I366" s="48"/>
      <c r="J366" s="48"/>
      <c r="K366" s="48"/>
      <c r="L366" s="483"/>
      <c r="M366" s="48"/>
      <c r="N366" s="48"/>
      <c r="O366" s="48"/>
      <c r="P366" s="48"/>
      <c r="Q366" s="48"/>
      <c r="R366" s="48"/>
      <c r="S366" s="48"/>
      <c r="T366" s="40"/>
      <c r="U366" s="40"/>
      <c r="V366" s="48"/>
      <c r="W366" s="48"/>
      <c r="X366" s="48"/>
      <c r="Y366" s="48"/>
      <c r="Z366" s="48"/>
      <c r="AA366" s="48"/>
      <c r="AB366" s="48"/>
      <c r="AC366" s="48"/>
      <c r="AD366" s="48"/>
      <c r="AE366" s="48"/>
      <c r="AF366" s="48"/>
      <c r="AG366" s="48"/>
      <c r="AH366" s="48"/>
      <c r="AI366" s="48"/>
      <c r="AJ366" s="48"/>
      <c r="AK366" s="48"/>
      <c r="AL366" s="48"/>
      <c r="AM366" s="48"/>
      <c r="AN366" s="48"/>
    </row>
    <row r="367" ht="36.0" customHeight="1">
      <c r="B367" s="48"/>
      <c r="C367" s="450" t="str">
        <f>C1</f>
        <v>Ste-Marie Auto</v>
      </c>
      <c r="D367" s="451"/>
      <c r="E367" s="452"/>
      <c r="F367" s="451"/>
      <c r="G367" s="451"/>
      <c r="H367" s="450"/>
      <c r="I367" s="451"/>
      <c r="J367" s="450"/>
      <c r="K367" s="453" t="s">
        <v>178</v>
      </c>
      <c r="L367" s="451"/>
      <c r="M367" s="451"/>
      <c r="N367" s="454"/>
      <c r="O367" s="450"/>
      <c r="P367" s="451"/>
      <c r="Q367" s="450"/>
      <c r="R367" s="451"/>
      <c r="S367" s="455" t="str">
        <f>$S$1</f>
        <v>Réalisé, Septembre 2026</v>
      </c>
      <c r="T367" s="40"/>
      <c r="U367" s="40"/>
      <c r="V367" s="48"/>
      <c r="W367" s="48"/>
      <c r="X367" s="48"/>
      <c r="Y367" s="48"/>
      <c r="Z367" s="48"/>
      <c r="AA367" s="48"/>
      <c r="AB367" s="48"/>
      <c r="AC367" s="48"/>
      <c r="AD367" s="48"/>
      <c r="AE367" s="48"/>
      <c r="AF367" s="48"/>
      <c r="AG367" s="48"/>
      <c r="AH367" s="48"/>
      <c r="AI367" s="48"/>
      <c r="AJ367" s="48"/>
      <c r="AK367" s="48"/>
      <c r="AL367" s="48"/>
      <c r="AM367" s="48"/>
      <c r="AN367" s="48"/>
    </row>
    <row r="368" ht="15.75" customHeight="1">
      <c r="B368" s="48"/>
      <c r="C368" s="39"/>
      <c r="D368" s="40"/>
      <c r="E368" s="40"/>
      <c r="F368" s="40"/>
      <c r="G368" s="40"/>
      <c r="H368" s="40"/>
      <c r="I368" s="40"/>
      <c r="J368" s="40"/>
      <c r="K368" s="40"/>
      <c r="L368" s="40"/>
      <c r="M368" s="40"/>
      <c r="N368" s="40"/>
      <c r="O368" s="40"/>
      <c r="P368" s="40"/>
      <c r="Q368" s="40"/>
      <c r="R368" s="40"/>
      <c r="S368" s="40"/>
      <c r="T368" s="40"/>
      <c r="U368" s="40"/>
      <c r="V368" s="48"/>
      <c r="W368" s="48"/>
      <c r="X368" s="48"/>
      <c r="Y368" s="48"/>
      <c r="Z368" s="48"/>
      <c r="AA368" s="48"/>
      <c r="AB368" s="48"/>
      <c r="AC368" s="48"/>
      <c r="AD368" s="48"/>
      <c r="AE368" s="48"/>
      <c r="AF368" s="48"/>
      <c r="AG368" s="48"/>
      <c r="AH368" s="48"/>
      <c r="AI368" s="48"/>
      <c r="AJ368" s="48"/>
      <c r="AK368" s="48"/>
      <c r="AL368" s="48"/>
      <c r="AM368" s="48"/>
      <c r="AN368" s="48"/>
    </row>
    <row r="369" ht="15.75" customHeight="1">
      <c r="B369" s="48"/>
      <c r="C369" s="461"/>
      <c r="D369" s="462" t="s">
        <v>774</v>
      </c>
      <c r="E369" s="44"/>
      <c r="F369" s="45"/>
      <c r="G369" s="463"/>
      <c r="H369" s="44"/>
      <c r="I369" s="45"/>
      <c r="J369" s="463" t="s">
        <v>775</v>
      </c>
      <c r="K369" s="44"/>
      <c r="L369" s="45"/>
      <c r="M369" s="463" t="s">
        <v>776</v>
      </c>
      <c r="N369" s="45"/>
      <c r="O369" s="462" t="s">
        <v>777</v>
      </c>
      <c r="P369" s="44"/>
      <c r="Q369" s="45"/>
      <c r="R369" s="463" t="s">
        <v>778</v>
      </c>
      <c r="S369" s="45"/>
      <c r="T369" s="40"/>
      <c r="U369" s="40"/>
      <c r="V369" s="48"/>
      <c r="W369" s="48"/>
      <c r="X369" s="48"/>
      <c r="Y369" s="48"/>
      <c r="Z369" s="48"/>
      <c r="AA369" s="48"/>
      <c r="AB369" s="48"/>
      <c r="AC369" s="48"/>
      <c r="AD369" s="48"/>
      <c r="AE369" s="48"/>
      <c r="AF369" s="48"/>
      <c r="AG369" s="48"/>
      <c r="AH369" s="48"/>
      <c r="AI369" s="48"/>
      <c r="AJ369" s="48"/>
      <c r="AK369" s="48"/>
      <c r="AL369" s="48"/>
      <c r="AM369" s="48"/>
      <c r="AN369" s="48"/>
    </row>
    <row r="370" ht="15.75" customHeight="1">
      <c r="A370" s="5" t="s">
        <v>178</v>
      </c>
      <c r="B370" s="48" t="s">
        <v>178</v>
      </c>
      <c r="C370" s="655"/>
      <c r="D370" s="41" t="s">
        <v>222</v>
      </c>
      <c r="E370" s="41" t="s">
        <v>223</v>
      </c>
      <c r="F370" s="611" t="s">
        <v>95</v>
      </c>
      <c r="G370" s="610"/>
      <c r="H370" s="41"/>
      <c r="I370" s="611"/>
      <c r="J370" s="41" t="s">
        <v>222</v>
      </c>
      <c r="K370" s="41" t="s">
        <v>223</v>
      </c>
      <c r="L370" s="611" t="s">
        <v>95</v>
      </c>
      <c r="M370" s="610" t="s">
        <v>221</v>
      </c>
      <c r="N370" s="611" t="s">
        <v>908</v>
      </c>
      <c r="O370" s="41" t="s">
        <v>222</v>
      </c>
      <c r="P370" s="41" t="s">
        <v>223</v>
      </c>
      <c r="Q370" s="611" t="s">
        <v>95</v>
      </c>
      <c r="R370" s="610" t="s">
        <v>909</v>
      </c>
      <c r="S370" s="611" t="s">
        <v>95</v>
      </c>
      <c r="T370" s="40"/>
      <c r="U370" s="40"/>
      <c r="V370" s="48"/>
      <c r="W370" s="48"/>
      <c r="X370" s="48"/>
      <c r="Y370" s="48"/>
      <c r="Z370" s="48"/>
      <c r="AA370" s="48"/>
      <c r="AB370" s="48"/>
      <c r="AC370" s="48"/>
      <c r="AD370" s="48"/>
      <c r="AE370" s="48"/>
      <c r="AF370" s="48"/>
      <c r="AG370" s="48"/>
      <c r="AH370" s="48"/>
      <c r="AI370" s="48"/>
      <c r="AJ370" s="48"/>
      <c r="AK370" s="48"/>
      <c r="AL370" s="48"/>
      <c r="AM370" s="48"/>
      <c r="AN370" s="48"/>
    </row>
    <row r="371" ht="15.75" customHeight="1">
      <c r="A371" s="5" t="s">
        <v>985</v>
      </c>
      <c r="B371" s="48" t="s">
        <v>178</v>
      </c>
      <c r="C371" s="656" t="s">
        <v>179</v>
      </c>
      <c r="D371" s="483" t="str">
        <f t="array" ref="D371">+INDEX('Budget original'!$A$2:$AO$501,MATCH($A371,'Budget original'!$A$2:$A$501,0),MATCH(D$2,'Budget original'!$A$2:$AO$2,0))</f>
        <v/>
      </c>
      <c r="E371" s="602">
        <f t="shared" ref="E371:E379" si="66">IF(D371=0,0,F371/D371)</f>
        <v>0</v>
      </c>
      <c r="F371" s="484" t="str">
        <f t="array" ref="F371">+INDEX('Budget original'!$A$2:$AO$501,MATCH($A371,'Budget original'!$A$2:$A$501,0),MATCH(F$2,'Budget original'!$A$2:$AO$2,0))</f>
        <v/>
      </c>
      <c r="G371" s="483"/>
      <c r="H371" s="602"/>
      <c r="I371" s="484"/>
      <c r="J371" s="483">
        <f>-SUMIFS(BV_Data_An_Cour!$AM:$AM,BV_Data_An_Cour!$AS:$AS,"Oui",BV_Data_An_Cour!$AP:$AP,$B371,BV_Data_An_Cour!$AQ:$AQ,$C371)</f>
        <v>59844.55</v>
      </c>
      <c r="K371" s="602">
        <f t="shared" ref="K371:K380" si="67">IF(J371&lt;=0,0,L371/J371)</f>
        <v>0.344306708</v>
      </c>
      <c r="L371" s="484">
        <f>-SUMIFS(BV_Data_An_Cour!$AM:$AM,BV_Data_An_Cour!$AP:$AP,$B371,BV_Data_An_Cour!$AQ:$AQ,$C371,BV_Data_An_Cour!$AR:$AR,$L$2)</f>
        <v>20604.88</v>
      </c>
      <c r="M371" s="515" t="str">
        <f t="shared" ref="M371:M377" si="68">(+J371-D371)/D371</f>
        <v>#DIV/0!</v>
      </c>
      <c r="N371" s="484">
        <f t="shared" ref="N371:N380" si="69">L371-F371</f>
        <v>20604.88</v>
      </c>
      <c r="O371" s="483">
        <f>-SUMIFS(BV_Data_An_Prec!$AM:$AM,BV_Data_An_Prec!$AS:$AS,"Oui",BV_Data_An_Prec!$AP:$AP,$B371,BV_Data_An_Prec!$AQ:$AQ,$C371)</f>
        <v>54282.65</v>
      </c>
      <c r="P371" s="602">
        <f t="shared" ref="P371:P380" si="70">IF(O371&lt;=0,0,Q371/O371)</f>
        <v>0.4014896104</v>
      </c>
      <c r="Q371" s="484">
        <f>-SUMIFS(BV_Data_An_Prec!$AM:$AM,BV_Data_An_Prec!$AP:$AP,$B371,BV_Data_An_Prec!$AQ:$AQ,$C371,BV_Data_An_Prec!$AR:$AR,$L$2)</f>
        <v>21793.92</v>
      </c>
      <c r="R371" s="515">
        <f t="shared" ref="R371:R380" si="71">IF(O371=0,0,(J371-O371)/O371)</f>
        <v>0.1024618363</v>
      </c>
      <c r="S371" s="484">
        <f t="shared" ref="S371:S380" si="72">L371-Q371</f>
        <v>-1189.04</v>
      </c>
      <c r="T371" s="40"/>
      <c r="U371" s="40"/>
      <c r="V371" s="48"/>
      <c r="W371" s="48"/>
      <c r="X371" s="48"/>
      <c r="Y371" s="48"/>
      <c r="Z371" s="48"/>
      <c r="AA371" s="48"/>
      <c r="AB371" s="48"/>
      <c r="AC371" s="48"/>
      <c r="AD371" s="48"/>
      <c r="AE371" s="48"/>
      <c r="AF371" s="48"/>
      <c r="AG371" s="48"/>
      <c r="AH371" s="48"/>
      <c r="AI371" s="48"/>
      <c r="AJ371" s="48"/>
      <c r="AK371" s="48"/>
      <c r="AL371" s="48"/>
      <c r="AM371" s="48"/>
      <c r="AN371" s="48"/>
    </row>
    <row r="372" ht="15.75" customHeight="1">
      <c r="A372" s="5" t="s">
        <v>986</v>
      </c>
      <c r="B372" s="48" t="s">
        <v>178</v>
      </c>
      <c r="C372" s="656" t="s">
        <v>180</v>
      </c>
      <c r="D372" s="483" t="str">
        <f t="array" ref="D372">+INDEX('Budget original'!$A$2:$AO$501,MATCH($A372,'Budget original'!$A$2:$A$501,0),MATCH(D$2,'Budget original'!$A$2:$AO$2,0))</f>
        <v/>
      </c>
      <c r="E372" s="602">
        <f t="shared" si="66"/>
        <v>0</v>
      </c>
      <c r="F372" s="484" t="str">
        <f t="array" ref="F372">+INDEX('Budget original'!$A$2:$AO$501,MATCH($A372,'Budget original'!$A$2:$A$501,0),MATCH(F$2,'Budget original'!$A$2:$AO$2,0))</f>
        <v/>
      </c>
      <c r="G372" s="483"/>
      <c r="H372" s="602"/>
      <c r="I372" s="484"/>
      <c r="J372" s="483">
        <f>-SUMIFS(BV_Data_An_Cour!$AM:$AM,BV_Data_An_Cour!$AS:$AS,"Oui",BV_Data_An_Cour!$AP:$AP,$B372,BV_Data_An_Cour!$AQ:$AQ,$C372)</f>
        <v>0</v>
      </c>
      <c r="K372" s="602">
        <f t="shared" si="67"/>
        <v>0</v>
      </c>
      <c r="L372" s="484">
        <f>-SUMIFS(BV_Data_An_Cour!$AM:$AM,BV_Data_An_Cour!$AP:$AP,$B372,BV_Data_An_Cour!$AQ:$AQ,$C372,BV_Data_An_Cour!$AR:$AR,$L$2)</f>
        <v>0</v>
      </c>
      <c r="M372" s="515" t="str">
        <f t="shared" si="68"/>
        <v>#DIV/0!</v>
      </c>
      <c r="N372" s="484">
        <f t="shared" si="69"/>
        <v>0</v>
      </c>
      <c r="O372" s="483">
        <f>-SUMIFS(BV_Data_An_Prec!$AM:$AM,BV_Data_An_Prec!$AS:$AS,"Oui",BV_Data_An_Prec!$AP:$AP,$B372,BV_Data_An_Prec!$AQ:$AQ,$C372)</f>
        <v>0</v>
      </c>
      <c r="P372" s="602">
        <f t="shared" si="70"/>
        <v>0</v>
      </c>
      <c r="Q372" s="484">
        <f>-SUMIFS(BV_Data_An_Prec!$AM:$AM,BV_Data_An_Prec!$AP:$AP,$B372,BV_Data_An_Prec!$AQ:$AQ,$C372,BV_Data_An_Prec!$AR:$AR,$L$2)</f>
        <v>0</v>
      </c>
      <c r="R372" s="515">
        <f t="shared" si="71"/>
        <v>0</v>
      </c>
      <c r="S372" s="484">
        <f t="shared" si="72"/>
        <v>0</v>
      </c>
      <c r="T372" s="40"/>
      <c r="U372" s="40"/>
      <c r="V372" s="48"/>
      <c r="W372" s="48"/>
      <c r="X372" s="48"/>
      <c r="Y372" s="48"/>
      <c r="Z372" s="48"/>
      <c r="AA372" s="48"/>
      <c r="AB372" s="48"/>
      <c r="AC372" s="48"/>
      <c r="AD372" s="48"/>
      <c r="AE372" s="48"/>
      <c r="AF372" s="48"/>
      <c r="AG372" s="48"/>
      <c r="AH372" s="48"/>
      <c r="AI372" s="48"/>
      <c r="AJ372" s="48"/>
      <c r="AK372" s="48"/>
      <c r="AL372" s="48"/>
      <c r="AM372" s="48"/>
      <c r="AN372" s="48"/>
    </row>
    <row r="373" ht="15.75" customHeight="1">
      <c r="A373" s="5" t="s">
        <v>987</v>
      </c>
      <c r="B373" s="48" t="s">
        <v>178</v>
      </c>
      <c r="C373" s="656" t="s">
        <v>181</v>
      </c>
      <c r="D373" s="483" t="str">
        <f t="array" ref="D373">+INDEX('Budget original'!$A$2:$AO$501,MATCH($A373,'Budget original'!$A$2:$A$501,0),MATCH(D$2,'Budget original'!$A$2:$AO$2,0))</f>
        <v/>
      </c>
      <c r="E373" s="602">
        <f t="shared" si="66"/>
        <v>0</v>
      </c>
      <c r="F373" s="484" t="str">
        <f t="array" ref="F373">+INDEX('Budget original'!$A$2:$AO$501,MATCH($A373,'Budget original'!$A$2:$A$501,0),MATCH(F$2,'Budget original'!$A$2:$AO$2,0))</f>
        <v/>
      </c>
      <c r="G373" s="483"/>
      <c r="H373" s="602"/>
      <c r="I373" s="484"/>
      <c r="J373" s="483">
        <f>-SUMIFS(BV_Data_An_Cour!$AM:$AM,BV_Data_An_Cour!$AS:$AS,"Oui",BV_Data_An_Cour!$AP:$AP,$B373,BV_Data_An_Cour!$AQ:$AQ,$C373)</f>
        <v>41863.68</v>
      </c>
      <c r="K373" s="602">
        <f t="shared" si="67"/>
        <v>0.2874310142</v>
      </c>
      <c r="L373" s="484">
        <f>-SUMIFS(BV_Data_An_Cour!$AM:$AM,BV_Data_An_Cour!$AP:$AP,$B373,BV_Data_An_Cour!$AQ:$AQ,$C373,BV_Data_An_Cour!$AR:$AR,$L$2)</f>
        <v>12032.92</v>
      </c>
      <c r="M373" s="515" t="str">
        <f t="shared" si="68"/>
        <v>#DIV/0!</v>
      </c>
      <c r="N373" s="484">
        <f t="shared" si="69"/>
        <v>12032.92</v>
      </c>
      <c r="O373" s="483">
        <f>-SUMIFS(BV_Data_An_Prec!$AM:$AM,BV_Data_An_Prec!$AS:$AS,"Oui",BV_Data_An_Prec!$AP:$AP,$B373,BV_Data_An_Prec!$AQ:$AQ,$C373)</f>
        <v>74831.28</v>
      </c>
      <c r="P373" s="602">
        <f t="shared" si="70"/>
        <v>0.2596044061</v>
      </c>
      <c r="Q373" s="484">
        <f>-SUMIFS(BV_Data_An_Prec!$AM:$AM,BV_Data_An_Prec!$AP:$AP,$B373,BV_Data_An_Prec!$AQ:$AQ,$C373,BV_Data_An_Prec!$AR:$AR,$L$2)</f>
        <v>19426.53</v>
      </c>
      <c r="R373" s="515">
        <f t="shared" si="71"/>
        <v>-0.4405590817</v>
      </c>
      <c r="S373" s="484">
        <f t="shared" si="72"/>
        <v>-7393.61</v>
      </c>
      <c r="T373" s="40"/>
      <c r="U373" s="40"/>
      <c r="V373" s="48"/>
      <c r="W373" s="48"/>
      <c r="X373" s="48"/>
      <c r="Y373" s="48"/>
      <c r="Z373" s="48"/>
      <c r="AA373" s="48"/>
      <c r="AB373" s="48"/>
      <c r="AC373" s="48"/>
      <c r="AD373" s="48"/>
      <c r="AE373" s="48"/>
      <c r="AF373" s="48"/>
      <c r="AG373" s="48"/>
      <c r="AH373" s="48"/>
      <c r="AI373" s="48"/>
      <c r="AJ373" s="48"/>
      <c r="AK373" s="48"/>
      <c r="AL373" s="48"/>
      <c r="AM373" s="48"/>
      <c r="AN373" s="48"/>
    </row>
    <row r="374" ht="15.75" customHeight="1">
      <c r="A374" s="5" t="s">
        <v>988</v>
      </c>
      <c r="B374" s="48" t="s">
        <v>178</v>
      </c>
      <c r="C374" s="656" t="s">
        <v>182</v>
      </c>
      <c r="D374" s="483" t="str">
        <f t="array" ref="D374">+INDEX('Budget original'!$A$2:$AO$501,MATCH($A374,'Budget original'!$A$2:$A$501,0),MATCH(D$2,'Budget original'!$A$2:$AO$2,0))</f>
        <v/>
      </c>
      <c r="E374" s="602">
        <f t="shared" si="66"/>
        <v>0</v>
      </c>
      <c r="F374" s="484" t="str">
        <f t="array" ref="F374">+INDEX('Budget original'!$A$2:$AO$501,MATCH($A374,'Budget original'!$A$2:$A$501,0),MATCH(F$2,'Budget original'!$A$2:$AO$2,0))</f>
        <v/>
      </c>
      <c r="G374" s="483"/>
      <c r="H374" s="602"/>
      <c r="I374" s="484"/>
      <c r="J374" s="483">
        <f>-SUMIFS(BV_Data_An_Cour!$AM:$AM,BV_Data_An_Cour!$AS:$AS,"Oui",BV_Data_An_Cour!$AP:$AP,$B374,BV_Data_An_Cour!$AQ:$AQ,$C374)</f>
        <v>40502.95</v>
      </c>
      <c r="K374" s="602">
        <f t="shared" si="67"/>
        <v>0.2823683213</v>
      </c>
      <c r="L374" s="484">
        <f>-SUMIFS(BV_Data_An_Cour!$AM:$AM,BV_Data_An_Cour!$AP:$AP,$B374,BV_Data_An_Cour!$AQ:$AQ,$C374,BV_Data_An_Cour!$AR:$AR,$L$2)</f>
        <v>11436.75</v>
      </c>
      <c r="M374" s="515" t="str">
        <f t="shared" si="68"/>
        <v>#DIV/0!</v>
      </c>
      <c r="N374" s="484">
        <f t="shared" si="69"/>
        <v>11436.75</v>
      </c>
      <c r="O374" s="483">
        <f>-SUMIFS(BV_Data_An_Prec!$AM:$AM,BV_Data_An_Prec!$AS:$AS,"Oui",BV_Data_An_Prec!$AP:$AP,$B374,BV_Data_An_Prec!$AQ:$AQ,$C374)</f>
        <v>46742.56</v>
      </c>
      <c r="P374" s="602">
        <f t="shared" si="70"/>
        <v>0.2825681777</v>
      </c>
      <c r="Q374" s="484">
        <f>-SUMIFS(BV_Data_An_Prec!$AM:$AM,BV_Data_An_Prec!$AP:$AP,$B374,BV_Data_An_Prec!$AQ:$AQ,$C374,BV_Data_An_Prec!$AR:$AR,$L$2)</f>
        <v>13207.96</v>
      </c>
      <c r="R374" s="515">
        <f t="shared" si="71"/>
        <v>-0.1334888376</v>
      </c>
      <c r="S374" s="484">
        <f t="shared" si="72"/>
        <v>-1771.21</v>
      </c>
      <c r="T374" s="40"/>
      <c r="U374" s="40"/>
      <c r="V374" s="40"/>
      <c r="W374" s="48"/>
      <c r="X374" s="48"/>
      <c r="Y374" s="48"/>
      <c r="Z374" s="48"/>
      <c r="AA374" s="48"/>
      <c r="AB374" s="48"/>
      <c r="AC374" s="48"/>
      <c r="AD374" s="48"/>
      <c r="AE374" s="48"/>
      <c r="AF374" s="48"/>
      <c r="AG374" s="48"/>
      <c r="AH374" s="48"/>
      <c r="AI374" s="48"/>
      <c r="AJ374" s="48"/>
      <c r="AK374" s="48"/>
      <c r="AL374" s="48"/>
      <c r="AM374" s="48"/>
      <c r="AN374" s="48"/>
    </row>
    <row r="375" ht="15.75" customHeight="1">
      <c r="A375" s="5" t="s">
        <v>989</v>
      </c>
      <c r="B375" s="48" t="s">
        <v>178</v>
      </c>
      <c r="C375" s="656" t="s">
        <v>183</v>
      </c>
      <c r="D375" s="483" t="str">
        <f t="array" ref="D375">+INDEX('Budget original'!$A$2:$AO$501,MATCH($A375,'Budget original'!$A$2:$A$501,0),MATCH(D$2,'Budget original'!$A$2:$AO$2,0))</f>
        <v/>
      </c>
      <c r="E375" s="602">
        <f t="shared" si="66"/>
        <v>0</v>
      </c>
      <c r="F375" s="484" t="str">
        <f t="array" ref="F375">+INDEX('Budget original'!$A$2:$AO$501,MATCH($A375,'Budget original'!$A$2:$A$501,0),MATCH(F$2,'Budget original'!$A$2:$AO$2,0))</f>
        <v/>
      </c>
      <c r="G375" s="483"/>
      <c r="H375" s="602"/>
      <c r="I375" s="484"/>
      <c r="J375" s="483">
        <f>-SUMIFS(BV_Data_An_Cour!$AM:$AM,BV_Data_An_Cour!$AS:$AS,"Oui",BV_Data_An_Cour!$AP:$AP,$B375,BV_Data_An_Cour!$AQ:$AQ,$C375)</f>
        <v>31930.49</v>
      </c>
      <c r="K375" s="602">
        <f t="shared" si="67"/>
        <v>0.2372948239</v>
      </c>
      <c r="L375" s="484">
        <f>-SUMIFS(BV_Data_An_Cour!$AM:$AM,BV_Data_An_Cour!$AP:$AP,$B375,BV_Data_An_Cour!$AQ:$AQ,$C375,BV_Data_An_Cour!$AR:$AR,$L$2)</f>
        <v>7576.94</v>
      </c>
      <c r="M375" s="515" t="str">
        <f t="shared" si="68"/>
        <v>#DIV/0!</v>
      </c>
      <c r="N375" s="484">
        <f t="shared" si="69"/>
        <v>7576.94</v>
      </c>
      <c r="O375" s="483">
        <f>-SUMIFS(BV_Data_An_Prec!$AM:$AM,BV_Data_An_Prec!$AS:$AS,"Oui",BV_Data_An_Prec!$AP:$AP,$B375,BV_Data_An_Prec!$AQ:$AQ,$C375)</f>
        <v>29061.13</v>
      </c>
      <c r="P375" s="602">
        <f t="shared" si="70"/>
        <v>0.2730031489</v>
      </c>
      <c r="Q375" s="484">
        <f>-SUMIFS(BV_Data_An_Prec!$AM:$AM,BV_Data_An_Prec!$AP:$AP,$B375,BV_Data_An_Prec!$AQ:$AQ,$C375,BV_Data_An_Prec!$AR:$AR,$L$2)</f>
        <v>7933.78</v>
      </c>
      <c r="R375" s="515">
        <f t="shared" si="71"/>
        <v>0.09873532103</v>
      </c>
      <c r="S375" s="484">
        <f t="shared" si="72"/>
        <v>-356.84</v>
      </c>
      <c r="T375" s="40"/>
      <c r="U375" s="40"/>
      <c r="V375" s="48"/>
      <c r="W375" s="48"/>
      <c r="X375" s="48"/>
      <c r="Y375" s="48"/>
      <c r="Z375" s="48"/>
      <c r="AA375" s="48"/>
      <c r="AB375" s="48"/>
      <c r="AC375" s="48"/>
      <c r="AD375" s="48"/>
      <c r="AE375" s="48"/>
      <c r="AF375" s="48"/>
      <c r="AG375" s="48"/>
      <c r="AH375" s="48"/>
      <c r="AI375" s="48"/>
      <c r="AJ375" s="48"/>
      <c r="AK375" s="48"/>
      <c r="AL375" s="48"/>
      <c r="AM375" s="48"/>
      <c r="AN375" s="48"/>
    </row>
    <row r="376" ht="15.75" customHeight="1">
      <c r="A376" s="5" t="s">
        <v>990</v>
      </c>
      <c r="B376" s="48" t="s">
        <v>178</v>
      </c>
      <c r="C376" s="656" t="s">
        <v>184</v>
      </c>
      <c r="D376" s="483" t="str">
        <f t="array" ref="D376">+INDEX('Budget original'!$A$2:$AO$501,MATCH($A376,'Budget original'!$A$2:$A$501,0),MATCH(D$2,'Budget original'!$A$2:$AO$2,0))</f>
        <v/>
      </c>
      <c r="E376" s="602">
        <f t="shared" si="66"/>
        <v>0</v>
      </c>
      <c r="F376" s="484" t="str">
        <f t="array" ref="F376">+INDEX('Budget original'!$A$2:$AO$501,MATCH($A376,'Budget original'!$A$2:$A$501,0),MATCH(F$2,'Budget original'!$A$2:$AO$2,0))</f>
        <v/>
      </c>
      <c r="G376" s="483"/>
      <c r="H376" s="602"/>
      <c r="I376" s="484"/>
      <c r="J376" s="483">
        <f>-SUMIFS(BV_Data_An_Cour!$AM:$AM,BV_Data_An_Cour!$AS:$AS,"Oui",BV_Data_An_Cour!$AP:$AP,$B376,BV_Data_An_Cour!$AQ:$AQ,$C376)</f>
        <v>147838.78</v>
      </c>
      <c r="K376" s="602">
        <f t="shared" si="67"/>
        <v>0.2002692392</v>
      </c>
      <c r="L376" s="484">
        <f>-SUMIFS(BV_Data_An_Cour!$AM:$AM,BV_Data_An_Cour!$AP:$AP,$B376,BV_Data_An_Cour!$AQ:$AQ,$C376,BV_Data_An_Cour!$AR:$AR,$L$2)</f>
        <v>29607.56</v>
      </c>
      <c r="M376" s="515" t="str">
        <f t="shared" si="68"/>
        <v>#DIV/0!</v>
      </c>
      <c r="N376" s="484">
        <f t="shared" si="69"/>
        <v>29607.56</v>
      </c>
      <c r="O376" s="483">
        <f>-SUMIFS(BV_Data_An_Prec!$AM:$AM,BV_Data_An_Prec!$AS:$AS,"Oui",BV_Data_An_Prec!$AP:$AP,$B376,BV_Data_An_Prec!$AQ:$AQ,$C376)</f>
        <v>193176.42</v>
      </c>
      <c r="P376" s="602">
        <f t="shared" si="70"/>
        <v>0.2259414995</v>
      </c>
      <c r="Q376" s="484">
        <f>-SUMIFS(BV_Data_An_Prec!$AM:$AM,BV_Data_An_Prec!$AP:$AP,$B376,BV_Data_An_Prec!$AQ:$AQ,$C376,BV_Data_An_Prec!$AR:$AR,$L$2)</f>
        <v>43646.57</v>
      </c>
      <c r="R376" s="515">
        <f t="shared" si="71"/>
        <v>-0.2346955182</v>
      </c>
      <c r="S376" s="484">
        <f t="shared" si="72"/>
        <v>-14039.01</v>
      </c>
      <c r="T376" s="40"/>
      <c r="U376" s="40"/>
      <c r="V376" s="48"/>
      <c r="W376" s="48"/>
      <c r="X376" s="48"/>
      <c r="Y376" s="48"/>
      <c r="Z376" s="48"/>
      <c r="AA376" s="48"/>
      <c r="AB376" s="48"/>
      <c r="AC376" s="48"/>
      <c r="AD376" s="48"/>
      <c r="AE376" s="48"/>
      <c r="AF376" s="48"/>
      <c r="AG376" s="48"/>
      <c r="AH376" s="48"/>
      <c r="AI376" s="48"/>
      <c r="AJ376" s="48"/>
      <c r="AK376" s="48"/>
      <c r="AL376" s="48"/>
      <c r="AM376" s="48"/>
      <c r="AN376" s="48"/>
    </row>
    <row r="377" ht="20.25" hidden="1" customHeight="1">
      <c r="A377" s="5" t="s">
        <v>991</v>
      </c>
      <c r="B377" s="48" t="s">
        <v>178</v>
      </c>
      <c r="C377" s="656" t="s">
        <v>56</v>
      </c>
      <c r="D377" s="483" t="str">
        <f t="array" ref="D377">+INDEX('Budget original'!$A$2:$AO$501,MATCH($A377,'Budget original'!$A$2:$A$501,0),MATCH(D$2,'Budget original'!$A$2:$AO$2,0))</f>
        <v/>
      </c>
      <c r="E377" s="602">
        <f t="shared" si="66"/>
        <v>0</v>
      </c>
      <c r="F377" s="484" t="str">
        <f t="array" ref="F377">+INDEX('Budget original'!$A$2:$AO$501,MATCH($A377,'Budget original'!$A$2:$A$501,0),MATCH(F$2,'Budget original'!$A$2:$AO$2,0))</f>
        <v/>
      </c>
      <c r="G377" s="483"/>
      <c r="H377" s="602"/>
      <c r="I377" s="484"/>
      <c r="J377" s="483">
        <f>-SUMIFS(BV_Data_An_Cour!$AM:$AM,BV_Data_An_Cour!$AS:$AS,"Oui",BV_Data_An_Cour!$AP:$AP,$B377,BV_Data_An_Cour!$AQ:$AQ,$C377)</f>
        <v>0</v>
      </c>
      <c r="K377" s="602">
        <f t="shared" si="67"/>
        <v>0</v>
      </c>
      <c r="L377" s="484">
        <f>-SUMIFS(BV_Data_An_Cour!$AM:$AM,BV_Data_An_Cour!$AP:$AP,$B377,BV_Data_An_Cour!$AQ:$AQ,$C377,BV_Data_An_Cour!$AR:$AR,$L$2)</f>
        <v>0</v>
      </c>
      <c r="M377" s="515" t="str">
        <f t="shared" si="68"/>
        <v>#DIV/0!</v>
      </c>
      <c r="N377" s="484">
        <f t="shared" si="69"/>
        <v>0</v>
      </c>
      <c r="O377" s="483">
        <f>-SUMIFS(BV_Data_An_Prec!$AM:$AM,BV_Data_An_Prec!$AS:$AS,"Oui",BV_Data_An_Prec!$AP:$AP,$B377,BV_Data_An_Prec!$AQ:$AQ,$C377)</f>
        <v>0</v>
      </c>
      <c r="P377" s="602">
        <f t="shared" si="70"/>
        <v>0</v>
      </c>
      <c r="Q377" s="484">
        <f>-SUMIFS(BV_Data_An_Prec!$AM:$AM,BV_Data_An_Prec!$AP:$AP,$B377,BV_Data_An_Prec!$AQ:$AQ,$C377,BV_Data_An_Prec!$AR:$AR,$L$2)</f>
        <v>0</v>
      </c>
      <c r="R377" s="515">
        <f t="shared" si="71"/>
        <v>0</v>
      </c>
      <c r="S377" s="484">
        <f t="shared" si="72"/>
        <v>0</v>
      </c>
      <c r="T377" s="40"/>
      <c r="U377" s="40"/>
      <c r="V377" s="48"/>
      <c r="W377" s="48"/>
      <c r="X377" s="48"/>
      <c r="Y377" s="48"/>
      <c r="Z377" s="48"/>
      <c r="AA377" s="48"/>
      <c r="AB377" s="48"/>
      <c r="AC377" s="48"/>
      <c r="AD377" s="48"/>
      <c r="AE377" s="48"/>
      <c r="AF377" s="48"/>
      <c r="AG377" s="48"/>
      <c r="AH377" s="48"/>
      <c r="AI377" s="48"/>
      <c r="AJ377" s="48"/>
      <c r="AK377" s="48"/>
      <c r="AL377" s="48"/>
      <c r="AM377" s="48"/>
      <c r="AN377" s="48"/>
    </row>
    <row r="378" ht="15.75" customHeight="1">
      <c r="A378" s="5" t="s">
        <v>992</v>
      </c>
      <c r="B378" s="48" t="s">
        <v>178</v>
      </c>
      <c r="C378" s="656" t="s">
        <v>185</v>
      </c>
      <c r="D378" s="483" t="str">
        <f t="array" ref="D378">+INDEX('Budget original'!$A$2:$AO$501,MATCH($A378,'Budget original'!$A$2:$A$501,0),MATCH(D$2,'Budget original'!$A$2:$AO$2,0))</f>
        <v/>
      </c>
      <c r="E378" s="602">
        <f t="shared" si="66"/>
        <v>0</v>
      </c>
      <c r="F378" s="484" t="str">
        <f t="array" ref="F378">+INDEX('Budget original'!$A$2:$AO$501,MATCH($A378,'Budget original'!$A$2:$A$501,0),MATCH(F$2,'Budget original'!$A$2:$AO$2,0))</f>
        <v/>
      </c>
      <c r="G378" s="483"/>
      <c r="H378" s="602"/>
      <c r="I378" s="484"/>
      <c r="J378" s="483">
        <f>-SUMIFS(BV_Data_An_Cour!$AM:$AM,BV_Data_An_Cour!$AS:$AS,"Oui",BV_Data_An_Cour!$AP:$AP,$B378,BV_Data_An_Cour!$AQ:$AQ,$C378)</f>
        <v>0</v>
      </c>
      <c r="K378" s="602">
        <f t="shared" si="67"/>
        <v>0</v>
      </c>
      <c r="L378" s="484">
        <f>-SUMIFS(BV_Data_An_Cour!$AM:$AM,BV_Data_An_Cour!$AP:$AP,$B378,BV_Data_An_Cour!$AQ:$AQ,$C378,BV_Data_An_Cour!$AR:$AR,$L$2)</f>
        <v>4588.97</v>
      </c>
      <c r="M378" s="515"/>
      <c r="N378" s="484">
        <f t="shared" si="69"/>
        <v>4588.97</v>
      </c>
      <c r="O378" s="483">
        <f>-SUMIFS(BV_Data_An_Prec!$AM:$AM,BV_Data_An_Prec!$AS:$AS,"Oui",BV_Data_An_Prec!$AP:$AP,$B378,BV_Data_An_Prec!$AQ:$AQ,$C378)</f>
        <v>0</v>
      </c>
      <c r="P378" s="602">
        <f t="shared" si="70"/>
        <v>0</v>
      </c>
      <c r="Q378" s="484">
        <f>-SUMIFS(BV_Data_An_Prec!$AM:$AM,BV_Data_An_Prec!$AP:$AP,$B378,BV_Data_An_Prec!$AQ:$AQ,$C378,BV_Data_An_Prec!$AR:$AR,$L$2)</f>
        <v>3667.88</v>
      </c>
      <c r="R378" s="515">
        <f t="shared" si="71"/>
        <v>0</v>
      </c>
      <c r="S378" s="484">
        <f t="shared" si="72"/>
        <v>921.09</v>
      </c>
      <c r="T378" s="40"/>
      <c r="U378" s="40"/>
      <c r="V378" s="48"/>
      <c r="W378" s="48"/>
      <c r="X378" s="48"/>
      <c r="Y378" s="48"/>
      <c r="Z378" s="48"/>
      <c r="AA378" s="48"/>
      <c r="AB378" s="48"/>
      <c r="AC378" s="48"/>
      <c r="AD378" s="48"/>
      <c r="AE378" s="48"/>
      <c r="AF378" s="48"/>
      <c r="AG378" s="48"/>
      <c r="AH378" s="48"/>
      <c r="AI378" s="48"/>
      <c r="AJ378" s="48"/>
      <c r="AK378" s="48"/>
      <c r="AL378" s="48"/>
      <c r="AM378" s="48"/>
      <c r="AN378" s="48"/>
    </row>
    <row r="379" ht="15.75" customHeight="1">
      <c r="A379" s="5" t="s">
        <v>993</v>
      </c>
      <c r="B379" s="48" t="s">
        <v>178</v>
      </c>
      <c r="C379" s="657" t="s">
        <v>186</v>
      </c>
      <c r="D379" s="483" t="str">
        <f t="array" ref="D379">+INDEX('Budget original'!$A$2:$AO$501,MATCH($A379,'Budget original'!$A$2:$A$501,0),MATCH(D$2,'Budget original'!$A$2:$AO$2,0))</f>
        <v/>
      </c>
      <c r="E379" s="602">
        <f t="shared" si="66"/>
        <v>0</v>
      </c>
      <c r="F379" s="484" t="str">
        <f t="array" ref="F379">+INDEX('Budget original'!$A$2:$AO$501,MATCH($A379,'Budget original'!$A$2:$A$501,0),MATCH(F$2,'Budget original'!$A$2:$AO$2,0))</f>
        <v/>
      </c>
      <c r="G379" s="483"/>
      <c r="H379" s="602"/>
      <c r="I379" s="484"/>
      <c r="J379" s="483">
        <f>-SUMIFS(BV_Data_An_Cour!$AM:$AM,BV_Data_An_Cour!$AS:$AS,"Oui",BV_Data_An_Cour!$AP:$AP,$B379,BV_Data_An_Cour!$AQ:$AQ,$C379)</f>
        <v>0</v>
      </c>
      <c r="K379" s="602">
        <f t="shared" si="67"/>
        <v>0</v>
      </c>
      <c r="L379" s="484">
        <f>-SUMIFS(BV_Data_An_Cour!$AM:$AM,BV_Data_An_Cour!$AP:$AP,$B379,BV_Data_An_Cour!$AQ:$AQ,$C379,BV_Data_An_Cour!$AR:$AR,$L$2)</f>
        <v>3276.65</v>
      </c>
      <c r="M379" s="515"/>
      <c r="N379" s="484">
        <f t="shared" si="69"/>
        <v>3276.65</v>
      </c>
      <c r="O379" s="483">
        <f>-SUMIFS(BV_Data_An_Prec!$AM:$AM,BV_Data_An_Prec!$AS:$AS,"Oui",BV_Data_An_Prec!$AP:$AP,$B379,BV_Data_An_Prec!$AQ:$AQ,$C379)</f>
        <v>0</v>
      </c>
      <c r="P379" s="602">
        <f t="shared" si="70"/>
        <v>0</v>
      </c>
      <c r="Q379" s="484">
        <f>-SUMIFS(BV_Data_An_Prec!$AM:$AM,BV_Data_An_Prec!$AP:$AP,$B379,BV_Data_An_Prec!$AQ:$AQ,$C379,BV_Data_An_Prec!$AR:$AR,$L$2)</f>
        <v>744.03</v>
      </c>
      <c r="R379" s="515">
        <f t="shared" si="71"/>
        <v>0</v>
      </c>
      <c r="S379" s="484">
        <f t="shared" si="72"/>
        <v>2532.62</v>
      </c>
      <c r="T379" s="40"/>
      <c r="U379" s="40"/>
      <c r="V379" s="48"/>
      <c r="W379" s="48"/>
      <c r="X379" s="48"/>
      <c r="Y379" s="48"/>
      <c r="Z379" s="48"/>
      <c r="AA379" s="48"/>
      <c r="AB379" s="48"/>
      <c r="AC379" s="48"/>
      <c r="AD379" s="48"/>
      <c r="AE379" s="48"/>
      <c r="AF379" s="48"/>
      <c r="AG379" s="48"/>
      <c r="AH379" s="48"/>
      <c r="AI379" s="48"/>
      <c r="AJ379" s="48"/>
      <c r="AK379" s="48"/>
      <c r="AL379" s="48"/>
      <c r="AM379" s="48"/>
      <c r="AN379" s="48"/>
    </row>
    <row r="380" ht="15.75" customHeight="1">
      <c r="A380" s="5" t="s">
        <v>994</v>
      </c>
      <c r="B380" s="48" t="s">
        <v>178</v>
      </c>
      <c r="C380" s="658" t="s">
        <v>187</v>
      </c>
      <c r="D380" s="495">
        <f>SUM(D371:D379)</f>
        <v>0</v>
      </c>
      <c r="E380" s="659">
        <f>IF(D380&lt;=0,0,F380/D380)</f>
        <v>0</v>
      </c>
      <c r="F380" s="497">
        <f>SUM(F371:F379)</f>
        <v>0</v>
      </c>
      <c r="G380" s="495"/>
      <c r="H380" s="659"/>
      <c r="I380" s="497"/>
      <c r="J380" s="495">
        <f>SUM(J371:J379)</f>
        <v>321980.45</v>
      </c>
      <c r="K380" s="659">
        <f t="shared" si="67"/>
        <v>0.2768014952</v>
      </c>
      <c r="L380" s="497">
        <f>SUM(L371:L379)</f>
        <v>89124.67</v>
      </c>
      <c r="M380" s="660" t="str">
        <f>(+J380-D380)/D380</f>
        <v>#DIV/0!</v>
      </c>
      <c r="N380" s="497">
        <f t="shared" si="69"/>
        <v>89124.67</v>
      </c>
      <c r="O380" s="495">
        <f>SUM(O371:O379)</f>
        <v>398094.04</v>
      </c>
      <c r="P380" s="659">
        <f t="shared" si="70"/>
        <v>0.2773733312</v>
      </c>
      <c r="Q380" s="497">
        <f>SUM(Q371:Q379)</f>
        <v>110420.67</v>
      </c>
      <c r="R380" s="660">
        <f t="shared" si="71"/>
        <v>-0.1911950001</v>
      </c>
      <c r="S380" s="497">
        <f t="shared" si="72"/>
        <v>-21296</v>
      </c>
      <c r="T380" s="40"/>
      <c r="U380" s="40"/>
      <c r="V380" s="48"/>
      <c r="W380" s="48"/>
      <c r="X380" s="48"/>
      <c r="Y380" s="48"/>
      <c r="Z380" s="48"/>
      <c r="AA380" s="48"/>
      <c r="AB380" s="48"/>
      <c r="AC380" s="48"/>
      <c r="AD380" s="48"/>
      <c r="AE380" s="48"/>
      <c r="AF380" s="48"/>
      <c r="AG380" s="48"/>
      <c r="AH380" s="48"/>
      <c r="AI380" s="48"/>
      <c r="AJ380" s="48"/>
      <c r="AK380" s="48"/>
      <c r="AL380" s="48"/>
      <c r="AM380" s="48"/>
      <c r="AN380" s="48"/>
    </row>
    <row r="381" ht="15.75" customHeight="1">
      <c r="A381" s="5" t="s">
        <v>178</v>
      </c>
      <c r="B381" s="48" t="s">
        <v>178</v>
      </c>
      <c r="C381" s="656"/>
      <c r="D381" s="48"/>
      <c r="E381" s="48"/>
      <c r="F381" s="514"/>
      <c r="G381" s="480"/>
      <c r="H381" s="48"/>
      <c r="I381" s="514"/>
      <c r="J381" s="486"/>
      <c r="K381" s="48"/>
      <c r="L381" s="484"/>
      <c r="M381" s="480"/>
      <c r="N381" s="507" t="str">
        <f>N380/F380</f>
        <v>#DIV/0!</v>
      </c>
      <c r="O381" s="486"/>
      <c r="P381" s="48"/>
      <c r="Q381" s="484"/>
      <c r="R381" s="480"/>
      <c r="S381" s="507">
        <f>IF(Q380=0,0,S380/Q380)</f>
        <v>-0.1928624414</v>
      </c>
      <c r="T381" s="40"/>
      <c r="U381" s="40"/>
      <c r="V381" s="48"/>
      <c r="W381" s="48"/>
      <c r="X381" s="48"/>
      <c r="Y381" s="48"/>
      <c r="Z381" s="48"/>
      <c r="AA381" s="48"/>
      <c r="AB381" s="48"/>
      <c r="AC381" s="48"/>
      <c r="AD381" s="48"/>
      <c r="AE381" s="48"/>
      <c r="AF381" s="48"/>
      <c r="AG381" s="48"/>
      <c r="AH381" s="48"/>
      <c r="AI381" s="48"/>
      <c r="AJ381" s="48"/>
      <c r="AK381" s="48"/>
      <c r="AL381" s="48"/>
      <c r="AM381" s="48"/>
      <c r="AN381" s="48"/>
    </row>
    <row r="382" ht="15.75" customHeight="1">
      <c r="A382" s="5" t="s">
        <v>178</v>
      </c>
      <c r="B382" s="48" t="s">
        <v>178</v>
      </c>
      <c r="C382" s="657"/>
      <c r="D382" s="564"/>
      <c r="E382" s="564"/>
      <c r="F382" s="661"/>
      <c r="G382" s="471"/>
      <c r="H382" s="564"/>
      <c r="I382" s="661"/>
      <c r="J382" s="622"/>
      <c r="K382" s="564"/>
      <c r="L382" s="476"/>
      <c r="M382" s="471"/>
      <c r="N382" s="642"/>
      <c r="O382" s="622"/>
      <c r="P382" s="564"/>
      <c r="Q382" s="476"/>
      <c r="R382" s="471"/>
      <c r="S382" s="598"/>
      <c r="T382" s="40"/>
      <c r="U382" s="40"/>
      <c r="V382" s="48"/>
      <c r="W382" s="48"/>
      <c r="X382" s="48"/>
      <c r="Y382" s="48"/>
      <c r="Z382" s="48"/>
      <c r="AA382" s="48"/>
      <c r="AB382" s="48"/>
      <c r="AC382" s="48"/>
      <c r="AD382" s="48"/>
      <c r="AE382" s="48"/>
      <c r="AF382" s="48"/>
      <c r="AG382" s="48"/>
      <c r="AH382" s="48"/>
      <c r="AI382" s="48"/>
      <c r="AJ382" s="48"/>
      <c r="AK382" s="48"/>
      <c r="AL382" s="48"/>
      <c r="AM382" s="48"/>
      <c r="AN382" s="48"/>
    </row>
    <row r="383" ht="15.75" customHeight="1">
      <c r="A383" s="5" t="s">
        <v>995</v>
      </c>
      <c r="B383" s="48" t="s">
        <v>178</v>
      </c>
      <c r="C383" s="656" t="s">
        <v>188</v>
      </c>
      <c r="D383" s="483" t="str">
        <f t="array" ref="D383">+INDEX('Budget original'!$A$2:$AO$501,MATCH($A383,'Budget original'!$A$2:$A$501,0),MATCH(D$2,'Budget original'!$A$2:$AO$2,0))</f>
        <v/>
      </c>
      <c r="E383" s="602">
        <f t="shared" ref="E383:E384" si="73">IF(D383=0,0,F383/D383)</f>
        <v>0</v>
      </c>
      <c r="F383" s="523" t="str">
        <f t="array" ref="F383">+INDEX('Budget original'!$A$2:$AO$501,MATCH($A383,'Budget original'!$A$2:$A$501,0),MATCH(F$2,'Budget original'!$A$2:$AO$2,0))</f>
        <v/>
      </c>
      <c r="G383" s="483"/>
      <c r="H383" s="602"/>
      <c r="I383" s="523"/>
      <c r="J383" s="483">
        <f>-SUMIFS(BV_Data_An_Cour!$AM:$AM,BV_Data_An_Cour!$AS:$AS,"Oui",BV_Data_An_Cour!$AP:$AP,$B383,BV_Data_An_Cour!$AQ:$AQ,$C383)</f>
        <v>39663.96</v>
      </c>
      <c r="K383" s="602">
        <f t="shared" ref="K383:K385" si="74">IF(J383&lt;=0,0,L383/J383)</f>
        <v>0.08631614191</v>
      </c>
      <c r="L383" s="523">
        <f>-SUMIFS(BV_Data_An_Cour!$AM:$AM,BV_Data_An_Cour!$AP:$AP,$B383,BV_Data_An_Cour!$AQ:$AQ,$C383,BV_Data_An_Cour!$AR:$AR,$L$2)</f>
        <v>3423.64</v>
      </c>
      <c r="M383" s="515" t="str">
        <f t="shared" ref="M383:M385" si="75">(+J383-D383)/D383</f>
        <v>#DIV/0!</v>
      </c>
      <c r="N383" s="484">
        <f t="shared" ref="N383:N385" si="76">L383-F383</f>
        <v>3423.64</v>
      </c>
      <c r="O383" s="483">
        <f>-SUMIFS(BV_Data_An_Prec!$AM:$AM,BV_Data_An_Prec!$AS:$AS,"Oui",BV_Data_An_Prec!$AP:$AP,$B383,BV_Data_An_Prec!$AQ:$AQ,$C383)</f>
        <v>20398.25</v>
      </c>
      <c r="P383" s="602">
        <f t="shared" ref="P383:P385" si="77">IF(O383&lt;=0,0,Q383/O383)</f>
        <v>0.1084171436</v>
      </c>
      <c r="Q383" s="523">
        <f>-SUMIFS(BV_Data_An_Prec!$AM:$AM,BV_Data_An_Prec!$AP:$AP,$B383,BV_Data_An_Prec!$AQ:$AQ,$C383,BV_Data_An_Prec!$AR:$AR,$L$2)</f>
        <v>2211.52</v>
      </c>
      <c r="R383" s="515">
        <f t="shared" ref="R383:R385" si="78">IF(O383=0,0,(J383-O383)/O383)</f>
        <v>0.9444785705</v>
      </c>
      <c r="S383" s="484">
        <f t="shared" ref="S383:S385" si="79">L383-Q383</f>
        <v>1212.12</v>
      </c>
      <c r="T383" s="40"/>
      <c r="U383" s="40"/>
      <c r="V383" s="48"/>
      <c r="W383" s="48"/>
      <c r="X383" s="48"/>
      <c r="Y383" s="48"/>
      <c r="Z383" s="48"/>
      <c r="AA383" s="48"/>
      <c r="AB383" s="48"/>
      <c r="AC383" s="48"/>
      <c r="AD383" s="48"/>
      <c r="AE383" s="48"/>
      <c r="AF383" s="48"/>
      <c r="AG383" s="48"/>
      <c r="AH383" s="48"/>
      <c r="AI383" s="48"/>
      <c r="AJ383" s="48"/>
      <c r="AK383" s="48"/>
      <c r="AL383" s="48"/>
      <c r="AM383" s="48"/>
      <c r="AN383" s="48"/>
    </row>
    <row r="384" ht="15.75" customHeight="1">
      <c r="A384" s="5" t="s">
        <v>996</v>
      </c>
      <c r="B384" s="48" t="s">
        <v>178</v>
      </c>
      <c r="C384" s="657" t="s">
        <v>189</v>
      </c>
      <c r="D384" s="483" t="str">
        <f t="array" ref="D384">+INDEX('Budget original'!$A$2:$AO$501,MATCH($A384,'Budget original'!$A$2:$A$501,0),MATCH(D$2,'Budget original'!$A$2:$AO$2,0))</f>
        <v/>
      </c>
      <c r="E384" s="602">
        <f t="shared" si="73"/>
        <v>0</v>
      </c>
      <c r="F384" s="476" t="str">
        <f t="array" ref="F384">+INDEX('Budget original'!$A$2:$AO$501,MATCH($A384,'Budget original'!$A$2:$A$501,0),MATCH(F$2,'Budget original'!$A$2:$AO$2,0))</f>
        <v/>
      </c>
      <c r="G384" s="483"/>
      <c r="H384" s="602"/>
      <c r="I384" s="476"/>
      <c r="J384" s="483">
        <f>-SUMIFS(BV_Data_An_Cour!$AM:$AM,BV_Data_An_Cour!$AS:$AS,"Oui",BV_Data_An_Cour!$AP:$AP,$B384,BV_Data_An_Cour!$AQ:$AQ,$C384)</f>
        <v>13668.6</v>
      </c>
      <c r="K384" s="602">
        <f t="shared" si="74"/>
        <v>0.2374090982</v>
      </c>
      <c r="L384" s="476">
        <f>-SUMIFS(BV_Data_An_Cour!$AM:$AM,BV_Data_An_Cour!$AP:$AP,$B384,BV_Data_An_Cour!$AQ:$AQ,$C384,BV_Data_An_Cour!$AR:$AR,$L$2)</f>
        <v>3245.05</v>
      </c>
      <c r="M384" s="515" t="str">
        <f t="shared" si="75"/>
        <v>#DIV/0!</v>
      </c>
      <c r="N384" s="484">
        <f t="shared" si="76"/>
        <v>3245.05</v>
      </c>
      <c r="O384" s="483">
        <f>-SUMIFS(BV_Data_An_Prec!$AM:$AM,BV_Data_An_Prec!$AS:$AS,"Oui",BV_Data_An_Prec!$AP:$AP,$B384,BV_Data_An_Prec!$AQ:$AQ,$C384)</f>
        <v>12049.91</v>
      </c>
      <c r="P384" s="602">
        <f t="shared" si="77"/>
        <v>0.2879548478</v>
      </c>
      <c r="Q384" s="476">
        <f>-SUMIFS(BV_Data_An_Prec!$AM:$AM,BV_Data_An_Prec!$AP:$AP,$B384,BV_Data_An_Prec!$AQ:$AQ,$C384,BV_Data_An_Prec!$AR:$AR,$L$2)</f>
        <v>3469.83</v>
      </c>
      <c r="R384" s="515">
        <f t="shared" si="78"/>
        <v>0.1343321236</v>
      </c>
      <c r="S384" s="484">
        <f t="shared" si="79"/>
        <v>-224.78</v>
      </c>
      <c r="T384" s="40"/>
      <c r="U384" s="40"/>
      <c r="V384" s="48"/>
      <c r="W384" s="48"/>
      <c r="X384" s="48"/>
      <c r="Y384" s="48"/>
      <c r="Z384" s="48"/>
      <c r="AA384" s="48"/>
      <c r="AB384" s="48"/>
      <c r="AC384" s="48"/>
      <c r="AD384" s="48"/>
      <c r="AE384" s="48"/>
      <c r="AF384" s="48"/>
      <c r="AG384" s="48"/>
      <c r="AH384" s="48"/>
      <c r="AI384" s="48"/>
      <c r="AJ384" s="48"/>
      <c r="AK384" s="48"/>
      <c r="AL384" s="48"/>
      <c r="AM384" s="48"/>
      <c r="AN384" s="48"/>
    </row>
    <row r="385" ht="15.75" customHeight="1">
      <c r="A385" s="5" t="s">
        <v>997</v>
      </c>
      <c r="B385" s="48" t="s">
        <v>178</v>
      </c>
      <c r="C385" s="500" t="s">
        <v>190</v>
      </c>
      <c r="D385" s="495">
        <f>D380+D383+D384</f>
        <v>0</v>
      </c>
      <c r="E385" s="659">
        <f>IF(D385&lt;=0,0,F385/D385)</f>
        <v>0</v>
      </c>
      <c r="F385" s="497">
        <f>F380+F383+F384</f>
        <v>0</v>
      </c>
      <c r="G385" s="489"/>
      <c r="H385" s="659"/>
      <c r="I385" s="497"/>
      <c r="J385" s="489">
        <f>J380+J383+J384</f>
        <v>375313.01</v>
      </c>
      <c r="K385" s="659">
        <f t="shared" si="74"/>
        <v>0.2552359163</v>
      </c>
      <c r="L385" s="497">
        <f>L380+L383+L384</f>
        <v>95793.36</v>
      </c>
      <c r="M385" s="660" t="str">
        <f t="shared" si="75"/>
        <v>#DIV/0!</v>
      </c>
      <c r="N385" s="497">
        <f t="shared" si="76"/>
        <v>95793.36</v>
      </c>
      <c r="O385" s="489">
        <f>O380+O383+O384</f>
        <v>430542.2</v>
      </c>
      <c r="P385" s="659">
        <f t="shared" si="77"/>
        <v>0.2696646693</v>
      </c>
      <c r="Q385" s="497">
        <f>Q380+Q383+Q384</f>
        <v>116102.02</v>
      </c>
      <c r="R385" s="660">
        <f t="shared" si="78"/>
        <v>-0.1282782268</v>
      </c>
      <c r="S385" s="497">
        <f t="shared" si="79"/>
        <v>-20308.66</v>
      </c>
      <c r="T385" s="40"/>
      <c r="U385" s="540"/>
      <c r="V385" s="48"/>
      <c r="W385" s="48"/>
      <c r="X385" s="48"/>
      <c r="Y385" s="48"/>
      <c r="Z385" s="48"/>
      <c r="AA385" s="48"/>
      <c r="AB385" s="48"/>
      <c r="AC385" s="48"/>
      <c r="AD385" s="48"/>
      <c r="AE385" s="48"/>
      <c r="AF385" s="48"/>
      <c r="AG385" s="48"/>
      <c r="AH385" s="48"/>
      <c r="AI385" s="48"/>
      <c r="AJ385" s="48"/>
      <c r="AK385" s="48"/>
      <c r="AL385" s="48"/>
      <c r="AM385" s="48"/>
      <c r="AN385" s="48"/>
    </row>
    <row r="386" ht="21.0" hidden="1" customHeight="1">
      <c r="A386" s="5" t="s">
        <v>178</v>
      </c>
      <c r="B386" s="48" t="s">
        <v>178</v>
      </c>
      <c r="C386" s="480"/>
      <c r="D386" s="48"/>
      <c r="E386" s="48"/>
      <c r="F386" s="514"/>
      <c r="G386" s="480"/>
      <c r="H386" s="48"/>
      <c r="I386" s="514"/>
      <c r="J386" s="486"/>
      <c r="K386" s="48"/>
      <c r="L386" s="484"/>
      <c r="M386" s="480"/>
      <c r="N386" s="507" t="str">
        <f>N385/F385</f>
        <v>#DIV/0!</v>
      </c>
      <c r="O386" s="486"/>
      <c r="P386" s="48"/>
      <c r="Q386" s="484"/>
      <c r="R386" s="480"/>
      <c r="S386" s="504">
        <f>IF(Q385=0,0,S385/Q385)</f>
        <v>-0.1749208153</v>
      </c>
      <c r="T386" s="40"/>
      <c r="U386" s="40"/>
      <c r="V386" s="48"/>
      <c r="W386" s="48"/>
      <c r="X386" s="48"/>
      <c r="Y386" s="48"/>
      <c r="Z386" s="48"/>
      <c r="AA386" s="48"/>
      <c r="AB386" s="48"/>
      <c r="AC386" s="48"/>
      <c r="AD386" s="48"/>
      <c r="AE386" s="48"/>
      <c r="AF386" s="48"/>
      <c r="AG386" s="48"/>
      <c r="AH386" s="48"/>
      <c r="AI386" s="48"/>
      <c r="AJ386" s="48"/>
      <c r="AK386" s="48"/>
      <c r="AL386" s="48"/>
      <c r="AM386" s="48"/>
      <c r="AN386" s="48"/>
    </row>
    <row r="387" ht="21.0" hidden="1" customHeight="1">
      <c r="A387" s="5" t="s">
        <v>178</v>
      </c>
      <c r="B387" s="48" t="s">
        <v>178</v>
      </c>
      <c r="C387" s="480"/>
      <c r="D387" s="48"/>
      <c r="E387" s="48"/>
      <c r="F387" s="514"/>
      <c r="G387" s="480"/>
      <c r="H387" s="48"/>
      <c r="I387" s="514"/>
      <c r="J387" s="486"/>
      <c r="K387" s="48"/>
      <c r="L387" s="484"/>
      <c r="M387" s="480"/>
      <c r="N387" s="507"/>
      <c r="O387" s="486"/>
      <c r="P387" s="48"/>
      <c r="Q387" s="484"/>
      <c r="R387" s="480"/>
      <c r="S387" s="504"/>
      <c r="T387" s="40"/>
      <c r="U387" s="40"/>
      <c r="V387" s="48"/>
      <c r="W387" s="48"/>
      <c r="X387" s="48"/>
      <c r="Y387" s="48"/>
      <c r="Z387" s="48"/>
      <c r="AA387" s="48"/>
      <c r="AB387" s="48"/>
      <c r="AC387" s="48"/>
      <c r="AD387" s="48"/>
      <c r="AE387" s="48"/>
      <c r="AF387" s="48"/>
      <c r="AG387" s="48"/>
      <c r="AH387" s="48"/>
      <c r="AI387" s="48"/>
      <c r="AJ387" s="48"/>
      <c r="AK387" s="48"/>
      <c r="AL387" s="48"/>
      <c r="AM387" s="48"/>
      <c r="AN387" s="48"/>
    </row>
    <row r="388" ht="20.25" hidden="1" customHeight="1">
      <c r="A388" s="5" t="s">
        <v>998</v>
      </c>
      <c r="B388" s="48" t="s">
        <v>178</v>
      </c>
      <c r="C388" s="471" t="s">
        <v>191</v>
      </c>
      <c r="D388" s="513" t="str">
        <f t="array" ref="D388">+INDEX('Budget original'!$A$2:$AO$501,MATCH($A388,'Budget original'!$A$2:$A$501,0),MATCH(D$2,'Budget original'!$A$2:$AO$2,0))</f>
        <v/>
      </c>
      <c r="E388" s="662">
        <f>IF(D388=0,0,F388/D388)</f>
        <v>0</v>
      </c>
      <c r="F388" s="476" t="str">
        <f t="array" ref="F388">+INDEX('Budget original'!$A$2:$AO$501,MATCH($A388,'Budget original'!$A$2:$A$501,0),MATCH(F$2,'Budget original'!$A$2:$AO$2,0))</f>
        <v/>
      </c>
      <c r="G388" s="622"/>
      <c r="H388" s="662"/>
      <c r="I388" s="476"/>
      <c r="J388" s="622">
        <f>-SUMIFS(BV_Data_An_Cour!$AM:$AM,BV_Data_An_Cour!$AS:$AS,"Oui",BV_Data_An_Cour!$AP:$AP,$B388,BV_Data_An_Cour!$AQ:$AQ,$C388)</f>
        <v>0</v>
      </c>
      <c r="K388" s="662">
        <f>IF(J388&lt;=0,0,L388/J388)</f>
        <v>0</v>
      </c>
      <c r="L388" s="476">
        <f>-SUMIFS(BV_Data_An_Cour!$AM:$AM,BV_Data_An_Cour!$AP:$AP,$B388,BV_Data_An_Cour!$AQ:$AQ,$C388,BV_Data_An_Cour!$AR:$AR,$L$2)</f>
        <v>0</v>
      </c>
      <c r="M388" s="662">
        <f>IF(F388=0,0,(+L388-F388)/F388)</f>
        <v>0</v>
      </c>
      <c r="N388" s="476">
        <f>L388-F388</f>
        <v>0</v>
      </c>
      <c r="O388" s="622">
        <f>-SUMIFS(BV_Data_An_Prec!$AM:$AM,BV_Data_An_Prec!$AS:$AS,"Oui",BV_Data_An_Prec!$AP:$AP,$B388,BV_Data_An_Prec!$AQ:$AQ,$C388)</f>
        <v>0</v>
      </c>
      <c r="P388" s="662">
        <f>IF(O388&lt;=0,0,Q388/O388)</f>
        <v>0</v>
      </c>
      <c r="Q388" s="476">
        <f>-SUMIFS(BV_Data_An_Prec!$AM:$AM,BV_Data_An_Prec!$AP:$AP,$B388,BV_Data_An_Prec!$AQ:$AQ,$C388,BV_Data_An_Prec!$AR:$AR,$L$2)</f>
        <v>0</v>
      </c>
      <c r="R388" s="662">
        <f>IF(S388=0,0,(+O388-K388)/K388)</f>
        <v>0</v>
      </c>
      <c r="S388" s="476">
        <f>L388-Q388</f>
        <v>0</v>
      </c>
      <c r="T388" s="40"/>
      <c r="U388" s="540"/>
      <c r="V388" s="48"/>
      <c r="W388" s="48"/>
      <c r="X388" s="48"/>
      <c r="Y388" s="48"/>
      <c r="Z388" s="48"/>
      <c r="AA388" s="48"/>
      <c r="AB388" s="48"/>
      <c r="AC388" s="48"/>
      <c r="AD388" s="48"/>
      <c r="AE388" s="48"/>
      <c r="AF388" s="48"/>
      <c r="AG388" s="48"/>
      <c r="AH388" s="48"/>
      <c r="AI388" s="48"/>
      <c r="AJ388" s="48"/>
      <c r="AK388" s="48"/>
      <c r="AL388" s="48"/>
      <c r="AM388" s="48"/>
      <c r="AN388" s="48"/>
    </row>
    <row r="389" ht="15.75" customHeight="1">
      <c r="A389" s="5" t="s">
        <v>178</v>
      </c>
      <c r="B389" s="48" t="s">
        <v>178</v>
      </c>
      <c r="C389" s="480"/>
      <c r="D389" s="483"/>
      <c r="E389" s="602"/>
      <c r="F389" s="484"/>
      <c r="G389" s="486"/>
      <c r="H389" s="602"/>
      <c r="I389" s="484"/>
      <c r="J389" s="486"/>
      <c r="K389" s="602"/>
      <c r="L389" s="484"/>
      <c r="M389" s="515"/>
      <c r="N389" s="484"/>
      <c r="O389" s="486"/>
      <c r="P389" s="602"/>
      <c r="Q389" s="484"/>
      <c r="R389" s="515"/>
      <c r="S389" s="484"/>
      <c r="T389" s="40"/>
      <c r="U389" s="40"/>
      <c r="V389" s="48"/>
      <c r="W389" s="48"/>
      <c r="X389" s="48"/>
      <c r="Y389" s="48"/>
      <c r="Z389" s="48"/>
      <c r="AA389" s="48"/>
      <c r="AB389" s="48"/>
      <c r="AC389" s="48"/>
      <c r="AD389" s="48"/>
      <c r="AE389" s="48"/>
      <c r="AF389" s="48"/>
      <c r="AG389" s="48"/>
      <c r="AH389" s="48"/>
      <c r="AI389" s="48"/>
      <c r="AJ389" s="48"/>
      <c r="AK389" s="48"/>
      <c r="AL389" s="48"/>
      <c r="AM389" s="48"/>
      <c r="AN389" s="48"/>
    </row>
    <row r="390" ht="18.0" customHeight="1">
      <c r="A390" s="5" t="s">
        <v>999</v>
      </c>
      <c r="B390" s="48" t="s">
        <v>178</v>
      </c>
      <c r="C390" s="526" t="s">
        <v>192</v>
      </c>
      <c r="D390" s="527">
        <f>D385+D388</f>
        <v>0</v>
      </c>
      <c r="E390" s="528">
        <f>IF(D390&lt;=0,0,F390/D390)</f>
        <v>0</v>
      </c>
      <c r="F390" s="529">
        <f>F385+F388</f>
        <v>0</v>
      </c>
      <c r="G390" s="530"/>
      <c r="H390" s="528"/>
      <c r="I390" s="529"/>
      <c r="J390" s="530">
        <f>J385+J388</f>
        <v>375313.01</v>
      </c>
      <c r="K390" s="663">
        <f>IF(J390&lt;=0,0,L390/J390)</f>
        <v>0.2552359163</v>
      </c>
      <c r="L390" s="529">
        <f>L385+L388</f>
        <v>95793.36</v>
      </c>
      <c r="M390" s="530" t="str">
        <f>(+J390-D390)/D390</f>
        <v>#DIV/0!</v>
      </c>
      <c r="N390" s="529">
        <f>L390-F390</f>
        <v>95793.36</v>
      </c>
      <c r="O390" s="530">
        <f>O385+O388</f>
        <v>430542.2</v>
      </c>
      <c r="P390" s="663">
        <f>IF(O390&lt;=0,0,Q390/O390)</f>
        <v>0.2696646693</v>
      </c>
      <c r="Q390" s="529">
        <f>Q385+Q388</f>
        <v>116102.02</v>
      </c>
      <c r="R390" s="664">
        <f>IF(O390=0,0,(J390-O390)/O390)</f>
        <v>-0.1282782268</v>
      </c>
      <c r="S390" s="529">
        <f>L390-Q390</f>
        <v>-20308.66</v>
      </c>
      <c r="T390" s="40"/>
      <c r="U390" s="40"/>
      <c r="V390" s="48"/>
      <c r="W390" s="48"/>
      <c r="X390" s="48"/>
      <c r="Y390" s="48"/>
      <c r="Z390" s="48"/>
      <c r="AA390" s="48"/>
      <c r="AB390" s="48"/>
      <c r="AC390" s="48"/>
      <c r="AD390" s="48"/>
      <c r="AE390" s="48"/>
      <c r="AF390" s="48"/>
      <c r="AG390" s="48"/>
      <c r="AH390" s="48"/>
      <c r="AI390" s="48"/>
      <c r="AJ390" s="48"/>
      <c r="AK390" s="48"/>
      <c r="AL390" s="48"/>
      <c r="AM390" s="48"/>
      <c r="AN390" s="48"/>
    </row>
    <row r="391" ht="22.5" customHeight="1">
      <c r="A391" s="5" t="s">
        <v>178</v>
      </c>
      <c r="B391" s="48" t="s">
        <v>178</v>
      </c>
      <c r="C391" s="531"/>
      <c r="D391" s="532"/>
      <c r="E391" s="532"/>
      <c r="F391" s="533"/>
      <c r="G391" s="531"/>
      <c r="H391" s="532"/>
      <c r="I391" s="533"/>
      <c r="J391" s="531"/>
      <c r="K391" s="534"/>
      <c r="L391" s="535"/>
      <c r="M391" s="536"/>
      <c r="N391" s="537" t="str">
        <f>N390/F390</f>
        <v>#DIV/0!</v>
      </c>
      <c r="O391" s="531"/>
      <c r="P391" s="534"/>
      <c r="Q391" s="538"/>
      <c r="R391" s="536"/>
      <c r="S391" s="538">
        <f>IF(Q390=0,0,S390/Q390)</f>
        <v>-0.1749208153</v>
      </c>
      <c r="T391" s="40"/>
      <c r="U391" s="40"/>
      <c r="V391" s="48"/>
      <c r="W391" s="48"/>
      <c r="X391" s="48"/>
      <c r="Y391" s="48"/>
      <c r="Z391" s="48"/>
      <c r="AA391" s="48"/>
      <c r="AB391" s="48"/>
      <c r="AC391" s="48"/>
      <c r="AD391" s="48"/>
      <c r="AE391" s="48"/>
      <c r="AF391" s="48"/>
      <c r="AG391" s="48"/>
      <c r="AH391" s="48"/>
      <c r="AI391" s="48"/>
      <c r="AJ391" s="48"/>
      <c r="AK391" s="48"/>
      <c r="AL391" s="48"/>
      <c r="AM391" s="48"/>
      <c r="AN391" s="48"/>
    </row>
    <row r="392" ht="15.75" customHeight="1">
      <c r="A392" s="5" t="s">
        <v>178</v>
      </c>
      <c r="B392" s="48" t="s">
        <v>178</v>
      </c>
      <c r="C392" s="500"/>
      <c r="D392" s="503"/>
      <c r="E392" s="599"/>
      <c r="F392" s="504"/>
      <c r="G392" s="600"/>
      <c r="H392" s="599"/>
      <c r="I392" s="504"/>
      <c r="J392" s="600"/>
      <c r="K392" s="599"/>
      <c r="L392" s="504"/>
      <c r="M392" s="480"/>
      <c r="N392" s="507"/>
      <c r="O392" s="600"/>
      <c r="P392" s="599"/>
      <c r="Q392" s="504"/>
      <c r="R392" s="480"/>
      <c r="S392" s="507"/>
      <c r="T392" s="40"/>
      <c r="U392" s="40"/>
      <c r="V392" s="48"/>
      <c r="W392" s="48"/>
      <c r="X392" s="48"/>
      <c r="Y392" s="48"/>
      <c r="Z392" s="48"/>
      <c r="AA392" s="48"/>
      <c r="AB392" s="48"/>
      <c r="AC392" s="48"/>
      <c r="AD392" s="48"/>
      <c r="AE392" s="48"/>
      <c r="AF392" s="48"/>
      <c r="AG392" s="48"/>
      <c r="AH392" s="48"/>
      <c r="AI392" s="48"/>
      <c r="AJ392" s="48"/>
      <c r="AK392" s="48"/>
      <c r="AL392" s="48"/>
      <c r="AM392" s="48"/>
      <c r="AN392" s="48"/>
    </row>
    <row r="393" ht="15.75" customHeight="1">
      <c r="A393" s="5" t="s">
        <v>1000</v>
      </c>
      <c r="B393" s="48" t="s">
        <v>178</v>
      </c>
      <c r="C393" s="541" t="s">
        <v>110</v>
      </c>
      <c r="D393" s="48"/>
      <c r="E393" s="48"/>
      <c r="F393" s="484"/>
      <c r="G393" s="480"/>
      <c r="H393" s="48"/>
      <c r="I393" s="484"/>
      <c r="J393" s="480"/>
      <c r="K393" s="48"/>
      <c r="L393" s="514"/>
      <c r="M393" s="480"/>
      <c r="N393" s="514"/>
      <c r="O393" s="480"/>
      <c r="P393" s="48"/>
      <c r="Q393" s="514"/>
      <c r="R393" s="480"/>
      <c r="S393" s="514"/>
      <c r="T393" s="40"/>
      <c r="U393" s="40"/>
      <c r="V393" s="48"/>
      <c r="W393" s="48"/>
      <c r="X393" s="48"/>
      <c r="Y393" s="48"/>
      <c r="Z393" s="48"/>
      <c r="AA393" s="48"/>
      <c r="AB393" s="48"/>
      <c r="AC393" s="48"/>
      <c r="AD393" s="48"/>
      <c r="AE393" s="48"/>
      <c r="AF393" s="48"/>
      <c r="AG393" s="48"/>
      <c r="AH393" s="48"/>
      <c r="AI393" s="48"/>
      <c r="AJ393" s="48"/>
      <c r="AK393" s="48"/>
      <c r="AL393" s="48"/>
      <c r="AM393" s="48"/>
      <c r="AN393" s="48"/>
    </row>
    <row r="394" ht="15.75" customHeight="1">
      <c r="A394" s="5" t="s">
        <v>1001</v>
      </c>
      <c r="B394" s="48" t="s">
        <v>178</v>
      </c>
      <c r="C394" s="559" t="s">
        <v>119</v>
      </c>
      <c r="D394" s="48"/>
      <c r="E394" s="48"/>
      <c r="F394" s="481" t="str">
        <f t="array" ref="F394">+INDEX('Budget original'!$A$2:$AO$501,MATCH($A394,'Budget original'!$A$2:$A$501,0),MATCH(F$2,'Budget original'!$A$2:$AO$2,0))</f>
        <v/>
      </c>
      <c r="G394" s="480"/>
      <c r="H394" s="48"/>
      <c r="I394" s="481"/>
      <c r="J394" s="480"/>
      <c r="K394" s="48"/>
      <c r="L394" s="484">
        <f>SUMIFS(BV_Data_An_Cour!$AM:$AM,BV_Data_An_Cour!$AP:$AP,$B394,BV_Data_An_Cour!$AQ:$AQ,$C394,BV_Data_An_Cour!$AR:$AR,$L$2)</f>
        <v>7051.38</v>
      </c>
      <c r="M394" s="480"/>
      <c r="N394" s="485">
        <f t="shared" ref="N394:N424" si="80">L394-F394</f>
        <v>7051.38</v>
      </c>
      <c r="O394" s="480"/>
      <c r="P394" s="48"/>
      <c r="Q394" s="484">
        <f>SUMIFS(BV_Data_An_Prec!$AM:$AM,BV_Data_An_Prec!$AP:$AP,$B394,BV_Data_An_Prec!$AQ:$AQ,$C394,BV_Data_An_Prec!$AR:$AR,$L$2)</f>
        <v>-3302.12</v>
      </c>
      <c r="R394" s="480"/>
      <c r="S394" s="484">
        <f t="shared" ref="S394:S424" si="81">L394-Q394</f>
        <v>10353.5</v>
      </c>
      <c r="T394" s="40"/>
      <c r="U394" s="40"/>
      <c r="V394" s="48"/>
      <c r="W394" s="48"/>
      <c r="X394" s="48"/>
      <c r="Y394" s="48"/>
      <c r="Z394" s="48"/>
      <c r="AA394" s="48"/>
      <c r="AB394" s="48"/>
      <c r="AC394" s="48"/>
      <c r="AD394" s="48"/>
      <c r="AE394" s="48"/>
      <c r="AF394" s="48"/>
      <c r="AG394" s="48"/>
      <c r="AH394" s="48"/>
      <c r="AI394" s="48"/>
      <c r="AJ394" s="48"/>
      <c r="AK394" s="48"/>
      <c r="AL394" s="48"/>
      <c r="AM394" s="48"/>
      <c r="AN394" s="48"/>
    </row>
    <row r="395" ht="15.75" customHeight="1">
      <c r="A395" s="5" t="s">
        <v>1002</v>
      </c>
      <c r="B395" s="48" t="s">
        <v>178</v>
      </c>
      <c r="C395" s="560" t="s">
        <v>120</v>
      </c>
      <c r="D395" s="546"/>
      <c r="E395" s="48"/>
      <c r="F395" s="473" t="str">
        <f t="array" ref="F395">+INDEX('Budget original'!$A$2:$AO$501,MATCH($A395,'Budget original'!$A$2:$A$501,0),MATCH(F$2,'Budget original'!$A$2:$AO$2,0))</f>
        <v/>
      </c>
      <c r="G395" s="547"/>
      <c r="H395" s="48"/>
      <c r="I395" s="473"/>
      <c r="J395" s="480"/>
      <c r="K395" s="48"/>
      <c r="L395" s="484">
        <f>SUMIFS(BV_Data_An_Cour!$AM:$AM,BV_Data_An_Cour!$AP:$AP,$B395,BV_Data_An_Cour!$AQ:$AQ,$C395,BV_Data_An_Cour!$AR:$AR,$L$2)</f>
        <v>2587.06</v>
      </c>
      <c r="M395" s="480"/>
      <c r="N395" s="485">
        <f t="shared" si="80"/>
        <v>2587.06</v>
      </c>
      <c r="O395" s="480"/>
      <c r="P395" s="48"/>
      <c r="Q395" s="484">
        <f>SUMIFS(BV_Data_An_Prec!$AM:$AM,BV_Data_An_Prec!$AP:$AP,$B395,BV_Data_An_Prec!$AQ:$AQ,$C395,BV_Data_An_Prec!$AR:$AR,$L$2)</f>
        <v>3258.54</v>
      </c>
      <c r="R395" s="480"/>
      <c r="S395" s="484">
        <f t="shared" si="81"/>
        <v>-671.48</v>
      </c>
      <c r="T395" s="40"/>
      <c r="U395" s="40"/>
      <c r="V395" s="48"/>
      <c r="W395" s="48"/>
      <c r="X395" s="48"/>
      <c r="Y395" s="48"/>
      <c r="Z395" s="48"/>
      <c r="AA395" s="48"/>
      <c r="AB395" s="48"/>
      <c r="AC395" s="48"/>
      <c r="AD395" s="48"/>
      <c r="AE395" s="48"/>
      <c r="AF395" s="48"/>
      <c r="AG395" s="48"/>
      <c r="AH395" s="48"/>
      <c r="AI395" s="48"/>
      <c r="AJ395" s="48"/>
      <c r="AK395" s="48"/>
      <c r="AL395" s="48"/>
      <c r="AM395" s="48"/>
      <c r="AN395" s="48"/>
    </row>
    <row r="396" ht="15.75" customHeight="1">
      <c r="A396" s="5" t="s">
        <v>1003</v>
      </c>
      <c r="B396" s="48" t="s">
        <v>178</v>
      </c>
      <c r="C396" s="559" t="s">
        <v>121</v>
      </c>
      <c r="D396" s="561"/>
      <c r="E396" s="562"/>
      <c r="F396" s="481" t="str">
        <f t="array" ref="F396">+INDEX('Budget original'!$A$2:$AO$501,MATCH($A396,'Budget original'!$A$2:$A$501,0),MATCH(F$2,'Budget original'!$A$2:$AO$2,0))</f>
        <v/>
      </c>
      <c r="G396" s="563"/>
      <c r="H396" s="562"/>
      <c r="I396" s="481"/>
      <c r="J396" s="466"/>
      <c r="K396" s="562"/>
      <c r="L396" s="523">
        <f>SUMIFS(BV_Data_An_Cour!$AM:$AM,BV_Data_An_Cour!$AP:$AP,$B396,BV_Data_An_Cour!$AQ:$AQ,$C396,BV_Data_An_Cour!$AR:$AR,$L$2)</f>
        <v>13234.44</v>
      </c>
      <c r="M396" s="466"/>
      <c r="N396" s="520">
        <f t="shared" si="80"/>
        <v>13234.44</v>
      </c>
      <c r="O396" s="466"/>
      <c r="P396" s="562"/>
      <c r="Q396" s="523">
        <f>SUMIFS(BV_Data_An_Prec!$AM:$AM,BV_Data_An_Prec!$AP:$AP,$B396,BV_Data_An_Prec!$AQ:$AQ,$C396,BV_Data_An_Prec!$AR:$AR,$L$2)</f>
        <v>21239.36</v>
      </c>
      <c r="R396" s="466"/>
      <c r="S396" s="523">
        <f t="shared" si="81"/>
        <v>-8004.92</v>
      </c>
      <c r="T396" s="40"/>
      <c r="U396" s="665"/>
      <c r="V396" s="666"/>
      <c r="W396" s="48"/>
      <c r="X396" s="48"/>
      <c r="Y396" s="48"/>
      <c r="Z396" s="48"/>
      <c r="AA396" s="48"/>
      <c r="AB396" s="48"/>
      <c r="AC396" s="48"/>
      <c r="AD396" s="48"/>
      <c r="AE396" s="48"/>
      <c r="AF396" s="48"/>
      <c r="AG396" s="48"/>
      <c r="AH396" s="48"/>
      <c r="AI396" s="48"/>
      <c r="AJ396" s="48"/>
      <c r="AK396" s="48"/>
      <c r="AL396" s="48"/>
      <c r="AM396" s="48"/>
      <c r="AN396" s="48"/>
    </row>
    <row r="397" ht="20.25" hidden="1" customHeight="1">
      <c r="A397" s="5" t="s">
        <v>1004</v>
      </c>
      <c r="B397" s="48" t="s">
        <v>178</v>
      </c>
      <c r="C397" s="559" t="s">
        <v>122</v>
      </c>
      <c r="D397" s="546"/>
      <c r="E397" s="48"/>
      <c r="F397" s="481" t="str">
        <f t="array" ref="F397">+INDEX('Budget original'!$A$2:$AO$501,MATCH($A397,'Budget original'!$A$2:$A$501,0),MATCH(F$2,'Budget original'!$A$2:$AO$2,0))</f>
        <v/>
      </c>
      <c r="G397" s="547"/>
      <c r="H397" s="48"/>
      <c r="I397" s="481"/>
      <c r="J397" s="480"/>
      <c r="K397" s="48"/>
      <c r="L397" s="484">
        <f>SUMIFS(BV_Data_An_Cour!$AM:$AM,BV_Data_An_Cour!$AP:$AP,$B397,BV_Data_An_Cour!$AQ:$AQ,$C397,BV_Data_An_Cour!$AR:$AR,$L$2)</f>
        <v>0</v>
      </c>
      <c r="M397" s="480"/>
      <c r="N397" s="485">
        <f t="shared" si="80"/>
        <v>0</v>
      </c>
      <c r="O397" s="480"/>
      <c r="P397" s="48"/>
      <c r="Q397" s="484">
        <f>SUMIFS(BV_Data_An_Prec!$AM:$AM,BV_Data_An_Prec!$AP:$AP,$B397,BV_Data_An_Prec!$AQ:$AQ,$C397,BV_Data_An_Prec!$AR:$AR,$L$2)</f>
        <v>0</v>
      </c>
      <c r="R397" s="480"/>
      <c r="S397" s="484">
        <f t="shared" si="81"/>
        <v>0</v>
      </c>
      <c r="T397" s="40"/>
      <c r="U397" s="40"/>
      <c r="V397" s="48"/>
      <c r="W397" s="48"/>
      <c r="X397" s="48"/>
      <c r="Y397" s="48"/>
      <c r="Z397" s="48"/>
      <c r="AA397" s="48"/>
      <c r="AB397" s="48"/>
      <c r="AC397" s="48"/>
      <c r="AD397" s="48"/>
      <c r="AE397" s="48"/>
      <c r="AF397" s="48"/>
      <c r="AG397" s="48"/>
      <c r="AH397" s="48"/>
      <c r="AI397" s="48"/>
      <c r="AJ397" s="48"/>
      <c r="AK397" s="48"/>
      <c r="AL397" s="48"/>
      <c r="AM397" s="48"/>
      <c r="AN397" s="48"/>
    </row>
    <row r="398" ht="20.25" hidden="1" customHeight="1">
      <c r="A398" s="5" t="s">
        <v>991</v>
      </c>
      <c r="B398" s="48" t="s">
        <v>178</v>
      </c>
      <c r="C398" s="480" t="s">
        <v>56</v>
      </c>
      <c r="D398" s="546"/>
      <c r="E398" s="48"/>
      <c r="F398" s="481" t="str">
        <f t="array" ref="F398">+INDEX('Budget original'!$A$2:$AO$501,MATCH($A398,'Budget original'!$A$2:$A$501,0),MATCH(F$2,'Budget original'!$A$2:$AO$2,0))</f>
        <v/>
      </c>
      <c r="G398" s="547"/>
      <c r="H398" s="48"/>
      <c r="I398" s="481"/>
      <c r="J398" s="480"/>
      <c r="K398" s="48"/>
      <c r="L398" s="484">
        <f>SUMIFS(BV_Data_An_Cour!$AM:$AM,BV_Data_An_Cour!$AP:$AP,$B398,BV_Data_An_Cour!$AQ:$AQ,$C398,BV_Data_An_Cour!$AR:$AR,$L$2)</f>
        <v>0</v>
      </c>
      <c r="M398" s="480"/>
      <c r="N398" s="485">
        <f t="shared" si="80"/>
        <v>0</v>
      </c>
      <c r="O398" s="480"/>
      <c r="P398" s="48"/>
      <c r="Q398" s="484">
        <f>SUMIFS(BV_Data_An_Prec!$AM:$AM,BV_Data_An_Prec!$AP:$AP,$B398,BV_Data_An_Prec!$AQ:$AQ,$C398,BV_Data_An_Prec!$AR:$AR,$L$2)</f>
        <v>0</v>
      </c>
      <c r="R398" s="480"/>
      <c r="S398" s="484">
        <f t="shared" si="81"/>
        <v>0</v>
      </c>
      <c r="T398" s="40"/>
      <c r="U398" s="40"/>
      <c r="V398" s="48"/>
      <c r="W398" s="48"/>
      <c r="X398" s="48"/>
      <c r="Y398" s="48"/>
      <c r="Z398" s="48"/>
      <c r="AA398" s="48"/>
      <c r="AB398" s="48"/>
      <c r="AC398" s="48"/>
      <c r="AD398" s="48"/>
      <c r="AE398" s="48"/>
      <c r="AF398" s="48"/>
      <c r="AG398" s="48"/>
      <c r="AH398" s="48"/>
      <c r="AI398" s="48"/>
      <c r="AJ398" s="48"/>
      <c r="AK398" s="48"/>
      <c r="AL398" s="48"/>
      <c r="AM398" s="48"/>
      <c r="AN398" s="48"/>
    </row>
    <row r="399" ht="20.25" hidden="1" customHeight="1">
      <c r="A399" s="5" t="s">
        <v>991</v>
      </c>
      <c r="B399" s="48" t="s">
        <v>178</v>
      </c>
      <c r="C399" s="480" t="s">
        <v>56</v>
      </c>
      <c r="D399" s="546"/>
      <c r="E399" s="48"/>
      <c r="F399" s="481" t="str">
        <f t="array" ref="F399">+INDEX('Budget original'!$A$2:$AO$501,MATCH($A399,'Budget original'!$A$2:$A$501,0),MATCH(F$2,'Budget original'!$A$2:$AO$2,0))</f>
        <v/>
      </c>
      <c r="G399" s="547"/>
      <c r="H399" s="48"/>
      <c r="I399" s="481"/>
      <c r="J399" s="480"/>
      <c r="K399" s="48"/>
      <c r="L399" s="484">
        <f>SUMIFS(BV_Data_An_Cour!$AM:$AM,BV_Data_An_Cour!$AP:$AP,$B399,BV_Data_An_Cour!$AQ:$AQ,$C399,BV_Data_An_Cour!$AR:$AR,$L$2)</f>
        <v>0</v>
      </c>
      <c r="M399" s="480"/>
      <c r="N399" s="485">
        <f t="shared" si="80"/>
        <v>0</v>
      </c>
      <c r="O399" s="480"/>
      <c r="P399" s="48"/>
      <c r="Q399" s="484">
        <f>SUMIFS(BV_Data_An_Prec!$AM:$AM,BV_Data_An_Prec!$AP:$AP,$B399,BV_Data_An_Prec!$AQ:$AQ,$C399,BV_Data_An_Prec!$AR:$AR,$L$2)</f>
        <v>0</v>
      </c>
      <c r="R399" s="480"/>
      <c r="S399" s="484">
        <f t="shared" si="81"/>
        <v>0</v>
      </c>
      <c r="T399" s="40"/>
      <c r="U399" s="40"/>
      <c r="V399" s="48"/>
      <c r="W399" s="48"/>
      <c r="X399" s="48"/>
      <c r="Y399" s="48"/>
      <c r="Z399" s="48"/>
      <c r="AA399" s="48"/>
      <c r="AB399" s="48"/>
      <c r="AC399" s="48"/>
      <c r="AD399" s="48"/>
      <c r="AE399" s="48"/>
      <c r="AF399" s="48"/>
      <c r="AG399" s="48"/>
      <c r="AH399" s="48"/>
      <c r="AI399" s="48"/>
      <c r="AJ399" s="48"/>
      <c r="AK399" s="48"/>
      <c r="AL399" s="48"/>
      <c r="AM399" s="48"/>
      <c r="AN399" s="48"/>
    </row>
    <row r="400" ht="20.25" hidden="1" customHeight="1">
      <c r="A400" s="5" t="s">
        <v>991</v>
      </c>
      <c r="B400" s="48" t="s">
        <v>178</v>
      </c>
      <c r="C400" s="480" t="s">
        <v>56</v>
      </c>
      <c r="D400" s="546"/>
      <c r="E400" s="48"/>
      <c r="F400" s="481" t="str">
        <f t="array" ref="F400">+INDEX('Budget original'!$A$2:$AO$501,MATCH($A400,'Budget original'!$A$2:$A$501,0),MATCH(F$2,'Budget original'!$A$2:$AO$2,0))</f>
        <v/>
      </c>
      <c r="G400" s="547"/>
      <c r="H400" s="48"/>
      <c r="I400" s="481"/>
      <c r="J400" s="480"/>
      <c r="K400" s="48"/>
      <c r="L400" s="484">
        <f>SUMIFS(BV_Data_An_Cour!$AM:$AM,BV_Data_An_Cour!$AP:$AP,$B400,BV_Data_An_Cour!$AQ:$AQ,$C400,BV_Data_An_Cour!$AR:$AR,$L$2)</f>
        <v>0</v>
      </c>
      <c r="M400" s="480"/>
      <c r="N400" s="485">
        <f t="shared" si="80"/>
        <v>0</v>
      </c>
      <c r="O400" s="480"/>
      <c r="P400" s="48"/>
      <c r="Q400" s="484">
        <f>SUMIFS(BV_Data_An_Prec!$AM:$AM,BV_Data_An_Prec!$AP:$AP,$B400,BV_Data_An_Prec!$AQ:$AQ,$C400,BV_Data_An_Prec!$AR:$AR,$L$2)</f>
        <v>0</v>
      </c>
      <c r="R400" s="480"/>
      <c r="S400" s="484">
        <f t="shared" si="81"/>
        <v>0</v>
      </c>
      <c r="T400" s="40"/>
      <c r="U400" s="40"/>
      <c r="V400" s="48"/>
      <c r="W400" s="48"/>
      <c r="X400" s="48"/>
      <c r="Y400" s="48"/>
      <c r="Z400" s="48"/>
      <c r="AA400" s="48"/>
      <c r="AB400" s="48"/>
      <c r="AC400" s="48"/>
      <c r="AD400" s="48"/>
      <c r="AE400" s="48"/>
      <c r="AF400" s="48"/>
      <c r="AG400" s="48"/>
      <c r="AH400" s="48"/>
      <c r="AI400" s="48"/>
      <c r="AJ400" s="48"/>
      <c r="AK400" s="48"/>
      <c r="AL400" s="48"/>
      <c r="AM400" s="48"/>
      <c r="AN400" s="48"/>
    </row>
    <row r="401" ht="15.75" customHeight="1">
      <c r="A401" s="5" t="s">
        <v>1005</v>
      </c>
      <c r="B401" s="48" t="s">
        <v>178</v>
      </c>
      <c r="C401" s="560" t="s">
        <v>123</v>
      </c>
      <c r="D401" s="546"/>
      <c r="E401" s="48"/>
      <c r="F401" s="473" t="str">
        <f t="array" ref="F401">+INDEX('Budget original'!$A$2:$AO$501,MATCH($A401,'Budget original'!$A$2:$A$501,0),MATCH(F$2,'Budget original'!$A$2:$AO$2,0))</f>
        <v/>
      </c>
      <c r="G401" s="547"/>
      <c r="H401" s="48"/>
      <c r="I401" s="473"/>
      <c r="J401" s="480"/>
      <c r="K401" s="48"/>
      <c r="L401" s="484">
        <f>SUMIFS(BV_Data_An_Cour!$AM:$AM,BV_Data_An_Cour!$AP:$AP,$B401,BV_Data_An_Cour!$AQ:$AQ,$C401,BV_Data_An_Cour!$AR:$AR,$L$2)</f>
        <v>2760.75</v>
      </c>
      <c r="M401" s="480"/>
      <c r="N401" s="485">
        <f t="shared" si="80"/>
        <v>2760.75</v>
      </c>
      <c r="O401" s="480"/>
      <c r="P401" s="48"/>
      <c r="Q401" s="484">
        <f>SUMIFS(BV_Data_An_Prec!$AM:$AM,BV_Data_An_Prec!$AP:$AP,$B401,BV_Data_An_Prec!$AQ:$AQ,$C401,BV_Data_An_Prec!$AR:$AR,$L$2)</f>
        <v>2683.93</v>
      </c>
      <c r="R401" s="480"/>
      <c r="S401" s="484">
        <f t="shared" si="81"/>
        <v>76.82</v>
      </c>
      <c r="T401" s="40"/>
      <c r="U401" s="40"/>
      <c r="V401" s="48"/>
      <c r="W401" s="48"/>
      <c r="X401" s="48"/>
      <c r="Y401" s="48"/>
      <c r="Z401" s="48"/>
      <c r="AA401" s="48"/>
      <c r="AB401" s="48"/>
      <c r="AC401" s="48"/>
      <c r="AD401" s="48"/>
      <c r="AE401" s="48"/>
      <c r="AF401" s="48"/>
      <c r="AG401" s="48"/>
      <c r="AH401" s="48"/>
      <c r="AI401" s="48"/>
      <c r="AJ401" s="48"/>
      <c r="AK401" s="48"/>
      <c r="AL401" s="48"/>
      <c r="AM401" s="48"/>
      <c r="AN401" s="48"/>
    </row>
    <row r="402" ht="15.75" customHeight="1">
      <c r="A402" s="5" t="s">
        <v>1006</v>
      </c>
      <c r="B402" s="48" t="s">
        <v>178</v>
      </c>
      <c r="C402" s="559" t="s">
        <v>124</v>
      </c>
      <c r="D402" s="561"/>
      <c r="E402" s="562"/>
      <c r="F402" s="481" t="str">
        <f t="array" ref="F402">+INDEX('Budget original'!$A$2:$AO$501,MATCH($A402,'Budget original'!$A$2:$A$501,0),MATCH(F$2,'Budget original'!$A$2:$AO$2,0))</f>
        <v/>
      </c>
      <c r="G402" s="563"/>
      <c r="H402" s="562"/>
      <c r="I402" s="481"/>
      <c r="J402" s="466"/>
      <c r="K402" s="562"/>
      <c r="L402" s="523">
        <f>SUMIFS(BV_Data_An_Cour!$AM:$AM,BV_Data_An_Cour!$AP:$AP,$B402,BV_Data_An_Cour!$AQ:$AQ,$C402,BV_Data_An_Cour!$AR:$AR,$L$2)</f>
        <v>3067.43</v>
      </c>
      <c r="M402" s="466"/>
      <c r="N402" s="520">
        <f t="shared" si="80"/>
        <v>3067.43</v>
      </c>
      <c r="O402" s="466"/>
      <c r="P402" s="562"/>
      <c r="Q402" s="523">
        <f>SUMIFS(BV_Data_An_Prec!$AM:$AM,BV_Data_An_Prec!$AP:$AP,$B402,BV_Data_An_Prec!$AQ:$AQ,$C402,BV_Data_An_Prec!$AR:$AR,$L$2)</f>
        <v>2841.17</v>
      </c>
      <c r="R402" s="466"/>
      <c r="S402" s="523">
        <f t="shared" si="81"/>
        <v>226.26</v>
      </c>
      <c r="T402" s="40"/>
      <c r="U402" s="40"/>
      <c r="V402" s="48"/>
      <c r="W402" s="48"/>
      <c r="X402" s="48"/>
      <c r="Y402" s="48"/>
      <c r="Z402" s="48"/>
      <c r="AA402" s="48"/>
      <c r="AB402" s="48"/>
      <c r="AC402" s="48"/>
      <c r="AD402" s="48"/>
      <c r="AE402" s="48"/>
      <c r="AF402" s="48"/>
      <c r="AG402" s="48"/>
      <c r="AH402" s="48"/>
      <c r="AI402" s="48"/>
      <c r="AJ402" s="48"/>
      <c r="AK402" s="48"/>
      <c r="AL402" s="48"/>
      <c r="AM402" s="48"/>
      <c r="AN402" s="48"/>
    </row>
    <row r="403" ht="15.75" customHeight="1">
      <c r="A403" s="5" t="s">
        <v>1007</v>
      </c>
      <c r="B403" s="48" t="s">
        <v>178</v>
      </c>
      <c r="C403" s="559" t="s">
        <v>125</v>
      </c>
      <c r="D403" s="546"/>
      <c r="E403" s="48"/>
      <c r="F403" s="481" t="str">
        <f t="array" ref="F403">+INDEX('Budget original'!$A$2:$AO$501,MATCH($A403,'Budget original'!$A$2:$A$501,0),MATCH(F$2,'Budget original'!$A$2:$AO$2,0))</f>
        <v/>
      </c>
      <c r="G403" s="547"/>
      <c r="H403" s="48"/>
      <c r="I403" s="481"/>
      <c r="J403" s="480"/>
      <c r="K403" s="48"/>
      <c r="L403" s="484">
        <f>SUMIFS(BV_Data_An_Cour!$AM:$AM,BV_Data_An_Cour!$AP:$AP,$B403,BV_Data_An_Cour!$AQ:$AQ,$C403,BV_Data_An_Cour!$AR:$AR,$L$2)</f>
        <v>308.08</v>
      </c>
      <c r="M403" s="480"/>
      <c r="N403" s="485">
        <f t="shared" si="80"/>
        <v>308.08</v>
      </c>
      <c r="O403" s="480"/>
      <c r="P403" s="48"/>
      <c r="Q403" s="484">
        <f>SUMIFS(BV_Data_An_Prec!$AM:$AM,BV_Data_An_Prec!$AP:$AP,$B403,BV_Data_An_Prec!$AQ:$AQ,$C403,BV_Data_An_Prec!$AR:$AR,$L$2)</f>
        <v>1458.31</v>
      </c>
      <c r="R403" s="480"/>
      <c r="S403" s="484">
        <f t="shared" si="81"/>
        <v>-1150.23</v>
      </c>
      <c r="T403" s="40"/>
      <c r="U403" s="40"/>
      <c r="V403" s="48"/>
      <c r="W403" s="48"/>
      <c r="X403" s="48"/>
      <c r="Y403" s="48"/>
      <c r="Z403" s="48"/>
      <c r="AA403" s="48"/>
      <c r="AB403" s="48"/>
      <c r="AC403" s="48"/>
      <c r="AD403" s="48"/>
      <c r="AE403" s="48"/>
      <c r="AF403" s="48"/>
      <c r="AG403" s="48"/>
      <c r="AH403" s="48"/>
      <c r="AI403" s="48"/>
      <c r="AJ403" s="48"/>
      <c r="AK403" s="48"/>
      <c r="AL403" s="48"/>
      <c r="AM403" s="48"/>
      <c r="AN403" s="48"/>
    </row>
    <row r="404" ht="15.75" customHeight="1">
      <c r="A404" s="5" t="s">
        <v>1008</v>
      </c>
      <c r="B404" s="48" t="s">
        <v>178</v>
      </c>
      <c r="C404" s="559" t="s">
        <v>126</v>
      </c>
      <c r="D404" s="546"/>
      <c r="E404" s="48"/>
      <c r="F404" s="481" t="str">
        <f t="array" ref="F404">+INDEX('Budget original'!$A$2:$AO$501,MATCH($A404,'Budget original'!$A$2:$A$501,0),MATCH(F$2,'Budget original'!$A$2:$AO$2,0))</f>
        <v/>
      </c>
      <c r="G404" s="547"/>
      <c r="H404" s="48"/>
      <c r="I404" s="481"/>
      <c r="J404" s="480"/>
      <c r="K404" s="48"/>
      <c r="L404" s="484">
        <f>SUMIFS(BV_Data_An_Cour!$AM:$AM,BV_Data_An_Cour!$AP:$AP,$B404,BV_Data_An_Cour!$AQ:$AQ,$C404,BV_Data_An_Cour!$AR:$AR,$L$2)</f>
        <v>1331.34</v>
      </c>
      <c r="M404" s="480"/>
      <c r="N404" s="485">
        <f t="shared" si="80"/>
        <v>1331.34</v>
      </c>
      <c r="O404" s="480"/>
      <c r="P404" s="48"/>
      <c r="Q404" s="484">
        <f>SUMIFS(BV_Data_An_Prec!$AM:$AM,BV_Data_An_Prec!$AP:$AP,$B404,BV_Data_An_Prec!$AQ:$AQ,$C404,BV_Data_An_Prec!$AR:$AR,$L$2)</f>
        <v>183.28</v>
      </c>
      <c r="R404" s="480"/>
      <c r="S404" s="484">
        <f t="shared" si="81"/>
        <v>1148.06</v>
      </c>
      <c r="T404" s="40"/>
      <c r="U404" s="40"/>
      <c r="V404" s="48"/>
      <c r="W404" s="48"/>
      <c r="X404" s="48"/>
      <c r="Y404" s="48"/>
      <c r="Z404" s="48"/>
      <c r="AA404" s="48"/>
      <c r="AB404" s="48"/>
      <c r="AC404" s="48"/>
      <c r="AD404" s="48"/>
      <c r="AE404" s="48"/>
      <c r="AF404" s="48"/>
      <c r="AG404" s="48"/>
      <c r="AH404" s="48"/>
      <c r="AI404" s="48"/>
      <c r="AJ404" s="48"/>
      <c r="AK404" s="48"/>
      <c r="AL404" s="48"/>
      <c r="AM404" s="48"/>
      <c r="AN404" s="48"/>
    </row>
    <row r="405" ht="20.25" hidden="1" customHeight="1">
      <c r="A405" s="5" t="s">
        <v>991</v>
      </c>
      <c r="B405" s="48" t="s">
        <v>178</v>
      </c>
      <c r="C405" s="480" t="s">
        <v>56</v>
      </c>
      <c r="D405" s="549"/>
      <c r="E405" s="564"/>
      <c r="F405" s="481" t="str">
        <f t="array" ref="F405">+INDEX('Budget original'!$A$2:$AO$501,MATCH($A405,'Budget original'!$A$2:$A$501,0),MATCH(F$2,'Budget original'!$A$2:$AO$2,0))</f>
        <v/>
      </c>
      <c r="G405" s="550"/>
      <c r="H405" s="564"/>
      <c r="I405" s="481"/>
      <c r="J405" s="471"/>
      <c r="K405" s="564"/>
      <c r="L405" s="484">
        <f>SUMIFS(BV_Data_An_Cour!$AM:$AM,BV_Data_An_Cour!$AP:$AP,$B405,BV_Data_An_Cour!$AQ:$AQ,$C405,BV_Data_An_Cour!$AR:$AR,$L$2)</f>
        <v>0</v>
      </c>
      <c r="M405" s="471"/>
      <c r="N405" s="476">
        <f t="shared" si="80"/>
        <v>0</v>
      </c>
      <c r="O405" s="471"/>
      <c r="P405" s="564"/>
      <c r="Q405" s="484">
        <f>SUMIFS(BV_Data_An_Prec!$AM:$AM,BV_Data_An_Prec!$AP:$AP,$B405,BV_Data_An_Prec!$AQ:$AQ,$C405,BV_Data_An_Prec!$AR:$AR,$L$2)</f>
        <v>0</v>
      </c>
      <c r="R405" s="471"/>
      <c r="S405" s="476">
        <f t="shared" si="81"/>
        <v>0</v>
      </c>
      <c r="T405" s="40"/>
      <c r="U405" s="40"/>
      <c r="V405" s="48"/>
      <c r="W405" s="48"/>
      <c r="X405" s="48"/>
      <c r="Y405" s="48"/>
      <c r="Z405" s="48"/>
      <c r="AA405" s="48"/>
      <c r="AB405" s="48"/>
      <c r="AC405" s="48"/>
      <c r="AD405" s="48"/>
      <c r="AE405" s="48"/>
      <c r="AF405" s="48"/>
      <c r="AG405" s="48"/>
      <c r="AH405" s="48"/>
      <c r="AI405" s="48"/>
      <c r="AJ405" s="48"/>
      <c r="AK405" s="48"/>
      <c r="AL405" s="48"/>
      <c r="AM405" s="48"/>
      <c r="AN405" s="48"/>
    </row>
    <row r="406" ht="18.0" customHeight="1">
      <c r="A406" s="5" t="s">
        <v>1009</v>
      </c>
      <c r="B406" s="48" t="s">
        <v>178</v>
      </c>
      <c r="C406" s="552" t="s">
        <v>127</v>
      </c>
      <c r="D406" s="553" t="s">
        <v>225</v>
      </c>
      <c r="E406" s="554" t="str">
        <f>F406/F$390</f>
        <v>#DIV/0!</v>
      </c>
      <c r="F406" s="555">
        <f>+SUM(F394:F405)</f>
        <v>0</v>
      </c>
      <c r="G406" s="556"/>
      <c r="H406" s="554"/>
      <c r="I406" s="555"/>
      <c r="J406" s="556" t="s">
        <v>225</v>
      </c>
      <c r="K406" s="554">
        <f>L406/L$390</f>
        <v>0.3167284246</v>
      </c>
      <c r="L406" s="555">
        <f>+SUM(L394:L405)</f>
        <v>30340.48</v>
      </c>
      <c r="M406" s="557"/>
      <c r="N406" s="555">
        <f t="shared" si="80"/>
        <v>30340.48</v>
      </c>
      <c r="O406" s="556" t="s">
        <v>225</v>
      </c>
      <c r="P406" s="554">
        <f>Q406/Q$390</f>
        <v>0.2442892036</v>
      </c>
      <c r="Q406" s="555">
        <f>+SUM(Q394:Q405)</f>
        <v>28362.47</v>
      </c>
      <c r="R406" s="558"/>
      <c r="S406" s="555">
        <f t="shared" si="81"/>
        <v>1978.01</v>
      </c>
      <c r="T406" s="40"/>
      <c r="U406" s="40"/>
      <c r="V406" s="48"/>
      <c r="W406" s="48"/>
      <c r="X406" s="48"/>
      <c r="Y406" s="48"/>
      <c r="Z406" s="48"/>
      <c r="AA406" s="48"/>
      <c r="AB406" s="48"/>
      <c r="AC406" s="48"/>
      <c r="AD406" s="48"/>
      <c r="AE406" s="48"/>
      <c r="AF406" s="48"/>
      <c r="AG406" s="48"/>
      <c r="AH406" s="48"/>
      <c r="AI406" s="48"/>
      <c r="AJ406" s="48"/>
      <c r="AK406" s="48"/>
      <c r="AL406" s="48"/>
      <c r="AM406" s="48"/>
      <c r="AN406" s="48"/>
    </row>
    <row r="407" ht="15.75" customHeight="1">
      <c r="A407" s="5" t="s">
        <v>1010</v>
      </c>
      <c r="B407" s="48" t="s">
        <v>178</v>
      </c>
      <c r="C407" s="654" t="s">
        <v>128</v>
      </c>
      <c r="D407" s="546"/>
      <c r="E407" s="48"/>
      <c r="F407" s="481" t="str">
        <f t="array" ref="F407">+INDEX('Budget original'!$A$2:$AO$501,MATCH($A407,'Budget original'!$A$2:$A$501,0),MATCH(F$2,'Budget original'!$A$2:$AO$2,0))</f>
        <v/>
      </c>
      <c r="G407" s="547"/>
      <c r="H407" s="48"/>
      <c r="I407" s="481"/>
      <c r="J407" s="480"/>
      <c r="K407" s="48"/>
      <c r="L407" s="484">
        <f>SUMIFS(BV_Data_An_Cour!$AM:$AM,BV_Data_An_Cour!$AP:$AP,$B407,BV_Data_An_Cour!$AQ:$AQ,$C407,BV_Data_An_Cour!$AR:$AR,$L$2)</f>
        <v>1238.46</v>
      </c>
      <c r="M407" s="480"/>
      <c r="N407" s="484">
        <f t="shared" si="80"/>
        <v>1238.46</v>
      </c>
      <c r="O407" s="480"/>
      <c r="P407" s="48"/>
      <c r="Q407" s="484">
        <f>SUMIFS(BV_Data_An_Prec!$AM:$AM,BV_Data_An_Prec!$AP:$AP,$B407,BV_Data_An_Prec!$AQ:$AQ,$C407,BV_Data_An_Prec!$AR:$AR,$L$2)</f>
        <v>1774.43</v>
      </c>
      <c r="R407" s="480"/>
      <c r="S407" s="484">
        <f t="shared" si="81"/>
        <v>-535.97</v>
      </c>
      <c r="T407" s="40"/>
      <c r="U407" s="40"/>
      <c r="V407" s="48"/>
      <c r="W407" s="483"/>
      <c r="X407" s="48"/>
      <c r="Y407" s="48"/>
      <c r="Z407" s="48"/>
      <c r="AA407" s="48"/>
      <c r="AB407" s="48"/>
      <c r="AC407" s="48"/>
      <c r="AD407" s="48"/>
      <c r="AE407" s="48"/>
      <c r="AF407" s="48"/>
      <c r="AG407" s="48"/>
      <c r="AH407" s="48"/>
      <c r="AI407" s="48"/>
      <c r="AJ407" s="48"/>
      <c r="AK407" s="48"/>
      <c r="AL407" s="48"/>
      <c r="AM407" s="48"/>
      <c r="AN407" s="48"/>
    </row>
    <row r="408" ht="15.75" customHeight="1">
      <c r="A408" s="5" t="s">
        <v>1011</v>
      </c>
      <c r="B408" s="48" t="s">
        <v>178</v>
      </c>
      <c r="C408" s="559" t="s">
        <v>129</v>
      </c>
      <c r="D408" s="546"/>
      <c r="E408" s="48"/>
      <c r="F408" s="481" t="str">
        <f t="array" ref="F408">+INDEX('Budget original'!$A$2:$AO$501,MATCH($A408,'Budget original'!$A$2:$A$501,0),MATCH(F$2,'Budget original'!$A$2:$AO$2,0))</f>
        <v/>
      </c>
      <c r="G408" s="547"/>
      <c r="H408" s="48"/>
      <c r="I408" s="481"/>
      <c r="J408" s="480"/>
      <c r="K408" s="48"/>
      <c r="L408" s="484">
        <f>SUMIFS(BV_Data_An_Cour!$AM:$AM,BV_Data_An_Cour!$AP:$AP,$B408,BV_Data_An_Cour!$AQ:$AQ,$C408,BV_Data_An_Cour!$AR:$AR,$L$2)</f>
        <v>0</v>
      </c>
      <c r="M408" s="480"/>
      <c r="N408" s="484">
        <f t="shared" si="80"/>
        <v>0</v>
      </c>
      <c r="O408" s="480"/>
      <c r="P408" s="48"/>
      <c r="Q408" s="484">
        <f>SUMIFS(BV_Data_An_Prec!$AM:$AM,BV_Data_An_Prec!$AP:$AP,$B408,BV_Data_An_Prec!$AQ:$AQ,$C408,BV_Data_An_Prec!$AR:$AR,$L$2)</f>
        <v>1040.5</v>
      </c>
      <c r="R408" s="480"/>
      <c r="S408" s="484">
        <f t="shared" si="81"/>
        <v>-1040.5</v>
      </c>
      <c r="T408" s="40"/>
      <c r="U408" s="40"/>
      <c r="V408" s="48"/>
      <c r="W408" s="48"/>
      <c r="X408" s="48"/>
      <c r="Y408" s="48"/>
      <c r="Z408" s="48"/>
      <c r="AA408" s="48"/>
      <c r="AB408" s="48"/>
      <c r="AC408" s="48"/>
      <c r="AD408" s="48"/>
      <c r="AE408" s="48"/>
      <c r="AF408" s="48"/>
      <c r="AG408" s="48"/>
      <c r="AH408" s="48"/>
      <c r="AI408" s="48"/>
      <c r="AJ408" s="48"/>
      <c r="AK408" s="48"/>
      <c r="AL408" s="48"/>
      <c r="AM408" s="48"/>
      <c r="AN408" s="48"/>
    </row>
    <row r="409" ht="15.75" customHeight="1">
      <c r="A409" s="5" t="s">
        <v>1012</v>
      </c>
      <c r="B409" s="48" t="s">
        <v>178</v>
      </c>
      <c r="C409" s="560" t="s">
        <v>130</v>
      </c>
      <c r="D409" s="549"/>
      <c r="E409" s="564"/>
      <c r="F409" s="473" t="str">
        <f t="array" ref="F409">+INDEX('Budget original'!$A$2:$AO$501,MATCH($A409,'Budget original'!$A$2:$A$501,0),MATCH(F$2,'Budget original'!$A$2:$AO$2,0))</f>
        <v/>
      </c>
      <c r="G409" s="550"/>
      <c r="H409" s="564"/>
      <c r="I409" s="473"/>
      <c r="J409" s="471"/>
      <c r="K409" s="564"/>
      <c r="L409" s="476">
        <f>SUMIFS(BV_Data_An_Cour!$AM:$AM,BV_Data_An_Cour!$AP:$AP,$B409,BV_Data_An_Cour!$AQ:$AQ,$C409,BV_Data_An_Cour!$AR:$AR,$L$2)</f>
        <v>2297.92</v>
      </c>
      <c r="M409" s="471"/>
      <c r="N409" s="476">
        <f t="shared" si="80"/>
        <v>2297.92</v>
      </c>
      <c r="O409" s="471"/>
      <c r="P409" s="564"/>
      <c r="Q409" s="476">
        <f>SUMIFS(BV_Data_An_Prec!$AM:$AM,BV_Data_An_Prec!$AP:$AP,$B409,BV_Data_An_Prec!$AQ:$AQ,$C409,BV_Data_An_Prec!$AR:$AR,$L$2)</f>
        <v>2929.94</v>
      </c>
      <c r="R409" s="471"/>
      <c r="S409" s="476">
        <f t="shared" si="81"/>
        <v>-632.02</v>
      </c>
      <c r="T409" s="40"/>
      <c r="U409" s="40"/>
      <c r="V409" s="48"/>
      <c r="W409" s="48"/>
      <c r="X409" s="48"/>
      <c r="Y409" s="48"/>
      <c r="Z409" s="48"/>
      <c r="AA409" s="48"/>
      <c r="AB409" s="48"/>
      <c r="AC409" s="48"/>
      <c r="AD409" s="48"/>
      <c r="AE409" s="48"/>
      <c r="AF409" s="48"/>
      <c r="AG409" s="48"/>
      <c r="AH409" s="48"/>
      <c r="AI409" s="48"/>
      <c r="AJ409" s="48"/>
      <c r="AK409" s="48"/>
      <c r="AL409" s="48"/>
      <c r="AM409" s="48"/>
      <c r="AN409" s="48"/>
    </row>
    <row r="410" ht="15.75" customHeight="1">
      <c r="A410" s="5" t="s">
        <v>1013</v>
      </c>
      <c r="B410" s="48" t="s">
        <v>178</v>
      </c>
      <c r="C410" s="559" t="s">
        <v>131</v>
      </c>
      <c r="D410" s="546"/>
      <c r="E410" s="48"/>
      <c r="F410" s="481" t="str">
        <f t="array" ref="F410">+INDEX('Budget original'!$A$2:$AO$501,MATCH($A410,'Budget original'!$A$2:$A$501,0),MATCH(F$2,'Budget original'!$A$2:$AO$2,0))</f>
        <v/>
      </c>
      <c r="G410" s="547"/>
      <c r="H410" s="48"/>
      <c r="I410" s="481"/>
      <c r="J410" s="480"/>
      <c r="K410" s="48"/>
      <c r="L410" s="484">
        <f>SUMIFS(BV_Data_An_Cour!$AM:$AM,BV_Data_An_Cour!$AP:$AP,$B410,BV_Data_An_Cour!$AQ:$AQ,$C410,BV_Data_An_Cour!$AR:$AR,$L$2)</f>
        <v>2108.69</v>
      </c>
      <c r="M410" s="480"/>
      <c r="N410" s="484">
        <f t="shared" si="80"/>
        <v>2108.69</v>
      </c>
      <c r="O410" s="480"/>
      <c r="P410" s="48"/>
      <c r="Q410" s="484">
        <f>SUMIFS(BV_Data_An_Prec!$AM:$AM,BV_Data_An_Prec!$AP:$AP,$B410,BV_Data_An_Prec!$AQ:$AQ,$C410,BV_Data_An_Prec!$AR:$AR,$L$2)</f>
        <v>1604.66</v>
      </c>
      <c r="R410" s="480"/>
      <c r="S410" s="484">
        <f t="shared" si="81"/>
        <v>504.03</v>
      </c>
      <c r="T410" s="40"/>
      <c r="U410" s="40"/>
      <c r="V410" s="48"/>
      <c r="W410" s="48"/>
      <c r="X410" s="48"/>
      <c r="Y410" s="48"/>
      <c r="Z410" s="48"/>
      <c r="AA410" s="48"/>
      <c r="AB410" s="48"/>
      <c r="AC410" s="48"/>
      <c r="AD410" s="48"/>
      <c r="AE410" s="48"/>
      <c r="AF410" s="48"/>
      <c r="AG410" s="48"/>
      <c r="AH410" s="48"/>
      <c r="AI410" s="48"/>
      <c r="AJ410" s="48"/>
      <c r="AK410" s="48"/>
      <c r="AL410" s="48"/>
      <c r="AM410" s="48"/>
      <c r="AN410" s="48"/>
    </row>
    <row r="411" ht="15.75" customHeight="1">
      <c r="A411" s="5" t="s">
        <v>1014</v>
      </c>
      <c r="B411" s="48" t="s">
        <v>178</v>
      </c>
      <c r="C411" s="559" t="s">
        <v>132</v>
      </c>
      <c r="D411" s="546"/>
      <c r="E411" s="48"/>
      <c r="F411" s="481" t="str">
        <f t="array" ref="F411">+INDEX('Budget original'!$A$2:$AO$501,MATCH($A411,'Budget original'!$A$2:$A$501,0),MATCH(F$2,'Budget original'!$A$2:$AO$2,0))</f>
        <v/>
      </c>
      <c r="G411" s="547"/>
      <c r="H411" s="48"/>
      <c r="I411" s="481"/>
      <c r="J411" s="480"/>
      <c r="K411" s="48"/>
      <c r="L411" s="484">
        <f>SUMIFS(BV_Data_An_Cour!$AM:$AM,BV_Data_An_Cour!$AP:$AP,$B411,BV_Data_An_Cour!$AQ:$AQ,$C411,BV_Data_An_Cour!$AR:$AR,$L$2)</f>
        <v>219.67</v>
      </c>
      <c r="M411" s="480"/>
      <c r="N411" s="484">
        <f t="shared" si="80"/>
        <v>219.67</v>
      </c>
      <c r="O411" s="480"/>
      <c r="P411" s="48"/>
      <c r="Q411" s="484">
        <f>SUMIFS(BV_Data_An_Prec!$AM:$AM,BV_Data_An_Prec!$AP:$AP,$B411,BV_Data_An_Prec!$AQ:$AQ,$C411,BV_Data_An_Prec!$AR:$AR,$L$2)</f>
        <v>3239.5</v>
      </c>
      <c r="R411" s="480"/>
      <c r="S411" s="484">
        <f t="shared" si="81"/>
        <v>-3019.83</v>
      </c>
      <c r="T411" s="40"/>
      <c r="U411" s="40"/>
      <c r="V411" s="48"/>
      <c r="W411" s="48"/>
      <c r="X411" s="48"/>
      <c r="Y411" s="48"/>
      <c r="Z411" s="48"/>
      <c r="AA411" s="48"/>
      <c r="AB411" s="48"/>
      <c r="AC411" s="48"/>
      <c r="AD411" s="48"/>
      <c r="AE411" s="48"/>
      <c r="AF411" s="48"/>
      <c r="AG411" s="48"/>
      <c r="AH411" s="48"/>
      <c r="AI411" s="48"/>
      <c r="AJ411" s="48"/>
      <c r="AK411" s="48"/>
      <c r="AL411" s="48"/>
      <c r="AM411" s="48"/>
      <c r="AN411" s="48"/>
    </row>
    <row r="412" ht="15.75" customHeight="1">
      <c r="A412" s="5" t="s">
        <v>1015</v>
      </c>
      <c r="B412" s="48" t="s">
        <v>178</v>
      </c>
      <c r="C412" s="560" t="s">
        <v>133</v>
      </c>
      <c r="D412" s="549"/>
      <c r="E412" s="564"/>
      <c r="F412" s="473" t="str">
        <f t="array" ref="F412">+INDEX('Budget original'!$A$2:$AO$501,MATCH($A412,'Budget original'!$A$2:$A$501,0),MATCH(F$2,'Budget original'!$A$2:$AO$2,0))</f>
        <v/>
      </c>
      <c r="G412" s="550"/>
      <c r="H412" s="564"/>
      <c r="I412" s="473"/>
      <c r="J412" s="471"/>
      <c r="K412" s="564"/>
      <c r="L412" s="476">
        <f>SUMIFS(BV_Data_An_Cour!$AM:$AM,BV_Data_An_Cour!$AP:$AP,$B412,BV_Data_An_Cour!$AQ:$AQ,$C412,BV_Data_An_Cour!$AR:$AR,$L$2)</f>
        <v>978.51</v>
      </c>
      <c r="M412" s="471"/>
      <c r="N412" s="476">
        <f t="shared" si="80"/>
        <v>978.51</v>
      </c>
      <c r="O412" s="471"/>
      <c r="P412" s="564"/>
      <c r="Q412" s="476">
        <f>SUMIFS(BV_Data_An_Prec!$AM:$AM,BV_Data_An_Prec!$AP:$AP,$B412,BV_Data_An_Prec!$AQ:$AQ,$C412,BV_Data_An_Prec!$AR:$AR,$L$2)</f>
        <v>2435.59</v>
      </c>
      <c r="R412" s="471"/>
      <c r="S412" s="476">
        <f t="shared" si="81"/>
        <v>-1457.08</v>
      </c>
      <c r="T412" s="40"/>
      <c r="U412" s="40"/>
      <c r="V412" s="48"/>
      <c r="W412" s="48"/>
      <c r="X412" s="48"/>
      <c r="Y412" s="48"/>
      <c r="Z412" s="48"/>
      <c r="AA412" s="48"/>
      <c r="AB412" s="48"/>
      <c r="AC412" s="48"/>
      <c r="AD412" s="48"/>
      <c r="AE412" s="48"/>
      <c r="AF412" s="48"/>
      <c r="AG412" s="48"/>
      <c r="AH412" s="48"/>
      <c r="AI412" s="48"/>
      <c r="AJ412" s="48"/>
      <c r="AK412" s="48"/>
      <c r="AL412" s="48"/>
      <c r="AM412" s="48"/>
      <c r="AN412" s="48"/>
    </row>
    <row r="413" ht="15.75" customHeight="1">
      <c r="A413" s="5" t="s">
        <v>1016</v>
      </c>
      <c r="B413" s="48" t="s">
        <v>178</v>
      </c>
      <c r="C413" s="559" t="s">
        <v>173</v>
      </c>
      <c r="D413" s="546"/>
      <c r="E413" s="48"/>
      <c r="F413" s="481"/>
      <c r="G413" s="547"/>
      <c r="H413" s="48"/>
      <c r="I413" s="481"/>
      <c r="J413" s="480"/>
      <c r="K413" s="48"/>
      <c r="L413" s="484">
        <f>SUMIFS(BV_Data_An_Cour!$AM:$AM,BV_Data_An_Cour!$AP:$AP,$B413,BV_Data_An_Cour!$AQ:$AQ,$C413,BV_Data_An_Cour!$AR:$AR,$L$2)</f>
        <v>0</v>
      </c>
      <c r="M413" s="480"/>
      <c r="N413" s="484">
        <f t="shared" si="80"/>
        <v>0</v>
      </c>
      <c r="O413" s="480"/>
      <c r="P413" s="48"/>
      <c r="Q413" s="484">
        <f>SUMIFS(BV_Data_An_Prec!$AM:$AM,BV_Data_An_Prec!$AP:$AP,$B413,BV_Data_An_Prec!$AQ:$AQ,$C413,BV_Data_An_Prec!$AR:$AR,$L$2)</f>
        <v>0</v>
      </c>
      <c r="R413" s="480"/>
      <c r="S413" s="484">
        <f t="shared" si="81"/>
        <v>0</v>
      </c>
      <c r="T413" s="40"/>
      <c r="U413" s="40"/>
      <c r="V413" s="48"/>
      <c r="W413" s="48"/>
      <c r="X413" s="48"/>
      <c r="Y413" s="48"/>
      <c r="Z413" s="48"/>
      <c r="AA413" s="48"/>
      <c r="AB413" s="48"/>
      <c r="AC413" s="48"/>
      <c r="AD413" s="48"/>
      <c r="AE413" s="48"/>
      <c r="AF413" s="48"/>
      <c r="AG413" s="48"/>
      <c r="AH413" s="48"/>
      <c r="AI413" s="48"/>
      <c r="AJ413" s="48"/>
      <c r="AK413" s="48"/>
      <c r="AL413" s="48"/>
      <c r="AM413" s="48"/>
      <c r="AN413" s="48"/>
    </row>
    <row r="414" ht="15.75" customHeight="1">
      <c r="A414" s="5" t="s">
        <v>1017</v>
      </c>
      <c r="B414" s="48" t="s">
        <v>178</v>
      </c>
      <c r="C414" s="559" t="s">
        <v>134</v>
      </c>
      <c r="D414" s="546"/>
      <c r="E414" s="48"/>
      <c r="F414" s="481" t="str">
        <f t="array" ref="F414">+INDEX('Budget original'!$A$2:$AO$501,MATCH($A414,'Budget original'!$A$2:$A$501,0),MATCH(F$2,'Budget original'!$A$2:$AO$2,0))</f>
        <v/>
      </c>
      <c r="G414" s="547"/>
      <c r="H414" s="48"/>
      <c r="I414" s="481"/>
      <c r="J414" s="480"/>
      <c r="K414" s="48"/>
      <c r="L414" s="484">
        <f>SUMIFS(BV_Data_An_Cour!$AM:$AM,BV_Data_An_Cour!$AP:$AP,$B414,BV_Data_An_Cour!$AQ:$AQ,$C414,BV_Data_An_Cour!$AR:$AR,$L$2)</f>
        <v>383.69</v>
      </c>
      <c r="M414" s="480"/>
      <c r="N414" s="484">
        <f t="shared" si="80"/>
        <v>383.69</v>
      </c>
      <c r="O414" s="480"/>
      <c r="P414" s="48"/>
      <c r="Q414" s="484">
        <f>SUMIFS(BV_Data_An_Prec!$AM:$AM,BV_Data_An_Prec!$AP:$AP,$B414,BV_Data_An_Prec!$AQ:$AQ,$C414,BV_Data_An_Prec!$AR:$AR,$L$2)</f>
        <v>53.52</v>
      </c>
      <c r="R414" s="480"/>
      <c r="S414" s="484">
        <f t="shared" si="81"/>
        <v>330.17</v>
      </c>
      <c r="T414" s="40"/>
      <c r="U414" s="40"/>
      <c r="V414" s="48"/>
      <c r="W414" s="48"/>
      <c r="X414" s="48"/>
      <c r="Y414" s="48"/>
      <c r="Z414" s="48"/>
      <c r="AA414" s="48"/>
      <c r="AB414" s="48"/>
      <c r="AC414" s="48"/>
      <c r="AD414" s="48"/>
      <c r="AE414" s="48"/>
      <c r="AF414" s="48"/>
      <c r="AG414" s="48"/>
      <c r="AH414" s="48"/>
      <c r="AI414" s="48"/>
      <c r="AJ414" s="48"/>
      <c r="AK414" s="48"/>
      <c r="AL414" s="48"/>
      <c r="AM414" s="48"/>
      <c r="AN414" s="48"/>
    </row>
    <row r="415" ht="15.75" customHeight="1">
      <c r="A415" s="5" t="s">
        <v>1018</v>
      </c>
      <c r="B415" s="48" t="s">
        <v>178</v>
      </c>
      <c r="C415" s="559" t="s">
        <v>135</v>
      </c>
      <c r="D415" s="546"/>
      <c r="E415" s="48"/>
      <c r="F415" s="481" t="str">
        <f t="array" ref="F415">+INDEX('Budget original'!$A$2:$AO$501,MATCH($A415,'Budget original'!$A$2:$A$501,0),MATCH(F$2,'Budget original'!$A$2:$AO$2,0))</f>
        <v/>
      </c>
      <c r="G415" s="547"/>
      <c r="H415" s="48"/>
      <c r="I415" s="481"/>
      <c r="J415" s="480"/>
      <c r="K415" s="48"/>
      <c r="L415" s="484">
        <f>SUMIFS(BV_Data_An_Cour!$AM:$AM,BV_Data_An_Cour!$AP:$AP,$B415,BV_Data_An_Cour!$AQ:$AQ,$C415,BV_Data_An_Cour!$AR:$AR,$L$2)</f>
        <v>0</v>
      </c>
      <c r="M415" s="480"/>
      <c r="N415" s="484">
        <f t="shared" si="80"/>
        <v>0</v>
      </c>
      <c r="O415" s="480"/>
      <c r="P415" s="48"/>
      <c r="Q415" s="484">
        <f>SUMIFS(BV_Data_An_Prec!$AM:$AM,BV_Data_An_Prec!$AP:$AP,$B415,BV_Data_An_Prec!$AQ:$AQ,$C415,BV_Data_An_Prec!$AR:$AR,$L$2)</f>
        <v>0</v>
      </c>
      <c r="R415" s="480"/>
      <c r="S415" s="484">
        <f t="shared" si="81"/>
        <v>0</v>
      </c>
      <c r="T415" s="40"/>
      <c r="U415" s="40"/>
      <c r="V415" s="48"/>
      <c r="W415" s="48"/>
      <c r="X415" s="48"/>
      <c r="Y415" s="48"/>
      <c r="Z415" s="48"/>
      <c r="AA415" s="48"/>
      <c r="AB415" s="48"/>
      <c r="AC415" s="48"/>
      <c r="AD415" s="48"/>
      <c r="AE415" s="48"/>
      <c r="AF415" s="48"/>
      <c r="AG415" s="48"/>
      <c r="AH415" s="48"/>
      <c r="AI415" s="48"/>
      <c r="AJ415" s="48"/>
      <c r="AK415" s="48"/>
      <c r="AL415" s="48"/>
      <c r="AM415" s="48"/>
      <c r="AN415" s="48"/>
    </row>
    <row r="416" ht="15.75" customHeight="1">
      <c r="A416" s="5" t="s">
        <v>1019</v>
      </c>
      <c r="B416" s="48" t="s">
        <v>178</v>
      </c>
      <c r="C416" s="559" t="s">
        <v>136</v>
      </c>
      <c r="D416" s="546"/>
      <c r="E416" s="48"/>
      <c r="F416" s="481" t="str">
        <f t="array" ref="F416">+INDEX('Budget original'!$A$2:$AO$501,MATCH($A416,'Budget original'!$A$2:$A$501,0),MATCH(F$2,'Budget original'!$A$2:$AO$2,0))</f>
        <v/>
      </c>
      <c r="G416" s="547"/>
      <c r="H416" s="48"/>
      <c r="I416" s="481"/>
      <c r="J416" s="480"/>
      <c r="K416" s="48"/>
      <c r="L416" s="484">
        <f>SUMIFS(BV_Data_An_Cour!$AM:$AM,BV_Data_An_Cour!$AP:$AP,$B416,BV_Data_An_Cour!$AQ:$AQ,$C416,BV_Data_An_Cour!$AR:$AR,$L$2)</f>
        <v>77.31</v>
      </c>
      <c r="M416" s="480"/>
      <c r="N416" s="484">
        <f t="shared" si="80"/>
        <v>77.31</v>
      </c>
      <c r="O416" s="480"/>
      <c r="P416" s="48"/>
      <c r="Q416" s="484">
        <f>SUMIFS(BV_Data_An_Prec!$AM:$AM,BV_Data_An_Prec!$AP:$AP,$B416,BV_Data_An_Prec!$AQ:$AQ,$C416,BV_Data_An_Prec!$AR:$AR,$L$2)</f>
        <v>120.1</v>
      </c>
      <c r="R416" s="480"/>
      <c r="S416" s="484">
        <f t="shared" si="81"/>
        <v>-42.79</v>
      </c>
      <c r="T416" s="40"/>
      <c r="U416" s="40"/>
      <c r="V416" s="48"/>
      <c r="W416" s="48"/>
      <c r="X416" s="48"/>
      <c r="Y416" s="48"/>
      <c r="Z416" s="48"/>
      <c r="AA416" s="48"/>
      <c r="AB416" s="48"/>
      <c r="AC416" s="48"/>
      <c r="AD416" s="48"/>
      <c r="AE416" s="48"/>
      <c r="AF416" s="48"/>
      <c r="AG416" s="48"/>
      <c r="AH416" s="48"/>
      <c r="AI416" s="48"/>
      <c r="AJ416" s="48"/>
      <c r="AK416" s="48"/>
      <c r="AL416" s="48"/>
      <c r="AM416" s="48"/>
      <c r="AN416" s="48"/>
    </row>
    <row r="417" ht="15.75" customHeight="1">
      <c r="A417" s="5" t="s">
        <v>1020</v>
      </c>
      <c r="B417" s="48" t="s">
        <v>178</v>
      </c>
      <c r="C417" s="559" t="s">
        <v>137</v>
      </c>
      <c r="D417" s="546"/>
      <c r="E417" s="48"/>
      <c r="F417" s="481" t="str">
        <f t="array" ref="F417">+INDEX('Budget original'!$A$2:$AO$501,MATCH($A417,'Budget original'!$A$2:$A$501,0),MATCH(F$2,'Budget original'!$A$2:$AO$2,0))</f>
        <v/>
      </c>
      <c r="G417" s="547"/>
      <c r="H417" s="48"/>
      <c r="I417" s="481"/>
      <c r="J417" s="480"/>
      <c r="K417" s="48"/>
      <c r="L417" s="484">
        <f>SUMIFS(BV_Data_An_Cour!$AM:$AM,BV_Data_An_Cour!$AP:$AP,$B417,BV_Data_An_Cour!$AQ:$AQ,$C417,BV_Data_An_Cour!$AR:$AR,$L$2)</f>
        <v>148.06</v>
      </c>
      <c r="M417" s="480"/>
      <c r="N417" s="484">
        <f t="shared" si="80"/>
        <v>148.06</v>
      </c>
      <c r="O417" s="480"/>
      <c r="P417" s="48"/>
      <c r="Q417" s="484">
        <f>SUMIFS(BV_Data_An_Prec!$AM:$AM,BV_Data_An_Prec!$AP:$AP,$B417,BV_Data_An_Prec!$AQ:$AQ,$C417,BV_Data_An_Prec!$AR:$AR,$L$2)</f>
        <v>52.64</v>
      </c>
      <c r="R417" s="480"/>
      <c r="S417" s="484">
        <f t="shared" si="81"/>
        <v>95.42</v>
      </c>
      <c r="T417" s="40"/>
      <c r="U417" s="40"/>
      <c r="V417" s="48"/>
      <c r="W417" s="48"/>
      <c r="X417" s="48"/>
      <c r="Y417" s="48"/>
      <c r="Z417" s="48"/>
      <c r="AA417" s="48"/>
      <c r="AB417" s="48"/>
      <c r="AC417" s="48"/>
      <c r="AD417" s="48"/>
      <c r="AE417" s="48"/>
      <c r="AF417" s="48"/>
      <c r="AG417" s="48"/>
      <c r="AH417" s="48"/>
      <c r="AI417" s="48"/>
      <c r="AJ417" s="48"/>
      <c r="AK417" s="48"/>
      <c r="AL417" s="48"/>
      <c r="AM417" s="48"/>
      <c r="AN417" s="48"/>
    </row>
    <row r="418" ht="15.75" customHeight="1">
      <c r="A418" s="5" t="s">
        <v>1021</v>
      </c>
      <c r="B418" s="48" t="s">
        <v>178</v>
      </c>
      <c r="C418" s="559" t="s">
        <v>138</v>
      </c>
      <c r="D418" s="546"/>
      <c r="E418" s="48"/>
      <c r="F418" s="481" t="str">
        <f t="array" ref="F418">+INDEX('Budget original'!$A$2:$AO$501,MATCH($A418,'Budget original'!$A$2:$A$501,0),MATCH(F$2,'Budget original'!$A$2:$AO$2,0))</f>
        <v/>
      </c>
      <c r="G418" s="547"/>
      <c r="H418" s="48"/>
      <c r="I418" s="481"/>
      <c r="J418" s="480"/>
      <c r="K418" s="48"/>
      <c r="L418" s="484">
        <f>SUMIFS(BV_Data_An_Cour!$AM:$AM,BV_Data_An_Cour!$AP:$AP,$B418,BV_Data_An_Cour!$AQ:$AQ,$C418,BV_Data_An_Cour!$AR:$AR,$L$2)</f>
        <v>948.12</v>
      </c>
      <c r="M418" s="480"/>
      <c r="N418" s="484">
        <f t="shared" si="80"/>
        <v>948.12</v>
      </c>
      <c r="O418" s="480"/>
      <c r="P418" s="48"/>
      <c r="Q418" s="484">
        <f>SUMIFS(BV_Data_An_Prec!$AM:$AM,BV_Data_An_Prec!$AP:$AP,$B418,BV_Data_An_Prec!$AQ:$AQ,$C418,BV_Data_An_Prec!$AR:$AR,$L$2)</f>
        <v>661.86</v>
      </c>
      <c r="R418" s="480"/>
      <c r="S418" s="484">
        <f t="shared" si="81"/>
        <v>286.26</v>
      </c>
      <c r="T418" s="40"/>
      <c r="U418" s="40"/>
      <c r="V418" s="48"/>
      <c r="W418" s="48"/>
      <c r="X418" s="48"/>
      <c r="Y418" s="48"/>
      <c r="Z418" s="48"/>
      <c r="AA418" s="48"/>
      <c r="AB418" s="48"/>
      <c r="AC418" s="48"/>
      <c r="AD418" s="48"/>
      <c r="AE418" s="48"/>
      <c r="AF418" s="48"/>
      <c r="AG418" s="48"/>
      <c r="AH418" s="48"/>
      <c r="AI418" s="48"/>
      <c r="AJ418" s="48"/>
      <c r="AK418" s="48"/>
      <c r="AL418" s="48"/>
      <c r="AM418" s="48"/>
      <c r="AN418" s="48"/>
    </row>
    <row r="419" ht="15.75" customHeight="1">
      <c r="A419" s="5" t="s">
        <v>1022</v>
      </c>
      <c r="B419" s="48" t="s">
        <v>178</v>
      </c>
      <c r="C419" s="559" t="s">
        <v>139</v>
      </c>
      <c r="D419" s="546"/>
      <c r="E419" s="48"/>
      <c r="F419" s="481" t="str">
        <f t="array" ref="F419">+INDEX('Budget original'!$A$2:$AO$501,MATCH($A419,'Budget original'!$A$2:$A$501,0),MATCH(F$2,'Budget original'!$A$2:$AO$2,0))</f>
        <v/>
      </c>
      <c r="G419" s="547"/>
      <c r="H419" s="48"/>
      <c r="I419" s="481"/>
      <c r="J419" s="480"/>
      <c r="K419" s="48"/>
      <c r="L419" s="484">
        <f>SUMIFS(BV_Data_An_Cour!$AM:$AM,BV_Data_An_Cour!$AP:$AP,$B419,BV_Data_An_Cour!$AQ:$AQ,$C419,BV_Data_An_Cour!$AR:$AR,$L$2)</f>
        <v>1290.06</v>
      </c>
      <c r="M419" s="480"/>
      <c r="N419" s="484">
        <f t="shared" si="80"/>
        <v>1290.06</v>
      </c>
      <c r="O419" s="480"/>
      <c r="P419" s="48"/>
      <c r="Q419" s="484">
        <f>SUMIFS(BV_Data_An_Prec!$AM:$AM,BV_Data_An_Prec!$AP:$AP,$B419,BV_Data_An_Prec!$AQ:$AQ,$C419,BV_Data_An_Prec!$AR:$AR,$L$2)</f>
        <v>1128.77</v>
      </c>
      <c r="R419" s="480"/>
      <c r="S419" s="484">
        <f t="shared" si="81"/>
        <v>161.29</v>
      </c>
      <c r="T419" s="40"/>
      <c r="U419" s="40"/>
      <c r="V419" s="48"/>
      <c r="W419" s="48"/>
      <c r="X419" s="48"/>
      <c r="Y419" s="48"/>
      <c r="Z419" s="48"/>
      <c r="AA419" s="48"/>
      <c r="AB419" s="48"/>
      <c r="AC419" s="48"/>
      <c r="AD419" s="48"/>
      <c r="AE419" s="48"/>
      <c r="AF419" s="48"/>
      <c r="AG419" s="48"/>
      <c r="AH419" s="48"/>
      <c r="AI419" s="48"/>
      <c r="AJ419" s="48"/>
      <c r="AK419" s="48"/>
      <c r="AL419" s="48"/>
      <c r="AM419" s="48"/>
      <c r="AN419" s="48"/>
    </row>
    <row r="420" ht="15.75" customHeight="1">
      <c r="A420" s="5" t="s">
        <v>1023</v>
      </c>
      <c r="B420" s="48" t="s">
        <v>178</v>
      </c>
      <c r="C420" s="559" t="s">
        <v>140</v>
      </c>
      <c r="D420" s="546"/>
      <c r="E420" s="48"/>
      <c r="F420" s="481" t="str">
        <f t="array" ref="F420">+INDEX('Budget original'!$A$2:$AO$501,MATCH($A420,'Budget original'!$A$2:$A$501,0),MATCH(F$2,'Budget original'!$A$2:$AO$2,0))</f>
        <v/>
      </c>
      <c r="G420" s="547"/>
      <c r="H420" s="48"/>
      <c r="I420" s="481"/>
      <c r="J420" s="480"/>
      <c r="K420" s="48"/>
      <c r="L420" s="484">
        <f>SUMIFS(BV_Data_An_Cour!$AM:$AM,BV_Data_An_Cour!$AP:$AP,$B420,BV_Data_An_Cour!$AQ:$AQ,$C420,BV_Data_An_Cour!$AR:$AR,$L$2)</f>
        <v>0</v>
      </c>
      <c r="M420" s="480"/>
      <c r="N420" s="484">
        <f t="shared" si="80"/>
        <v>0</v>
      </c>
      <c r="O420" s="480"/>
      <c r="P420" s="48"/>
      <c r="Q420" s="484">
        <f>SUMIFS(BV_Data_An_Prec!$AM:$AM,BV_Data_An_Prec!$AP:$AP,$B420,BV_Data_An_Prec!$AQ:$AQ,$C420,BV_Data_An_Prec!$AR:$AR,$L$2)</f>
        <v>325</v>
      </c>
      <c r="R420" s="480"/>
      <c r="S420" s="484">
        <f t="shared" si="81"/>
        <v>-325</v>
      </c>
      <c r="T420" s="40"/>
      <c r="U420" s="40"/>
      <c r="X420" s="48"/>
      <c r="Y420" s="48"/>
      <c r="Z420" s="48"/>
      <c r="AA420" s="48"/>
      <c r="AB420" s="48"/>
      <c r="AC420" s="48"/>
      <c r="AD420" s="48"/>
      <c r="AE420" s="48"/>
      <c r="AF420" s="48"/>
      <c r="AG420" s="48"/>
      <c r="AH420" s="48"/>
      <c r="AI420" s="48"/>
      <c r="AJ420" s="48"/>
      <c r="AK420" s="48"/>
      <c r="AL420" s="48"/>
      <c r="AM420" s="48"/>
      <c r="AN420" s="48"/>
    </row>
    <row r="421" ht="15.75" customHeight="1">
      <c r="A421" s="5" t="s">
        <v>1024</v>
      </c>
      <c r="B421" s="48" t="s">
        <v>178</v>
      </c>
      <c r="C421" s="559" t="s">
        <v>141</v>
      </c>
      <c r="D421" s="546"/>
      <c r="E421" s="48"/>
      <c r="F421" s="481" t="str">
        <f t="array" ref="F421">+INDEX('Budget original'!$A$2:$AO$501,MATCH($A421,'Budget original'!$A$2:$A$501,0),MATCH(F$2,'Budget original'!$A$2:$AO$2,0))</f>
        <v/>
      </c>
      <c r="G421" s="547"/>
      <c r="H421" s="48"/>
      <c r="I421" s="481"/>
      <c r="J421" s="480"/>
      <c r="K421" s="48"/>
      <c r="L421" s="484">
        <f>SUMIFS(BV_Data_An_Cour!$AM:$AM,BV_Data_An_Cour!$AP:$AP,$B421,BV_Data_An_Cour!$AQ:$AQ,$C421,BV_Data_An_Cour!$AR:$AR,$L$2)</f>
        <v>796.44</v>
      </c>
      <c r="M421" s="480"/>
      <c r="N421" s="484">
        <f t="shared" si="80"/>
        <v>796.44</v>
      </c>
      <c r="O421" s="480"/>
      <c r="P421" s="48"/>
      <c r="Q421" s="484">
        <f>SUMIFS(BV_Data_An_Prec!$AM:$AM,BV_Data_An_Prec!$AP:$AP,$B421,BV_Data_An_Prec!$AQ:$AQ,$C421,BV_Data_An_Prec!$AR:$AR,$L$2)</f>
        <v>125.85</v>
      </c>
      <c r="R421" s="480"/>
      <c r="S421" s="484">
        <f t="shared" si="81"/>
        <v>670.59</v>
      </c>
      <c r="T421" s="40"/>
      <c r="U421" s="40"/>
      <c r="X421" s="48"/>
      <c r="Y421" s="48"/>
      <c r="Z421" s="48"/>
      <c r="AA421" s="48"/>
      <c r="AB421" s="48"/>
      <c r="AC421" s="48"/>
      <c r="AD421" s="48"/>
      <c r="AE421" s="48"/>
      <c r="AF421" s="48"/>
      <c r="AG421" s="48"/>
      <c r="AH421" s="48"/>
      <c r="AI421" s="48"/>
      <c r="AJ421" s="48"/>
      <c r="AK421" s="48"/>
      <c r="AL421" s="48"/>
      <c r="AM421" s="48"/>
      <c r="AN421" s="48"/>
    </row>
    <row r="422" ht="20.25" hidden="1" customHeight="1">
      <c r="A422" s="5" t="s">
        <v>991</v>
      </c>
      <c r="B422" s="48" t="s">
        <v>178</v>
      </c>
      <c r="C422" s="559" t="s">
        <v>56</v>
      </c>
      <c r="D422" s="546"/>
      <c r="E422" s="48"/>
      <c r="F422" s="481" t="str">
        <f t="array" ref="F422">+INDEX('Budget original'!$A$2:$AO$501,MATCH($A422,'Budget original'!$A$2:$A$501,0),MATCH(F$2,'Budget original'!$A$2:$AO$2,0))</f>
        <v/>
      </c>
      <c r="G422" s="547"/>
      <c r="H422" s="48"/>
      <c r="I422" s="481"/>
      <c r="J422" s="480"/>
      <c r="K422" s="48"/>
      <c r="L422" s="484">
        <f>SUMIFS(BV_Data_An_Cour!$AM:$AM,BV_Data_An_Cour!$AP:$AP,$B422,BV_Data_An_Cour!$AQ:$AQ,$C422,BV_Data_An_Cour!$AR:$AR,$L$2)</f>
        <v>0</v>
      </c>
      <c r="M422" s="480"/>
      <c r="N422" s="484">
        <f t="shared" si="80"/>
        <v>0</v>
      </c>
      <c r="O422" s="480"/>
      <c r="P422" s="48"/>
      <c r="Q422" s="484">
        <f>SUMIFS(BV_Data_An_Prec!$AM:$AM,BV_Data_An_Prec!$AP:$AP,$B422,BV_Data_An_Prec!$AQ:$AQ,$C422,BV_Data_An_Prec!$AR:$AR,$L$2)</f>
        <v>0</v>
      </c>
      <c r="R422" s="480"/>
      <c r="S422" s="484">
        <f t="shared" si="81"/>
        <v>0</v>
      </c>
      <c r="T422" s="40"/>
      <c r="U422" s="40"/>
      <c r="X422" s="48"/>
      <c r="Y422" s="48"/>
      <c r="Z422" s="48"/>
      <c r="AA422" s="48"/>
      <c r="AB422" s="48"/>
      <c r="AC422" s="48"/>
      <c r="AD422" s="48"/>
      <c r="AE422" s="48"/>
      <c r="AF422" s="48"/>
      <c r="AG422" s="48"/>
      <c r="AH422" s="48"/>
      <c r="AI422" s="48"/>
      <c r="AJ422" s="48"/>
      <c r="AK422" s="48"/>
      <c r="AL422" s="48"/>
      <c r="AM422" s="48"/>
      <c r="AN422" s="48"/>
    </row>
    <row r="423" ht="20.25" hidden="1" customHeight="1">
      <c r="A423" s="5" t="s">
        <v>991</v>
      </c>
      <c r="B423" s="48" t="s">
        <v>178</v>
      </c>
      <c r="C423" s="559" t="s">
        <v>56</v>
      </c>
      <c r="D423" s="546"/>
      <c r="E423" s="48"/>
      <c r="F423" s="481" t="str">
        <f t="array" ref="F423">+INDEX('Budget original'!$A$2:$AO$501,MATCH($A423,'Budget original'!$A$2:$A$501,0),MATCH(F$2,'Budget original'!$A$2:$AO$2,0))</f>
        <v/>
      </c>
      <c r="G423" s="547"/>
      <c r="H423" s="48"/>
      <c r="I423" s="481"/>
      <c r="J423" s="480"/>
      <c r="K423" s="48"/>
      <c r="L423" s="484">
        <f>SUMIFS(BV_Data_An_Cour!$AM:$AM,BV_Data_An_Cour!$AP:$AP,$B423,BV_Data_An_Cour!$AQ:$AQ,$C423,BV_Data_An_Cour!$AR:$AR,$L$2)</f>
        <v>0</v>
      </c>
      <c r="M423" s="480"/>
      <c r="N423" s="484">
        <f t="shared" si="80"/>
        <v>0</v>
      </c>
      <c r="O423" s="480"/>
      <c r="P423" s="48"/>
      <c r="Q423" s="484">
        <f>SUMIFS(BV_Data_An_Prec!$AM:$AM,BV_Data_An_Prec!$AP:$AP,$B423,BV_Data_An_Prec!$AQ:$AQ,$C423,BV_Data_An_Prec!$AR:$AR,$L$2)</f>
        <v>0</v>
      </c>
      <c r="R423" s="480"/>
      <c r="S423" s="484">
        <f t="shared" si="81"/>
        <v>0</v>
      </c>
      <c r="T423" s="40"/>
      <c r="U423" s="40"/>
      <c r="X423" s="48"/>
      <c r="Y423" s="48"/>
      <c r="Z423" s="48"/>
      <c r="AA423" s="48"/>
      <c r="AB423" s="48"/>
      <c r="AC423" s="48"/>
      <c r="AD423" s="48"/>
      <c r="AE423" s="48"/>
      <c r="AF423" s="48"/>
      <c r="AG423" s="48"/>
      <c r="AH423" s="48"/>
      <c r="AI423" s="48"/>
      <c r="AJ423" s="48"/>
      <c r="AK423" s="48"/>
      <c r="AL423" s="48"/>
      <c r="AM423" s="48"/>
      <c r="AN423" s="48"/>
    </row>
    <row r="424" ht="20.25" hidden="1" customHeight="1">
      <c r="A424" s="5" t="s">
        <v>991</v>
      </c>
      <c r="B424" s="48" t="s">
        <v>178</v>
      </c>
      <c r="C424" s="559" t="s">
        <v>56</v>
      </c>
      <c r="D424" s="546"/>
      <c r="E424" s="48"/>
      <c r="F424" s="481" t="str">
        <f t="array" ref="F424">+INDEX('Budget original'!$A$2:$AO$501,MATCH($A424,'Budget original'!$A$2:$A$501,0),MATCH(F$2,'Budget original'!$A$2:$AO$2,0))</f>
        <v/>
      </c>
      <c r="G424" s="547"/>
      <c r="H424" s="48"/>
      <c r="I424" s="481"/>
      <c r="J424" s="480"/>
      <c r="K424" s="48"/>
      <c r="L424" s="484">
        <f>SUMIFS(BV_Data_An_Cour!$AM:$AM,BV_Data_An_Cour!$AP:$AP,$B424,BV_Data_An_Cour!$AQ:$AQ,$C424,BV_Data_An_Cour!$AR:$AR,$L$2)</f>
        <v>0</v>
      </c>
      <c r="M424" s="480"/>
      <c r="N424" s="484">
        <f t="shared" si="80"/>
        <v>0</v>
      </c>
      <c r="O424" s="480"/>
      <c r="P424" s="48"/>
      <c r="Q424" s="484">
        <f>SUMIFS(BV_Data_An_Prec!$AM:$AM,BV_Data_An_Prec!$AP:$AP,$B424,BV_Data_An_Prec!$AQ:$AQ,$C424,BV_Data_An_Prec!$AR:$AR,$L$2)</f>
        <v>0</v>
      </c>
      <c r="R424" s="480"/>
      <c r="S424" s="484">
        <f t="shared" si="81"/>
        <v>0</v>
      </c>
      <c r="T424" s="40"/>
      <c r="U424" s="40"/>
      <c r="X424" s="48"/>
      <c r="Y424" s="48"/>
      <c r="Z424" s="48"/>
      <c r="AA424" s="48"/>
      <c r="AB424" s="48"/>
      <c r="AC424" s="48"/>
      <c r="AD424" s="48"/>
      <c r="AE424" s="48"/>
      <c r="AF424" s="48"/>
      <c r="AG424" s="48"/>
      <c r="AH424" s="48"/>
      <c r="AI424" s="48"/>
      <c r="AJ424" s="48"/>
      <c r="AK424" s="48"/>
      <c r="AL424" s="48"/>
      <c r="AM424" s="48"/>
      <c r="AN424" s="48"/>
    </row>
    <row r="425" ht="18.0" customHeight="1">
      <c r="A425" s="5"/>
      <c r="B425" s="48"/>
      <c r="C425" s="552" t="s">
        <v>142</v>
      </c>
      <c r="D425" s="553" t="s">
        <v>225</v>
      </c>
      <c r="E425" s="554" t="str">
        <f>F425/F$390</f>
        <v>#DIV/0!</v>
      </c>
      <c r="F425" s="555">
        <f>+SUM(F407:F424)</f>
        <v>0</v>
      </c>
      <c r="G425" s="556"/>
      <c r="H425" s="554"/>
      <c r="I425" s="555"/>
      <c r="J425" s="556" t="s">
        <v>225</v>
      </c>
      <c r="K425" s="554">
        <f>L425/L$390</f>
        <v>0.109474498</v>
      </c>
      <c r="L425" s="555">
        <f>+SUM(L407:L424)</f>
        <v>10486.93</v>
      </c>
      <c r="M425" s="557"/>
      <c r="N425" s="555">
        <f>+SUM(N407:N424)</f>
        <v>10486.93</v>
      </c>
      <c r="O425" s="556" t="s">
        <v>225</v>
      </c>
      <c r="P425" s="554">
        <f>Q425/Q$390</f>
        <v>0.1334374716</v>
      </c>
      <c r="Q425" s="555">
        <f>+SUM(Q407:Q424)</f>
        <v>15492.36</v>
      </c>
      <c r="R425" s="558"/>
      <c r="S425" s="555">
        <f>+SUM(S407:S424)</f>
        <v>-5005.43</v>
      </c>
      <c r="T425" s="40"/>
      <c r="U425" s="40"/>
      <c r="V425" s="48"/>
      <c r="W425" s="48"/>
      <c r="X425" s="48"/>
      <c r="Y425" s="48"/>
      <c r="Z425" s="48"/>
      <c r="AA425" s="48"/>
      <c r="AB425" s="48"/>
      <c r="AC425" s="48"/>
      <c r="AD425" s="48"/>
      <c r="AE425" s="48"/>
      <c r="AF425" s="48"/>
      <c r="AG425" s="48"/>
      <c r="AH425" s="48"/>
      <c r="AI425" s="48"/>
      <c r="AJ425" s="48"/>
      <c r="AK425" s="48"/>
      <c r="AL425" s="48"/>
      <c r="AM425" s="48"/>
      <c r="AN425" s="48"/>
    </row>
    <row r="426" ht="15.75" customHeight="1">
      <c r="B426" s="3"/>
      <c r="C426" s="471"/>
      <c r="D426" s="549"/>
      <c r="E426" s="564"/>
      <c r="F426" s="484"/>
      <c r="G426" s="550"/>
      <c r="H426" s="564"/>
      <c r="I426" s="484"/>
      <c r="J426" s="471"/>
      <c r="K426" s="564"/>
      <c r="L426" s="476"/>
      <c r="M426" s="471"/>
      <c r="N426" s="476"/>
      <c r="O426" s="471"/>
      <c r="P426" s="564"/>
      <c r="Q426" s="476"/>
      <c r="R426" s="471"/>
      <c r="S426" s="476"/>
      <c r="T426" s="40"/>
      <c r="U426" s="40"/>
      <c r="V426" s="48"/>
      <c r="W426" s="48"/>
      <c r="X426" s="48"/>
      <c r="Y426" s="48"/>
      <c r="Z426" s="48"/>
      <c r="AA426" s="48"/>
      <c r="AB426" s="48"/>
      <c r="AC426" s="48"/>
      <c r="AD426" s="48"/>
      <c r="AE426" s="48"/>
      <c r="AF426" s="48"/>
      <c r="AG426" s="48"/>
      <c r="AH426" s="48"/>
      <c r="AI426" s="48"/>
      <c r="AJ426" s="48"/>
      <c r="AK426" s="48"/>
      <c r="AL426" s="48"/>
      <c r="AM426" s="48"/>
      <c r="AN426" s="48"/>
    </row>
    <row r="427" ht="18.0" customHeight="1">
      <c r="A427" s="5"/>
      <c r="B427" s="48"/>
      <c r="C427" s="552" t="s">
        <v>143</v>
      </c>
      <c r="D427" s="553" t="s">
        <v>225</v>
      </c>
      <c r="E427" s="554" t="str">
        <f>F427/F$390</f>
        <v>#DIV/0!</v>
      </c>
      <c r="F427" s="555">
        <f>F406+F425</f>
        <v>0</v>
      </c>
      <c r="G427" s="556"/>
      <c r="H427" s="554"/>
      <c r="I427" s="555"/>
      <c r="J427" s="556" t="s">
        <v>225</v>
      </c>
      <c r="K427" s="554">
        <f>L427/L$390</f>
        <v>0.4262029226</v>
      </c>
      <c r="L427" s="555">
        <f>L406+L425</f>
        <v>40827.41</v>
      </c>
      <c r="M427" s="557"/>
      <c r="N427" s="555">
        <f t="shared" ref="N427:N429" si="82">L427-F427</f>
        <v>40827.41</v>
      </c>
      <c r="O427" s="556" t="s">
        <v>225</v>
      </c>
      <c r="P427" s="554">
        <f>Q427/Q$390</f>
        <v>0.3777266752</v>
      </c>
      <c r="Q427" s="555">
        <f>Q406+Q425</f>
        <v>43854.83</v>
      </c>
      <c r="R427" s="558"/>
      <c r="S427" s="555">
        <f>L427-Q427</f>
        <v>-3027.42</v>
      </c>
      <c r="T427" s="40"/>
      <c r="U427" s="40"/>
      <c r="V427" s="48"/>
      <c r="W427" s="48"/>
      <c r="X427" s="48"/>
      <c r="Y427" s="48"/>
      <c r="Z427" s="48"/>
      <c r="AA427" s="48"/>
      <c r="AB427" s="48"/>
      <c r="AC427" s="48"/>
      <c r="AD427" s="48"/>
      <c r="AE427" s="48"/>
      <c r="AF427" s="48"/>
      <c r="AG427" s="48"/>
      <c r="AH427" s="48"/>
      <c r="AI427" s="48"/>
      <c r="AJ427" s="48"/>
      <c r="AK427" s="48"/>
      <c r="AL427" s="48"/>
      <c r="AM427" s="48"/>
      <c r="AN427" s="48"/>
    </row>
    <row r="428" ht="15.75" customHeight="1">
      <c r="B428" s="3"/>
      <c r="C428" s="480"/>
      <c r="D428" s="546"/>
      <c r="E428" s="48"/>
      <c r="F428" s="484"/>
      <c r="G428" s="547"/>
      <c r="H428" s="48"/>
      <c r="I428" s="484"/>
      <c r="J428" s="480"/>
      <c r="K428" s="48"/>
      <c r="L428" s="484"/>
      <c r="M428" s="480"/>
      <c r="N428" s="484">
        <f t="shared" si="82"/>
        <v>0</v>
      </c>
      <c r="O428" s="480"/>
      <c r="P428" s="48"/>
      <c r="Q428" s="484"/>
      <c r="R428" s="480"/>
      <c r="S428" s="484"/>
      <c r="T428" s="40"/>
      <c r="U428" s="40"/>
      <c r="V428" s="48"/>
      <c r="W428" s="48"/>
      <c r="X428" s="48"/>
      <c r="Y428" s="48"/>
      <c r="Z428" s="48"/>
      <c r="AA428" s="48"/>
      <c r="AB428" s="48"/>
      <c r="AC428" s="48"/>
      <c r="AD428" s="48"/>
      <c r="AE428" s="48"/>
      <c r="AF428" s="48"/>
      <c r="AG428" s="48"/>
      <c r="AH428" s="48"/>
      <c r="AI428" s="48"/>
      <c r="AJ428" s="48"/>
      <c r="AK428" s="48"/>
      <c r="AL428" s="48"/>
      <c r="AM428" s="48"/>
      <c r="AN428" s="48"/>
    </row>
    <row r="429" ht="18.0" customHeight="1">
      <c r="A429" s="5"/>
      <c r="B429" s="48"/>
      <c r="C429" s="579" t="s">
        <v>150</v>
      </c>
      <c r="D429" s="580"/>
      <c r="E429" s="581"/>
      <c r="F429" s="582">
        <f>F390-F427</f>
        <v>0</v>
      </c>
      <c r="G429" s="583"/>
      <c r="H429" s="581"/>
      <c r="I429" s="582"/>
      <c r="J429" s="583"/>
      <c r="K429" s="581"/>
      <c r="L429" s="582">
        <f>L390-L427</f>
        <v>54965.95</v>
      </c>
      <c r="M429" s="584"/>
      <c r="N429" s="582">
        <f t="shared" si="82"/>
        <v>54965.95</v>
      </c>
      <c r="O429" s="583"/>
      <c r="P429" s="581"/>
      <c r="Q429" s="582">
        <f>Q390-Q427</f>
        <v>72247.19</v>
      </c>
      <c r="R429" s="585"/>
      <c r="S429" s="582">
        <f>L429-Q429</f>
        <v>-17281.24</v>
      </c>
      <c r="T429" s="40"/>
      <c r="U429" s="40"/>
      <c r="V429" s="48"/>
      <c r="W429" s="48"/>
      <c r="X429" s="48"/>
      <c r="Y429" s="48"/>
      <c r="Z429" s="48"/>
      <c r="AA429" s="48"/>
      <c r="AB429" s="48"/>
      <c r="AC429" s="48"/>
      <c r="AD429" s="48"/>
      <c r="AE429" s="48"/>
      <c r="AF429" s="48"/>
      <c r="AG429" s="48"/>
      <c r="AH429" s="48"/>
      <c r="AI429" s="48"/>
      <c r="AJ429" s="48"/>
      <c r="AK429" s="48"/>
      <c r="AL429" s="48"/>
      <c r="AM429" s="48"/>
      <c r="AN429" s="48"/>
    </row>
    <row r="430" ht="15.75" customHeight="1">
      <c r="B430" s="3"/>
      <c r="C430" s="11"/>
      <c r="D430" s="546"/>
      <c r="E430" s="48"/>
      <c r="F430" s="503"/>
      <c r="G430" s="546"/>
      <c r="H430" s="48"/>
      <c r="I430" s="503"/>
      <c r="J430" s="11"/>
      <c r="K430" s="11"/>
      <c r="L430" s="503"/>
      <c r="M430" s="11"/>
      <c r="N430" s="503"/>
      <c r="O430" s="11"/>
      <c r="P430" s="11"/>
      <c r="Q430" s="503"/>
      <c r="R430" s="11"/>
      <c r="S430" s="503"/>
      <c r="T430" s="40"/>
      <c r="U430" s="40"/>
      <c r="V430" s="48"/>
      <c r="W430" s="48"/>
      <c r="X430" s="48"/>
      <c r="Y430" s="48"/>
      <c r="Z430" s="48"/>
      <c r="AA430" s="48"/>
      <c r="AB430" s="48"/>
      <c r="AC430" s="48"/>
      <c r="AD430" s="48"/>
      <c r="AE430" s="48"/>
      <c r="AF430" s="48"/>
      <c r="AG430" s="48"/>
      <c r="AH430" s="48"/>
      <c r="AI430" s="48"/>
      <c r="AJ430" s="48"/>
      <c r="AK430" s="48"/>
      <c r="AL430" s="48"/>
      <c r="AM430" s="48"/>
      <c r="AN430" s="48"/>
    </row>
    <row r="431" ht="15.75" customHeight="1">
      <c r="B431" s="3"/>
      <c r="C431" s="11"/>
      <c r="D431" s="546"/>
      <c r="E431" s="48"/>
      <c r="F431" s="503"/>
      <c r="G431" s="546"/>
      <c r="H431" s="48"/>
      <c r="I431" s="503"/>
      <c r="J431" s="11"/>
      <c r="K431" s="11"/>
      <c r="L431" s="503"/>
      <c r="M431" s="11"/>
      <c r="N431" s="503"/>
      <c r="O431" s="11"/>
      <c r="P431" s="11"/>
      <c r="Q431" s="503"/>
      <c r="R431" s="11"/>
      <c r="S431" s="503"/>
      <c r="T431" s="40"/>
      <c r="U431" s="40"/>
      <c r="V431" s="48"/>
      <c r="W431" s="48"/>
      <c r="X431" s="48"/>
      <c r="Y431" s="48"/>
      <c r="Z431" s="48"/>
      <c r="AA431" s="48"/>
      <c r="AB431" s="48"/>
      <c r="AC431" s="48"/>
      <c r="AD431" s="48"/>
      <c r="AE431" s="48"/>
      <c r="AF431" s="48"/>
      <c r="AG431" s="48"/>
      <c r="AH431" s="48"/>
      <c r="AI431" s="48"/>
      <c r="AJ431" s="48"/>
      <c r="AK431" s="48"/>
      <c r="AL431" s="48"/>
      <c r="AM431" s="48"/>
      <c r="AN431" s="48"/>
    </row>
    <row r="432" ht="34.5" customHeight="1">
      <c r="B432" s="3"/>
      <c r="C432" s="450" t="str">
        <f>+C367</f>
        <v>Ste-Marie Auto</v>
      </c>
      <c r="D432" s="451"/>
      <c r="E432" s="452"/>
      <c r="F432" s="451"/>
      <c r="G432" s="451"/>
      <c r="H432" s="450"/>
      <c r="I432" s="451"/>
      <c r="J432" s="450"/>
      <c r="K432" s="453" t="s">
        <v>1025</v>
      </c>
      <c r="L432" s="451"/>
      <c r="M432" s="451"/>
      <c r="N432" s="454"/>
      <c r="O432" s="450"/>
      <c r="P432" s="451"/>
      <c r="Q432" s="450"/>
      <c r="R432" s="451"/>
      <c r="S432" s="455" t="str">
        <f>$S$1</f>
        <v>Réalisé, Septembre 2026</v>
      </c>
      <c r="T432" s="40"/>
      <c r="U432" s="40"/>
      <c r="V432" s="48"/>
      <c r="W432" s="40"/>
      <c r="X432" s="40"/>
      <c r="Y432" s="40"/>
      <c r="Z432" s="40"/>
      <c r="AA432" s="40"/>
      <c r="AB432" s="40"/>
      <c r="AC432" s="40"/>
      <c r="AD432" s="40"/>
      <c r="AE432" s="40"/>
      <c r="AF432" s="40"/>
      <c r="AG432" s="40"/>
      <c r="AH432" s="40"/>
      <c r="AI432" s="40"/>
      <c r="AJ432" s="40"/>
      <c r="AK432" s="40"/>
      <c r="AL432" s="40"/>
      <c r="AM432" s="40"/>
      <c r="AN432" s="40"/>
    </row>
    <row r="433" ht="15.75" customHeight="1">
      <c r="B433" s="3"/>
      <c r="C433" s="39"/>
      <c r="D433" s="40"/>
      <c r="E433" s="40"/>
      <c r="F433" s="40"/>
      <c r="G433" s="40"/>
      <c r="H433" s="40"/>
      <c r="I433" s="40"/>
      <c r="J433" s="40"/>
      <c r="K433" s="40"/>
      <c r="L433" s="40"/>
      <c r="M433" s="40"/>
      <c r="N433" s="40"/>
      <c r="O433" s="40"/>
      <c r="P433" s="40"/>
      <c r="Q433" s="40"/>
      <c r="R433" s="40"/>
      <c r="S433" s="40"/>
      <c r="T433" s="40"/>
      <c r="U433" s="40"/>
      <c r="V433" s="48"/>
      <c r="W433" s="40"/>
      <c r="X433" s="40"/>
      <c r="Y433" s="40"/>
      <c r="Z433" s="40"/>
      <c r="AA433" s="40"/>
      <c r="AB433" s="40"/>
      <c r="AC433" s="40"/>
      <c r="AD433" s="40"/>
      <c r="AE433" s="40"/>
      <c r="AF433" s="40"/>
      <c r="AG433" s="40"/>
      <c r="AH433" s="40"/>
      <c r="AI433" s="40"/>
      <c r="AJ433" s="40"/>
      <c r="AK433" s="40"/>
      <c r="AL433" s="40"/>
      <c r="AM433" s="40"/>
      <c r="AN433" s="40"/>
    </row>
    <row r="434" ht="15.75" customHeight="1">
      <c r="B434" s="3"/>
      <c r="C434" s="461"/>
      <c r="D434" s="462" t="s">
        <v>774</v>
      </c>
      <c r="E434" s="44"/>
      <c r="F434" s="45"/>
      <c r="G434" s="463"/>
      <c r="H434" s="44"/>
      <c r="I434" s="45"/>
      <c r="J434" s="463" t="s">
        <v>775</v>
      </c>
      <c r="K434" s="44"/>
      <c r="L434" s="45"/>
      <c r="M434" s="463"/>
      <c r="N434" s="45"/>
      <c r="O434" s="462" t="s">
        <v>777</v>
      </c>
      <c r="P434" s="44"/>
      <c r="Q434" s="45"/>
      <c r="R434" s="463" t="s">
        <v>1026</v>
      </c>
      <c r="S434" s="45"/>
      <c r="T434" s="40"/>
      <c r="U434" s="40"/>
      <c r="V434" s="48"/>
      <c r="W434" s="40"/>
      <c r="X434" s="40"/>
      <c r="Y434" s="40"/>
      <c r="Z434" s="40"/>
      <c r="AA434" s="40"/>
      <c r="AB434" s="40"/>
      <c r="AC434" s="40"/>
      <c r="AD434" s="40"/>
      <c r="AE434" s="40"/>
      <c r="AF434" s="40"/>
      <c r="AG434" s="40"/>
      <c r="AH434" s="40"/>
      <c r="AI434" s="40"/>
      <c r="AJ434" s="40"/>
      <c r="AK434" s="40"/>
      <c r="AL434" s="40"/>
      <c r="AM434" s="40"/>
      <c r="AN434" s="40"/>
    </row>
    <row r="435" ht="15.75" customHeight="1">
      <c r="A435" s="5" t="s">
        <v>193</v>
      </c>
      <c r="B435" s="48" t="s">
        <v>1025</v>
      </c>
      <c r="C435" s="655"/>
      <c r="D435" s="41" t="s">
        <v>222</v>
      </c>
      <c r="E435" s="41" t="s">
        <v>223</v>
      </c>
      <c r="F435" s="611" t="s">
        <v>95</v>
      </c>
      <c r="G435" s="610"/>
      <c r="H435" s="41"/>
      <c r="I435" s="611"/>
      <c r="J435" s="610" t="s">
        <v>221</v>
      </c>
      <c r="K435" s="41" t="s">
        <v>222</v>
      </c>
      <c r="L435" s="611" t="s">
        <v>95</v>
      </c>
      <c r="M435" s="610" t="s">
        <v>221</v>
      </c>
      <c r="N435" s="611" t="s">
        <v>908</v>
      </c>
      <c r="O435" s="41" t="s">
        <v>221</v>
      </c>
      <c r="P435" s="41" t="s">
        <v>222</v>
      </c>
      <c r="Q435" s="611" t="s">
        <v>95</v>
      </c>
      <c r="R435" s="610" t="s">
        <v>909</v>
      </c>
      <c r="S435" s="611" t="s">
        <v>95</v>
      </c>
      <c r="T435" s="40"/>
      <c r="U435" s="40"/>
      <c r="V435" s="48"/>
      <c r="W435" s="40"/>
      <c r="X435" s="40"/>
      <c r="Y435" s="40"/>
      <c r="Z435" s="40"/>
      <c r="AA435" s="40"/>
      <c r="AB435" s="40"/>
      <c r="AC435" s="40"/>
      <c r="AD435" s="40"/>
      <c r="AE435" s="40"/>
      <c r="AF435" s="40"/>
      <c r="AG435" s="40"/>
      <c r="AH435" s="40"/>
      <c r="AI435" s="40"/>
      <c r="AJ435" s="40"/>
      <c r="AK435" s="40"/>
      <c r="AL435" s="40"/>
      <c r="AM435" s="40"/>
      <c r="AN435" s="40"/>
    </row>
    <row r="436" ht="15.75" customHeight="1">
      <c r="A436" s="5"/>
      <c r="B436" s="48" t="s">
        <v>1025</v>
      </c>
      <c r="C436" s="480"/>
      <c r="D436" s="41"/>
      <c r="E436" s="41"/>
      <c r="F436" s="611"/>
      <c r="G436" s="41"/>
      <c r="H436" s="41"/>
      <c r="I436" s="41"/>
      <c r="J436" s="610"/>
      <c r="K436" s="41"/>
      <c r="L436" s="611"/>
      <c r="M436" s="610"/>
      <c r="N436" s="611"/>
      <c r="O436" s="610"/>
      <c r="P436" s="41"/>
      <c r="Q436" s="611"/>
      <c r="R436" s="610"/>
      <c r="S436" s="611"/>
      <c r="T436" s="40"/>
      <c r="U436" s="40"/>
      <c r="V436" s="48"/>
      <c r="W436" s="40"/>
      <c r="X436" s="40"/>
      <c r="Y436" s="40"/>
      <c r="Z436" s="40"/>
      <c r="AA436" s="40"/>
      <c r="AB436" s="40"/>
      <c r="AC436" s="40"/>
      <c r="AD436" s="40"/>
      <c r="AE436" s="40"/>
      <c r="AF436" s="40"/>
      <c r="AG436" s="40"/>
      <c r="AH436" s="40"/>
      <c r="AI436" s="40"/>
      <c r="AJ436" s="40"/>
      <c r="AK436" s="40"/>
      <c r="AL436" s="40"/>
      <c r="AM436" s="40"/>
      <c r="AN436" s="40"/>
    </row>
    <row r="437" ht="15.75" customHeight="1">
      <c r="A437" s="5"/>
      <c r="B437" s="48" t="s">
        <v>1025</v>
      </c>
      <c r="C437" s="480" t="s">
        <v>1027</v>
      </c>
      <c r="D437" s="483" t="str">
        <f t="array" ref="D437">+INDEX('Budget original'!$A$2:$AO$501,MATCH($A437,'Budget original'!$A$2:$A$501,0),MATCH(D$2,'Budget original'!$A$2:$AO$2,0))</f>
        <v>#N/A</v>
      </c>
      <c r="E437" s="483" t="str">
        <f t="array" ref="E437">+INDEX('Budget original'!$A$2:$AO$501,MATCH($A437,'Budget original'!$A$2:$A$501,0),MATCH(E$2,'Budget original'!$A$2:$AO$2,0))</f>
        <v>#N/A</v>
      </c>
      <c r="F437" s="483" t="str">
        <f t="array" ref="F437">+INDEX('Budget original'!$A$2:$AO$501,MATCH($A437,'Budget original'!$A$2:$A$501,0),MATCH(F$2,'Budget original'!$A$2:$AO$2,0))</f>
        <v>#N/A</v>
      </c>
      <c r="G437" s="649"/>
      <c r="H437" s="483"/>
      <c r="I437" s="483"/>
      <c r="J437" s="486">
        <f>SUMIFS(BV_Data_An_Cour!$AW:$AW,BV_Data_An_Cour!$AP:$AP,$B437,BV_Data_An_Cour!$AQ:$AQ,$C437,BV_Data_An_Cour!$AY:$AY,J$2)</f>
        <v>361</v>
      </c>
      <c r="K437" s="483">
        <f>-SUMIFS(BV_Data_An_Cour!$AM:$AM,BV_Data_An_Cour!$AS:$AS,"Oui",BV_Data_An_Cour!$AP:$AP,$B437,BV_Data_An_Cour!$AQ:$AQ,$C437)</f>
        <v>67750</v>
      </c>
      <c r="L437" s="484">
        <f>-SUMIFS(BV_Data_An_Cour!$AM:$AM,BV_Data_An_Cour!$AP:$AP,$B437,BV_Data_An_Cour!$AQ:$AQ,$C437,BV_Data_An_Cour!$AR:$AR,$L$2)</f>
        <v>52851.16</v>
      </c>
      <c r="M437" s="515">
        <f>IFERROR((K437-E437)/E437,0)</f>
        <v>0</v>
      </c>
      <c r="N437" s="484" t="str">
        <f>L437-F437</f>
        <v>#N/A</v>
      </c>
      <c r="O437" s="486">
        <f>SUMIFS(BV_Data_An_Prec!$AW:$AW,BV_Data_An_Prec!$AP:$AP,$B437,BV_Data_An_Prec!$AQ:$AQ,$C437,BV_Data_An_Prec!$AY:$AY,O$2)</f>
        <v>0</v>
      </c>
      <c r="P437" s="483">
        <f>-SUMIFS(BV_Data_An_Prec!$AM:$AM,BV_Data_An_Prec!$AS:$AS,"Oui",BV_Data_An_Prec!$AP:$AP,$B437,BV_Data_An_Prec!$AQ:$AQ,$C437)</f>
        <v>0</v>
      </c>
      <c r="Q437" s="484">
        <f>-SUMIFS(BV_Data_An_Prec!$AM:$AM,BV_Data_An_Prec!$AP:$AP,$B437,BV_Data_An_Prec!$AQ:$AQ,$C437,BV_Data_An_Prec!$AR:$AR,$L$2)</f>
        <v>0</v>
      </c>
      <c r="R437" s="515">
        <f>IF(O437=0,0,J437/O437)</f>
        <v>0</v>
      </c>
      <c r="S437" s="484">
        <f>L437-Q437</f>
        <v>52851.16</v>
      </c>
      <c r="T437" s="40"/>
      <c r="U437" s="40"/>
      <c r="V437" s="48"/>
      <c r="W437" s="40"/>
      <c r="X437" s="40"/>
      <c r="Y437" s="40"/>
      <c r="Z437" s="40"/>
      <c r="AA437" s="40"/>
      <c r="AB437" s="40"/>
      <c r="AC437" s="40"/>
      <c r="AD437" s="40"/>
      <c r="AE437" s="40"/>
      <c r="AF437" s="40"/>
      <c r="AG437" s="40"/>
      <c r="AH437" s="40"/>
      <c r="AI437" s="40"/>
      <c r="AJ437" s="40"/>
      <c r="AK437" s="40"/>
      <c r="AL437" s="40"/>
      <c r="AM437" s="40"/>
      <c r="AN437" s="40"/>
    </row>
    <row r="438" ht="15.75" customHeight="1">
      <c r="A438" s="5"/>
      <c r="B438" s="48" t="s">
        <v>1025</v>
      </c>
      <c r="C438" s="480" t="s">
        <v>163</v>
      </c>
      <c r="D438" s="41"/>
      <c r="E438" s="601"/>
      <c r="F438" s="516">
        <f>IFERROR(F437/E437,0)</f>
        <v>0</v>
      </c>
      <c r="G438" s="480"/>
      <c r="H438" s="601"/>
      <c r="I438" s="516"/>
      <c r="J438" s="486"/>
      <c r="K438" s="48"/>
      <c r="L438" s="516">
        <f>IFERROR(L437/K437,0)</f>
        <v>0.7800909225</v>
      </c>
      <c r="M438" s="515"/>
      <c r="N438" s="484">
        <f>IFERROR(N437/M437,0)</f>
        <v>0</v>
      </c>
      <c r="O438" s="486"/>
      <c r="P438" s="48"/>
      <c r="Q438" s="516">
        <f>IFERROR(Q437/P437,0)</f>
        <v>0</v>
      </c>
      <c r="R438" s="486"/>
      <c r="S438" s="484"/>
      <c r="T438" s="40"/>
      <c r="U438" s="40"/>
      <c r="V438" s="48"/>
      <c r="W438" s="40"/>
      <c r="X438" s="40"/>
      <c r="Y438" s="40"/>
      <c r="Z438" s="40"/>
      <c r="AA438" s="40"/>
      <c r="AB438" s="40"/>
      <c r="AC438" s="40"/>
      <c r="AD438" s="40"/>
      <c r="AE438" s="40"/>
      <c r="AF438" s="40"/>
      <c r="AG438" s="40"/>
      <c r="AH438" s="40"/>
      <c r="AI438" s="40"/>
      <c r="AJ438" s="40"/>
      <c r="AK438" s="40"/>
      <c r="AL438" s="40"/>
      <c r="AM438" s="40"/>
      <c r="AN438" s="40"/>
    </row>
    <row r="439" ht="15.75" customHeight="1">
      <c r="A439" s="5"/>
      <c r="B439" s="48" t="s">
        <v>1025</v>
      </c>
      <c r="C439" s="480"/>
      <c r="D439" s="41"/>
      <c r="E439" s="650"/>
      <c r="F439" s="590"/>
      <c r="G439" s="610"/>
      <c r="H439" s="650"/>
      <c r="I439" s="590"/>
      <c r="J439" s="610"/>
      <c r="K439" s="621">
        <f>IFERROR(K437/J437,0)</f>
        <v>187.6731302</v>
      </c>
      <c r="L439" s="611"/>
      <c r="M439" s="610"/>
      <c r="N439" s="611"/>
      <c r="O439" s="610"/>
      <c r="P439" s="621">
        <f>IFERROR(P437/O437,0)</f>
        <v>0</v>
      </c>
      <c r="Q439" s="611"/>
      <c r="R439" s="589"/>
      <c r="S439" s="590"/>
      <c r="T439" s="40"/>
      <c r="U439" s="40"/>
      <c r="V439" s="48"/>
      <c r="W439" s="40"/>
      <c r="X439" s="40"/>
      <c r="Y439" s="40"/>
      <c r="Z439" s="40"/>
      <c r="AA439" s="40"/>
      <c r="AB439" s="40"/>
      <c r="AC439" s="40"/>
      <c r="AD439" s="40"/>
      <c r="AE439" s="40"/>
      <c r="AF439" s="40"/>
      <c r="AG439" s="40"/>
      <c r="AH439" s="40"/>
      <c r="AI439" s="40"/>
      <c r="AJ439" s="40"/>
      <c r="AK439" s="40"/>
      <c r="AL439" s="40"/>
      <c r="AM439" s="40"/>
      <c r="AN439" s="40"/>
    </row>
    <row r="440" ht="15.75" customHeight="1">
      <c r="A440" s="5"/>
      <c r="B440" s="48" t="s">
        <v>1025</v>
      </c>
      <c r="C440" s="466" t="s">
        <v>1028</v>
      </c>
      <c r="D440" s="522" t="str">
        <f t="array" ref="D440">+INDEX('Budget original'!$A$2:$AO$501,MATCH($A440,'Budget original'!$A$2:$A$501,0),MATCH(D$2,'Budget original'!$A$2:$AO$2,0))</f>
        <v>#N/A</v>
      </c>
      <c r="E440" s="483" t="str">
        <f t="array" ref="E440">+INDEX('Budget original'!$A$2:$AO$501,MATCH($A440,'Budget original'!$A$2:$A$501,0),MATCH(E$2,'Budget original'!$A$2:$AO$2,0))</f>
        <v>#N/A</v>
      </c>
      <c r="F440" s="483" t="str">
        <f t="array" ref="F440">+INDEX('Budget original'!$A$2:$AO$501,MATCH($A440,'Budget original'!$A$2:$A$501,0),MATCH(F$2,'Budget original'!$A$2:$AO$2,0))</f>
        <v>#N/A</v>
      </c>
      <c r="G440" s="651"/>
      <c r="H440" s="483"/>
      <c r="I440" s="483"/>
      <c r="J440" s="252">
        <f>SUMIFS(BV_Data_An_Cour!$AW:$AW,BV_Data_An_Cour!$AP:$AP,$B440,BV_Data_An_Cour!$AQ:$AQ,$C440,BV_Data_An_Cour!$AY:$AY,J$2)</f>
        <v>168</v>
      </c>
      <c r="K440" s="522">
        <f>-SUMIFS(BV_Data_An_Cour!$AM:$AM,BV_Data_An_Cour!$AS:$AS,"Oui",BV_Data_An_Cour!$AP:$AP,$B440,BV_Data_An_Cour!$AQ:$AQ,$C440)</f>
        <v>21330</v>
      </c>
      <c r="L440" s="523">
        <f>-SUMIFS(BV_Data_An_Cour!$AM:$AM,BV_Data_An_Cour!$AP:$AP,$B440,BV_Data_An_Cour!$AQ:$AQ,$C440,BV_Data_An_Cour!$AR:$AR,$L$2)</f>
        <v>15386.55</v>
      </c>
      <c r="M440" s="624">
        <f>IFERROR((K440-E440)/E440,0)</f>
        <v>0</v>
      </c>
      <c r="N440" s="523" t="str">
        <f>L440-F440</f>
        <v>#N/A</v>
      </c>
      <c r="O440" s="252">
        <f>SUMIFS(BV_Data_An_Prec!$AW:$AW,BV_Data_An_Prec!$AP:$AP,$B440,BV_Data_An_Prec!$AQ:$AQ,$C440,BV_Data_An_Prec!$AY:$AY,O$2)</f>
        <v>470</v>
      </c>
      <c r="P440" s="522">
        <f>-SUMIFS(BV_Data_An_Prec!$AM:$AM,BV_Data_An_Prec!$AS:$AS,"Oui",BV_Data_An_Prec!$AP:$AP,$B440,BV_Data_An_Prec!$AQ:$AQ,$C440)</f>
        <v>71453.4</v>
      </c>
      <c r="Q440" s="523">
        <f>-SUMIFS(BV_Data_An_Prec!$AM:$AM,BV_Data_An_Prec!$AP:$AP,$B440,BV_Data_An_Prec!$AQ:$AQ,$C440,BV_Data_An_Prec!$AR:$AR,$L$2)</f>
        <v>53896.86</v>
      </c>
      <c r="R440" s="515">
        <f>IF(O440=0,0,J440/O440)</f>
        <v>0.3574468085</v>
      </c>
      <c r="S440" s="484">
        <f>L440-Q440</f>
        <v>-38510.31</v>
      </c>
      <c r="T440" s="40"/>
      <c r="U440" s="40"/>
      <c r="V440" s="48"/>
      <c r="W440" s="40"/>
      <c r="X440" s="40"/>
      <c r="Y440" s="40"/>
      <c r="Z440" s="40"/>
      <c r="AA440" s="40"/>
      <c r="AB440" s="40"/>
      <c r="AC440" s="40"/>
      <c r="AD440" s="40"/>
      <c r="AE440" s="40"/>
      <c r="AF440" s="40"/>
      <c r="AG440" s="40"/>
      <c r="AH440" s="40"/>
      <c r="AI440" s="40"/>
      <c r="AJ440" s="40"/>
      <c r="AK440" s="40"/>
      <c r="AL440" s="40"/>
      <c r="AM440" s="40"/>
      <c r="AN440" s="40"/>
    </row>
    <row r="441" ht="15.75" customHeight="1">
      <c r="A441" s="5"/>
      <c r="B441" s="48" t="s">
        <v>1025</v>
      </c>
      <c r="C441" s="480" t="s">
        <v>163</v>
      </c>
      <c r="D441" s="48"/>
      <c r="E441" s="601"/>
      <c r="F441" s="516">
        <f>IFERROR(F440/E440,0)</f>
        <v>0</v>
      </c>
      <c r="G441" s="480"/>
      <c r="H441" s="601"/>
      <c r="I441" s="516"/>
      <c r="J441" s="486"/>
      <c r="K441" s="48"/>
      <c r="L441" s="516">
        <f>IFERROR(L440/K440,0)</f>
        <v>0.7213572433</v>
      </c>
      <c r="M441" s="515"/>
      <c r="N441" s="484">
        <f>IFERROR(N440/M440,0)</f>
        <v>0</v>
      </c>
      <c r="O441" s="486"/>
      <c r="P441" s="48"/>
      <c r="Q441" s="516">
        <f>IFERROR(Q440/P440,0)</f>
        <v>0.7542938475</v>
      </c>
      <c r="R441" s="486"/>
      <c r="S441" s="484"/>
      <c r="T441" s="40"/>
      <c r="U441" s="40"/>
      <c r="V441" s="48"/>
      <c r="W441" s="40"/>
      <c r="X441" s="40"/>
      <c r="Y441" s="40"/>
      <c r="Z441" s="40"/>
      <c r="AA441" s="40"/>
      <c r="AB441" s="40"/>
      <c r="AC441" s="40"/>
      <c r="AD441" s="40"/>
      <c r="AE441" s="40"/>
      <c r="AF441" s="40"/>
      <c r="AG441" s="40"/>
      <c r="AH441" s="40"/>
      <c r="AI441" s="40"/>
      <c r="AJ441" s="40"/>
      <c r="AK441" s="40"/>
      <c r="AL441" s="40"/>
      <c r="AM441" s="40"/>
      <c r="AN441" s="40"/>
    </row>
    <row r="442" ht="15.75" customHeight="1">
      <c r="A442" s="5"/>
      <c r="B442" s="48" t="s">
        <v>1025</v>
      </c>
      <c r="C442" s="471"/>
      <c r="D442" s="564"/>
      <c r="E442" s="625"/>
      <c r="F442" s="614"/>
      <c r="G442" s="471"/>
      <c r="H442" s="625"/>
      <c r="I442" s="614"/>
      <c r="J442" s="622"/>
      <c r="K442" s="621">
        <f>IFERROR(K440/J440,0)</f>
        <v>126.9642857</v>
      </c>
      <c r="L442" s="614"/>
      <c r="M442" s="545"/>
      <c r="N442" s="476"/>
      <c r="O442" s="622"/>
      <c r="P442" s="621">
        <f>IFERROR(P440/O440,0)</f>
        <v>152.0285106</v>
      </c>
      <c r="Q442" s="614"/>
      <c r="R442" s="622"/>
      <c r="S442" s="476"/>
      <c r="T442" s="40"/>
      <c r="U442" s="40"/>
      <c r="V442" s="48"/>
      <c r="W442" s="40"/>
      <c r="X442" s="40"/>
      <c r="Y442" s="40"/>
      <c r="Z442" s="40"/>
      <c r="AA442" s="40"/>
      <c r="AB442" s="40"/>
      <c r="AC442" s="40"/>
      <c r="AD442" s="40"/>
      <c r="AE442" s="40"/>
      <c r="AF442" s="40"/>
      <c r="AG442" s="40"/>
      <c r="AH442" s="40"/>
      <c r="AI442" s="40"/>
      <c r="AJ442" s="40"/>
      <c r="AK442" s="40"/>
      <c r="AL442" s="40"/>
      <c r="AM442" s="40"/>
      <c r="AN442" s="40"/>
    </row>
    <row r="443" ht="15.75" customHeight="1">
      <c r="A443" s="5"/>
      <c r="B443" s="48" t="s">
        <v>1025</v>
      </c>
      <c r="C443" s="466" t="s">
        <v>1029</v>
      </c>
      <c r="D443" s="522">
        <v>0.0</v>
      </c>
      <c r="E443" s="483">
        <v>0.0</v>
      </c>
      <c r="F443" s="483">
        <v>0.0</v>
      </c>
      <c r="G443" s="252"/>
      <c r="H443" s="483"/>
      <c r="I443" s="483"/>
      <c r="J443" s="252">
        <f>SUMIFS(BV_Data_An_Cour!$AW:$AW,BV_Data_An_Cour!$AP:$AP,$B443,BV_Data_An_Cour!$AQ:$AQ,$C443,BV_Data_An_Cour!$AY:$AY,J$2)</f>
        <v>0</v>
      </c>
      <c r="K443" s="483">
        <f>-SUMIFS(BV_Data_An_Cour!$AM:$AM,BV_Data_An_Cour!$AS:$AS,"Oui",BV_Data_An_Cour!$AP:$AP,$B443,BV_Data_An_Cour!$AQ:$AQ,$C443)</f>
        <v>0</v>
      </c>
      <c r="L443" s="484">
        <f>-SUMIFS(BV_Data_An_Cour!$AM:$AM,BV_Data_An_Cour!$AP:$AP,$B443,BV_Data_An_Cour!$AQ:$AQ,$C443,BV_Data_An_Cour!$AR:$AR,$L$2)</f>
        <v>0</v>
      </c>
      <c r="M443" s="515">
        <f>IFERROR((K443-E443)/E443,0)</f>
        <v>0</v>
      </c>
      <c r="N443" s="523">
        <f>L443-F443</f>
        <v>0</v>
      </c>
      <c r="O443" s="252">
        <f>SUMIFS(BV_Data_An_Prec!$AW:$AW,BV_Data_An_Prec!$AP:$AP,$B443,BV_Data_An_Prec!$AQ:$AQ,$C443,BV_Data_An_Prec!$AY:$AY,O$2)</f>
        <v>8</v>
      </c>
      <c r="P443" s="483">
        <f>-SUMIFS(BV_Data_An_Prec!$AM:$AM,BV_Data_An_Prec!$AS:$AS,"Oui",BV_Data_An_Prec!$AP:$AP,$B443,BV_Data_An_Prec!$AQ:$AQ,$C443)</f>
        <v>950</v>
      </c>
      <c r="Q443" s="484">
        <f>-SUMIFS(BV_Data_An_Prec!$AM:$AM,BV_Data_An_Prec!$AP:$AP,$B443,BV_Data_An_Prec!$AQ:$AQ,$C443,BV_Data_An_Prec!$AR:$AR,$L$2)</f>
        <v>737.85</v>
      </c>
      <c r="R443" s="515">
        <f>IF(O443=0,0,J443/O443)</f>
        <v>0</v>
      </c>
      <c r="S443" s="484">
        <f>L443-Q443</f>
        <v>-737.85</v>
      </c>
      <c r="T443" s="40"/>
      <c r="U443" s="40"/>
      <c r="V443" s="48"/>
      <c r="W443" s="40"/>
      <c r="X443" s="40"/>
      <c r="Y443" s="40"/>
      <c r="Z443" s="40"/>
      <c r="AA443" s="40"/>
      <c r="AB443" s="40"/>
      <c r="AC443" s="40"/>
      <c r="AD443" s="40"/>
      <c r="AE443" s="40"/>
      <c r="AF443" s="40"/>
      <c r="AG443" s="40"/>
      <c r="AH443" s="40"/>
      <c r="AI443" s="40"/>
      <c r="AJ443" s="40"/>
      <c r="AK443" s="40"/>
      <c r="AL443" s="40"/>
      <c r="AM443" s="40"/>
      <c r="AN443" s="40"/>
    </row>
    <row r="444" ht="15.75" customHeight="1">
      <c r="A444" s="5"/>
      <c r="B444" s="48" t="s">
        <v>1025</v>
      </c>
      <c r="C444" s="480" t="s">
        <v>163</v>
      </c>
      <c r="D444" s="48"/>
      <c r="E444" s="48"/>
      <c r="F444" s="516">
        <f>IFERROR(F443/E443,0)</f>
        <v>0</v>
      </c>
      <c r="G444" s="480"/>
      <c r="H444" s="601"/>
      <c r="I444" s="516"/>
      <c r="J444" s="486"/>
      <c r="K444" s="48"/>
      <c r="L444" s="516">
        <f>IFERROR(L443/K443,0)</f>
        <v>0</v>
      </c>
      <c r="M444" s="515"/>
      <c r="N444" s="484">
        <f>IFERROR(N443/M443,0)</f>
        <v>0</v>
      </c>
      <c r="O444" s="486"/>
      <c r="P444" s="48"/>
      <c r="Q444" s="516">
        <f>IFERROR(Q443/P443,0)</f>
        <v>0.7766842105</v>
      </c>
      <c r="R444" s="486"/>
      <c r="S444" s="484"/>
      <c r="T444" s="40"/>
      <c r="U444" s="40"/>
      <c r="V444" s="48"/>
      <c r="W444" s="40"/>
      <c r="X444" s="40"/>
      <c r="Y444" s="40"/>
      <c r="Z444" s="40"/>
      <c r="AA444" s="40"/>
      <c r="AB444" s="40"/>
      <c r="AC444" s="40"/>
      <c r="AD444" s="40"/>
      <c r="AE444" s="40"/>
      <c r="AF444" s="40"/>
      <c r="AG444" s="40"/>
      <c r="AH444" s="40"/>
      <c r="AI444" s="40"/>
      <c r="AJ444" s="40"/>
      <c r="AK444" s="40"/>
      <c r="AL444" s="40"/>
      <c r="AM444" s="40"/>
      <c r="AN444" s="40"/>
    </row>
    <row r="445" ht="15.75" customHeight="1">
      <c r="A445" s="5"/>
      <c r="B445" s="48" t="s">
        <v>1025</v>
      </c>
      <c r="C445" s="480"/>
      <c r="D445" s="48"/>
      <c r="E445" s="48"/>
      <c r="F445" s="516"/>
      <c r="G445" s="48"/>
      <c r="H445" s="601"/>
      <c r="I445" s="602"/>
      <c r="J445" s="486"/>
      <c r="K445" s="667">
        <f>IFERROR(K443/J443,0)</f>
        <v>0</v>
      </c>
      <c r="L445" s="516"/>
      <c r="M445" s="515"/>
      <c r="N445" s="484"/>
      <c r="O445" s="486"/>
      <c r="P445" s="667">
        <f>IFERROR(P443/O443,0)</f>
        <v>118.75</v>
      </c>
      <c r="Q445" s="516"/>
      <c r="R445" s="486"/>
      <c r="S445" s="484"/>
      <c r="T445" s="40"/>
      <c r="U445" s="40"/>
      <c r="V445" s="48"/>
      <c r="W445" s="40"/>
      <c r="X445" s="40"/>
      <c r="Y445" s="40"/>
      <c r="Z445" s="40"/>
      <c r="AA445" s="40"/>
      <c r="AB445" s="40"/>
      <c r="AC445" s="40"/>
      <c r="AD445" s="40"/>
      <c r="AE445" s="40"/>
      <c r="AF445" s="40"/>
      <c r="AG445" s="40"/>
      <c r="AH445" s="40"/>
      <c r="AI445" s="40"/>
      <c r="AJ445" s="40"/>
      <c r="AK445" s="40"/>
      <c r="AL445" s="40"/>
      <c r="AM445" s="40"/>
      <c r="AN445" s="40"/>
    </row>
    <row r="446" ht="15.75" customHeight="1">
      <c r="A446" s="5"/>
      <c r="B446" s="48" t="s">
        <v>1025</v>
      </c>
      <c r="C446" s="480" t="s">
        <v>1030</v>
      </c>
      <c r="D446" s="48"/>
      <c r="E446" s="48"/>
      <c r="F446" s="516"/>
      <c r="G446" s="48"/>
      <c r="H446" s="601"/>
      <c r="I446" s="602"/>
      <c r="J446" s="486"/>
      <c r="K446" s="48"/>
      <c r="L446" s="484">
        <f>-SUMIFS(BV_Data_An_Cour!$AM:$AM,BV_Data_An_Cour!$AP:$AP,$B446,BV_Data_An_Cour!$AQ:$AQ,$C446,BV_Data_An_Cour!$AR:$AR,$L$2)</f>
        <v>0</v>
      </c>
      <c r="M446" s="515"/>
      <c r="N446" s="484"/>
      <c r="O446" s="486"/>
      <c r="P446" s="48"/>
      <c r="Q446" s="484">
        <f>-SUMIFS(BV_Data_An_Prec!$AM:$AM,BV_Data_An_Prec!$AP:$AP,$B446,BV_Data_An_Prec!$AQ:$AQ,$C446,BV_Data_An_Prec!$AR:$AR,$L$2)</f>
        <v>0</v>
      </c>
      <c r="R446" s="486"/>
      <c r="S446" s="484">
        <f>L446-Q446</f>
        <v>0</v>
      </c>
      <c r="T446" s="40"/>
      <c r="U446" s="40"/>
      <c r="V446" s="48"/>
      <c r="W446" s="40"/>
      <c r="X446" s="40"/>
      <c r="Y446" s="40"/>
      <c r="Z446" s="40"/>
      <c r="AA446" s="40"/>
      <c r="AB446" s="40"/>
      <c r="AC446" s="40"/>
      <c r="AD446" s="40"/>
      <c r="AE446" s="40"/>
      <c r="AF446" s="40"/>
      <c r="AG446" s="40"/>
      <c r="AH446" s="40"/>
      <c r="AI446" s="40"/>
      <c r="AJ446" s="40"/>
      <c r="AK446" s="40"/>
      <c r="AL446" s="40"/>
      <c r="AM446" s="40"/>
      <c r="AN446" s="40"/>
    </row>
    <row r="447" ht="15.75" customHeight="1">
      <c r="A447" s="5"/>
      <c r="B447" s="48" t="s">
        <v>1025</v>
      </c>
      <c r="C447" s="480"/>
      <c r="D447" s="41"/>
      <c r="E447" s="41"/>
      <c r="F447" s="611"/>
      <c r="G447" s="41"/>
      <c r="H447" s="41"/>
      <c r="I447" s="41"/>
      <c r="J447" s="610"/>
      <c r="K447" s="41"/>
      <c r="L447" s="611"/>
      <c r="M447" s="610"/>
      <c r="N447" s="611"/>
      <c r="O447" s="610"/>
      <c r="P447" s="41"/>
      <c r="Q447" s="611"/>
      <c r="R447" s="610"/>
      <c r="S447" s="611"/>
      <c r="T447" s="40"/>
      <c r="U447" s="40"/>
      <c r="V447" s="48"/>
      <c r="W447" s="40"/>
      <c r="X447" s="40"/>
      <c r="Y447" s="40"/>
      <c r="Z447" s="40"/>
      <c r="AA447" s="40"/>
      <c r="AB447" s="40"/>
      <c r="AC447" s="40"/>
      <c r="AD447" s="40"/>
      <c r="AE447" s="40"/>
      <c r="AF447" s="40"/>
      <c r="AG447" s="40"/>
      <c r="AH447" s="40"/>
      <c r="AI447" s="40"/>
      <c r="AJ447" s="40"/>
      <c r="AK447" s="40"/>
      <c r="AL447" s="40"/>
      <c r="AM447" s="40"/>
      <c r="AN447" s="40"/>
    </row>
    <row r="448" ht="18.0" customHeight="1">
      <c r="A448" s="5" t="s">
        <v>1031</v>
      </c>
      <c r="B448" s="48" t="s">
        <v>1025</v>
      </c>
      <c r="C448" s="526" t="s">
        <v>1032</v>
      </c>
      <c r="D448" s="527" t="str">
        <f t="array" ref="D448">+INDEX('Budget original'!$A$2:$AO$501,MATCH($A448,'Budget original'!$A$2:$A$501,0),MATCH(D$2,'Budget original'!$A$2:$AO$2,0))</f>
        <v/>
      </c>
      <c r="E448" s="528">
        <f>IFERROR(F448/D448,0)</f>
        <v>0</v>
      </c>
      <c r="F448" s="529" t="str">
        <f t="array" ref="F448">+INDEX('Budget original'!$A$2:$AO$501,MATCH($A448,'Budget original'!$A$2:$A$501,0),MATCH(F$2,'Budget original'!$A$2:$AO$2,0))</f>
        <v/>
      </c>
      <c r="G448" s="530"/>
      <c r="H448" s="528"/>
      <c r="I448" s="529"/>
      <c r="J448" s="530"/>
      <c r="K448" s="527">
        <f>K437+K440+K443</f>
        <v>89080</v>
      </c>
      <c r="L448" s="529">
        <f>L437+L440+L443+L446</f>
        <v>68237.71</v>
      </c>
      <c r="M448" s="530"/>
      <c r="N448" s="529"/>
      <c r="O448" s="530"/>
      <c r="P448" s="527">
        <f>P437+P440+P443</f>
        <v>72403.4</v>
      </c>
      <c r="Q448" s="529">
        <f>Q437+Q440+Q443+Q446</f>
        <v>54634.71</v>
      </c>
      <c r="R448" s="530">
        <f>IF(O448=0,0,(J448-O448)/O448)</f>
        <v>0</v>
      </c>
      <c r="S448" s="529">
        <f>S437+S440+S443+S446</f>
        <v>13603</v>
      </c>
      <c r="T448" s="40"/>
      <c r="U448" s="40"/>
      <c r="V448" s="48"/>
      <c r="W448" s="48"/>
      <c r="X448" s="48"/>
      <c r="Y448" s="48"/>
      <c r="Z448" s="48"/>
      <c r="AA448" s="48"/>
      <c r="AB448" s="48"/>
      <c r="AC448" s="48"/>
      <c r="AD448" s="48"/>
      <c r="AE448" s="48"/>
      <c r="AF448" s="48"/>
      <c r="AG448" s="48"/>
      <c r="AH448" s="48"/>
      <c r="AI448" s="48"/>
      <c r="AJ448" s="48"/>
      <c r="AK448" s="48"/>
      <c r="AL448" s="48"/>
      <c r="AM448" s="48"/>
      <c r="AN448" s="48"/>
    </row>
    <row r="449" ht="22.5" customHeight="1">
      <c r="A449" s="5" t="s">
        <v>193</v>
      </c>
      <c r="B449" s="48" t="s">
        <v>1025</v>
      </c>
      <c r="C449" s="531"/>
      <c r="D449" s="532"/>
      <c r="E449" s="532"/>
      <c r="F449" s="533"/>
      <c r="G449" s="531"/>
      <c r="H449" s="532"/>
      <c r="I449" s="533"/>
      <c r="J449" s="531"/>
      <c r="K449" s="534"/>
      <c r="L449" s="538">
        <f>L448/K448</f>
        <v>0.7660272789</v>
      </c>
      <c r="M449" s="536"/>
      <c r="N449" s="537"/>
      <c r="O449" s="531"/>
      <c r="P449" s="534"/>
      <c r="Q449" s="538">
        <f>Q448/P448</f>
        <v>0.7545876299</v>
      </c>
      <c r="R449" s="536"/>
      <c r="S449" s="538">
        <f>IF(Q448=0,0,S448/Q448)</f>
        <v>0.2489809134</v>
      </c>
      <c r="T449" s="40"/>
      <c r="U449" s="40"/>
      <c r="V449" s="48"/>
      <c r="W449" s="48"/>
      <c r="X449" s="48"/>
      <c r="Y449" s="48"/>
      <c r="Z449" s="48"/>
      <c r="AA449" s="48"/>
      <c r="AB449" s="48"/>
      <c r="AC449" s="48"/>
      <c r="AD449" s="48"/>
      <c r="AE449" s="48"/>
      <c r="AF449" s="48"/>
      <c r="AG449" s="48"/>
      <c r="AH449" s="48"/>
      <c r="AI449" s="48"/>
      <c r="AJ449" s="48"/>
      <c r="AK449" s="48"/>
      <c r="AL449" s="48"/>
      <c r="AM449" s="48"/>
      <c r="AN449" s="48"/>
    </row>
    <row r="450" ht="15.75" customHeight="1">
      <c r="A450" s="5" t="s">
        <v>193</v>
      </c>
      <c r="B450" s="48" t="s">
        <v>1025</v>
      </c>
      <c r="C450" s="541"/>
      <c r="D450" s="48"/>
      <c r="E450" s="48"/>
      <c r="F450" s="484"/>
      <c r="G450" s="480"/>
      <c r="H450" s="48"/>
      <c r="I450" s="484"/>
      <c r="J450" s="480"/>
      <c r="K450" s="48"/>
      <c r="L450" s="514"/>
      <c r="M450" s="480"/>
      <c r="N450" s="516"/>
      <c r="O450" s="480"/>
      <c r="P450" s="48"/>
      <c r="Q450" s="514"/>
      <c r="R450" s="480"/>
      <c r="S450" s="514"/>
      <c r="T450" s="40"/>
      <c r="U450" s="40"/>
      <c r="V450" s="48"/>
      <c r="W450" s="40"/>
      <c r="X450" s="40"/>
      <c r="Y450" s="40"/>
      <c r="Z450" s="40"/>
      <c r="AA450" s="40"/>
      <c r="AB450" s="40"/>
      <c r="AC450" s="40"/>
      <c r="AD450" s="40"/>
      <c r="AE450" s="40"/>
      <c r="AF450" s="40"/>
      <c r="AG450" s="40"/>
      <c r="AH450" s="40"/>
      <c r="AI450" s="40"/>
      <c r="AJ450" s="40"/>
      <c r="AK450" s="40"/>
      <c r="AL450" s="40"/>
      <c r="AM450" s="40"/>
      <c r="AN450" s="40"/>
    </row>
    <row r="451" ht="15.75" customHeight="1">
      <c r="A451" s="5" t="s">
        <v>1033</v>
      </c>
      <c r="B451" s="48" t="s">
        <v>1025</v>
      </c>
      <c r="C451" s="541" t="s">
        <v>110</v>
      </c>
      <c r="D451" s="48"/>
      <c r="E451" s="48"/>
      <c r="F451" s="484"/>
      <c r="G451" s="480"/>
      <c r="H451" s="48"/>
      <c r="I451" s="484"/>
      <c r="J451" s="480"/>
      <c r="K451" s="48"/>
      <c r="L451" s="514"/>
      <c r="M451" s="480"/>
      <c r="N451" s="514"/>
      <c r="O451" s="480"/>
      <c r="P451" s="48"/>
      <c r="Q451" s="514"/>
      <c r="R451" s="480"/>
      <c r="S451" s="514"/>
      <c r="T451" s="40"/>
      <c r="U451" s="40"/>
      <c r="V451" s="48"/>
      <c r="W451" s="40"/>
      <c r="X451" s="40"/>
      <c r="Y451" s="40"/>
      <c r="Z451" s="40"/>
      <c r="AA451" s="40"/>
      <c r="AB451" s="40"/>
      <c r="AC451" s="40"/>
      <c r="AD451" s="40"/>
      <c r="AE451" s="40"/>
      <c r="AF451" s="40"/>
      <c r="AG451" s="40"/>
      <c r="AH451" s="40"/>
      <c r="AI451" s="40"/>
      <c r="AJ451" s="40"/>
      <c r="AK451" s="40"/>
      <c r="AL451" s="40"/>
      <c r="AM451" s="40"/>
      <c r="AN451" s="40"/>
    </row>
    <row r="452" ht="15.75" customHeight="1">
      <c r="A452" s="5" t="s">
        <v>1034</v>
      </c>
      <c r="B452" s="48" t="s">
        <v>1025</v>
      </c>
      <c r="C452" s="559" t="s">
        <v>119</v>
      </c>
      <c r="D452" s="48"/>
      <c r="E452" s="48"/>
      <c r="F452" s="481" t="str">
        <f t="array" ref="F452">+INDEX('Budget original'!$A$2:$AO$501,MATCH($A452,'Budget original'!$A$2:$A$501,0),MATCH(F$2,'Budget original'!$A$2:$AO$2,0))</f>
        <v/>
      </c>
      <c r="G452" s="480"/>
      <c r="H452" s="48"/>
      <c r="I452" s="481"/>
      <c r="J452" s="480"/>
      <c r="K452" s="48"/>
      <c r="L452" s="484">
        <f>SUMIFS(BV_Data_An_Cour!$AM:$AM,BV_Data_An_Cour!$AP:$AP,$B452,BV_Data_An_Cour!$AQ:$AQ,$C452,BV_Data_An_Cour!$AR:$AR,$L$2)</f>
        <v>0</v>
      </c>
      <c r="M452" s="480"/>
      <c r="N452" s="514"/>
      <c r="O452" s="480"/>
      <c r="P452" s="48"/>
      <c r="Q452" s="484">
        <f>SUMIFS(BV_Data_An_Prec!$AM:$AM,BV_Data_An_Prec!$AP:$AP,$B452,BV_Data_An_Prec!$AQ:$AQ,$C452,BV_Data_An_Prec!$AR:$AR,$L$2)</f>
        <v>0</v>
      </c>
      <c r="R452" s="480"/>
      <c r="S452" s="484">
        <f t="shared" ref="S452:S481" si="83">L452-Q452</f>
        <v>0</v>
      </c>
      <c r="T452" s="40"/>
      <c r="U452" s="40"/>
      <c r="V452" s="48"/>
      <c r="W452" s="40"/>
      <c r="X452" s="40"/>
      <c r="Y452" s="40"/>
      <c r="Z452" s="40"/>
      <c r="AA452" s="40"/>
      <c r="AB452" s="40"/>
      <c r="AC452" s="40"/>
      <c r="AD452" s="40"/>
      <c r="AE452" s="40"/>
      <c r="AF452" s="40"/>
      <c r="AG452" s="40"/>
      <c r="AH452" s="40"/>
      <c r="AI452" s="40"/>
      <c r="AJ452" s="40"/>
      <c r="AK452" s="40"/>
      <c r="AL452" s="40"/>
      <c r="AM452" s="40"/>
      <c r="AN452" s="40"/>
    </row>
    <row r="453" ht="15.75" customHeight="1">
      <c r="A453" s="5" t="s">
        <v>1035</v>
      </c>
      <c r="B453" s="48" t="s">
        <v>1025</v>
      </c>
      <c r="C453" s="560" t="s">
        <v>120</v>
      </c>
      <c r="D453" s="546"/>
      <c r="E453" s="48"/>
      <c r="F453" s="473" t="str">
        <f t="array" ref="F453">+INDEX('Budget original'!$A$2:$AO$501,MATCH($A453,'Budget original'!$A$2:$A$501,0),MATCH(F$2,'Budget original'!$A$2:$AO$2,0))</f>
        <v/>
      </c>
      <c r="G453" s="547"/>
      <c r="H453" s="48"/>
      <c r="I453" s="473"/>
      <c r="J453" s="480"/>
      <c r="K453" s="48"/>
      <c r="L453" s="476">
        <f>SUMIFS(BV_Data_An_Cour!$AM:$AM,BV_Data_An_Cour!$AP:$AP,$B453,BV_Data_An_Cour!$AQ:$AQ,$C453,BV_Data_An_Cour!$AR:$AR,$L$2)</f>
        <v>8443.42</v>
      </c>
      <c r="M453" s="480"/>
      <c r="N453" s="484"/>
      <c r="O453" s="480"/>
      <c r="P453" s="48"/>
      <c r="Q453" s="476">
        <f>SUMIFS(BV_Data_An_Prec!$AM:$AM,BV_Data_An_Prec!$AP:$AP,$B453,BV_Data_An_Prec!$AQ:$AQ,$C453,BV_Data_An_Prec!$AR:$AR,$L$2)</f>
        <v>0</v>
      </c>
      <c r="R453" s="480"/>
      <c r="S453" s="484">
        <f t="shared" si="83"/>
        <v>8443.42</v>
      </c>
      <c r="T453" s="40"/>
      <c r="U453" s="40"/>
      <c r="V453" s="48"/>
      <c r="W453" s="40"/>
      <c r="X453" s="40"/>
      <c r="Y453" s="40"/>
      <c r="Z453" s="40"/>
      <c r="AA453" s="40"/>
      <c r="AB453" s="40"/>
      <c r="AC453" s="40"/>
      <c r="AD453" s="40"/>
      <c r="AE453" s="40"/>
      <c r="AF453" s="40"/>
      <c r="AG453" s="40"/>
      <c r="AH453" s="40"/>
      <c r="AI453" s="40"/>
      <c r="AJ453" s="40"/>
      <c r="AK453" s="40"/>
      <c r="AL453" s="40"/>
      <c r="AM453" s="40"/>
      <c r="AN453" s="40"/>
    </row>
    <row r="454" ht="15.75" customHeight="1">
      <c r="A454" s="5" t="s">
        <v>1036</v>
      </c>
      <c r="B454" s="48" t="s">
        <v>1025</v>
      </c>
      <c r="C454" s="559" t="s">
        <v>121</v>
      </c>
      <c r="D454" s="561"/>
      <c r="E454" s="562"/>
      <c r="F454" s="481" t="str">
        <f t="array" ref="F454">+INDEX('Budget original'!$A$2:$AO$501,MATCH($A454,'Budget original'!$A$2:$A$501,0),MATCH(F$2,'Budget original'!$A$2:$AO$2,0))</f>
        <v/>
      </c>
      <c r="G454" s="563"/>
      <c r="H454" s="562"/>
      <c r="I454" s="481"/>
      <c r="J454" s="466"/>
      <c r="K454" s="562"/>
      <c r="L454" s="484">
        <f>SUMIFS(BV_Data_An_Cour!$AM:$AM,BV_Data_An_Cour!$AP:$AP,$B454,BV_Data_An_Cour!$AQ:$AQ,$C454,BV_Data_An_Cour!$AR:$AR,$L$2)</f>
        <v>2025</v>
      </c>
      <c r="M454" s="466"/>
      <c r="N454" s="523"/>
      <c r="O454" s="466"/>
      <c r="P454" s="562"/>
      <c r="Q454" s="484">
        <f>SUMIFS(BV_Data_An_Prec!$AM:$AM,BV_Data_An_Prec!$AP:$AP,$B454,BV_Data_An_Prec!$AQ:$AQ,$C454,BV_Data_An_Prec!$AR:$AR,$L$2)</f>
        <v>0</v>
      </c>
      <c r="R454" s="466"/>
      <c r="S454" s="523">
        <f t="shared" si="83"/>
        <v>2025</v>
      </c>
      <c r="T454" s="40"/>
      <c r="U454" s="40"/>
      <c r="V454" s="48"/>
      <c r="W454" s="40"/>
      <c r="X454" s="40"/>
      <c r="Y454" s="40"/>
      <c r="Z454" s="40"/>
      <c r="AA454" s="40"/>
      <c r="AB454" s="40"/>
      <c r="AC454" s="40"/>
      <c r="AD454" s="40"/>
      <c r="AE454" s="40"/>
      <c r="AF454" s="40"/>
      <c r="AG454" s="40"/>
      <c r="AH454" s="40"/>
      <c r="AI454" s="40"/>
      <c r="AJ454" s="40"/>
      <c r="AK454" s="40"/>
      <c r="AL454" s="40"/>
      <c r="AM454" s="40"/>
      <c r="AN454" s="40"/>
    </row>
    <row r="455" ht="15.75" customHeight="1">
      <c r="A455" s="5" t="s">
        <v>1037</v>
      </c>
      <c r="B455" s="48" t="s">
        <v>1025</v>
      </c>
      <c r="C455" s="559" t="s">
        <v>122</v>
      </c>
      <c r="D455" s="546"/>
      <c r="E455" s="48"/>
      <c r="F455" s="481" t="str">
        <f t="array" ref="F455">+INDEX('Budget original'!$A$2:$AO$501,MATCH($A455,'Budget original'!$A$2:$A$501,0),MATCH(F$2,'Budget original'!$A$2:$AO$2,0))</f>
        <v/>
      </c>
      <c r="G455" s="547"/>
      <c r="H455" s="48"/>
      <c r="I455" s="481"/>
      <c r="J455" s="480"/>
      <c r="K455" s="48"/>
      <c r="L455" s="484">
        <f>SUMIFS(BV_Data_An_Cour!$AM:$AM,BV_Data_An_Cour!$AP:$AP,$B455,BV_Data_An_Cour!$AQ:$AQ,$C455,BV_Data_An_Cour!$AR:$AR,$L$2)</f>
        <v>0</v>
      </c>
      <c r="M455" s="480"/>
      <c r="N455" s="484"/>
      <c r="O455" s="480"/>
      <c r="P455" s="48"/>
      <c r="Q455" s="484">
        <f>SUMIFS(BV_Data_An_Prec!$AM:$AM,BV_Data_An_Prec!$AP:$AP,$B455,BV_Data_An_Prec!$AQ:$AQ,$C455,BV_Data_An_Prec!$AR:$AR,$L$2)</f>
        <v>0</v>
      </c>
      <c r="R455" s="480"/>
      <c r="S455" s="484">
        <f t="shared" si="83"/>
        <v>0</v>
      </c>
      <c r="T455" s="40"/>
      <c r="U455" s="40"/>
      <c r="V455" s="48"/>
      <c r="W455" s="40"/>
      <c r="X455" s="40"/>
      <c r="Y455" s="40"/>
      <c r="Z455" s="40"/>
      <c r="AA455" s="40"/>
      <c r="AB455" s="40"/>
      <c r="AC455" s="40"/>
      <c r="AD455" s="40"/>
      <c r="AE455" s="40"/>
      <c r="AF455" s="40"/>
      <c r="AG455" s="40"/>
      <c r="AH455" s="40"/>
      <c r="AI455" s="40"/>
      <c r="AJ455" s="40"/>
      <c r="AK455" s="40"/>
      <c r="AL455" s="40"/>
      <c r="AM455" s="40"/>
      <c r="AN455" s="40"/>
    </row>
    <row r="456" ht="20.25" hidden="1" customHeight="1">
      <c r="A456" s="5" t="s">
        <v>1038</v>
      </c>
      <c r="B456" s="48" t="s">
        <v>1025</v>
      </c>
      <c r="C456" s="480" t="s">
        <v>56</v>
      </c>
      <c r="D456" s="546"/>
      <c r="E456" s="48"/>
      <c r="F456" s="481" t="str">
        <f t="array" ref="F456">+INDEX('Budget original'!$A$2:$AO$501,MATCH($A456,'Budget original'!$A$2:$A$501,0),MATCH(F$2,'Budget original'!$A$2:$AO$2,0))</f>
        <v/>
      </c>
      <c r="G456" s="547"/>
      <c r="H456" s="48"/>
      <c r="I456" s="481"/>
      <c r="J456" s="480"/>
      <c r="K456" s="48"/>
      <c r="L456" s="484">
        <f>SUMIFS(BV_Data_An_Cour!$AM:$AM,BV_Data_An_Cour!$AP:$AP,$B456,BV_Data_An_Cour!$AQ:$AQ,$C456,BV_Data_An_Cour!$AR:$AR,$L$2)</f>
        <v>0</v>
      </c>
      <c r="M456" s="480"/>
      <c r="N456" s="484"/>
      <c r="O456" s="480"/>
      <c r="P456" s="48"/>
      <c r="Q456" s="484">
        <f>SUMIFS(BV_Data_An_Prec!$AM:$AM,BV_Data_An_Prec!$AP:$AP,$B456,BV_Data_An_Prec!$AQ:$AQ,$C456,BV_Data_An_Prec!$AR:$AR,$L$2)</f>
        <v>0</v>
      </c>
      <c r="R456" s="480"/>
      <c r="S456" s="484">
        <f t="shared" si="83"/>
        <v>0</v>
      </c>
      <c r="T456" s="40"/>
      <c r="U456" s="40"/>
      <c r="V456" s="48"/>
      <c r="W456" s="40"/>
      <c r="X456" s="40"/>
      <c r="Y456" s="40"/>
      <c r="Z456" s="40"/>
      <c r="AA456" s="40"/>
      <c r="AB456" s="40"/>
      <c r="AC456" s="40"/>
      <c r="AD456" s="40"/>
      <c r="AE456" s="40"/>
      <c r="AF456" s="40"/>
      <c r="AG456" s="40"/>
      <c r="AH456" s="40"/>
      <c r="AI456" s="40"/>
      <c r="AJ456" s="40"/>
      <c r="AK456" s="40"/>
      <c r="AL456" s="40"/>
      <c r="AM456" s="40"/>
      <c r="AN456" s="40"/>
    </row>
    <row r="457" ht="20.25" hidden="1" customHeight="1">
      <c r="A457" s="5" t="s">
        <v>1038</v>
      </c>
      <c r="B457" s="48" t="s">
        <v>1025</v>
      </c>
      <c r="C457" s="480" t="s">
        <v>56</v>
      </c>
      <c r="D457" s="546"/>
      <c r="E457" s="48"/>
      <c r="F457" s="481" t="str">
        <f t="array" ref="F457">+INDEX('Budget original'!$A$2:$AO$501,MATCH($A457,'Budget original'!$A$2:$A$501,0),MATCH(F$2,'Budget original'!$A$2:$AO$2,0))</f>
        <v/>
      </c>
      <c r="G457" s="547"/>
      <c r="H457" s="48"/>
      <c r="I457" s="481"/>
      <c r="J457" s="480"/>
      <c r="K457" s="48"/>
      <c r="L457" s="484">
        <f>SUMIFS(BV_Data_An_Cour!$AM:$AM,BV_Data_An_Cour!$AP:$AP,$B457,BV_Data_An_Cour!$AQ:$AQ,$C457,BV_Data_An_Cour!$AR:$AR,$L$2)</f>
        <v>0</v>
      </c>
      <c r="M457" s="480"/>
      <c r="N457" s="484"/>
      <c r="O457" s="480"/>
      <c r="P457" s="48"/>
      <c r="Q457" s="484">
        <f>SUMIFS(BV_Data_An_Prec!$AM:$AM,BV_Data_An_Prec!$AP:$AP,$B457,BV_Data_An_Prec!$AQ:$AQ,$C457,BV_Data_An_Prec!$AR:$AR,$L$2)</f>
        <v>0</v>
      </c>
      <c r="R457" s="480"/>
      <c r="S457" s="484">
        <f t="shared" si="83"/>
        <v>0</v>
      </c>
      <c r="T457" s="40"/>
      <c r="U457" s="40"/>
      <c r="V457" s="48"/>
      <c r="W457" s="40"/>
      <c r="X457" s="40"/>
      <c r="Y457" s="40"/>
      <c r="Z457" s="40"/>
      <c r="AA457" s="40"/>
      <c r="AB457" s="40"/>
      <c r="AC457" s="40"/>
      <c r="AD457" s="40"/>
      <c r="AE457" s="40"/>
      <c r="AF457" s="40"/>
      <c r="AG457" s="40"/>
      <c r="AH457" s="40"/>
      <c r="AI457" s="40"/>
      <c r="AJ457" s="40"/>
      <c r="AK457" s="40"/>
      <c r="AL457" s="40"/>
      <c r="AM457" s="40"/>
      <c r="AN457" s="40"/>
    </row>
    <row r="458" ht="20.25" hidden="1" customHeight="1">
      <c r="A458" s="5" t="s">
        <v>1038</v>
      </c>
      <c r="B458" s="48" t="s">
        <v>1025</v>
      </c>
      <c r="C458" s="480" t="s">
        <v>56</v>
      </c>
      <c r="D458" s="546"/>
      <c r="E458" s="48"/>
      <c r="F458" s="481" t="str">
        <f t="array" ref="F458">+INDEX('Budget original'!$A$2:$AO$501,MATCH($A458,'Budget original'!$A$2:$A$501,0),MATCH(F$2,'Budget original'!$A$2:$AO$2,0))</f>
        <v/>
      </c>
      <c r="G458" s="547"/>
      <c r="H458" s="48"/>
      <c r="I458" s="481"/>
      <c r="J458" s="480"/>
      <c r="K458" s="48"/>
      <c r="L458" s="484">
        <f>SUMIFS(BV_Data_An_Cour!$AM:$AM,BV_Data_An_Cour!$AP:$AP,$B458,BV_Data_An_Cour!$AQ:$AQ,$C458,BV_Data_An_Cour!$AR:$AR,$L$2)</f>
        <v>0</v>
      </c>
      <c r="M458" s="480"/>
      <c r="N458" s="484"/>
      <c r="O458" s="480"/>
      <c r="P458" s="48"/>
      <c r="Q458" s="484">
        <f>SUMIFS(BV_Data_An_Prec!$AM:$AM,BV_Data_An_Prec!$AP:$AP,$B458,BV_Data_An_Prec!$AQ:$AQ,$C458,BV_Data_An_Prec!$AR:$AR,$L$2)</f>
        <v>0</v>
      </c>
      <c r="R458" s="480"/>
      <c r="S458" s="484">
        <f t="shared" si="83"/>
        <v>0</v>
      </c>
      <c r="T458" s="40"/>
      <c r="U458" s="40"/>
      <c r="V458" s="48"/>
      <c r="W458" s="40"/>
      <c r="X458" s="40"/>
      <c r="Y458" s="40"/>
      <c r="Z458" s="40"/>
      <c r="AA458" s="40"/>
      <c r="AB458" s="40"/>
      <c r="AC458" s="40"/>
      <c r="AD458" s="40"/>
      <c r="AE458" s="40"/>
      <c r="AF458" s="40"/>
      <c r="AG458" s="40"/>
      <c r="AH458" s="40"/>
      <c r="AI458" s="40"/>
      <c r="AJ458" s="40"/>
      <c r="AK458" s="40"/>
      <c r="AL458" s="40"/>
      <c r="AM458" s="40"/>
      <c r="AN458" s="40"/>
    </row>
    <row r="459" ht="15.75" customHeight="1">
      <c r="A459" s="5" t="s">
        <v>1039</v>
      </c>
      <c r="B459" s="48" t="s">
        <v>1025</v>
      </c>
      <c r="C459" s="560" t="s">
        <v>123</v>
      </c>
      <c r="D459" s="546"/>
      <c r="E459" s="48"/>
      <c r="F459" s="473" t="str">
        <f t="array" ref="F459">+INDEX('Budget original'!$A$2:$AO$501,MATCH($A459,'Budget original'!$A$2:$A$501,0),MATCH(F$2,'Budget original'!$A$2:$AO$2,0))</f>
        <v/>
      </c>
      <c r="G459" s="547"/>
      <c r="H459" s="48"/>
      <c r="I459" s="473"/>
      <c r="J459" s="480"/>
      <c r="K459" s="48"/>
      <c r="L459" s="476">
        <f>SUMIFS(BV_Data_An_Cour!$AM:$AM,BV_Data_An_Cour!$AP:$AP,$B459,BV_Data_An_Cour!$AQ:$AQ,$C459,BV_Data_An_Cour!$AR:$AR,$L$2)</f>
        <v>5596.9</v>
      </c>
      <c r="M459" s="480"/>
      <c r="N459" s="484"/>
      <c r="O459" s="480"/>
      <c r="P459" s="48"/>
      <c r="Q459" s="476">
        <f>SUMIFS(BV_Data_An_Prec!$AM:$AM,BV_Data_An_Prec!$AP:$AP,$B459,BV_Data_An_Prec!$AQ:$AQ,$C459,BV_Data_An_Prec!$AR:$AR,$L$2)</f>
        <v>0</v>
      </c>
      <c r="R459" s="480"/>
      <c r="S459" s="484">
        <f t="shared" si="83"/>
        <v>5596.9</v>
      </c>
      <c r="T459" s="40"/>
      <c r="U459" s="40"/>
      <c r="V459" s="48"/>
      <c r="W459" s="40"/>
      <c r="X459" s="40"/>
      <c r="Y459" s="40"/>
      <c r="Z459" s="40"/>
      <c r="AA459" s="40"/>
      <c r="AB459" s="40"/>
      <c r="AC459" s="40"/>
      <c r="AD459" s="40"/>
      <c r="AE459" s="40"/>
      <c r="AF459" s="40"/>
      <c r="AG459" s="40"/>
      <c r="AH459" s="40"/>
      <c r="AI459" s="40"/>
      <c r="AJ459" s="40"/>
      <c r="AK459" s="40"/>
      <c r="AL459" s="40"/>
      <c r="AM459" s="40"/>
      <c r="AN459" s="40"/>
    </row>
    <row r="460" ht="15.75" customHeight="1">
      <c r="A460" s="5" t="s">
        <v>1040</v>
      </c>
      <c r="B460" s="48" t="s">
        <v>1025</v>
      </c>
      <c r="C460" s="559" t="s">
        <v>124</v>
      </c>
      <c r="D460" s="561"/>
      <c r="E460" s="562"/>
      <c r="F460" s="481" t="str">
        <f t="array" ref="F460">+INDEX('Budget original'!$A$2:$AO$501,MATCH($A460,'Budget original'!$A$2:$A$501,0),MATCH(F$2,'Budget original'!$A$2:$AO$2,0))</f>
        <v/>
      </c>
      <c r="G460" s="563"/>
      <c r="H460" s="562"/>
      <c r="I460" s="481"/>
      <c r="J460" s="466"/>
      <c r="K460" s="562"/>
      <c r="L460" s="484">
        <f>SUMIFS(BV_Data_An_Cour!$AM:$AM,BV_Data_An_Cour!$AP:$AP,$B460,BV_Data_An_Cour!$AQ:$AQ,$C460,BV_Data_An_Cour!$AR:$AR,$L$2)</f>
        <v>5652.22</v>
      </c>
      <c r="M460" s="466"/>
      <c r="N460" s="523"/>
      <c r="O460" s="466"/>
      <c r="P460" s="562"/>
      <c r="Q460" s="484">
        <f>SUMIFS(BV_Data_An_Prec!$AM:$AM,BV_Data_An_Prec!$AP:$AP,$B460,BV_Data_An_Prec!$AQ:$AQ,$C460,BV_Data_An_Prec!$AR:$AR,$L$2)</f>
        <v>0</v>
      </c>
      <c r="R460" s="466"/>
      <c r="S460" s="523">
        <f t="shared" si="83"/>
        <v>5652.22</v>
      </c>
      <c r="T460" s="40"/>
      <c r="U460" s="40"/>
      <c r="V460" s="48"/>
      <c r="W460" s="40"/>
      <c r="X460" s="40"/>
      <c r="Y460" s="40"/>
      <c r="Z460" s="40"/>
      <c r="AA460" s="40"/>
      <c r="AB460" s="40"/>
      <c r="AC460" s="40"/>
      <c r="AD460" s="40"/>
      <c r="AE460" s="40"/>
      <c r="AF460" s="40"/>
      <c r="AG460" s="40"/>
      <c r="AH460" s="40"/>
      <c r="AI460" s="40"/>
      <c r="AJ460" s="40"/>
      <c r="AK460" s="40"/>
      <c r="AL460" s="40"/>
      <c r="AM460" s="40"/>
      <c r="AN460" s="40"/>
    </row>
    <row r="461" ht="15.75" customHeight="1">
      <c r="A461" s="5" t="s">
        <v>1041</v>
      </c>
      <c r="B461" s="48" t="s">
        <v>1025</v>
      </c>
      <c r="C461" s="559" t="s">
        <v>125</v>
      </c>
      <c r="D461" s="546"/>
      <c r="E461" s="48"/>
      <c r="F461" s="481" t="str">
        <f t="array" ref="F461">+INDEX('Budget original'!$A$2:$AO$501,MATCH($A461,'Budget original'!$A$2:$A$501,0),MATCH(F$2,'Budget original'!$A$2:$AO$2,0))</f>
        <v/>
      </c>
      <c r="G461" s="547"/>
      <c r="H461" s="48"/>
      <c r="I461" s="481"/>
      <c r="J461" s="480"/>
      <c r="K461" s="48"/>
      <c r="L461" s="484">
        <f>SUMIFS(BV_Data_An_Cour!$AM:$AM,BV_Data_An_Cour!$AP:$AP,$B461,BV_Data_An_Cour!$AQ:$AQ,$C461,BV_Data_An_Cour!$AR:$AR,$L$2)</f>
        <v>1102.91</v>
      </c>
      <c r="M461" s="480"/>
      <c r="N461" s="484"/>
      <c r="O461" s="480"/>
      <c r="P461" s="48"/>
      <c r="Q461" s="484">
        <f>SUMIFS(BV_Data_An_Prec!$AM:$AM,BV_Data_An_Prec!$AP:$AP,$B461,BV_Data_An_Prec!$AQ:$AQ,$C461,BV_Data_An_Prec!$AR:$AR,$L$2)</f>
        <v>0</v>
      </c>
      <c r="R461" s="480"/>
      <c r="S461" s="484">
        <f t="shared" si="83"/>
        <v>1102.91</v>
      </c>
      <c r="T461" s="40"/>
      <c r="U461" s="40"/>
      <c r="V461" s="48"/>
      <c r="W461" s="40"/>
      <c r="X461" s="40"/>
      <c r="Y461" s="40"/>
      <c r="Z461" s="40"/>
      <c r="AA461" s="40"/>
      <c r="AB461" s="40"/>
      <c r="AC461" s="40"/>
      <c r="AD461" s="40"/>
      <c r="AE461" s="40"/>
      <c r="AF461" s="40"/>
      <c r="AG461" s="40"/>
      <c r="AH461" s="40"/>
      <c r="AI461" s="40"/>
      <c r="AJ461" s="40"/>
      <c r="AK461" s="40"/>
      <c r="AL461" s="40"/>
      <c r="AM461" s="40"/>
      <c r="AN461" s="40"/>
    </row>
    <row r="462" ht="15.75" customHeight="1">
      <c r="A462" s="5" t="s">
        <v>1042</v>
      </c>
      <c r="B462" s="48" t="s">
        <v>1025</v>
      </c>
      <c r="C462" s="559" t="s">
        <v>126</v>
      </c>
      <c r="D462" s="546"/>
      <c r="E462" s="48"/>
      <c r="F462" s="481" t="str">
        <f t="array" ref="F462">+INDEX('Budget original'!$A$2:$AO$501,MATCH($A462,'Budget original'!$A$2:$A$501,0),MATCH(F$2,'Budget original'!$A$2:$AO$2,0))</f>
        <v/>
      </c>
      <c r="G462" s="547"/>
      <c r="H462" s="48"/>
      <c r="I462" s="481"/>
      <c r="J462" s="480"/>
      <c r="K462" s="48"/>
      <c r="L462" s="484">
        <f>SUMIFS(BV_Data_An_Cour!$AM:$AM,BV_Data_An_Cour!$AP:$AP,$B462,BV_Data_An_Cour!$AQ:$AQ,$C462,BV_Data_An_Cour!$AR:$AR,$L$2)</f>
        <v>741.76</v>
      </c>
      <c r="M462" s="480"/>
      <c r="N462" s="484"/>
      <c r="O462" s="480"/>
      <c r="P462" s="48"/>
      <c r="Q462" s="484">
        <f>SUMIFS(BV_Data_An_Prec!$AM:$AM,BV_Data_An_Prec!$AP:$AP,$B462,BV_Data_An_Prec!$AQ:$AQ,$C462,BV_Data_An_Prec!$AR:$AR,$L$2)</f>
        <v>0</v>
      </c>
      <c r="R462" s="480"/>
      <c r="S462" s="484">
        <f t="shared" si="83"/>
        <v>741.76</v>
      </c>
      <c r="T462" s="40"/>
      <c r="U462" s="40"/>
      <c r="V462" s="48"/>
      <c r="W462" s="40"/>
      <c r="X462" s="40"/>
      <c r="Y462" s="40"/>
      <c r="Z462" s="40"/>
      <c r="AA462" s="40"/>
      <c r="AB462" s="40"/>
      <c r="AC462" s="40"/>
      <c r="AD462" s="40"/>
      <c r="AE462" s="40"/>
      <c r="AF462" s="40"/>
      <c r="AG462" s="40"/>
      <c r="AH462" s="40"/>
      <c r="AI462" s="40"/>
      <c r="AJ462" s="40"/>
      <c r="AK462" s="40"/>
      <c r="AL462" s="40"/>
      <c r="AM462" s="40"/>
      <c r="AN462" s="40"/>
    </row>
    <row r="463" ht="20.25" hidden="1" customHeight="1">
      <c r="A463" s="5" t="s">
        <v>1038</v>
      </c>
      <c r="B463" s="48" t="s">
        <v>1025</v>
      </c>
      <c r="C463" s="480" t="s">
        <v>56</v>
      </c>
      <c r="D463" s="549"/>
      <c r="E463" s="564"/>
      <c r="F463" s="481" t="str">
        <f t="array" ref="F463">+INDEX('Budget original'!$A$2:$AO$501,MATCH($A463,'Budget original'!$A$2:$A$501,0),MATCH(F$2,'Budget original'!$A$2:$AO$2,0))</f>
        <v/>
      </c>
      <c r="G463" s="550"/>
      <c r="H463" s="564"/>
      <c r="I463" s="481"/>
      <c r="J463" s="471"/>
      <c r="K463" s="564"/>
      <c r="L463" s="484">
        <f>-SUMIFS(BV_Data_An_Cour!$AM:$AM,BV_Data_An_Cour!$AP:$AP,$B463,BV_Data_An_Cour!$AQ:$AQ,$C463,BV_Data_An_Cour!$AR:$AR,$L$2)</f>
        <v>0</v>
      </c>
      <c r="M463" s="471"/>
      <c r="N463" s="476"/>
      <c r="O463" s="471"/>
      <c r="P463" s="564"/>
      <c r="Q463" s="484">
        <f>-SUMIFS(BV_Data_An_Prec!$AM:$AM,BV_Data_An_Prec!$AP:$AP,$B463,BV_Data_An_Prec!$AQ:$AQ,$C463,BV_Data_An_Prec!$AR:$AR,$L$2)</f>
        <v>0</v>
      </c>
      <c r="R463" s="471"/>
      <c r="S463" s="476">
        <f t="shared" si="83"/>
        <v>0</v>
      </c>
      <c r="T463" s="40"/>
      <c r="U463" s="40"/>
      <c r="V463" s="48"/>
      <c r="W463" s="40"/>
      <c r="X463" s="40"/>
      <c r="Y463" s="40"/>
      <c r="Z463" s="40"/>
      <c r="AA463" s="40"/>
      <c r="AB463" s="40"/>
      <c r="AC463" s="40"/>
      <c r="AD463" s="40"/>
      <c r="AE463" s="40"/>
      <c r="AF463" s="40"/>
      <c r="AG463" s="40"/>
      <c r="AH463" s="40"/>
      <c r="AI463" s="40"/>
      <c r="AJ463" s="40"/>
      <c r="AK463" s="40"/>
      <c r="AL463" s="40"/>
      <c r="AM463" s="40"/>
      <c r="AN463" s="40"/>
    </row>
    <row r="464" ht="18.0" customHeight="1">
      <c r="A464" s="5" t="s">
        <v>1043</v>
      </c>
      <c r="B464" s="48" t="s">
        <v>1025</v>
      </c>
      <c r="C464" s="552" t="s">
        <v>127</v>
      </c>
      <c r="D464" s="553" t="s">
        <v>225</v>
      </c>
      <c r="E464" s="554">
        <f>IFERROR(F464/F$448,0)</f>
        <v>0</v>
      </c>
      <c r="F464" s="555">
        <f>+SUM(F452:F463)</f>
        <v>0</v>
      </c>
      <c r="G464" s="556"/>
      <c r="H464" s="554"/>
      <c r="I464" s="555"/>
      <c r="J464" s="556" t="s">
        <v>225</v>
      </c>
      <c r="K464" s="554">
        <f>IFERROR(L464/L$448,0)</f>
        <v>0.3452960247</v>
      </c>
      <c r="L464" s="555">
        <f>+SUM(L452:L463)</f>
        <v>23562.21</v>
      </c>
      <c r="M464" s="557"/>
      <c r="N464" s="555"/>
      <c r="O464" s="556" t="s">
        <v>225</v>
      </c>
      <c r="P464" s="554">
        <f>IFERROR(Q464/Q$448,0)</f>
        <v>0</v>
      </c>
      <c r="Q464" s="555">
        <f>+SUM(Q452:Q463)</f>
        <v>0</v>
      </c>
      <c r="R464" s="558"/>
      <c r="S464" s="555">
        <f t="shared" si="83"/>
        <v>23562.21</v>
      </c>
      <c r="T464" s="40"/>
      <c r="U464" s="40"/>
      <c r="V464" s="48"/>
      <c r="W464" s="48"/>
      <c r="X464" s="48"/>
      <c r="Y464" s="48"/>
      <c r="Z464" s="48"/>
      <c r="AA464" s="48"/>
      <c r="AB464" s="48"/>
      <c r="AC464" s="48"/>
      <c r="AD464" s="48"/>
      <c r="AE464" s="48"/>
      <c r="AF464" s="48"/>
      <c r="AG464" s="48"/>
      <c r="AH464" s="48"/>
      <c r="AI464" s="48"/>
      <c r="AJ464" s="48"/>
      <c r="AK464" s="48"/>
      <c r="AL464" s="48"/>
      <c r="AM464" s="48"/>
      <c r="AN464" s="48"/>
    </row>
    <row r="465" ht="15.75" customHeight="1">
      <c r="A465" s="5" t="s">
        <v>1044</v>
      </c>
      <c r="B465" s="48" t="s">
        <v>1025</v>
      </c>
      <c r="C465" s="654" t="s">
        <v>128</v>
      </c>
      <c r="D465" s="546"/>
      <c r="E465" s="48"/>
      <c r="F465" s="481" t="str">
        <f t="array" ref="F465">+INDEX('Budget original'!$A$2:$AO$501,MATCH($A465,'Budget original'!$A$2:$A$501,0),MATCH(F$2,'Budget original'!$A$2:$AO$2,0))</f>
        <v/>
      </c>
      <c r="G465" s="547"/>
      <c r="H465" s="48"/>
      <c r="I465" s="481"/>
      <c r="J465" s="480"/>
      <c r="K465" s="48"/>
      <c r="L465" s="484">
        <f>SUMIFS(BV_Data_An_Cour!$AM:$AM,BV_Data_An_Cour!$AP:$AP,$B465,BV_Data_An_Cour!$AQ:$AQ,$C465,BV_Data_An_Cour!$AR:$AR,$L$2)</f>
        <v>0</v>
      </c>
      <c r="M465" s="480"/>
      <c r="N465" s="484"/>
      <c r="O465" s="480"/>
      <c r="P465" s="48"/>
      <c r="Q465" s="484">
        <f>SUMIFS(BV_Data_An_Prec!$AM:$AM,BV_Data_An_Prec!$AP:$AP,$B465,BV_Data_An_Prec!$AQ:$AQ,$C465,BV_Data_An_Prec!$AR:$AR,$L$2)</f>
        <v>0</v>
      </c>
      <c r="R465" s="480"/>
      <c r="S465" s="484">
        <f t="shared" si="83"/>
        <v>0</v>
      </c>
      <c r="T465" s="40"/>
      <c r="U465" s="40"/>
      <c r="V465" s="48"/>
      <c r="W465" s="40"/>
      <c r="X465" s="40"/>
      <c r="Y465" s="40"/>
      <c r="Z465" s="40"/>
      <c r="AA465" s="40"/>
      <c r="AB465" s="40"/>
      <c r="AC465" s="40"/>
      <c r="AD465" s="40"/>
      <c r="AE465" s="40"/>
      <c r="AF465" s="40"/>
      <c r="AG465" s="40"/>
      <c r="AH465" s="40"/>
      <c r="AI465" s="40"/>
      <c r="AJ465" s="40"/>
      <c r="AK465" s="40"/>
      <c r="AL465" s="40"/>
      <c r="AM465" s="40"/>
      <c r="AN465" s="40"/>
    </row>
    <row r="466" ht="15.75" customHeight="1">
      <c r="A466" s="5" t="s">
        <v>1045</v>
      </c>
      <c r="B466" s="48" t="s">
        <v>1025</v>
      </c>
      <c r="C466" s="559" t="s">
        <v>129</v>
      </c>
      <c r="D466" s="546"/>
      <c r="E466" s="48"/>
      <c r="F466" s="481" t="str">
        <f t="array" ref="F466">+INDEX('Budget original'!$A$2:$AO$501,MATCH($A466,'Budget original'!$A$2:$A$501,0),MATCH(F$2,'Budget original'!$A$2:$AO$2,0))</f>
        <v/>
      </c>
      <c r="G466" s="547"/>
      <c r="H466" s="48"/>
      <c r="I466" s="481"/>
      <c r="J466" s="480"/>
      <c r="K466" s="48"/>
      <c r="L466" s="484">
        <f>SUMIFS(BV_Data_An_Cour!$AM:$AM,BV_Data_An_Cour!$AP:$AP,$B466,BV_Data_An_Cour!$AQ:$AQ,$C466,BV_Data_An_Cour!$AR:$AR,$L$2)</f>
        <v>0</v>
      </c>
      <c r="M466" s="480"/>
      <c r="N466" s="484"/>
      <c r="O466" s="480"/>
      <c r="P466" s="48"/>
      <c r="Q466" s="484">
        <f>SUMIFS(BV_Data_An_Prec!$AM:$AM,BV_Data_An_Prec!$AP:$AP,$B466,BV_Data_An_Prec!$AQ:$AQ,$C466,BV_Data_An_Prec!$AR:$AR,$L$2)</f>
        <v>0</v>
      </c>
      <c r="R466" s="480"/>
      <c r="S466" s="484">
        <f t="shared" si="83"/>
        <v>0</v>
      </c>
      <c r="T466" s="40"/>
      <c r="U466" s="40"/>
      <c r="V466" s="48"/>
      <c r="W466" s="40"/>
      <c r="X466" s="40"/>
      <c r="Y466" s="40"/>
      <c r="Z466" s="40"/>
      <c r="AA466" s="40"/>
      <c r="AB466" s="40"/>
      <c r="AC466" s="40"/>
      <c r="AD466" s="40"/>
      <c r="AE466" s="40"/>
      <c r="AF466" s="40"/>
      <c r="AG466" s="40"/>
      <c r="AH466" s="40"/>
      <c r="AI466" s="40"/>
      <c r="AJ466" s="40"/>
      <c r="AK466" s="40"/>
      <c r="AL466" s="40"/>
      <c r="AM466" s="40"/>
      <c r="AN466" s="40"/>
    </row>
    <row r="467" ht="15.75" customHeight="1">
      <c r="A467" s="5" t="s">
        <v>1046</v>
      </c>
      <c r="B467" s="48" t="s">
        <v>1025</v>
      </c>
      <c r="C467" s="560" t="s">
        <v>130</v>
      </c>
      <c r="D467" s="549"/>
      <c r="E467" s="564"/>
      <c r="F467" s="473" t="str">
        <f t="array" ref="F467">+INDEX('Budget original'!$A$2:$AO$501,MATCH($A467,'Budget original'!$A$2:$A$501,0),MATCH(F$2,'Budget original'!$A$2:$AO$2,0))</f>
        <v/>
      </c>
      <c r="G467" s="550"/>
      <c r="H467" s="564"/>
      <c r="I467" s="473"/>
      <c r="J467" s="471"/>
      <c r="K467" s="564"/>
      <c r="L467" s="476">
        <f>SUMIFS(BV_Data_An_Cour!$AM:$AM,BV_Data_An_Cour!$AP:$AP,$B467,BV_Data_An_Cour!$AQ:$AQ,$C467,BV_Data_An_Cour!$AR:$AR,$L$2)</f>
        <v>0</v>
      </c>
      <c r="M467" s="471"/>
      <c r="N467" s="476"/>
      <c r="O467" s="471"/>
      <c r="P467" s="564"/>
      <c r="Q467" s="476">
        <f>SUMIFS(BV_Data_An_Prec!$AM:$AM,BV_Data_An_Prec!$AP:$AP,$B467,BV_Data_An_Prec!$AQ:$AQ,$C467,BV_Data_An_Prec!$AR:$AR,$L$2)</f>
        <v>0</v>
      </c>
      <c r="R467" s="471"/>
      <c r="S467" s="476">
        <f t="shared" si="83"/>
        <v>0</v>
      </c>
      <c r="T467" s="40"/>
      <c r="U467" s="40"/>
      <c r="V467" s="48"/>
      <c r="W467" s="40"/>
      <c r="X467" s="40"/>
      <c r="Y467" s="40"/>
      <c r="Z467" s="40"/>
      <c r="AA467" s="40"/>
      <c r="AB467" s="40"/>
      <c r="AC467" s="40"/>
      <c r="AD467" s="40"/>
      <c r="AE467" s="40"/>
      <c r="AF467" s="40"/>
      <c r="AG467" s="40"/>
      <c r="AH467" s="40"/>
      <c r="AI467" s="40"/>
      <c r="AJ467" s="40"/>
      <c r="AK467" s="40"/>
      <c r="AL467" s="40"/>
      <c r="AM467" s="40"/>
      <c r="AN467" s="40"/>
    </row>
    <row r="468" ht="15.75" customHeight="1">
      <c r="A468" s="5" t="s">
        <v>1047</v>
      </c>
      <c r="B468" s="48" t="s">
        <v>1025</v>
      </c>
      <c r="C468" s="559" t="s">
        <v>131</v>
      </c>
      <c r="D468" s="546"/>
      <c r="E468" s="48"/>
      <c r="F468" s="481" t="str">
        <f t="array" ref="F468">+INDEX('Budget original'!$A$2:$AO$501,MATCH($A468,'Budget original'!$A$2:$A$501,0),MATCH(F$2,'Budget original'!$A$2:$AO$2,0))</f>
        <v/>
      </c>
      <c r="G468" s="547"/>
      <c r="H468" s="48"/>
      <c r="I468" s="481"/>
      <c r="J468" s="480"/>
      <c r="K468" s="48"/>
      <c r="L468" s="484">
        <f>SUMIFS(BV_Data_An_Cour!$AM:$AM,BV_Data_An_Cour!$AP:$AP,$B468,BV_Data_An_Cour!$AQ:$AQ,$C468,BV_Data_An_Cour!$AR:$AR,$L$2)</f>
        <v>0</v>
      </c>
      <c r="M468" s="480"/>
      <c r="N468" s="484"/>
      <c r="O468" s="480"/>
      <c r="P468" s="48"/>
      <c r="Q468" s="484">
        <f>SUMIFS(BV_Data_An_Prec!$AM:$AM,BV_Data_An_Prec!$AP:$AP,$B468,BV_Data_An_Prec!$AQ:$AQ,$C468,BV_Data_An_Prec!$AR:$AR,$L$2)</f>
        <v>0</v>
      </c>
      <c r="R468" s="480"/>
      <c r="S468" s="484">
        <f t="shared" si="83"/>
        <v>0</v>
      </c>
      <c r="T468" s="40"/>
      <c r="U468" s="40"/>
      <c r="V468" s="48"/>
      <c r="W468" s="40"/>
      <c r="X468" s="40"/>
      <c r="Y468" s="40"/>
      <c r="Z468" s="40"/>
      <c r="AA468" s="40"/>
      <c r="AB468" s="40"/>
      <c r="AC468" s="40"/>
      <c r="AD468" s="40"/>
      <c r="AE468" s="40"/>
      <c r="AF468" s="40"/>
      <c r="AG468" s="40"/>
      <c r="AH468" s="40"/>
      <c r="AI468" s="40"/>
      <c r="AJ468" s="40"/>
      <c r="AK468" s="40"/>
      <c r="AL468" s="40"/>
      <c r="AM468" s="40"/>
      <c r="AN468" s="40"/>
    </row>
    <row r="469" ht="15.75" customHeight="1">
      <c r="A469" s="5" t="s">
        <v>1048</v>
      </c>
      <c r="B469" s="48" t="s">
        <v>1025</v>
      </c>
      <c r="C469" s="559" t="s">
        <v>132</v>
      </c>
      <c r="D469" s="546"/>
      <c r="E469" s="48"/>
      <c r="F469" s="481" t="str">
        <f t="array" ref="F469">+INDEX('Budget original'!$A$2:$AO$501,MATCH($A469,'Budget original'!$A$2:$A$501,0),MATCH(F$2,'Budget original'!$A$2:$AO$2,0))</f>
        <v/>
      </c>
      <c r="G469" s="547"/>
      <c r="H469" s="48"/>
      <c r="I469" s="481"/>
      <c r="J469" s="480"/>
      <c r="K469" s="48"/>
      <c r="L469" s="484">
        <f>SUMIFS(BV_Data_An_Cour!$AM:$AM,BV_Data_An_Cour!$AP:$AP,$B469,BV_Data_An_Cour!$AQ:$AQ,$C469,BV_Data_An_Cour!$AR:$AR,$L$2)</f>
        <v>0</v>
      </c>
      <c r="M469" s="480"/>
      <c r="N469" s="484"/>
      <c r="O469" s="480"/>
      <c r="P469" s="48"/>
      <c r="Q469" s="484">
        <f>SUMIFS(BV_Data_An_Prec!$AM:$AM,BV_Data_An_Prec!$AP:$AP,$B469,BV_Data_An_Prec!$AQ:$AQ,$C469,BV_Data_An_Prec!$AR:$AR,$L$2)</f>
        <v>0</v>
      </c>
      <c r="R469" s="480"/>
      <c r="S469" s="484">
        <f t="shared" si="83"/>
        <v>0</v>
      </c>
      <c r="T469" s="40"/>
      <c r="U469" s="40"/>
      <c r="V469" s="48"/>
      <c r="W469" s="40"/>
      <c r="X469" s="40"/>
      <c r="Y469" s="40"/>
      <c r="Z469" s="40"/>
      <c r="AA469" s="40"/>
      <c r="AB469" s="40"/>
      <c r="AC469" s="40"/>
      <c r="AD469" s="40"/>
      <c r="AE469" s="40"/>
      <c r="AF469" s="40"/>
      <c r="AG469" s="40"/>
      <c r="AH469" s="40"/>
      <c r="AI469" s="40"/>
      <c r="AJ469" s="40"/>
      <c r="AK469" s="40"/>
      <c r="AL469" s="40"/>
      <c r="AM469" s="40"/>
      <c r="AN469" s="40"/>
    </row>
    <row r="470" ht="15.75" customHeight="1">
      <c r="A470" s="5" t="s">
        <v>1049</v>
      </c>
      <c r="B470" s="48" t="s">
        <v>1025</v>
      </c>
      <c r="C470" s="559" t="s">
        <v>133</v>
      </c>
      <c r="D470" s="549"/>
      <c r="E470" s="564"/>
      <c r="F470" s="473" t="str">
        <f t="array" ref="F470">+INDEX('Budget original'!$A$2:$AO$501,MATCH($A470,'Budget original'!$A$2:$A$501,0),MATCH(F$2,'Budget original'!$A$2:$AO$2,0))</f>
        <v/>
      </c>
      <c r="G470" s="550"/>
      <c r="H470" s="564"/>
      <c r="I470" s="473"/>
      <c r="J470" s="471"/>
      <c r="K470" s="564"/>
      <c r="L470" s="476">
        <f>SUMIFS(BV_Data_An_Cour!$AM:$AM,BV_Data_An_Cour!$AP:$AP,$B470,BV_Data_An_Cour!$AQ:$AQ,$C470,BV_Data_An_Cour!$AR:$AR,$L$2)</f>
        <v>567.63</v>
      </c>
      <c r="M470" s="471"/>
      <c r="N470" s="476"/>
      <c r="O470" s="471"/>
      <c r="P470" s="564"/>
      <c r="Q470" s="476">
        <f>SUMIFS(BV_Data_An_Prec!$AM:$AM,BV_Data_An_Prec!$AP:$AP,$B470,BV_Data_An_Prec!$AQ:$AQ,$C470,BV_Data_An_Prec!$AR:$AR,$L$2)</f>
        <v>0</v>
      </c>
      <c r="R470" s="471"/>
      <c r="S470" s="476">
        <f t="shared" si="83"/>
        <v>567.63</v>
      </c>
      <c r="T470" s="40"/>
      <c r="U470" s="40"/>
      <c r="V470" s="48"/>
      <c r="W470" s="40"/>
      <c r="X470" s="40"/>
      <c r="Y470" s="40"/>
      <c r="Z470" s="40"/>
      <c r="AA470" s="40"/>
      <c r="AB470" s="40"/>
      <c r="AC470" s="40"/>
      <c r="AD470" s="40"/>
      <c r="AE470" s="40"/>
      <c r="AF470" s="40"/>
      <c r="AG470" s="40"/>
      <c r="AH470" s="40"/>
      <c r="AI470" s="40"/>
      <c r="AJ470" s="40"/>
      <c r="AK470" s="40"/>
      <c r="AL470" s="40"/>
      <c r="AM470" s="40"/>
      <c r="AN470" s="40"/>
    </row>
    <row r="471" ht="20.25" customHeight="1">
      <c r="A471" s="5" t="s">
        <v>1050</v>
      </c>
      <c r="B471" s="48" t="s">
        <v>1025</v>
      </c>
      <c r="C471" s="654" t="s">
        <v>134</v>
      </c>
      <c r="D471" s="546"/>
      <c r="E471" s="48"/>
      <c r="F471" s="481" t="str">
        <f t="array" ref="F471">+INDEX('Budget original'!$A$2:$AO$501,MATCH($A471,'Budget original'!$A$2:$A$501,0),MATCH(F$2,'Budget original'!$A$2:$AO$2,0))</f>
        <v/>
      </c>
      <c r="G471" s="547"/>
      <c r="H471" s="48"/>
      <c r="I471" s="481"/>
      <c r="J471" s="480"/>
      <c r="K471" s="48"/>
      <c r="L471" s="484">
        <f>SUMIFS(BV_Data_An_Cour!$AM:$AM,BV_Data_An_Cour!$AP:$AP,$B471,BV_Data_An_Cour!$AQ:$AQ,$C471,BV_Data_An_Cour!$AR:$AR,$L$2)</f>
        <v>0</v>
      </c>
      <c r="M471" s="480"/>
      <c r="N471" s="484"/>
      <c r="O471" s="480"/>
      <c r="P471" s="48"/>
      <c r="Q471" s="484">
        <f>SUMIFS(BV_Data_An_Prec!$AM:$AM,BV_Data_An_Prec!$AP:$AP,$B471,BV_Data_An_Prec!$AQ:$AQ,$C471,BV_Data_An_Prec!$AR:$AR,$L$2)</f>
        <v>0</v>
      </c>
      <c r="R471" s="480"/>
      <c r="S471" s="484">
        <f t="shared" si="83"/>
        <v>0</v>
      </c>
      <c r="T471" s="40"/>
      <c r="U471" s="40"/>
      <c r="V471" s="48"/>
      <c r="W471" s="40"/>
      <c r="X471" s="40"/>
      <c r="Y471" s="40"/>
      <c r="Z471" s="40"/>
      <c r="AA471" s="40"/>
      <c r="AB471" s="40"/>
      <c r="AC471" s="40"/>
      <c r="AD471" s="40"/>
      <c r="AE471" s="40"/>
      <c r="AF471" s="40"/>
      <c r="AG471" s="40"/>
      <c r="AH471" s="40"/>
      <c r="AI471" s="40"/>
      <c r="AJ471" s="40"/>
      <c r="AK471" s="40"/>
      <c r="AL471" s="40"/>
      <c r="AM471" s="40"/>
      <c r="AN471" s="40"/>
    </row>
    <row r="472" ht="20.25" customHeight="1">
      <c r="A472" s="5" t="s">
        <v>1051</v>
      </c>
      <c r="B472" s="48" t="s">
        <v>1025</v>
      </c>
      <c r="C472" s="559" t="s">
        <v>135</v>
      </c>
      <c r="D472" s="546"/>
      <c r="E472" s="48"/>
      <c r="F472" s="481" t="str">
        <f t="array" ref="F472">+INDEX('Budget original'!$A$2:$AO$501,MATCH($A472,'Budget original'!$A$2:$A$501,0),MATCH(F$2,'Budget original'!$A$2:$AO$2,0))</f>
        <v/>
      </c>
      <c r="G472" s="547"/>
      <c r="H472" s="48"/>
      <c r="I472" s="481"/>
      <c r="J472" s="480"/>
      <c r="K472" s="48"/>
      <c r="L472" s="484">
        <f>SUMIFS(BV_Data_An_Cour!$AM:$AM,BV_Data_An_Cour!$AP:$AP,$B472,BV_Data_An_Cour!$AQ:$AQ,$C472,BV_Data_An_Cour!$AR:$AR,$L$2)</f>
        <v>544.45</v>
      </c>
      <c r="M472" s="480"/>
      <c r="N472" s="484"/>
      <c r="O472" s="480"/>
      <c r="P472" s="48"/>
      <c r="Q472" s="484">
        <f>SUMIFS(BV_Data_An_Prec!$AM:$AM,BV_Data_An_Prec!$AP:$AP,$B472,BV_Data_An_Prec!$AQ:$AQ,$C472,BV_Data_An_Prec!$AR:$AR,$L$2)</f>
        <v>0</v>
      </c>
      <c r="R472" s="480"/>
      <c r="S472" s="484">
        <f t="shared" si="83"/>
        <v>544.45</v>
      </c>
      <c r="T472" s="40"/>
      <c r="U472" s="40"/>
      <c r="V472" s="48"/>
      <c r="W472" s="40"/>
      <c r="X472" s="40"/>
      <c r="Y472" s="40"/>
      <c r="Z472" s="40"/>
      <c r="AA472" s="40"/>
      <c r="AB472" s="40"/>
      <c r="AC472" s="40"/>
      <c r="AD472" s="40"/>
      <c r="AE472" s="40"/>
      <c r="AF472" s="40"/>
      <c r="AG472" s="40"/>
      <c r="AH472" s="40"/>
      <c r="AI472" s="40"/>
      <c r="AJ472" s="40"/>
      <c r="AK472" s="40"/>
      <c r="AL472" s="40"/>
      <c r="AM472" s="40"/>
      <c r="AN472" s="40"/>
    </row>
    <row r="473" ht="20.25" customHeight="1">
      <c r="A473" s="5" t="s">
        <v>1052</v>
      </c>
      <c r="B473" s="48" t="s">
        <v>1025</v>
      </c>
      <c r="C473" s="559" t="s">
        <v>136</v>
      </c>
      <c r="D473" s="546"/>
      <c r="E473" s="48"/>
      <c r="F473" s="481" t="str">
        <f t="array" ref="F473">+INDEX('Budget original'!$A$2:$AO$501,MATCH($A473,'Budget original'!$A$2:$A$501,0),MATCH(F$2,'Budget original'!$A$2:$AO$2,0))</f>
        <v/>
      </c>
      <c r="G473" s="547"/>
      <c r="H473" s="48"/>
      <c r="I473" s="481"/>
      <c r="J473" s="480"/>
      <c r="K473" s="48"/>
      <c r="L473" s="484">
        <f>SUMIFS(BV_Data_An_Cour!$AM:$AM,BV_Data_An_Cour!$AP:$AP,$B473,BV_Data_An_Cour!$AQ:$AQ,$C473,BV_Data_An_Cour!$AR:$AR,$L$2)</f>
        <v>0</v>
      </c>
      <c r="M473" s="480"/>
      <c r="N473" s="484"/>
      <c r="O473" s="480"/>
      <c r="P473" s="48"/>
      <c r="Q473" s="484">
        <f>SUMIFS(BV_Data_An_Prec!$AM:$AM,BV_Data_An_Prec!$AP:$AP,$B473,BV_Data_An_Prec!$AQ:$AQ,$C473,BV_Data_An_Prec!$AR:$AR,$L$2)</f>
        <v>0</v>
      </c>
      <c r="R473" s="480"/>
      <c r="S473" s="484">
        <f t="shared" si="83"/>
        <v>0</v>
      </c>
      <c r="T473" s="40"/>
      <c r="U473" s="40"/>
      <c r="V473" s="48"/>
      <c r="W473" s="40"/>
      <c r="X473" s="40"/>
      <c r="Y473" s="40"/>
      <c r="Z473" s="40"/>
      <c r="AA473" s="40"/>
      <c r="AB473" s="40"/>
      <c r="AC473" s="40"/>
      <c r="AD473" s="40"/>
      <c r="AE473" s="40"/>
      <c r="AF473" s="40"/>
      <c r="AG473" s="40"/>
      <c r="AH473" s="40"/>
      <c r="AI473" s="40"/>
      <c r="AJ473" s="40"/>
      <c r="AK473" s="40"/>
      <c r="AL473" s="40"/>
      <c r="AM473" s="40"/>
      <c r="AN473" s="40"/>
    </row>
    <row r="474" ht="20.25" customHeight="1">
      <c r="A474" s="5" t="s">
        <v>1053</v>
      </c>
      <c r="B474" s="48" t="s">
        <v>1025</v>
      </c>
      <c r="C474" s="559" t="s">
        <v>137</v>
      </c>
      <c r="D474" s="546"/>
      <c r="E474" s="48"/>
      <c r="F474" s="481" t="str">
        <f t="array" ref="F474">+INDEX('Budget original'!$A$2:$AO$501,MATCH($A474,'Budget original'!$A$2:$A$501,0),MATCH(F$2,'Budget original'!$A$2:$AO$2,0))</f>
        <v/>
      </c>
      <c r="G474" s="547"/>
      <c r="H474" s="48"/>
      <c r="I474" s="481"/>
      <c r="J474" s="480"/>
      <c r="K474" s="48"/>
      <c r="L474" s="484">
        <f>SUMIFS(BV_Data_An_Cour!$AM:$AM,BV_Data_An_Cour!$AP:$AP,$B474,BV_Data_An_Cour!$AQ:$AQ,$C474,BV_Data_An_Cour!$AR:$AR,$L$2)</f>
        <v>0</v>
      </c>
      <c r="M474" s="480"/>
      <c r="N474" s="484"/>
      <c r="O474" s="480"/>
      <c r="P474" s="48"/>
      <c r="Q474" s="484">
        <f>SUMIFS(BV_Data_An_Prec!$AM:$AM,BV_Data_An_Prec!$AP:$AP,$B474,BV_Data_An_Prec!$AQ:$AQ,$C474,BV_Data_An_Prec!$AR:$AR,$L$2)</f>
        <v>0</v>
      </c>
      <c r="R474" s="480"/>
      <c r="S474" s="484">
        <f t="shared" si="83"/>
        <v>0</v>
      </c>
      <c r="T474" s="40"/>
      <c r="U474" s="40"/>
      <c r="V474" s="48"/>
      <c r="W474" s="40"/>
      <c r="X474" s="40"/>
      <c r="Y474" s="40"/>
      <c r="Z474" s="40"/>
      <c r="AA474" s="40"/>
      <c r="AB474" s="40"/>
      <c r="AC474" s="40"/>
      <c r="AD474" s="40"/>
      <c r="AE474" s="40"/>
      <c r="AF474" s="40"/>
      <c r="AG474" s="40"/>
      <c r="AH474" s="40"/>
      <c r="AI474" s="40"/>
      <c r="AJ474" s="40"/>
      <c r="AK474" s="40"/>
      <c r="AL474" s="40"/>
      <c r="AM474" s="40"/>
      <c r="AN474" s="40"/>
    </row>
    <row r="475" ht="20.25" customHeight="1">
      <c r="A475" s="5" t="s">
        <v>1054</v>
      </c>
      <c r="B475" s="48" t="s">
        <v>1025</v>
      </c>
      <c r="C475" s="559" t="s">
        <v>138</v>
      </c>
      <c r="D475" s="546"/>
      <c r="E475" s="48"/>
      <c r="F475" s="481" t="str">
        <f t="array" ref="F475">+INDEX('Budget original'!$A$2:$AO$501,MATCH($A475,'Budget original'!$A$2:$A$501,0),MATCH(F$2,'Budget original'!$A$2:$AO$2,0))</f>
        <v/>
      </c>
      <c r="G475" s="547"/>
      <c r="H475" s="48"/>
      <c r="I475" s="481"/>
      <c r="J475" s="480"/>
      <c r="K475" s="48"/>
      <c r="L475" s="484">
        <f>SUMIFS(BV_Data_An_Cour!$AM:$AM,BV_Data_An_Cour!$AP:$AP,$B475,BV_Data_An_Cour!$AQ:$AQ,$C475,BV_Data_An_Cour!$AR:$AR,$L$2)</f>
        <v>0</v>
      </c>
      <c r="M475" s="480"/>
      <c r="N475" s="484"/>
      <c r="O475" s="480"/>
      <c r="P475" s="48"/>
      <c r="Q475" s="484">
        <f>SUMIFS(BV_Data_An_Prec!$AM:$AM,BV_Data_An_Prec!$AP:$AP,$B475,BV_Data_An_Prec!$AQ:$AQ,$C475,BV_Data_An_Prec!$AR:$AR,$L$2)</f>
        <v>0</v>
      </c>
      <c r="R475" s="480"/>
      <c r="S475" s="484">
        <f t="shared" si="83"/>
        <v>0</v>
      </c>
      <c r="T475" s="40"/>
      <c r="U475" s="40"/>
      <c r="V475" s="48"/>
      <c r="W475" s="40"/>
      <c r="X475" s="40"/>
      <c r="Y475" s="40"/>
      <c r="Z475" s="40"/>
      <c r="AA475" s="40"/>
      <c r="AB475" s="40"/>
      <c r="AC475" s="40"/>
      <c r="AD475" s="40"/>
      <c r="AE475" s="40"/>
      <c r="AF475" s="40"/>
      <c r="AG475" s="40"/>
      <c r="AH475" s="40"/>
      <c r="AI475" s="40"/>
      <c r="AJ475" s="40"/>
      <c r="AK475" s="40"/>
      <c r="AL475" s="40"/>
      <c r="AM475" s="40"/>
      <c r="AN475" s="40"/>
    </row>
    <row r="476" ht="20.25" customHeight="1">
      <c r="A476" s="5" t="s">
        <v>1055</v>
      </c>
      <c r="B476" s="48" t="s">
        <v>1025</v>
      </c>
      <c r="C476" s="559" t="s">
        <v>139</v>
      </c>
      <c r="D476" s="546"/>
      <c r="E476" s="48"/>
      <c r="F476" s="481" t="str">
        <f t="array" ref="F476">+INDEX('Budget original'!$A$2:$AO$501,MATCH($A476,'Budget original'!$A$2:$A$501,0),MATCH(F$2,'Budget original'!$A$2:$AO$2,0))</f>
        <v/>
      </c>
      <c r="G476" s="547"/>
      <c r="H476" s="48"/>
      <c r="I476" s="481"/>
      <c r="J476" s="480"/>
      <c r="K476" s="48"/>
      <c r="L476" s="484">
        <f>SUMIFS(BV_Data_An_Cour!$AM:$AM,BV_Data_An_Cour!$AP:$AP,$B476,BV_Data_An_Cour!$AQ:$AQ,$C476,BV_Data_An_Cour!$AR:$AR,$L$2)</f>
        <v>75</v>
      </c>
      <c r="M476" s="480"/>
      <c r="N476" s="484"/>
      <c r="O476" s="480"/>
      <c r="P476" s="48"/>
      <c r="Q476" s="484">
        <f>SUMIFS(BV_Data_An_Prec!$AM:$AM,BV_Data_An_Prec!$AP:$AP,$B476,BV_Data_An_Prec!$AQ:$AQ,$C476,BV_Data_An_Prec!$AR:$AR,$L$2)</f>
        <v>0</v>
      </c>
      <c r="R476" s="480"/>
      <c r="S476" s="484">
        <f t="shared" si="83"/>
        <v>75</v>
      </c>
      <c r="T476" s="40"/>
      <c r="U476" s="40"/>
      <c r="V476" s="48"/>
      <c r="W476" s="40"/>
      <c r="X476" s="40"/>
      <c r="Y476" s="40"/>
      <c r="Z476" s="40"/>
      <c r="AA476" s="40"/>
      <c r="AB476" s="40"/>
      <c r="AC476" s="40"/>
      <c r="AD476" s="40"/>
      <c r="AE476" s="40"/>
      <c r="AF476" s="40"/>
      <c r="AG476" s="40"/>
      <c r="AH476" s="40"/>
      <c r="AI476" s="40"/>
      <c r="AJ476" s="40"/>
      <c r="AK476" s="40"/>
      <c r="AL476" s="40"/>
      <c r="AM476" s="40"/>
      <c r="AN476" s="40"/>
    </row>
    <row r="477" ht="20.25" customHeight="1">
      <c r="A477" s="5" t="s">
        <v>1056</v>
      </c>
      <c r="B477" s="48" t="s">
        <v>1025</v>
      </c>
      <c r="C477" s="559" t="s">
        <v>140</v>
      </c>
      <c r="D477" s="546"/>
      <c r="E477" s="48"/>
      <c r="F477" s="481" t="str">
        <f t="array" ref="F477">+INDEX('Budget original'!$A$2:$AO$501,MATCH($A477,'Budget original'!$A$2:$A$501,0),MATCH(F$2,'Budget original'!$A$2:$AO$2,0))</f>
        <v/>
      </c>
      <c r="G477" s="547"/>
      <c r="H477" s="48"/>
      <c r="I477" s="481"/>
      <c r="J477" s="480"/>
      <c r="K477" s="48"/>
      <c r="L477" s="484">
        <f>SUMIFS(BV_Data_An_Cour!$AM:$AM,BV_Data_An_Cour!$AP:$AP,$B477,BV_Data_An_Cour!$AQ:$AQ,$C477,BV_Data_An_Cour!$AR:$AR,$L$2)</f>
        <v>1577.28</v>
      </c>
      <c r="M477" s="480"/>
      <c r="N477" s="484"/>
      <c r="O477" s="480"/>
      <c r="P477" s="48"/>
      <c r="Q477" s="484">
        <f>SUMIFS(BV_Data_An_Prec!$AM:$AM,BV_Data_An_Prec!$AP:$AP,$B477,BV_Data_An_Prec!$AQ:$AQ,$C477,BV_Data_An_Prec!$AR:$AR,$L$2)</f>
        <v>0</v>
      </c>
      <c r="R477" s="480"/>
      <c r="S477" s="484">
        <f t="shared" si="83"/>
        <v>1577.28</v>
      </c>
      <c r="T477" s="40"/>
      <c r="U477" s="40"/>
      <c r="V477" s="48"/>
      <c r="W477" s="40"/>
      <c r="X477" s="40"/>
      <c r="Y477" s="40"/>
      <c r="Z477" s="40"/>
      <c r="AA477" s="40"/>
      <c r="AB477" s="40"/>
      <c r="AC477" s="40"/>
      <c r="AD477" s="40"/>
      <c r="AE477" s="40"/>
      <c r="AF477" s="40"/>
      <c r="AG477" s="40"/>
      <c r="AH477" s="40"/>
      <c r="AI477" s="40"/>
      <c r="AJ477" s="40"/>
      <c r="AK477" s="40"/>
      <c r="AL477" s="40"/>
      <c r="AM477" s="40"/>
      <c r="AN477" s="40"/>
    </row>
    <row r="478" ht="19.5" customHeight="1">
      <c r="A478" s="5" t="s">
        <v>1057</v>
      </c>
      <c r="B478" s="48" t="s">
        <v>1025</v>
      </c>
      <c r="C478" s="559" t="s">
        <v>141</v>
      </c>
      <c r="D478" s="546"/>
      <c r="E478" s="48"/>
      <c r="F478" s="481" t="str">
        <f t="array" ref="F478">+INDEX('Budget original'!$A$2:$AO$501,MATCH($A478,'Budget original'!$A$2:$A$501,0),MATCH(F$2,'Budget original'!$A$2:$AO$2,0))</f>
        <v/>
      </c>
      <c r="G478" s="547"/>
      <c r="H478" s="48"/>
      <c r="I478" s="481"/>
      <c r="J478" s="480"/>
      <c r="K478" s="48"/>
      <c r="L478" s="484">
        <f>SUMIFS(BV_Data_An_Cour!$AM:$AM,BV_Data_An_Cour!$AP:$AP,$B478,BV_Data_An_Cour!$AQ:$AQ,$C478,BV_Data_An_Cour!$AR:$AR,$L$2)</f>
        <v>0</v>
      </c>
      <c r="M478" s="480"/>
      <c r="N478" s="484"/>
      <c r="O478" s="480"/>
      <c r="P478" s="48"/>
      <c r="Q478" s="484">
        <f>SUMIFS(BV_Data_An_Prec!$AM:$AM,BV_Data_An_Prec!$AP:$AP,$B478,BV_Data_An_Prec!$AQ:$AQ,$C478,BV_Data_An_Prec!$AR:$AR,$L$2)</f>
        <v>0</v>
      </c>
      <c r="R478" s="480"/>
      <c r="S478" s="484">
        <f t="shared" si="83"/>
        <v>0</v>
      </c>
      <c r="T478" s="40"/>
      <c r="U478" s="40"/>
      <c r="V478" s="48"/>
      <c r="W478" s="40"/>
      <c r="X478" s="40"/>
      <c r="Y478" s="40"/>
      <c r="Z478" s="40"/>
      <c r="AA478" s="40"/>
      <c r="AB478" s="40"/>
      <c r="AC478" s="40"/>
      <c r="AD478" s="40"/>
      <c r="AE478" s="40"/>
      <c r="AF478" s="40"/>
      <c r="AG478" s="40"/>
      <c r="AH478" s="40"/>
      <c r="AI478" s="40"/>
      <c r="AJ478" s="40"/>
      <c r="AK478" s="40"/>
      <c r="AL478" s="40"/>
      <c r="AM478" s="40"/>
      <c r="AN478" s="40"/>
    </row>
    <row r="479" ht="20.25" hidden="1" customHeight="1">
      <c r="A479" s="5" t="s">
        <v>1038</v>
      </c>
      <c r="B479" s="48" t="s">
        <v>1025</v>
      </c>
      <c r="C479" s="559" t="s">
        <v>56</v>
      </c>
      <c r="D479" s="546"/>
      <c r="E479" s="48"/>
      <c r="F479" s="481" t="str">
        <f t="array" ref="F479">+INDEX('Budget original'!$A$2:$AO$501,MATCH($A479,'Budget original'!$A$2:$A$501,0),MATCH(F$2,'Budget original'!$A$2:$AO$2,0))</f>
        <v/>
      </c>
      <c r="G479" s="547"/>
      <c r="H479" s="48"/>
      <c r="I479" s="481"/>
      <c r="J479" s="480"/>
      <c r="K479" s="48"/>
      <c r="L479" s="484">
        <f>-SUMIFS(BV_Data_An_Cour!$AM:$AM,BV_Data_An_Cour!$AP:$AP,$B479,BV_Data_An_Cour!$AQ:$AQ,$C479,BV_Data_An_Cour!$AR:$AR,$L$2)</f>
        <v>0</v>
      </c>
      <c r="M479" s="480"/>
      <c r="N479" s="484"/>
      <c r="O479" s="480"/>
      <c r="P479" s="48"/>
      <c r="Q479" s="484">
        <f>-SUMIFS(BV_Data_An_Prec!$AM:$AM,BV_Data_An_Prec!$AP:$AP,$B479,BV_Data_An_Prec!$AQ:$AQ,$C479,BV_Data_An_Prec!$AR:$AR,$L$2)</f>
        <v>0</v>
      </c>
      <c r="R479" s="480"/>
      <c r="S479" s="484">
        <f t="shared" si="83"/>
        <v>0</v>
      </c>
      <c r="T479" s="40"/>
      <c r="U479" s="40"/>
      <c r="V479" s="48"/>
      <c r="W479" s="40"/>
      <c r="X479" s="40"/>
      <c r="Y479" s="40"/>
      <c r="Z479" s="40"/>
      <c r="AA479" s="40"/>
      <c r="AB479" s="40"/>
      <c r="AC479" s="40"/>
      <c r="AD479" s="40"/>
      <c r="AE479" s="40"/>
      <c r="AF479" s="40"/>
      <c r="AG479" s="40"/>
      <c r="AH479" s="40"/>
      <c r="AI479" s="40"/>
      <c r="AJ479" s="40"/>
      <c r="AK479" s="40"/>
      <c r="AL479" s="40"/>
      <c r="AM479" s="40"/>
      <c r="AN479" s="40"/>
    </row>
    <row r="480" ht="20.25" hidden="1" customHeight="1">
      <c r="A480" s="5" t="s">
        <v>1038</v>
      </c>
      <c r="B480" s="48" t="s">
        <v>1025</v>
      </c>
      <c r="C480" s="559" t="s">
        <v>56</v>
      </c>
      <c r="D480" s="546"/>
      <c r="E480" s="48"/>
      <c r="F480" s="481" t="str">
        <f t="array" ref="F480">+INDEX('Budget original'!$A$2:$AO$501,MATCH($A480,'Budget original'!$A$2:$A$501,0),MATCH(F$2,'Budget original'!$A$2:$AO$2,0))</f>
        <v/>
      </c>
      <c r="G480" s="547"/>
      <c r="H480" s="48"/>
      <c r="I480" s="481"/>
      <c r="J480" s="480"/>
      <c r="K480" s="48"/>
      <c r="L480" s="484">
        <f>-SUMIFS(BV_Data_An_Cour!$AM:$AM,BV_Data_An_Cour!$AP:$AP,$B480,BV_Data_An_Cour!$AQ:$AQ,$C480,BV_Data_An_Cour!$AR:$AR,$L$2)</f>
        <v>0</v>
      </c>
      <c r="M480" s="480"/>
      <c r="N480" s="484"/>
      <c r="O480" s="480"/>
      <c r="P480" s="48"/>
      <c r="Q480" s="484">
        <f>-SUMIFS(BV_Data_An_Prec!$AM:$AM,BV_Data_An_Prec!$AP:$AP,$B480,BV_Data_An_Prec!$AQ:$AQ,$C480,BV_Data_An_Prec!$AR:$AR,$L$2)</f>
        <v>0</v>
      </c>
      <c r="R480" s="480"/>
      <c r="S480" s="484">
        <f t="shared" si="83"/>
        <v>0</v>
      </c>
      <c r="T480" s="40"/>
      <c r="U480" s="40"/>
      <c r="V480" s="48"/>
      <c r="W480" s="40"/>
      <c r="X480" s="40"/>
      <c r="Y480" s="40"/>
      <c r="Z480" s="40"/>
      <c r="AA480" s="40"/>
      <c r="AB480" s="40"/>
      <c r="AC480" s="40"/>
      <c r="AD480" s="40"/>
      <c r="AE480" s="40"/>
      <c r="AF480" s="40"/>
      <c r="AG480" s="40"/>
      <c r="AH480" s="40"/>
      <c r="AI480" s="40"/>
      <c r="AJ480" s="40"/>
      <c r="AK480" s="40"/>
      <c r="AL480" s="40"/>
      <c r="AM480" s="40"/>
      <c r="AN480" s="40"/>
    </row>
    <row r="481" ht="20.25" hidden="1" customHeight="1">
      <c r="A481" s="5" t="s">
        <v>1038</v>
      </c>
      <c r="B481" s="48" t="s">
        <v>1025</v>
      </c>
      <c r="C481" s="559" t="s">
        <v>56</v>
      </c>
      <c r="D481" s="549"/>
      <c r="E481" s="564"/>
      <c r="F481" s="481" t="str">
        <f t="array" ref="F481">+INDEX('Budget original'!$A$2:$AO$501,MATCH($A481,'Budget original'!$A$2:$A$501,0),MATCH(F$2,'Budget original'!$A$2:$AO$2,0))</f>
        <v/>
      </c>
      <c r="G481" s="550"/>
      <c r="H481" s="564"/>
      <c r="I481" s="481"/>
      <c r="J481" s="471"/>
      <c r="K481" s="564"/>
      <c r="L481" s="484">
        <f>-SUMIFS(BV_Data_An_Cour!$AM:$AM,BV_Data_An_Cour!$AP:$AP,$B481,BV_Data_An_Cour!$AQ:$AQ,$C481,BV_Data_An_Cour!$AR:$AR,$L$2)</f>
        <v>0</v>
      </c>
      <c r="M481" s="471"/>
      <c r="N481" s="476"/>
      <c r="O481" s="471"/>
      <c r="P481" s="564"/>
      <c r="Q481" s="484">
        <f>-SUMIFS(BV_Data_An_Prec!$AM:$AM,BV_Data_An_Prec!$AP:$AP,$B481,BV_Data_An_Prec!$AQ:$AQ,$C481,BV_Data_An_Prec!$AR:$AR,$L$2)</f>
        <v>0</v>
      </c>
      <c r="R481" s="471"/>
      <c r="S481" s="476">
        <f t="shared" si="83"/>
        <v>0</v>
      </c>
      <c r="T481" s="40"/>
      <c r="U481" s="40"/>
      <c r="V481" s="48"/>
      <c r="W481" s="40"/>
      <c r="X481" s="40"/>
      <c r="Y481" s="40"/>
      <c r="Z481" s="40"/>
      <c r="AA481" s="40"/>
      <c r="AB481" s="40"/>
      <c r="AC481" s="40"/>
      <c r="AD481" s="40"/>
      <c r="AE481" s="40"/>
      <c r="AF481" s="40"/>
      <c r="AG481" s="40"/>
      <c r="AH481" s="40"/>
      <c r="AI481" s="40"/>
      <c r="AJ481" s="40"/>
      <c r="AK481" s="40"/>
      <c r="AL481" s="40"/>
      <c r="AM481" s="40"/>
      <c r="AN481" s="40"/>
    </row>
    <row r="482" ht="18.0" customHeight="1">
      <c r="A482" s="5"/>
      <c r="B482" s="48"/>
      <c r="C482" s="552" t="s">
        <v>142</v>
      </c>
      <c r="D482" s="553" t="s">
        <v>225</v>
      </c>
      <c r="E482" s="554">
        <f>IFERROR(F482/F$448,0)</f>
        <v>0</v>
      </c>
      <c r="F482" s="555">
        <f>+SUM(F465:F481)</f>
        <v>0</v>
      </c>
      <c r="G482" s="556"/>
      <c r="H482" s="554"/>
      <c r="I482" s="555"/>
      <c r="J482" s="556" t="s">
        <v>225</v>
      </c>
      <c r="K482" s="554">
        <f>IFERROR(L482/L$448,0)</f>
        <v>0.04051073812</v>
      </c>
      <c r="L482" s="555">
        <f>+SUM(L465:L481)</f>
        <v>2764.36</v>
      </c>
      <c r="M482" s="557"/>
      <c r="N482" s="555"/>
      <c r="O482" s="556" t="s">
        <v>225</v>
      </c>
      <c r="P482" s="554">
        <f>IFERROR(Q482/Q$448,0)</f>
        <v>0</v>
      </c>
      <c r="Q482" s="555">
        <f>+SUM(Q465:Q481)</f>
        <v>0</v>
      </c>
      <c r="R482" s="558"/>
      <c r="S482" s="555">
        <f>+SUM(S465:S481)</f>
        <v>2764.36</v>
      </c>
      <c r="T482" s="40"/>
      <c r="U482" s="40"/>
      <c r="V482" s="48"/>
      <c r="W482" s="48"/>
      <c r="X482" s="48"/>
      <c r="Y482" s="48"/>
      <c r="Z482" s="48"/>
      <c r="AA482" s="48"/>
      <c r="AB482" s="48"/>
      <c r="AC482" s="48"/>
      <c r="AD482" s="48"/>
      <c r="AE482" s="48"/>
      <c r="AF482" s="48"/>
      <c r="AG482" s="48"/>
      <c r="AH482" s="48"/>
      <c r="AI482" s="48"/>
      <c r="AJ482" s="48"/>
      <c r="AK482" s="48"/>
      <c r="AL482" s="48"/>
      <c r="AM482" s="48"/>
      <c r="AN482" s="48"/>
    </row>
    <row r="483" ht="15.75" customHeight="1">
      <c r="B483" s="3"/>
      <c r="C483" s="480"/>
      <c r="D483" s="48"/>
      <c r="E483" s="48"/>
      <c r="F483" s="514"/>
      <c r="G483" s="480"/>
      <c r="H483" s="48"/>
      <c r="I483" s="514"/>
      <c r="J483" s="480"/>
      <c r="K483" s="48"/>
      <c r="L483" s="484"/>
      <c r="M483" s="500"/>
      <c r="N483" s="502"/>
      <c r="O483" s="480"/>
      <c r="P483" s="48"/>
      <c r="Q483" s="484"/>
      <c r="R483" s="480"/>
      <c r="S483" s="504"/>
      <c r="T483" s="40"/>
      <c r="U483" s="40"/>
      <c r="V483" s="48"/>
      <c r="W483" s="40"/>
      <c r="X483" s="40"/>
      <c r="Y483" s="40"/>
      <c r="Z483" s="40"/>
      <c r="AA483" s="40"/>
      <c r="AB483" s="40"/>
      <c r="AC483" s="40"/>
      <c r="AD483" s="40"/>
      <c r="AE483" s="40"/>
      <c r="AF483" s="40"/>
      <c r="AG483" s="40"/>
      <c r="AH483" s="40"/>
      <c r="AI483" s="40"/>
      <c r="AJ483" s="40"/>
      <c r="AK483" s="40"/>
      <c r="AL483" s="40"/>
      <c r="AM483" s="40"/>
      <c r="AN483" s="40"/>
    </row>
    <row r="484" ht="18.0" customHeight="1">
      <c r="A484" s="5"/>
      <c r="B484" s="48"/>
      <c r="C484" s="552" t="s">
        <v>143</v>
      </c>
      <c r="D484" s="553" t="s">
        <v>225</v>
      </c>
      <c r="E484" s="554">
        <f>IFERROR(F484/F$448,0)</f>
        <v>0</v>
      </c>
      <c r="F484" s="555">
        <f>F464+F482</f>
        <v>0</v>
      </c>
      <c r="G484" s="556"/>
      <c r="H484" s="554"/>
      <c r="I484" s="555"/>
      <c r="J484" s="556" t="s">
        <v>225</v>
      </c>
      <c r="K484" s="554">
        <f>IFERROR(L484/L$448,0)</f>
        <v>0.3858067629</v>
      </c>
      <c r="L484" s="555">
        <f>L464+L482</f>
        <v>26326.57</v>
      </c>
      <c r="M484" s="557"/>
      <c r="N484" s="555"/>
      <c r="O484" s="556" t="s">
        <v>225</v>
      </c>
      <c r="P484" s="554">
        <f>IFERROR(Q484/Q$448,0)</f>
        <v>0</v>
      </c>
      <c r="Q484" s="555">
        <f>Q464+Q482</f>
        <v>0</v>
      </c>
      <c r="R484" s="558"/>
      <c r="S484" s="555">
        <f>L484-Q484</f>
        <v>26326.57</v>
      </c>
      <c r="T484" s="40"/>
      <c r="U484" s="40"/>
      <c r="V484" s="48"/>
      <c r="W484" s="48"/>
      <c r="X484" s="48"/>
      <c r="Y484" s="48"/>
      <c r="Z484" s="48"/>
      <c r="AA484" s="48"/>
      <c r="AB484" s="48"/>
      <c r="AC484" s="48"/>
      <c r="AD484" s="48"/>
      <c r="AE484" s="48"/>
      <c r="AF484" s="48"/>
      <c r="AG484" s="48"/>
      <c r="AH484" s="48"/>
      <c r="AI484" s="48"/>
      <c r="AJ484" s="48"/>
      <c r="AK484" s="48"/>
      <c r="AL484" s="48"/>
      <c r="AM484" s="48"/>
      <c r="AN484" s="48"/>
    </row>
    <row r="485" ht="15.75" customHeight="1">
      <c r="B485" s="3"/>
      <c r="C485" s="480"/>
      <c r="D485" s="48"/>
      <c r="E485" s="48"/>
      <c r="F485" s="484"/>
      <c r="G485" s="480"/>
      <c r="H485" s="48"/>
      <c r="I485" s="484"/>
      <c r="J485" s="480"/>
      <c r="K485" s="48"/>
      <c r="L485" s="484"/>
      <c r="M485" s="500"/>
      <c r="N485" s="502"/>
      <c r="O485" s="480"/>
      <c r="P485" s="48"/>
      <c r="Q485" s="484"/>
      <c r="R485" s="480"/>
      <c r="S485" s="504"/>
      <c r="T485" s="40"/>
      <c r="U485" s="40"/>
      <c r="V485" s="48"/>
      <c r="W485" s="40"/>
      <c r="X485" s="40"/>
      <c r="Y485" s="40"/>
      <c r="Z485" s="40"/>
      <c r="AA485" s="40"/>
      <c r="AB485" s="40"/>
      <c r="AC485" s="40"/>
      <c r="AD485" s="40"/>
      <c r="AE485" s="40"/>
      <c r="AF485" s="40"/>
      <c r="AG485" s="40"/>
      <c r="AH485" s="40"/>
      <c r="AI485" s="40"/>
      <c r="AJ485" s="40"/>
      <c r="AK485" s="40"/>
      <c r="AL485" s="40"/>
      <c r="AM485" s="40"/>
      <c r="AN485" s="40"/>
    </row>
    <row r="486" ht="18.0" customHeight="1">
      <c r="A486" s="5"/>
      <c r="B486" s="48"/>
      <c r="C486" s="579" t="s">
        <v>150</v>
      </c>
      <c r="D486" s="580"/>
      <c r="E486" s="581"/>
      <c r="F486" s="582" t="str">
        <f>#REF!-F484</f>
        <v>#REF!</v>
      </c>
      <c r="G486" s="583"/>
      <c r="H486" s="581"/>
      <c r="I486" s="582"/>
      <c r="J486" s="583"/>
      <c r="K486" s="581"/>
      <c r="L486" s="582">
        <f>L448-L484</f>
        <v>41911.14</v>
      </c>
      <c r="M486" s="584"/>
      <c r="N486" s="582"/>
      <c r="O486" s="583"/>
      <c r="P486" s="581"/>
      <c r="Q486" s="582">
        <f>Q448-Q484</f>
        <v>54634.71</v>
      </c>
      <c r="R486" s="585"/>
      <c r="S486" s="582">
        <f>L486-Q486</f>
        <v>-12723.57</v>
      </c>
      <c r="T486" s="40"/>
      <c r="U486" s="40"/>
      <c r="V486" s="48"/>
      <c r="W486" s="48"/>
      <c r="X486" s="48"/>
      <c r="Y486" s="48"/>
      <c r="Z486" s="48"/>
      <c r="AA486" s="48"/>
      <c r="AB486" s="48"/>
      <c r="AC486" s="48"/>
      <c r="AD486" s="48"/>
      <c r="AE486" s="48"/>
      <c r="AF486" s="483"/>
      <c r="AG486" s="48"/>
      <c r="AH486" s="48"/>
      <c r="AI486" s="48"/>
      <c r="AJ486" s="483"/>
      <c r="AK486" s="48"/>
      <c r="AL486" s="48"/>
      <c r="AM486" s="48"/>
      <c r="AN486" s="48"/>
    </row>
    <row r="487" ht="15.75" customHeight="1">
      <c r="B487" s="3"/>
      <c r="C487" s="11"/>
      <c r="D487" s="501"/>
      <c r="E487" s="48"/>
      <c r="F487" s="503">
        <f>F390+F326+F268</f>
        <v>0</v>
      </c>
      <c r="G487" s="546"/>
      <c r="H487" s="48"/>
      <c r="I487" s="503"/>
      <c r="J487" s="501"/>
      <c r="K487" s="11"/>
      <c r="L487" s="503"/>
      <c r="M487" s="11"/>
      <c r="N487" s="503"/>
      <c r="O487" s="11"/>
      <c r="P487" s="11"/>
      <c r="Q487" s="503"/>
      <c r="R487" s="11"/>
      <c r="S487" s="503"/>
      <c r="T487" s="40"/>
      <c r="U487" s="40"/>
      <c r="V487" s="48"/>
      <c r="W487" s="48"/>
      <c r="X487" s="48"/>
      <c r="Y487" s="48"/>
      <c r="Z487" s="48"/>
      <c r="AA487" s="48"/>
      <c r="AB487" s="48"/>
      <c r="AC487" s="48"/>
      <c r="AD487" s="48"/>
      <c r="AE487" s="48"/>
      <c r="AF487" s="483"/>
      <c r="AG487" s="48"/>
      <c r="AH487" s="48"/>
      <c r="AI487" s="48"/>
      <c r="AJ487" s="48"/>
      <c r="AK487" s="48"/>
      <c r="AL487" s="48"/>
      <c r="AM487" s="48"/>
      <c r="AN487" s="48"/>
    </row>
    <row r="488" ht="15.75" customHeight="1">
      <c r="B488" s="3"/>
      <c r="F488" s="503">
        <f>F429+F307+F365</f>
        <v>0</v>
      </c>
      <c r="L488" s="503"/>
      <c r="T488" s="40"/>
      <c r="U488" s="40"/>
      <c r="V488" s="48"/>
      <c r="W488" s="40"/>
      <c r="X488" s="40"/>
      <c r="Y488" s="40"/>
      <c r="Z488" s="40"/>
      <c r="AA488" s="40"/>
      <c r="AB488" s="40"/>
      <c r="AC488" s="40"/>
      <c r="AD488" s="40"/>
      <c r="AE488" s="40"/>
      <c r="AF488" s="40"/>
      <c r="AG488" s="40"/>
      <c r="AH488" s="40"/>
      <c r="AI488" s="40"/>
      <c r="AJ488" s="40"/>
      <c r="AK488" s="40"/>
      <c r="AL488" s="40"/>
      <c r="AM488" s="40"/>
      <c r="AN488" s="40"/>
    </row>
    <row r="489" ht="15.75" customHeight="1">
      <c r="B489" s="3"/>
      <c r="C489" s="668" t="s">
        <v>1058</v>
      </c>
      <c r="F489" s="669"/>
      <c r="L489" s="669"/>
      <c r="T489" s="40"/>
      <c r="U489" s="40"/>
      <c r="V489" s="670" t="str">
        <f>C1</f>
        <v>Ste-Marie Auto</v>
      </c>
      <c r="W489" s="450"/>
      <c r="X489" s="450"/>
      <c r="Y489" s="450"/>
      <c r="Z489" s="450"/>
      <c r="AA489" s="450"/>
      <c r="AB489" s="450"/>
      <c r="AC489" s="450"/>
      <c r="AD489" s="450"/>
      <c r="AE489" s="671"/>
      <c r="AF489" s="671" t="s">
        <v>1059</v>
      </c>
      <c r="AG489" s="450"/>
      <c r="AH489" s="450"/>
      <c r="AI489" s="450"/>
      <c r="AJ489" s="672"/>
      <c r="AK489" s="451"/>
      <c r="AL489" s="450"/>
      <c r="AM489" s="450"/>
      <c r="AN489" s="450"/>
      <c r="AO489" s="672"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ht="15.75" customHeight="1">
      <c r="B490" s="3"/>
      <c r="C490" s="668" t="s">
        <v>1058</v>
      </c>
      <c r="T490" s="40"/>
      <c r="U490" s="40"/>
      <c r="V490" s="673"/>
      <c r="W490" s="458"/>
      <c r="X490" s="458"/>
      <c r="Y490" s="458"/>
      <c r="Z490" s="458"/>
      <c r="AA490" s="458"/>
      <c r="AB490" s="458"/>
      <c r="AC490" s="458"/>
      <c r="AD490" s="458"/>
      <c r="AE490" s="458"/>
      <c r="AF490" s="458"/>
      <c r="AG490" s="458"/>
      <c r="AH490" s="458"/>
      <c r="AI490" s="458"/>
      <c r="AJ490" s="458"/>
      <c r="AK490" s="458"/>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ht="15.75" customHeight="1">
      <c r="A491" s="5" t="s">
        <v>1060</v>
      </c>
      <c r="B491" s="3"/>
      <c r="C491" s="668" t="s">
        <v>1058</v>
      </c>
      <c r="T491" s="40"/>
      <c r="U491" s="40"/>
      <c r="V491" s="674"/>
      <c r="W491" s="675"/>
      <c r="X491" s="675" t="s">
        <v>1061</v>
      </c>
      <c r="Y491" s="676"/>
      <c r="Z491" s="677"/>
      <c r="AA491" s="678"/>
      <c r="AB491" s="676"/>
      <c r="AC491" s="677"/>
      <c r="AD491" s="678" t="s">
        <v>775</v>
      </c>
      <c r="AE491" s="676"/>
      <c r="AF491" s="677"/>
      <c r="AG491" s="678" t="s">
        <v>776</v>
      </c>
      <c r="AH491" s="676"/>
      <c r="AI491" s="677"/>
      <c r="AJ491" s="678" t="s">
        <v>1062</v>
      </c>
      <c r="AK491" s="676"/>
      <c r="AL491" s="676"/>
      <c r="AM491" s="678" t="s">
        <v>1063</v>
      </c>
      <c r="AN491" s="676"/>
      <c r="AO491" s="679"/>
      <c r="AP491" s="40"/>
      <c r="AQ491" s="40"/>
      <c r="AR491" s="40"/>
      <c r="AS491" s="40"/>
      <c r="AT491" s="40"/>
      <c r="AU491" s="40"/>
      <c r="AV491" s="40"/>
      <c r="AW491" s="40"/>
      <c r="AX491" s="40"/>
      <c r="AY491" s="40"/>
      <c r="AZ491" s="40"/>
      <c r="BA491" s="40"/>
      <c r="BB491" s="40"/>
      <c r="BC491" s="40"/>
      <c r="BD491" s="40"/>
      <c r="BE491" s="40"/>
      <c r="BF491" s="40"/>
      <c r="BG491" s="40"/>
      <c r="BH491" s="40"/>
      <c r="BI491" s="40"/>
    </row>
    <row r="492" ht="15.75" customHeight="1">
      <c r="A492" s="5" t="s">
        <v>1060</v>
      </c>
      <c r="B492" s="3"/>
      <c r="C492" s="668" t="s">
        <v>1058</v>
      </c>
      <c r="T492" s="40"/>
      <c r="U492" s="40"/>
      <c r="V492" s="471"/>
      <c r="W492" s="650" t="s">
        <v>1064</v>
      </c>
      <c r="X492" s="650" t="s">
        <v>226</v>
      </c>
      <c r="Y492" s="650" t="s">
        <v>227</v>
      </c>
      <c r="Z492" s="680" t="s">
        <v>228</v>
      </c>
      <c r="AA492" s="650"/>
      <c r="AB492" s="650"/>
      <c r="AC492" s="680"/>
      <c r="AD492" s="681" t="s">
        <v>226</v>
      </c>
      <c r="AE492" s="650" t="s">
        <v>227</v>
      </c>
      <c r="AF492" s="650" t="s">
        <v>228</v>
      </c>
      <c r="AG492" s="681" t="s">
        <v>1065</v>
      </c>
      <c r="AH492" s="650" t="s">
        <v>1066</v>
      </c>
      <c r="AI492" s="650" t="s">
        <v>1067</v>
      </c>
      <c r="AJ492" s="681" t="s">
        <v>226</v>
      </c>
      <c r="AK492" s="650" t="s">
        <v>227</v>
      </c>
      <c r="AL492" s="650" t="s">
        <v>228</v>
      </c>
      <c r="AM492" s="682" t="s">
        <v>1065</v>
      </c>
      <c r="AN492" s="650" t="s">
        <v>1066</v>
      </c>
      <c r="AO492" s="590"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ht="15.75" customHeight="1">
      <c r="A493" s="5" t="s">
        <v>96</v>
      </c>
      <c r="B493" s="3"/>
      <c r="C493" s="668" t="s">
        <v>1058</v>
      </c>
      <c r="T493" s="40"/>
      <c r="U493" s="40"/>
      <c r="V493" s="560" t="s">
        <v>96</v>
      </c>
      <c r="W493" s="683"/>
      <c r="X493" s="683"/>
      <c r="Y493" s="683"/>
      <c r="Z493" s="684" t="str">
        <f>F5+F93+E268+E326+D390+#REF!</f>
        <v>#REF!</v>
      </c>
      <c r="AA493" s="683"/>
      <c r="AB493" s="683"/>
      <c r="AC493" s="684"/>
      <c r="AD493" s="685"/>
      <c r="AE493" s="686"/>
      <c r="AF493" s="684">
        <f>L5+L93+L173+K268+K326+J390+K448</f>
        <v>11196501.99</v>
      </c>
      <c r="AG493" s="685"/>
      <c r="AH493" s="686"/>
      <c r="AI493" s="687"/>
      <c r="AJ493" s="685"/>
      <c r="AK493" s="686"/>
      <c r="AL493" s="684">
        <f>Q5+Q93+Q173+P268+P326+O390+P448</f>
        <v>16454252.35</v>
      </c>
      <c r="AM493" s="688"/>
      <c r="AN493" s="686"/>
      <c r="AO493" s="689"/>
      <c r="AP493" s="40"/>
      <c r="AQ493" s="40"/>
      <c r="AR493" s="40"/>
      <c r="AS493" s="40"/>
      <c r="AT493" s="40"/>
      <c r="AU493" s="40"/>
      <c r="AV493" s="40"/>
      <c r="AW493" s="40"/>
      <c r="AX493" s="40"/>
      <c r="AY493" s="40"/>
      <c r="AZ493" s="40"/>
      <c r="BA493" s="40"/>
      <c r="BB493" s="40"/>
      <c r="BC493" s="40"/>
      <c r="BD493" s="40"/>
      <c r="BE493" s="40"/>
      <c r="BF493" s="40"/>
      <c r="BG493" s="40"/>
      <c r="BH493" s="40"/>
      <c r="BI493" s="40"/>
    </row>
    <row r="494" ht="21.0" customHeight="1">
      <c r="A494" s="5" t="s">
        <v>196</v>
      </c>
      <c r="B494" s="3"/>
      <c r="C494" s="668" t="s">
        <v>1058</v>
      </c>
      <c r="T494" s="40"/>
      <c r="U494" s="40"/>
      <c r="V494" s="690" t="s">
        <v>196</v>
      </c>
      <c r="W494" s="691"/>
      <c r="X494" s="692" t="str">
        <f>Z494/Z493</f>
        <v>#REF!</v>
      </c>
      <c r="Y494" s="691"/>
      <c r="Z494" s="693" t="str">
        <f>F27+F109+F268+F326+F390+#REF!</f>
        <v>#REF!</v>
      </c>
      <c r="AA494" s="691"/>
      <c r="AB494" s="691"/>
      <c r="AC494" s="693"/>
      <c r="AD494" s="692">
        <f>AF494/AF493</f>
        <v>0.05050386009</v>
      </c>
      <c r="AE494" s="694"/>
      <c r="AF494" s="693">
        <f>L27+L109+L182+L268+L326+L390+L448</f>
        <v>565466.57</v>
      </c>
      <c r="AG494" s="695"/>
      <c r="AH494" s="694" t="str">
        <f>AF494-Z494</f>
        <v>#REF!</v>
      </c>
      <c r="AI494" s="696" t="str">
        <f>AH494/Z494</f>
        <v>#REF!</v>
      </c>
      <c r="AJ494" s="692">
        <f>AL494/AL493</f>
        <v>0.05034875802</v>
      </c>
      <c r="AK494" s="694"/>
      <c r="AL494" s="693">
        <f>Q27+Q109+Q182+Q268+Q326+Q390+Q448</f>
        <v>828451.17</v>
      </c>
      <c r="AM494" s="697"/>
      <c r="AN494" s="694">
        <f>AF494-AL494</f>
        <v>-262984.6</v>
      </c>
      <c r="AO494" s="698">
        <f>IF(AL494=0,0,AN494/AL494)</f>
        <v>-0.3174412802</v>
      </c>
      <c r="AP494" s="40"/>
      <c r="AQ494" s="40"/>
      <c r="AR494" s="40"/>
      <c r="AS494" s="40"/>
      <c r="AT494" s="40"/>
      <c r="AU494" s="40"/>
      <c r="AV494" s="40"/>
      <c r="AW494" s="40"/>
      <c r="AX494" s="40"/>
      <c r="AY494" s="40"/>
      <c r="AZ494" s="40"/>
      <c r="BA494" s="40"/>
      <c r="BB494" s="40"/>
      <c r="BC494" s="40"/>
      <c r="BD494" s="40"/>
      <c r="BE494" s="40"/>
      <c r="BF494" s="40"/>
      <c r="BG494" s="40"/>
      <c r="BH494" s="40"/>
      <c r="BI494" s="40"/>
    </row>
    <row r="495" ht="15.75" customHeight="1">
      <c r="A495" s="5" t="s">
        <v>197</v>
      </c>
      <c r="B495" s="3"/>
      <c r="C495" s="668" t="s">
        <v>1058</v>
      </c>
      <c r="T495" s="40"/>
      <c r="U495" s="40"/>
      <c r="V495" s="699" t="s">
        <v>197</v>
      </c>
      <c r="W495" s="700"/>
      <c r="X495" s="700"/>
      <c r="Y495" s="700"/>
      <c r="Z495" s="701"/>
      <c r="AA495" s="700"/>
      <c r="AB495" s="700"/>
      <c r="AC495" s="701"/>
      <c r="AD495" s="702"/>
      <c r="AE495" s="703"/>
      <c r="AF495" s="701"/>
      <c r="AG495" s="702"/>
      <c r="AH495" s="703"/>
      <c r="AI495" s="704"/>
      <c r="AJ495" s="702"/>
      <c r="AK495" s="703"/>
      <c r="AL495" s="701"/>
      <c r="AM495" s="705"/>
      <c r="AN495" s="703"/>
      <c r="AO495" s="706"/>
      <c r="AP495" s="40"/>
      <c r="AQ495" s="40"/>
      <c r="AR495" s="40"/>
      <c r="AS495" s="40"/>
      <c r="AT495" s="40"/>
      <c r="AU495" s="40"/>
      <c r="AV495" s="40"/>
      <c r="AW495" s="40"/>
      <c r="AX495" s="40"/>
      <c r="AY495" s="40"/>
      <c r="AZ495" s="40"/>
      <c r="BA495" s="40"/>
      <c r="BB495" s="40"/>
      <c r="BC495" s="40"/>
      <c r="BD495" s="40"/>
      <c r="BE495" s="40"/>
      <c r="BF495" s="40"/>
      <c r="BG495" s="40"/>
      <c r="BH495" s="40"/>
      <c r="BI495" s="40"/>
    </row>
    <row r="496" ht="15.75" customHeight="1">
      <c r="A496" s="5" t="s">
        <v>111</v>
      </c>
      <c r="B496" s="3"/>
      <c r="C496" s="668" t="s">
        <v>1058</v>
      </c>
      <c r="T496" s="40"/>
      <c r="U496" s="40"/>
      <c r="V496" s="559" t="s">
        <v>111</v>
      </c>
      <c r="W496" s="707" t="s">
        <v>1068</v>
      </c>
      <c r="X496" s="700"/>
      <c r="Y496" s="708" t="str">
        <f t="shared" ref="Y496:Y505" si="86">Z496/(D$13+D$97)</f>
        <v>#DIV/0!</v>
      </c>
      <c r="Z496" s="701">
        <f t="shared" ref="Z496:Z502" si="87">+SUMIF($C:$C,$V496,F:F)</f>
        <v>0</v>
      </c>
      <c r="AA496" s="700"/>
      <c r="AB496" s="708"/>
      <c r="AC496" s="701"/>
      <c r="AD496" s="709"/>
      <c r="AE496" s="703">
        <f t="shared" ref="AE496:AE504" si="88">IF(AF496=0,0,AF496/(J$13+J$97))</f>
        <v>519.5713861</v>
      </c>
      <c r="AF496" s="701">
        <f t="shared" ref="AF496:AF502" si="89">+SUMIF($C:$C,$V496,L:L)</f>
        <v>52476.71</v>
      </c>
      <c r="AG496" s="702" t="str">
        <f t="shared" ref="AG496:AH496" si="84">AE496-Y496</f>
        <v>#DIV/0!</v>
      </c>
      <c r="AH496" s="703">
        <f t="shared" si="84"/>
        <v>52476.71</v>
      </c>
      <c r="AI496" s="704">
        <f t="shared" ref="AI496:AI505" si="91">IF(Z496=0,0,AH496/Z496)</f>
        <v>0</v>
      </c>
      <c r="AJ496" s="709"/>
      <c r="AK496" s="703">
        <f t="shared" ref="AK496:AK504" si="92">IF(AL496=0,0,AL496/(O$13+O$97))</f>
        <v>1116.330263</v>
      </c>
      <c r="AL496" s="701">
        <f>SUMIFS(BV_Data_An_Prec!$AM:$AM,BV_Data_An_Prec!$AQ:$AQ,$V496)</f>
        <v>84841.1</v>
      </c>
      <c r="AM496" s="705">
        <f t="shared" ref="AM496:AN496" si="85">AE496-AK496</f>
        <v>-596.758877</v>
      </c>
      <c r="AN496" s="703">
        <f t="shared" si="85"/>
        <v>-32364.39</v>
      </c>
      <c r="AO496" s="710">
        <f t="shared" ref="AO496:AO553" si="94">IF(AL496=0,0,AN496/AL496)</f>
        <v>-0.3814706551</v>
      </c>
      <c r="AP496" s="40"/>
      <c r="AQ496" s="40"/>
      <c r="AR496" s="3"/>
      <c r="AS496" s="40"/>
      <c r="AT496" s="40"/>
      <c r="AU496" s="40"/>
      <c r="AV496" s="40"/>
      <c r="AW496" s="40"/>
      <c r="AX496" s="40"/>
      <c r="AY496" s="40"/>
      <c r="AZ496" s="40"/>
      <c r="BA496" s="40"/>
      <c r="BB496" s="40"/>
      <c r="BC496" s="40"/>
      <c r="BD496" s="40"/>
      <c r="BE496" s="40"/>
      <c r="BF496" s="40"/>
      <c r="BG496" s="40"/>
      <c r="BH496" s="40"/>
      <c r="BI496" s="40"/>
    </row>
    <row r="497" ht="15.75" customHeight="1">
      <c r="A497" s="5" t="s">
        <v>112</v>
      </c>
      <c r="B497" s="3"/>
      <c r="C497" s="668" t="s">
        <v>1058</v>
      </c>
      <c r="T497" s="40"/>
      <c r="U497" s="40"/>
      <c r="V497" s="560" t="s">
        <v>112</v>
      </c>
      <c r="W497" s="711" t="s">
        <v>1069</v>
      </c>
      <c r="X497" s="683"/>
      <c r="Y497" s="712" t="str">
        <f t="shared" si="86"/>
        <v>#DIV/0!</v>
      </c>
      <c r="Z497" s="684">
        <f t="shared" si="87"/>
        <v>0</v>
      </c>
      <c r="AA497" s="683"/>
      <c r="AB497" s="712"/>
      <c r="AC497" s="684"/>
      <c r="AD497" s="713"/>
      <c r="AE497" s="686">
        <f t="shared" si="88"/>
        <v>165.0756436</v>
      </c>
      <c r="AF497" s="684">
        <f t="shared" si="89"/>
        <v>16672.64</v>
      </c>
      <c r="AG497" s="685" t="str">
        <f t="shared" ref="AG497:AH497" si="90">AE497-Y497</f>
        <v>#DIV/0!</v>
      </c>
      <c r="AH497" s="686">
        <f t="shared" si="90"/>
        <v>16672.64</v>
      </c>
      <c r="AI497" s="714">
        <f t="shared" si="91"/>
        <v>0</v>
      </c>
      <c r="AJ497" s="713"/>
      <c r="AK497" s="686">
        <f t="shared" si="92"/>
        <v>278.6752632</v>
      </c>
      <c r="AL497" s="684">
        <f>SUMIFS(BV_Data_An_Prec!$AM:$AM,BV_Data_An_Prec!$AQ:$AQ,$V497)</f>
        <v>21179.32</v>
      </c>
      <c r="AM497" s="688">
        <f t="shared" ref="AM497:AN497" si="93">AE497-AK497</f>
        <v>-113.5996196</v>
      </c>
      <c r="AN497" s="686">
        <f t="shared" si="93"/>
        <v>-4506.68</v>
      </c>
      <c r="AO497" s="689">
        <f t="shared" si="94"/>
        <v>-0.2127868128</v>
      </c>
      <c r="AP497" s="40"/>
      <c r="AQ497" s="40"/>
      <c r="AR497" s="48"/>
      <c r="AS497" s="40"/>
      <c r="AT497" s="40"/>
      <c r="AU497" s="40"/>
      <c r="AV497" s="40"/>
      <c r="AW497" s="40"/>
      <c r="AX497" s="40"/>
      <c r="AY497" s="40"/>
      <c r="AZ497" s="40"/>
      <c r="BA497" s="40"/>
      <c r="BB497" s="40"/>
      <c r="BC497" s="40"/>
      <c r="BD497" s="40"/>
      <c r="BE497" s="40"/>
      <c r="BF497" s="40"/>
      <c r="BG497" s="40"/>
      <c r="BH497" s="40"/>
      <c r="BI497" s="40"/>
    </row>
    <row r="498" ht="15.75" customHeight="1">
      <c r="A498" s="5" t="s">
        <v>113</v>
      </c>
      <c r="B498" s="3"/>
      <c r="C498" s="668" t="s">
        <v>1058</v>
      </c>
      <c r="T498" s="40"/>
      <c r="U498" s="40"/>
      <c r="V498" s="559" t="s">
        <v>113</v>
      </c>
      <c r="W498" s="707" t="s">
        <v>1070</v>
      </c>
      <c r="X498" s="700"/>
      <c r="Y498" s="708" t="str">
        <f t="shared" si="86"/>
        <v>#DIV/0!</v>
      </c>
      <c r="Z498" s="701">
        <f t="shared" si="87"/>
        <v>0</v>
      </c>
      <c r="AA498" s="700"/>
      <c r="AB498" s="708"/>
      <c r="AC498" s="701"/>
      <c r="AD498" s="709"/>
      <c r="AE498" s="703">
        <f t="shared" si="88"/>
        <v>275.1953465</v>
      </c>
      <c r="AF498" s="701">
        <f t="shared" si="89"/>
        <v>27794.73</v>
      </c>
      <c r="AG498" s="702" t="str">
        <f t="shared" ref="AG498:AH498" si="95">AE498-Y498</f>
        <v>#DIV/0!</v>
      </c>
      <c r="AH498" s="703">
        <f t="shared" si="95"/>
        <v>27794.73</v>
      </c>
      <c r="AI498" s="704">
        <f t="shared" si="91"/>
        <v>0</v>
      </c>
      <c r="AJ498" s="709"/>
      <c r="AK498" s="703">
        <f t="shared" si="92"/>
        <v>-72.43447368</v>
      </c>
      <c r="AL498" s="701">
        <f>SUMIFS(BV_Data_An_Prec!$AM:$AM,BV_Data_An_Prec!$AQ:$AQ,$V498)</f>
        <v>-5505.02</v>
      </c>
      <c r="AM498" s="705">
        <f t="shared" ref="AM498:AN498" si="96">AE498-AK498</f>
        <v>347.6298202</v>
      </c>
      <c r="AN498" s="703">
        <f t="shared" si="96"/>
        <v>33299.75</v>
      </c>
      <c r="AO498" s="710">
        <f t="shared" si="94"/>
        <v>-6.048978932</v>
      </c>
      <c r="AP498" s="40"/>
      <c r="AQ498" s="40"/>
      <c r="AR498" s="48"/>
      <c r="AS498" s="40"/>
      <c r="AT498" s="40"/>
      <c r="AU498" s="40"/>
      <c r="AV498" s="40"/>
      <c r="AW498" s="40"/>
      <c r="AX498" s="40"/>
      <c r="AY498" s="40"/>
      <c r="AZ498" s="40"/>
      <c r="BA498" s="40"/>
      <c r="BB498" s="40"/>
      <c r="BC498" s="40"/>
      <c r="BD498" s="40"/>
      <c r="BE498" s="40"/>
      <c r="BF498" s="40"/>
      <c r="BG498" s="40"/>
      <c r="BH498" s="40"/>
      <c r="BI498" s="40"/>
    </row>
    <row r="499" ht="15.75" customHeight="1">
      <c r="A499" s="5" t="s">
        <v>114</v>
      </c>
      <c r="B499" s="3"/>
      <c r="C499" s="668" t="s">
        <v>1058</v>
      </c>
      <c r="T499" s="40"/>
      <c r="U499" s="40"/>
      <c r="V499" s="559" t="s">
        <v>114</v>
      </c>
      <c r="W499" s="707" t="s">
        <v>1071</v>
      </c>
      <c r="X499" s="700"/>
      <c r="Y499" s="708" t="str">
        <f t="shared" si="86"/>
        <v>#DIV/0!</v>
      </c>
      <c r="Z499" s="701">
        <f t="shared" si="87"/>
        <v>0</v>
      </c>
      <c r="AA499" s="700"/>
      <c r="AB499" s="708"/>
      <c r="AC499" s="701"/>
      <c r="AD499" s="709"/>
      <c r="AE499" s="703">
        <f t="shared" si="88"/>
        <v>7.764059406</v>
      </c>
      <c r="AF499" s="701">
        <f t="shared" si="89"/>
        <v>784.17</v>
      </c>
      <c r="AG499" s="702" t="str">
        <f t="shared" ref="AG499:AH499" si="97">AE499-Y499</f>
        <v>#DIV/0!</v>
      </c>
      <c r="AH499" s="703">
        <f t="shared" si="97"/>
        <v>784.17</v>
      </c>
      <c r="AI499" s="704">
        <f t="shared" si="91"/>
        <v>0</v>
      </c>
      <c r="AJ499" s="709"/>
      <c r="AK499" s="703">
        <f t="shared" si="92"/>
        <v>6.210789474</v>
      </c>
      <c r="AL499" s="701">
        <f>SUMIFS(BV_Data_An_Prec!$AM:$AM,BV_Data_An_Prec!$AQ:$AQ,$V499)</f>
        <v>472.02</v>
      </c>
      <c r="AM499" s="705">
        <f t="shared" ref="AM499:AN499" si="98">AE499-AK499</f>
        <v>1.553269932</v>
      </c>
      <c r="AN499" s="703">
        <f t="shared" si="98"/>
        <v>312.15</v>
      </c>
      <c r="AO499" s="710">
        <f t="shared" si="94"/>
        <v>0.6613067243</v>
      </c>
      <c r="AP499" s="40"/>
      <c r="AQ499" s="40"/>
      <c r="AR499" s="48"/>
      <c r="AS499" s="40"/>
      <c r="AT499" s="40"/>
      <c r="AU499" s="40"/>
      <c r="AV499" s="40"/>
      <c r="AW499" s="40"/>
      <c r="AX499" s="40"/>
      <c r="AY499" s="40"/>
      <c r="AZ499" s="40"/>
      <c r="BA499" s="40"/>
      <c r="BB499" s="40"/>
      <c r="BC499" s="40"/>
      <c r="BD499" s="40"/>
      <c r="BE499" s="40"/>
      <c r="BF499" s="40"/>
      <c r="BG499" s="40"/>
      <c r="BH499" s="40"/>
      <c r="BI499" s="40"/>
    </row>
    <row r="500" ht="15.75" customHeight="1">
      <c r="A500" s="5" t="s">
        <v>115</v>
      </c>
      <c r="B500" s="3"/>
      <c r="C500" s="668" t="s">
        <v>1058</v>
      </c>
      <c r="T500" s="40"/>
      <c r="U500" s="40"/>
      <c r="V500" s="560" t="s">
        <v>115</v>
      </c>
      <c r="W500" s="711"/>
      <c r="X500" s="683"/>
      <c r="Y500" s="712" t="str">
        <f t="shared" si="86"/>
        <v>#DIV/0!</v>
      </c>
      <c r="Z500" s="684">
        <f t="shared" si="87"/>
        <v>0</v>
      </c>
      <c r="AA500" s="683"/>
      <c r="AB500" s="712"/>
      <c r="AC500" s="684"/>
      <c r="AD500" s="713"/>
      <c r="AE500" s="686">
        <f t="shared" si="88"/>
        <v>31.03613861</v>
      </c>
      <c r="AF500" s="684">
        <f t="shared" si="89"/>
        <v>3134.65</v>
      </c>
      <c r="AG500" s="685" t="str">
        <f t="shared" ref="AG500:AH500" si="99">AE500-Y500</f>
        <v>#DIV/0!</v>
      </c>
      <c r="AH500" s="686">
        <f t="shared" si="99"/>
        <v>3134.65</v>
      </c>
      <c r="AI500" s="714">
        <f t="shared" si="91"/>
        <v>0</v>
      </c>
      <c r="AJ500" s="713"/>
      <c r="AK500" s="686">
        <f t="shared" si="92"/>
        <v>0</v>
      </c>
      <c r="AL500" s="684">
        <f>SUMIFS(BV_Data_An_Prec!$AM:$AM,BV_Data_An_Prec!$AQ:$AQ,$V500)</f>
        <v>0</v>
      </c>
      <c r="AM500" s="688">
        <f t="shared" ref="AM500:AN500" si="100">AE500-AK500</f>
        <v>31.03613861</v>
      </c>
      <c r="AN500" s="686">
        <f t="shared" si="100"/>
        <v>3134.65</v>
      </c>
      <c r="AO500" s="689">
        <f t="shared" si="94"/>
        <v>0</v>
      </c>
      <c r="AP500" s="40"/>
      <c r="AQ500" s="40"/>
      <c r="AR500" s="48"/>
      <c r="AS500" s="40"/>
      <c r="AT500" s="40"/>
      <c r="AU500" s="40"/>
      <c r="AV500" s="40"/>
      <c r="AW500" s="40"/>
      <c r="AX500" s="40"/>
      <c r="AY500" s="40"/>
      <c r="AZ500" s="40"/>
      <c r="BA500" s="40"/>
      <c r="BB500" s="40"/>
      <c r="BC500" s="40"/>
      <c r="BD500" s="40"/>
      <c r="BE500" s="40"/>
      <c r="BF500" s="40"/>
      <c r="BG500" s="40"/>
      <c r="BH500" s="40"/>
      <c r="BI500" s="40"/>
    </row>
    <row r="501" ht="15.75" customHeight="1">
      <c r="A501" s="5" t="s">
        <v>116</v>
      </c>
      <c r="B501" s="3"/>
      <c r="C501" s="668" t="s">
        <v>1058</v>
      </c>
      <c r="T501" s="40"/>
      <c r="U501" s="40"/>
      <c r="V501" s="559" t="s">
        <v>116</v>
      </c>
      <c r="W501" s="707" t="s">
        <v>1072</v>
      </c>
      <c r="X501" s="704"/>
      <c r="Y501" s="708" t="str">
        <f t="shared" si="86"/>
        <v>#DIV/0!</v>
      </c>
      <c r="Z501" s="701">
        <f t="shared" si="87"/>
        <v>0</v>
      </c>
      <c r="AA501" s="704"/>
      <c r="AB501" s="708"/>
      <c r="AC501" s="701"/>
      <c r="AD501" s="709"/>
      <c r="AE501" s="703">
        <f t="shared" si="88"/>
        <v>-548.2077228</v>
      </c>
      <c r="AF501" s="701">
        <f t="shared" si="89"/>
        <v>-55368.98</v>
      </c>
      <c r="AG501" s="702" t="str">
        <f t="shared" ref="AG501:AH501" si="101">AE501-Y501</f>
        <v>#DIV/0!</v>
      </c>
      <c r="AH501" s="703">
        <f t="shared" si="101"/>
        <v>-55368.98</v>
      </c>
      <c r="AI501" s="704">
        <f t="shared" si="91"/>
        <v>0</v>
      </c>
      <c r="AJ501" s="709"/>
      <c r="AK501" s="703">
        <f t="shared" si="92"/>
        <v>-1186.094079</v>
      </c>
      <c r="AL501" s="701">
        <f>SUMIFS(BV_Data_An_Prec!$AM:$AM,BV_Data_An_Prec!$AQ:$AQ,$V501)</f>
        <v>-90143.15</v>
      </c>
      <c r="AM501" s="705">
        <f t="shared" ref="AM501:AN501" si="102">AE501-AK501</f>
        <v>637.8863562</v>
      </c>
      <c r="AN501" s="703">
        <f t="shared" si="102"/>
        <v>34774.17</v>
      </c>
      <c r="AO501" s="710">
        <f t="shared" si="94"/>
        <v>-0.3857660843</v>
      </c>
      <c r="AP501" s="40"/>
      <c r="AQ501" s="40"/>
      <c r="AR501" s="48"/>
      <c r="AS501" s="40"/>
      <c r="AT501" s="40"/>
      <c r="AU501" s="40"/>
      <c r="AV501" s="40"/>
      <c r="AW501" s="40"/>
      <c r="AX501" s="40"/>
      <c r="AY501" s="40"/>
      <c r="AZ501" s="40"/>
      <c r="BA501" s="40"/>
      <c r="BB501" s="40"/>
      <c r="BC501" s="40"/>
      <c r="BD501" s="40"/>
      <c r="BE501" s="40"/>
      <c r="BF501" s="40"/>
      <c r="BG501" s="40"/>
      <c r="BH501" s="40"/>
      <c r="BI501" s="40"/>
    </row>
    <row r="502" ht="15.75" customHeight="1">
      <c r="A502" s="5" t="s">
        <v>117</v>
      </c>
      <c r="B502" s="3"/>
      <c r="C502" s="668" t="s">
        <v>1058</v>
      </c>
      <c r="T502" s="40"/>
      <c r="U502" s="40"/>
      <c r="V502" s="559" t="s">
        <v>117</v>
      </c>
      <c r="W502" s="707" t="s">
        <v>1073</v>
      </c>
      <c r="X502" s="700"/>
      <c r="Y502" s="708" t="str">
        <f t="shared" si="86"/>
        <v>#DIV/0!</v>
      </c>
      <c r="Z502" s="701">
        <f t="shared" si="87"/>
        <v>0</v>
      </c>
      <c r="AA502" s="700"/>
      <c r="AB502" s="708"/>
      <c r="AC502" s="701"/>
      <c r="AD502" s="709"/>
      <c r="AE502" s="703">
        <f t="shared" si="88"/>
        <v>486.2711881</v>
      </c>
      <c r="AF502" s="701">
        <f t="shared" si="89"/>
        <v>49113.39</v>
      </c>
      <c r="AG502" s="702" t="str">
        <f t="shared" ref="AG502:AH502" si="103">AE502-Y502</f>
        <v>#DIV/0!</v>
      </c>
      <c r="AH502" s="703">
        <f t="shared" si="103"/>
        <v>49113.39</v>
      </c>
      <c r="AI502" s="704">
        <f t="shared" si="91"/>
        <v>0</v>
      </c>
      <c r="AJ502" s="709"/>
      <c r="AK502" s="703">
        <f t="shared" si="92"/>
        <v>766.2294737</v>
      </c>
      <c r="AL502" s="701">
        <f>SUMIFS(BV_Data_An_Prec!$AM:$AM,BV_Data_An_Prec!$AQ:$AQ,$V502)</f>
        <v>58233.44</v>
      </c>
      <c r="AM502" s="705">
        <f t="shared" ref="AM502:AN502" si="104">AE502-AK502</f>
        <v>-279.9582856</v>
      </c>
      <c r="AN502" s="703">
        <f t="shared" si="104"/>
        <v>-9120.05</v>
      </c>
      <c r="AO502" s="710">
        <f t="shared" si="94"/>
        <v>-0.1566119055</v>
      </c>
      <c r="AP502" s="40"/>
      <c r="AQ502" s="40"/>
      <c r="AR502" s="48"/>
      <c r="AS502" s="40"/>
      <c r="AT502" s="40"/>
      <c r="AU502" s="40"/>
      <c r="AV502" s="40"/>
      <c r="AW502" s="40"/>
      <c r="AX502" s="40"/>
      <c r="AY502" s="40"/>
      <c r="AZ502" s="40"/>
      <c r="BA502" s="40"/>
      <c r="BB502" s="40"/>
      <c r="BC502" s="40"/>
      <c r="BD502" s="40"/>
      <c r="BE502" s="40"/>
      <c r="BF502" s="40"/>
      <c r="BG502" s="40"/>
      <c r="BH502" s="40"/>
      <c r="BI502" s="40"/>
    </row>
    <row r="503" ht="15.75" customHeight="1">
      <c r="A503" s="5" t="s">
        <v>56</v>
      </c>
      <c r="B503" s="3"/>
      <c r="C503" s="668" t="s">
        <v>1058</v>
      </c>
      <c r="T503" s="40"/>
      <c r="U503" s="40"/>
      <c r="V503" s="559" t="s">
        <v>813</v>
      </c>
      <c r="W503" s="707"/>
      <c r="X503" s="704"/>
      <c r="Y503" s="708" t="str">
        <f t="shared" si="86"/>
        <v>#DIV/0!</v>
      </c>
      <c r="Z503" s="701">
        <f t="shared" ref="Z503:Z505" si="107">IFERROR(SUMIF($C:$C,$V503,F:F),0)</f>
        <v>0</v>
      </c>
      <c r="AA503" s="700"/>
      <c r="AB503" s="708"/>
      <c r="AC503" s="701"/>
      <c r="AD503" s="709"/>
      <c r="AE503" s="703">
        <f t="shared" si="88"/>
        <v>-1270.494455</v>
      </c>
      <c r="AF503" s="701">
        <f t="shared" ref="AF503:AF505" si="108">IFERROR(SUMIF($C:$C,$V503,L:L),0)</f>
        <v>-128319.94</v>
      </c>
      <c r="AG503" s="702" t="str">
        <f t="shared" ref="AG503:AH503" si="105">AE503-Y503</f>
        <v>#DIV/0!</v>
      </c>
      <c r="AH503" s="703">
        <f t="shared" si="105"/>
        <v>-128319.94</v>
      </c>
      <c r="AI503" s="704">
        <f t="shared" si="91"/>
        <v>0</v>
      </c>
      <c r="AJ503" s="709"/>
      <c r="AK503" s="703">
        <f t="shared" si="92"/>
        <v>-2902.721579</v>
      </c>
      <c r="AL503" s="701">
        <f>SUMIFS(BV_Data_An_Prec!$AM:$AM,BV_Data_An_Prec!$AQ:$AQ,$V503)</f>
        <v>-220606.84</v>
      </c>
      <c r="AM503" s="705">
        <f t="shared" ref="AM503:AN503" si="106">AE503-AK503</f>
        <v>1632.227124</v>
      </c>
      <c r="AN503" s="703">
        <f t="shared" si="106"/>
        <v>92286.9</v>
      </c>
      <c r="AO503" s="710">
        <f t="shared" si="94"/>
        <v>-0.4183319973</v>
      </c>
      <c r="AP503" s="40"/>
      <c r="AQ503" s="40"/>
      <c r="AR503" s="48"/>
      <c r="AS503" s="40"/>
      <c r="AT503" s="40"/>
      <c r="AU503" s="40"/>
      <c r="AV503" s="40"/>
      <c r="AW503" s="40"/>
      <c r="AX503" s="40"/>
      <c r="AY503" s="40"/>
      <c r="AZ503" s="40"/>
      <c r="BA503" s="40"/>
      <c r="BB503" s="40"/>
      <c r="BC503" s="40"/>
      <c r="BD503" s="40"/>
      <c r="BE503" s="40"/>
      <c r="BF503" s="40"/>
      <c r="BG503" s="40"/>
      <c r="BH503" s="40"/>
      <c r="BI503" s="40"/>
    </row>
    <row r="504" ht="15.75" customHeight="1">
      <c r="A504" s="5" t="s">
        <v>56</v>
      </c>
      <c r="B504" s="3"/>
      <c r="C504" s="668" t="s">
        <v>1058</v>
      </c>
      <c r="T504" s="40"/>
      <c r="U504" s="40"/>
      <c r="V504" s="559" t="s">
        <v>814</v>
      </c>
      <c r="W504" s="707"/>
      <c r="X504" s="704"/>
      <c r="Y504" s="708" t="str">
        <f t="shared" si="86"/>
        <v>#DIV/0!</v>
      </c>
      <c r="Z504" s="701">
        <f t="shared" si="107"/>
        <v>0</v>
      </c>
      <c r="AA504" s="700"/>
      <c r="AB504" s="708"/>
      <c r="AC504" s="701"/>
      <c r="AD504" s="709"/>
      <c r="AE504" s="703">
        <f t="shared" si="88"/>
        <v>-114.2237624</v>
      </c>
      <c r="AF504" s="701">
        <f t="shared" si="108"/>
        <v>-11536.6</v>
      </c>
      <c r="AG504" s="702" t="str">
        <f t="shared" ref="AG504:AH504" si="109">AE504-Y504</f>
        <v>#DIV/0!</v>
      </c>
      <c r="AH504" s="703">
        <f t="shared" si="109"/>
        <v>-11536.6</v>
      </c>
      <c r="AI504" s="704">
        <f t="shared" si="91"/>
        <v>0</v>
      </c>
      <c r="AJ504" s="709"/>
      <c r="AK504" s="703">
        <f t="shared" si="92"/>
        <v>0</v>
      </c>
      <c r="AL504" s="701">
        <f>SUMIFS(BV_Data_An_Prec!$AM:$AM,BV_Data_An_Prec!$AQ:$AQ,$V504)</f>
        <v>0</v>
      </c>
      <c r="AM504" s="705">
        <f t="shared" ref="AM504:AN504" si="110">AE504-AK504</f>
        <v>-114.2237624</v>
      </c>
      <c r="AN504" s="703">
        <f t="shared" si="110"/>
        <v>-11536.6</v>
      </c>
      <c r="AO504" s="710">
        <f t="shared" si="94"/>
        <v>0</v>
      </c>
      <c r="AP504" s="40"/>
      <c r="AQ504" s="40"/>
      <c r="AR504" s="48"/>
      <c r="AS504" s="40"/>
      <c r="AT504" s="40"/>
      <c r="AU504" s="40"/>
      <c r="AV504" s="40"/>
      <c r="AW504" s="40"/>
      <c r="AX504" s="40"/>
      <c r="AY504" s="40"/>
      <c r="AZ504" s="40"/>
      <c r="BA504" s="40"/>
      <c r="BB504" s="40"/>
      <c r="BC504" s="40"/>
      <c r="BD504" s="40"/>
      <c r="BE504" s="40"/>
      <c r="BF504" s="40"/>
      <c r="BG504" s="40"/>
      <c r="BH504" s="40"/>
      <c r="BI504" s="40"/>
    </row>
    <row r="505" ht="20.25" hidden="1" customHeight="1">
      <c r="A505" s="5" t="s">
        <v>56</v>
      </c>
      <c r="B505" s="3"/>
      <c r="C505" s="668" t="s">
        <v>1058</v>
      </c>
      <c r="T505" s="40"/>
      <c r="U505" s="40"/>
      <c r="V505" s="559" t="s">
        <v>56</v>
      </c>
      <c r="W505" s="707" t="s">
        <v>1073</v>
      </c>
      <c r="X505" s="700"/>
      <c r="Y505" s="708" t="str">
        <f t="shared" si="86"/>
        <v>#DIV/0!</v>
      </c>
      <c r="Z505" s="701">
        <f t="shared" si="107"/>
        <v>0</v>
      </c>
      <c r="AA505" s="700"/>
      <c r="AB505" s="708"/>
      <c r="AC505" s="701"/>
      <c r="AD505" s="709"/>
      <c r="AE505" s="703">
        <f>IF(AF505=0,0,AF505/(J$13+J$13))</f>
        <v>0</v>
      </c>
      <c r="AF505" s="701">
        <f t="shared" si="108"/>
        <v>0</v>
      </c>
      <c r="AG505" s="702" t="str">
        <f t="shared" ref="AG505:AH505" si="111">AE505-Y505</f>
        <v>#DIV/0!</v>
      </c>
      <c r="AH505" s="703">
        <f t="shared" si="111"/>
        <v>0</v>
      </c>
      <c r="AI505" s="704">
        <f t="shared" si="91"/>
        <v>0</v>
      </c>
      <c r="AJ505" s="709"/>
      <c r="AK505" s="703">
        <f>IF(AL505=0,0,AL505/(P$13+P$13))</f>
        <v>0</v>
      </c>
      <c r="AL505" s="701">
        <f>IFERROR(SUMIF($C:$C,$V505,R:R),0)</f>
        <v>0</v>
      </c>
      <c r="AM505" s="705" t="str">
        <f>AE505-Y505</f>
        <v>#DIV/0!</v>
      </c>
      <c r="AN505" s="703">
        <f t="shared" ref="AN505:AN553" si="112">AF505-AL505</f>
        <v>0</v>
      </c>
      <c r="AO505" s="710">
        <f t="shared" si="94"/>
        <v>0</v>
      </c>
      <c r="AP505" s="40"/>
      <c r="AQ505" s="40"/>
      <c r="AR505" s="48"/>
      <c r="AS505" s="40"/>
      <c r="AT505" s="40"/>
      <c r="AU505" s="40"/>
      <c r="AV505" s="40"/>
      <c r="AW505" s="40"/>
      <c r="AX505" s="40"/>
      <c r="AY505" s="40"/>
      <c r="AZ505" s="40"/>
      <c r="BA505" s="40"/>
      <c r="BB505" s="40"/>
      <c r="BC505" s="40"/>
      <c r="BD505" s="40"/>
      <c r="BE505" s="40"/>
      <c r="BF505" s="40"/>
      <c r="BG505" s="40"/>
      <c r="BH505" s="40"/>
      <c r="BI505" s="40"/>
    </row>
    <row r="506" ht="21.0" customHeight="1">
      <c r="A506" s="5" t="s">
        <v>118</v>
      </c>
      <c r="B506" s="3"/>
      <c r="C506" s="668" t="s">
        <v>1058</v>
      </c>
      <c r="T506" s="40"/>
      <c r="U506" s="40"/>
      <c r="V506" s="715" t="s">
        <v>118</v>
      </c>
      <c r="W506" s="716"/>
      <c r="X506" s="717" t="str">
        <f>Z506/Z494</f>
        <v>#REF!</v>
      </c>
      <c r="Y506" s="716"/>
      <c r="Z506" s="718">
        <f>SUM(Z496:Z505)</f>
        <v>0</v>
      </c>
      <c r="AA506" s="717"/>
      <c r="AB506" s="716"/>
      <c r="AC506" s="718"/>
      <c r="AD506" s="719">
        <f>AF506/AF494</f>
        <v>-0.08002105235</v>
      </c>
      <c r="AE506" s="720"/>
      <c r="AF506" s="718">
        <f>SUM(AF496:AF505)</f>
        <v>-45249.23</v>
      </c>
      <c r="AG506" s="721"/>
      <c r="AH506" s="720">
        <f t="shared" ref="AH506:AH538" si="113">AF506-Z506</f>
        <v>-45249.23</v>
      </c>
      <c r="AI506" s="717" t="str">
        <f>AH506/Z506</f>
        <v>#DIV/0!</v>
      </c>
      <c r="AJ506" s="719">
        <f>AL506/AL494</f>
        <v>-0.1829065315</v>
      </c>
      <c r="AK506" s="720"/>
      <c r="AL506" s="718">
        <f>SUM(AL496:AL505)</f>
        <v>-151529.13</v>
      </c>
      <c r="AM506" s="722"/>
      <c r="AN506" s="720">
        <f t="shared" si="112"/>
        <v>106279.9</v>
      </c>
      <c r="AO506" s="698">
        <f t="shared" si="94"/>
        <v>-0.7013826318</v>
      </c>
      <c r="AP506" s="40"/>
      <c r="AQ506" s="40"/>
      <c r="AR506" s="48"/>
      <c r="AS506" s="40"/>
      <c r="AT506" s="40"/>
      <c r="AU506" s="40"/>
      <c r="AV506" s="40"/>
      <c r="AW506" s="40"/>
      <c r="AX506" s="40"/>
      <c r="AY506" s="40"/>
      <c r="AZ506" s="40"/>
      <c r="BA506" s="40"/>
      <c r="BB506" s="40"/>
      <c r="BC506" s="40"/>
      <c r="BD506" s="40"/>
      <c r="BE506" s="40"/>
      <c r="BF506" s="40"/>
      <c r="BG506" s="40"/>
      <c r="BH506" s="40"/>
      <c r="BI506" s="40"/>
    </row>
    <row r="507" ht="15.75" customHeight="1">
      <c r="A507" s="5" t="s">
        <v>198</v>
      </c>
      <c r="B507" s="3"/>
      <c r="C507" s="668" t="s">
        <v>1058</v>
      </c>
      <c r="T507" s="40"/>
      <c r="U507" s="40"/>
      <c r="V507" s="559" t="s">
        <v>198</v>
      </c>
      <c r="W507" s="707" t="s">
        <v>1074</v>
      </c>
      <c r="X507" s="700"/>
      <c r="Y507" s="700"/>
      <c r="Z507" s="701" t="str">
        <f t="array" ref="Z507">+INDEX('Budget original'!$A$2:$AO$501,MATCH($A507,'Budget original'!$A$2:$A$501,0),MATCH(F$2,'Budget original'!$A$2:$AO$2,0))</f>
        <v/>
      </c>
      <c r="AA507" s="700"/>
      <c r="AB507" s="700"/>
      <c r="AC507" s="701"/>
      <c r="AD507" s="709"/>
      <c r="AE507" s="708"/>
      <c r="AF507" s="701">
        <f>SUMIFS(BV_Data_An_Cour!$AM:$AM,BV_Data_An_Cour!$AQ:$AQ,$V507)</f>
        <v>11538.49</v>
      </c>
      <c r="AG507" s="702"/>
      <c r="AH507" s="703">
        <f t="shared" si="113"/>
        <v>11538.49</v>
      </c>
      <c r="AI507" s="704">
        <f t="shared" ref="AI507:AI519" si="114">IF(Z507=0,0,AH507/Z507)</f>
        <v>0</v>
      </c>
      <c r="AJ507" s="709"/>
      <c r="AK507" s="708"/>
      <c r="AL507" s="701">
        <f>SUMIFS(BV_Data_An_Prec!$AM:$AM,BV_Data_An_Prec!$AQ:$AQ,$V507)</f>
        <v>2522.18</v>
      </c>
      <c r="AM507" s="705"/>
      <c r="AN507" s="703">
        <f t="shared" si="112"/>
        <v>9016.31</v>
      </c>
      <c r="AO507" s="710">
        <f t="shared" si="94"/>
        <v>3.574808301</v>
      </c>
      <c r="AP507" s="40"/>
      <c r="AQ507" s="40"/>
      <c r="AR507" s="40"/>
      <c r="AS507" s="40"/>
      <c r="AT507" s="40"/>
      <c r="AU507" s="40"/>
      <c r="AV507" s="40"/>
      <c r="AW507" s="40"/>
      <c r="AX507" s="40"/>
      <c r="AY507" s="40"/>
      <c r="AZ507" s="40"/>
      <c r="BA507" s="40"/>
      <c r="BB507" s="40"/>
      <c r="BC507" s="40"/>
      <c r="BD507" s="40"/>
      <c r="BE507" s="40"/>
      <c r="BF507" s="40"/>
      <c r="BG507" s="40"/>
      <c r="BH507" s="40"/>
      <c r="BI507" s="40"/>
    </row>
    <row r="508" ht="15.75" customHeight="1">
      <c r="A508" s="5" t="s">
        <v>119</v>
      </c>
      <c r="B508" s="3"/>
      <c r="C508" s="668" t="s">
        <v>1058</v>
      </c>
      <c r="T508" s="40"/>
      <c r="U508" s="40"/>
      <c r="V508" s="559" t="s">
        <v>119</v>
      </c>
      <c r="W508" s="707" t="s">
        <v>1075</v>
      </c>
      <c r="X508" s="700"/>
      <c r="Y508" s="700"/>
      <c r="Z508" s="701">
        <f t="shared" ref="Z508:Z518" si="115">+SUMIF($C:$C,$V508,F:F)</f>
        <v>0</v>
      </c>
      <c r="AA508" s="700"/>
      <c r="AB508" s="700"/>
      <c r="AC508" s="701"/>
      <c r="AD508" s="709"/>
      <c r="AE508" s="708"/>
      <c r="AF508" s="701">
        <f t="shared" ref="AF508:AF511" si="116">+SUMIF($C:$C,$V508,L:L)</f>
        <v>55527.52</v>
      </c>
      <c r="AG508" s="702"/>
      <c r="AH508" s="703">
        <f t="shared" si="113"/>
        <v>55527.52</v>
      </c>
      <c r="AI508" s="704">
        <f t="shared" si="114"/>
        <v>0</v>
      </c>
      <c r="AJ508" s="709"/>
      <c r="AK508" s="708"/>
      <c r="AL508" s="701">
        <f>SUMIFS(BV_Data_An_Prec!$AM:$AM,BV_Data_An_Prec!$AQ:$AQ,$V508)</f>
        <v>45636.33</v>
      </c>
      <c r="AM508" s="705"/>
      <c r="AN508" s="703">
        <f t="shared" si="112"/>
        <v>9891.19</v>
      </c>
      <c r="AO508" s="710">
        <f t="shared" si="94"/>
        <v>0.2167393829</v>
      </c>
      <c r="AP508" s="40"/>
      <c r="AQ508" s="40"/>
      <c r="AR508" s="40"/>
      <c r="AS508" s="40"/>
      <c r="AT508" s="40"/>
      <c r="AU508" s="40"/>
      <c r="AV508" s="40"/>
      <c r="AW508" s="40"/>
      <c r="AX508" s="40"/>
      <c r="AY508" s="40"/>
      <c r="AZ508" s="40"/>
      <c r="BA508" s="40"/>
      <c r="BB508" s="40"/>
      <c r="BC508" s="40"/>
      <c r="BD508" s="40"/>
      <c r="BE508" s="40"/>
      <c r="BF508" s="40"/>
      <c r="BG508" s="40"/>
      <c r="BH508" s="40"/>
      <c r="BI508" s="40"/>
    </row>
    <row r="509" ht="15.75" customHeight="1">
      <c r="A509" s="5" t="s">
        <v>120</v>
      </c>
      <c r="B509" s="3"/>
      <c r="C509" s="668" t="s">
        <v>1058</v>
      </c>
      <c r="T509" s="40"/>
      <c r="U509" s="40"/>
      <c r="V509" s="560" t="s">
        <v>120</v>
      </c>
      <c r="W509" s="711" t="s">
        <v>1076</v>
      </c>
      <c r="X509" s="683"/>
      <c r="Y509" s="683"/>
      <c r="Z509" s="684">
        <f t="shared" si="115"/>
        <v>0</v>
      </c>
      <c r="AA509" s="683"/>
      <c r="AB509" s="683"/>
      <c r="AC509" s="684"/>
      <c r="AD509" s="713"/>
      <c r="AE509" s="712"/>
      <c r="AF509" s="684">
        <f t="shared" si="116"/>
        <v>46614.23</v>
      </c>
      <c r="AG509" s="685"/>
      <c r="AH509" s="686">
        <f t="shared" si="113"/>
        <v>46614.23</v>
      </c>
      <c r="AI509" s="714">
        <f t="shared" si="114"/>
        <v>0</v>
      </c>
      <c r="AJ509" s="713"/>
      <c r="AK509" s="712"/>
      <c r="AL509" s="684">
        <f>SUMIFS(BV_Data_An_Prec!$AM:$AM,BV_Data_An_Prec!$AQ:$AQ,$V509)</f>
        <v>98155.83</v>
      </c>
      <c r="AM509" s="688"/>
      <c r="AN509" s="686">
        <f t="shared" si="112"/>
        <v>-51541.6</v>
      </c>
      <c r="AO509" s="689">
        <f t="shared" si="94"/>
        <v>-0.5250997317</v>
      </c>
      <c r="AP509" s="40"/>
      <c r="AQ509" s="40"/>
      <c r="AR509" s="40"/>
      <c r="AS509" s="40"/>
      <c r="AT509" s="40"/>
      <c r="AU509" s="40"/>
      <c r="AV509" s="40"/>
      <c r="AW509" s="40"/>
      <c r="AX509" s="40"/>
      <c r="AY509" s="40"/>
      <c r="AZ509" s="40"/>
      <c r="BA509" s="40"/>
      <c r="BB509" s="40"/>
      <c r="BC509" s="40"/>
      <c r="BD509" s="40"/>
      <c r="BE509" s="40"/>
      <c r="BF509" s="40"/>
      <c r="BG509" s="40"/>
      <c r="BH509" s="40"/>
      <c r="BI509" s="40"/>
    </row>
    <row r="510" ht="15.75" customHeight="1">
      <c r="A510" s="5" t="s">
        <v>121</v>
      </c>
      <c r="B510" s="3"/>
      <c r="C510" s="668" t="s">
        <v>1058</v>
      </c>
      <c r="T510" s="40"/>
      <c r="U510" s="40"/>
      <c r="V510" s="559" t="s">
        <v>121</v>
      </c>
      <c r="W510" s="707" t="s">
        <v>1077</v>
      </c>
      <c r="X510" s="700"/>
      <c r="Y510" s="700"/>
      <c r="Z510" s="701">
        <f t="shared" si="115"/>
        <v>0</v>
      </c>
      <c r="AA510" s="700"/>
      <c r="AB510" s="700"/>
      <c r="AC510" s="701"/>
      <c r="AD510" s="709"/>
      <c r="AE510" s="708"/>
      <c r="AF510" s="701">
        <f t="shared" si="116"/>
        <v>43465.49</v>
      </c>
      <c r="AG510" s="702"/>
      <c r="AH510" s="703">
        <f t="shared" si="113"/>
        <v>43465.49</v>
      </c>
      <c r="AI510" s="704">
        <f t="shared" si="114"/>
        <v>0</v>
      </c>
      <c r="AJ510" s="709"/>
      <c r="AK510" s="708"/>
      <c r="AL510" s="701">
        <f>SUMIFS(BV_Data_An_Prec!$AM:$AM,BV_Data_An_Prec!$AQ:$AQ,$V510)</f>
        <v>93760.67</v>
      </c>
      <c r="AM510" s="705"/>
      <c r="AN510" s="703">
        <f t="shared" si="112"/>
        <v>-50295.18</v>
      </c>
      <c r="AO510" s="710">
        <f t="shared" si="94"/>
        <v>-0.5364208682</v>
      </c>
      <c r="AP510" s="40"/>
      <c r="AQ510" s="40"/>
      <c r="AR510" s="40"/>
      <c r="AS510" s="40"/>
      <c r="AT510" s="40"/>
      <c r="AU510" s="40"/>
      <c r="AV510" s="40"/>
      <c r="AW510" s="40"/>
      <c r="AX510" s="40"/>
      <c r="AY510" s="40"/>
      <c r="AZ510" s="40"/>
      <c r="BA510" s="40"/>
      <c r="BB510" s="40"/>
      <c r="BC510" s="40"/>
      <c r="BD510" s="40"/>
      <c r="BE510" s="40"/>
      <c r="BF510" s="40"/>
      <c r="BG510" s="40"/>
      <c r="BH510" s="40"/>
      <c r="BI510" s="40"/>
    </row>
    <row r="511" ht="15.75" customHeight="1">
      <c r="A511" s="5" t="s">
        <v>122</v>
      </c>
      <c r="B511" s="3"/>
      <c r="C511" s="668" t="s">
        <v>1058</v>
      </c>
      <c r="T511" s="40"/>
      <c r="U511" s="40"/>
      <c r="V511" s="559" t="s">
        <v>122</v>
      </c>
      <c r="W511" s="707" t="s">
        <v>1078</v>
      </c>
      <c r="X511" s="700"/>
      <c r="Y511" s="700"/>
      <c r="Z511" s="701">
        <f t="shared" si="115"/>
        <v>0</v>
      </c>
      <c r="AA511" s="700"/>
      <c r="AB511" s="700"/>
      <c r="AC511" s="701"/>
      <c r="AD511" s="709"/>
      <c r="AE511" s="708"/>
      <c r="AF511" s="701">
        <f t="shared" si="116"/>
        <v>9827.6</v>
      </c>
      <c r="AG511" s="702"/>
      <c r="AH511" s="703">
        <f t="shared" si="113"/>
        <v>9827.6</v>
      </c>
      <c r="AI511" s="704">
        <f t="shared" si="114"/>
        <v>0</v>
      </c>
      <c r="AJ511" s="709"/>
      <c r="AK511" s="708"/>
      <c r="AL511" s="701">
        <f>SUMIFS(BV_Data_An_Prec!$AM:$AM,BV_Data_An_Prec!$AQ:$AQ,$V511)</f>
        <v>0</v>
      </c>
      <c r="AM511" s="705"/>
      <c r="AN511" s="703">
        <f t="shared" si="112"/>
        <v>9827.6</v>
      </c>
      <c r="AO511" s="710">
        <f t="shared" si="94"/>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ht="17.25" hidden="1" customHeight="1">
      <c r="A512" s="5" t="s">
        <v>56</v>
      </c>
      <c r="B512" s="3"/>
      <c r="C512" s="668" t="s">
        <v>1058</v>
      </c>
      <c r="T512" s="40"/>
      <c r="U512" s="40"/>
      <c r="V512" s="559" t="s">
        <v>56</v>
      </c>
      <c r="W512" s="707"/>
      <c r="X512" s="700"/>
      <c r="Y512" s="700"/>
      <c r="Z512" s="701">
        <f t="shared" si="115"/>
        <v>0</v>
      </c>
      <c r="AA512" s="700"/>
      <c r="AB512" s="700"/>
      <c r="AC512" s="701"/>
      <c r="AD512" s="709"/>
      <c r="AE512" s="708"/>
      <c r="AF512" s="701">
        <f t="shared" ref="AF512:AF514" si="117">IFERROR(SUMIF($C:$C,$V512,L:L),0)</f>
        <v>0</v>
      </c>
      <c r="AG512" s="702"/>
      <c r="AH512" s="703">
        <f t="shared" si="113"/>
        <v>0</v>
      </c>
      <c r="AI512" s="704">
        <f t="shared" si="114"/>
        <v>0</v>
      </c>
      <c r="AJ512" s="709"/>
      <c r="AK512" s="708"/>
      <c r="AL512" s="701">
        <f>SUMIFS(BV_Data_An_Prec!$AM:$AM,BV_Data_An_Prec!$AQ:$AQ,$V512)</f>
        <v>0</v>
      </c>
      <c r="AM512" s="705"/>
      <c r="AN512" s="703">
        <f t="shared" si="112"/>
        <v>0</v>
      </c>
      <c r="AO512" s="710">
        <f t="shared" si="94"/>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ht="17.25" hidden="1" customHeight="1">
      <c r="A513" s="5" t="s">
        <v>56</v>
      </c>
      <c r="B513" s="3"/>
      <c r="C513" s="668" t="s">
        <v>1058</v>
      </c>
      <c r="T513" s="40"/>
      <c r="U513" s="40"/>
      <c r="V513" s="559" t="s">
        <v>56</v>
      </c>
      <c r="W513" s="707"/>
      <c r="X513" s="700"/>
      <c r="Y513" s="700"/>
      <c r="Z513" s="701">
        <f t="shared" si="115"/>
        <v>0</v>
      </c>
      <c r="AA513" s="700"/>
      <c r="AB513" s="700"/>
      <c r="AC513" s="701"/>
      <c r="AD513" s="709"/>
      <c r="AE513" s="708"/>
      <c r="AF513" s="701">
        <f t="shared" si="117"/>
        <v>0</v>
      </c>
      <c r="AG513" s="702"/>
      <c r="AH513" s="703">
        <f t="shared" si="113"/>
        <v>0</v>
      </c>
      <c r="AI513" s="704">
        <f t="shared" si="114"/>
        <v>0</v>
      </c>
      <c r="AJ513" s="709"/>
      <c r="AK513" s="708"/>
      <c r="AL513" s="701">
        <f>SUMIFS(BV_Data_An_Prec!$AM:$AM,BV_Data_An_Prec!$AQ:$AQ,$V513)</f>
        <v>0</v>
      </c>
      <c r="AM513" s="705"/>
      <c r="AN513" s="703">
        <f t="shared" si="112"/>
        <v>0</v>
      </c>
      <c r="AO513" s="710">
        <f t="shared" si="94"/>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ht="17.25" hidden="1" customHeight="1">
      <c r="A514" s="5" t="s">
        <v>56</v>
      </c>
      <c r="B514" s="3"/>
      <c r="C514" s="668" t="s">
        <v>1058</v>
      </c>
      <c r="T514" s="40"/>
      <c r="U514" s="40"/>
      <c r="V514" s="559" t="s">
        <v>56</v>
      </c>
      <c r="W514" s="707"/>
      <c r="X514" s="700"/>
      <c r="Y514" s="700"/>
      <c r="Z514" s="701">
        <f t="shared" si="115"/>
        <v>0</v>
      </c>
      <c r="AA514" s="700"/>
      <c r="AB514" s="700"/>
      <c r="AC514" s="701"/>
      <c r="AD514" s="709"/>
      <c r="AE514" s="708"/>
      <c r="AF514" s="701">
        <f t="shared" si="117"/>
        <v>0</v>
      </c>
      <c r="AG514" s="702"/>
      <c r="AH514" s="703">
        <f t="shared" si="113"/>
        <v>0</v>
      </c>
      <c r="AI514" s="704">
        <f t="shared" si="114"/>
        <v>0</v>
      </c>
      <c r="AJ514" s="709"/>
      <c r="AK514" s="708"/>
      <c r="AL514" s="701">
        <f>SUMIFS(BV_Data_An_Prec!$AM:$AM,BV_Data_An_Prec!$AQ:$AQ,$V514)</f>
        <v>0</v>
      </c>
      <c r="AM514" s="705"/>
      <c r="AN514" s="703">
        <f t="shared" si="112"/>
        <v>0</v>
      </c>
      <c r="AO514" s="710">
        <f t="shared" si="94"/>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ht="15.75" customHeight="1">
      <c r="A515" s="5" t="s">
        <v>123</v>
      </c>
      <c r="B515" s="3"/>
      <c r="C515" s="668" t="s">
        <v>1058</v>
      </c>
      <c r="T515" s="40"/>
      <c r="U515" s="40"/>
      <c r="V515" s="560" t="s">
        <v>123</v>
      </c>
      <c r="W515" s="711" t="s">
        <v>1079</v>
      </c>
      <c r="X515" s="683"/>
      <c r="Y515" s="687" t="str">
        <f>Z515/(SUM(Z507:Z511)+E268-F268+Z496+Z497)</f>
        <v>#DIV/0!</v>
      </c>
      <c r="Z515" s="684">
        <f t="shared" si="115"/>
        <v>0</v>
      </c>
      <c r="AA515" s="683"/>
      <c r="AB515" s="683"/>
      <c r="AC515" s="684"/>
      <c r="AD515" s="713"/>
      <c r="AE515" s="712"/>
      <c r="AF515" s="684">
        <f t="shared" ref="AF515:AF518" si="118">+SUMIF($C:$C,$V515,L:L)</f>
        <v>38103.24</v>
      </c>
      <c r="AG515" s="685"/>
      <c r="AH515" s="686">
        <f t="shared" si="113"/>
        <v>38103.24</v>
      </c>
      <c r="AI515" s="714">
        <f t="shared" si="114"/>
        <v>0</v>
      </c>
      <c r="AJ515" s="713"/>
      <c r="AK515" s="712"/>
      <c r="AL515" s="684">
        <f>SUMIFS(BV_Data_An_Prec!$AM:$AM,BV_Data_An_Prec!$AQ:$AQ,$V515)</f>
        <v>40334.78</v>
      </c>
      <c r="AM515" s="688"/>
      <c r="AN515" s="686">
        <f t="shared" si="112"/>
        <v>-2231.54</v>
      </c>
      <c r="AO515" s="689">
        <f t="shared" si="94"/>
        <v>-0.05532545362</v>
      </c>
      <c r="AP515" s="40"/>
      <c r="AQ515" s="40"/>
      <c r="AR515" s="40"/>
      <c r="AS515" s="40"/>
      <c r="AT515" s="40"/>
      <c r="AU515" s="40"/>
      <c r="AV515" s="40"/>
      <c r="AW515" s="40"/>
      <c r="AX515" s="40"/>
      <c r="AY515" s="40"/>
      <c r="AZ515" s="40"/>
      <c r="BA515" s="40"/>
      <c r="BB515" s="40"/>
      <c r="BC515" s="40"/>
      <c r="BD515" s="40"/>
      <c r="BE515" s="40"/>
      <c r="BF515" s="40"/>
      <c r="BG515" s="40"/>
      <c r="BH515" s="40"/>
      <c r="BI515" s="40"/>
    </row>
    <row r="516" ht="15.75" customHeight="1">
      <c r="A516" s="5" t="s">
        <v>124</v>
      </c>
      <c r="B516" s="3"/>
      <c r="C516" s="668" t="s">
        <v>1058</v>
      </c>
      <c r="T516" s="40"/>
      <c r="U516" s="40"/>
      <c r="V516" s="559" t="s">
        <v>124</v>
      </c>
      <c r="W516" s="707" t="s">
        <v>1080</v>
      </c>
      <c r="X516" s="700"/>
      <c r="Y516" s="704" t="str">
        <f>Z516/(SUM(Z507:Z511)+E268-F268+Z496+Z497)</f>
        <v>#DIV/0!</v>
      </c>
      <c r="Z516" s="701">
        <f t="shared" si="115"/>
        <v>0</v>
      </c>
      <c r="AA516" s="700"/>
      <c r="AB516" s="700"/>
      <c r="AC516" s="701"/>
      <c r="AD516" s="709"/>
      <c r="AE516" s="708"/>
      <c r="AF516" s="701">
        <f t="shared" si="118"/>
        <v>44203.04</v>
      </c>
      <c r="AG516" s="702"/>
      <c r="AH516" s="703">
        <f t="shared" si="113"/>
        <v>44203.04</v>
      </c>
      <c r="AI516" s="704">
        <f t="shared" si="114"/>
        <v>0</v>
      </c>
      <c r="AJ516" s="709"/>
      <c r="AK516" s="708"/>
      <c r="AL516" s="701">
        <f>SUMIFS(BV_Data_An_Prec!$AM:$AM,BV_Data_An_Prec!$AQ:$AQ,$V516)</f>
        <v>43183.06</v>
      </c>
      <c r="AM516" s="705"/>
      <c r="AN516" s="703">
        <f t="shared" si="112"/>
        <v>1019.98</v>
      </c>
      <c r="AO516" s="710">
        <f t="shared" si="94"/>
        <v>0.02361991021</v>
      </c>
      <c r="AP516" s="40"/>
      <c r="AQ516" s="40"/>
      <c r="AR516" s="40"/>
      <c r="AS516" s="40"/>
      <c r="AT516" s="40"/>
      <c r="AU516" s="40"/>
      <c r="AV516" s="40"/>
      <c r="AW516" s="40"/>
      <c r="AX516" s="40"/>
      <c r="AY516" s="40"/>
      <c r="AZ516" s="40"/>
      <c r="BA516" s="40"/>
      <c r="BB516" s="40"/>
      <c r="BC516" s="40"/>
      <c r="BD516" s="40"/>
      <c r="BE516" s="40"/>
      <c r="BF516" s="40"/>
      <c r="BG516" s="40"/>
      <c r="BH516" s="40"/>
      <c r="BI516" s="40"/>
    </row>
    <row r="517" ht="15.75" customHeight="1">
      <c r="A517" s="5" t="s">
        <v>125</v>
      </c>
      <c r="B517" s="3"/>
      <c r="C517" s="668" t="s">
        <v>1058</v>
      </c>
      <c r="T517" s="40"/>
      <c r="U517" s="40"/>
      <c r="V517" s="559" t="s">
        <v>125</v>
      </c>
      <c r="W517" s="707" t="s">
        <v>1081</v>
      </c>
      <c r="X517" s="700"/>
      <c r="Y517" s="704" t="str">
        <f>Z517/(SUM(Z507:Z511)+E268-F268+Z497+Z496)</f>
        <v>#DIV/0!</v>
      </c>
      <c r="Z517" s="701">
        <f t="shared" si="115"/>
        <v>0</v>
      </c>
      <c r="AA517" s="700"/>
      <c r="AB517" s="700"/>
      <c r="AC517" s="701"/>
      <c r="AD517" s="709"/>
      <c r="AE517" s="708"/>
      <c r="AF517" s="701">
        <f t="shared" si="118"/>
        <v>5128.66</v>
      </c>
      <c r="AG517" s="702"/>
      <c r="AH517" s="703">
        <f t="shared" si="113"/>
        <v>5128.66</v>
      </c>
      <c r="AI517" s="704">
        <f t="shared" si="114"/>
        <v>0</v>
      </c>
      <c r="AJ517" s="709"/>
      <c r="AK517" s="708"/>
      <c r="AL517" s="701">
        <f>SUMIFS(BV_Data_An_Prec!$AM:$AM,BV_Data_An_Prec!$AQ:$AQ,$V517)</f>
        <v>21788.75</v>
      </c>
      <c r="AM517" s="705"/>
      <c r="AN517" s="703">
        <f t="shared" si="112"/>
        <v>-16660.09</v>
      </c>
      <c r="AO517" s="710">
        <f t="shared" si="94"/>
        <v>-0.7646188974</v>
      </c>
      <c r="AP517" s="40"/>
      <c r="AQ517" s="40"/>
      <c r="AR517" s="40"/>
      <c r="AS517" s="40"/>
      <c r="AT517" s="40"/>
      <c r="AU517" s="40"/>
      <c r="AV517" s="40"/>
      <c r="AW517" s="40"/>
      <c r="AX517" s="40"/>
      <c r="AY517" s="40"/>
      <c r="AZ517" s="40"/>
      <c r="BA517" s="40"/>
      <c r="BB517" s="40"/>
      <c r="BC517" s="40"/>
      <c r="BD517" s="40"/>
      <c r="BE517" s="40"/>
      <c r="BF517" s="40"/>
      <c r="BG517" s="40"/>
      <c r="BH517" s="40"/>
      <c r="BI517" s="40"/>
    </row>
    <row r="518" ht="15.75" customHeight="1">
      <c r="A518" s="5" t="s">
        <v>126</v>
      </c>
      <c r="B518" s="3"/>
      <c r="C518" s="668" t="s">
        <v>1058</v>
      </c>
      <c r="T518" s="40"/>
      <c r="U518" s="40"/>
      <c r="V518" s="559" t="s">
        <v>126</v>
      </c>
      <c r="W518" s="707"/>
      <c r="X518" s="700"/>
      <c r="Y518" s="700"/>
      <c r="Z518" s="701">
        <f t="shared" si="115"/>
        <v>0</v>
      </c>
      <c r="AA518" s="700"/>
      <c r="AB518" s="700"/>
      <c r="AC518" s="701"/>
      <c r="AD518" s="709"/>
      <c r="AE518" s="708"/>
      <c r="AF518" s="701">
        <f t="shared" si="118"/>
        <v>15015.04</v>
      </c>
      <c r="AG518" s="702"/>
      <c r="AH518" s="703">
        <f t="shared" si="113"/>
        <v>15015.04</v>
      </c>
      <c r="AI518" s="723">
        <f t="shared" si="114"/>
        <v>0</v>
      </c>
      <c r="AJ518" s="709"/>
      <c r="AK518" s="708"/>
      <c r="AL518" s="701">
        <f>SUMIFS(BV_Data_An_Prec!$AM:$AM,BV_Data_An_Prec!$AQ:$AQ,$V518)</f>
        <v>1080.92</v>
      </c>
      <c r="AM518" s="705"/>
      <c r="AN518" s="703">
        <f t="shared" si="112"/>
        <v>13934.12</v>
      </c>
      <c r="AO518" s="710">
        <f t="shared" si="94"/>
        <v>12.89098176</v>
      </c>
      <c r="AP518" s="40"/>
      <c r="AQ518" s="40"/>
      <c r="AR518" s="40"/>
      <c r="AS518" s="40"/>
      <c r="AT518" s="40"/>
      <c r="AU518" s="40"/>
      <c r="AV518" s="40"/>
      <c r="AW518" s="40"/>
      <c r="AX518" s="40"/>
      <c r="AY518" s="40"/>
      <c r="AZ518" s="40"/>
      <c r="BA518" s="40"/>
      <c r="BB518" s="40"/>
      <c r="BC518" s="40"/>
      <c r="BD518" s="40"/>
      <c r="BE518" s="40"/>
      <c r="BF518" s="40"/>
      <c r="BG518" s="40"/>
      <c r="BH518" s="40"/>
      <c r="BI518" s="40"/>
    </row>
    <row r="519" ht="20.25" hidden="1" customHeight="1">
      <c r="A519" s="5" t="s">
        <v>56</v>
      </c>
      <c r="B519" s="3"/>
      <c r="C519" s="668" t="s">
        <v>1058</v>
      </c>
      <c r="T519" s="40"/>
      <c r="U519" s="40"/>
      <c r="V519" s="480" t="s">
        <v>56</v>
      </c>
      <c r="W519" s="707"/>
      <c r="X519" s="700"/>
      <c r="Y519" s="708"/>
      <c r="Z519" s="701">
        <f>IFERROR(SUMIF($C:$C,$V519,F:F),0)</f>
        <v>0</v>
      </c>
      <c r="AA519" s="700"/>
      <c r="AB519" s="700"/>
      <c r="AC519" s="701"/>
      <c r="AD519" s="709"/>
      <c r="AE519" s="708"/>
      <c r="AF519" s="701">
        <f>IFERROR(SUMIF($C:$C,$V519,L:L),0)</f>
        <v>0</v>
      </c>
      <c r="AG519" s="702"/>
      <c r="AH519" s="703">
        <f t="shared" si="113"/>
        <v>0</v>
      </c>
      <c r="AI519" s="704">
        <f t="shared" si="114"/>
        <v>0</v>
      </c>
      <c r="AJ519" s="709"/>
      <c r="AK519" s="708"/>
      <c r="AL519" s="701">
        <f>IFERROR(SUMIF($C:$C,$V519,R:R),0)</f>
        <v>0</v>
      </c>
      <c r="AM519" s="705"/>
      <c r="AN519" s="703">
        <f t="shared" si="112"/>
        <v>0</v>
      </c>
      <c r="AO519" s="689">
        <f t="shared" si="94"/>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ht="21.0" customHeight="1">
      <c r="A520" s="5" t="s">
        <v>127</v>
      </c>
      <c r="B520" s="3"/>
      <c r="C520" s="668" t="s">
        <v>1058</v>
      </c>
      <c r="T520" s="40"/>
      <c r="U520" s="40"/>
      <c r="V520" s="715" t="s">
        <v>127</v>
      </c>
      <c r="W520" s="716"/>
      <c r="X520" s="717" t="str">
        <f>Z520/Z494</f>
        <v>#REF!</v>
      </c>
      <c r="Y520" s="716"/>
      <c r="Z520" s="718">
        <f>SUM(Z507:Z519)</f>
        <v>0</v>
      </c>
      <c r="AA520" s="717"/>
      <c r="AB520" s="716"/>
      <c r="AC520" s="718"/>
      <c r="AD520" s="719">
        <f>AF520/AF494</f>
        <v>0.4764619595</v>
      </c>
      <c r="AE520" s="724"/>
      <c r="AF520" s="718">
        <f>SUM(AF507:AF519)</f>
        <v>269423.31</v>
      </c>
      <c r="AG520" s="721"/>
      <c r="AH520" s="720">
        <f t="shared" si="113"/>
        <v>269423.31</v>
      </c>
      <c r="AI520" s="717" t="str">
        <f>AH520/Z520</f>
        <v>#DIV/0!</v>
      </c>
      <c r="AJ520" s="719">
        <f>AL520/AL494</f>
        <v>0.4182051188</v>
      </c>
      <c r="AK520" s="724"/>
      <c r="AL520" s="718">
        <f>SUM(AL507:AL519)</f>
        <v>346462.52</v>
      </c>
      <c r="AM520" s="722"/>
      <c r="AN520" s="720">
        <f t="shared" si="112"/>
        <v>-77039.21</v>
      </c>
      <c r="AO520" s="698">
        <f t="shared" si="94"/>
        <v>-0.2223594344</v>
      </c>
      <c r="AP520" s="40"/>
      <c r="AQ520" s="40"/>
      <c r="AR520" s="40"/>
      <c r="AS520" s="40"/>
      <c r="AT520" s="40"/>
      <c r="AU520" s="40"/>
      <c r="AV520" s="40"/>
      <c r="AW520" s="40"/>
      <c r="AX520" s="40"/>
      <c r="AY520" s="40"/>
      <c r="AZ520" s="40"/>
      <c r="BA520" s="40"/>
      <c r="BB520" s="40"/>
      <c r="BC520" s="40"/>
      <c r="BD520" s="40"/>
      <c r="BE520" s="40"/>
      <c r="BF520" s="40"/>
      <c r="BG520" s="40"/>
      <c r="BH520" s="40"/>
      <c r="BI520" s="40"/>
    </row>
    <row r="521" ht="15.75" customHeight="1">
      <c r="A521" s="5" t="s">
        <v>128</v>
      </c>
      <c r="B521" s="3"/>
      <c r="C521" s="668" t="s">
        <v>1058</v>
      </c>
      <c r="T521" s="40"/>
      <c r="U521" s="40"/>
      <c r="V521" s="654" t="s">
        <v>128</v>
      </c>
      <c r="W521" s="725" t="s">
        <v>1072</v>
      </c>
      <c r="X521" s="726"/>
      <c r="Y521" s="726"/>
      <c r="Z521" s="727">
        <f t="shared" ref="Z521:Z535" si="119">+SUMIF($C:$C,$V521,F:F)</f>
        <v>0</v>
      </c>
      <c r="AA521" s="726"/>
      <c r="AB521" s="726"/>
      <c r="AC521" s="727"/>
      <c r="AD521" s="728"/>
      <c r="AE521" s="729"/>
      <c r="AF521" s="727">
        <f t="shared" ref="AF521:AF525" si="120">+SUMIF($C:$C,$V521,L:L)</f>
        <v>5732.23</v>
      </c>
      <c r="AG521" s="728"/>
      <c r="AH521" s="730">
        <f t="shared" si="113"/>
        <v>5732.23</v>
      </c>
      <c r="AI521" s="731">
        <f t="shared" ref="AI521:AI538" si="121">IF(Z521=0,0,AH521/Z521)</f>
        <v>0</v>
      </c>
      <c r="AJ521" s="728"/>
      <c r="AK521" s="729"/>
      <c r="AL521" s="727">
        <f>SUMIFS(BV_Data_An_Prec!$AM:$AM,BV_Data_An_Prec!$AQ:$AQ,$V521)</f>
        <v>5671.71</v>
      </c>
      <c r="AM521" s="732"/>
      <c r="AN521" s="730">
        <f t="shared" si="112"/>
        <v>60.52</v>
      </c>
      <c r="AO521" s="706">
        <f t="shared" si="94"/>
        <v>0.01067050325</v>
      </c>
      <c r="AP521" s="40"/>
      <c r="AQ521" s="40"/>
      <c r="AR521" s="40"/>
      <c r="AS521" s="40"/>
      <c r="AT521" s="40"/>
      <c r="AU521" s="40"/>
      <c r="AV521" s="40"/>
      <c r="AW521" s="40"/>
      <c r="AX521" s="40"/>
      <c r="AY521" s="40"/>
      <c r="AZ521" s="40"/>
      <c r="BA521" s="40"/>
      <c r="BB521" s="40"/>
      <c r="BC521" s="40"/>
      <c r="BD521" s="40"/>
      <c r="BE521" s="40"/>
      <c r="BF521" s="40"/>
      <c r="BG521" s="40"/>
      <c r="BH521" s="40"/>
      <c r="BI521" s="40"/>
    </row>
    <row r="522" ht="15.75" customHeight="1">
      <c r="A522" s="5" t="s">
        <v>129</v>
      </c>
      <c r="B522" s="3"/>
      <c r="C522" s="668" t="s">
        <v>1058</v>
      </c>
      <c r="T522" s="40"/>
      <c r="U522" s="40"/>
      <c r="V522" s="559" t="s">
        <v>129</v>
      </c>
      <c r="W522" s="707" t="s">
        <v>1082</v>
      </c>
      <c r="X522" s="700"/>
      <c r="Y522" s="700"/>
      <c r="Z522" s="701">
        <f t="shared" si="119"/>
        <v>0</v>
      </c>
      <c r="AA522" s="700"/>
      <c r="AB522" s="700"/>
      <c r="AC522" s="701"/>
      <c r="AD522" s="709"/>
      <c r="AE522" s="708"/>
      <c r="AF522" s="701">
        <f t="shared" si="120"/>
        <v>5631.21</v>
      </c>
      <c r="AG522" s="702"/>
      <c r="AH522" s="703">
        <f t="shared" si="113"/>
        <v>5631.21</v>
      </c>
      <c r="AI522" s="704">
        <f t="shared" si="121"/>
        <v>0</v>
      </c>
      <c r="AJ522" s="709"/>
      <c r="AK522" s="708"/>
      <c r="AL522" s="701">
        <f>SUMIFS(BV_Data_An_Prec!$AM:$AM,BV_Data_An_Prec!$AQ:$AQ,$V522)</f>
        <v>6896.33</v>
      </c>
      <c r="AM522" s="705"/>
      <c r="AN522" s="703">
        <f t="shared" si="112"/>
        <v>-1265.12</v>
      </c>
      <c r="AO522" s="710">
        <f t="shared" si="94"/>
        <v>-0.1834482979</v>
      </c>
      <c r="AP522" s="40"/>
      <c r="AQ522" s="40"/>
      <c r="AR522" s="40"/>
      <c r="AS522" s="40"/>
      <c r="AT522" s="40"/>
      <c r="AU522" s="40"/>
      <c r="AV522" s="40"/>
      <c r="AW522" s="40"/>
      <c r="AX522" s="40"/>
      <c r="AY522" s="40"/>
      <c r="AZ522" s="40"/>
      <c r="BA522" s="40"/>
      <c r="BB522" s="40"/>
      <c r="BC522" s="40"/>
      <c r="BD522" s="40"/>
      <c r="BE522" s="40"/>
      <c r="BF522" s="40"/>
      <c r="BG522" s="40"/>
      <c r="BH522" s="40"/>
      <c r="BI522" s="40"/>
    </row>
    <row r="523" ht="15.75" customHeight="1">
      <c r="A523" s="5" t="s">
        <v>130</v>
      </c>
      <c r="B523" s="3"/>
      <c r="C523" s="668" t="s">
        <v>1058</v>
      </c>
      <c r="T523" s="40"/>
      <c r="U523" s="733"/>
      <c r="V523" s="560" t="s">
        <v>130</v>
      </c>
      <c r="W523" s="711" t="s">
        <v>1083</v>
      </c>
      <c r="X523" s="683"/>
      <c r="Y523" s="683"/>
      <c r="Z523" s="684">
        <f t="shared" si="119"/>
        <v>0</v>
      </c>
      <c r="AA523" s="683"/>
      <c r="AB523" s="683"/>
      <c r="AC523" s="684"/>
      <c r="AD523" s="713"/>
      <c r="AE523" s="712"/>
      <c r="AF523" s="684">
        <f t="shared" si="120"/>
        <v>16391.29</v>
      </c>
      <c r="AG523" s="685"/>
      <c r="AH523" s="686">
        <f t="shared" si="113"/>
        <v>16391.29</v>
      </c>
      <c r="AI523" s="714">
        <f t="shared" si="121"/>
        <v>0</v>
      </c>
      <c r="AJ523" s="713"/>
      <c r="AK523" s="712"/>
      <c r="AL523" s="684">
        <f>SUMIFS(BV_Data_An_Prec!$AM:$AM,BV_Data_An_Prec!$AQ:$AQ,$V523)</f>
        <v>12036.2</v>
      </c>
      <c r="AM523" s="688"/>
      <c r="AN523" s="686">
        <f t="shared" si="112"/>
        <v>4355.09</v>
      </c>
      <c r="AO523" s="689">
        <f t="shared" si="94"/>
        <v>0.3618326382</v>
      </c>
      <c r="AP523" s="40"/>
      <c r="AQ523" s="40"/>
      <c r="AR523" s="40"/>
      <c r="AS523" s="40"/>
      <c r="AT523" s="40"/>
      <c r="AU523" s="40"/>
      <c r="AV523" s="40"/>
      <c r="AW523" s="40"/>
      <c r="AX523" s="40"/>
      <c r="AY523" s="40"/>
      <c r="AZ523" s="40"/>
      <c r="BA523" s="40"/>
      <c r="BB523" s="40"/>
      <c r="BC523" s="40"/>
      <c r="BD523" s="40"/>
      <c r="BE523" s="40"/>
      <c r="BF523" s="40"/>
      <c r="BG523" s="40"/>
      <c r="BH523" s="40"/>
      <c r="BI523" s="40"/>
    </row>
    <row r="524" ht="15.75" customHeight="1">
      <c r="A524" s="5" t="s">
        <v>131</v>
      </c>
      <c r="B524" s="3"/>
      <c r="C524" s="668" t="s">
        <v>1058</v>
      </c>
      <c r="T524" s="40"/>
      <c r="U524" s="733"/>
      <c r="V524" s="559" t="s">
        <v>131</v>
      </c>
      <c r="W524" s="707" t="s">
        <v>1084</v>
      </c>
      <c r="X524" s="700"/>
      <c r="Y524" s="700"/>
      <c r="Z524" s="701">
        <f t="shared" si="119"/>
        <v>0</v>
      </c>
      <c r="AA524" s="700"/>
      <c r="AB524" s="700"/>
      <c r="AC524" s="701"/>
      <c r="AD524" s="709"/>
      <c r="AE524" s="708"/>
      <c r="AF524" s="701">
        <f t="shared" si="120"/>
        <v>14908.37</v>
      </c>
      <c r="AG524" s="702"/>
      <c r="AH524" s="703">
        <f t="shared" si="113"/>
        <v>14908.37</v>
      </c>
      <c r="AI524" s="704">
        <f t="shared" si="121"/>
        <v>0</v>
      </c>
      <c r="AJ524" s="709"/>
      <c r="AK524" s="708"/>
      <c r="AL524" s="701">
        <f>SUMIFS(BV_Data_An_Prec!$AM:$AM,BV_Data_An_Prec!$AQ:$AQ,$V524)</f>
        <v>11173.1</v>
      </c>
      <c r="AM524" s="705"/>
      <c r="AN524" s="703">
        <f t="shared" si="112"/>
        <v>3735.27</v>
      </c>
      <c r="AO524" s="710">
        <f t="shared" si="94"/>
        <v>0.334309189</v>
      </c>
      <c r="AP524" s="40"/>
      <c r="AQ524" s="40"/>
      <c r="AR524" s="40"/>
      <c r="AS524" s="40"/>
      <c r="AT524" s="40"/>
      <c r="AU524" s="40"/>
      <c r="AV524" s="40"/>
      <c r="AW524" s="40"/>
      <c r="AX524" s="40"/>
      <c r="AY524" s="40"/>
      <c r="AZ524" s="40"/>
      <c r="BA524" s="40"/>
      <c r="BB524" s="40"/>
      <c r="BC524" s="40"/>
      <c r="BD524" s="40"/>
      <c r="BE524" s="40"/>
      <c r="BF524" s="40"/>
      <c r="BG524" s="40"/>
      <c r="BH524" s="40"/>
      <c r="BI524" s="40"/>
    </row>
    <row r="525" ht="15.75" customHeight="1">
      <c r="A525" s="5" t="s">
        <v>132</v>
      </c>
      <c r="B525" s="3"/>
      <c r="C525" s="668" t="s">
        <v>1058</v>
      </c>
      <c r="T525" s="40"/>
      <c r="U525" s="733"/>
      <c r="V525" s="559" t="s">
        <v>132</v>
      </c>
      <c r="W525" s="707" t="s">
        <v>1085</v>
      </c>
      <c r="X525" s="700"/>
      <c r="Y525" s="700"/>
      <c r="Z525" s="701">
        <f t="shared" si="119"/>
        <v>0</v>
      </c>
      <c r="AA525" s="700"/>
      <c r="AB525" s="700"/>
      <c r="AC525" s="701"/>
      <c r="AD525" s="709"/>
      <c r="AE525" s="708"/>
      <c r="AF525" s="701">
        <f t="shared" si="120"/>
        <v>2503.39</v>
      </c>
      <c r="AG525" s="702"/>
      <c r="AH525" s="703">
        <f t="shared" si="113"/>
        <v>2503.39</v>
      </c>
      <c r="AI525" s="704">
        <f t="shared" si="121"/>
        <v>0</v>
      </c>
      <c r="AJ525" s="709"/>
      <c r="AK525" s="708"/>
      <c r="AL525" s="701">
        <f>SUMIFS(BV_Data_An_Prec!$AM:$AM,BV_Data_An_Prec!$AQ:$AQ,$V525)</f>
        <v>34438.07</v>
      </c>
      <c r="AM525" s="705"/>
      <c r="AN525" s="703">
        <f t="shared" si="112"/>
        <v>-31934.68</v>
      </c>
      <c r="AO525" s="710">
        <f t="shared" si="94"/>
        <v>-0.9273074827</v>
      </c>
      <c r="AP525" s="40"/>
      <c r="AQ525" s="40"/>
      <c r="AR525" s="40"/>
      <c r="AS525" s="40"/>
      <c r="AT525" s="40"/>
      <c r="AU525" s="40"/>
      <c r="AV525" s="40"/>
      <c r="AW525" s="40"/>
      <c r="AX525" s="40"/>
      <c r="AY525" s="40"/>
      <c r="AZ525" s="40"/>
      <c r="BA525" s="40"/>
      <c r="BB525" s="40"/>
      <c r="BC525" s="40"/>
      <c r="BD525" s="40"/>
      <c r="BE525" s="40"/>
      <c r="BF525" s="40"/>
      <c r="BG525" s="40"/>
      <c r="BH525" s="40"/>
      <c r="BI525" s="40"/>
    </row>
    <row r="526" ht="15.75" customHeight="1">
      <c r="A526" s="5" t="s">
        <v>133</v>
      </c>
      <c r="B526" s="3"/>
      <c r="C526" s="668" t="s">
        <v>1058</v>
      </c>
      <c r="T526" s="40"/>
      <c r="U526" s="40"/>
      <c r="V526" s="559" t="s">
        <v>133</v>
      </c>
      <c r="W526" s="707" t="s">
        <v>1086</v>
      </c>
      <c r="X526" s="700"/>
      <c r="Y526" s="700"/>
      <c r="Z526" s="701">
        <f t="shared" si="119"/>
        <v>0</v>
      </c>
      <c r="AA526" s="700"/>
      <c r="AB526" s="700"/>
      <c r="AC526" s="701"/>
      <c r="AD526" s="709"/>
      <c r="AE526" s="708"/>
      <c r="AF526" s="701">
        <f>SUMIFS(BV_Data_An_Cour!$AM:$AM,BV_Data_An_Cour!$AQ:$AQ,$V526)</f>
        <v>18209.18</v>
      </c>
      <c r="AG526" s="702"/>
      <c r="AH526" s="703">
        <f t="shared" si="113"/>
        <v>18209.18</v>
      </c>
      <c r="AI526" s="704">
        <f t="shared" si="121"/>
        <v>0</v>
      </c>
      <c r="AJ526" s="709"/>
      <c r="AK526" s="708"/>
      <c r="AL526" s="701">
        <f>SUMIFS(BV_Data_An_Prec!$AM:$AM,BV_Data_An_Prec!$AQ:$AQ,$V526)</f>
        <v>33892.07</v>
      </c>
      <c r="AM526" s="705"/>
      <c r="AN526" s="703">
        <f t="shared" si="112"/>
        <v>-15682.89</v>
      </c>
      <c r="AO526" s="710">
        <f t="shared" si="94"/>
        <v>-0.4627303673</v>
      </c>
      <c r="AP526" s="40"/>
      <c r="AQ526" s="40"/>
      <c r="AR526" s="40"/>
      <c r="AS526" s="40"/>
      <c r="AT526" s="40"/>
      <c r="AU526" s="40"/>
      <c r="AV526" s="40"/>
      <c r="AW526" s="40"/>
      <c r="AX526" s="40"/>
      <c r="AY526" s="40"/>
      <c r="AZ526" s="40"/>
      <c r="BA526" s="40"/>
      <c r="BB526" s="40"/>
      <c r="BC526" s="40"/>
      <c r="BD526" s="40"/>
      <c r="BE526" s="40"/>
      <c r="BF526" s="40"/>
      <c r="BG526" s="40"/>
      <c r="BH526" s="40"/>
      <c r="BI526" s="40"/>
    </row>
    <row r="527" ht="15.75" customHeight="1">
      <c r="B527" s="3"/>
      <c r="C527" s="668" t="s">
        <v>1058</v>
      </c>
      <c r="T527" s="40"/>
      <c r="U527" s="40"/>
      <c r="V527" s="654" t="s">
        <v>173</v>
      </c>
      <c r="W527" s="725"/>
      <c r="X527" s="726"/>
      <c r="Y527" s="726"/>
      <c r="Z527" s="727">
        <f t="shared" si="119"/>
        <v>0</v>
      </c>
      <c r="AA527" s="726"/>
      <c r="AB527" s="726"/>
      <c r="AC527" s="727"/>
      <c r="AD527" s="728"/>
      <c r="AE527" s="729"/>
      <c r="AF527" s="727">
        <f t="shared" ref="AF527:AF532" si="122">+SUMIF($C:$C,$V527,L:L)</f>
        <v>0</v>
      </c>
      <c r="AG527" s="734"/>
      <c r="AH527" s="730">
        <f t="shared" si="113"/>
        <v>0</v>
      </c>
      <c r="AI527" s="731">
        <f t="shared" si="121"/>
        <v>0</v>
      </c>
      <c r="AJ527" s="728"/>
      <c r="AK527" s="729"/>
      <c r="AL527" s="727">
        <f>SUMIFS(BV_Data_An_Prec!$AM:$AM,BV_Data_An_Prec!$AQ:$AQ,$V527)</f>
        <v>0</v>
      </c>
      <c r="AM527" s="732"/>
      <c r="AN527" s="730">
        <f t="shared" si="112"/>
        <v>0</v>
      </c>
      <c r="AO527" s="706">
        <f t="shared" si="94"/>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ht="15.75" customHeight="1">
      <c r="A528" s="5" t="s">
        <v>134</v>
      </c>
      <c r="B528" s="3"/>
      <c r="C528" s="668" t="s">
        <v>1058</v>
      </c>
      <c r="T528" s="40"/>
      <c r="U528" s="40"/>
      <c r="V528" s="559" t="s">
        <v>134</v>
      </c>
      <c r="W528" s="707" t="s">
        <v>1087</v>
      </c>
      <c r="X528" s="700"/>
      <c r="Y528" s="708"/>
      <c r="Z528" s="701">
        <f t="shared" si="119"/>
        <v>0</v>
      </c>
      <c r="AA528" s="700"/>
      <c r="AB528" s="708"/>
      <c r="AC528" s="701"/>
      <c r="AD528" s="709"/>
      <c r="AE528" s="708"/>
      <c r="AF528" s="701">
        <f t="shared" si="122"/>
        <v>11315.55</v>
      </c>
      <c r="AG528" s="702"/>
      <c r="AH528" s="703">
        <f t="shared" si="113"/>
        <v>11315.55</v>
      </c>
      <c r="AI528" s="704">
        <f t="shared" si="121"/>
        <v>0</v>
      </c>
      <c r="AJ528" s="709"/>
      <c r="AK528" s="708"/>
      <c r="AL528" s="701">
        <f>SUMIFS(BV_Data_An_Prec!$AM:$AM,BV_Data_An_Prec!$AQ:$AQ,$V528)</f>
        <v>15438.83</v>
      </c>
      <c r="AM528" s="705"/>
      <c r="AN528" s="703">
        <f t="shared" si="112"/>
        <v>-4123.28</v>
      </c>
      <c r="AO528" s="710">
        <f t="shared" si="94"/>
        <v>-0.2670720514</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ht="15.75" customHeight="1">
      <c r="A529" s="5" t="s">
        <v>135</v>
      </c>
      <c r="B529" s="3"/>
      <c r="C529" s="668" t="s">
        <v>1058</v>
      </c>
      <c r="T529" s="40"/>
      <c r="U529" s="40"/>
      <c r="V529" s="559" t="s">
        <v>135</v>
      </c>
      <c r="W529" s="707" t="s">
        <v>1088</v>
      </c>
      <c r="X529" s="700"/>
      <c r="Y529" s="700"/>
      <c r="Z529" s="701">
        <f t="shared" si="119"/>
        <v>0</v>
      </c>
      <c r="AA529" s="700"/>
      <c r="AB529" s="700"/>
      <c r="AC529" s="701"/>
      <c r="AD529" s="709"/>
      <c r="AE529" s="708"/>
      <c r="AF529" s="701">
        <f t="shared" si="122"/>
        <v>2687.85</v>
      </c>
      <c r="AG529" s="702"/>
      <c r="AH529" s="703">
        <f t="shared" si="113"/>
        <v>2687.85</v>
      </c>
      <c r="AI529" s="723">
        <f t="shared" si="121"/>
        <v>0</v>
      </c>
      <c r="AJ529" s="709"/>
      <c r="AK529" s="708"/>
      <c r="AL529" s="701">
        <f>SUMIFS(BV_Data_An_Prec!$AM:$AM,BV_Data_An_Prec!$AQ:$AQ,$V529)</f>
        <v>0</v>
      </c>
      <c r="AM529" s="705"/>
      <c r="AN529" s="703">
        <f t="shared" si="112"/>
        <v>2687.85</v>
      </c>
      <c r="AO529" s="710">
        <f t="shared" si="94"/>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ht="15.75" customHeight="1">
      <c r="A530" s="5" t="s">
        <v>136</v>
      </c>
      <c r="B530" s="3"/>
      <c r="C530" s="668" t="s">
        <v>1058</v>
      </c>
      <c r="T530" s="40"/>
      <c r="U530" s="40"/>
      <c r="V530" s="559" t="s">
        <v>136</v>
      </c>
      <c r="W530" s="707" t="s">
        <v>1089</v>
      </c>
      <c r="X530" s="700"/>
      <c r="Y530" s="700"/>
      <c r="Z530" s="701">
        <f t="shared" si="119"/>
        <v>0</v>
      </c>
      <c r="AA530" s="700"/>
      <c r="AB530" s="700"/>
      <c r="AC530" s="701"/>
      <c r="AD530" s="709"/>
      <c r="AE530" s="708"/>
      <c r="AF530" s="701">
        <f t="shared" si="122"/>
        <v>1367.83</v>
      </c>
      <c r="AG530" s="702"/>
      <c r="AH530" s="703">
        <f t="shared" si="113"/>
        <v>1367.83</v>
      </c>
      <c r="AI530" s="704">
        <f t="shared" si="121"/>
        <v>0</v>
      </c>
      <c r="AJ530" s="709"/>
      <c r="AK530" s="708"/>
      <c r="AL530" s="701">
        <f>SUMIFS(BV_Data_An_Prec!$AM:$AM,BV_Data_An_Prec!$AQ:$AQ,$V530)</f>
        <v>4226.62</v>
      </c>
      <c r="AM530" s="705"/>
      <c r="AN530" s="703">
        <f t="shared" si="112"/>
        <v>-2858.79</v>
      </c>
      <c r="AO530" s="710">
        <f t="shared" si="94"/>
        <v>-0.6763773417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ht="15.75" customHeight="1">
      <c r="A531" s="5" t="s">
        <v>137</v>
      </c>
      <c r="B531" s="3"/>
      <c r="C531" s="668" t="s">
        <v>1058</v>
      </c>
      <c r="T531" s="40"/>
      <c r="U531" s="40"/>
      <c r="V531" s="559" t="s">
        <v>137</v>
      </c>
      <c r="W531" s="707" t="s">
        <v>1090</v>
      </c>
      <c r="X531" s="700"/>
      <c r="Y531" s="700"/>
      <c r="Z531" s="701">
        <f t="shared" si="119"/>
        <v>0</v>
      </c>
      <c r="AA531" s="700"/>
      <c r="AB531" s="700"/>
      <c r="AC531" s="701"/>
      <c r="AD531" s="709"/>
      <c r="AE531" s="708"/>
      <c r="AF531" s="701">
        <f t="shared" si="122"/>
        <v>1893.64</v>
      </c>
      <c r="AG531" s="702"/>
      <c r="AH531" s="703">
        <f t="shared" si="113"/>
        <v>1893.64</v>
      </c>
      <c r="AI531" s="723">
        <f t="shared" si="121"/>
        <v>0</v>
      </c>
      <c r="AJ531" s="709"/>
      <c r="AK531" s="708"/>
      <c r="AL531" s="701">
        <f>SUMIFS(BV_Data_An_Prec!$AM:$AM,BV_Data_An_Prec!$AQ:$AQ,$V531)</f>
        <v>581.55</v>
      </c>
      <c r="AM531" s="705"/>
      <c r="AN531" s="703">
        <f t="shared" si="112"/>
        <v>1312.09</v>
      </c>
      <c r="AO531" s="710">
        <f t="shared" si="94"/>
        <v>2.256194652</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ht="15.75" customHeight="1">
      <c r="A532" s="5" t="s">
        <v>138</v>
      </c>
      <c r="B532" s="3"/>
      <c r="C532" s="668" t="s">
        <v>1058</v>
      </c>
      <c r="T532" s="40"/>
      <c r="U532" s="40"/>
      <c r="V532" s="559" t="s">
        <v>138</v>
      </c>
      <c r="W532" s="707" t="s">
        <v>1091</v>
      </c>
      <c r="X532" s="700"/>
      <c r="Y532" s="700"/>
      <c r="Z532" s="701">
        <f t="shared" si="119"/>
        <v>0</v>
      </c>
      <c r="AA532" s="700"/>
      <c r="AB532" s="700"/>
      <c r="AC532" s="701"/>
      <c r="AD532" s="709"/>
      <c r="AE532" s="708"/>
      <c r="AF532" s="701">
        <f t="shared" si="122"/>
        <v>3715.95</v>
      </c>
      <c r="AG532" s="702"/>
      <c r="AH532" s="703">
        <f t="shared" si="113"/>
        <v>3715.95</v>
      </c>
      <c r="AI532" s="704">
        <f t="shared" si="121"/>
        <v>0</v>
      </c>
      <c r="AJ532" s="709"/>
      <c r="AK532" s="708"/>
      <c r="AL532" s="701">
        <f>SUMIFS(BV_Data_An_Prec!$AM:$AM,BV_Data_An_Prec!$AQ:$AQ,$V532)</f>
        <v>5647.37</v>
      </c>
      <c r="AM532" s="705"/>
      <c r="AN532" s="703">
        <f t="shared" si="112"/>
        <v>-1931.42</v>
      </c>
      <c r="AO532" s="710">
        <f t="shared" si="94"/>
        <v>-0.3420034459</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ht="15.75" customHeight="1">
      <c r="A533" s="5" t="s">
        <v>139</v>
      </c>
      <c r="B533" s="3"/>
      <c r="C533" s="668" t="s">
        <v>1058</v>
      </c>
      <c r="T533" s="40"/>
      <c r="U533" s="40"/>
      <c r="V533" s="559" t="s">
        <v>139</v>
      </c>
      <c r="W533" s="707" t="s">
        <v>1092</v>
      </c>
      <c r="X533" s="700"/>
      <c r="Y533" s="708"/>
      <c r="Z533" s="701">
        <f t="shared" si="119"/>
        <v>0</v>
      </c>
      <c r="AA533" s="700"/>
      <c r="AB533" s="708"/>
      <c r="AC533" s="701"/>
      <c r="AD533" s="709"/>
      <c r="AE533" s="708"/>
      <c r="AF533" s="701">
        <f>SUMIFS(BV_Data_An_Cour!$AM:$AM,BV_Data_An_Cour!$AQ:$AQ,$V533)</f>
        <v>9924.33</v>
      </c>
      <c r="AG533" s="702"/>
      <c r="AH533" s="703">
        <f t="shared" si="113"/>
        <v>9924.33</v>
      </c>
      <c r="AI533" s="723">
        <f t="shared" si="121"/>
        <v>0</v>
      </c>
      <c r="AJ533" s="709"/>
      <c r="AK533" s="708"/>
      <c r="AL533" s="701">
        <f>SUMIFS(BV_Data_An_Prec!$AM:$AM,BV_Data_An_Prec!$AQ:$AQ,$V533)</f>
        <v>14257.79</v>
      </c>
      <c r="AM533" s="705"/>
      <c r="AN533" s="703">
        <f t="shared" si="112"/>
        <v>-4333.46</v>
      </c>
      <c r="AO533" s="710">
        <f t="shared" si="94"/>
        <v>-0.3039363043</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ht="15.75" customHeight="1">
      <c r="A534" s="5" t="s">
        <v>140</v>
      </c>
      <c r="B534" s="3"/>
      <c r="C534" s="668" t="s">
        <v>1058</v>
      </c>
      <c r="T534" s="40"/>
      <c r="U534" s="40"/>
      <c r="V534" s="559" t="s">
        <v>140</v>
      </c>
      <c r="W534" s="707" t="s">
        <v>1093</v>
      </c>
      <c r="X534" s="700"/>
      <c r="Y534" s="708"/>
      <c r="Z534" s="701">
        <f t="shared" si="119"/>
        <v>0</v>
      </c>
      <c r="AA534" s="700"/>
      <c r="AB534" s="708"/>
      <c r="AC534" s="701"/>
      <c r="AD534" s="709"/>
      <c r="AE534" s="708"/>
      <c r="AF534" s="701">
        <f>+SUMIF($C:$C,$V534,L:L)</f>
        <v>6511.45</v>
      </c>
      <c r="AG534" s="702"/>
      <c r="AH534" s="703">
        <f t="shared" si="113"/>
        <v>6511.45</v>
      </c>
      <c r="AI534" s="704">
        <f t="shared" si="121"/>
        <v>0</v>
      </c>
      <c r="AJ534" s="709"/>
      <c r="AK534" s="708"/>
      <c r="AL534" s="701">
        <f>SUMIFS(BV_Data_An_Prec!$AM:$AM,BV_Data_An_Prec!$AQ:$AQ,$V534)</f>
        <v>7885.76</v>
      </c>
      <c r="AM534" s="705"/>
      <c r="AN534" s="703">
        <f t="shared" si="112"/>
        <v>-1374.31</v>
      </c>
      <c r="AO534" s="710">
        <f t="shared" si="94"/>
        <v>-0.1742774317</v>
      </c>
      <c r="AQ534" s="40"/>
      <c r="AR534" s="40"/>
      <c r="AS534" s="40"/>
      <c r="AT534" s="40"/>
      <c r="AU534" s="40"/>
      <c r="AV534" s="40"/>
      <c r="AW534" s="40"/>
      <c r="AX534" s="40"/>
      <c r="AY534" s="40"/>
      <c r="AZ534" s="40"/>
      <c r="BA534" s="40"/>
      <c r="BB534" s="40"/>
      <c r="BC534" s="40"/>
      <c r="BD534" s="40"/>
      <c r="BE534" s="40"/>
      <c r="BF534" s="40"/>
      <c r="BG534" s="40"/>
      <c r="BH534" s="40"/>
      <c r="BI534" s="40"/>
      <c r="BJ534" s="40"/>
    </row>
    <row r="535" ht="15.75" customHeight="1">
      <c r="A535" s="5" t="s">
        <v>141</v>
      </c>
      <c r="B535" s="3"/>
      <c r="C535" s="668" t="s">
        <v>1058</v>
      </c>
      <c r="T535" s="40"/>
      <c r="U535" s="40"/>
      <c r="V535" s="559" t="s">
        <v>141</v>
      </c>
      <c r="W535" s="707" t="s">
        <v>1094</v>
      </c>
      <c r="X535" s="700"/>
      <c r="Y535" s="704" t="str">
        <f>Z535/Z493</f>
        <v>#REF!</v>
      </c>
      <c r="Z535" s="701">
        <f t="shared" si="119"/>
        <v>0</v>
      </c>
      <c r="AA535" s="700"/>
      <c r="AB535" s="708"/>
      <c r="AC535" s="701"/>
      <c r="AD535" s="709"/>
      <c r="AE535" s="708"/>
      <c r="AF535" s="701">
        <f>SUMIFS(BV_Data_An_Cour!$AM:$AM,BV_Data_An_Cour!$AQ:$AQ,$V535)</f>
        <v>8016.92</v>
      </c>
      <c r="AG535" s="702"/>
      <c r="AH535" s="703">
        <f t="shared" si="113"/>
        <v>8016.92</v>
      </c>
      <c r="AI535" s="704">
        <f t="shared" si="121"/>
        <v>0</v>
      </c>
      <c r="AJ535" s="709"/>
      <c r="AK535" s="708"/>
      <c r="AL535" s="701">
        <f>SUMIFS(BV_Data_An_Prec!$AM:$AM,BV_Data_An_Prec!$AQ:$AQ,$V535)</f>
        <v>1282.04</v>
      </c>
      <c r="AM535" s="705"/>
      <c r="AN535" s="703">
        <f t="shared" si="112"/>
        <v>6734.88</v>
      </c>
      <c r="AO535" s="710">
        <f t="shared" si="94"/>
        <v>5.253252629</v>
      </c>
      <c r="AQ535" s="40"/>
      <c r="AR535" s="40"/>
      <c r="AS535" s="40"/>
      <c r="AT535" s="40"/>
      <c r="AU535" s="40"/>
      <c r="AV535" s="40"/>
      <c r="AW535" s="40"/>
      <c r="AX535" s="40"/>
      <c r="AY535" s="40"/>
      <c r="AZ535" s="40"/>
      <c r="BA535" s="40"/>
      <c r="BB535" s="40"/>
      <c r="BC535" s="40"/>
      <c r="BD535" s="40"/>
      <c r="BE535" s="40"/>
      <c r="BF535" s="40"/>
      <c r="BG535" s="40"/>
      <c r="BH535" s="40"/>
      <c r="BI535" s="40"/>
      <c r="BJ535" s="40"/>
    </row>
    <row r="536" ht="17.25" customHeight="1">
      <c r="A536" s="5" t="s">
        <v>56</v>
      </c>
      <c r="B536" s="3"/>
      <c r="C536" s="668" t="s">
        <v>1058</v>
      </c>
      <c r="T536" s="40"/>
      <c r="U536" s="40"/>
      <c r="V536" s="559" t="s">
        <v>984</v>
      </c>
      <c r="W536" s="707"/>
      <c r="X536" s="700"/>
      <c r="Y536" s="708"/>
      <c r="Z536" s="701">
        <f t="shared" ref="Z536:Z538" si="123">IFERROR(SUMIF($C:$C,$V536,F:F),0)</f>
        <v>0</v>
      </c>
      <c r="AA536" s="700"/>
      <c r="AB536" s="700"/>
      <c r="AC536" s="701"/>
      <c r="AD536" s="709"/>
      <c r="AE536" s="708"/>
      <c r="AF536" s="701">
        <f t="shared" ref="AF536:AF538" si="124">IFERROR(SUMIF($C:$C,$V536,L:L),0)</f>
        <v>2278.38</v>
      </c>
      <c r="AG536" s="702"/>
      <c r="AH536" s="703">
        <f t="shared" si="113"/>
        <v>2278.38</v>
      </c>
      <c r="AI536" s="704">
        <f t="shared" si="121"/>
        <v>0</v>
      </c>
      <c r="AJ536" s="709"/>
      <c r="AK536" s="708"/>
      <c r="AL536" s="701">
        <f t="shared" ref="AL536:AL538" si="125">IFERROR(SUMIF($C:$C,$V536,R:R),0)</f>
        <v>0</v>
      </c>
      <c r="AM536" s="705"/>
      <c r="AN536" s="703">
        <f t="shared" si="112"/>
        <v>2278.38</v>
      </c>
      <c r="AO536" s="710">
        <f t="shared" si="94"/>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ht="17.25" hidden="1" customHeight="1">
      <c r="A537" s="5" t="s">
        <v>56</v>
      </c>
      <c r="B537" s="3"/>
      <c r="C537" s="668" t="s">
        <v>1058</v>
      </c>
      <c r="T537" s="40"/>
      <c r="U537" s="40"/>
      <c r="V537" s="559" t="s">
        <v>56</v>
      </c>
      <c r="W537" s="707"/>
      <c r="X537" s="700"/>
      <c r="Y537" s="708"/>
      <c r="Z537" s="701">
        <f t="shared" si="123"/>
        <v>0</v>
      </c>
      <c r="AA537" s="700"/>
      <c r="AB537" s="700"/>
      <c r="AC537" s="701"/>
      <c r="AD537" s="709"/>
      <c r="AE537" s="708"/>
      <c r="AF537" s="701">
        <f t="shared" si="124"/>
        <v>0</v>
      </c>
      <c r="AG537" s="702"/>
      <c r="AH537" s="703">
        <f t="shared" si="113"/>
        <v>0</v>
      </c>
      <c r="AI537" s="704">
        <f t="shared" si="121"/>
        <v>0</v>
      </c>
      <c r="AJ537" s="709"/>
      <c r="AK537" s="708"/>
      <c r="AL537" s="701">
        <f t="shared" si="125"/>
        <v>0</v>
      </c>
      <c r="AM537" s="705"/>
      <c r="AN537" s="703">
        <f t="shared" si="112"/>
        <v>0</v>
      </c>
      <c r="AO537" s="710">
        <f t="shared" si="94"/>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ht="17.25" hidden="1" customHeight="1">
      <c r="A538" s="5" t="s">
        <v>56</v>
      </c>
      <c r="B538" s="3"/>
      <c r="C538" s="668" t="s">
        <v>1058</v>
      </c>
      <c r="T538" s="40"/>
      <c r="U538" s="40"/>
      <c r="V538" s="559" t="s">
        <v>56</v>
      </c>
      <c r="W538" s="707"/>
      <c r="X538" s="700"/>
      <c r="Y538" s="708"/>
      <c r="Z538" s="701">
        <f t="shared" si="123"/>
        <v>0</v>
      </c>
      <c r="AA538" s="700"/>
      <c r="AB538" s="700"/>
      <c r="AC538" s="701"/>
      <c r="AD538" s="709"/>
      <c r="AE538" s="708"/>
      <c r="AF538" s="701">
        <f t="shared" si="124"/>
        <v>0</v>
      </c>
      <c r="AG538" s="702"/>
      <c r="AH538" s="703">
        <f t="shared" si="113"/>
        <v>0</v>
      </c>
      <c r="AI538" s="704">
        <f t="shared" si="121"/>
        <v>0</v>
      </c>
      <c r="AJ538" s="709"/>
      <c r="AK538" s="708"/>
      <c r="AL538" s="701">
        <f t="shared" si="125"/>
        <v>0</v>
      </c>
      <c r="AM538" s="705"/>
      <c r="AN538" s="703">
        <f t="shared" si="112"/>
        <v>0</v>
      </c>
      <c r="AO538" s="710">
        <f t="shared" si="94"/>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ht="21.0" customHeight="1">
      <c r="A539" s="5" t="s">
        <v>142</v>
      </c>
      <c r="B539" s="3"/>
      <c r="C539" s="668" t="s">
        <v>1058</v>
      </c>
      <c r="T539" s="40"/>
      <c r="U539" s="40"/>
      <c r="V539" s="715" t="s">
        <v>142</v>
      </c>
      <c r="W539" s="735"/>
      <c r="X539" s="717" t="str">
        <f>Z539/+Z494</f>
        <v>#REF!</v>
      </c>
      <c r="Y539" s="716"/>
      <c r="Z539" s="718">
        <f>+SUM(Z521:Z538)</f>
        <v>0</v>
      </c>
      <c r="AA539" s="717"/>
      <c r="AB539" s="716"/>
      <c r="AC539" s="718"/>
      <c r="AD539" s="719">
        <f>AF539/AF494</f>
        <v>0.1964529397</v>
      </c>
      <c r="AE539" s="716"/>
      <c r="AF539" s="718">
        <f>+SUM(AF521:AF538)</f>
        <v>111087.57</v>
      </c>
      <c r="AG539" s="736"/>
      <c r="AH539" s="737">
        <f>+SUM(AH521:AH538)</f>
        <v>111087.57</v>
      </c>
      <c r="AI539" s="717" t="str">
        <f>AH539/Z539</f>
        <v>#DIV/0!</v>
      </c>
      <c r="AJ539" s="719">
        <f>AL539/AL494</f>
        <v>0.1851979278</v>
      </c>
      <c r="AK539" s="716"/>
      <c r="AL539" s="718">
        <f>+SUM(AL521:AL538)</f>
        <v>153427.44</v>
      </c>
      <c r="AM539" s="722"/>
      <c r="AN539" s="720">
        <f t="shared" si="112"/>
        <v>-42339.87</v>
      </c>
      <c r="AO539" s="738">
        <f t="shared" si="94"/>
        <v>-0.2759602194</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ht="15.75" customHeight="1">
      <c r="A540" s="5" t="s">
        <v>199</v>
      </c>
      <c r="B540" s="3"/>
      <c r="C540" s="668" t="s">
        <v>1058</v>
      </c>
      <c r="D540" s="40"/>
      <c r="E540" s="40"/>
      <c r="F540" s="40"/>
      <c r="G540" s="40"/>
      <c r="H540" s="40"/>
      <c r="I540" s="40"/>
      <c r="J540" s="40"/>
      <c r="K540" s="40"/>
      <c r="L540" s="40"/>
      <c r="M540" s="40"/>
      <c r="N540" s="40"/>
      <c r="O540" s="40"/>
      <c r="P540" s="40"/>
      <c r="Q540" s="40"/>
      <c r="R540" s="40"/>
      <c r="S540" s="40"/>
      <c r="T540" s="40"/>
      <c r="U540" s="40"/>
      <c r="V540" s="559" t="s">
        <v>199</v>
      </c>
      <c r="W540" s="707" t="s">
        <v>1095</v>
      </c>
      <c r="X540" s="700"/>
      <c r="Y540" s="708"/>
      <c r="Z540" s="701" t="str">
        <f t="array" ref="Z540">+INDEX('Budget original'!$A$2:$AO$501,MATCH($A540,'Budget original'!$A$2:$A$501,0),MATCH(F$2,'Budget original'!$A$2:$AO$2,0))</f>
        <v/>
      </c>
      <c r="AA540" s="700"/>
      <c r="AB540" s="708"/>
      <c r="AC540" s="701"/>
      <c r="AD540" s="709"/>
      <c r="AE540" s="708"/>
      <c r="AF540" s="701">
        <f>SUMIFS(BV_Data_An_Cour!$AM:$AM,BV_Data_An_Cour!$AQ:$AQ,$V540)</f>
        <v>142100</v>
      </c>
      <c r="AG540" s="702"/>
      <c r="AH540" s="703">
        <f t="shared" ref="AH540:AH548" si="126">AF540-Z540</f>
        <v>142100</v>
      </c>
      <c r="AI540" s="704">
        <f t="shared" ref="AI540:AI548" si="127">IF(Z540=0,0,AH540/Z540)</f>
        <v>0</v>
      </c>
      <c r="AJ540" s="709"/>
      <c r="AK540" s="708"/>
      <c r="AL540" s="701">
        <f>SUMIFS(BV_Data_An_Prec!$AM:$AM,BV_Data_An_Prec!$AQ:$AQ,$V540)</f>
        <v>80049.99</v>
      </c>
      <c r="AM540" s="705"/>
      <c r="AN540" s="703">
        <f t="shared" si="112"/>
        <v>62050.01</v>
      </c>
      <c r="AO540" s="710">
        <f t="shared" si="94"/>
        <v>0.7751407589</v>
      </c>
      <c r="AP540" s="40"/>
      <c r="AQ540" s="739">
        <v>71050.0</v>
      </c>
      <c r="AR540" s="40"/>
      <c r="AS540" s="40"/>
      <c r="AT540" s="40"/>
      <c r="AU540" s="40"/>
      <c r="AV540" s="40"/>
      <c r="AW540" s="40"/>
      <c r="AX540" s="40"/>
      <c r="AY540" s="40"/>
      <c r="AZ540" s="40"/>
      <c r="BA540" s="40"/>
      <c r="BB540" s="40"/>
      <c r="BC540" s="40"/>
      <c r="BD540" s="40"/>
      <c r="BE540" s="40"/>
      <c r="BF540" s="40"/>
      <c r="BG540" s="40"/>
      <c r="BH540" s="40"/>
      <c r="BI540" s="40"/>
      <c r="BJ540" s="40"/>
    </row>
    <row r="541" ht="15.75" customHeight="1">
      <c r="A541" s="5" t="s">
        <v>200</v>
      </c>
      <c r="B541" s="3"/>
      <c r="C541" s="668" t="s">
        <v>1058</v>
      </c>
      <c r="D541" s="40"/>
      <c r="E541" s="40"/>
      <c r="F541" s="40"/>
      <c r="G541" s="40"/>
      <c r="H541" s="40"/>
      <c r="I541" s="40"/>
      <c r="J541" s="40"/>
      <c r="K541" s="40"/>
      <c r="L541" s="40"/>
      <c r="M541" s="40"/>
      <c r="N541" s="40"/>
      <c r="O541" s="40"/>
      <c r="P541" s="40"/>
      <c r="Q541" s="40"/>
      <c r="R541" s="40"/>
      <c r="S541" s="40"/>
      <c r="T541" s="40"/>
      <c r="U541" s="40"/>
      <c r="V541" s="559" t="s">
        <v>200</v>
      </c>
      <c r="W541" s="707" t="s">
        <v>1096</v>
      </c>
      <c r="X541" s="700"/>
      <c r="Y541" s="708"/>
      <c r="Z541" s="701" t="str">
        <f t="array" ref="Z541">+INDEX('Budget original'!$A$2:$AO$501,MATCH($A541,'Budget original'!$A$2:$A$501,0),MATCH(F$2,'Budget original'!$A$2:$AO$2,0))</f>
        <v/>
      </c>
      <c r="AA541" s="700"/>
      <c r="AB541" s="708"/>
      <c r="AC541" s="701"/>
      <c r="AD541" s="709"/>
      <c r="AE541" s="708"/>
      <c r="AF541" s="701">
        <f>SUMIFS(BV_Data_An_Cour!$AM:$AM,BV_Data_An_Cour!$AQ:$AQ,$V541)</f>
        <v>7053.89</v>
      </c>
      <c r="AG541" s="702"/>
      <c r="AH541" s="703">
        <f t="shared" si="126"/>
        <v>7053.89</v>
      </c>
      <c r="AI541" s="704">
        <f t="shared" si="127"/>
        <v>0</v>
      </c>
      <c r="AJ541" s="709"/>
      <c r="AK541" s="708"/>
      <c r="AL541" s="701">
        <f>SUMIFS(BV_Data_An_Prec!$AM:$AM,BV_Data_An_Prec!$AQ:$AQ,$V541)</f>
        <v>12238</v>
      </c>
      <c r="AM541" s="705"/>
      <c r="AN541" s="703">
        <f t="shared" si="112"/>
        <v>-5184.11</v>
      </c>
      <c r="AO541" s="710">
        <f t="shared" si="94"/>
        <v>-0.4236076156</v>
      </c>
      <c r="AP541" s="40"/>
      <c r="AQ541" s="739">
        <v>7054.0</v>
      </c>
      <c r="AR541" s="40"/>
      <c r="AS541" s="40"/>
      <c r="AT541" s="40"/>
      <c r="AU541" s="40"/>
      <c r="AV541" s="40"/>
      <c r="AW541" s="40"/>
      <c r="AX541" s="40"/>
      <c r="AY541" s="40"/>
      <c r="AZ541" s="40"/>
      <c r="BA541" s="40"/>
      <c r="BB541" s="40"/>
      <c r="BC541" s="40"/>
      <c r="BD541" s="40"/>
      <c r="BE541" s="40"/>
      <c r="BF541" s="40"/>
      <c r="BG541" s="40"/>
      <c r="BH541" s="40"/>
      <c r="BI541" s="40"/>
      <c r="BJ541" s="40"/>
    </row>
    <row r="542" ht="15.75" customHeight="1">
      <c r="A542" s="5" t="s">
        <v>201</v>
      </c>
      <c r="B542" s="3"/>
      <c r="C542" s="668" t="s">
        <v>1058</v>
      </c>
      <c r="D542" s="40"/>
      <c r="E542" s="40"/>
      <c r="F542" s="40"/>
      <c r="G542" s="40"/>
      <c r="H542" s="40"/>
      <c r="I542" s="40"/>
      <c r="J542" s="40"/>
      <c r="K542" s="40"/>
      <c r="L542" s="40"/>
      <c r="M542" s="40"/>
      <c r="N542" s="40"/>
      <c r="O542" s="40"/>
      <c r="P542" s="40"/>
      <c r="Q542" s="40"/>
      <c r="R542" s="40"/>
      <c r="S542" s="40"/>
      <c r="T542" s="40"/>
      <c r="U542" s="40"/>
      <c r="V542" s="560" t="s">
        <v>201</v>
      </c>
      <c r="W542" s="711" t="s">
        <v>1097</v>
      </c>
      <c r="X542" s="683"/>
      <c r="Y542" s="712"/>
      <c r="Z542" s="684" t="str">
        <f t="array" ref="Z542">+INDEX('Budget original'!$A$2:$AO$501,MATCH($A542,'Budget original'!$A$2:$A$501,0),MATCH(F$2,'Budget original'!$A$2:$AO$2,0))</f>
        <v/>
      </c>
      <c r="AA542" s="683"/>
      <c r="AB542" s="712"/>
      <c r="AC542" s="684"/>
      <c r="AD542" s="713"/>
      <c r="AE542" s="712"/>
      <c r="AF542" s="684">
        <f>SUMIFS(BV_Data_An_Cour!$AM:$AM,BV_Data_An_Cour!$AQ:$AQ,$V542)</f>
        <v>14727.61</v>
      </c>
      <c r="AG542" s="685"/>
      <c r="AH542" s="686">
        <f t="shared" si="126"/>
        <v>14727.61</v>
      </c>
      <c r="AI542" s="714">
        <f t="shared" si="127"/>
        <v>0</v>
      </c>
      <c r="AJ542" s="713"/>
      <c r="AK542" s="712"/>
      <c r="AL542" s="684">
        <f>SUMIFS(BV_Data_An_Prec!$AM:$AM,BV_Data_An_Prec!$AQ:$AQ,$V542)</f>
        <v>10000</v>
      </c>
      <c r="AM542" s="688"/>
      <c r="AN542" s="686">
        <f t="shared" si="112"/>
        <v>4727.61</v>
      </c>
      <c r="AO542" s="689">
        <f t="shared" si="94"/>
        <v>0.472761</v>
      </c>
      <c r="AP542" s="40"/>
      <c r="AQ542" s="739">
        <v>14728.0</v>
      </c>
      <c r="AR542" s="40"/>
      <c r="AS542" s="40"/>
      <c r="AT542" s="40"/>
      <c r="AU542" s="40"/>
      <c r="AV542" s="40"/>
      <c r="AW542" s="40"/>
      <c r="AX542" s="40"/>
      <c r="AY542" s="40"/>
      <c r="AZ542" s="40"/>
      <c r="BA542" s="40"/>
      <c r="BB542" s="40"/>
      <c r="BC542" s="40"/>
      <c r="BD542" s="40"/>
      <c r="BE542" s="40"/>
      <c r="BF542" s="40"/>
      <c r="BG542" s="40"/>
      <c r="BH542" s="40"/>
      <c r="BI542" s="40"/>
      <c r="BJ542" s="40"/>
    </row>
    <row r="543" ht="17.25" hidden="1" customHeight="1">
      <c r="A543" s="5" t="s">
        <v>202</v>
      </c>
      <c r="B543" s="3"/>
      <c r="C543" s="668" t="s">
        <v>1058</v>
      </c>
      <c r="D543" s="40"/>
      <c r="E543" s="40"/>
      <c r="F543" s="40"/>
      <c r="G543" s="40"/>
      <c r="H543" s="40"/>
      <c r="I543" s="40"/>
      <c r="J543" s="40"/>
      <c r="K543" s="40"/>
      <c r="L543" s="40"/>
      <c r="M543" s="40"/>
      <c r="N543" s="40"/>
      <c r="O543" s="40"/>
      <c r="P543" s="40"/>
      <c r="Q543" s="40"/>
      <c r="R543" s="40"/>
      <c r="S543" s="40"/>
      <c r="T543" s="40"/>
      <c r="U543" s="40"/>
      <c r="V543" s="559" t="s">
        <v>202</v>
      </c>
      <c r="W543" s="707"/>
      <c r="X543" s="700"/>
      <c r="Y543" s="708"/>
      <c r="Z543" s="701" t="str">
        <f t="array" ref="Z543">+INDEX('Budget original'!$A$2:$AO$501,MATCH($A543,'Budget original'!$A$2:$A$501,0),MATCH(F$2,'Budget original'!$A$2:$AO$2,0))</f>
        <v/>
      </c>
      <c r="AA543" s="700"/>
      <c r="AB543" s="708"/>
      <c r="AC543" s="701"/>
      <c r="AD543" s="709"/>
      <c r="AE543" s="708"/>
      <c r="AF543" s="701">
        <f>SUMIFS(BV_Data_An_Cour!$AM:$AM,BV_Data_An_Cour!$AQ:$AQ,$V543)</f>
        <v>0</v>
      </c>
      <c r="AG543" s="702"/>
      <c r="AH543" s="703">
        <f t="shared" si="126"/>
        <v>0</v>
      </c>
      <c r="AI543" s="704">
        <f t="shared" si="127"/>
        <v>0</v>
      </c>
      <c r="AJ543" s="709"/>
      <c r="AK543" s="708"/>
      <c r="AL543" s="701">
        <f>SUMIFS(BV_Data_An_Prec!$AM:$AM,BV_Data_An_Prec!$AQ:$AQ,$V543)</f>
        <v>0</v>
      </c>
      <c r="AM543" s="705"/>
      <c r="AN543" s="703">
        <f t="shared" si="112"/>
        <v>0</v>
      </c>
      <c r="AO543" s="710">
        <f t="shared" si="94"/>
        <v>0</v>
      </c>
      <c r="AP543" s="40"/>
      <c r="AQ543" s="739"/>
      <c r="AR543" s="40"/>
      <c r="AS543" s="40"/>
      <c r="AT543" s="40"/>
      <c r="AU543" s="40"/>
      <c r="AV543" s="40"/>
      <c r="AW543" s="40"/>
      <c r="AX543" s="40"/>
      <c r="AY543" s="40"/>
      <c r="AZ543" s="40"/>
      <c r="BA543" s="40"/>
      <c r="BB543" s="40"/>
      <c r="BC543" s="40"/>
      <c r="BD543" s="40"/>
      <c r="BE543" s="40"/>
      <c r="BF543" s="40"/>
      <c r="BG543" s="40"/>
      <c r="BH543" s="40"/>
      <c r="BI543" s="40"/>
      <c r="BJ543" s="40"/>
    </row>
    <row r="544" ht="15.75" customHeight="1">
      <c r="A544" s="5" t="s">
        <v>203</v>
      </c>
      <c r="B544" s="3"/>
      <c r="C544" s="668" t="s">
        <v>1058</v>
      </c>
      <c r="D544" s="40"/>
      <c r="E544" s="40"/>
      <c r="F544" s="40"/>
      <c r="G544" s="40"/>
      <c r="H544" s="40"/>
      <c r="I544" s="40"/>
      <c r="J544" s="40"/>
      <c r="K544" s="40"/>
      <c r="L544" s="40"/>
      <c r="M544" s="40"/>
      <c r="N544" s="40"/>
      <c r="O544" s="40"/>
      <c r="P544" s="40"/>
      <c r="Q544" s="40"/>
      <c r="R544" s="40"/>
      <c r="S544" s="40"/>
      <c r="T544" s="40"/>
      <c r="U544" s="40"/>
      <c r="V544" s="560" t="s">
        <v>203</v>
      </c>
      <c r="W544" s="711" t="s">
        <v>1098</v>
      </c>
      <c r="X544" s="683"/>
      <c r="Y544" s="712"/>
      <c r="Z544" s="684" t="str">
        <f t="array" ref="Z544">+INDEX('Budget original'!$A$2:$AO$501,MATCH($A544,'Budget original'!$A$2:$A$501,0),MATCH(F$2,'Budget original'!$A$2:$AO$2,0))</f>
        <v/>
      </c>
      <c r="AA544" s="683"/>
      <c r="AB544" s="712"/>
      <c r="AC544" s="684"/>
      <c r="AD544" s="713"/>
      <c r="AE544" s="712"/>
      <c r="AF544" s="684">
        <f>SUMIF(BV_Data_An_Cour!$AQ:$AQ,Print_Mois!$V544,BV_Data_An_Cour!$AM:$AM)</f>
        <v>7841.29</v>
      </c>
      <c r="AG544" s="685"/>
      <c r="AH544" s="686">
        <f t="shared" si="126"/>
        <v>7841.29</v>
      </c>
      <c r="AI544" s="714">
        <f t="shared" si="127"/>
        <v>0</v>
      </c>
      <c r="AJ544" s="713"/>
      <c r="AK544" s="712"/>
      <c r="AL544" s="684">
        <f>SUMIFS(BV_Data_An_Prec!$AM:$AM,BV_Data_An_Prec!$AQ:$AQ,$V544)</f>
        <v>13073.61</v>
      </c>
      <c r="AM544" s="688"/>
      <c r="AN544" s="686">
        <f t="shared" si="112"/>
        <v>-5232.32</v>
      </c>
      <c r="AO544" s="689">
        <f t="shared" si="94"/>
        <v>-0.4002199851</v>
      </c>
      <c r="AP544" s="40"/>
      <c r="AQ544" s="739">
        <v>7841.0</v>
      </c>
      <c r="AR544" s="40"/>
      <c r="AS544" s="40"/>
      <c r="AT544" s="40"/>
      <c r="AU544" s="40"/>
      <c r="AV544" s="40"/>
      <c r="AW544" s="40"/>
      <c r="AX544" s="40"/>
      <c r="AY544" s="40"/>
      <c r="AZ544" s="40"/>
      <c r="BA544" s="40"/>
      <c r="BB544" s="40"/>
      <c r="BC544" s="40"/>
      <c r="BD544" s="40"/>
      <c r="BE544" s="40"/>
      <c r="BF544" s="40"/>
      <c r="BG544" s="40"/>
      <c r="BH544" s="40"/>
      <c r="BI544" s="40"/>
      <c r="BJ544" s="40"/>
    </row>
    <row r="545" ht="15.75" customHeight="1">
      <c r="A545" s="5" t="s">
        <v>204</v>
      </c>
      <c r="B545" s="3"/>
      <c r="C545" s="668" t="s">
        <v>1058</v>
      </c>
      <c r="D545" s="40"/>
      <c r="E545" s="40"/>
      <c r="F545" s="40"/>
      <c r="G545" s="40"/>
      <c r="H545" s="40"/>
      <c r="I545" s="40"/>
      <c r="J545" s="40"/>
      <c r="K545" s="40"/>
      <c r="L545" s="40"/>
      <c r="M545" s="40"/>
      <c r="N545" s="40"/>
      <c r="O545" s="40"/>
      <c r="P545" s="40"/>
      <c r="Q545" s="40"/>
      <c r="R545" s="40"/>
      <c r="S545" s="40"/>
      <c r="T545" s="40"/>
      <c r="U545" s="40"/>
      <c r="V545" s="559" t="s">
        <v>204</v>
      </c>
      <c r="W545" s="707" t="s">
        <v>1099</v>
      </c>
      <c r="X545" s="740"/>
      <c r="Y545" s="741"/>
      <c r="Z545" s="701" t="str">
        <f t="array" ref="Z545">+INDEX('Budget original'!$A$2:$AO$501,MATCH($A545,'Budget original'!$A$2:$A$501,0),MATCH(F$2,'Budget original'!$A$2:$AO$2,0))</f>
        <v/>
      </c>
      <c r="AA545" s="740"/>
      <c r="AB545" s="741"/>
      <c r="AC545" s="701"/>
      <c r="AD545" s="709"/>
      <c r="AE545" s="708"/>
      <c r="AF545" s="701">
        <f>SUMIFS(BV_Data_An_Cour!$AM:$AM,BV_Data_An_Cour!$AQ:$AQ,$V545)</f>
        <v>11100</v>
      </c>
      <c r="AG545" s="702"/>
      <c r="AH545" s="703">
        <f t="shared" si="126"/>
        <v>11100</v>
      </c>
      <c r="AI545" s="704">
        <f t="shared" si="127"/>
        <v>0</v>
      </c>
      <c r="AJ545" s="709"/>
      <c r="AK545" s="708"/>
      <c r="AL545" s="701">
        <f>SUMIFS(BV_Data_An_Prec!$AM:$AM,BV_Data_An_Prec!$AQ:$AQ,$V545)</f>
        <v>9936.7</v>
      </c>
      <c r="AM545" s="705"/>
      <c r="AN545" s="703">
        <f t="shared" si="112"/>
        <v>1163.3</v>
      </c>
      <c r="AO545" s="710">
        <f t="shared" si="94"/>
        <v>0.1170710598</v>
      </c>
      <c r="AP545" s="40"/>
      <c r="AQ545" s="739">
        <v>11100.0</v>
      </c>
      <c r="AR545" s="40"/>
      <c r="AS545" s="40"/>
      <c r="AT545" s="40"/>
      <c r="AU545" s="40"/>
      <c r="AV545" s="40"/>
      <c r="AW545" s="40"/>
      <c r="AX545" s="40"/>
      <c r="AY545" s="40"/>
      <c r="AZ545" s="40"/>
      <c r="BA545" s="40"/>
      <c r="BB545" s="40"/>
      <c r="BC545" s="40"/>
      <c r="BD545" s="40"/>
      <c r="BE545" s="40"/>
      <c r="BF545" s="40"/>
      <c r="BG545" s="40"/>
      <c r="BH545" s="40"/>
      <c r="BI545" s="40"/>
      <c r="BJ545" s="40"/>
    </row>
    <row r="546" ht="15.75" customHeight="1">
      <c r="A546" s="5" t="s">
        <v>205</v>
      </c>
      <c r="B546" s="3"/>
      <c r="C546" s="668" t="s">
        <v>1058</v>
      </c>
      <c r="D546" s="40"/>
      <c r="E546" s="40"/>
      <c r="F546" s="40"/>
      <c r="G546" s="40"/>
      <c r="H546" s="40"/>
      <c r="I546" s="40"/>
      <c r="J546" s="40"/>
      <c r="K546" s="40"/>
      <c r="L546" s="40"/>
      <c r="M546" s="40"/>
      <c r="N546" s="40"/>
      <c r="O546" s="40"/>
      <c r="P546" s="40"/>
      <c r="Q546" s="40"/>
      <c r="R546" s="40"/>
      <c r="S546" s="40"/>
      <c r="T546" s="40"/>
      <c r="U546" s="40"/>
      <c r="V546" s="559" t="s">
        <v>205</v>
      </c>
      <c r="W546" s="707" t="s">
        <v>1100</v>
      </c>
      <c r="X546" s="700"/>
      <c r="Y546" s="708"/>
      <c r="Z546" s="701" t="str">
        <f t="array" ref="Z546">+INDEX('Budget original'!$A$2:$AO$501,MATCH($A546,'Budget original'!$A$2:$A$501,0),MATCH(F$2,'Budget original'!$A$2:$AO$2,0))</f>
        <v/>
      </c>
      <c r="AA546" s="700"/>
      <c r="AB546" s="708"/>
      <c r="AC546" s="701"/>
      <c r="AD546" s="709"/>
      <c r="AE546" s="708"/>
      <c r="AF546" s="701">
        <f>SUMIFS(BV_Data_An_Cour!$AM:$AM,BV_Data_An_Cour!$AQ:$AQ,$V546)</f>
        <v>5434.87</v>
      </c>
      <c r="AG546" s="702"/>
      <c r="AH546" s="703">
        <f t="shared" si="126"/>
        <v>5434.87</v>
      </c>
      <c r="AI546" s="704">
        <f t="shared" si="127"/>
        <v>0</v>
      </c>
      <c r="AJ546" s="709"/>
      <c r="AK546" s="708"/>
      <c r="AL546" s="701">
        <f>SUMIFS(BV_Data_An_Prec!$AM:$AM,BV_Data_An_Prec!$AQ:$AQ,$V546)</f>
        <v>10861.2</v>
      </c>
      <c r="AM546" s="705"/>
      <c r="AN546" s="703">
        <f t="shared" si="112"/>
        <v>-5426.33</v>
      </c>
      <c r="AO546" s="710">
        <f t="shared" si="94"/>
        <v>-0.4996068574</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ht="15.75" customHeight="1">
      <c r="A547" s="5" t="s">
        <v>206</v>
      </c>
      <c r="B547" s="3"/>
      <c r="C547" s="668" t="s">
        <v>1058</v>
      </c>
      <c r="D547" s="40"/>
      <c r="E547" s="40"/>
      <c r="F547" s="40"/>
      <c r="G547" s="40"/>
      <c r="H547" s="40"/>
      <c r="I547" s="40"/>
      <c r="J547" s="40"/>
      <c r="K547" s="40"/>
      <c r="L547" s="40"/>
      <c r="M547" s="40"/>
      <c r="N547" s="40"/>
      <c r="O547" s="40"/>
      <c r="P547" s="40"/>
      <c r="Q547" s="40"/>
      <c r="R547" s="40"/>
      <c r="S547" s="40"/>
      <c r="T547" s="40"/>
      <c r="U547" s="40"/>
      <c r="V547" s="560" t="s">
        <v>206</v>
      </c>
      <c r="W547" s="711" t="s">
        <v>1101</v>
      </c>
      <c r="X547" s="683"/>
      <c r="Y547" s="712"/>
      <c r="Z547" s="684" t="str">
        <f t="array" ref="Z547">+INDEX('Budget original'!$A$2:$AO$501,MATCH($A547,'Budget original'!$A$2:$A$501,0),MATCH(F$2,'Budget original'!$A$2:$AO$2,0))</f>
        <v/>
      </c>
      <c r="AA547" s="683"/>
      <c r="AB547" s="712"/>
      <c r="AC547" s="684"/>
      <c r="AD547" s="713"/>
      <c r="AE547" s="712"/>
      <c r="AF547" s="684">
        <f>SUMIFS(BV_Data_An_Cour!$AM:$AM,BV_Data_An_Cour!$AQ:$AQ,$V547)</f>
        <v>15268.63</v>
      </c>
      <c r="AG547" s="685"/>
      <c r="AH547" s="686">
        <f t="shared" si="126"/>
        <v>15268.63</v>
      </c>
      <c r="AI547" s="714">
        <f t="shared" si="127"/>
        <v>0</v>
      </c>
      <c r="AJ547" s="713"/>
      <c r="AK547" s="712"/>
      <c r="AL547" s="684">
        <f>SUMIFS(BV_Data_An_Prec!$AM:$AM,BV_Data_An_Prec!$AQ:$AQ,$V547)</f>
        <v>11687.77</v>
      </c>
      <c r="AM547" s="688"/>
      <c r="AN547" s="686">
        <f t="shared" si="112"/>
        <v>3580.86</v>
      </c>
      <c r="AO547" s="689">
        <f t="shared" si="94"/>
        <v>0.3063766655</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ht="15.75" customHeight="1">
      <c r="A548" s="5" t="s">
        <v>207</v>
      </c>
      <c r="B548" s="3"/>
      <c r="C548" s="668" t="s">
        <v>1058</v>
      </c>
      <c r="D548" s="40"/>
      <c r="E548" s="40"/>
      <c r="F548" s="40"/>
      <c r="G548" s="40"/>
      <c r="H548" s="40"/>
      <c r="I548" s="40"/>
      <c r="J548" s="40"/>
      <c r="K548" s="40"/>
      <c r="L548" s="40"/>
      <c r="M548" s="40"/>
      <c r="N548" s="40"/>
      <c r="O548" s="40"/>
      <c r="P548" s="40"/>
      <c r="Q548" s="40"/>
      <c r="R548" s="40"/>
      <c r="S548" s="40"/>
      <c r="T548" s="40"/>
      <c r="U548" s="40"/>
      <c r="V548" s="559" t="s">
        <v>207</v>
      </c>
      <c r="W548" s="707" t="s">
        <v>1102</v>
      </c>
      <c r="X548" s="700"/>
      <c r="Y548" s="708"/>
      <c r="Z548" s="701" t="str">
        <f t="array" ref="Z548">+INDEX('Budget original'!$A$2:$AO$501,MATCH($A548,'Budget original'!$A$2:$A$501,0),MATCH(F$2,'Budget original'!$A$2:$AO$2,0))</f>
        <v/>
      </c>
      <c r="AA548" s="700"/>
      <c r="AB548" s="708"/>
      <c r="AC548" s="701"/>
      <c r="AD548" s="709"/>
      <c r="AE548" s="708"/>
      <c r="AF548" s="701">
        <f>SUMIFS(BV_Data_An_Cour!$AM:$AM,BV_Data_An_Cour!$AQ:$AQ,$V548)</f>
        <v>855.76</v>
      </c>
      <c r="AG548" s="702"/>
      <c r="AH548" s="703">
        <f t="shared" si="126"/>
        <v>855.76</v>
      </c>
      <c r="AI548" s="742">
        <f t="shared" si="127"/>
        <v>0</v>
      </c>
      <c r="AJ548" s="709"/>
      <c r="AK548" s="708"/>
      <c r="AL548" s="701">
        <f>SUMIFS(BV_Data_An_Prec!$AM:$AM,BV_Data_An_Prec!$AQ:$AQ,$V548)</f>
        <v>1954.25</v>
      </c>
      <c r="AM548" s="705"/>
      <c r="AN548" s="703">
        <f t="shared" si="112"/>
        <v>-1098.49</v>
      </c>
      <c r="AO548" s="710">
        <f t="shared" si="94"/>
        <v>-0.5621031086</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ht="17.25" hidden="1" customHeight="1">
      <c r="A549" s="5" t="s">
        <v>208</v>
      </c>
      <c r="B549" s="3"/>
      <c r="C549" s="668" t="s">
        <v>1058</v>
      </c>
      <c r="D549" s="40"/>
      <c r="E549" s="40"/>
      <c r="F549" s="40"/>
      <c r="G549" s="40"/>
      <c r="H549" s="40"/>
      <c r="I549" s="40"/>
      <c r="J549" s="40"/>
      <c r="K549" s="40"/>
      <c r="L549" s="40"/>
      <c r="M549" s="40"/>
      <c r="N549" s="40"/>
      <c r="O549" s="40"/>
      <c r="P549" s="40"/>
      <c r="Q549" s="40"/>
      <c r="R549" s="40"/>
      <c r="S549" s="40"/>
      <c r="T549" s="40"/>
      <c r="U549" s="40"/>
      <c r="V549" s="559" t="s">
        <v>208</v>
      </c>
      <c r="W549" s="707" t="s">
        <v>1103</v>
      </c>
      <c r="X549" s="700"/>
      <c r="Y549" s="708"/>
      <c r="Z549" s="701">
        <v>0.0</v>
      </c>
      <c r="AA549" s="700"/>
      <c r="AB549" s="708"/>
      <c r="AC549" s="701"/>
      <c r="AD549" s="709"/>
      <c r="AE549" s="708"/>
      <c r="AF549" s="701">
        <f>SUMIFS(BV_Data_An_Cour!$AM:$AM,BV_Data_An_Cour!$AQ:$AQ,$V549)</f>
        <v>0</v>
      </c>
      <c r="AG549" s="702"/>
      <c r="AH549" s="703">
        <v>0.0</v>
      </c>
      <c r="AI549" s="723">
        <v>0.0</v>
      </c>
      <c r="AJ549" s="709"/>
      <c r="AK549" s="708"/>
      <c r="AL549" s="701">
        <f>SUMIFS(BV_Data_An_Prec!$AM:$AM,BV_Data_An_Prec!$AQ:$AQ,$V549)</f>
        <v>0</v>
      </c>
      <c r="AM549" s="705"/>
      <c r="AN549" s="703">
        <f t="shared" si="112"/>
        <v>0</v>
      </c>
      <c r="AO549" s="710">
        <f t="shared" si="94"/>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ht="17.25" hidden="1" customHeight="1">
      <c r="A550" s="5" t="s">
        <v>56</v>
      </c>
      <c r="B550" s="3"/>
      <c r="C550" s="668" t="s">
        <v>1058</v>
      </c>
      <c r="D550" s="40"/>
      <c r="E550" s="40"/>
      <c r="F550" s="40"/>
      <c r="G550" s="40"/>
      <c r="H550" s="40"/>
      <c r="I550" s="40"/>
      <c r="J550" s="40"/>
      <c r="K550" s="40"/>
      <c r="L550" s="40"/>
      <c r="M550" s="40"/>
      <c r="N550" s="40"/>
      <c r="O550" s="40"/>
      <c r="P550" s="40"/>
      <c r="Q550" s="40"/>
      <c r="R550" s="40"/>
      <c r="S550" s="40"/>
      <c r="T550" s="40"/>
      <c r="U550" s="40"/>
      <c r="V550" s="559" t="s">
        <v>56</v>
      </c>
      <c r="W550" s="707"/>
      <c r="X550" s="700"/>
      <c r="Y550" s="708"/>
      <c r="Z550" s="701">
        <f t="shared" ref="Z550:Z552" si="128">IFERROR(SUMIF($C:$C,$V550,F:F),0)</f>
        <v>0</v>
      </c>
      <c r="AA550" s="700"/>
      <c r="AB550" s="700"/>
      <c r="AC550" s="701"/>
      <c r="AD550" s="709"/>
      <c r="AE550" s="708"/>
      <c r="AF550" s="701">
        <f t="shared" ref="AF550:AF552" si="129">IFERROR(SUMIF($C:$C,$V550,L:L),0)</f>
        <v>0</v>
      </c>
      <c r="AG550" s="702"/>
      <c r="AH550" s="703">
        <f t="shared" ref="AH550:AH552" si="130">AF550-Z550</f>
        <v>0</v>
      </c>
      <c r="AI550" s="704">
        <f t="shared" ref="AI550:AI553" si="131">IF(Z550=0,0,AH550/Z550)</f>
        <v>0</v>
      </c>
      <c r="AJ550" s="709"/>
      <c r="AK550" s="708"/>
      <c r="AL550" s="701">
        <f>SUMIFS(BV_Data_An_Prec!$AM:$AM,BV_Data_An_Prec!$AQ:$AQ,$V550)</f>
        <v>0</v>
      </c>
      <c r="AM550" s="705"/>
      <c r="AN550" s="703">
        <f t="shared" si="112"/>
        <v>0</v>
      </c>
      <c r="AO550" s="710">
        <f t="shared" si="94"/>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ht="17.25" hidden="1" customHeight="1">
      <c r="A551" s="5" t="s">
        <v>56</v>
      </c>
      <c r="B551" s="3"/>
      <c r="C551" s="668" t="s">
        <v>1058</v>
      </c>
      <c r="D551" s="40"/>
      <c r="E551" s="40"/>
      <c r="F551" s="40"/>
      <c r="G551" s="40"/>
      <c r="H551" s="40"/>
      <c r="I551" s="40"/>
      <c r="J551" s="40"/>
      <c r="K551" s="40"/>
      <c r="L551" s="40"/>
      <c r="M551" s="40"/>
      <c r="N551" s="40"/>
      <c r="O551" s="40"/>
      <c r="P551" s="40"/>
      <c r="Q551" s="40"/>
      <c r="R551" s="40"/>
      <c r="S551" s="40"/>
      <c r="T551" s="40"/>
      <c r="U551" s="40"/>
      <c r="V551" s="559" t="s">
        <v>56</v>
      </c>
      <c r="W551" s="707"/>
      <c r="X551" s="700"/>
      <c r="Y551" s="708"/>
      <c r="Z551" s="701">
        <f t="shared" si="128"/>
        <v>0</v>
      </c>
      <c r="AA551" s="700"/>
      <c r="AB551" s="700"/>
      <c r="AC551" s="701"/>
      <c r="AD551" s="709"/>
      <c r="AE551" s="708"/>
      <c r="AF551" s="701">
        <f t="shared" si="129"/>
        <v>0</v>
      </c>
      <c r="AG551" s="702"/>
      <c r="AH551" s="703">
        <f t="shared" si="130"/>
        <v>0</v>
      </c>
      <c r="AI551" s="704">
        <f t="shared" si="131"/>
        <v>0</v>
      </c>
      <c r="AJ551" s="709"/>
      <c r="AK551" s="708"/>
      <c r="AL551" s="701">
        <f>SUMIFS(BV_Data_An_Prec!$AM:$AM,BV_Data_An_Prec!$AQ:$AQ,$V551)</f>
        <v>0</v>
      </c>
      <c r="AM551" s="705"/>
      <c r="AN551" s="703">
        <f t="shared" si="112"/>
        <v>0</v>
      </c>
      <c r="AO551" s="710">
        <f t="shared" si="94"/>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ht="17.25" hidden="1" customHeight="1">
      <c r="A552" s="5" t="s">
        <v>56</v>
      </c>
      <c r="B552" s="3"/>
      <c r="C552" s="668" t="s">
        <v>1058</v>
      </c>
      <c r="D552" s="40"/>
      <c r="E552" s="40"/>
      <c r="F552" s="40"/>
      <c r="G552" s="40"/>
      <c r="H552" s="40"/>
      <c r="I552" s="40"/>
      <c r="J552" s="40"/>
      <c r="K552" s="40"/>
      <c r="L552" s="40"/>
      <c r="M552" s="40"/>
      <c r="N552" s="40"/>
      <c r="O552" s="40"/>
      <c r="P552" s="40"/>
      <c r="Q552" s="40"/>
      <c r="R552" s="40"/>
      <c r="S552" s="40"/>
      <c r="T552" s="40"/>
      <c r="U552" s="40"/>
      <c r="V552" s="559" t="s">
        <v>56</v>
      </c>
      <c r="W552" s="707"/>
      <c r="X552" s="700"/>
      <c r="Y552" s="708"/>
      <c r="Z552" s="701">
        <f t="shared" si="128"/>
        <v>0</v>
      </c>
      <c r="AA552" s="700"/>
      <c r="AB552" s="700"/>
      <c r="AC552" s="701"/>
      <c r="AD552" s="709"/>
      <c r="AE552" s="708"/>
      <c r="AF552" s="701">
        <f t="shared" si="129"/>
        <v>0</v>
      </c>
      <c r="AG552" s="702"/>
      <c r="AH552" s="703">
        <f t="shared" si="130"/>
        <v>0</v>
      </c>
      <c r="AI552" s="704">
        <f t="shared" si="131"/>
        <v>0</v>
      </c>
      <c r="AJ552" s="709"/>
      <c r="AK552" s="708"/>
      <c r="AL552" s="701">
        <f>SUMIFS(BV_Data_An_Prec!$AM:$AM,BV_Data_An_Prec!$AQ:$AQ,$V552)</f>
        <v>0</v>
      </c>
      <c r="AM552" s="705"/>
      <c r="AN552" s="703">
        <f t="shared" si="112"/>
        <v>0</v>
      </c>
      <c r="AO552" s="710">
        <f t="shared" si="94"/>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ht="21.0" customHeight="1">
      <c r="A553" s="5" t="s">
        <v>209</v>
      </c>
      <c r="B553" s="3"/>
      <c r="C553" s="668" t="s">
        <v>1058</v>
      </c>
      <c r="D553" s="40"/>
      <c r="E553" s="40"/>
      <c r="F553" s="40"/>
      <c r="G553" s="40"/>
      <c r="H553" s="40"/>
      <c r="I553" s="40"/>
      <c r="J553" s="40"/>
      <c r="K553" s="40"/>
      <c r="L553" s="40"/>
      <c r="M553" s="40"/>
      <c r="N553" s="40"/>
      <c r="O553" s="40"/>
      <c r="P553" s="40"/>
      <c r="Q553" s="40"/>
      <c r="R553" s="40"/>
      <c r="S553" s="40"/>
      <c r="T553" s="40"/>
      <c r="U553" s="40"/>
      <c r="V553" s="715" t="s">
        <v>209</v>
      </c>
      <c r="W553" s="716"/>
      <c r="X553" s="717" t="str">
        <f>Z553/+Z494</f>
        <v>#REF!</v>
      </c>
      <c r="Y553" s="716"/>
      <c r="Z553" s="718">
        <f>SUM(Z540:Z552)</f>
        <v>0</v>
      </c>
      <c r="AA553" s="717"/>
      <c r="AB553" s="716"/>
      <c r="AC553" s="718"/>
      <c r="AD553" s="719">
        <f>AF553/AF494</f>
        <v>0.3614396692</v>
      </c>
      <c r="AE553" s="716"/>
      <c r="AF553" s="718">
        <f>SUM(AF540:AF552)</f>
        <v>204382.05</v>
      </c>
      <c r="AG553" s="736"/>
      <c r="AH553" s="737">
        <f>SUM(AH540:AH552)</f>
        <v>204382.05</v>
      </c>
      <c r="AI553" s="717">
        <f t="shared" si="131"/>
        <v>0</v>
      </c>
      <c r="AJ553" s="719">
        <f>AL553/AL494</f>
        <v>0.1808211823</v>
      </c>
      <c r="AK553" s="716"/>
      <c r="AL553" s="718">
        <f>SUM(AL540:AL552)</f>
        <v>149801.52</v>
      </c>
      <c r="AM553" s="722"/>
      <c r="AN553" s="720">
        <f t="shared" si="112"/>
        <v>54580.53</v>
      </c>
      <c r="AO553" s="738">
        <f t="shared" si="94"/>
        <v>0.364352311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ht="15.75" customHeight="1">
      <c r="A554" s="5" t="s">
        <v>1060</v>
      </c>
      <c r="B554" s="3"/>
      <c r="C554" s="668" t="s">
        <v>1058</v>
      </c>
      <c r="D554" s="40"/>
      <c r="E554" s="40"/>
      <c r="F554" s="40"/>
      <c r="G554" s="40"/>
      <c r="H554" s="40"/>
      <c r="I554" s="40"/>
      <c r="J554" s="40"/>
      <c r="K554" s="40"/>
      <c r="L554" s="40"/>
      <c r="M554" s="40"/>
      <c r="N554" s="40"/>
      <c r="O554" s="40"/>
      <c r="P554" s="40"/>
      <c r="Q554" s="40"/>
      <c r="R554" s="40"/>
      <c r="S554" s="40"/>
      <c r="T554" s="40"/>
      <c r="U554" s="40"/>
      <c r="V554" s="559"/>
      <c r="W554" s="700"/>
      <c r="X554" s="700"/>
      <c r="Y554" s="700"/>
      <c r="Z554" s="743"/>
      <c r="AA554" s="700"/>
      <c r="AB554" s="700"/>
      <c r="AC554" s="743"/>
      <c r="AD554" s="709"/>
      <c r="AE554" s="700"/>
      <c r="AF554" s="701"/>
      <c r="AG554" s="709"/>
      <c r="AH554" s="703">
        <f t="shared" ref="AH554:AH568" si="132">AF554-Z554</f>
        <v>0</v>
      </c>
      <c r="AI554" s="704"/>
      <c r="AJ554" s="709"/>
      <c r="AK554" s="700"/>
      <c r="AL554" s="701"/>
      <c r="AM554" s="744"/>
      <c r="AN554" s="703"/>
      <c r="AO554" s="745"/>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ht="21.0" customHeight="1">
      <c r="A555" s="5" t="s">
        <v>143</v>
      </c>
      <c r="B555" s="3"/>
      <c r="C555" s="668" t="s">
        <v>1058</v>
      </c>
      <c r="D555" s="40"/>
      <c r="E555" s="40"/>
      <c r="F555" s="40"/>
      <c r="G555" s="40"/>
      <c r="H555" s="40"/>
      <c r="I555" s="40"/>
      <c r="J555" s="40"/>
      <c r="K555" s="40"/>
      <c r="L555" s="40"/>
      <c r="M555" s="40"/>
      <c r="N555" s="40"/>
      <c r="O555" s="40"/>
      <c r="P555" s="40"/>
      <c r="Q555" s="40"/>
      <c r="R555" s="40"/>
      <c r="S555" s="40"/>
      <c r="T555" s="40"/>
      <c r="U555" s="40"/>
      <c r="V555" s="715" t="s">
        <v>143</v>
      </c>
      <c r="W555" s="716"/>
      <c r="X555" s="717" t="str">
        <f>Z555/+Z494</f>
        <v>#REF!</v>
      </c>
      <c r="Y555" s="716"/>
      <c r="Z555" s="718">
        <f>Z506+Z520+Z539+Z553</f>
        <v>0</v>
      </c>
      <c r="AA555" s="717"/>
      <c r="AB555" s="716"/>
      <c r="AC555" s="718"/>
      <c r="AD555" s="719">
        <f>AF555/AF494</f>
        <v>0.9543335161</v>
      </c>
      <c r="AE555" s="716"/>
      <c r="AF555" s="718">
        <f>AF506+AF520+AF539+AF553</f>
        <v>539643.7</v>
      </c>
      <c r="AG555" s="736"/>
      <c r="AH555" s="737">
        <f t="shared" si="132"/>
        <v>539643.7</v>
      </c>
      <c r="AI555" s="717" t="str">
        <f>AH555/Z555</f>
        <v>#DIV/0!</v>
      </c>
      <c r="AJ555" s="719">
        <f>AL555/AL494</f>
        <v>0.6013176975</v>
      </c>
      <c r="AK555" s="716"/>
      <c r="AL555" s="718">
        <f>AL506+AL520+AL539+AL553</f>
        <v>498162.35</v>
      </c>
      <c r="AM555" s="722"/>
      <c r="AN555" s="720">
        <f t="shared" ref="AN555:AN568" si="133">AF555-AL555</f>
        <v>41481.35</v>
      </c>
      <c r="AO555" s="698">
        <f t="shared" ref="AO555:AO568" si="134">IF(AL555=0,0,AN555/AL555)</f>
        <v>0.08326873759</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ht="15.75" customHeight="1">
      <c r="A556" s="5" t="s">
        <v>210</v>
      </c>
      <c r="B556" s="3"/>
      <c r="C556" s="668" t="s">
        <v>1058</v>
      </c>
      <c r="D556" s="40"/>
      <c r="E556" s="40"/>
      <c r="F556" s="40"/>
      <c r="G556" s="40"/>
      <c r="H556" s="40"/>
      <c r="I556" s="40"/>
      <c r="J556" s="40"/>
      <c r="K556" s="40"/>
      <c r="L556" s="40"/>
      <c r="M556" s="40"/>
      <c r="N556" s="40"/>
      <c r="O556" s="40"/>
      <c r="P556" s="40"/>
      <c r="Q556" s="40"/>
      <c r="R556" s="40"/>
      <c r="S556" s="40"/>
      <c r="T556" s="40"/>
      <c r="U556" s="40"/>
      <c r="V556" s="559" t="s">
        <v>210</v>
      </c>
      <c r="W556" s="741"/>
      <c r="X556" s="741"/>
      <c r="Y556" s="700"/>
      <c r="Z556" s="727" t="str">
        <f t="array" ref="Z556">+INDEX('Budget original'!$A$2:$AO$501,MATCH($A556,'Budget original'!$A$2:$A$501,0),MATCH(F$2,'Budget original'!$A$2:$AO$2,0))</f>
        <v/>
      </c>
      <c r="AA556" s="746"/>
      <c r="AB556" s="747"/>
      <c r="AC556" s="727"/>
      <c r="AD556" s="748"/>
      <c r="AE556" s="747"/>
      <c r="AF556" s="727">
        <f>-SUMIFS(BV_Data_An_Cour!$AM:$AM,BV_Data_An_Cour!$AQ:$AQ,$V556)</f>
        <v>7630.02</v>
      </c>
      <c r="AG556" s="749"/>
      <c r="AH556" s="703">
        <f t="shared" si="132"/>
        <v>7630.02</v>
      </c>
      <c r="AI556" s="742" t="str">
        <f>IF(AH556=0,0,AH556/Z556)</f>
        <v>#DIV/0!</v>
      </c>
      <c r="AJ556" s="748"/>
      <c r="AK556" s="747"/>
      <c r="AL556" s="727">
        <f>-SUMIFS(BV_Data_An_Prec!$AM:$AM,BV_Data_An_Prec!$AQ:$AQ,$V556)</f>
        <v>139981.76</v>
      </c>
      <c r="AM556" s="750"/>
      <c r="AN556" s="703">
        <f t="shared" si="133"/>
        <v>-132351.74</v>
      </c>
      <c r="AO556" s="710">
        <f t="shared" si="134"/>
        <v>-0.9454927556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ht="17.25" hidden="1" customHeight="1">
      <c r="A557" s="5" t="s">
        <v>147</v>
      </c>
      <c r="B557" s="3"/>
      <c r="C557" s="668" t="s">
        <v>1058</v>
      </c>
      <c r="D557" s="40"/>
      <c r="E557" s="40"/>
      <c r="F557" s="40"/>
      <c r="G557" s="40"/>
      <c r="H557" s="40"/>
      <c r="I557" s="40"/>
      <c r="J557" s="40"/>
      <c r="K557" s="40"/>
      <c r="L557" s="40"/>
      <c r="M557" s="40"/>
      <c r="N557" s="40"/>
      <c r="O557" s="40"/>
      <c r="P557" s="40"/>
      <c r="Q557" s="40"/>
      <c r="R557" s="40"/>
      <c r="S557" s="40"/>
      <c r="T557" s="40"/>
      <c r="U557" s="40"/>
      <c r="V557" s="559" t="s">
        <v>147</v>
      </c>
      <c r="W557" s="700"/>
      <c r="X557" s="700"/>
      <c r="Y557" s="700"/>
      <c r="Z557" s="701">
        <f t="shared" ref="Z557:Z563" si="135">+SUMIF($C:$C,$V557,F:F)</f>
        <v>0</v>
      </c>
      <c r="AA557" s="740"/>
      <c r="AB557" s="703"/>
      <c r="AC557" s="701"/>
      <c r="AD557" s="751"/>
      <c r="AE557" s="752"/>
      <c r="AF557" s="701">
        <f t="shared" ref="AF557:AF563" si="136">+SUMIF($C:$C,$V557,L:L)</f>
        <v>0</v>
      </c>
      <c r="AG557" s="753"/>
      <c r="AH557" s="703">
        <f t="shared" si="132"/>
        <v>0</v>
      </c>
      <c r="AI557" s="723">
        <f>IF(Z557=0,0,AH557/Z557)</f>
        <v>0</v>
      </c>
      <c r="AJ557" s="751"/>
      <c r="AK557" s="752"/>
      <c r="AL557" s="701">
        <f>-SUMIFS(BV_Data_An_Prec!$AM:$AM,BV_Data_An_Prec!$AQ:$AQ,$V557)</f>
        <v>0</v>
      </c>
      <c r="AM557" s="751"/>
      <c r="AN557" s="703">
        <f t="shared" si="133"/>
        <v>0</v>
      </c>
      <c r="AO557" s="710">
        <f t="shared" si="134"/>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ht="15.75" customHeight="1">
      <c r="A558" s="5" t="s">
        <v>144</v>
      </c>
      <c r="B558" s="3"/>
      <c r="C558" s="668" t="s">
        <v>1058</v>
      </c>
      <c r="D558" s="40"/>
      <c r="E558" s="40"/>
      <c r="F558" s="40"/>
      <c r="G558" s="40"/>
      <c r="H558" s="40"/>
      <c r="I558" s="40"/>
      <c r="J558" s="40"/>
      <c r="K558" s="40"/>
      <c r="L558" s="40"/>
      <c r="M558" s="40"/>
      <c r="N558" s="40"/>
      <c r="O558" s="40"/>
      <c r="P558" s="40"/>
      <c r="Q558" s="40"/>
      <c r="R558" s="40"/>
      <c r="S558" s="40"/>
      <c r="T558" s="40"/>
      <c r="U558" s="40"/>
      <c r="V558" s="559" t="s">
        <v>842</v>
      </c>
      <c r="W558" s="700"/>
      <c r="X558" s="700"/>
      <c r="Y558" s="700"/>
      <c r="Z558" s="701">
        <f t="shared" si="135"/>
        <v>0</v>
      </c>
      <c r="AA558" s="740"/>
      <c r="AB558" s="741"/>
      <c r="AC558" s="701"/>
      <c r="AD558" s="754"/>
      <c r="AF558" s="701">
        <f t="shared" si="136"/>
        <v>45385.71</v>
      </c>
      <c r="AG558" s="753"/>
      <c r="AH558" s="703">
        <f t="shared" si="132"/>
        <v>45385.71</v>
      </c>
      <c r="AI558" s="723" t="str">
        <f t="shared" ref="AI558:AI567" si="137">IF(AH558=0,0,AH558/Z558)</f>
        <v>#DIV/0!</v>
      </c>
      <c r="AJ558" s="754"/>
      <c r="AL558" s="701">
        <f>-SUMIFS(BV_Data_An_Prec!$AM:$AM,BV_Data_An_Prec!$AQ:$AQ,$V558)</f>
        <v>26831.51</v>
      </c>
      <c r="AM558" s="751"/>
      <c r="AN558" s="703">
        <f t="shared" si="133"/>
        <v>18554.2</v>
      </c>
      <c r="AO558" s="710">
        <f t="shared" si="134"/>
        <v>0.6915078577</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ht="17.25" hidden="1" customHeight="1">
      <c r="A559" s="5" t="s">
        <v>145</v>
      </c>
      <c r="B559" s="3"/>
      <c r="C559" s="668" t="s">
        <v>1058</v>
      </c>
      <c r="D559" s="40"/>
      <c r="E559" s="40"/>
      <c r="F559" s="40"/>
      <c r="G559" s="40"/>
      <c r="H559" s="40"/>
      <c r="I559" s="40"/>
      <c r="J559" s="40"/>
      <c r="K559" s="40"/>
      <c r="L559" s="40"/>
      <c r="M559" s="40"/>
      <c r="N559" s="40"/>
      <c r="O559" s="40"/>
      <c r="P559" s="40"/>
      <c r="Q559" s="40"/>
      <c r="R559" s="40"/>
      <c r="S559" s="40"/>
      <c r="T559" s="40"/>
      <c r="U559" s="40"/>
      <c r="V559" s="559" t="s">
        <v>145</v>
      </c>
      <c r="W559" s="700"/>
      <c r="X559" s="700"/>
      <c r="Y559" s="700"/>
      <c r="Z559" s="701">
        <f t="shared" si="135"/>
        <v>0</v>
      </c>
      <c r="AA559" s="740"/>
      <c r="AB559" s="741"/>
      <c r="AC559" s="701"/>
      <c r="AD559" s="754"/>
      <c r="AE559" s="741"/>
      <c r="AF559" s="701">
        <f t="shared" si="136"/>
        <v>0</v>
      </c>
      <c r="AG559" s="753"/>
      <c r="AH559" s="703">
        <f t="shared" si="132"/>
        <v>0</v>
      </c>
      <c r="AI559" s="723">
        <f t="shared" si="137"/>
        <v>0</v>
      </c>
      <c r="AJ559" s="754"/>
      <c r="AK559" s="741"/>
      <c r="AL559" s="701">
        <f>-SUMIFS(BV_Data_An_Prec!$AM:$AM,BV_Data_An_Prec!$AQ:$AQ,$V559)</f>
        <v>0</v>
      </c>
      <c r="AM559" s="751"/>
      <c r="AN559" s="703">
        <f t="shared" si="133"/>
        <v>0</v>
      </c>
      <c r="AO559" s="710">
        <f t="shared" si="134"/>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ht="17.25" hidden="1" customHeight="1">
      <c r="A560" s="5" t="s">
        <v>146</v>
      </c>
      <c r="B560" s="3"/>
      <c r="C560" s="668" t="s">
        <v>1058</v>
      </c>
      <c r="D560" s="40"/>
      <c r="E560" s="40"/>
      <c r="F560" s="40"/>
      <c r="G560" s="40"/>
      <c r="H560" s="40"/>
      <c r="I560" s="40"/>
      <c r="J560" s="40"/>
      <c r="K560" s="40"/>
      <c r="L560" s="40"/>
      <c r="M560" s="40"/>
      <c r="N560" s="40"/>
      <c r="O560" s="40"/>
      <c r="P560" s="40"/>
      <c r="Q560" s="40"/>
      <c r="R560" s="40"/>
      <c r="S560" s="40"/>
      <c r="T560" s="40"/>
      <c r="U560" s="40"/>
      <c r="V560" s="559" t="s">
        <v>146</v>
      </c>
      <c r="W560" s="700"/>
      <c r="X560" s="700"/>
      <c r="Y560" s="700"/>
      <c r="Z560" s="701">
        <f t="shared" si="135"/>
        <v>0</v>
      </c>
      <c r="AA560" s="740"/>
      <c r="AB560" s="741"/>
      <c r="AC560" s="701"/>
      <c r="AD560" s="754"/>
      <c r="AE560" s="741"/>
      <c r="AF560" s="701">
        <f t="shared" si="136"/>
        <v>0</v>
      </c>
      <c r="AG560" s="753"/>
      <c r="AH560" s="703">
        <f t="shared" si="132"/>
        <v>0</v>
      </c>
      <c r="AI560" s="723">
        <f t="shared" si="137"/>
        <v>0</v>
      </c>
      <c r="AJ560" s="754"/>
      <c r="AK560" s="741"/>
      <c r="AL560" s="701">
        <f>-SUMIFS(BV_Data_An_Prec!$AM:$AM,BV_Data_An_Prec!$AQ:$AQ,$V560)</f>
        <v>0</v>
      </c>
      <c r="AM560" s="751"/>
      <c r="AN560" s="703">
        <f t="shared" si="133"/>
        <v>0</v>
      </c>
      <c r="AO560" s="710">
        <f t="shared" si="134"/>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ht="17.25" hidden="1" customHeight="1">
      <c r="A561" s="5" t="s">
        <v>158</v>
      </c>
      <c r="B561" s="3"/>
      <c r="C561" s="668" t="s">
        <v>1058</v>
      </c>
      <c r="D561" s="40"/>
      <c r="E561" s="40"/>
      <c r="F561" s="40"/>
      <c r="G561" s="40"/>
      <c r="H561" s="40"/>
      <c r="I561" s="40"/>
      <c r="J561" s="40"/>
      <c r="K561" s="40"/>
      <c r="L561" s="40"/>
      <c r="M561" s="40"/>
      <c r="N561" s="40"/>
      <c r="O561" s="40"/>
      <c r="P561" s="40"/>
      <c r="Q561" s="40"/>
      <c r="R561" s="40"/>
      <c r="S561" s="40"/>
      <c r="T561" s="40"/>
      <c r="U561" s="40"/>
      <c r="V561" s="559" t="s">
        <v>158</v>
      </c>
      <c r="W561" s="700"/>
      <c r="X561" s="700"/>
      <c r="Y561" s="700"/>
      <c r="Z561" s="701">
        <f t="shared" si="135"/>
        <v>0</v>
      </c>
      <c r="AA561" s="740"/>
      <c r="AB561" s="741"/>
      <c r="AC561" s="701"/>
      <c r="AD561" s="754"/>
      <c r="AE561" s="741"/>
      <c r="AF561" s="701">
        <f t="shared" si="136"/>
        <v>0</v>
      </c>
      <c r="AG561" s="753"/>
      <c r="AH561" s="703">
        <f t="shared" si="132"/>
        <v>0</v>
      </c>
      <c r="AI561" s="723">
        <f t="shared" si="137"/>
        <v>0</v>
      </c>
      <c r="AJ561" s="754"/>
      <c r="AK561" s="741"/>
      <c r="AL561" s="701">
        <f>-SUMIFS(BV_Data_An_Prec!$AM:$AM,BV_Data_An_Prec!$AQ:$AQ,$V561)</f>
        <v>0</v>
      </c>
      <c r="AM561" s="751"/>
      <c r="AN561" s="703">
        <f t="shared" si="133"/>
        <v>0</v>
      </c>
      <c r="AO561" s="710">
        <f t="shared" si="134"/>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ht="17.25" hidden="1" customHeight="1">
      <c r="A562" s="5" t="s">
        <v>159</v>
      </c>
      <c r="B562" s="3"/>
      <c r="C562" s="668" t="s">
        <v>1058</v>
      </c>
      <c r="D562" s="40"/>
      <c r="E562" s="40"/>
      <c r="F562" s="40"/>
      <c r="G562" s="40"/>
      <c r="H562" s="40"/>
      <c r="I562" s="40"/>
      <c r="J562" s="40"/>
      <c r="K562" s="40"/>
      <c r="L562" s="40"/>
      <c r="M562" s="40"/>
      <c r="N562" s="40"/>
      <c r="O562" s="40"/>
      <c r="P562" s="40"/>
      <c r="Q562" s="40"/>
      <c r="R562" s="40"/>
      <c r="S562" s="40"/>
      <c r="T562" s="40"/>
      <c r="U562" s="40"/>
      <c r="V562" s="559" t="s">
        <v>159</v>
      </c>
      <c r="W562" s="700"/>
      <c r="X562" s="700"/>
      <c r="Y562" s="700"/>
      <c r="Z562" s="701">
        <f t="shared" si="135"/>
        <v>0</v>
      </c>
      <c r="AA562" s="740"/>
      <c r="AB562" s="741"/>
      <c r="AC562" s="701"/>
      <c r="AD562" s="754"/>
      <c r="AE562" s="741"/>
      <c r="AF562" s="701">
        <f t="shared" si="136"/>
        <v>0</v>
      </c>
      <c r="AG562" s="753"/>
      <c r="AH562" s="703">
        <f t="shared" si="132"/>
        <v>0</v>
      </c>
      <c r="AI562" s="723">
        <f t="shared" si="137"/>
        <v>0</v>
      </c>
      <c r="AJ562" s="754"/>
      <c r="AK562" s="741"/>
      <c r="AL562" s="701">
        <f>-SUMIFS(BV_Data_An_Prec!$AM:$AM,BV_Data_An_Prec!$AQ:$AQ,$V562)</f>
        <v>0</v>
      </c>
      <c r="AM562" s="751"/>
      <c r="AN562" s="703">
        <f t="shared" si="133"/>
        <v>0</v>
      </c>
      <c r="AO562" s="710">
        <f t="shared" si="134"/>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ht="17.25" hidden="1" customHeight="1">
      <c r="A563" s="5" t="s">
        <v>160</v>
      </c>
      <c r="B563" s="3"/>
      <c r="C563" s="668" t="s">
        <v>1058</v>
      </c>
      <c r="D563" s="40"/>
      <c r="E563" s="40"/>
      <c r="F563" s="40"/>
      <c r="G563" s="40"/>
      <c r="H563" s="40"/>
      <c r="I563" s="40"/>
      <c r="J563" s="40"/>
      <c r="K563" s="40"/>
      <c r="L563" s="40"/>
      <c r="M563" s="40"/>
      <c r="N563" s="40"/>
      <c r="O563" s="40"/>
      <c r="P563" s="40"/>
      <c r="Q563" s="40"/>
      <c r="R563" s="40"/>
      <c r="S563" s="40"/>
      <c r="T563" s="40"/>
      <c r="U563" s="40"/>
      <c r="V563" s="559" t="s">
        <v>160</v>
      </c>
      <c r="W563" s="700"/>
      <c r="X563" s="700"/>
      <c r="Y563" s="700"/>
      <c r="Z563" s="701">
        <f t="shared" si="135"/>
        <v>0</v>
      </c>
      <c r="AA563" s="740"/>
      <c r="AB563" s="741"/>
      <c r="AC563" s="701"/>
      <c r="AD563" s="754"/>
      <c r="AE563" s="741"/>
      <c r="AF563" s="701">
        <f t="shared" si="136"/>
        <v>0</v>
      </c>
      <c r="AG563" s="753"/>
      <c r="AH563" s="703">
        <f t="shared" si="132"/>
        <v>0</v>
      </c>
      <c r="AI563" s="723">
        <f t="shared" si="137"/>
        <v>0</v>
      </c>
      <c r="AJ563" s="754"/>
      <c r="AK563" s="741"/>
      <c r="AL563" s="701">
        <f>-SUMIFS(BV_Data_An_Prec!$AM:$AM,BV_Data_An_Prec!$AQ:$AQ,$V563)</f>
        <v>0</v>
      </c>
      <c r="AM563" s="751"/>
      <c r="AN563" s="703">
        <f t="shared" si="133"/>
        <v>0</v>
      </c>
      <c r="AO563" s="710">
        <f t="shared" si="134"/>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ht="17.25" hidden="1" customHeight="1">
      <c r="A564" s="5" t="s">
        <v>56</v>
      </c>
      <c r="B564" s="3"/>
      <c r="C564" s="668" t="s">
        <v>1058</v>
      </c>
      <c r="D564" s="40"/>
      <c r="E564" s="40"/>
      <c r="F564" s="40"/>
      <c r="G564" s="40"/>
      <c r="H564" s="40"/>
      <c r="I564" s="40"/>
      <c r="J564" s="40"/>
      <c r="K564" s="40"/>
      <c r="L564" s="40"/>
      <c r="M564" s="40"/>
      <c r="N564" s="40"/>
      <c r="O564" s="40"/>
      <c r="P564" s="40"/>
      <c r="Q564" s="40"/>
      <c r="R564" s="40"/>
      <c r="S564" s="40"/>
      <c r="T564" s="40"/>
      <c r="U564" s="40"/>
      <c r="V564" s="559" t="s">
        <v>56</v>
      </c>
      <c r="W564" s="700"/>
      <c r="X564" s="700"/>
      <c r="Y564" s="700"/>
      <c r="Z564" s="701" t="str">
        <f t="array" ref="Z564">+INDEX('Budget original'!$A$2:$AO$501,MATCH($A564,'Budget original'!$A$2:$A$501,0),MATCH(F$2,'Budget original'!$A$2:$AO$2,0))</f>
        <v/>
      </c>
      <c r="AA564" s="700"/>
      <c r="AB564" s="700"/>
      <c r="AC564" s="701"/>
      <c r="AD564" s="709"/>
      <c r="AE564" s="708"/>
      <c r="AF564" s="701">
        <f t="shared" ref="AF564:AF566" si="138">IFERROR(SUMIF($C:$C,$V564,L:L),0)</f>
        <v>0</v>
      </c>
      <c r="AG564" s="702"/>
      <c r="AH564" s="703">
        <f t="shared" si="132"/>
        <v>0</v>
      </c>
      <c r="AI564" s="704">
        <f t="shared" si="137"/>
        <v>0</v>
      </c>
      <c r="AJ564" s="709"/>
      <c r="AK564" s="708"/>
      <c r="AL564" s="701">
        <f>-SUMIFS(BV_Data_An_Prec!$AM:$AM,BV_Data_An_Prec!$AQ:$AQ,$V564)</f>
        <v>0</v>
      </c>
      <c r="AM564" s="751"/>
      <c r="AN564" s="703">
        <f t="shared" si="133"/>
        <v>0</v>
      </c>
      <c r="AO564" s="710">
        <f t="shared" si="134"/>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ht="17.25" hidden="1" customHeight="1">
      <c r="A565" s="5" t="s">
        <v>56</v>
      </c>
      <c r="B565" s="3"/>
      <c r="C565" s="668" t="s">
        <v>1058</v>
      </c>
      <c r="D565" s="40"/>
      <c r="E565" s="40"/>
      <c r="F565" s="40"/>
      <c r="G565" s="40"/>
      <c r="H565" s="40"/>
      <c r="I565" s="40"/>
      <c r="J565" s="40"/>
      <c r="K565" s="40"/>
      <c r="L565" s="40"/>
      <c r="M565" s="40"/>
      <c r="N565" s="40"/>
      <c r="O565" s="40"/>
      <c r="P565" s="40"/>
      <c r="Q565" s="40"/>
      <c r="R565" s="40"/>
      <c r="S565" s="40"/>
      <c r="T565" s="40"/>
      <c r="U565" s="40"/>
      <c r="V565" s="559" t="s">
        <v>56</v>
      </c>
      <c r="W565" s="700"/>
      <c r="X565" s="700"/>
      <c r="Y565" s="700"/>
      <c r="Z565" s="701">
        <f t="shared" ref="Z565:Z566" si="139">IFERROR(SUMIF($C:$C,$V565,F:F),0)</f>
        <v>0</v>
      </c>
      <c r="AA565" s="700"/>
      <c r="AB565" s="700"/>
      <c r="AC565" s="701"/>
      <c r="AD565" s="709"/>
      <c r="AE565" s="708"/>
      <c r="AF565" s="701">
        <f t="shared" si="138"/>
        <v>0</v>
      </c>
      <c r="AG565" s="702"/>
      <c r="AH565" s="703">
        <f t="shared" si="132"/>
        <v>0</v>
      </c>
      <c r="AI565" s="704">
        <f t="shared" si="137"/>
        <v>0</v>
      </c>
      <c r="AJ565" s="709"/>
      <c r="AK565" s="708"/>
      <c r="AL565" s="701">
        <f>-SUMIFS(BV_Data_An_Prec!$AM:$AM,BV_Data_An_Prec!$AQ:$AQ,$V565)</f>
        <v>0</v>
      </c>
      <c r="AM565" s="751"/>
      <c r="AN565" s="703">
        <f t="shared" si="133"/>
        <v>0</v>
      </c>
      <c r="AO565" s="710">
        <f t="shared" si="134"/>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ht="17.25" hidden="1" customHeight="1">
      <c r="A566" s="5" t="s">
        <v>56</v>
      </c>
      <c r="B566" s="3"/>
      <c r="C566" s="668" t="s">
        <v>1058</v>
      </c>
      <c r="D566" s="40"/>
      <c r="E566" s="40"/>
      <c r="F566" s="40"/>
      <c r="G566" s="40"/>
      <c r="H566" s="40"/>
      <c r="I566" s="40"/>
      <c r="J566" s="40"/>
      <c r="K566" s="40"/>
      <c r="L566" s="40"/>
      <c r="M566" s="40"/>
      <c r="N566" s="40"/>
      <c r="O566" s="40"/>
      <c r="P566" s="40"/>
      <c r="Q566" s="40"/>
      <c r="R566" s="40"/>
      <c r="S566" s="40"/>
      <c r="T566" s="40"/>
      <c r="U566" s="40"/>
      <c r="V566" s="559" t="s">
        <v>56</v>
      </c>
      <c r="W566" s="700"/>
      <c r="X566" s="700"/>
      <c r="Y566" s="700"/>
      <c r="Z566" s="701">
        <f t="shared" si="139"/>
        <v>0</v>
      </c>
      <c r="AA566" s="700"/>
      <c r="AB566" s="700"/>
      <c r="AC566" s="701"/>
      <c r="AD566" s="709"/>
      <c r="AE566" s="708"/>
      <c r="AF566" s="701">
        <f t="shared" si="138"/>
        <v>0</v>
      </c>
      <c r="AG566" s="702"/>
      <c r="AH566" s="703">
        <f t="shared" si="132"/>
        <v>0</v>
      </c>
      <c r="AI566" s="704">
        <f t="shared" si="137"/>
        <v>0</v>
      </c>
      <c r="AJ566" s="709"/>
      <c r="AK566" s="708"/>
      <c r="AL566" s="701">
        <f>-SUMIFS(BV_Data_An_Prec!$AM:$AM,BV_Data_An_Prec!$AQ:$AQ,$V566)</f>
        <v>0</v>
      </c>
      <c r="AM566" s="751"/>
      <c r="AN566" s="703">
        <f t="shared" si="133"/>
        <v>0</v>
      </c>
      <c r="AO566" s="710">
        <f t="shared" si="134"/>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ht="15.75" customHeight="1">
      <c r="A567" s="5" t="s">
        <v>148</v>
      </c>
      <c r="B567" s="3"/>
      <c r="C567" s="668" t="s">
        <v>1058</v>
      </c>
      <c r="D567" s="40"/>
      <c r="E567" s="40"/>
      <c r="F567" s="40"/>
      <c r="G567" s="40"/>
      <c r="H567" s="40"/>
      <c r="I567" s="40"/>
      <c r="J567" s="40"/>
      <c r="K567" s="40"/>
      <c r="L567" s="40"/>
      <c r="M567" s="40"/>
      <c r="N567" s="40"/>
      <c r="O567" s="40"/>
      <c r="P567" s="40"/>
      <c r="Q567" s="40"/>
      <c r="R567" s="40"/>
      <c r="S567" s="40"/>
      <c r="T567" s="40"/>
      <c r="U567" s="40"/>
      <c r="V567" s="560" t="s">
        <v>148</v>
      </c>
      <c r="W567" s="700"/>
      <c r="X567" s="700"/>
      <c r="Y567" s="700"/>
      <c r="Z567" s="701">
        <f>+SUMIF($C:$C,$V567,F:F)</f>
        <v>0</v>
      </c>
      <c r="AA567" s="740"/>
      <c r="AB567" s="741"/>
      <c r="AC567" s="701"/>
      <c r="AD567" s="755">
        <f>AF567/499</f>
        <v>108.4849699</v>
      </c>
      <c r="AE567" s="740">
        <f>(AF567/399)/(J13+J15+J97)</f>
        <v>1.343308767</v>
      </c>
      <c r="AF567" s="701">
        <f>+SUMIF($C:$C,$V567,L:L)</f>
        <v>54134</v>
      </c>
      <c r="AG567" s="753"/>
      <c r="AH567" s="703">
        <f t="shared" si="132"/>
        <v>54134</v>
      </c>
      <c r="AI567" s="723" t="str">
        <f t="shared" si="137"/>
        <v>#DIV/0!</v>
      </c>
      <c r="AJ567" s="755">
        <f>AL567/499</f>
        <v>0</v>
      </c>
      <c r="AK567" s="740">
        <f>(AL567/399)/(P13+P15+P97)</f>
        <v>0</v>
      </c>
      <c r="AL567" s="701">
        <f>-SUMIFS(BV_Data_An_Prec!$AM:$AM,BV_Data_An_Prec!$AQ:$AQ,$V567)</f>
        <v>0</v>
      </c>
      <c r="AM567" s="751"/>
      <c r="AN567" s="703">
        <f t="shared" si="133"/>
        <v>54134</v>
      </c>
      <c r="AO567" s="710">
        <f t="shared" si="134"/>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ht="21.0" customHeight="1">
      <c r="A568" s="5" t="s">
        <v>211</v>
      </c>
      <c r="B568" s="3"/>
      <c r="C568" s="668" t="s">
        <v>1058</v>
      </c>
      <c r="D568" s="40"/>
      <c r="E568" s="40"/>
      <c r="F568" s="40"/>
      <c r="G568" s="40"/>
      <c r="H568" s="40"/>
      <c r="I568" s="40"/>
      <c r="J568" s="40"/>
      <c r="K568" s="40"/>
      <c r="L568" s="40"/>
      <c r="M568" s="40"/>
      <c r="N568" s="40"/>
      <c r="O568" s="40"/>
      <c r="P568" s="40"/>
      <c r="Q568" s="40"/>
      <c r="R568" s="40"/>
      <c r="S568" s="40"/>
      <c r="T568" s="40"/>
      <c r="U568" s="40"/>
      <c r="V568" s="715" t="s">
        <v>211</v>
      </c>
      <c r="W568" s="716"/>
      <c r="X568" s="717" t="str">
        <f>Z568/+Z494</f>
        <v>#REF!</v>
      </c>
      <c r="Y568" s="735"/>
      <c r="Z568" s="718">
        <f>SUM(Z556:Z567)</f>
        <v>0</v>
      </c>
      <c r="AA568" s="717"/>
      <c r="AB568" s="735"/>
      <c r="AC568" s="718"/>
      <c r="AD568" s="717">
        <f>AF568/+AF494</f>
        <v>0.1894890621</v>
      </c>
      <c r="AE568" s="735"/>
      <c r="AF568" s="718">
        <f>SUM(AF556:AF567)</f>
        <v>107149.73</v>
      </c>
      <c r="AG568" s="736"/>
      <c r="AH568" s="720">
        <f t="shared" si="132"/>
        <v>107149.73</v>
      </c>
      <c r="AI568" s="717" t="str">
        <f>AH568/Z568</f>
        <v>#DIV/0!</v>
      </c>
      <c r="AJ568" s="717">
        <f>AL568/+AL494</f>
        <v>0.201355585</v>
      </c>
      <c r="AK568" s="735"/>
      <c r="AL568" s="718">
        <f>SUM(AL556:AL567)</f>
        <v>166813.27</v>
      </c>
      <c r="AM568" s="756"/>
      <c r="AN568" s="720">
        <f t="shared" si="133"/>
        <v>-59663.54</v>
      </c>
      <c r="AO568" s="738">
        <f t="shared" si="134"/>
        <v>-0.3576666293</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ht="6.0" customHeight="1">
      <c r="A569" s="5" t="s">
        <v>1060</v>
      </c>
      <c r="B569" s="3"/>
      <c r="C569" s="668" t="s">
        <v>1058</v>
      </c>
      <c r="D569" s="40"/>
      <c r="E569" s="40"/>
      <c r="F569" s="40"/>
      <c r="G569" s="40"/>
      <c r="H569" s="40"/>
      <c r="I569" s="40"/>
      <c r="J569" s="40"/>
      <c r="K569" s="40"/>
      <c r="L569" s="40"/>
      <c r="M569" s="40"/>
      <c r="N569" s="40"/>
      <c r="O569" s="40"/>
      <c r="P569" s="40"/>
      <c r="Q569" s="40"/>
      <c r="R569" s="40"/>
      <c r="S569" s="40"/>
      <c r="T569" s="40"/>
      <c r="U569" s="40"/>
      <c r="V569" s="757"/>
      <c r="W569" s="758"/>
      <c r="X569" s="758"/>
      <c r="Y569" s="759"/>
      <c r="Z569" s="760"/>
      <c r="AA569" s="758"/>
      <c r="AB569" s="761"/>
      <c r="AC569" s="760"/>
      <c r="AD569" s="758"/>
      <c r="AE569" s="761"/>
      <c r="AF569" s="760"/>
      <c r="AG569" s="762"/>
      <c r="AH569" s="763"/>
      <c r="AI569" s="764"/>
      <c r="AJ569" s="758"/>
      <c r="AK569" s="761"/>
      <c r="AL569" s="760"/>
      <c r="AM569" s="765"/>
      <c r="AN569" s="763"/>
      <c r="AO569" s="766"/>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ht="21.0" customHeight="1">
      <c r="A570" s="5" t="s">
        <v>212</v>
      </c>
      <c r="B570" s="3"/>
      <c r="C570" s="668" t="s">
        <v>1058</v>
      </c>
      <c r="D570" s="40"/>
      <c r="E570" s="40"/>
      <c r="F570" s="40"/>
      <c r="G570" s="40"/>
      <c r="H570" s="40"/>
      <c r="I570" s="40"/>
      <c r="J570" s="40"/>
      <c r="K570" s="40"/>
      <c r="L570" s="40"/>
      <c r="M570" s="40"/>
      <c r="N570" s="40"/>
      <c r="O570" s="40"/>
      <c r="P570" s="40"/>
      <c r="Q570" s="40"/>
      <c r="R570" s="40"/>
      <c r="S570" s="40"/>
      <c r="T570" s="40"/>
      <c r="U570" s="40"/>
      <c r="V570" s="767" t="s">
        <v>212</v>
      </c>
      <c r="W570" s="768"/>
      <c r="X570" s="769" t="s">
        <v>1104</v>
      </c>
      <c r="Y570" s="770" t="str">
        <f>Z570/Z493</f>
        <v>#REF!</v>
      </c>
      <c r="Z570" s="771" t="str">
        <f>Z494-Z555+Z568</f>
        <v>#REF!</v>
      </c>
      <c r="AA570" s="769"/>
      <c r="AB570" s="770"/>
      <c r="AC570" s="771"/>
      <c r="AD570" s="769" t="s">
        <v>1104</v>
      </c>
      <c r="AE570" s="770">
        <f>AF570/AF493</f>
        <v>0.01187626279</v>
      </c>
      <c r="AF570" s="771">
        <f>AF494-AF555+AF568</f>
        <v>132972.6</v>
      </c>
      <c r="AG570" s="772"/>
      <c r="AH570" s="772" t="str">
        <f>AF570-Z570</f>
        <v>#REF!</v>
      </c>
      <c r="AI570" s="773" t="str">
        <f>AH570/Z570</f>
        <v>#REF!</v>
      </c>
      <c r="AJ570" s="769" t="s">
        <v>1104</v>
      </c>
      <c r="AK570" s="770">
        <f>AL570/AL493</f>
        <v>0.03021116241</v>
      </c>
      <c r="AL570" s="771">
        <f>AL494-AL555+AL568</f>
        <v>497102.09</v>
      </c>
      <c r="AM570" s="774"/>
      <c r="AN570" s="775">
        <f>AF570-AL570</f>
        <v>-364129.49</v>
      </c>
      <c r="AO570" s="776">
        <f>IF(AL570=0,0,AN570/AL570)</f>
        <v>-0.7325044439</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ht="8.25" customHeight="1">
      <c r="A571" s="5" t="s">
        <v>1060</v>
      </c>
      <c r="B571" s="3"/>
      <c r="C571" s="668"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83"/>
      <c r="AA571" s="48"/>
      <c r="AB571" s="48"/>
      <c r="AC571" s="483"/>
      <c r="AD571" s="48"/>
      <c r="AE571" s="48"/>
      <c r="AF571" s="483"/>
      <c r="AG571" s="48"/>
      <c r="AH571" s="48"/>
      <c r="AI571" s="48"/>
      <c r="AJ571" s="48"/>
      <c r="AK571" s="48"/>
      <c r="AL571" s="483"/>
      <c r="AM571" s="48"/>
      <c r="AN571" s="48"/>
      <c r="AO571" s="48"/>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ht="15.75" customHeight="1">
      <c r="A572" s="5" t="s">
        <v>1105</v>
      </c>
      <c r="B572" s="3"/>
      <c r="C572" s="668" t="s">
        <v>1058</v>
      </c>
      <c r="D572" s="40"/>
      <c r="E572" s="40"/>
      <c r="F572" s="40"/>
      <c r="G572" s="40"/>
      <c r="H572" s="40"/>
      <c r="I572" s="40"/>
      <c r="J572" s="40"/>
      <c r="K572" s="40"/>
      <c r="L572" s="40"/>
      <c r="M572" s="40"/>
      <c r="N572" s="40"/>
      <c r="O572" s="40"/>
      <c r="P572" s="40"/>
      <c r="Q572" s="40"/>
      <c r="R572" s="40"/>
      <c r="S572" s="40"/>
      <c r="T572" s="40"/>
      <c r="U572" s="40"/>
      <c r="V572" s="777" t="str">
        <f>C1</f>
        <v>Ste-Marie Auto</v>
      </c>
      <c r="W572" s="777"/>
      <c r="X572" s="777"/>
      <c r="Y572" s="777"/>
      <c r="Z572" s="777"/>
      <c r="AA572" s="777"/>
      <c r="AB572" s="777"/>
      <c r="AC572" s="777"/>
      <c r="AD572" s="777"/>
      <c r="AE572" s="778" t="s">
        <v>213</v>
      </c>
      <c r="AF572" s="777"/>
      <c r="AG572" s="777"/>
      <c r="AH572" s="777"/>
      <c r="AI572" s="777"/>
      <c r="AJ572" s="777"/>
      <c r="AK572" s="778"/>
      <c r="AL572" s="777"/>
      <c r="AM572" s="777"/>
      <c r="AN572" s="777"/>
      <c r="AO572" s="779"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ht="19.5" customHeight="1">
      <c r="A573" s="5" t="s">
        <v>1060</v>
      </c>
      <c r="B573" s="3"/>
      <c r="C573" s="668"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83"/>
      <c r="AA573" s="48"/>
      <c r="AB573" s="48"/>
      <c r="AC573" s="483"/>
      <c r="AD573" s="48"/>
      <c r="AE573" s="48"/>
      <c r="AF573" s="483"/>
      <c r="AG573" s="48"/>
      <c r="AH573" s="48"/>
      <c r="AI573" s="48"/>
      <c r="AJ573" s="48"/>
      <c r="AK573" s="48"/>
      <c r="AL573" s="483"/>
      <c r="AM573" s="48"/>
      <c r="AN573" s="48"/>
      <c r="AO573" s="48"/>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ht="19.5" customHeight="1">
      <c r="A574" s="5" t="s">
        <v>1060</v>
      </c>
      <c r="B574" s="3"/>
      <c r="C574" s="668"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83"/>
      <c r="AA574" s="48"/>
      <c r="AB574" s="48"/>
      <c r="AC574" s="483"/>
      <c r="AD574" s="48"/>
      <c r="AE574" s="48"/>
      <c r="AF574" s="483"/>
      <c r="AG574" s="48"/>
      <c r="AH574" s="48"/>
      <c r="AI574" s="48"/>
      <c r="AJ574" s="48"/>
      <c r="AK574" s="48"/>
      <c r="AL574" s="483"/>
      <c r="AM574" s="48"/>
      <c r="AN574" s="48"/>
      <c r="AO574" s="48"/>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ht="18.75" hidden="1" customHeight="1">
      <c r="A575" s="5" t="s">
        <v>1060</v>
      </c>
      <c r="B575" s="3"/>
      <c r="C575" s="668" t="s">
        <v>1058</v>
      </c>
      <c r="D575" s="40"/>
      <c r="E575" s="40"/>
      <c r="F575" s="40"/>
      <c r="G575" s="40"/>
      <c r="H575" s="40"/>
      <c r="I575" s="40"/>
      <c r="J575" s="40"/>
      <c r="K575" s="40"/>
      <c r="L575" s="40"/>
      <c r="M575" s="40"/>
      <c r="N575" s="40"/>
      <c r="O575" s="40"/>
      <c r="P575" s="40"/>
      <c r="Q575" s="40"/>
      <c r="R575" s="40"/>
      <c r="S575" s="40"/>
      <c r="T575" s="40"/>
      <c r="U575" s="40"/>
      <c r="V575" s="767" t="s">
        <v>229</v>
      </c>
      <c r="W575" s="768"/>
      <c r="X575" s="769" t="s">
        <v>1104</v>
      </c>
      <c r="Y575" s="770" t="str">
        <f>Z575/Z493</f>
        <v>#REF!</v>
      </c>
      <c r="Z575" s="775" t="str">
        <f>Z576+Z502</f>
        <v>#REF!</v>
      </c>
      <c r="AA575" s="769"/>
      <c r="AB575" s="770"/>
      <c r="AC575" s="771"/>
      <c r="AD575" s="769" t="s">
        <v>1104</v>
      </c>
      <c r="AE575" s="770">
        <f>AF575/AF493</f>
        <v>0.0162627569</v>
      </c>
      <c r="AF575" s="775">
        <f>AF576+AF502</f>
        <v>182085.99</v>
      </c>
      <c r="AG575" s="772"/>
      <c r="AH575" s="772" t="str">
        <f t="shared" ref="AH575:AH576" si="140">AF575-Z575</f>
        <v>#REF!</v>
      </c>
      <c r="AI575" s="773" t="str">
        <f t="shared" ref="AI575:AI576" si="141">AH575/Z575</f>
        <v>#REF!</v>
      </c>
      <c r="AJ575" s="769" t="s">
        <v>1104</v>
      </c>
      <c r="AK575" s="770">
        <f t="shared" ref="AK575:AK576" si="142">IF($AL$493=0,0,AL575/$AL$493)</f>
        <v>0.03375027429</v>
      </c>
      <c r="AL575" s="775">
        <f>AL576+AL502</f>
        <v>555335.53</v>
      </c>
      <c r="AM575" s="774"/>
      <c r="AN575" s="775">
        <f t="shared" ref="AN575:AN576" si="143">AF575-AL575</f>
        <v>-373249.54</v>
      </c>
      <c r="AO575" s="780">
        <f t="shared" ref="AO575:AO576" si="144">IF(AL575=0,0,AN575/AL575)</f>
        <v>-0.6721153606</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ht="21.0" customHeight="1">
      <c r="A576" s="5" t="s">
        <v>212</v>
      </c>
      <c r="B576" s="3"/>
      <c r="C576" s="668" t="s">
        <v>1058</v>
      </c>
      <c r="D576" s="40"/>
      <c r="E576" s="40"/>
      <c r="F576" s="40"/>
      <c r="G576" s="40"/>
      <c r="H576" s="40"/>
      <c r="I576" s="40"/>
      <c r="J576" s="40"/>
      <c r="K576" s="40"/>
      <c r="L576" s="40"/>
      <c r="M576" s="40"/>
      <c r="N576" s="40"/>
      <c r="O576" s="40"/>
      <c r="P576" s="40"/>
      <c r="Q576" s="40"/>
      <c r="R576" s="40"/>
      <c r="S576" s="40"/>
      <c r="T576" s="40"/>
      <c r="U576" s="40"/>
      <c r="V576" s="767" t="s">
        <v>212</v>
      </c>
      <c r="W576" s="768"/>
      <c r="X576" s="769" t="s">
        <v>1104</v>
      </c>
      <c r="Y576" s="770" t="str">
        <f>Z576/Z493</f>
        <v>#REF!</v>
      </c>
      <c r="Z576" s="771" t="str">
        <f>Z570</f>
        <v>#REF!</v>
      </c>
      <c r="AA576" s="769"/>
      <c r="AB576" s="770"/>
      <c r="AC576" s="771"/>
      <c r="AD576" s="769" t="s">
        <v>1104</v>
      </c>
      <c r="AE576" s="770">
        <f>AF576/AF493</f>
        <v>0.01187626279</v>
      </c>
      <c r="AF576" s="771">
        <f>AF570</f>
        <v>132972.6</v>
      </c>
      <c r="AG576" s="775"/>
      <c r="AH576" s="772" t="str">
        <f t="shared" si="140"/>
        <v>#REF!</v>
      </c>
      <c r="AI576" s="773" t="str">
        <f t="shared" si="141"/>
        <v>#REF!</v>
      </c>
      <c r="AJ576" s="769" t="s">
        <v>1104</v>
      </c>
      <c r="AK576" s="770">
        <f t="shared" si="142"/>
        <v>0.03021116241</v>
      </c>
      <c r="AL576" s="771">
        <f>AL570</f>
        <v>497102.09</v>
      </c>
      <c r="AM576" s="781"/>
      <c r="AN576" s="782">
        <f t="shared" si="143"/>
        <v>-364129.49</v>
      </c>
      <c r="AO576" s="783">
        <f t="shared" si="144"/>
        <v>-0.7325044439</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ht="15.75" customHeight="1">
      <c r="A577" s="5" t="s">
        <v>1060</v>
      </c>
      <c r="B577" s="3"/>
      <c r="C577" s="668" t="s">
        <v>1058</v>
      </c>
      <c r="D577" s="40"/>
      <c r="E577" s="40"/>
      <c r="F577" s="540"/>
      <c r="G577" s="40"/>
      <c r="H577" s="40"/>
      <c r="I577" s="540"/>
      <c r="J577" s="40"/>
      <c r="K577" s="40"/>
      <c r="L577" s="40"/>
      <c r="M577" s="540"/>
      <c r="N577" s="40"/>
      <c r="O577" s="40"/>
      <c r="P577" s="40"/>
      <c r="Q577" s="540"/>
      <c r="R577" s="540"/>
      <c r="S577" s="540"/>
      <c r="T577" s="228"/>
      <c r="U577" s="40"/>
      <c r="V577" s="784"/>
      <c r="W577" s="40"/>
      <c r="X577" s="40"/>
      <c r="Y577" s="40"/>
      <c r="Z577" s="785"/>
      <c r="AA577" s="40"/>
      <c r="AB577" s="40"/>
      <c r="AC577" s="40"/>
      <c r="AD577" s="786"/>
      <c r="AE577" s="40"/>
      <c r="AF577" s="785"/>
      <c r="AG577" s="40"/>
      <c r="AH577" s="40"/>
      <c r="AI577" s="787"/>
      <c r="AJ577" s="40"/>
      <c r="AK577" s="40"/>
      <c r="AL577" s="785"/>
      <c r="AM577" s="788"/>
      <c r="AN577" s="540"/>
      <c r="AO577" s="789"/>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ht="15.75" customHeight="1">
      <c r="A578" s="5" t="s">
        <v>214</v>
      </c>
      <c r="B578" s="3"/>
      <c r="C578" s="668" t="s">
        <v>1058</v>
      </c>
      <c r="D578" s="40"/>
      <c r="E578" s="40"/>
      <c r="F578" s="40"/>
      <c r="G578" s="40"/>
      <c r="H578" s="40"/>
      <c r="I578" s="40"/>
      <c r="J578" s="40"/>
      <c r="K578" s="40"/>
      <c r="L578" s="40"/>
      <c r="M578" s="40"/>
      <c r="N578" s="40"/>
      <c r="O578" s="40"/>
      <c r="P578" s="40"/>
      <c r="Q578" s="40"/>
      <c r="R578" s="40"/>
      <c r="S578" s="40"/>
      <c r="T578" s="40"/>
      <c r="U578" s="40"/>
      <c r="V578" s="559" t="s">
        <v>214</v>
      </c>
      <c r="W578" s="707"/>
      <c r="X578" s="700"/>
      <c r="Y578" s="708"/>
      <c r="Z578" s="701" t="str">
        <f t="array" ref="Z578">+INDEX('Budget original'!$A$2:$AO$501,MATCH($A578,'Budget original'!$A$2:$A$501,0),MATCH(F$2,'Budget original'!$A$2:$AO$2,0))</f>
        <v/>
      </c>
      <c r="AA578" s="700"/>
      <c r="AB578" s="708"/>
      <c r="AC578" s="703"/>
      <c r="AD578" s="709"/>
      <c r="AE578" s="708"/>
      <c r="AF578" s="701">
        <f>SUMIFS(BV_Data_An_Cour!$AM:$AM,BV_Data_An_Cour!$AQ:$AQ,$V578)</f>
        <v>10810</v>
      </c>
      <c r="AG578" s="700"/>
      <c r="AH578" s="703">
        <f t="shared" ref="AH578:AH585" si="145">AF578-Z578</f>
        <v>10810</v>
      </c>
      <c r="AI578" s="723">
        <f t="shared" ref="AI578:AI584" si="146">IF(Z578=0,0,AH578/Z578)</f>
        <v>0</v>
      </c>
      <c r="AJ578" s="700"/>
      <c r="AK578" s="708"/>
      <c r="AL578" s="701">
        <f>SUMIFS(BV_Data_An_Prec!$AM:$AM,BV_Data_An_Prec!$AQ:$AQ,$V578)</f>
        <v>10786.23</v>
      </c>
      <c r="AM578" s="705"/>
      <c r="AN578" s="703">
        <f t="shared" ref="AN578:AN585" si="147">AF578-AL578</f>
        <v>23.77</v>
      </c>
      <c r="AO578" s="710">
        <f t="shared" ref="AO578:AO585" si="148">IF(AL578=0,0,AN578/AL578)</f>
        <v>0.002203735689</v>
      </c>
      <c r="AP578" s="40"/>
      <c r="AQ578" s="40">
        <v>10810.0</v>
      </c>
      <c r="AR578" s="40" t="s">
        <v>1106</v>
      </c>
      <c r="AS578" s="40"/>
      <c r="AT578" s="40"/>
      <c r="AU578" s="40"/>
      <c r="AV578" s="40"/>
      <c r="AW578" s="40"/>
      <c r="AX578" s="40"/>
      <c r="AY578" s="40"/>
      <c r="AZ578" s="40"/>
      <c r="BA578" s="40"/>
      <c r="BB578" s="40"/>
      <c r="BC578" s="40"/>
      <c r="BD578" s="40"/>
      <c r="BE578" s="40"/>
      <c r="BF578" s="40"/>
      <c r="BG578" s="40"/>
      <c r="BH578" s="40"/>
      <c r="BI578" s="40"/>
      <c r="BJ578" s="40"/>
    </row>
    <row r="579" ht="15.75" customHeight="1">
      <c r="A579" s="5" t="s">
        <v>215</v>
      </c>
      <c r="B579" s="3"/>
      <c r="C579" s="668" t="s">
        <v>1058</v>
      </c>
      <c r="D579" s="40"/>
      <c r="E579" s="40"/>
      <c r="F579" s="540"/>
      <c r="G579" s="40"/>
      <c r="H579" s="40"/>
      <c r="I579" s="540"/>
      <c r="J579" s="40"/>
      <c r="K579" s="40"/>
      <c r="L579" s="40"/>
      <c r="M579" s="540"/>
      <c r="N579" s="40"/>
      <c r="O579" s="40"/>
      <c r="P579" s="40"/>
      <c r="Q579" s="540"/>
      <c r="R579" s="540"/>
      <c r="S579" s="540"/>
      <c r="T579" s="40"/>
      <c r="U579" s="40"/>
      <c r="V579" s="559" t="s">
        <v>215</v>
      </c>
      <c r="W579" s="40"/>
      <c r="X579" s="40"/>
      <c r="Y579" s="40"/>
      <c r="Z579" s="701" t="str">
        <f t="array" ref="Z579">+INDEX('Budget original'!$A$2:$AO$501,MATCH($A579,'Budget original'!$A$2:$A$501,0),MATCH(F$2,'Budget original'!$A$2:$AO$2,0))</f>
        <v/>
      </c>
      <c r="AA579" s="40"/>
      <c r="AB579" s="40"/>
      <c r="AC579" s="703"/>
      <c r="AD579" s="790"/>
      <c r="AE579" s="48"/>
      <c r="AF579" s="701">
        <f>SUMIFS(BV_Data_An_Cour!$AM:$AM,BV_Data_An_Cour!$AQ:$AQ,$V579)</f>
        <v>-178.07</v>
      </c>
      <c r="AG579" s="40"/>
      <c r="AH579" s="703">
        <f t="shared" si="145"/>
        <v>-178.07</v>
      </c>
      <c r="AI579" s="723">
        <f t="shared" si="146"/>
        <v>0</v>
      </c>
      <c r="AJ579" s="40"/>
      <c r="AK579" s="48"/>
      <c r="AL579" s="701">
        <f>SUMIFS(BV_Data_An_Prec!$AM:$AM,BV_Data_An_Prec!$AQ:$AQ,$V579)</f>
        <v>0</v>
      </c>
      <c r="AM579" s="788"/>
      <c r="AN579" s="703">
        <f t="shared" si="147"/>
        <v>-178.07</v>
      </c>
      <c r="AO579" s="710">
        <f t="shared" si="148"/>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ht="15.75" customHeight="1">
      <c r="A580" s="5" t="s">
        <v>216</v>
      </c>
      <c r="B580" s="3"/>
      <c r="C580" s="668" t="s">
        <v>1058</v>
      </c>
      <c r="D580" s="40"/>
      <c r="E580" s="40"/>
      <c r="F580" s="540"/>
      <c r="G580" s="40"/>
      <c r="H580" s="40"/>
      <c r="I580" s="540"/>
      <c r="J580" s="40"/>
      <c r="K580" s="40"/>
      <c r="L580" s="40"/>
      <c r="M580" s="540"/>
      <c r="N580" s="40"/>
      <c r="O580" s="40"/>
      <c r="P580" s="40"/>
      <c r="Q580" s="540"/>
      <c r="R580" s="540"/>
      <c r="S580" s="540"/>
      <c r="T580" s="40"/>
      <c r="U580" s="40"/>
      <c r="V580" s="559" t="s">
        <v>216</v>
      </c>
      <c r="W580" s="48"/>
      <c r="X580" s="48"/>
      <c r="Y580" s="48"/>
      <c r="Z580" s="701" t="str">
        <f t="array" ref="Z580">+INDEX('Budget original'!$A$2:$AO$501,MATCH($A580,'Budget original'!$A$2:$A$501,0),MATCH(F$2,'Budget original'!$A$2:$AO$2,0))</f>
        <v/>
      </c>
      <c r="AA580" s="40"/>
      <c r="AB580" s="40"/>
      <c r="AC580" s="703"/>
      <c r="AD580" s="790"/>
      <c r="AE580" s="48"/>
      <c r="AF580" s="701">
        <f>SUMIFS(BV_Data_An_Cour!$AM:$AM,BV_Data_An_Cour!$AQ:$AQ,$V580)</f>
        <v>7887.21</v>
      </c>
      <c r="AG580" s="40"/>
      <c r="AH580" s="703">
        <f t="shared" si="145"/>
        <v>7887.21</v>
      </c>
      <c r="AI580" s="723">
        <f t="shared" si="146"/>
        <v>0</v>
      </c>
      <c r="AJ580" s="40"/>
      <c r="AK580" s="48"/>
      <c r="AL580" s="701">
        <f>SUMIFS(BV_Data_An_Prec!$AM:$AM,BV_Data_An_Prec!$AQ:$AQ,$V580)</f>
        <v>0</v>
      </c>
      <c r="AM580" s="788"/>
      <c r="AN580" s="703">
        <f t="shared" si="147"/>
        <v>7887.21</v>
      </c>
      <c r="AO580" s="710">
        <f t="shared" si="148"/>
        <v>0</v>
      </c>
      <c r="AP580" s="40"/>
      <c r="AQ580" s="40"/>
      <c r="AR580" s="540">
        <f>AQ580-AF580</f>
        <v>-7887.21</v>
      </c>
      <c r="AS580" s="40"/>
      <c r="AT580" s="40"/>
      <c r="AU580" s="40"/>
      <c r="AV580" s="40"/>
      <c r="AW580" s="40"/>
      <c r="AX580" s="40"/>
      <c r="AY580" s="40"/>
      <c r="AZ580" s="40"/>
      <c r="BA580" s="40"/>
      <c r="BB580" s="40"/>
      <c r="BC580" s="40"/>
      <c r="BD580" s="40"/>
      <c r="BE580" s="40"/>
      <c r="BF580" s="40"/>
      <c r="BG580" s="40"/>
      <c r="BH580" s="40"/>
      <c r="BI580" s="40"/>
      <c r="BJ580" s="40"/>
    </row>
    <row r="581" ht="15.75" customHeight="1">
      <c r="A581" s="5" t="s">
        <v>217</v>
      </c>
      <c r="B581" s="3"/>
      <c r="C581" s="668" t="s">
        <v>1058</v>
      </c>
      <c r="D581" s="40"/>
      <c r="E581" s="40"/>
      <c r="F581" s="540"/>
      <c r="G581" s="40"/>
      <c r="H581" s="40"/>
      <c r="I581" s="540"/>
      <c r="J581" s="40"/>
      <c r="K581" s="40"/>
      <c r="L581" s="40"/>
      <c r="M581" s="540"/>
      <c r="N581" s="40"/>
      <c r="O581" s="40"/>
      <c r="P581" s="40"/>
      <c r="Q581" s="540"/>
      <c r="R581" s="540"/>
      <c r="S581" s="540"/>
      <c r="T581" s="40"/>
      <c r="U581" s="40"/>
      <c r="V581" s="559" t="s">
        <v>217</v>
      </c>
      <c r="W581" s="48"/>
      <c r="X581" s="48"/>
      <c r="Y581" s="48"/>
      <c r="Z581" s="701" t="str">
        <f t="array" ref="Z581">+INDEX('Budget original'!$A$2:$AO$501,MATCH($A581,'Budget original'!$A$2:$A$501,0),MATCH(F$2,'Budget original'!$A$2:$AO$2,0))</f>
        <v/>
      </c>
      <c r="AA581" s="40"/>
      <c r="AB581" s="40"/>
      <c r="AC581" s="703"/>
      <c r="AD581" s="790"/>
      <c r="AE581" s="48"/>
      <c r="AF581" s="701">
        <f>SUMIFS(BV_Data_An_Cour!$AM:$AM,BV_Data_An_Cour!$AQ:$AQ,$V581)</f>
        <v>0</v>
      </c>
      <c r="AG581" s="40"/>
      <c r="AH581" s="703">
        <f t="shared" si="145"/>
        <v>0</v>
      </c>
      <c r="AI581" s="723">
        <f t="shared" si="146"/>
        <v>0</v>
      </c>
      <c r="AJ581" s="40"/>
      <c r="AK581" s="48"/>
      <c r="AL581" s="701">
        <f>SUMIFS(BV_Data_An_Prec!$AM:$AM,BV_Data_An_Prec!$AQ:$AQ,$V581)</f>
        <v>0</v>
      </c>
      <c r="AM581" s="788"/>
      <c r="AN581" s="703">
        <f t="shared" si="147"/>
        <v>0</v>
      </c>
      <c r="AO581" s="710">
        <f t="shared" si="148"/>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ht="20.25" hidden="1" customHeight="1">
      <c r="A582" s="5" t="s">
        <v>56</v>
      </c>
      <c r="B582" s="3"/>
      <c r="C582" s="668" t="s">
        <v>1058</v>
      </c>
      <c r="D582" s="40"/>
      <c r="E582" s="40"/>
      <c r="F582" s="540"/>
      <c r="G582" s="40"/>
      <c r="H582" s="40"/>
      <c r="I582" s="540"/>
      <c r="J582" s="40"/>
      <c r="K582" s="40"/>
      <c r="L582" s="40"/>
      <c r="M582" s="540"/>
      <c r="N582" s="40"/>
      <c r="O582" s="40"/>
      <c r="P582" s="40"/>
      <c r="Q582" s="540"/>
      <c r="R582" s="540"/>
      <c r="S582" s="540"/>
      <c r="T582" s="40"/>
      <c r="U582" s="40"/>
      <c r="V582" s="559" t="s">
        <v>56</v>
      </c>
      <c r="W582" s="48"/>
      <c r="X582" s="48"/>
      <c r="Y582" s="48"/>
      <c r="Z582" s="701">
        <f>IFERROR(SUMIF($C:$C,$V582,F:F),0)</f>
        <v>0</v>
      </c>
      <c r="AA582" s="700"/>
      <c r="AB582" s="700"/>
      <c r="AC582" s="703"/>
      <c r="AD582" s="709"/>
      <c r="AE582" s="708"/>
      <c r="AF582" s="701">
        <f>IFERROR(SUMIF($C:$C,$V582,L:L),0)</f>
        <v>0</v>
      </c>
      <c r="AG582" s="702"/>
      <c r="AH582" s="703">
        <f t="shared" si="145"/>
        <v>0</v>
      </c>
      <c r="AI582" s="704">
        <f t="shared" si="146"/>
        <v>0</v>
      </c>
      <c r="AJ582" s="709"/>
      <c r="AK582" s="708"/>
      <c r="AL582" s="701">
        <f>SUMIFS(BV_Data_An_Prec!$AM:$AM,BV_Data_An_Prec!$AQ:$AQ,$V582)</f>
        <v>0</v>
      </c>
      <c r="AM582" s="788"/>
      <c r="AN582" s="703">
        <f t="shared" si="147"/>
        <v>0</v>
      </c>
      <c r="AO582" s="710">
        <f t="shared" si="148"/>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ht="15.75" customHeight="1">
      <c r="A583" s="559" t="str">
        <f>V583</f>
        <v>Revenus d'intérêts Floor plan</v>
      </c>
      <c r="B583" s="3"/>
      <c r="C583" s="668" t="s">
        <v>1058</v>
      </c>
      <c r="D583" s="40"/>
      <c r="E583" s="40"/>
      <c r="F583" s="540"/>
      <c r="G583" s="40"/>
      <c r="H583" s="40"/>
      <c r="I583" s="540"/>
      <c r="J583" s="40"/>
      <c r="K583" s="40"/>
      <c r="L583" s="40"/>
      <c r="M583" s="540"/>
      <c r="N583" s="40"/>
      <c r="O583" s="40"/>
      <c r="P583" s="40"/>
      <c r="Q583" s="540"/>
      <c r="R583" s="540"/>
      <c r="S583" s="540"/>
      <c r="T583" s="40"/>
      <c r="U583" s="40"/>
      <c r="V583" s="559" t="s">
        <v>231</v>
      </c>
      <c r="W583" s="48"/>
      <c r="X583" s="48"/>
      <c r="Y583" s="48"/>
      <c r="Z583" s="701" t="str">
        <f t="array" ref="Z583">+INDEX('Budget original'!$A$2:$AO$501,MATCH($A583,'Budget original'!$A$2:$A$501,0),MATCH(F$2,'Budget original'!$A$2:$AO$2,0))</f>
        <v/>
      </c>
      <c r="AA583" s="700"/>
      <c r="AB583" s="700"/>
      <c r="AC583" s="703"/>
      <c r="AD583" s="709"/>
      <c r="AE583" s="708"/>
      <c r="AF583" s="701">
        <f>SUMIFS(BV_Data_An_Cour!$AM:$AM,BV_Data_An_Cour!$AQ:$AQ,$V583)</f>
        <v>0</v>
      </c>
      <c r="AG583" s="702"/>
      <c r="AH583" s="703">
        <f t="shared" si="145"/>
        <v>0</v>
      </c>
      <c r="AI583" s="704">
        <f t="shared" si="146"/>
        <v>0</v>
      </c>
      <c r="AJ583" s="709"/>
      <c r="AK583" s="708"/>
      <c r="AL583" s="701">
        <f>SUMIFS(BV_Data_An_Prec!$AM:$AM,BV_Data_An_Prec!$AQ:$AQ,$V583)</f>
        <v>0</v>
      </c>
      <c r="AM583" s="788"/>
      <c r="AN583" s="703">
        <f t="shared" si="147"/>
        <v>0</v>
      </c>
      <c r="AO583" s="710">
        <f t="shared" si="148"/>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ht="21.0" hidden="1" customHeight="1">
      <c r="A584" s="5" t="s">
        <v>56</v>
      </c>
      <c r="B584" s="3"/>
      <c r="C584" s="668" t="s">
        <v>1058</v>
      </c>
      <c r="D584" s="40"/>
      <c r="E584" s="40"/>
      <c r="F584" s="540"/>
      <c r="G584" s="40"/>
      <c r="H584" s="40"/>
      <c r="I584" s="540"/>
      <c r="J584" s="40"/>
      <c r="K584" s="40"/>
      <c r="L584" s="40"/>
      <c r="M584" s="540"/>
      <c r="N584" s="40"/>
      <c r="O584" s="40"/>
      <c r="P584" s="40"/>
      <c r="Q584" s="540"/>
      <c r="R584" s="540"/>
      <c r="S584" s="540"/>
      <c r="T584" s="40"/>
      <c r="U584" s="40"/>
      <c r="V584" s="559" t="s">
        <v>56</v>
      </c>
      <c r="W584" s="48"/>
      <c r="X584" s="40"/>
      <c r="Y584" s="48"/>
      <c r="Z584" s="701">
        <f>IFERROR(SUMIF($C:$C,$V584,F:F),0)</f>
        <v>0</v>
      </c>
      <c r="AA584" s="700"/>
      <c r="AB584" s="700"/>
      <c r="AC584" s="701"/>
      <c r="AD584" s="709"/>
      <c r="AE584" s="708"/>
      <c r="AF584" s="701">
        <f>IFERROR(SUMIF($C:$C,$V584,L:L),0)</f>
        <v>0</v>
      </c>
      <c r="AG584" s="702"/>
      <c r="AH584" s="703">
        <f t="shared" si="145"/>
        <v>0</v>
      </c>
      <c r="AI584" s="704">
        <f t="shared" si="146"/>
        <v>0</v>
      </c>
      <c r="AJ584" s="709"/>
      <c r="AK584" s="708"/>
      <c r="AL584" s="701">
        <f>SUMIFS(BV_Data_An_Prec!$AM:$AM,BV_Data_An_Prec!$AQ:$AQ,$V584)</f>
        <v>0</v>
      </c>
      <c r="AM584" s="788"/>
      <c r="AN584" s="703">
        <f t="shared" si="147"/>
        <v>0</v>
      </c>
      <c r="AO584" s="710">
        <f t="shared" si="148"/>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ht="21.0" customHeight="1">
      <c r="A585" s="5" t="s">
        <v>219</v>
      </c>
      <c r="B585" s="3"/>
      <c r="C585" s="668" t="s">
        <v>1058</v>
      </c>
      <c r="D585" s="40"/>
      <c r="E585" s="40"/>
      <c r="F585" s="540"/>
      <c r="G585" s="40"/>
      <c r="H585" s="40"/>
      <c r="I585" s="540"/>
      <c r="J585" s="40"/>
      <c r="K585" s="40"/>
      <c r="L585" s="40"/>
      <c r="M585" s="540"/>
      <c r="N585" s="40"/>
      <c r="O585" s="40"/>
      <c r="P585" s="40"/>
      <c r="Q585" s="540"/>
      <c r="R585" s="540"/>
      <c r="S585" s="540"/>
      <c r="T585" s="40"/>
      <c r="U585" s="40"/>
      <c r="V585" s="767" t="s">
        <v>219</v>
      </c>
      <c r="W585" s="768"/>
      <c r="X585" s="769" t="s">
        <v>1104</v>
      </c>
      <c r="Y585" s="770" t="str">
        <f>Z585/Z493</f>
        <v>#REF!</v>
      </c>
      <c r="Z585" s="771" t="str">
        <f>Z576-Z578-Z579-Z580-Z584-Z583</f>
        <v>#REF!</v>
      </c>
      <c r="AA585" s="769"/>
      <c r="AB585" s="770"/>
      <c r="AC585" s="771"/>
      <c r="AD585" s="769" t="s">
        <v>1104</v>
      </c>
      <c r="AE585" s="770">
        <f>AF585/AF493</f>
        <v>0.01022225157</v>
      </c>
      <c r="AF585" s="771">
        <f>AF576-AF578-AF579-AF580-AF584-AF583</f>
        <v>114453.46</v>
      </c>
      <c r="AG585" s="772"/>
      <c r="AH585" s="772" t="str">
        <f t="shared" si="145"/>
        <v>#REF!</v>
      </c>
      <c r="AI585" s="773" t="str">
        <f>AH585/Z585</f>
        <v>#REF!</v>
      </c>
      <c r="AJ585" s="769" t="s">
        <v>1104</v>
      </c>
      <c r="AK585" s="770">
        <f>IF($AL$493=0,0,AL585/$AL$493)</f>
        <v>0.02955563399</v>
      </c>
      <c r="AL585" s="771">
        <f>AL576-AL578-AL579-AL580-AL584-AL583</f>
        <v>486315.86</v>
      </c>
      <c r="AM585" s="774"/>
      <c r="AN585" s="775">
        <f t="shared" si="147"/>
        <v>-371862.4</v>
      </c>
      <c r="AO585" s="780">
        <f t="shared" si="148"/>
        <v>-0.7646520103</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ht="15.75" customHeight="1">
      <c r="A586" s="5" t="s">
        <v>1060</v>
      </c>
      <c r="B586" s="3"/>
      <c r="C586" s="40"/>
      <c r="D586" s="40"/>
      <c r="E586" s="40"/>
      <c r="F586" s="540"/>
      <c r="G586" s="40"/>
      <c r="H586" s="40"/>
      <c r="I586" s="540"/>
      <c r="J586" s="40"/>
      <c r="K586" s="40"/>
      <c r="L586" s="40"/>
      <c r="M586" s="540"/>
      <c r="N586" s="40"/>
      <c r="O586" s="40"/>
      <c r="P586" s="40"/>
      <c r="Q586" s="540"/>
      <c r="R586" s="540"/>
      <c r="S586" s="540"/>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ht="15.75" customHeight="1">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ht="15.75" customHeight="1">
      <c r="B588" s="3"/>
      <c r="C588" s="40"/>
      <c r="S588" s="540"/>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ht="15.75" customHeight="1">
      <c r="B589" s="3"/>
      <c r="C589" s="700"/>
      <c r="T589" s="40"/>
      <c r="U589" s="40"/>
      <c r="V589" s="40" t="s">
        <v>1107</v>
      </c>
      <c r="W589" s="40"/>
      <c r="X589" s="40"/>
      <c r="Y589" s="40"/>
      <c r="Z589" s="540"/>
      <c r="AA589" s="40"/>
      <c r="AB589" s="40"/>
      <c r="AC589" s="540"/>
      <c r="AE589" s="791"/>
      <c r="AF589" s="791">
        <v>111980.89</v>
      </c>
      <c r="AG589" s="40"/>
      <c r="AH589" s="40"/>
      <c r="AI589" s="40"/>
      <c r="AJ589" s="792"/>
      <c r="AK589" s="793"/>
      <c r="AL589" s="791">
        <v>486312.0</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ht="15.75" customHeight="1">
      <c r="B590" s="3"/>
      <c r="C590" s="700"/>
      <c r="T590" s="40"/>
      <c r="U590" s="40"/>
      <c r="W590" s="40"/>
      <c r="X590" s="40"/>
      <c r="Y590" s="40"/>
      <c r="Z590" s="540"/>
      <c r="AA590" s="40"/>
      <c r="AB590" s="40"/>
      <c r="AC590" s="540"/>
      <c r="AD590" s="40"/>
      <c r="AE590" s="40"/>
      <c r="AF590" s="791"/>
      <c r="AG590" s="40"/>
      <c r="AH590" s="40"/>
      <c r="AI590" s="40"/>
      <c r="AJ590" s="40"/>
      <c r="AL590" s="791"/>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ht="15.75" customHeight="1">
      <c r="B591" s="3"/>
      <c r="C591" s="700"/>
      <c r="T591" s="40"/>
      <c r="U591" s="40"/>
      <c r="W591" s="40"/>
      <c r="X591" s="40"/>
      <c r="Y591" s="40"/>
      <c r="AE591" s="40"/>
      <c r="AF591" s="794">
        <f>AF589-AF585</f>
        <v>-2472.57</v>
      </c>
      <c r="AL591" s="794">
        <f>AL589-AL585</f>
        <v>-3.860000013</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ht="15.75" customHeight="1">
      <c r="B592" s="3"/>
      <c r="C592" s="700"/>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ht="15.75" customHeight="1">
      <c r="B593" s="3"/>
      <c r="C593" s="700"/>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ht="15.75" customHeight="1">
      <c r="B594" s="3"/>
      <c r="C594" s="700"/>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ht="15.75" customHeight="1">
      <c r="B595" s="3"/>
      <c r="C595" s="700"/>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ht="15.75" customHeight="1">
      <c r="B596" s="3"/>
      <c r="C596" s="700"/>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ht="15.75" customHeight="1">
      <c r="B597" s="3"/>
      <c r="C597" s="700"/>
      <c r="T597" s="40"/>
      <c r="U597" s="40"/>
      <c r="W597" s="40"/>
      <c r="X597" s="40"/>
      <c r="Y597" s="40"/>
      <c r="Z597" s="40"/>
      <c r="AA597" s="40"/>
      <c r="AB597" s="40"/>
      <c r="AC597" s="40"/>
      <c r="AD597" s="40"/>
      <c r="AE597" s="40"/>
      <c r="AF597" s="669">
        <f>AF585+AF595</f>
        <v>114453.46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ht="15.75" customHeight="1">
      <c r="B598" s="3"/>
      <c r="C598" s="700"/>
      <c r="T598" s="40"/>
      <c r="U598" s="40"/>
      <c r="W598" s="40"/>
      <c r="X598" s="40"/>
      <c r="Y598" s="40"/>
      <c r="Z598" s="40"/>
      <c r="AA598" s="40"/>
      <c r="AB598" s="40"/>
      <c r="AC598" s="40"/>
      <c r="AD598" s="40"/>
      <c r="AE598" s="40"/>
      <c r="AF598" s="791"/>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ht="15.75" customHeight="1">
      <c r="B599" s="3"/>
      <c r="C599" s="700"/>
      <c r="T599" s="40"/>
      <c r="U599" s="40"/>
      <c r="W599" s="40"/>
      <c r="X599" s="40"/>
      <c r="Y599" s="40"/>
      <c r="Z599" s="40"/>
      <c r="AA599" s="40"/>
      <c r="AB599" s="40"/>
      <c r="AC599" s="40"/>
      <c r="AD599" s="40"/>
      <c r="AE599" s="40"/>
      <c r="AF599" s="795"/>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ht="15.75" customHeight="1">
      <c r="B600" s="3"/>
      <c r="C600" s="700"/>
      <c r="T600" s="40"/>
      <c r="U600" s="40"/>
      <c r="W600" s="40"/>
      <c r="X600" s="40"/>
      <c r="Y600" s="40"/>
      <c r="Z600" s="40"/>
      <c r="AA600" s="40"/>
      <c r="AB600" s="40"/>
      <c r="AC600" s="40"/>
      <c r="AD600" s="40"/>
      <c r="AE600" s="40"/>
      <c r="AF600" s="795"/>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ht="15.75" customHeight="1">
      <c r="B601" s="3"/>
      <c r="C601" s="700"/>
      <c r="T601" s="40"/>
      <c r="U601" s="40"/>
      <c r="W601" s="40"/>
      <c r="X601" s="40"/>
      <c r="Y601" s="40"/>
      <c r="Z601" s="40"/>
      <c r="AA601" s="40"/>
      <c r="AB601" s="40"/>
      <c r="AC601" s="40"/>
      <c r="AD601" s="40"/>
      <c r="AE601" s="40"/>
      <c r="AF601" s="795"/>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ht="15.75" customHeight="1">
      <c r="B602" s="3"/>
      <c r="C602" s="700"/>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ht="15.75" customHeight="1">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ht="15.75" customHeight="1">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ht="15.75" customHeight="1">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ht="15.75" customHeight="1">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ht="15.75" customHeight="1">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ht="15.75" customHeight="1">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ht="15.75" customHeight="1">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ht="15.75" customHeight="1">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ht="15.75" customHeight="1">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ht="15.75" customHeight="1">
      <c r="B612" s="3"/>
      <c r="C612" s="700"/>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ht="15.75" customHeight="1">
      <c r="B613" s="3"/>
      <c r="C613" s="700"/>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ht="15.75" customHeight="1">
      <c r="B614" s="3"/>
      <c r="C614" s="700"/>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ht="15.75" customHeight="1">
      <c r="B615" s="3"/>
      <c r="C615" s="700"/>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ht="15.75" customHeight="1">
      <c r="B616" s="3"/>
      <c r="C616" s="700"/>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ht="15.75" customHeight="1">
      <c r="B617" s="3"/>
      <c r="C617" s="700"/>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ht="15.75" customHeight="1">
      <c r="B618" s="3"/>
      <c r="C618" s="700"/>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ht="15.75" customHeight="1">
      <c r="B619" s="3"/>
      <c r="C619" s="700"/>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ht="15.75" customHeight="1">
      <c r="B620" s="3"/>
      <c r="C620" s="700"/>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ht="15.75" customHeight="1">
      <c r="B621" s="3"/>
      <c r="C621" s="700"/>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ht="15.75" customHeight="1">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ht="15.75" customHeight="1">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ht="15.75" customHeight="1">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ht="15.75" customHeight="1">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ht="15.75" customHeight="1">
      <c r="T626" s="40"/>
      <c r="U626" s="40"/>
    </row>
    <row r="627" ht="15.75" customHeight="1">
      <c r="T627" s="40"/>
      <c r="U627" s="40"/>
    </row>
    <row r="628" ht="15.75" customHeight="1">
      <c r="T628" s="40"/>
      <c r="U628" s="40"/>
    </row>
    <row r="629" ht="15.75" customHeight="1">
      <c r="T629" s="40"/>
      <c r="U629" s="40"/>
    </row>
    <row r="630" ht="15.75" customHeight="1">
      <c r="T630" s="40"/>
      <c r="U630" s="40"/>
    </row>
    <row r="631" ht="15.75" customHeight="1">
      <c r="T631" s="40"/>
      <c r="U631" s="40"/>
    </row>
    <row r="632" ht="15.75" customHeight="1">
      <c r="T632" s="40"/>
      <c r="U632" s="40"/>
    </row>
    <row r="633" ht="15.75" customHeight="1">
      <c r="T633" s="40"/>
      <c r="U633" s="40"/>
    </row>
    <row r="634" ht="15.75" customHeight="1">
      <c r="T634" s="40"/>
      <c r="U634" s="40"/>
    </row>
    <row r="635" ht="15.75" customHeight="1">
      <c r="T635" s="40"/>
      <c r="U635" s="40"/>
    </row>
    <row r="636" ht="15.75" customHeight="1">
      <c r="T636" s="40"/>
      <c r="U636" s="40"/>
    </row>
    <row r="637" ht="15.75" customHeight="1">
      <c r="T637" s="40"/>
      <c r="U637" s="40"/>
    </row>
    <row r="638" ht="15.75" customHeight="1">
      <c r="T638" s="40"/>
      <c r="U638" s="40"/>
    </row>
    <row r="639" ht="15.75" customHeight="1">
      <c r="T639" s="40"/>
      <c r="U639" s="40"/>
    </row>
    <row r="640" ht="15.75" customHeight="1">
      <c r="T640" s="40"/>
      <c r="U640" s="40"/>
    </row>
    <row r="641" ht="15.75" customHeight="1">
      <c r="T641" s="40"/>
      <c r="U641" s="40"/>
    </row>
    <row r="642" ht="15.75" customHeight="1">
      <c r="T642" s="40"/>
      <c r="U642" s="40"/>
    </row>
    <row r="643" ht="15.75" customHeight="1">
      <c r="T643" s="40"/>
      <c r="U643" s="40"/>
    </row>
    <row r="644" ht="15.75" customHeight="1">
      <c r="T644" s="40"/>
      <c r="U644" s="40"/>
    </row>
    <row r="645" ht="15.75" customHeight="1">
      <c r="T645" s="40"/>
      <c r="U645" s="40"/>
    </row>
    <row r="646" ht="15.75" customHeight="1">
      <c r="T646" s="40"/>
      <c r="U646" s="40"/>
    </row>
    <row r="647" ht="15.75" customHeight="1">
      <c r="T647" s="40"/>
      <c r="U647" s="40"/>
    </row>
    <row r="648" ht="15.75" customHeight="1">
      <c r="T648" s="40"/>
      <c r="U648" s="40"/>
    </row>
    <row r="649" ht="15.75" customHeight="1">
      <c r="T649" s="40"/>
      <c r="U649" s="40"/>
    </row>
    <row r="650" ht="15.75" customHeight="1">
      <c r="T650" s="40"/>
      <c r="U650" s="40"/>
    </row>
    <row r="651" ht="15.75" customHeight="1">
      <c r="T651" s="40"/>
      <c r="U651" s="40"/>
    </row>
    <row r="652" ht="15.75" customHeight="1">
      <c r="T652" s="40"/>
      <c r="U652" s="40"/>
    </row>
    <row r="653" ht="15.75" customHeight="1">
      <c r="T653" s="40"/>
      <c r="U653" s="40"/>
    </row>
    <row r="654" ht="15.75" customHeight="1">
      <c r="T654" s="40"/>
      <c r="U654" s="40"/>
    </row>
    <row r="655" ht="15.75" customHeight="1">
      <c r="T655" s="40"/>
      <c r="U655" s="40"/>
    </row>
    <row r="656" ht="15.75" customHeight="1">
      <c r="T656" s="40"/>
      <c r="U656" s="40"/>
    </row>
    <row r="657" ht="15.75" customHeight="1">
      <c r="T657" s="40"/>
      <c r="U657" s="40"/>
    </row>
    <row r="658" ht="15.75" customHeight="1">
      <c r="T658" s="40"/>
      <c r="U658" s="40"/>
    </row>
    <row r="659" ht="15.75" customHeight="1">
      <c r="T659" s="40"/>
      <c r="U659" s="40"/>
    </row>
    <row r="660" ht="15.75" customHeight="1">
      <c r="T660" s="40"/>
      <c r="U660" s="40"/>
    </row>
    <row r="661" ht="15.75" customHeight="1">
      <c r="T661" s="40"/>
      <c r="U661" s="40"/>
    </row>
    <row r="662" ht="15.75" customHeight="1">
      <c r="T662" s="40"/>
      <c r="U662" s="40"/>
    </row>
    <row r="663" ht="15.75" customHeight="1">
      <c r="T663" s="40"/>
      <c r="U663" s="40"/>
    </row>
    <row r="664" ht="15.75" customHeight="1">
      <c r="T664" s="40"/>
      <c r="U664" s="40"/>
    </row>
    <row r="665" ht="15.75" customHeight="1">
      <c r="T665" s="40"/>
      <c r="U665" s="40"/>
    </row>
    <row r="666" ht="15.75" customHeight="1">
      <c r="T666" s="40"/>
      <c r="U666" s="40"/>
    </row>
    <row r="667" ht="15.75" customHeight="1">
      <c r="T667" s="40"/>
      <c r="U667" s="40"/>
    </row>
    <row r="668" ht="15.75" customHeight="1">
      <c r="T668" s="40"/>
      <c r="U668" s="40"/>
    </row>
    <row r="669" ht="15.75" customHeight="1">
      <c r="T669" s="40"/>
      <c r="U669" s="40"/>
    </row>
    <row r="670" ht="15.75" customHeight="1">
      <c r="T670" s="40"/>
      <c r="U670" s="40"/>
    </row>
    <row r="671" ht="15.75" customHeight="1">
      <c r="T671" s="40"/>
      <c r="U671" s="40"/>
    </row>
    <row r="672" ht="15.75" customHeight="1">
      <c r="T672" s="40"/>
      <c r="U672" s="40"/>
    </row>
    <row r="673" ht="15.75" customHeight="1">
      <c r="T673" s="40"/>
      <c r="U673" s="40"/>
    </row>
    <row r="674" ht="15.75" customHeight="1">
      <c r="T674" s="40"/>
      <c r="U674" s="40"/>
    </row>
    <row r="675" ht="15.75" customHeight="1">
      <c r="T675" s="40"/>
      <c r="U675" s="40"/>
    </row>
    <row r="676" ht="15.75" customHeight="1">
      <c r="T676" s="40"/>
      <c r="U676" s="40"/>
    </row>
    <row r="677" ht="15.75" customHeight="1">
      <c r="T677" s="40"/>
      <c r="U677" s="40"/>
    </row>
    <row r="678" ht="15.75" customHeight="1">
      <c r="T678" s="40"/>
      <c r="U678" s="40"/>
    </row>
    <row r="679" ht="15.75" customHeight="1">
      <c r="T679" s="40"/>
      <c r="U679" s="40"/>
    </row>
    <row r="680" ht="15.75" customHeight="1">
      <c r="T680" s="40"/>
      <c r="U680" s="40"/>
    </row>
    <row r="681" ht="15.75" customHeight="1">
      <c r="T681" s="40"/>
      <c r="U681" s="40"/>
    </row>
    <row r="682" ht="15.75" customHeight="1">
      <c r="T682" s="40"/>
      <c r="U682" s="40"/>
    </row>
    <row r="683" ht="15.75" customHeight="1">
      <c r="T683" s="40"/>
      <c r="U683" s="40"/>
    </row>
    <row r="684" ht="15.75" customHeight="1">
      <c r="T684" s="40"/>
      <c r="U684" s="40"/>
    </row>
    <row r="685" ht="15.75" customHeight="1">
      <c r="T685" s="40"/>
      <c r="U685" s="40"/>
    </row>
    <row r="686" ht="15.75" customHeight="1">
      <c r="T686" s="40"/>
      <c r="U686" s="40"/>
    </row>
    <row r="687" ht="15.75" customHeight="1">
      <c r="T687" s="40"/>
      <c r="U687" s="40"/>
    </row>
    <row r="688" ht="15.75" customHeight="1">
      <c r="T688" s="40"/>
      <c r="U688" s="40"/>
    </row>
    <row r="689" ht="15.75" customHeight="1">
      <c r="T689" s="40"/>
      <c r="U689" s="40"/>
    </row>
    <row r="690" ht="15.75" customHeight="1">
      <c r="T690" s="40"/>
      <c r="U690" s="40"/>
    </row>
    <row r="691" ht="15.75" customHeight="1">
      <c r="T691" s="40"/>
      <c r="U691" s="40"/>
    </row>
    <row r="692" ht="15.75" customHeight="1">
      <c r="T692" s="40"/>
      <c r="U692" s="40"/>
    </row>
    <row r="693" ht="15.75" customHeight="1">
      <c r="T693" s="40"/>
      <c r="U693" s="40"/>
    </row>
    <row r="694" ht="15.75" customHeight="1">
      <c r="T694" s="40"/>
      <c r="U694" s="40"/>
    </row>
    <row r="695" ht="15.75" customHeight="1">
      <c r="T695" s="40"/>
      <c r="U695" s="40"/>
    </row>
    <row r="696" ht="15.75" customHeight="1">
      <c r="T696" s="40"/>
      <c r="U696" s="40"/>
    </row>
    <row r="697" ht="15.75" customHeight="1">
      <c r="T697" s="40"/>
      <c r="U697" s="40"/>
    </row>
    <row r="698" ht="15.75" customHeight="1">
      <c r="T698" s="40"/>
      <c r="U698" s="40"/>
    </row>
    <row r="699" ht="15.75" customHeight="1">
      <c r="T699" s="40"/>
      <c r="U699" s="40"/>
    </row>
    <row r="700" ht="15.75" customHeight="1">
      <c r="T700" s="40"/>
      <c r="U700" s="40"/>
    </row>
    <row r="701" ht="15.75" customHeight="1">
      <c r="T701" s="40"/>
      <c r="U701" s="40"/>
    </row>
    <row r="702" ht="15.75" customHeight="1">
      <c r="T702" s="40"/>
      <c r="U702" s="40"/>
    </row>
    <row r="703" ht="15.75" customHeight="1">
      <c r="T703" s="40"/>
      <c r="U703" s="40"/>
    </row>
    <row r="704" ht="15.75" customHeight="1">
      <c r="T704" s="40"/>
      <c r="U704" s="40"/>
    </row>
    <row r="705" ht="15.75" customHeight="1">
      <c r="T705" s="40"/>
      <c r="U705" s="40"/>
    </row>
    <row r="706" ht="15.75" customHeight="1">
      <c r="T706" s="40"/>
      <c r="U706" s="40"/>
    </row>
    <row r="707" ht="15.75" customHeight="1">
      <c r="T707" s="40"/>
      <c r="U707" s="40"/>
    </row>
    <row r="708" ht="15.75" customHeight="1">
      <c r="T708" s="40"/>
      <c r="U708" s="40"/>
    </row>
    <row r="709" ht="15.75" customHeight="1">
      <c r="T709" s="40"/>
      <c r="U709" s="40"/>
    </row>
    <row r="710" ht="15.75" customHeight="1">
      <c r="T710" s="40"/>
      <c r="U710" s="40"/>
    </row>
    <row r="711" ht="15.75" customHeight="1">
      <c r="T711" s="40"/>
      <c r="U711" s="40"/>
    </row>
    <row r="712" ht="15.75" customHeight="1">
      <c r="T712" s="40"/>
      <c r="U712" s="40"/>
    </row>
    <row r="713" ht="15.75" customHeight="1">
      <c r="T713" s="40"/>
      <c r="U713" s="40"/>
    </row>
    <row r="714" ht="15.75" customHeight="1">
      <c r="T714" s="40"/>
      <c r="U714" s="40"/>
    </row>
    <row r="715" ht="15.75" customHeight="1">
      <c r="T715" s="40"/>
      <c r="U715" s="40"/>
    </row>
    <row r="716" ht="15.75" customHeight="1">
      <c r="T716" s="40"/>
      <c r="U716" s="40"/>
    </row>
    <row r="717" ht="15.75" customHeight="1">
      <c r="T717" s="40"/>
      <c r="U717" s="40"/>
    </row>
    <row r="718" ht="15.75" customHeight="1">
      <c r="T718" s="40"/>
      <c r="U718" s="40"/>
    </row>
    <row r="719" ht="15.75" customHeight="1">
      <c r="T719" s="40"/>
      <c r="U719" s="40"/>
    </row>
    <row r="720" ht="15.75" customHeight="1">
      <c r="T720" s="40"/>
      <c r="U720" s="40"/>
    </row>
    <row r="721" ht="15.75" customHeight="1">
      <c r="T721" s="40"/>
      <c r="U721" s="40"/>
    </row>
    <row r="722" ht="15.75" customHeight="1">
      <c r="T722" s="40"/>
      <c r="U722" s="40"/>
    </row>
    <row r="723" ht="15.75" customHeight="1">
      <c r="T723" s="40"/>
      <c r="U723" s="40"/>
    </row>
    <row r="724" ht="15.75" customHeight="1">
      <c r="T724" s="40"/>
      <c r="U724" s="40"/>
    </row>
    <row r="725" ht="15.75" customHeight="1">
      <c r="T725" s="40"/>
      <c r="U725" s="40"/>
    </row>
    <row r="726" ht="15.75" customHeight="1">
      <c r="T726" s="40"/>
      <c r="U726" s="40"/>
    </row>
    <row r="727" ht="15.75" customHeight="1">
      <c r="T727" s="40"/>
      <c r="U727" s="40"/>
    </row>
    <row r="728" ht="15.75" customHeight="1">
      <c r="T728" s="40"/>
      <c r="U728" s="40"/>
    </row>
    <row r="729" ht="15.75" customHeight="1">
      <c r="T729" s="40"/>
      <c r="U729" s="40"/>
    </row>
    <row r="730" ht="15.75" customHeight="1">
      <c r="T730" s="40"/>
      <c r="U730" s="40"/>
    </row>
    <row r="731" ht="15.75" customHeight="1">
      <c r="T731" s="40"/>
      <c r="U731" s="40"/>
    </row>
    <row r="732" ht="15.75" customHeight="1">
      <c r="T732" s="40"/>
      <c r="U732" s="40"/>
    </row>
    <row r="733" ht="15.75" customHeight="1">
      <c r="T733" s="40"/>
      <c r="U733" s="40"/>
    </row>
    <row r="734" ht="15.75" customHeight="1">
      <c r="T734" s="40"/>
      <c r="U734" s="40"/>
    </row>
    <row r="735" ht="15.75" customHeight="1">
      <c r="T735" s="40"/>
      <c r="U735" s="40"/>
    </row>
    <row r="736" ht="15.75" customHeight="1">
      <c r="T736" s="40"/>
      <c r="U736" s="40"/>
    </row>
    <row r="737" ht="15.75" customHeight="1">
      <c r="T737" s="40"/>
      <c r="U737" s="40"/>
    </row>
    <row r="738" ht="15.75" customHeight="1">
      <c r="T738" s="40"/>
      <c r="U738" s="40"/>
    </row>
    <row r="739" ht="15.75" customHeight="1">
      <c r="T739" s="40"/>
      <c r="U739" s="40"/>
    </row>
    <row r="740" ht="15.75" customHeight="1">
      <c r="T740" s="40"/>
      <c r="U740" s="40"/>
    </row>
    <row r="741" ht="15.75" customHeight="1">
      <c r="T741" s="40"/>
      <c r="U741" s="40"/>
    </row>
    <row r="742" ht="15.75" customHeight="1">
      <c r="T742" s="40"/>
      <c r="U742" s="40"/>
    </row>
    <row r="743" ht="15.75" customHeight="1">
      <c r="T743" s="40"/>
      <c r="U743" s="40"/>
    </row>
    <row r="744" ht="15.75" customHeight="1">
      <c r="T744" s="40"/>
      <c r="U744" s="40"/>
    </row>
    <row r="745" ht="15.75" customHeight="1">
      <c r="T745" s="40"/>
      <c r="U745" s="40"/>
    </row>
    <row r="746" ht="15.75" customHeight="1">
      <c r="T746" s="40"/>
      <c r="U746" s="40"/>
    </row>
    <row r="747" ht="15.75" customHeight="1">
      <c r="T747" s="40"/>
      <c r="U747" s="40"/>
    </row>
    <row r="748" ht="15.75" customHeight="1">
      <c r="T748" s="40"/>
      <c r="U748" s="40"/>
    </row>
    <row r="749" ht="15.75" customHeight="1">
      <c r="T749" s="40"/>
      <c r="U749" s="40"/>
    </row>
    <row r="750" ht="15.75" customHeight="1">
      <c r="T750" s="40"/>
      <c r="U750" s="40"/>
    </row>
    <row r="751" ht="15.75" customHeight="1">
      <c r="T751" s="40"/>
      <c r="U751" s="40"/>
    </row>
    <row r="752" ht="15.75" customHeight="1">
      <c r="T752" s="40"/>
      <c r="U752" s="40"/>
    </row>
    <row r="753" ht="15.75" customHeight="1">
      <c r="T753" s="40"/>
      <c r="U753" s="40"/>
    </row>
    <row r="754" ht="15.75" customHeight="1">
      <c r="T754" s="40"/>
      <c r="U754" s="40"/>
    </row>
    <row r="755" ht="15.75" customHeight="1">
      <c r="T755" s="40"/>
      <c r="U755" s="40"/>
    </row>
    <row r="756" ht="15.75" customHeight="1">
      <c r="T756" s="40"/>
      <c r="U756" s="40"/>
    </row>
    <row r="757" ht="15.75" customHeight="1">
      <c r="T757" s="40"/>
      <c r="U757" s="40"/>
    </row>
    <row r="758" ht="15.75" customHeight="1">
      <c r="T758" s="40"/>
      <c r="U758" s="40"/>
    </row>
    <row r="759" ht="15.75" customHeight="1">
      <c r="T759" s="40"/>
      <c r="U759" s="40"/>
    </row>
    <row r="760" ht="15.75" customHeight="1">
      <c r="T760" s="40"/>
      <c r="U760" s="40"/>
    </row>
    <row r="761" ht="15.75" customHeight="1">
      <c r="T761" s="40"/>
      <c r="U761" s="40"/>
    </row>
    <row r="762" ht="15.75" customHeight="1">
      <c r="T762" s="40"/>
      <c r="U762" s="40"/>
    </row>
    <row r="763" ht="15.75" customHeight="1">
      <c r="T763" s="40"/>
      <c r="U763" s="40"/>
    </row>
    <row r="764" ht="15.75" customHeight="1">
      <c r="T764" s="40"/>
      <c r="U764" s="40"/>
    </row>
    <row r="765" ht="15.75" customHeight="1">
      <c r="T765" s="40"/>
      <c r="U765" s="40"/>
    </row>
    <row r="766" ht="15.75" customHeight="1">
      <c r="T766" s="40"/>
      <c r="U766" s="40"/>
    </row>
    <row r="767" ht="15.75" customHeight="1">
      <c r="T767" s="40"/>
      <c r="U767" s="40"/>
    </row>
    <row r="768" ht="15.75" customHeight="1">
      <c r="T768" s="40"/>
      <c r="U768" s="40"/>
    </row>
    <row r="769" ht="15.75" customHeight="1">
      <c r="T769" s="40"/>
      <c r="U769" s="40"/>
    </row>
    <row r="770" ht="15.75" customHeight="1">
      <c r="T770" s="40"/>
      <c r="U770" s="40"/>
    </row>
    <row r="771" ht="15.75" customHeight="1">
      <c r="T771" s="40"/>
      <c r="U771" s="40"/>
    </row>
    <row r="772" ht="15.75" customHeight="1">
      <c r="T772" s="40"/>
      <c r="U772" s="40"/>
    </row>
    <row r="773" ht="15.75" customHeight="1">
      <c r="T773" s="40"/>
      <c r="U773" s="40"/>
    </row>
    <row r="774" ht="15.75" customHeight="1">
      <c r="T774" s="40"/>
      <c r="U774" s="40"/>
    </row>
    <row r="775" ht="15.75" customHeight="1">
      <c r="T775" s="40"/>
      <c r="U775" s="40"/>
    </row>
    <row r="776" ht="15.75" customHeight="1">
      <c r="T776" s="40"/>
      <c r="U776" s="40"/>
    </row>
    <row r="777" ht="15.75" customHeight="1">
      <c r="T777" s="40"/>
      <c r="U777" s="40"/>
    </row>
    <row r="778" ht="15.75" customHeight="1">
      <c r="T778" s="40"/>
      <c r="U778" s="40"/>
    </row>
    <row r="779" ht="15.75" customHeight="1">
      <c r="T779" s="40"/>
      <c r="U779" s="40"/>
    </row>
    <row r="780" ht="15.75" customHeight="1">
      <c r="T780" s="40"/>
      <c r="U780" s="40"/>
    </row>
  </sheetData>
  <mergeCells count="48">
    <mergeCell ref="M91:N91"/>
    <mergeCell ref="O91:Q91"/>
    <mergeCell ref="D3:F3"/>
    <mergeCell ref="G3:I3"/>
    <mergeCell ref="J3:L3"/>
    <mergeCell ref="M3:N3"/>
    <mergeCell ref="O3:Q3"/>
    <mergeCell ref="R3:S3"/>
    <mergeCell ref="D91:F91"/>
    <mergeCell ref="R91:S91"/>
    <mergeCell ref="G91:I91"/>
    <mergeCell ref="J91:L91"/>
    <mergeCell ref="G171:I171"/>
    <mergeCell ref="J171:L171"/>
    <mergeCell ref="M171:N171"/>
    <mergeCell ref="O171:Q171"/>
    <mergeCell ref="R171:S171"/>
    <mergeCell ref="D171:F171"/>
    <mergeCell ref="D244:F244"/>
    <mergeCell ref="G244:I244"/>
    <mergeCell ref="J244:L244"/>
    <mergeCell ref="M244:N244"/>
    <mergeCell ref="O244:Q244"/>
    <mergeCell ref="R244:S244"/>
    <mergeCell ref="G369:I369"/>
    <mergeCell ref="J369:L369"/>
    <mergeCell ref="D434:F434"/>
    <mergeCell ref="G434:I434"/>
    <mergeCell ref="J434:L434"/>
    <mergeCell ref="M434:N434"/>
    <mergeCell ref="O434:Q434"/>
    <mergeCell ref="R434:S434"/>
    <mergeCell ref="M369:N369"/>
    <mergeCell ref="O369:Q369"/>
    <mergeCell ref="X491:Z491"/>
    <mergeCell ref="AA491:AC491"/>
    <mergeCell ref="AD491:AF491"/>
    <mergeCell ref="AG491:AI491"/>
    <mergeCell ref="AJ491:AL491"/>
    <mergeCell ref="AM491:AO491"/>
    <mergeCell ref="D312:F312"/>
    <mergeCell ref="G312:I312"/>
    <mergeCell ref="J312:L312"/>
    <mergeCell ref="M312:N312"/>
    <mergeCell ref="O312:Q312"/>
    <mergeCell ref="R312:S312"/>
    <mergeCell ref="D369:F369"/>
    <mergeCell ref="R369:S369"/>
  </mergeCells>
  <conditionalFormatting sqref="D113 H180:L181 I184:L185">
    <cfRule type="expression" dxfId="0" priority="1" stopIfTrue="1">
      <formula>"esterreur(reference)"</formula>
    </cfRule>
  </conditionalFormatting>
  <conditionalFormatting sqref="D246:D255">
    <cfRule type="expression" dxfId="0" priority="2" stopIfTrue="1">
      <formula>"esterreur(reference)"</formula>
    </cfRule>
  </conditionalFormatting>
  <conditionalFormatting sqref="D487">
    <cfRule type="expression" dxfId="0" priority="3" stopIfTrue="1">
      <formula>"esterreur(reference)"</formula>
    </cfRule>
  </conditionalFormatting>
  <conditionalFormatting sqref="D186:E192">
    <cfRule type="expression" dxfId="0" priority="4" stopIfTrue="1">
      <formula>"esterreur(reference)"</formula>
    </cfRule>
  </conditionalFormatting>
  <conditionalFormatting sqref="E260">
    <cfRule type="expression" dxfId="0" priority="5" stopIfTrue="1">
      <formula>"esterreur(reference)"</formula>
    </cfRule>
  </conditionalFormatting>
  <conditionalFormatting sqref="F5">
    <cfRule type="expression" dxfId="0" priority="6" stopIfTrue="1">
      <formula>"esterreur(reference)"</formula>
    </cfRule>
  </conditionalFormatting>
  <conditionalFormatting sqref="F84">
    <cfRule type="expression" dxfId="0" priority="7" stopIfTrue="1">
      <formula>"esterreur(reference)"</formula>
    </cfRule>
  </conditionalFormatting>
  <conditionalFormatting sqref="F102">
    <cfRule type="expression" dxfId="0" priority="8" stopIfTrue="1">
      <formula>"esterreur(reference)"</formula>
    </cfRule>
  </conditionalFormatting>
  <conditionalFormatting sqref="F258">
    <cfRule type="expression" dxfId="0" priority="9" stopIfTrue="1">
      <formula>"esterreur(reference)"</formula>
    </cfRule>
  </conditionalFormatting>
  <conditionalFormatting sqref="G31:G32">
    <cfRule type="expression" dxfId="0" priority="10" stopIfTrue="1">
      <formula>"esterreur(reference)"</formula>
    </cfRule>
  </conditionalFormatting>
  <conditionalFormatting sqref="G113:G114">
    <cfRule type="expression" dxfId="0" priority="11" stopIfTrue="1">
      <formula>"esterreur(reference)"</formula>
    </cfRule>
  </conditionalFormatting>
  <conditionalFormatting sqref="G186:G187">
    <cfRule type="expression" dxfId="0" priority="12" stopIfTrue="1">
      <formula>"esterreur(reference)"</formula>
    </cfRule>
  </conditionalFormatting>
  <conditionalFormatting sqref="G246:G255">
    <cfRule type="expression" dxfId="0" priority="13" stopIfTrue="1">
      <formula>"esterreur(reference)"</formula>
    </cfRule>
  </conditionalFormatting>
  <conditionalFormatting sqref="H25:H26 H28:H72">
    <cfRule type="expression" dxfId="0" priority="14" stopIfTrue="1">
      <formula>"esterreur(reference)"</formula>
    </cfRule>
  </conditionalFormatting>
  <conditionalFormatting sqref="H74">
    <cfRule type="expression" dxfId="0" priority="15" stopIfTrue="1">
      <formula>"esterreur(reference)"</formula>
    </cfRule>
  </conditionalFormatting>
  <conditionalFormatting sqref="H83">
    <cfRule type="expression" dxfId="0" priority="16" stopIfTrue="1">
      <formula>"esterreur(reference)"</formula>
    </cfRule>
  </conditionalFormatting>
  <conditionalFormatting sqref="H85">
    <cfRule type="expression" dxfId="0" priority="17" stopIfTrue="1">
      <formula>"esterreur(reference)"</formula>
    </cfRule>
  </conditionalFormatting>
  <conditionalFormatting sqref="H110:H154">
    <cfRule type="expression" dxfId="0" priority="18" stopIfTrue="1">
      <formula>"esterreur(reference)"</formula>
    </cfRule>
  </conditionalFormatting>
  <conditionalFormatting sqref="H156:H158">
    <cfRule type="expression" dxfId="0" priority="19" stopIfTrue="1">
      <formula>"esterreur(reference)"</formula>
    </cfRule>
  </conditionalFormatting>
  <conditionalFormatting sqref="H164">
    <cfRule type="expression" dxfId="0" priority="20" stopIfTrue="1">
      <formula>"esterreur(reference)"</formula>
    </cfRule>
  </conditionalFormatting>
  <conditionalFormatting sqref="H166">
    <cfRule type="expression" dxfId="0" priority="21" stopIfTrue="1">
      <formula>"esterreur(reference)"</formula>
    </cfRule>
  </conditionalFormatting>
  <conditionalFormatting sqref="H183:H227">
    <cfRule type="expression" dxfId="0" priority="22" stopIfTrue="1">
      <formula>"esterreur(reference)"</formula>
    </cfRule>
  </conditionalFormatting>
  <conditionalFormatting sqref="H229:H231">
    <cfRule type="expression" dxfId="0" priority="23" stopIfTrue="1">
      <formula>"esterreur(reference)"</formula>
    </cfRule>
  </conditionalFormatting>
  <conditionalFormatting sqref="H237">
    <cfRule type="expression" dxfId="0" priority="24" stopIfTrue="1">
      <formula>"esterreur(reference)"</formula>
    </cfRule>
  </conditionalFormatting>
  <conditionalFormatting sqref="H239">
    <cfRule type="expression" dxfId="0" priority="25" stopIfTrue="1">
      <formula>"esterreur(reference)"</formula>
    </cfRule>
  </conditionalFormatting>
  <conditionalFormatting sqref="H269">
    <cfRule type="expression" dxfId="0" priority="26" stopIfTrue="1">
      <formula>"esterreur(reference)"</formula>
    </cfRule>
  </conditionalFormatting>
  <conditionalFormatting sqref="H272:H303">
    <cfRule type="expression" dxfId="0" priority="27" stopIfTrue="1">
      <formula>"esterreur(reference)"</formula>
    </cfRule>
  </conditionalFormatting>
  <conditionalFormatting sqref="H305">
    <cfRule type="expression" dxfId="0" priority="28" stopIfTrue="1">
      <formula>"esterreur(reference)"</formula>
    </cfRule>
  </conditionalFormatting>
  <conditionalFormatting sqref="H307">
    <cfRule type="expression" dxfId="0" priority="29" stopIfTrue="1">
      <formula>"esterreur(reference)"</formula>
    </cfRule>
  </conditionalFormatting>
  <conditionalFormatting sqref="H327">
    <cfRule type="expression" dxfId="0" priority="30" stopIfTrue="1">
      <formula>"esterreur(reference)"</formula>
    </cfRule>
  </conditionalFormatting>
  <conditionalFormatting sqref="H330:H361">
    <cfRule type="expression" dxfId="0" priority="31" stopIfTrue="1">
      <formula>"esterreur(reference)"</formula>
    </cfRule>
  </conditionalFormatting>
  <conditionalFormatting sqref="H363">
    <cfRule type="expression" dxfId="0" priority="32" stopIfTrue="1">
      <formula>"esterreur(reference)"</formula>
    </cfRule>
  </conditionalFormatting>
  <conditionalFormatting sqref="H365">
    <cfRule type="expression" dxfId="0" priority="33" stopIfTrue="1">
      <formula>"esterreur(reference)"</formula>
    </cfRule>
  </conditionalFormatting>
  <conditionalFormatting sqref="H391">
    <cfRule type="expression" dxfId="0" priority="34" stopIfTrue="1">
      <formula>"esterreur(reference)"</formula>
    </cfRule>
  </conditionalFormatting>
  <conditionalFormatting sqref="H394:H425">
    <cfRule type="expression" dxfId="0" priority="35" stopIfTrue="1">
      <formula>"esterreur(reference)"</formula>
    </cfRule>
  </conditionalFormatting>
  <conditionalFormatting sqref="H427">
    <cfRule type="expression" dxfId="0" priority="36" stopIfTrue="1">
      <formula>"esterreur(reference)"</formula>
    </cfRule>
  </conditionalFormatting>
  <conditionalFormatting sqref="H429:H431">
    <cfRule type="expression" dxfId="0" priority="37" stopIfTrue="1">
      <formula>"esterreur(reference)"</formula>
    </cfRule>
  </conditionalFormatting>
  <conditionalFormatting sqref="H449">
    <cfRule type="expression" dxfId="0" priority="38" stopIfTrue="1">
      <formula>"esterreur(reference)"</formula>
    </cfRule>
  </conditionalFormatting>
  <conditionalFormatting sqref="H452:H482">
    <cfRule type="expression" dxfId="0" priority="39" stopIfTrue="1">
      <formula>"esterreur(reference)"</formula>
    </cfRule>
  </conditionalFormatting>
  <conditionalFormatting sqref="H484">
    <cfRule type="expression" dxfId="0" priority="40" stopIfTrue="1">
      <formula>"esterreur(reference)"</formula>
    </cfRule>
  </conditionalFormatting>
  <conditionalFormatting sqref="H486:H487">
    <cfRule type="expression" dxfId="0" priority="41" stopIfTrue="1">
      <formula>"esterreur(reference)"</formula>
    </cfRule>
  </conditionalFormatting>
  <conditionalFormatting sqref="H433:I433 J433:J434 K433:L433">
    <cfRule type="expression" dxfId="0" priority="42" stopIfTrue="1">
      <formula>"esterreur(reference)"</formula>
    </cfRule>
  </conditionalFormatting>
  <conditionalFormatting sqref="H317:J317">
    <cfRule type="expression" dxfId="0" priority="43" stopIfTrue="1">
      <formula>"esterreur(reference)"</formula>
    </cfRule>
  </conditionalFormatting>
  <conditionalFormatting sqref="H439:J439">
    <cfRule type="expression" dxfId="0" priority="44" stopIfTrue="1">
      <formula>"esterreur(reference)"</formula>
    </cfRule>
  </conditionalFormatting>
  <conditionalFormatting sqref="H435:L436">
    <cfRule type="expression" dxfId="0" priority="45" stopIfTrue="1">
      <formula>"esterreur(reference)"</formula>
    </cfRule>
  </conditionalFormatting>
  <conditionalFormatting sqref="H447:L447 H450:L451">
    <cfRule type="expression" dxfId="0" priority="46" stopIfTrue="1">
      <formula>"esterreur(reference)"</formula>
    </cfRule>
  </conditionalFormatting>
  <conditionalFormatting sqref="H483:L483 H485:L485">
    <cfRule type="expression" dxfId="0" priority="47" stopIfTrue="1">
      <formula>"esterreur(reference)"</formula>
    </cfRule>
  </conditionalFormatting>
  <conditionalFormatting sqref="I16:I18 I20 I24:I30">
    <cfRule type="expression" dxfId="0" priority="48" stopIfTrue="1">
      <formula>"esterreur(reference)"</formula>
    </cfRule>
  </conditionalFormatting>
  <conditionalFormatting sqref="I109:I110">
    <cfRule type="expression" dxfId="0" priority="49" stopIfTrue="1">
      <formula>"esterreur(reference)"</formula>
    </cfRule>
  </conditionalFormatting>
  <conditionalFormatting sqref="I182:I183">
    <cfRule type="expression" dxfId="0" priority="50" stopIfTrue="1">
      <formula>"esterreur(reference)"</formula>
    </cfRule>
  </conditionalFormatting>
  <conditionalFormatting sqref="I268:I269">
    <cfRule type="expression" dxfId="0" priority="51" stopIfTrue="1">
      <formula>"esterreur(reference)"</formula>
    </cfRule>
  </conditionalFormatting>
  <conditionalFormatting sqref="I326:I327">
    <cfRule type="expression" dxfId="0" priority="52" stopIfTrue="1">
      <formula>"esterreur(reference)"</formula>
    </cfRule>
  </conditionalFormatting>
  <conditionalFormatting sqref="I390:I391">
    <cfRule type="expression" dxfId="0" priority="53" stopIfTrue="1">
      <formula>"esterreur(reference)"</formula>
    </cfRule>
  </conditionalFormatting>
  <conditionalFormatting sqref="I448:I449">
    <cfRule type="expression" dxfId="0" priority="54" stopIfTrue="1">
      <formula>"esterreur(reference)"</formula>
    </cfRule>
  </conditionalFormatting>
  <conditionalFormatting sqref="H84:L84 H86:L88 H90:I90 H97:I97 H98:L98 H102:H105 H107:H108 H165:L165 H167:K168 H170:I170 H238:L238 H240:K240 H241:L241 H243:I243 H245:I245 H247:I247 H250:J250 H253:L253 H256:I257 H259:I261 H263:J264 H266:J267 H270:L271 H306:L306 H308:L309 H311:I311 H313:I314 H328:L329 H364:L364 H366:L366 H368:I368 H370:I370 H380:I382 H385:I387 H389:I389 H392:L393 H428:L428 I13:J14 I102:L102 I106:L108 I111:L112 I248 I251:J251 I254:J254 J3 J18:J24 J25:L26 J27 J28:L30 J31:K36 J37 J38:K52 J83:K83 J90:J91 J103:L105 J109 J110:L110 J113:L122 J123:K133 J134:L135 J136:K136 J137:L153 J154:K154 J170:J171 J186:L195 J196:K206 J207:L208 J209:K209 J210:L226 J227:K227 J243:J245 J247:J248 J256:J261 J268 J269:K269 J272:K274 J275 J276:K303 J311:J314 J330:K361 J368:J369 J391:L391 J394:L405 J406:K425 J452:L463 K90:L90 K93:L95 K99:L101 K170:L170 K173:L179 K243:L243 K245:L247 K249:L250 K252:L252 K255:L256 K258 K259:L267 K311:L311 K313:L315 K317:L318 K368:L368 K370:L370 K371:K379 K380:L382 K383:K384 K385:L387 K388:M388 K389:L389 L96 L248 L251 L254 L257 L343:L360 O98:Q98 O102:Q108 O134:Q135 O137:Q153 O165:Q165 O207:Q208 O210:Q226 O238:Q238 P93:Q95 P99:Q101 P173:Q179 Q96">
    <cfRule type="expression" dxfId="0" priority="55" stopIfTrue="1">
      <formula>"esterreur(reference)"</formula>
    </cfRule>
  </conditionalFormatting>
  <conditionalFormatting sqref="J16 L16:L24">
    <cfRule type="expression" dxfId="0" priority="56" stopIfTrue="1">
      <formula>"esterreur(reference)"</formula>
    </cfRule>
  </conditionalFormatting>
  <conditionalFormatting sqref="J182 J183:L183">
    <cfRule type="expression" dxfId="0" priority="57" stopIfTrue="1">
      <formula>"esterreur(reference)"</formula>
    </cfRule>
  </conditionalFormatting>
  <conditionalFormatting sqref="J326 J327:K327">
    <cfRule type="expression" dxfId="0" priority="58" stopIfTrue="1">
      <formula>"esterreur(reference)"</formula>
    </cfRule>
  </conditionalFormatting>
  <conditionalFormatting sqref="J371:J390">
    <cfRule type="expression" dxfId="0" priority="59" stopIfTrue="1">
      <formula>"esterreur(reference)"</formula>
    </cfRule>
  </conditionalFormatting>
  <conditionalFormatting sqref="J448 J449:K449">
    <cfRule type="expression" dxfId="0" priority="60" stopIfTrue="1">
      <formula>"esterreur(reference)"</formula>
    </cfRule>
  </conditionalFormatting>
  <conditionalFormatting sqref="J54:K54">
    <cfRule type="expression" dxfId="0" priority="61" stopIfTrue="1">
      <formula>"esterreur(reference)"</formula>
    </cfRule>
  </conditionalFormatting>
  <conditionalFormatting sqref="J72:K72">
    <cfRule type="expression" dxfId="0" priority="62" stopIfTrue="1">
      <formula>"esterreur(reference)"</formula>
    </cfRule>
  </conditionalFormatting>
  <conditionalFormatting sqref="J74:K74">
    <cfRule type="expression" dxfId="0" priority="63" stopIfTrue="1">
      <formula>"esterreur(reference)"</formula>
    </cfRule>
  </conditionalFormatting>
  <conditionalFormatting sqref="J85:K85">
    <cfRule type="expression" dxfId="0" priority="64" stopIfTrue="1">
      <formula>"esterreur(reference)"</formula>
    </cfRule>
  </conditionalFormatting>
  <conditionalFormatting sqref="J156:K158">
    <cfRule type="expression" dxfId="0" priority="65" stopIfTrue="1">
      <formula>"esterreur(reference)"</formula>
    </cfRule>
  </conditionalFormatting>
  <conditionalFormatting sqref="J164:K164">
    <cfRule type="expression" dxfId="0" priority="66" stopIfTrue="1">
      <formula>"esterreur(reference)"</formula>
    </cfRule>
  </conditionalFormatting>
  <conditionalFormatting sqref="J166:K166">
    <cfRule type="expression" dxfId="0" priority="67" stopIfTrue="1">
      <formula>"esterreur(reference)"</formula>
    </cfRule>
  </conditionalFormatting>
  <conditionalFormatting sqref="J229:K231">
    <cfRule type="expression" dxfId="0" priority="68" stopIfTrue="1">
      <formula>"esterreur(reference)"</formula>
    </cfRule>
  </conditionalFormatting>
  <conditionalFormatting sqref="J237:K237">
    <cfRule type="expression" dxfId="0" priority="69" stopIfTrue="1">
      <formula>"esterreur(reference)"</formula>
    </cfRule>
  </conditionalFormatting>
  <conditionalFormatting sqref="J239:K239">
    <cfRule type="expression" dxfId="0" priority="70" stopIfTrue="1">
      <formula>"esterreur(reference)"</formula>
    </cfRule>
  </conditionalFormatting>
  <conditionalFormatting sqref="J305:K305">
    <cfRule type="expression" dxfId="0" priority="71" stopIfTrue="1">
      <formula>"esterreur(reference)"</formula>
    </cfRule>
  </conditionalFormatting>
  <conditionalFormatting sqref="J307:K307">
    <cfRule type="expression" dxfId="0" priority="72" stopIfTrue="1">
      <formula>"esterreur(reference)"</formula>
    </cfRule>
  </conditionalFormatting>
  <conditionalFormatting sqref="J363:K363">
    <cfRule type="expression" dxfId="0" priority="73" stopIfTrue="1">
      <formula>"esterreur(reference)"</formula>
    </cfRule>
  </conditionalFormatting>
  <conditionalFormatting sqref="J365:K365">
    <cfRule type="expression" dxfId="0" priority="74" stopIfTrue="1">
      <formula>"esterreur(reference)"</formula>
    </cfRule>
  </conditionalFormatting>
  <conditionalFormatting sqref="J427:K427">
    <cfRule type="expression" dxfId="0" priority="75" stopIfTrue="1">
      <formula>"esterreur(reference)"</formula>
    </cfRule>
  </conditionalFormatting>
  <conditionalFormatting sqref="J429:K431">
    <cfRule type="expression" dxfId="0" priority="76" stopIfTrue="1">
      <formula>"esterreur(reference)"</formula>
    </cfRule>
  </conditionalFormatting>
  <conditionalFormatting sqref="J464:K464">
    <cfRule type="expression" dxfId="0" priority="77" stopIfTrue="1">
      <formula>"esterreur(reference)"</formula>
    </cfRule>
  </conditionalFormatting>
  <conditionalFormatting sqref="J482:K482">
    <cfRule type="expression" dxfId="0" priority="78" stopIfTrue="1">
      <formula>"esterreur(reference)"</formula>
    </cfRule>
  </conditionalFormatting>
  <conditionalFormatting sqref="J484:K484">
    <cfRule type="expression" dxfId="0" priority="79" stopIfTrue="1">
      <formula>"esterreur(reference)"</formula>
    </cfRule>
  </conditionalFormatting>
  <conditionalFormatting sqref="J486:K487">
    <cfRule type="expression" dxfId="0" priority="80" stopIfTrue="1">
      <formula>"esterreur(reference)"</formula>
    </cfRule>
  </conditionalFormatting>
  <conditionalFormatting sqref="J53:L53 J55:L71">
    <cfRule type="expression" dxfId="0" priority="81" stopIfTrue="1">
      <formula>"esterreur(reference)"</formula>
    </cfRule>
  </conditionalFormatting>
  <conditionalFormatting sqref="J465:L481">
    <cfRule type="expression" dxfId="0" priority="82" stopIfTrue="1">
      <formula>"esterreur(reference)"</formula>
    </cfRule>
  </conditionalFormatting>
  <conditionalFormatting sqref="K5">
    <cfRule type="expression" dxfId="0" priority="83" stopIfTrue="1">
      <formula>"esterreur(reference)"</formula>
    </cfRule>
  </conditionalFormatting>
  <conditionalFormatting sqref="K321:L321">
    <cfRule type="expression" dxfId="0" priority="84" stopIfTrue="1">
      <formula>"esterreur(reference)"</formula>
    </cfRule>
  </conditionalFormatting>
  <conditionalFormatting sqref="K437:L437 K440:L440 L439">
    <cfRule type="expression" dxfId="0" priority="85" stopIfTrue="1">
      <formula>"esterreur(reference)"</formula>
    </cfRule>
  </conditionalFormatting>
  <conditionalFormatting sqref="K443:L443">
    <cfRule type="expression" dxfId="0" priority="86" stopIfTrue="1">
      <formula>"esterreur(reference)"</formula>
    </cfRule>
  </conditionalFormatting>
  <conditionalFormatting sqref="L5:L14">
    <cfRule type="expression" dxfId="0" priority="87" stopIfTrue="1">
      <formula>"esterreur(reference)"</formula>
    </cfRule>
  </conditionalFormatting>
  <conditionalFormatting sqref="L75:L82">
    <cfRule type="expression" dxfId="0" priority="88" stopIfTrue="1">
      <formula>"esterreur(reference)"</formula>
    </cfRule>
  </conditionalFormatting>
  <conditionalFormatting sqref="L157:L163">
    <cfRule type="expression" dxfId="0" priority="89" stopIfTrue="1">
      <formula>"esterreur(reference)"</formula>
    </cfRule>
  </conditionalFormatting>
  <conditionalFormatting sqref="L230:L236">
    <cfRule type="expression" dxfId="0" priority="90" stopIfTrue="1">
      <formula>"esterreur(reference)"</formula>
    </cfRule>
  </conditionalFormatting>
  <conditionalFormatting sqref="L272:L283">
    <cfRule type="expression" dxfId="0" priority="91" stopIfTrue="1">
      <formula>"esterreur(reference)"</formula>
    </cfRule>
  </conditionalFormatting>
  <conditionalFormatting sqref="L285:L302">
    <cfRule type="expression" dxfId="0" priority="92" stopIfTrue="1">
      <formula>"esterreur(reference)"</formula>
    </cfRule>
  </conditionalFormatting>
  <conditionalFormatting sqref="L324">
    <cfRule type="expression" dxfId="0" priority="93" stopIfTrue="1">
      <formula>"esterreur(reference)"</formula>
    </cfRule>
  </conditionalFormatting>
  <conditionalFormatting sqref="L330:L341">
    <cfRule type="expression" dxfId="0" priority="94" stopIfTrue="1">
      <formula>"esterreur(reference)"</formula>
    </cfRule>
  </conditionalFormatting>
  <conditionalFormatting sqref="L422:L424">
    <cfRule type="expression" dxfId="0" priority="95" stopIfTrue="1">
      <formula>"esterreur(reference)"</formula>
    </cfRule>
  </conditionalFormatting>
  <conditionalFormatting sqref="L446">
    <cfRule type="expression" dxfId="0" priority="96" stopIfTrue="1">
      <formula>"esterreur(reference)"</formula>
    </cfRule>
  </conditionalFormatting>
  <conditionalFormatting sqref="M95:M97">
    <cfRule type="expression" dxfId="0" priority="97" stopIfTrue="1">
      <formula>"esterreur(reference)"</formula>
    </cfRule>
  </conditionalFormatting>
  <conditionalFormatting sqref="M177:M179">
    <cfRule type="expression" dxfId="0" priority="98" stopIfTrue="1">
      <formula>"esterreur(reference)"</formula>
    </cfRule>
  </conditionalFormatting>
  <conditionalFormatting sqref="N283">
    <cfRule type="expression" dxfId="0" priority="99" stopIfTrue="1">
      <formula>"esterreur(reference)"</formula>
    </cfRule>
  </conditionalFormatting>
  <conditionalFormatting sqref="N394:N404">
    <cfRule type="expression" dxfId="0" priority="100" stopIfTrue="1">
      <formula>"esterreur(reference)"</formula>
    </cfRule>
  </conditionalFormatting>
  <conditionalFormatting sqref="N271:Q271">
    <cfRule type="expression" dxfId="0" priority="101" stopIfTrue="1">
      <formula>"esterreur(reference)"</formula>
    </cfRule>
  </conditionalFormatting>
  <conditionalFormatting sqref="O16 Q16:Q24">
    <cfRule type="expression" dxfId="0" priority="102" stopIfTrue="1">
      <formula>"esterreur(reference)"</formula>
    </cfRule>
  </conditionalFormatting>
  <conditionalFormatting sqref="O109 O110:Q122">
    <cfRule type="expression" dxfId="0" priority="103" stopIfTrue="1">
      <formula>"esterreur(reference)"</formula>
    </cfRule>
  </conditionalFormatting>
  <conditionalFormatting sqref="O182 O183:Q195">
    <cfRule type="expression" dxfId="0" priority="104" stopIfTrue="1">
      <formula>"esterreur(reference)"</formula>
    </cfRule>
  </conditionalFormatting>
  <conditionalFormatting sqref="O245 O247:O248 O250:O251 O253:Q253 O254 O256:O261 O263:O264 O270:Q270 O272:P274 O275 O306:Q306 P245:Q247 P249:Q250 P252:Q252 P255:Q256 P258:P259 P260:Q267 Q248 Q251 Q254 Q257">
    <cfRule type="expression" dxfId="0" priority="105" stopIfTrue="1">
      <formula>"esterreur(reference)"</formula>
    </cfRule>
  </conditionalFormatting>
  <conditionalFormatting sqref="O266:O268 O269:P269">
    <cfRule type="expression" dxfId="0" priority="106" stopIfTrue="1">
      <formula>"esterreur(reference)"</formula>
    </cfRule>
  </conditionalFormatting>
  <conditionalFormatting sqref="O317">
    <cfRule type="expression" dxfId="0" priority="107" stopIfTrue="1">
      <formula>"esterreur(reference)"</formula>
    </cfRule>
  </conditionalFormatting>
  <conditionalFormatting sqref="O326 O327:P327">
    <cfRule type="expression" dxfId="0" priority="108" stopIfTrue="1">
      <formula>"esterreur(reference)"</formula>
    </cfRule>
  </conditionalFormatting>
  <conditionalFormatting sqref="O390 O391:P391">
    <cfRule type="expression" dxfId="0" priority="109" stopIfTrue="1">
      <formula>"esterreur(reference)"</formula>
    </cfRule>
  </conditionalFormatting>
  <conditionalFormatting sqref="O439">
    <cfRule type="expression" dxfId="0" priority="110" stopIfTrue="1">
      <formula>"esterreur(reference)"</formula>
    </cfRule>
  </conditionalFormatting>
  <conditionalFormatting sqref="O448 O449:P449">
    <cfRule type="expression" dxfId="0" priority="111" stopIfTrue="1">
      <formula>"esterreur(reference)"</formula>
    </cfRule>
  </conditionalFormatting>
  <conditionalFormatting sqref="O54:P54">
    <cfRule type="expression" dxfId="0" priority="112" stopIfTrue="1">
      <formula>"esterreur(reference)"</formula>
    </cfRule>
  </conditionalFormatting>
  <conditionalFormatting sqref="O72:P72">
    <cfRule type="expression" dxfId="0" priority="113" stopIfTrue="1">
      <formula>"esterreur(reference)"</formula>
    </cfRule>
  </conditionalFormatting>
  <conditionalFormatting sqref="O74:P74">
    <cfRule type="expression" dxfId="0" priority="114" stopIfTrue="1">
      <formula>"esterreur(reference)"</formula>
    </cfRule>
  </conditionalFormatting>
  <conditionalFormatting sqref="O85:P85">
    <cfRule type="expression" dxfId="0" priority="115" stopIfTrue="1">
      <formula>"esterreur(reference)"</formula>
    </cfRule>
  </conditionalFormatting>
  <conditionalFormatting sqref="O123:P133">
    <cfRule type="expression" dxfId="0" priority="116" stopIfTrue="1">
      <formula>"esterreur(reference)"</formula>
    </cfRule>
  </conditionalFormatting>
  <conditionalFormatting sqref="O136:P136">
    <cfRule type="expression" dxfId="0" priority="117" stopIfTrue="1">
      <formula>"esterreur(reference)"</formula>
    </cfRule>
  </conditionalFormatting>
  <conditionalFormatting sqref="O154:P154">
    <cfRule type="expression" dxfId="0" priority="118" stopIfTrue="1">
      <formula>"esterreur(reference)"</formula>
    </cfRule>
  </conditionalFormatting>
  <conditionalFormatting sqref="O156:P158">
    <cfRule type="expression" dxfId="0" priority="119" stopIfTrue="1">
      <formula>"esterreur(reference)"</formula>
    </cfRule>
  </conditionalFormatting>
  <conditionalFormatting sqref="O164:P164">
    <cfRule type="expression" dxfId="0" priority="120" stopIfTrue="1">
      <formula>"esterreur(reference)"</formula>
    </cfRule>
  </conditionalFormatting>
  <conditionalFormatting sqref="O166:P166">
    <cfRule type="expression" dxfId="0" priority="121" stopIfTrue="1">
      <formula>"esterreur(reference)"</formula>
    </cfRule>
  </conditionalFormatting>
  <conditionalFormatting sqref="O196:P206">
    <cfRule type="expression" dxfId="0" priority="122" stopIfTrue="1">
      <formula>"esterreur(reference)"</formula>
    </cfRule>
  </conditionalFormatting>
  <conditionalFormatting sqref="O209:P209">
    <cfRule type="expression" dxfId="0" priority="123" stopIfTrue="1">
      <formula>"esterreur(reference)"</formula>
    </cfRule>
  </conditionalFormatting>
  <conditionalFormatting sqref="O227:P227">
    <cfRule type="expression" dxfId="0" priority="124" stopIfTrue="1">
      <formula>"esterreur(reference)"</formula>
    </cfRule>
  </conditionalFormatting>
  <conditionalFormatting sqref="O229:P231">
    <cfRule type="expression" dxfId="0" priority="125" stopIfTrue="1">
      <formula>"esterreur(reference)"</formula>
    </cfRule>
  </conditionalFormatting>
  <conditionalFormatting sqref="O237:P237">
    <cfRule type="expression" dxfId="0" priority="126" stopIfTrue="1">
      <formula>"esterreur(reference)"</formula>
    </cfRule>
  </conditionalFormatting>
  <conditionalFormatting sqref="O239:P239">
    <cfRule type="expression" dxfId="0" priority="127" stopIfTrue="1">
      <formula>"esterreur(reference)"</formula>
    </cfRule>
  </conditionalFormatting>
  <conditionalFormatting sqref="O276:P303">
    <cfRule type="expression" dxfId="0" priority="128" stopIfTrue="1">
      <formula>"esterreur(reference)"</formula>
    </cfRule>
  </conditionalFormatting>
  <conditionalFormatting sqref="O305:P305">
    <cfRule type="expression" dxfId="0" priority="129" stopIfTrue="1">
      <formula>"esterreur(reference)"</formula>
    </cfRule>
  </conditionalFormatting>
  <conditionalFormatting sqref="O307:P307">
    <cfRule type="expression" dxfId="0" priority="130" stopIfTrue="1">
      <formula>"esterreur(reference)"</formula>
    </cfRule>
  </conditionalFormatting>
  <conditionalFormatting sqref="O330:P342">
    <cfRule type="expression" dxfId="0" priority="131" stopIfTrue="1">
      <formula>"esterreur(reference)"</formula>
    </cfRule>
  </conditionalFormatting>
  <conditionalFormatting sqref="O361:P361">
    <cfRule type="expression" dxfId="0" priority="132" stopIfTrue="1">
      <formula>"esterreur(reference)"</formula>
    </cfRule>
  </conditionalFormatting>
  <conditionalFormatting sqref="O363:P363">
    <cfRule type="expression" dxfId="0" priority="133" stopIfTrue="1">
      <formula>"esterreur(reference)"</formula>
    </cfRule>
  </conditionalFormatting>
  <conditionalFormatting sqref="O365:P365">
    <cfRule type="expression" dxfId="0" priority="134" stopIfTrue="1">
      <formula>"esterreur(reference)"</formula>
    </cfRule>
  </conditionalFormatting>
  <conditionalFormatting sqref="O371:P379 O380:Q382 O383:P384 O385:Q389 O392:Q405 O428:Q428">
    <cfRule type="expression" dxfId="0" priority="135" stopIfTrue="1">
      <formula>"esterreur(reference)"</formula>
    </cfRule>
  </conditionalFormatting>
  <conditionalFormatting sqref="O406:P425">
    <cfRule type="expression" dxfId="0" priority="136" stopIfTrue="1">
      <formula>"esterreur(reference)"</formula>
    </cfRule>
  </conditionalFormatting>
  <conditionalFormatting sqref="O427:P427">
    <cfRule type="expression" dxfId="0" priority="137" stopIfTrue="1">
      <formula>"esterreur(reference)"</formula>
    </cfRule>
  </conditionalFormatting>
  <conditionalFormatting sqref="O429:P429">
    <cfRule type="expression" dxfId="0" priority="138" stopIfTrue="1">
      <formula>"esterreur(reference)"</formula>
    </cfRule>
  </conditionalFormatting>
  <conditionalFormatting sqref="O464:P464">
    <cfRule type="expression" dxfId="0" priority="139" stopIfTrue="1">
      <formula>"esterreur(reference)"</formula>
    </cfRule>
  </conditionalFormatting>
  <conditionalFormatting sqref="O482:P482">
    <cfRule type="expression" dxfId="0" priority="140" stopIfTrue="1">
      <formula>"esterreur(reference)"</formula>
    </cfRule>
  </conditionalFormatting>
  <conditionalFormatting sqref="O484:P484">
    <cfRule type="expression" dxfId="0" priority="141" stopIfTrue="1">
      <formula>"esterreur(reference)"</formula>
    </cfRule>
  </conditionalFormatting>
  <conditionalFormatting sqref="O486:P486">
    <cfRule type="expression" dxfId="0" priority="142" stopIfTrue="1">
      <formula>"esterreur(reference)"</formula>
    </cfRule>
  </conditionalFormatting>
  <conditionalFormatting sqref="O53:Q53 O55:Q71">
    <cfRule type="expression" dxfId="0" priority="143" stopIfTrue="1">
      <formula>"esterreur(reference)"</formula>
    </cfRule>
  </conditionalFormatting>
  <conditionalFormatting sqref="O180:Q181">
    <cfRule type="expression" dxfId="0" priority="144" stopIfTrue="1">
      <formula>"esterreur(reference)"</formula>
    </cfRule>
  </conditionalFormatting>
  <conditionalFormatting sqref="O436:Q436">
    <cfRule type="expression" dxfId="0" priority="145" stopIfTrue="1">
      <formula>"esterreur(reference)"</formula>
    </cfRule>
  </conditionalFormatting>
  <conditionalFormatting sqref="O447:Q447 O450:Q463 O465:Q481">
    <cfRule type="expression" dxfId="0" priority="146" stopIfTrue="1">
      <formula>"esterreur(reference)"</formula>
    </cfRule>
  </conditionalFormatting>
  <conditionalFormatting sqref="O483:Q483 O485:Q485">
    <cfRule type="expression" dxfId="0" priority="147" stopIfTrue="1">
      <formula>"esterreur(reference)"</formula>
    </cfRule>
  </conditionalFormatting>
  <conditionalFormatting sqref="P5:Q5">
    <cfRule type="expression" dxfId="0" priority="148" stopIfTrue="1">
      <formula>"esterreur(reference)"</formula>
    </cfRule>
  </conditionalFormatting>
  <conditionalFormatting sqref="O328:Q329 O343:Q360 O364:Q364 P315:Q315 P317:Q318">
    <cfRule type="expression" dxfId="0" priority="149" stopIfTrue="1">
      <formula>"esterreur(reference)"</formula>
    </cfRule>
  </conditionalFormatting>
  <conditionalFormatting sqref="P321:Q321">
    <cfRule type="expression" dxfId="0" priority="150" stopIfTrue="1">
      <formula>"esterreur(reference)"</formula>
    </cfRule>
  </conditionalFormatting>
  <conditionalFormatting sqref="P437:Q437 P440:Q440 Q439">
    <cfRule type="expression" dxfId="0" priority="151" stopIfTrue="1">
      <formula>"esterreur(reference)"</formula>
    </cfRule>
  </conditionalFormatting>
  <conditionalFormatting sqref="P443:Q443">
    <cfRule type="expression" dxfId="0" priority="152" stopIfTrue="1">
      <formula>"esterreur(reference)"</formula>
    </cfRule>
  </conditionalFormatting>
  <conditionalFormatting sqref="O13:O14 O18:O24 O25:Q26 O27 O28:Q30 O31:P36 O37 O38:P52 O83:P83 O84:Q84 Q6:Q14">
    <cfRule type="expression" dxfId="0" priority="153" stopIfTrue="1">
      <formula>"esterreur(reference)"</formula>
    </cfRule>
  </conditionalFormatting>
  <conditionalFormatting sqref="Q75:Q82">
    <cfRule type="expression" dxfId="0" priority="154" stopIfTrue="1">
      <formula>"esterreur(reference)"</formula>
    </cfRule>
  </conditionalFormatting>
  <conditionalFormatting sqref="Q157:Q163">
    <cfRule type="expression" dxfId="0" priority="155" stopIfTrue="1">
      <formula>"esterreur(reference)"</formula>
    </cfRule>
  </conditionalFormatting>
  <conditionalFormatting sqref="Q230:Q236">
    <cfRule type="expression" dxfId="0" priority="156" stopIfTrue="1">
      <formula>"esterreur(reference)"</formula>
    </cfRule>
  </conditionalFormatting>
  <conditionalFormatting sqref="Q259">
    <cfRule type="expression" dxfId="0" priority="157" stopIfTrue="1">
      <formula>"esterreur(reference)"</formula>
    </cfRule>
  </conditionalFormatting>
  <conditionalFormatting sqref="Q272:Q283">
    <cfRule type="expression" dxfId="0" priority="158" stopIfTrue="1">
      <formula>"esterreur(reference)"</formula>
    </cfRule>
  </conditionalFormatting>
  <conditionalFormatting sqref="Q285:Q302">
    <cfRule type="expression" dxfId="0" priority="159" stopIfTrue="1">
      <formula>"esterreur(reference)"</formula>
    </cfRule>
  </conditionalFormatting>
  <conditionalFormatting sqref="Q324">
    <cfRule type="expression" dxfId="0" priority="160" stopIfTrue="1">
      <formula>"esterreur(reference)"</formula>
    </cfRule>
  </conditionalFormatting>
  <conditionalFormatting sqref="Q330:Q341">
    <cfRule type="expression" dxfId="0" priority="161" stopIfTrue="1">
      <formula>"esterreur(reference)"</formula>
    </cfRule>
  </conditionalFormatting>
  <conditionalFormatting sqref="Q422:Q424">
    <cfRule type="expression" dxfId="0" priority="162" stopIfTrue="1">
      <formula>"esterreur(reference)"</formula>
    </cfRule>
  </conditionalFormatting>
  <conditionalFormatting sqref="Q446">
    <cfRule type="expression" dxfId="0" priority="163" stopIfTrue="1">
      <formula>"esterreur(reference)"</formula>
    </cfRule>
  </conditionalFormatting>
  <conditionalFormatting sqref="R388">
    <cfRule type="expression" dxfId="0" priority="164" stopIfTrue="1">
      <formula>"esterreur(reference)"</formula>
    </cfRule>
  </conditionalFormatting>
  <conditionalFormatting sqref="S260">
    <cfRule type="expression" dxfId="0" priority="165" stopIfTrue="1">
      <formula>"esterreur(reference)"</formula>
    </cfRule>
  </conditionalFormatting>
  <conditionalFormatting sqref="AG496:AI505 AH507:AI519 AH521:AI538 AH540:AI547 AH548:AH549 AH550:AI552 AH554:AI554 AH578:AI584">
    <cfRule type="cellIs" dxfId="1" priority="166" operator="greaterThan">
      <formula>0</formula>
    </cfRule>
  </conditionalFormatting>
  <conditionalFormatting sqref="AH556:AI563 AH567:AI567">
    <cfRule type="cellIs" dxfId="1" priority="167" operator="lessThan">
      <formula>0</formula>
    </cfRule>
  </conditionalFormatting>
  <conditionalFormatting sqref="AH564:AI566">
    <cfRule type="cellIs" dxfId="1" priority="168" operator="greaterThan">
      <formula>0</formula>
    </cfRule>
  </conditionalFormatting>
  <conditionalFormatting sqref="AO496:AO505">
    <cfRule type="cellIs" dxfId="1" priority="169" operator="greaterThan">
      <formula>0</formula>
    </cfRule>
  </conditionalFormatting>
  <printOptions horizontalCentered="1"/>
  <pageMargins bottom="0.75" footer="0.0" header="0.0" left="0.25" right="0.25" top="0.75"/>
  <pageSetup orientation="landscape"/>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sheetViews>
  <sheetFormatPr customHeight="1" defaultColWidth="12.63" defaultRowHeight="15.0"/>
  <cols>
    <col customWidth="1" min="1" max="1" width="5.38"/>
    <col customWidth="1" min="2" max="2" width="22.63"/>
    <col customWidth="1" min="3" max="3" width="39.38"/>
    <col customWidth="1" hidden="1" min="4" max="5" width="11.63"/>
    <col customWidth="1" hidden="1" min="6" max="6" width="13.88"/>
    <col customWidth="1" hidden="1" min="7" max="9" width="11.63"/>
    <col customWidth="1" min="10" max="12" width="17.25"/>
    <col customWidth="1" hidden="1" min="13" max="13" width="18.25"/>
    <col customWidth="1" hidden="1" min="14" max="14" width="13.38"/>
    <col customWidth="1" min="15" max="19" width="17.25"/>
    <col customWidth="1" min="20" max="20" width="11.63"/>
    <col customWidth="1" min="21" max="21" width="12.63"/>
    <col customWidth="1" min="22" max="22" width="42.38"/>
    <col customWidth="1" hidden="1" min="23" max="29" width="11.63"/>
    <col customWidth="1" min="30" max="30" width="14.5"/>
    <col customWidth="1" min="31" max="31" width="14.88"/>
    <col customWidth="1" min="32" max="32" width="15.0"/>
    <col customWidth="1" hidden="1" min="33" max="35" width="11.63"/>
    <col customWidth="1" min="36" max="36" width="13.5"/>
    <col customWidth="1" min="37" max="37" width="13.38"/>
    <col customWidth="1" min="38" max="38" width="15.38"/>
    <col customWidth="1" min="39" max="39" width="13.5"/>
    <col customWidth="1" min="40" max="40" width="13.88"/>
    <col customWidth="1" min="41" max="41" width="14.13"/>
    <col customWidth="1" min="42" max="61" width="11.63"/>
  </cols>
  <sheetData>
    <row r="1">
      <c r="B1" s="38"/>
      <c r="C1" s="450" t="str">
        <f>Parametres!B1</f>
        <v>Ste-Marie Auto</v>
      </c>
      <c r="D1" s="451"/>
      <c r="E1" s="452"/>
      <c r="F1" s="451"/>
      <c r="G1" s="451"/>
      <c r="H1" s="450"/>
      <c r="I1" s="451"/>
      <c r="J1" s="450"/>
      <c r="K1" s="453" t="s">
        <v>90</v>
      </c>
      <c r="L1" s="451"/>
      <c r="M1" s="451"/>
      <c r="N1" s="454"/>
      <c r="O1" s="450"/>
      <c r="P1" s="451"/>
      <c r="Q1" s="450"/>
      <c r="R1" s="451"/>
      <c r="S1" s="455" t="str">
        <f>CONCATENATE("Réalisé AAD,"," ",Parametres!B3," ",Parametres!B4)</f>
        <v>Réalisé AAD, Septembre 2026</v>
      </c>
      <c r="T1" s="796" t="s">
        <v>768</v>
      </c>
      <c r="U1" s="38"/>
      <c r="V1" s="38"/>
      <c r="W1" s="38"/>
      <c r="X1" s="38"/>
      <c r="Y1" s="38"/>
      <c r="Z1" s="38"/>
      <c r="AA1" s="38"/>
      <c r="AB1" s="38"/>
      <c r="AC1" s="38"/>
      <c r="AD1" s="38"/>
      <c r="AE1" s="38"/>
      <c r="AF1" s="38"/>
      <c r="AG1" s="38"/>
      <c r="AH1" s="38"/>
      <c r="AI1" s="38"/>
      <c r="AJ1" s="38"/>
      <c r="AK1" s="38"/>
      <c r="AL1" s="38"/>
      <c r="AM1" s="38"/>
      <c r="AN1" s="38"/>
    </row>
    <row r="2" ht="15.0" customHeight="1">
      <c r="B2" s="3"/>
      <c r="C2" s="39"/>
      <c r="D2" s="458" t="s">
        <v>769</v>
      </c>
      <c r="E2" s="458" t="s">
        <v>770</v>
      </c>
      <c r="F2" s="458" t="s">
        <v>771</v>
      </c>
      <c r="G2" s="458"/>
      <c r="H2" s="458"/>
      <c r="I2" s="458"/>
      <c r="J2" s="458" t="s">
        <v>772</v>
      </c>
      <c r="K2" s="458"/>
      <c r="L2" s="458" t="s">
        <v>728</v>
      </c>
      <c r="M2" s="40"/>
      <c r="N2" s="40"/>
      <c r="O2" s="458" t="s">
        <v>772</v>
      </c>
      <c r="P2" s="458"/>
      <c r="Q2" s="458" t="s">
        <v>728</v>
      </c>
      <c r="R2" s="40"/>
      <c r="S2" s="40"/>
      <c r="T2" s="40"/>
      <c r="U2" s="40"/>
      <c r="V2" s="459"/>
      <c r="W2" s="460"/>
      <c r="X2" s="284" t="s">
        <v>769</v>
      </c>
      <c r="Y2" s="284" t="s">
        <v>770</v>
      </c>
      <c r="Z2" s="284" t="s">
        <v>771</v>
      </c>
      <c r="AJ2" s="284" t="s">
        <v>769</v>
      </c>
      <c r="AK2" s="284" t="s">
        <v>770</v>
      </c>
      <c r="AL2" s="284" t="s">
        <v>771</v>
      </c>
    </row>
    <row r="3">
      <c r="B3" s="48"/>
      <c r="C3" s="461"/>
      <c r="D3" s="462" t="s">
        <v>774</v>
      </c>
      <c r="E3" s="44"/>
      <c r="F3" s="45"/>
      <c r="G3" s="463"/>
      <c r="H3" s="44"/>
      <c r="I3" s="45"/>
      <c r="J3" s="463" t="s">
        <v>775</v>
      </c>
      <c r="K3" s="44"/>
      <c r="L3" s="45"/>
      <c r="M3" s="463" t="s">
        <v>776</v>
      </c>
      <c r="N3" s="45"/>
      <c r="O3" s="462" t="s">
        <v>777</v>
      </c>
      <c r="P3" s="44"/>
      <c r="Q3" s="45"/>
      <c r="R3" s="463" t="s">
        <v>778</v>
      </c>
      <c r="S3" s="45"/>
      <c r="T3" s="48"/>
      <c r="U3" s="48"/>
      <c r="V3" s="464" t="s">
        <v>779</v>
      </c>
      <c r="W3" s="465">
        <v>0.45</v>
      </c>
      <c r="X3" s="48"/>
      <c r="Y3" s="48"/>
      <c r="Z3" s="48"/>
      <c r="AA3" s="48"/>
      <c r="AB3" s="48"/>
      <c r="AC3" s="48"/>
      <c r="AD3" s="48"/>
      <c r="AE3" s="48"/>
      <c r="AF3" s="48"/>
      <c r="AG3" s="48"/>
      <c r="AH3" s="48"/>
      <c r="AI3" s="48"/>
      <c r="AJ3" s="48"/>
      <c r="AK3" s="48"/>
      <c r="AL3" s="48"/>
      <c r="AM3" s="48"/>
      <c r="AN3" s="48"/>
    </row>
    <row r="4">
      <c r="B4" s="48"/>
      <c r="C4" s="466"/>
      <c r="D4" s="467" t="s">
        <v>93</v>
      </c>
      <c r="E4" s="468" t="s">
        <v>780</v>
      </c>
      <c r="F4" s="469" t="s">
        <v>95</v>
      </c>
      <c r="G4" s="470"/>
      <c r="H4" s="468"/>
      <c r="I4" s="469"/>
      <c r="J4" s="470" t="s">
        <v>781</v>
      </c>
      <c r="K4" s="468" t="s">
        <v>94</v>
      </c>
      <c r="L4" s="469" t="s">
        <v>95</v>
      </c>
      <c r="M4" s="470" t="s">
        <v>781</v>
      </c>
      <c r="N4" s="469" t="s">
        <v>95</v>
      </c>
      <c r="O4" s="470" t="s">
        <v>781</v>
      </c>
      <c r="P4" s="468" t="s">
        <v>94</v>
      </c>
      <c r="Q4" s="469" t="s">
        <v>95</v>
      </c>
      <c r="R4" s="470" t="s">
        <v>781</v>
      </c>
      <c r="S4" s="469" t="s">
        <v>95</v>
      </c>
      <c r="T4" s="48"/>
      <c r="U4" s="48"/>
      <c r="V4" s="464" t="s">
        <v>782</v>
      </c>
      <c r="W4" s="465">
        <v>0.1</v>
      </c>
      <c r="X4" s="48"/>
      <c r="Y4" s="48"/>
      <c r="Z4" s="48"/>
      <c r="AA4" s="48"/>
      <c r="AB4" s="48"/>
      <c r="AC4" s="48"/>
      <c r="AD4" s="48"/>
      <c r="AE4" s="48"/>
      <c r="AF4" s="48"/>
      <c r="AG4" s="48"/>
      <c r="AH4" s="48"/>
      <c r="AI4" s="48"/>
      <c r="AJ4" s="48"/>
      <c r="AK4" s="48"/>
      <c r="AL4" s="48"/>
      <c r="AM4" s="48"/>
      <c r="AN4" s="48"/>
    </row>
    <row r="5">
      <c r="A5" s="5" t="str">
        <f t="shared" ref="A5:A85" si="1">+B5&amp;C5</f>
        <v>Véhicules neufsVentes nettes</v>
      </c>
      <c r="B5" s="48" t="str">
        <f t="shared" ref="B5:B85" si="2">+$K$1</f>
        <v>Véhicules neufs</v>
      </c>
      <c r="C5" s="471" t="s">
        <v>96</v>
      </c>
      <c r="D5" s="472"/>
      <c r="E5" s="472"/>
      <c r="F5" s="473" t="str">
        <f t="array" ref="F5">+SUMPRODUCT(('Budget original'!$A$8:$A$501=$A5)*('Budget original'!$C$3:$AO$3=F$2),'Budget original'!$C$8:$AO$501)</f>
        <v>#N/A</v>
      </c>
      <c r="G5" s="472"/>
      <c r="H5" s="472"/>
      <c r="I5" s="474"/>
      <c r="J5" s="471"/>
      <c r="K5" s="475"/>
      <c r="L5" s="476">
        <f>-SUMIFS(BV_Data_An_Cour!$AN:$AN,BV_Data_An_Cour!$AS:$AS,"Oui",BV_Data_An_Cour!$AP:$AP,$B5)</f>
        <v>93317401.89</v>
      </c>
      <c r="M5" s="477"/>
      <c r="N5" s="478"/>
      <c r="O5" s="471"/>
      <c r="P5" s="475"/>
      <c r="Q5" s="476">
        <f>-SUMIFS(BV_Data_An_Prec!$AN:$AN,BV_Data_An_Prec!$AS:$AS,"Oui",BV_Data_An_Prec!$AP:$AP,$B5)</f>
        <v>113028395.4</v>
      </c>
      <c r="R5" s="477"/>
      <c r="S5" s="479"/>
      <c r="T5" s="48"/>
      <c r="U5" s="40">
        <f>L5/AF493</f>
        <v>0.5278992193</v>
      </c>
      <c r="V5" s="464" t="s">
        <v>784</v>
      </c>
      <c r="W5" s="465">
        <v>0.225</v>
      </c>
      <c r="X5" s="48"/>
      <c r="Y5" s="48"/>
      <c r="Z5" s="48"/>
      <c r="AA5" s="48"/>
      <c r="AB5" s="48"/>
      <c r="AC5" s="48"/>
      <c r="AD5" s="48"/>
      <c r="AE5" s="48"/>
      <c r="AF5" s="48"/>
      <c r="AG5" s="48"/>
      <c r="AH5" s="48"/>
      <c r="AI5" s="48"/>
      <c r="AJ5" s="48"/>
      <c r="AK5" s="48"/>
      <c r="AL5" s="48"/>
      <c r="AM5" s="48"/>
      <c r="AN5" s="48"/>
    </row>
    <row r="6">
      <c r="A6" s="5" t="str">
        <f t="shared" si="1"/>
        <v>Véhicules neufsAutos détail</v>
      </c>
      <c r="B6" s="48" t="str">
        <f t="shared" si="2"/>
        <v>Véhicules neufs</v>
      </c>
      <c r="C6" s="480" t="s">
        <v>97</v>
      </c>
      <c r="D6" s="481" t="str">
        <f t="array" ref="D6">+SUMPRODUCT(('Budget original'!$A$8:$A$501=$A6)*('Budget original'!$C$3:$AO$3=D$2),'Budget original'!$C$8:$AO$501)</f>
        <v>#N/A</v>
      </c>
      <c r="E6" s="481" t="str">
        <f t="shared" ref="E6:E12" si="3">IF(D6=0,0,F6/D6)</f>
        <v>#N/A</v>
      </c>
      <c r="F6" s="481" t="str">
        <f t="array" ref="F6">+SUMPRODUCT(('Budget original'!$A$8:$A$501=$A6)*('Budget original'!$C$3:$AO$3=F$2),'Budget original'!$C$8:$AO$501)</f>
        <v>#N/A</v>
      </c>
      <c r="G6" s="482"/>
      <c r="H6" s="481"/>
      <c r="I6" s="481"/>
      <c r="J6" s="482">
        <f>SUMIFS(BV_Data_An_Cour!$AX:$AX,BV_Data_An_Cour!$AP:$AP,$B6,BV_Data_An_Cour!$AQ:$AQ,$C6,BV_Data_An_Cour!$AY:$AY,J$2)</f>
        <v>5</v>
      </c>
      <c r="K6" s="483">
        <f t="shared" ref="K6:K12" si="4">IF(J6=0,0,L6/J6)</f>
        <v>4730.174</v>
      </c>
      <c r="L6" s="484">
        <f>-SUMIFS(BV_Data_An_Cour!$AN:$AN,BV_Data_An_Cour!$AP:$AP,$B6,BV_Data_An_Cour!$AQ:$AQ,$C6,BV_Data_An_Cour!$AR:$AR,L$2)</f>
        <v>23650.87</v>
      </c>
      <c r="M6" s="482" t="str">
        <f t="shared" ref="M6:M12" si="5">J6-D6</f>
        <v>#N/A</v>
      </c>
      <c r="N6" s="485" t="str">
        <f t="shared" ref="N6:N12" si="6">L6-F6</f>
        <v>#N/A</v>
      </c>
      <c r="O6" s="482">
        <f>SUMIFS(BV_Data_An_Prec!$AX:$AX,BV_Data_An_Prec!$AP:$AP,$B6,BV_Data_An_Prec!$AQ:$AQ,$C6,BV_Data_An_Prec!$AY:$AY,O$2)</f>
        <v>7</v>
      </c>
      <c r="P6" s="483">
        <f t="shared" ref="P6:P12" si="7">IF(O6=0,0,Q6/O6)</f>
        <v>5061.807143</v>
      </c>
      <c r="Q6" s="484">
        <f>-SUMIFS(BV_Data_An_Prec!$AN:$AN,BV_Data_An_Prec!$AP:$AP,$B6,BV_Data_An_Prec!$AQ:$AQ,$C6,BV_Data_An_Prec!$AR:$AR,Q$2)</f>
        <v>35432.65</v>
      </c>
      <c r="R6" s="482">
        <f t="shared" ref="R6:R12" si="8">J6-O6</f>
        <v>-2</v>
      </c>
      <c r="S6" s="484">
        <f t="shared" ref="S6:S12" si="9">L6-Q6</f>
        <v>-11781.78</v>
      </c>
      <c r="T6" s="48"/>
      <c r="U6" s="48"/>
      <c r="V6" s="464" t="s">
        <v>786</v>
      </c>
      <c r="W6" s="465">
        <v>0.025</v>
      </c>
      <c r="X6" s="48"/>
      <c r="Y6" s="48"/>
      <c r="Z6" s="48"/>
      <c r="AA6" s="48"/>
      <c r="AB6" s="48"/>
      <c r="AC6" s="48"/>
      <c r="AD6" s="48"/>
      <c r="AE6" s="48"/>
      <c r="AF6" s="48"/>
      <c r="AG6" s="48"/>
      <c r="AH6" s="48"/>
      <c r="AI6" s="48"/>
      <c r="AJ6" s="48"/>
      <c r="AK6" s="48"/>
      <c r="AL6" s="48"/>
      <c r="AM6" s="48"/>
      <c r="AN6" s="48"/>
    </row>
    <row r="7">
      <c r="A7" s="5" t="str">
        <f t="shared" si="1"/>
        <v>Véhicules neufsCamions détail</v>
      </c>
      <c r="B7" s="48" t="str">
        <f t="shared" si="2"/>
        <v>Véhicules neufs</v>
      </c>
      <c r="C7" s="480" t="s">
        <v>98</v>
      </c>
      <c r="D7" s="481" t="str">
        <f t="array" ref="D7">+SUMPRODUCT(('Budget original'!$A$8:$A$501=$A7)*('Budget original'!$C$3:$AO$3=D$2),'Budget original'!$C$8:$AO$501)</f>
        <v>#N/A</v>
      </c>
      <c r="E7" s="481" t="str">
        <f t="shared" si="3"/>
        <v>#N/A</v>
      </c>
      <c r="F7" s="481" t="str">
        <f t="array" ref="F7">+SUMPRODUCT(('Budget original'!$A$8:$A$501=$A7)*('Budget original'!$C$3:$AO$3=F$2),'Budget original'!$C$8:$AO$501)</f>
        <v>#N/A</v>
      </c>
      <c r="G7" s="482"/>
      <c r="H7" s="481"/>
      <c r="I7" s="481"/>
      <c r="J7" s="482">
        <f>SUMIFS(BV_Data_An_Cour!$AX:$AX,BV_Data_An_Cour!$AP:$AP,$B7,BV_Data_An_Cour!$AQ:$AQ,$C7,BV_Data_An_Cour!$AY:$AY,J$2)</f>
        <v>270</v>
      </c>
      <c r="K7" s="483">
        <f t="shared" si="4"/>
        <v>2511.926444</v>
      </c>
      <c r="L7" s="484">
        <f>-SUMIFS(BV_Data_An_Cour!$AN:$AN,BV_Data_An_Cour!$AP:$AP,$B7,BV_Data_An_Cour!$AQ:$AQ,$C7,BV_Data_An_Cour!$AR:$AR,L$2)</f>
        <v>678220.14</v>
      </c>
      <c r="M7" s="482" t="str">
        <f t="shared" si="5"/>
        <v>#N/A</v>
      </c>
      <c r="N7" s="485" t="str">
        <f t="shared" si="6"/>
        <v>#N/A</v>
      </c>
      <c r="O7" s="482">
        <f>SUMIFS(BV_Data_An_Prec!$AX:$AX,BV_Data_An_Prec!$AP:$AP,$B7,BV_Data_An_Prec!$AQ:$AQ,$C7,BV_Data_An_Prec!$AY:$AY,O$2)</f>
        <v>427</v>
      </c>
      <c r="P7" s="483">
        <f t="shared" si="7"/>
        <v>3063.394731</v>
      </c>
      <c r="Q7" s="484">
        <f>-SUMIFS(BV_Data_An_Prec!$AN:$AN,BV_Data_An_Prec!$AP:$AP,$B7,BV_Data_An_Prec!$AQ:$AQ,$C7,BV_Data_An_Prec!$AR:$AR,Q$2)</f>
        <v>1308069.55</v>
      </c>
      <c r="R7" s="482">
        <f t="shared" si="8"/>
        <v>-157</v>
      </c>
      <c r="S7" s="484">
        <f t="shared" si="9"/>
        <v>-629849.41</v>
      </c>
      <c r="T7" s="48"/>
      <c r="U7" s="48"/>
      <c r="V7" s="464" t="s">
        <v>788</v>
      </c>
      <c r="W7" s="465">
        <v>0.2</v>
      </c>
      <c r="X7" s="48"/>
      <c r="Y7" s="48"/>
      <c r="Z7" s="48"/>
      <c r="AA7" s="48"/>
      <c r="AB7" s="48"/>
      <c r="AC7" s="48"/>
      <c r="AD7" s="48"/>
      <c r="AE7" s="48"/>
      <c r="AF7" s="48"/>
      <c r="AG7" s="48"/>
      <c r="AH7" s="48"/>
      <c r="AI7" s="48"/>
      <c r="AJ7" s="48"/>
      <c r="AK7" s="48"/>
      <c r="AL7" s="48"/>
      <c r="AM7" s="48"/>
      <c r="AN7" s="48"/>
    </row>
    <row r="8">
      <c r="A8" s="5" t="str">
        <f t="shared" si="1"/>
        <v>Véhicules neufsVoitures electriques</v>
      </c>
      <c r="B8" s="48" t="str">
        <f t="shared" si="2"/>
        <v>Véhicules neufs</v>
      </c>
      <c r="C8" s="480" t="s">
        <v>790</v>
      </c>
      <c r="D8" s="481" t="str">
        <f t="array" ref="D8">+SUMPRODUCT(('Budget original'!$A$8:$A$501=$A8)*('Budget original'!$C$3:$AO$3=D$2),'Budget original'!$C$8:$AO$501)</f>
        <v>#N/A</v>
      </c>
      <c r="E8" s="481" t="str">
        <f t="shared" si="3"/>
        <v>#N/A</v>
      </c>
      <c r="F8" s="481" t="str">
        <f t="array" ref="F8">+SUMPRODUCT(('Budget original'!$A$8:$A$501=$A8)*('Budget original'!$C$3:$AO$3=F$2),'Budget original'!$C$8:$AO$501)</f>
        <v>#N/A</v>
      </c>
      <c r="G8" s="482"/>
      <c r="H8" s="481"/>
      <c r="I8" s="481"/>
      <c r="J8" s="482">
        <f>SUMIFS(BV_Data_An_Cour!$AX:$AX,BV_Data_An_Cour!$AP:$AP,$B8,BV_Data_An_Cour!$AQ:$AQ,$C8,BV_Data_An_Cour!$AY:$AY,J$2)</f>
        <v>0</v>
      </c>
      <c r="K8" s="483">
        <f t="shared" si="4"/>
        <v>0</v>
      </c>
      <c r="L8" s="484">
        <f>-SUMIFS(BV_Data_An_Cour!$AN:$AN,BV_Data_An_Cour!$AP:$AP,$B8,BV_Data_An_Cour!$AQ:$AQ,$C8,BV_Data_An_Cour!$AR:$AR,L$2)</f>
        <v>0</v>
      </c>
      <c r="M8" s="482" t="str">
        <f t="shared" si="5"/>
        <v>#N/A</v>
      </c>
      <c r="N8" s="485" t="str">
        <f t="shared" si="6"/>
        <v>#N/A</v>
      </c>
      <c r="O8" s="482">
        <f>SUMIFS(BV_Data_An_Prec!$AX:$AX,BV_Data_An_Prec!$AP:$AP,$B8,BV_Data_An_Prec!$AQ:$AQ,$C8,BV_Data_An_Prec!$AY:$AY,O$2)</f>
        <v>0</v>
      </c>
      <c r="P8" s="483">
        <f t="shared" si="7"/>
        <v>0</v>
      </c>
      <c r="Q8" s="484">
        <f>-SUMIFS(BV_Data_An_Prec!$AN:$AN,BV_Data_An_Prec!$AP:$AP,$B8,BV_Data_An_Prec!$AQ:$AQ,$C8,BV_Data_An_Prec!$AR:$AR,Q$2)</f>
        <v>0</v>
      </c>
      <c r="R8" s="482">
        <f t="shared" si="8"/>
        <v>0</v>
      </c>
      <c r="S8" s="484">
        <f t="shared" si="9"/>
        <v>0</v>
      </c>
      <c r="T8" s="48"/>
      <c r="U8" s="48"/>
      <c r="V8" s="487"/>
      <c r="W8" s="488">
        <f>SUM(W3:W7)</f>
        <v>1</v>
      </c>
      <c r="X8" s="48"/>
      <c r="Y8" s="48"/>
      <c r="Z8" s="48"/>
      <c r="AA8" s="48"/>
      <c r="AB8" s="48"/>
      <c r="AC8" s="48"/>
      <c r="AD8" s="48"/>
      <c r="AE8" s="48"/>
      <c r="AF8" s="48"/>
      <c r="AG8" s="48"/>
      <c r="AH8" s="48"/>
      <c r="AI8" s="48"/>
      <c r="AJ8" s="48"/>
      <c r="AK8" s="48"/>
      <c r="AL8" s="48"/>
      <c r="AM8" s="48"/>
      <c r="AN8" s="48"/>
    </row>
    <row r="9">
      <c r="A9" s="5" t="str">
        <f t="shared" si="1"/>
        <v>Véhicules neufsCamions electriques</v>
      </c>
      <c r="B9" s="48" t="str">
        <f t="shared" si="2"/>
        <v>Véhicules neufs</v>
      </c>
      <c r="C9" s="480" t="s">
        <v>792</v>
      </c>
      <c r="D9" s="481" t="str">
        <f t="array" ref="D9">+SUMPRODUCT(('Budget original'!$A$8:$A$501=$A9)*('Budget original'!$C$3:$AO$3=D$2),'Budget original'!$C$8:$AO$501)</f>
        <v>#N/A</v>
      </c>
      <c r="E9" s="481" t="str">
        <f t="shared" si="3"/>
        <v>#N/A</v>
      </c>
      <c r="F9" s="481" t="str">
        <f t="array" ref="F9">+SUMPRODUCT(('Budget original'!$A$8:$A$501=$A9)*('Budget original'!$C$3:$AO$3=F$2),'Budget original'!$C$8:$AO$501)</f>
        <v>#N/A</v>
      </c>
      <c r="G9" s="482"/>
      <c r="H9" s="481"/>
      <c r="I9" s="481"/>
      <c r="J9" s="482">
        <f>SUMIFS(BV_Data_An_Cour!$AX:$AX,BV_Data_An_Cour!$AP:$AP,$B9,BV_Data_An_Cour!$AQ:$AQ,$C9,BV_Data_An_Cour!$AY:$AY,J$2)</f>
        <v>160</v>
      </c>
      <c r="K9" s="483">
        <f t="shared" si="4"/>
        <v>1298.896688</v>
      </c>
      <c r="L9" s="484">
        <f>-SUMIFS(BV_Data_An_Cour!$AN:$AN,BV_Data_An_Cour!$AP:$AP,$B9,BV_Data_An_Cour!$AQ:$AQ,$C9,BV_Data_An_Cour!$AR:$AR,L$2)</f>
        <v>207823.47</v>
      </c>
      <c r="M9" s="482" t="str">
        <f t="shared" si="5"/>
        <v>#N/A</v>
      </c>
      <c r="N9" s="485" t="str">
        <f t="shared" si="6"/>
        <v>#N/A</v>
      </c>
      <c r="O9" s="482">
        <f>SUMIFS(BV_Data_An_Prec!$AX:$AX,BV_Data_An_Prec!$AP:$AP,$B9,BV_Data_An_Prec!$AQ:$AQ,$C9,BV_Data_An_Prec!$AY:$AY,O$2)</f>
        <v>155</v>
      </c>
      <c r="P9" s="483">
        <f t="shared" si="7"/>
        <v>1220.662387</v>
      </c>
      <c r="Q9" s="484">
        <f>-SUMIFS(BV_Data_An_Prec!$AN:$AN,BV_Data_An_Prec!$AP:$AP,$B9,BV_Data_An_Prec!$AQ:$AQ,$C9,BV_Data_An_Prec!$AR:$AR,Q$2)</f>
        <v>189202.67</v>
      </c>
      <c r="R9" s="482">
        <f t="shared" si="8"/>
        <v>5</v>
      </c>
      <c r="S9" s="484">
        <f t="shared" si="9"/>
        <v>18620.8</v>
      </c>
      <c r="T9" s="48"/>
      <c r="U9" s="48"/>
      <c r="V9" s="48"/>
      <c r="W9" s="48"/>
      <c r="X9" s="48"/>
      <c r="Y9" s="48"/>
      <c r="Z9" s="48"/>
      <c r="AA9" s="48"/>
      <c r="AB9" s="48"/>
      <c r="AC9" s="48"/>
      <c r="AD9" s="48"/>
      <c r="AE9" s="48"/>
      <c r="AF9" s="48"/>
      <c r="AG9" s="48"/>
      <c r="AH9" s="48"/>
      <c r="AI9" s="48"/>
      <c r="AJ9" s="48"/>
      <c r="AK9" s="48"/>
      <c r="AL9" s="48"/>
      <c r="AM9" s="48"/>
      <c r="AN9" s="48"/>
    </row>
    <row r="10" ht="20.25" hidden="1" customHeight="1">
      <c r="A10" s="5" t="str">
        <f t="shared" si="1"/>
        <v>Véhicules neufs[...]</v>
      </c>
      <c r="B10" s="48" t="str">
        <f t="shared" si="2"/>
        <v>Véhicules neufs</v>
      </c>
      <c r="C10" s="480" t="s">
        <v>56</v>
      </c>
      <c r="D10" s="481" t="str">
        <f t="array" ref="D10">+SUMPRODUCT(('Budget original'!$A$8:$A$501=$A10)*('Budget original'!$C$3:$AO$3=D$2),'Budget original'!$C$8:$AO$501)</f>
        <v>#N/A</v>
      </c>
      <c r="E10" s="481" t="str">
        <f t="shared" si="3"/>
        <v>#N/A</v>
      </c>
      <c r="F10" s="481" t="str">
        <f t="array" ref="F10">+SUMPRODUCT(('Budget original'!$A$8:$A$501=$A10)*('Budget original'!$C$3:$AO$3=F$2),'Budget original'!$C$8:$AO$501)</f>
        <v>#N/A</v>
      </c>
      <c r="G10" s="482"/>
      <c r="H10" s="481"/>
      <c r="I10" s="481"/>
      <c r="J10" s="482">
        <f>-SUMIFS(BV_Data_An_Cour!$AN:$AN,BV_Data_An_Cour!$AP:$AP,$B10,BV_Data_An_Cour!$AQ:$AQ,$C10,BV_Data_An_Cour!$AR:$AR,J$2)</f>
        <v>0</v>
      </c>
      <c r="K10" s="483">
        <f t="shared" si="4"/>
        <v>0</v>
      </c>
      <c r="L10" s="484">
        <f>-SUMIFS(BV_Data_An_Cour!$AN:$AN,BV_Data_An_Cour!$AP:$AP,$B10,BV_Data_An_Cour!$AQ:$AQ,$C10,BV_Data_An_Cour!$AR:$AR,L$2)</f>
        <v>0</v>
      </c>
      <c r="M10" s="482" t="str">
        <f t="shared" si="5"/>
        <v>#N/A</v>
      </c>
      <c r="N10" s="485" t="str">
        <f t="shared" si="6"/>
        <v>#N/A</v>
      </c>
      <c r="O10" s="482">
        <f>-SUMIFS(BV_Data_An_Prec!$AN:$AN,BV_Data_An_Prec!$AP:$AP,$B10,BV_Data_An_Prec!$AQ:$AQ,$C10,BV_Data_An_Prec!$AR:$AR,O$2)</f>
        <v>0</v>
      </c>
      <c r="P10" s="483">
        <f t="shared" si="7"/>
        <v>0</v>
      </c>
      <c r="Q10" s="484">
        <f>-SUMIFS(BV_Data_An_Prec!$AN:$AN,BV_Data_An_Prec!$AP:$AP,$B10,BV_Data_An_Prec!$AQ:$AQ,$C10,BV_Data_An_Prec!$AR:$AR,Q$2)</f>
        <v>0</v>
      </c>
      <c r="R10" s="482">
        <f t="shared" si="8"/>
        <v>0</v>
      </c>
      <c r="S10" s="484">
        <f t="shared" si="9"/>
        <v>0</v>
      </c>
      <c r="T10" s="48"/>
      <c r="U10" s="48"/>
      <c r="V10" s="48"/>
      <c r="W10" s="48"/>
      <c r="X10" s="48"/>
      <c r="Y10" s="48"/>
      <c r="Z10" s="48"/>
      <c r="AA10" s="48"/>
      <c r="AB10" s="48"/>
      <c r="AC10" s="48"/>
      <c r="AD10" s="48"/>
      <c r="AE10" s="48"/>
      <c r="AF10" s="48"/>
      <c r="AG10" s="48"/>
      <c r="AH10" s="48"/>
      <c r="AI10" s="48"/>
      <c r="AJ10" s="48"/>
      <c r="AK10" s="48"/>
      <c r="AL10" s="48"/>
      <c r="AM10" s="48"/>
      <c r="AN10" s="48"/>
    </row>
    <row r="11" ht="20.25" hidden="1" customHeight="1">
      <c r="A11" s="5" t="str">
        <f t="shared" si="1"/>
        <v>Véhicules neufs[...]</v>
      </c>
      <c r="B11" s="48" t="str">
        <f t="shared" si="2"/>
        <v>Véhicules neufs</v>
      </c>
      <c r="C11" s="480" t="s">
        <v>56</v>
      </c>
      <c r="D11" s="481" t="str">
        <f t="array" ref="D11">+SUMPRODUCT(('Budget original'!$A$8:$A$501=$A11)*('Budget original'!$C$3:$AO$3=D$2),'Budget original'!$C$8:$AO$501)</f>
        <v>#N/A</v>
      </c>
      <c r="E11" s="481" t="str">
        <f t="shared" si="3"/>
        <v>#N/A</v>
      </c>
      <c r="F11" s="481" t="str">
        <f t="array" ref="F11">+SUMPRODUCT(('Budget original'!$A$8:$A$501=$A11)*('Budget original'!$C$3:$AO$3=F$2),'Budget original'!$C$8:$AO$501)</f>
        <v>#N/A</v>
      </c>
      <c r="G11" s="482"/>
      <c r="H11" s="481"/>
      <c r="I11" s="481"/>
      <c r="J11" s="482">
        <f>-SUMIFS(BV_Data_An_Cour!$AN:$AN,BV_Data_An_Cour!$AP:$AP,$B11,BV_Data_An_Cour!$AQ:$AQ,$C11,BV_Data_An_Cour!$AR:$AR,J$2)</f>
        <v>0</v>
      </c>
      <c r="K11" s="483">
        <f t="shared" si="4"/>
        <v>0</v>
      </c>
      <c r="L11" s="484">
        <f>-SUMIFS(BV_Data_An_Cour!$AN:$AN,BV_Data_An_Cour!$AP:$AP,$B11,BV_Data_An_Cour!$AQ:$AQ,$C11,BV_Data_An_Cour!$AR:$AR,L$2)</f>
        <v>0</v>
      </c>
      <c r="M11" s="482" t="str">
        <f t="shared" si="5"/>
        <v>#N/A</v>
      </c>
      <c r="N11" s="485" t="str">
        <f t="shared" si="6"/>
        <v>#N/A</v>
      </c>
      <c r="O11" s="482">
        <f>-SUMIFS(BV_Data_An_Prec!$AN:$AN,BV_Data_An_Prec!$AP:$AP,$B11,BV_Data_An_Prec!$AQ:$AQ,$C11,BV_Data_An_Prec!$AR:$AR,O$2)</f>
        <v>0</v>
      </c>
      <c r="P11" s="483">
        <f t="shared" si="7"/>
        <v>0</v>
      </c>
      <c r="Q11" s="484">
        <f>-SUMIFS(BV_Data_An_Prec!$AN:$AN,BV_Data_An_Prec!$AP:$AP,$B11,BV_Data_An_Prec!$AQ:$AQ,$C11,BV_Data_An_Prec!$AR:$AR,Q$2)</f>
        <v>0</v>
      </c>
      <c r="R11" s="482">
        <f t="shared" si="8"/>
        <v>0</v>
      </c>
      <c r="S11" s="484">
        <f t="shared" si="9"/>
        <v>0</v>
      </c>
      <c r="T11" s="48"/>
      <c r="U11" s="48"/>
      <c r="V11" s="48"/>
      <c r="W11" s="48"/>
      <c r="X11" s="48"/>
      <c r="Y11" s="48"/>
      <c r="Z11" s="48"/>
      <c r="AA11" s="48"/>
      <c r="AB11" s="48"/>
      <c r="AC11" s="48"/>
      <c r="AD11" s="48"/>
      <c r="AE11" s="48"/>
      <c r="AF11" s="48"/>
      <c r="AG11" s="48"/>
      <c r="AH11" s="48"/>
      <c r="AI11" s="48"/>
      <c r="AJ11" s="48"/>
      <c r="AK11" s="48"/>
      <c r="AL11" s="48"/>
      <c r="AM11" s="48"/>
      <c r="AN11" s="48"/>
    </row>
    <row r="12" ht="20.25" hidden="1" customHeight="1">
      <c r="A12" s="5" t="str">
        <f t="shared" si="1"/>
        <v>Véhicules neufs[...]</v>
      </c>
      <c r="B12" s="48" t="str">
        <f t="shared" si="2"/>
        <v>Véhicules neufs</v>
      </c>
      <c r="C12" s="480" t="s">
        <v>56</v>
      </c>
      <c r="D12" s="481" t="str">
        <f t="array" ref="D12">+SUMPRODUCT(('Budget original'!$A$8:$A$501=$A12)*('Budget original'!$C$3:$AO$3=D$2),'Budget original'!$C$8:$AO$501)</f>
        <v>#N/A</v>
      </c>
      <c r="E12" s="481" t="str">
        <f t="shared" si="3"/>
        <v>#N/A</v>
      </c>
      <c r="F12" s="481" t="str">
        <f t="array" ref="F12">+SUMPRODUCT(('Budget original'!$A$8:$A$501=$A12)*('Budget original'!$C$3:$AO$3=F$2),'Budget original'!$C$8:$AO$501)</f>
        <v>#N/A</v>
      </c>
      <c r="G12" s="482"/>
      <c r="H12" s="481"/>
      <c r="I12" s="481"/>
      <c r="J12" s="482">
        <f>-SUMIFS(BV_Data_An_Cour!$AN:$AN,BV_Data_An_Cour!$AP:$AP,$B12,BV_Data_An_Cour!$AQ:$AQ,$C12,BV_Data_An_Cour!$AR:$AR,J$2)</f>
        <v>0</v>
      </c>
      <c r="K12" s="483">
        <f t="shared" si="4"/>
        <v>0</v>
      </c>
      <c r="L12" s="484">
        <f>-SUMIFS(BV_Data_An_Cour!$AN:$AN,BV_Data_An_Cour!$AP:$AP,$B12,BV_Data_An_Cour!$AQ:$AQ,$C12,BV_Data_An_Cour!$AR:$AR,L$2)</f>
        <v>0</v>
      </c>
      <c r="M12" s="482" t="str">
        <f t="shared" si="5"/>
        <v>#N/A</v>
      </c>
      <c r="N12" s="485" t="str">
        <f t="shared" si="6"/>
        <v>#N/A</v>
      </c>
      <c r="O12" s="482">
        <f>-SUMIFS(BV_Data_An_Prec!$AN:$AN,BV_Data_An_Prec!$AP:$AP,$B12,BV_Data_An_Prec!$AQ:$AQ,$C12,BV_Data_An_Prec!$AR:$AR,O$2)</f>
        <v>0</v>
      </c>
      <c r="P12" s="483">
        <f t="shared" si="7"/>
        <v>0</v>
      </c>
      <c r="Q12" s="484">
        <f>-SUMIFS(BV_Data_An_Prec!$AN:$AN,BV_Data_An_Prec!$AP:$AP,$B12,BV_Data_An_Prec!$AQ:$AQ,$C12,BV_Data_An_Prec!$AR:$AR,Q$2)</f>
        <v>0</v>
      </c>
      <c r="R12" s="482">
        <f t="shared" si="8"/>
        <v>0</v>
      </c>
      <c r="S12" s="484">
        <f t="shared" si="9"/>
        <v>0</v>
      </c>
      <c r="T12" s="48"/>
      <c r="U12" s="48"/>
      <c r="V12" s="48"/>
      <c r="W12" s="48"/>
      <c r="X12" s="48"/>
      <c r="Y12" s="48"/>
      <c r="Z12" s="48"/>
      <c r="AA12" s="48"/>
      <c r="AB12" s="48"/>
      <c r="AC12" s="48"/>
      <c r="AD12" s="48"/>
      <c r="AE12" s="48"/>
      <c r="AF12" s="48"/>
      <c r="AG12" s="48"/>
      <c r="AH12" s="48"/>
      <c r="AI12" s="48"/>
      <c r="AJ12" s="48"/>
      <c r="AK12" s="48"/>
      <c r="AL12" s="48"/>
      <c r="AM12" s="48"/>
      <c r="AN12" s="48"/>
    </row>
    <row r="13">
      <c r="A13" s="5" t="str">
        <f t="shared" si="1"/>
        <v>Véhicules neufsTotal Neufs</v>
      </c>
      <c r="B13" s="48" t="str">
        <f t="shared" si="2"/>
        <v>Véhicules neufs</v>
      </c>
      <c r="C13" s="490" t="s">
        <v>101</v>
      </c>
      <c r="D13" s="491" t="str">
        <f>+SUM(D6:D12)</f>
        <v>#N/A</v>
      </c>
      <c r="E13" s="491" t="str">
        <f>IF(D13&lt;=0,0,F13/D13)</f>
        <v>#N/A</v>
      </c>
      <c r="F13" s="492" t="str">
        <f>+SUM(F6:F12)</f>
        <v>#N/A</v>
      </c>
      <c r="G13" s="493"/>
      <c r="H13" s="491"/>
      <c r="I13" s="492"/>
      <c r="J13" s="493">
        <f>+SUM(J6:J12)</f>
        <v>435</v>
      </c>
      <c r="K13" s="495">
        <f>IF(J13&lt;=0,0,L13/J13)</f>
        <v>2091.251678</v>
      </c>
      <c r="L13" s="497">
        <f t="shared" ref="L13:O13" si="10">+SUM(L6:L12)</f>
        <v>909694.48</v>
      </c>
      <c r="M13" s="493" t="str">
        <f t="shared" si="10"/>
        <v>#N/A</v>
      </c>
      <c r="N13" s="492" t="str">
        <f t="shared" si="10"/>
        <v>#N/A</v>
      </c>
      <c r="O13" s="493">
        <f t="shared" si="10"/>
        <v>589</v>
      </c>
      <c r="P13" s="495">
        <f>IF(O13&lt;=0,0,Q13/O13)</f>
        <v>2602.215399</v>
      </c>
      <c r="Q13" s="497">
        <f t="shared" ref="Q13:S13" si="11">+SUM(Q6:Q12)</f>
        <v>1532704.87</v>
      </c>
      <c r="R13" s="493">
        <f t="shared" si="11"/>
        <v>-154</v>
      </c>
      <c r="S13" s="497">
        <f t="shared" si="11"/>
        <v>-623010.39</v>
      </c>
      <c r="T13" s="48"/>
      <c r="U13" s="623">
        <f>1-(J13/O13)</f>
        <v>0.2614601019</v>
      </c>
      <c r="V13" s="48"/>
      <c r="W13" s="48"/>
      <c r="X13" s="48"/>
      <c r="Y13" s="48"/>
      <c r="Z13" s="48"/>
      <c r="AA13" s="48"/>
      <c r="AB13" s="48"/>
      <c r="AC13" s="48"/>
      <c r="AD13" s="48"/>
      <c r="AE13" s="48"/>
      <c r="AF13" s="48"/>
      <c r="AG13" s="48"/>
      <c r="AH13" s="48"/>
      <c r="AI13" s="48"/>
      <c r="AJ13" s="48"/>
      <c r="AK13" s="48"/>
      <c r="AL13" s="48"/>
      <c r="AM13" s="48"/>
      <c r="AN13" s="48"/>
    </row>
    <row r="14">
      <c r="A14" s="5" t="str">
        <f t="shared" si="1"/>
        <v>Véhicules neufs</v>
      </c>
      <c r="B14" s="48" t="str">
        <f t="shared" si="2"/>
        <v>Véhicules neufs</v>
      </c>
      <c r="C14" s="500"/>
      <c r="D14" s="11"/>
      <c r="E14" s="501"/>
      <c r="F14" s="502"/>
      <c r="G14" s="500"/>
      <c r="H14" s="501"/>
      <c r="I14" s="502"/>
      <c r="J14" s="500"/>
      <c r="K14" s="503"/>
      <c r="L14" s="504"/>
      <c r="M14" s="505" t="str">
        <f>IF(D13=0,0,M13/D13)</f>
        <v>#N/A</v>
      </c>
      <c r="N14" s="506" t="str">
        <f>IF(F13=0,0,N13/F13)</f>
        <v>#N/A</v>
      </c>
      <c r="O14" s="500"/>
      <c r="P14" s="503"/>
      <c r="Q14" s="504"/>
      <c r="R14" s="505">
        <f>R13/O13</f>
        <v>-0.2614601019</v>
      </c>
      <c r="S14" s="507">
        <f>IF(Q13=0,0,(S13/Q13))</f>
        <v>-0.4064777259</v>
      </c>
      <c r="T14" s="48"/>
      <c r="U14" s="623">
        <v>0.1347</v>
      </c>
      <c r="V14" s="48"/>
      <c r="W14" s="481"/>
      <c r="X14" s="481"/>
      <c r="Y14" s="48"/>
      <c r="Z14" s="48"/>
      <c r="AA14" s="48"/>
      <c r="AB14" s="48"/>
      <c r="AC14" s="48"/>
      <c r="AD14" s="48"/>
      <c r="AE14" s="48"/>
      <c r="AF14" s="48"/>
      <c r="AG14" s="48"/>
      <c r="AH14" s="48"/>
      <c r="AI14" s="48"/>
      <c r="AJ14" s="48"/>
      <c r="AK14" s="48"/>
      <c r="AL14" s="48"/>
      <c r="AM14" s="48"/>
      <c r="AN14" s="48"/>
    </row>
    <row r="15">
      <c r="A15" s="5" t="str">
        <f t="shared" si="1"/>
        <v>Véhicules neufsEx-Démos et courtoisies</v>
      </c>
      <c r="B15" s="48" t="str">
        <f t="shared" si="2"/>
        <v>Véhicules neufs</v>
      </c>
      <c r="C15" s="508" t="s">
        <v>102</v>
      </c>
      <c r="D15" s="509" t="str">
        <f t="array" ref="D15">+SUMPRODUCT(('Budget original'!$A$8:$A$501=$A15)*('Budget original'!$C$3:$AO$3=D$2),'Budget original'!$C$8:$AO$501)</f>
        <v>#N/A</v>
      </c>
      <c r="E15" s="509" t="str">
        <f>IF(D15=0,0,F15/D15)</f>
        <v>#N/A</v>
      </c>
      <c r="F15" s="510" t="str">
        <f t="array" ref="F15">+SUMPRODUCT(('Budget original'!$A$8:$A$501=$A15)*('Budget original'!$C$3:$AO$3=F$2),'Budget original'!$C$8:$AO$501)</f>
        <v>#N/A</v>
      </c>
      <c r="G15" s="511"/>
      <c r="H15" s="509"/>
      <c r="I15" s="510"/>
      <c r="J15" s="512">
        <f>SUMIFS(BV_Data_An_Cour!$AX:$AX,BV_Data_An_Cour!$AP:$AP,$B15,BV_Data_An_Cour!$AQ:$AQ,$C15,BV_Data_An_Cour!$AY:$AY,J$2)</f>
        <v>0</v>
      </c>
      <c r="K15" s="513">
        <f>IF(J15=0,0,L15/J15)</f>
        <v>0</v>
      </c>
      <c r="L15" s="513">
        <f>-SUMIFS(BV_Data_An_Cour!$AN:$AN,BV_Data_An_Cour!$AP:$AP,$B15,BV_Data_An_Cour!$AQ:$AQ,$C15,BV_Data_An_Cour!$AR:$AR,L$2)</f>
        <v>0</v>
      </c>
      <c r="M15" s="512" t="str">
        <f>J15-D15</f>
        <v>#N/A</v>
      </c>
      <c r="N15" s="473" t="str">
        <f>L15-F15</f>
        <v>#N/A</v>
      </c>
      <c r="O15" s="512">
        <f>SUMIFS(BV_Data_An_Prec!$AX:$AX,BV_Data_An_Prec!$AP:$AP,$B15,BV_Data_An_Prec!$AQ:$AQ,$C15,BV_Data_An_Prec!$AY:$AY,O$2)</f>
        <v>0</v>
      </c>
      <c r="P15" s="513">
        <f>IF(O15=0,0,Q15/O15)</f>
        <v>0</v>
      </c>
      <c r="Q15" s="513">
        <f>-SUMIFS(BV_Data_An_Prec!$AN:$AN,BV_Data_An_Prec!$AP:$AP,$B15,BV_Data_An_Prec!$AQ:$AQ,$C15,BV_Data_An_Prec!$AR:$AR,Q$2)</f>
        <v>0</v>
      </c>
      <c r="R15" s="512">
        <f>J15-O15</f>
        <v>0</v>
      </c>
      <c r="S15" s="476">
        <f>L15-Q15</f>
        <v>0</v>
      </c>
      <c r="T15" s="48"/>
      <c r="U15" s="5"/>
      <c r="V15" s="481"/>
      <c r="W15" s="48"/>
      <c r="X15" s="48"/>
      <c r="Y15" s="48"/>
      <c r="Z15" s="48"/>
      <c r="AA15" s="48"/>
      <c r="AB15" s="48"/>
      <c r="AC15" s="48"/>
      <c r="AD15" s="48"/>
      <c r="AE15" s="48"/>
      <c r="AF15" s="48"/>
      <c r="AG15" s="48"/>
      <c r="AH15" s="48"/>
      <c r="AI15" s="48"/>
      <c r="AJ15" s="48"/>
      <c r="AK15" s="48"/>
      <c r="AL15" s="48"/>
      <c r="AM15" s="48"/>
      <c r="AN15" s="48"/>
    </row>
    <row r="16">
      <c r="A16" s="5" t="str">
        <f t="shared" si="1"/>
        <v>Véhicules neufs</v>
      </c>
      <c r="B16" s="48" t="str">
        <f t="shared" si="2"/>
        <v>Véhicules neufs</v>
      </c>
      <c r="C16" s="480"/>
      <c r="D16" s="48"/>
      <c r="E16" s="481"/>
      <c r="F16" s="514"/>
      <c r="G16" s="480"/>
      <c r="H16" s="481"/>
      <c r="I16" s="514"/>
      <c r="J16" s="480"/>
      <c r="K16" s="483"/>
      <c r="L16" s="484"/>
      <c r="M16" s="515"/>
      <c r="N16" s="516"/>
      <c r="O16" s="480"/>
      <c r="P16" s="483"/>
      <c r="Q16" s="484"/>
      <c r="R16" s="515"/>
      <c r="S16" s="484"/>
      <c r="T16" s="48"/>
      <c r="U16" s="48"/>
      <c r="V16" s="48"/>
      <c r="W16" s="48"/>
      <c r="X16" s="48"/>
      <c r="Y16" s="48"/>
      <c r="Z16" s="48"/>
      <c r="AA16" s="48"/>
      <c r="AB16" s="48"/>
      <c r="AC16" s="48"/>
      <c r="AD16" s="48"/>
      <c r="AE16" s="48"/>
      <c r="AF16" s="48"/>
      <c r="AG16" s="48"/>
      <c r="AH16" s="48"/>
      <c r="AI16" s="48"/>
      <c r="AJ16" s="48"/>
      <c r="AK16" s="48"/>
      <c r="AL16" s="48"/>
      <c r="AM16" s="48"/>
      <c r="AN16" s="48"/>
    </row>
    <row r="17">
      <c r="A17" s="5" t="str">
        <f t="shared" si="1"/>
        <v>Véhicules neufsFlottes</v>
      </c>
      <c r="B17" s="48" t="str">
        <f t="shared" si="2"/>
        <v>Véhicules neufs</v>
      </c>
      <c r="C17" s="500" t="s">
        <v>103</v>
      </c>
      <c r="D17" s="501" t="str">
        <f t="array" ref="D17">+SUMPRODUCT(('Budget original'!$A$8:$A$501=$A17)*('Budget original'!$C$3:$AO$3=D$2),'Budget original'!$C$8:$AO$501)</f>
        <v>#N/A</v>
      </c>
      <c r="E17" s="501" t="str">
        <f>IF(D17=0,0,F17/D17)</f>
        <v>#N/A</v>
      </c>
      <c r="F17" s="501" t="str">
        <f t="array" ref="F17">+SUMPRODUCT(('Budget original'!$A$8:$A$501=$A17)*('Budget original'!$C$3:$AO$3=F$2),'Budget original'!$C$8:$AO$501)</f>
        <v>#N/A</v>
      </c>
      <c r="G17" s="517"/>
      <c r="H17" s="501"/>
      <c r="I17" s="501"/>
      <c r="J17" s="512">
        <f>SUMIFS(BV_Data_An_Cour!$AX:$AX,BV_Data_An_Cour!$AP:$AP,$B17,BV_Data_An_Cour!$AQ:$AQ,$C17,BV_Data_An_Cour!$AY:$AY,J$2)</f>
        <v>989</v>
      </c>
      <c r="K17" s="483">
        <f>IF(J17=0,0,L17/J17)</f>
        <v>557.3201011</v>
      </c>
      <c r="L17" s="484">
        <f>-SUMIFS(BV_Data_An_Cour!$AN:$AN,BV_Data_An_Cour!$AP:$AP,$B17,BV_Data_An_Cour!$AQ:$AQ,$C17,BV_Data_An_Cour!$AR:$AR,L$2)</f>
        <v>551189.58</v>
      </c>
      <c r="M17" s="512" t="str">
        <f>J17-D17</f>
        <v>#N/A</v>
      </c>
      <c r="N17" s="485" t="str">
        <f>L17-F17</f>
        <v>#N/A</v>
      </c>
      <c r="O17" s="512">
        <f>SUMIFS(BV_Data_An_Prec!$AX:$AX,BV_Data_An_Prec!$AP:$AP,$B17,BV_Data_An_Prec!$AQ:$AQ,$C17,BV_Data_An_Prec!$AY:$AY,O$2)</f>
        <v>1252</v>
      </c>
      <c r="P17" s="483">
        <f>IF(O17=0,0,Q17/O17)</f>
        <v>620.5440096</v>
      </c>
      <c r="Q17" s="484">
        <f>-SUMIFS(BV_Data_An_Prec!$AN:$AN,BV_Data_An_Prec!$AP:$AP,$B17,BV_Data_An_Prec!$AQ:$AQ,$C17,BV_Data_An_Prec!$AR:$AR,Q$2)</f>
        <v>776921.1</v>
      </c>
      <c r="R17" s="482">
        <f>J17-O17</f>
        <v>-263</v>
      </c>
      <c r="S17" s="484">
        <f>L17-Q17</f>
        <v>-225731.52</v>
      </c>
      <c r="T17" s="48"/>
      <c r="U17" s="40"/>
      <c r="V17" s="797"/>
      <c r="W17" s="48"/>
      <c r="X17" s="48"/>
      <c r="Y17" s="48"/>
      <c r="Z17" s="48"/>
      <c r="AA17" s="481"/>
      <c r="AB17" s="48"/>
      <c r="AC17" s="48"/>
      <c r="AD17" s="48"/>
      <c r="AE17" s="48"/>
      <c r="AF17" s="48"/>
      <c r="AG17" s="48"/>
      <c r="AH17" s="48"/>
      <c r="AI17" s="48"/>
      <c r="AJ17" s="48"/>
      <c r="AK17" s="48"/>
      <c r="AL17" s="48"/>
      <c r="AM17" s="48"/>
      <c r="AN17" s="48"/>
    </row>
    <row r="18" hidden="1">
      <c r="A18" s="5" t="str">
        <f t="shared" si="1"/>
        <v>Véhicules neufs</v>
      </c>
      <c r="B18" s="48" t="str">
        <f t="shared" si="2"/>
        <v>Véhicules neufs</v>
      </c>
      <c r="C18" s="490"/>
      <c r="D18" s="519"/>
      <c r="E18" s="519"/>
      <c r="F18" s="520"/>
      <c r="G18" s="521"/>
      <c r="H18" s="519"/>
      <c r="I18" s="520"/>
      <c r="J18" s="482"/>
      <c r="K18" s="522"/>
      <c r="L18" s="523"/>
      <c r="M18" s="482"/>
      <c r="N18" s="520"/>
      <c r="O18" s="482"/>
      <c r="P18" s="522"/>
      <c r="Q18" s="523"/>
      <c r="R18" s="521"/>
      <c r="S18" s="523"/>
      <c r="T18" s="48"/>
      <c r="U18" s="48"/>
      <c r="W18" s="48"/>
      <c r="X18" s="48"/>
      <c r="Y18" s="48"/>
      <c r="Z18" s="48"/>
      <c r="AA18" s="48"/>
      <c r="AB18" s="48"/>
      <c r="AC18" s="48"/>
      <c r="AD18" s="48"/>
      <c r="AE18" s="48"/>
      <c r="AF18" s="48"/>
      <c r="AG18" s="48"/>
      <c r="AH18" s="48"/>
      <c r="AI18" s="48"/>
      <c r="AJ18" s="48"/>
      <c r="AK18" s="48"/>
      <c r="AL18" s="48"/>
      <c r="AM18" s="48"/>
      <c r="AN18" s="48"/>
    </row>
    <row r="19" hidden="1">
      <c r="A19" s="5" t="str">
        <f t="shared" si="1"/>
        <v>Véhicules neufs</v>
      </c>
      <c r="B19" s="48" t="str">
        <f t="shared" si="2"/>
        <v>Véhicules neufs</v>
      </c>
      <c r="C19" s="508"/>
      <c r="D19" s="481"/>
      <c r="E19" s="481"/>
      <c r="F19" s="481"/>
      <c r="G19" s="482"/>
      <c r="H19" s="481"/>
      <c r="I19" s="481"/>
      <c r="J19" s="512"/>
      <c r="K19" s="483"/>
      <c r="L19" s="484"/>
      <c r="M19" s="482"/>
      <c r="N19" s="485"/>
      <c r="O19" s="512"/>
      <c r="P19" s="483"/>
      <c r="Q19" s="484"/>
      <c r="R19" s="482"/>
      <c r="S19" s="484"/>
      <c r="T19" s="48"/>
      <c r="W19" s="481"/>
      <c r="X19" s="524"/>
      <c r="Y19" s="48"/>
      <c r="Z19" s="48"/>
      <c r="AA19" s="48"/>
      <c r="AB19" s="48"/>
      <c r="AC19" s="48"/>
      <c r="AD19" s="48"/>
      <c r="AE19" s="48"/>
      <c r="AF19" s="48"/>
      <c r="AG19" s="48"/>
      <c r="AH19" s="48"/>
      <c r="AI19" s="48"/>
      <c r="AJ19" s="48"/>
      <c r="AK19" s="48"/>
      <c r="AL19" s="48"/>
      <c r="AM19" s="48"/>
      <c r="AN19" s="48"/>
    </row>
    <row r="20">
      <c r="A20" s="5" t="str">
        <f t="shared" si="1"/>
        <v>Véhicules neufs</v>
      </c>
      <c r="B20" s="48" t="str">
        <f t="shared" si="2"/>
        <v>Véhicules neufs</v>
      </c>
      <c r="C20" s="490"/>
      <c r="D20" s="519"/>
      <c r="E20" s="519"/>
      <c r="F20" s="520"/>
      <c r="G20" s="521"/>
      <c r="H20" s="519"/>
      <c r="I20" s="520"/>
      <c r="J20" s="482"/>
      <c r="K20" s="522"/>
      <c r="L20" s="523"/>
      <c r="M20" s="521"/>
      <c r="N20" s="520"/>
      <c r="O20" s="482"/>
      <c r="P20" s="522"/>
      <c r="Q20" s="523"/>
      <c r="R20" s="521"/>
      <c r="S20" s="523"/>
      <c r="T20" s="48"/>
      <c r="U20" s="48"/>
      <c r="W20" s="481"/>
      <c r="X20" s="524"/>
      <c r="Y20" s="48"/>
      <c r="Z20" s="48"/>
      <c r="AA20" s="48"/>
      <c r="AB20" s="48"/>
      <c r="AC20" s="48"/>
      <c r="AD20" s="48"/>
      <c r="AE20" s="48"/>
      <c r="AF20" s="48"/>
      <c r="AG20" s="48"/>
      <c r="AH20" s="48"/>
      <c r="AI20" s="48"/>
      <c r="AJ20" s="48"/>
      <c r="AK20" s="48"/>
      <c r="AL20" s="48"/>
      <c r="AM20" s="48"/>
      <c r="AN20" s="48"/>
    </row>
    <row r="21" ht="15.75" customHeight="1">
      <c r="A21" s="5" t="str">
        <f t="shared" si="1"/>
        <v>Véhicules neufsRev. Finances</v>
      </c>
      <c r="B21" s="48" t="str">
        <f t="shared" si="2"/>
        <v>Véhicules neufs</v>
      </c>
      <c r="C21" s="480" t="s">
        <v>105</v>
      </c>
      <c r="D21" s="481"/>
      <c r="E21" s="481"/>
      <c r="F21" s="481" t="str">
        <f t="array" ref="F21">+SUMPRODUCT(('Budget original'!$A$8:$A$501=$A21)*('Budget original'!$C$3:$AO$3=F$2),'Budget original'!$C$8:$AO$501)</f>
        <v>#N/A</v>
      </c>
      <c r="G21" s="482"/>
      <c r="H21" s="481"/>
      <c r="I21" s="481"/>
      <c r="J21" s="482"/>
      <c r="K21" s="483">
        <f>IF(J13=0,0,L21/(J13+J15))</f>
        <v>25.78990805</v>
      </c>
      <c r="L21" s="484">
        <f>-SUMIFS(BV_Data_An_Cour!$AN:$AN,BV_Data_An_Cour!$AP:$AP,$B21,BV_Data_An_Cour!$AQ:$AQ,$C21,BV_Data_An_Cour!$AR:$AR,L$2)</f>
        <v>11218.61</v>
      </c>
      <c r="M21" s="482"/>
      <c r="N21" s="485" t="str">
        <f t="shared" ref="N21:N24" si="12">L21-F21</f>
        <v>#N/A</v>
      </c>
      <c r="O21" s="482"/>
      <c r="P21" s="483">
        <f>IF(O13=0,0,Q21/(O13+O15))</f>
        <v>9.053870968</v>
      </c>
      <c r="Q21" s="484">
        <f>-SUMIFS(BV_Data_An_Prec!$AN:$AN,BV_Data_An_Prec!$AP:$AP,$B21,BV_Data_An_Prec!$AQ:$AQ,$C21,BV_Data_An_Prec!$AR:$AR,Q$2)</f>
        <v>5332.73</v>
      </c>
      <c r="R21" s="486">
        <f t="shared" ref="R21:R24" si="13">P21-K21</f>
        <v>-16.73603708</v>
      </c>
      <c r="S21" s="484">
        <f t="shared" ref="S21:S24" si="14">L21-Q21</f>
        <v>5885.88</v>
      </c>
      <c r="T21" s="48"/>
      <c r="U21" s="48"/>
      <c r="W21" s="48"/>
      <c r="X21" s="524"/>
      <c r="Y21" s="48"/>
      <c r="Z21" s="48"/>
      <c r="AA21" s="48"/>
      <c r="AB21" s="48"/>
      <c r="AC21" s="48"/>
      <c r="AD21" s="48"/>
      <c r="AE21" s="48"/>
      <c r="AF21" s="48"/>
      <c r="AG21" s="48"/>
      <c r="AH21" s="48"/>
      <c r="AI21" s="48"/>
      <c r="AJ21" s="48"/>
      <c r="AK21" s="48"/>
      <c r="AL21" s="48"/>
      <c r="AM21" s="48"/>
      <c r="AN21" s="48"/>
    </row>
    <row r="22" ht="18.0" customHeight="1">
      <c r="A22" s="5" t="str">
        <f t="shared" si="1"/>
        <v>Véhicules neufsRev. Protections</v>
      </c>
      <c r="B22" s="48" t="str">
        <f t="shared" si="2"/>
        <v>Véhicules neufs</v>
      </c>
      <c r="C22" s="480" t="s">
        <v>106</v>
      </c>
      <c r="D22" s="481"/>
      <c r="E22" s="481"/>
      <c r="F22" s="481" t="str">
        <f t="array" ref="F22">+SUMPRODUCT(('Budget original'!$A$8:$A$501=$A22)*('Budget original'!$C$3:$AO$3=F$2),'Budget original'!$C$8:$AO$501)</f>
        <v>#N/A</v>
      </c>
      <c r="G22" s="482"/>
      <c r="H22" s="481"/>
      <c r="I22" s="481"/>
      <c r="J22" s="482"/>
      <c r="K22" s="483">
        <f>IF(J13=0,0,L22/(J13+J15))</f>
        <v>741.1314483</v>
      </c>
      <c r="L22" s="484">
        <f>-SUMIFS(BV_Data_An_Cour!$AN:$AN,BV_Data_An_Cour!$AP:$AP,$B22,BV_Data_An_Cour!$AQ:$AQ,$C22,BV_Data_An_Cour!$AR:$AR,L$2)</f>
        <v>322392.18</v>
      </c>
      <c r="M22" s="482"/>
      <c r="N22" s="485" t="str">
        <f t="shared" si="12"/>
        <v>#N/A</v>
      </c>
      <c r="O22" s="482"/>
      <c r="P22" s="483">
        <f>IF(O13=0,0,Q22/(O13+O15))</f>
        <v>685.2388795</v>
      </c>
      <c r="Q22" s="484">
        <f>-SUMIFS(BV_Data_An_Prec!$AN:$AN,BV_Data_An_Prec!$AP:$AP,$B22,BV_Data_An_Prec!$AQ:$AQ,$C22,BV_Data_An_Prec!$AR:$AR,Q$2)</f>
        <v>403605.7</v>
      </c>
      <c r="R22" s="486">
        <f t="shared" si="13"/>
        <v>-55.89256882</v>
      </c>
      <c r="S22" s="484">
        <f t="shared" si="14"/>
        <v>-81213.52</v>
      </c>
      <c r="T22" s="48"/>
      <c r="U22" s="48"/>
      <c r="V22" s="48"/>
      <c r="W22" s="48"/>
      <c r="X22" s="48"/>
      <c r="Y22" s="48"/>
      <c r="Z22" s="48"/>
      <c r="AA22" s="48"/>
      <c r="AB22" s="48"/>
      <c r="AC22" s="48"/>
      <c r="AD22" s="48"/>
      <c r="AE22" s="48"/>
      <c r="AF22" s="48"/>
      <c r="AG22" s="48"/>
      <c r="AH22" s="48"/>
      <c r="AI22" s="48"/>
      <c r="AJ22" s="48"/>
      <c r="AK22" s="48"/>
      <c r="AL22" s="48"/>
      <c r="AM22" s="48"/>
      <c r="AN22" s="48"/>
    </row>
    <row r="23" ht="19.5" customHeight="1">
      <c r="A23" s="5" t="str">
        <f t="shared" si="1"/>
        <v>Véhicules neufsRev. Autres</v>
      </c>
      <c r="B23" s="48" t="str">
        <f t="shared" si="2"/>
        <v>Véhicules neufs</v>
      </c>
      <c r="C23" s="480" t="s">
        <v>107</v>
      </c>
      <c r="D23" s="481"/>
      <c r="E23" s="481"/>
      <c r="F23" s="481" t="str">
        <f t="array" ref="F23">+SUMPRODUCT(('Budget original'!$A$8:$A$501=$A23)*('Budget original'!$C$3:$AO$3=F$2),'Budget original'!$C$8:$AO$501)</f>
        <v>#N/A</v>
      </c>
      <c r="G23" s="482"/>
      <c r="H23" s="481"/>
      <c r="I23" s="481"/>
      <c r="J23" s="482"/>
      <c r="K23" s="483">
        <f>IF(J13=0,0,L23/(J13+J15))</f>
        <v>86.00524138</v>
      </c>
      <c r="L23" s="484">
        <f>-SUMIFS(BV_Data_An_Cour!$AN:$AN,BV_Data_An_Cour!$AP:$AP,$B23,BV_Data_An_Cour!$AQ:$AQ,$C23,BV_Data_An_Cour!$AR:$AR,L$2)</f>
        <v>37412.28</v>
      </c>
      <c r="M23" s="512"/>
      <c r="N23" s="485" t="str">
        <f t="shared" si="12"/>
        <v>#N/A</v>
      </c>
      <c r="O23" s="482"/>
      <c r="P23" s="483">
        <f>IF(O13=0,0,Q23/(O13+O15))</f>
        <v>68.9796944</v>
      </c>
      <c r="Q23" s="484">
        <f>-SUMIFS(BV_Data_An_Prec!$AN:$AN,BV_Data_An_Prec!$AP:$AP,$B23,BV_Data_An_Prec!$AQ:$AQ,$C23,BV_Data_An_Prec!$AR:$AR,Q$2)</f>
        <v>40629.04</v>
      </c>
      <c r="R23" s="486">
        <f t="shared" si="13"/>
        <v>-17.02554698</v>
      </c>
      <c r="S23" s="484">
        <f t="shared" si="14"/>
        <v>-3216.76</v>
      </c>
      <c r="T23" s="48"/>
      <c r="U23" s="48"/>
      <c r="V23" s="48"/>
      <c r="W23" s="48"/>
      <c r="X23" s="48"/>
      <c r="Y23" s="48"/>
      <c r="Z23" s="48"/>
      <c r="AA23" s="48"/>
      <c r="AB23" s="48"/>
      <c r="AC23" s="48"/>
      <c r="AD23" s="48"/>
      <c r="AE23" s="48"/>
      <c r="AF23" s="48"/>
      <c r="AG23" s="48"/>
      <c r="AH23" s="48"/>
      <c r="AI23" s="48"/>
      <c r="AJ23" s="48"/>
      <c r="AK23" s="48"/>
      <c r="AL23" s="48"/>
      <c r="AM23" s="48"/>
      <c r="AN23" s="48"/>
    </row>
    <row r="24" ht="18.0" customHeight="1">
      <c r="A24" s="5" t="str">
        <f t="shared" si="1"/>
        <v>Véhicules neufsTotal F&amp;I</v>
      </c>
      <c r="B24" s="48" t="str">
        <f t="shared" si="2"/>
        <v>Véhicules neufs</v>
      </c>
      <c r="C24" s="490" t="s">
        <v>108</v>
      </c>
      <c r="D24" s="491" t="str">
        <f>+D15+D13</f>
        <v>#N/A</v>
      </c>
      <c r="E24" s="491" t="str">
        <f>IF(D24&lt;=0,0,F24/D24)</f>
        <v>#N/A</v>
      </c>
      <c r="F24" s="492" t="str">
        <f>F21+F22+F23</f>
        <v>#N/A</v>
      </c>
      <c r="G24" s="493"/>
      <c r="H24" s="491"/>
      <c r="I24" s="492"/>
      <c r="J24" s="493">
        <f>+J15+J13</f>
        <v>435</v>
      </c>
      <c r="K24" s="495">
        <f>IF(J24&lt;=0,0,L24/J24)</f>
        <v>852.9265977</v>
      </c>
      <c r="L24" s="497">
        <f>L21+L22+L23</f>
        <v>371023.07</v>
      </c>
      <c r="M24" s="517" t="str">
        <f>J24-D24</f>
        <v>#N/A</v>
      </c>
      <c r="N24" s="492" t="str">
        <f t="shared" si="12"/>
        <v>#N/A</v>
      </c>
      <c r="O24" s="493">
        <f>+O15+O13</f>
        <v>589</v>
      </c>
      <c r="P24" s="495">
        <f>IF(O24&lt;=0,0,Q24/O24)</f>
        <v>763.2724448</v>
      </c>
      <c r="Q24" s="497">
        <f>Q21+Q22+Q23</f>
        <v>449567.47</v>
      </c>
      <c r="R24" s="252">
        <f t="shared" si="13"/>
        <v>-89.65415288</v>
      </c>
      <c r="S24" s="497">
        <f t="shared" si="14"/>
        <v>-78544.4</v>
      </c>
      <c r="T24" s="48"/>
      <c r="U24" s="548">
        <f>L24-L32</f>
        <v>251717.7</v>
      </c>
      <c r="V24" s="48"/>
      <c r="W24" s="48"/>
      <c r="X24" s="48"/>
      <c r="Y24" s="48"/>
      <c r="Z24" s="48"/>
      <c r="AA24" s="48"/>
      <c r="AB24" s="48"/>
      <c r="AC24" s="48"/>
      <c r="AD24" s="48"/>
      <c r="AE24" s="48"/>
      <c r="AF24" s="48"/>
      <c r="AG24" s="48"/>
      <c r="AH24" s="48"/>
      <c r="AI24" s="48"/>
      <c r="AJ24" s="48"/>
      <c r="AK24" s="48"/>
      <c r="AL24" s="48"/>
      <c r="AM24" s="48"/>
      <c r="AN24" s="48"/>
    </row>
    <row r="25" ht="15.75" customHeight="1">
      <c r="A25" s="5" t="str">
        <f t="shared" si="1"/>
        <v>Véhicules neufs</v>
      </c>
      <c r="B25" s="48" t="str">
        <f t="shared" si="2"/>
        <v>Véhicules neufs</v>
      </c>
      <c r="C25" s="480"/>
      <c r="D25" s="48"/>
      <c r="E25" s="48"/>
      <c r="F25" s="484"/>
      <c r="G25" s="480"/>
      <c r="H25" s="48"/>
      <c r="I25" s="484"/>
      <c r="J25" s="480"/>
      <c r="K25" s="483"/>
      <c r="L25" s="484"/>
      <c r="M25" s="525"/>
      <c r="N25" s="507" t="str">
        <f>IF(N24=0,0,N24/F24)</f>
        <v>#N/A</v>
      </c>
      <c r="O25" s="480"/>
      <c r="P25" s="483"/>
      <c r="Q25" s="484"/>
      <c r="R25" s="486"/>
      <c r="S25" s="507">
        <f>IF(Q24=0,0,(S24/Q24))</f>
        <v>-0.1747110395</v>
      </c>
      <c r="T25" s="48"/>
      <c r="U25" s="48"/>
      <c r="V25" s="48"/>
      <c r="W25" s="48"/>
      <c r="X25" s="48"/>
      <c r="Y25" s="48"/>
      <c r="Z25" s="48"/>
      <c r="AA25" s="48"/>
      <c r="AB25" s="48"/>
      <c r="AC25" s="48"/>
      <c r="AD25" s="48"/>
      <c r="AE25" s="48"/>
      <c r="AF25" s="48"/>
      <c r="AG25" s="48"/>
      <c r="AH25" s="48"/>
      <c r="AI25" s="48"/>
      <c r="AJ25" s="48"/>
      <c r="AK25" s="48"/>
      <c r="AL25" s="48"/>
      <c r="AM25" s="48"/>
      <c r="AN25" s="48"/>
    </row>
    <row r="26" ht="15.75" customHeight="1">
      <c r="A26" s="5" t="str">
        <f t="shared" si="1"/>
        <v>Véhicules neufs</v>
      </c>
      <c r="B26" s="48" t="str">
        <f t="shared" si="2"/>
        <v>Véhicules neufs</v>
      </c>
      <c r="C26" s="480"/>
      <c r="D26" s="48"/>
      <c r="E26" s="48"/>
      <c r="F26" s="514"/>
      <c r="G26" s="480"/>
      <c r="H26" s="48"/>
      <c r="I26" s="514"/>
      <c r="J26" s="480"/>
      <c r="K26" s="483"/>
      <c r="L26" s="484"/>
      <c r="M26" s="480"/>
      <c r="N26" s="514"/>
      <c r="O26" s="480"/>
      <c r="P26" s="483"/>
      <c r="Q26" s="484"/>
      <c r="R26" s="486"/>
      <c r="S26" s="484"/>
      <c r="T26" s="48"/>
      <c r="U26" s="48"/>
      <c r="V26" s="48"/>
      <c r="W26" s="48"/>
      <c r="X26" s="48"/>
      <c r="Y26" s="48"/>
      <c r="Z26" s="48"/>
      <c r="AA26" s="48"/>
      <c r="AB26" s="48"/>
      <c r="AC26" s="48"/>
      <c r="AD26" s="48"/>
      <c r="AE26" s="48"/>
      <c r="AF26" s="48"/>
      <c r="AG26" s="48"/>
      <c r="AH26" s="48"/>
      <c r="AI26" s="48"/>
      <c r="AJ26" s="48"/>
      <c r="AK26" s="48"/>
      <c r="AL26" s="48"/>
      <c r="AM26" s="48"/>
      <c r="AN26" s="48"/>
    </row>
    <row r="27" ht="18.0" customHeight="1">
      <c r="A27" s="5" t="str">
        <f t="shared" si="1"/>
        <v>Véhicules neufsTotal Dépt. Neufs</v>
      </c>
      <c r="B27" s="48" t="str">
        <f t="shared" si="2"/>
        <v>Véhicules neufs</v>
      </c>
      <c r="C27" s="526" t="s">
        <v>109</v>
      </c>
      <c r="D27" s="527" t="str">
        <f>+D13+D15+D17</f>
        <v>#N/A</v>
      </c>
      <c r="E27" s="528" t="str">
        <f>IF(D27&lt;=0,0,F27/D27)</f>
        <v>#N/A</v>
      </c>
      <c r="F27" s="529" t="str">
        <f>F13+F17+F24+F19+F15</f>
        <v>#N/A</v>
      </c>
      <c r="G27" s="530"/>
      <c r="H27" s="528"/>
      <c r="I27" s="529"/>
      <c r="J27" s="530">
        <f>+J13+J15+J17</f>
        <v>1424</v>
      </c>
      <c r="K27" s="527">
        <f>IF(J27&lt;=0,0,L27/J27)</f>
        <v>1286.451636</v>
      </c>
      <c r="L27" s="529">
        <f>L13+L17+L24+L19+L15</f>
        <v>1831907.13</v>
      </c>
      <c r="M27" s="530" t="str">
        <f>J27-D27</f>
        <v>#N/A</v>
      </c>
      <c r="N27" s="529" t="str">
        <f>L27-F27</f>
        <v>#N/A</v>
      </c>
      <c r="O27" s="530">
        <f>+O13+O15+O17</f>
        <v>1841</v>
      </c>
      <c r="P27" s="527">
        <f>IF(O27&lt;=0,0,Q27/O27)</f>
        <v>1498.747116</v>
      </c>
      <c r="Q27" s="529">
        <f>Q13+Q17+Q24+Q19+Q15</f>
        <v>2759193.44</v>
      </c>
      <c r="R27" s="530">
        <f>J27-O27</f>
        <v>-417</v>
      </c>
      <c r="S27" s="529">
        <f>L27-Q27</f>
        <v>-927286.31</v>
      </c>
      <c r="T27" s="48"/>
      <c r="U27" s="48"/>
      <c r="V27" s="48"/>
      <c r="W27" s="48"/>
      <c r="X27" s="48"/>
      <c r="Y27" s="48"/>
      <c r="Z27" s="48"/>
      <c r="AA27" s="48"/>
      <c r="AB27" s="48"/>
      <c r="AC27" s="48"/>
      <c r="AD27" s="48"/>
      <c r="AE27" s="48"/>
      <c r="AF27" s="48"/>
      <c r="AG27" s="48"/>
      <c r="AH27" s="48"/>
      <c r="AI27" s="48"/>
      <c r="AJ27" s="48"/>
      <c r="AK27" s="48"/>
      <c r="AL27" s="48"/>
      <c r="AM27" s="48"/>
      <c r="AN27" s="48"/>
    </row>
    <row r="28" ht="22.5" customHeight="1">
      <c r="A28" s="5" t="str">
        <f t="shared" si="1"/>
        <v>Véhicules neufs</v>
      </c>
      <c r="B28" s="48" t="str">
        <f t="shared" si="2"/>
        <v>Véhicules neufs</v>
      </c>
      <c r="C28" s="531"/>
      <c r="D28" s="532"/>
      <c r="E28" s="532"/>
      <c r="F28" s="533"/>
      <c r="G28" s="531"/>
      <c r="H28" s="532"/>
      <c r="I28" s="533"/>
      <c r="J28" s="531"/>
      <c r="K28" s="534"/>
      <c r="L28" s="535"/>
      <c r="M28" s="536"/>
      <c r="N28" s="537"/>
      <c r="O28" s="531"/>
      <c r="P28" s="534"/>
      <c r="Q28" s="535">
        <f>+Q27/K27</f>
        <v>2144.809305</v>
      </c>
      <c r="R28" s="536">
        <f>R27/O27</f>
        <v>-0.226507333</v>
      </c>
      <c r="S28" s="538">
        <f>IF(Q27=0,0,S27/Q27)</f>
        <v>-0.3360715115</v>
      </c>
      <c r="T28" s="48"/>
      <c r="U28" s="48"/>
      <c r="V28" s="48"/>
      <c r="W28" s="48"/>
      <c r="X28" s="48"/>
      <c r="Y28" s="48"/>
      <c r="Z28" s="48"/>
      <c r="AA28" s="48"/>
      <c r="AB28" s="48"/>
      <c r="AC28" s="48"/>
      <c r="AD28" s="48"/>
      <c r="AE28" s="48"/>
      <c r="AF28" s="48"/>
      <c r="AG28" s="48"/>
      <c r="AH28" s="48"/>
      <c r="AI28" s="48"/>
      <c r="AJ28" s="48"/>
      <c r="AK28" s="48"/>
      <c r="AL28" s="48"/>
      <c r="AM28" s="48"/>
      <c r="AN28" s="48"/>
    </row>
    <row r="29" ht="15.75" customHeight="1">
      <c r="A29" s="5" t="str">
        <f t="shared" si="1"/>
        <v>Véhicules neufs</v>
      </c>
      <c r="B29" s="48" t="str">
        <f t="shared" si="2"/>
        <v>Véhicules neufs</v>
      </c>
      <c r="C29" s="500"/>
      <c r="D29" s="11"/>
      <c r="E29" s="11"/>
      <c r="F29" s="502"/>
      <c r="G29" s="500"/>
      <c r="H29" s="11"/>
      <c r="I29" s="502"/>
      <c r="J29" s="500"/>
      <c r="K29" s="503"/>
      <c r="L29" s="504"/>
      <c r="M29" s="525"/>
      <c r="N29" s="507"/>
      <c r="O29" s="500"/>
      <c r="P29" s="503"/>
      <c r="Q29" s="504"/>
      <c r="R29" s="525"/>
      <c r="S29" s="504"/>
      <c r="T29" s="48"/>
      <c r="U29" s="483"/>
      <c r="V29" s="48"/>
      <c r="W29" s="48"/>
      <c r="X29" s="48"/>
      <c r="Y29" s="48"/>
      <c r="Z29" s="48"/>
      <c r="AA29" s="48"/>
      <c r="AB29" s="48"/>
      <c r="AC29" s="48"/>
      <c r="AD29" s="48"/>
      <c r="AE29" s="48"/>
      <c r="AF29" s="48"/>
      <c r="AG29" s="48"/>
      <c r="AH29" s="48"/>
      <c r="AI29" s="48"/>
      <c r="AJ29" s="48"/>
      <c r="AK29" s="48"/>
      <c r="AL29" s="48"/>
      <c r="AM29" s="48"/>
      <c r="AN29" s="48"/>
    </row>
    <row r="30" ht="15.75" customHeight="1">
      <c r="A30" s="5" t="str">
        <f t="shared" si="1"/>
        <v>Véhicules neufsDEPENSES</v>
      </c>
      <c r="B30" s="48" t="str">
        <f t="shared" si="2"/>
        <v>Véhicules neufs</v>
      </c>
      <c r="C30" s="541" t="s">
        <v>110</v>
      </c>
      <c r="D30" s="48"/>
      <c r="E30" s="41"/>
      <c r="F30" s="484"/>
      <c r="G30" s="480"/>
      <c r="H30" s="41"/>
      <c r="I30" s="484"/>
      <c r="J30" s="480"/>
      <c r="K30" s="542"/>
      <c r="L30" s="484"/>
      <c r="M30" s="480"/>
      <c r="N30" s="514"/>
      <c r="O30" s="480"/>
      <c r="P30" s="542"/>
      <c r="Q30" s="484"/>
      <c r="R30" s="480"/>
      <c r="S30" s="484"/>
      <c r="T30" s="48"/>
      <c r="U30" s="48"/>
      <c r="V30" s="48"/>
      <c r="W30" s="48"/>
      <c r="X30" s="48"/>
      <c r="Y30" s="48"/>
      <c r="Z30" s="48"/>
      <c r="AA30" s="48"/>
      <c r="AB30" s="48"/>
      <c r="AC30" s="48"/>
      <c r="AD30" s="48"/>
      <c r="AE30" s="48"/>
      <c r="AF30" s="48"/>
      <c r="AG30" s="48"/>
      <c r="AH30" s="48"/>
      <c r="AI30" s="48"/>
      <c r="AJ30" s="48"/>
      <c r="AK30" s="48"/>
      <c r="AL30" s="48"/>
      <c r="AM30" s="48"/>
      <c r="AN30" s="48"/>
    </row>
    <row r="31" ht="15.0" customHeight="1">
      <c r="A31" s="5" t="str">
        <f t="shared" si="1"/>
        <v>Véhicules neufsComm. vendeurs</v>
      </c>
      <c r="B31" s="48" t="str">
        <f t="shared" si="2"/>
        <v>Véhicules neufs</v>
      </c>
      <c r="C31" s="480" t="s">
        <v>111</v>
      </c>
      <c r="D31" s="543"/>
      <c r="E31" s="483" t="str">
        <f t="shared" ref="E31:E40" si="15">F31/D$24</f>
        <v>#N/A</v>
      </c>
      <c r="F31" s="481" t="str">
        <f t="array" ref="F31">+SUMPRODUCT(('Budget original'!$A$8:$A$501=$A31)*('Budget original'!$C$3:$AO$3=F$2),'Budget original'!$C$8:$AO$501)</f>
        <v>#N/A</v>
      </c>
      <c r="G31" s="515"/>
      <c r="H31" s="483"/>
      <c r="I31" s="481"/>
      <c r="J31" s="515">
        <f>L31/(L15+L13+L17)</f>
        <v>0.2441088515</v>
      </c>
      <c r="K31" s="483">
        <f t="shared" ref="K31:K40" si="16">IF(L31=0,0,L31/J$24)</f>
        <v>819.803977</v>
      </c>
      <c r="L31" s="484">
        <f>SUMIFS(BV_Data_An_Cour!$AN:$AN,BV_Data_An_Cour!$AP:$AP,$B31,BV_Data_An_Cour!$AQ:$AQ,$C31,BV_Data_An_Cour!$AR:$AR,L$2)</f>
        <v>356614.73</v>
      </c>
      <c r="M31" s="480"/>
      <c r="N31" s="484" t="str">
        <f t="shared" ref="N31:N53" si="17">L31-F31</f>
        <v>#N/A</v>
      </c>
      <c r="O31" s="515">
        <f>Q31/(Q15+Q13+Q17)</f>
        <v>0.2200001977</v>
      </c>
      <c r="P31" s="483">
        <f t="shared" ref="P31:P40" si="18">IF(Q31=0,0,Q31/O$24)</f>
        <v>862.6794058</v>
      </c>
      <c r="Q31" s="484">
        <f>SUMIFS(BV_Data_An_Prec!$AN:$AN,BV_Data_An_Prec!$AP:$AP,$B31,BV_Data_An_Prec!$AQ:$AQ,$C31,BV_Data_An_Prec!$AR:$AR,Q$2)</f>
        <v>508118.17</v>
      </c>
      <c r="R31" s="480"/>
      <c r="S31" s="484">
        <f t="shared" ref="S31:S41" si="19">L31-Q31</f>
        <v>-151503.44</v>
      </c>
      <c r="T31" s="48"/>
      <c r="U31" s="48"/>
      <c r="V31" s="48"/>
      <c r="W31" s="48"/>
      <c r="X31" s="48"/>
      <c r="Y31" s="48"/>
      <c r="Z31" s="48"/>
      <c r="AA31" s="48"/>
      <c r="AB31" s="48"/>
      <c r="AC31" s="48"/>
      <c r="AD31" s="48"/>
      <c r="AE31" s="48"/>
      <c r="AF31" s="48"/>
      <c r="AG31" s="48"/>
      <c r="AH31" s="48"/>
      <c r="AI31" s="48"/>
      <c r="AJ31" s="48"/>
      <c r="AK31" s="48"/>
      <c r="AL31" s="48"/>
      <c r="AM31" s="48"/>
      <c r="AN31" s="48"/>
    </row>
    <row r="32" ht="15.75" customHeight="1">
      <c r="A32" s="5" t="str">
        <f t="shared" si="1"/>
        <v>Véhicules neufsComm. F&amp;I</v>
      </c>
      <c r="B32" s="48" t="str">
        <f t="shared" si="2"/>
        <v>Véhicules neufs</v>
      </c>
      <c r="C32" s="471" t="s">
        <v>112</v>
      </c>
      <c r="D32" s="544"/>
      <c r="E32" s="513" t="str">
        <f t="shared" si="15"/>
        <v>#N/A</v>
      </c>
      <c r="F32" s="473" t="str">
        <f t="array" ref="F32">+SUMPRODUCT(('Budget original'!$A$8:$A$501=$A32)*('Budget original'!$C$3:$AO$3=F$2),'Budget original'!$C$8:$AO$501)</f>
        <v>#N/A</v>
      </c>
      <c r="G32" s="545"/>
      <c r="H32" s="513"/>
      <c r="I32" s="473"/>
      <c r="J32" s="545">
        <f>L32/L24</f>
        <v>0.3215578212</v>
      </c>
      <c r="K32" s="513">
        <f t="shared" si="16"/>
        <v>274.2652184</v>
      </c>
      <c r="L32" s="484">
        <f>SUMIFS(BV_Data_An_Cour!$AN:$AN,BV_Data_An_Cour!$AP:$AP,$B32,BV_Data_An_Cour!$AQ:$AQ,$C32,BV_Data_An_Cour!$AR:$AR,L$2)</f>
        <v>119305.37</v>
      </c>
      <c r="M32" s="471"/>
      <c r="N32" s="476" t="str">
        <f t="shared" si="17"/>
        <v>#N/A</v>
      </c>
      <c r="O32" s="545">
        <f>Q32/Q24</f>
        <v>0.2729336711</v>
      </c>
      <c r="P32" s="513">
        <f t="shared" si="18"/>
        <v>208.3227504</v>
      </c>
      <c r="Q32" s="476">
        <f>SUMIFS(BV_Data_An_Prec!$AN:$AN,BV_Data_An_Prec!$AP:$AP,$B32,BV_Data_An_Prec!$AQ:$AQ,$C32,BV_Data_An_Prec!$AR:$AR,Q$2)</f>
        <v>122702.1</v>
      </c>
      <c r="R32" s="471"/>
      <c r="S32" s="476">
        <f t="shared" si="19"/>
        <v>-3396.73</v>
      </c>
      <c r="T32" s="48"/>
      <c r="Z32" s="48"/>
      <c r="AA32" s="48"/>
      <c r="AB32" s="48"/>
      <c r="AC32" s="48"/>
      <c r="AD32" s="48"/>
      <c r="AE32" s="48"/>
      <c r="AF32" s="48"/>
      <c r="AG32" s="48"/>
      <c r="AH32" s="48"/>
      <c r="AI32" s="48"/>
      <c r="AJ32" s="48"/>
      <c r="AK32" s="48"/>
      <c r="AL32" s="48"/>
      <c r="AM32" s="48"/>
      <c r="AN32" s="48"/>
    </row>
    <row r="33" ht="15.75" customHeight="1">
      <c r="A33" s="5" t="str">
        <f t="shared" si="1"/>
        <v>Véhicules neufsFrais de livraison</v>
      </c>
      <c r="B33" s="48" t="str">
        <f t="shared" si="2"/>
        <v>Véhicules neufs</v>
      </c>
      <c r="C33" s="480" t="s">
        <v>113</v>
      </c>
      <c r="D33" s="546"/>
      <c r="E33" s="483" t="str">
        <f t="shared" si="15"/>
        <v>#N/A</v>
      </c>
      <c r="F33" s="481" t="str">
        <f t="array" ref="F33">+SUMPRODUCT(('Budget original'!$A$8:$A$501=$A33)*('Budget original'!$C$3:$AO$3=F$2),'Budget original'!$C$8:$AO$501)</f>
        <v>#N/A</v>
      </c>
      <c r="G33" s="547"/>
      <c r="H33" s="483"/>
      <c r="I33" s="481"/>
      <c r="J33" s="480"/>
      <c r="K33" s="483">
        <f t="shared" si="16"/>
        <v>616.1429195</v>
      </c>
      <c r="L33" s="523">
        <f>SUMIFS(BV_Data_An_Cour!$AN:$AN,BV_Data_An_Cour!$AP:$AP,$B33,BV_Data_An_Cour!$AQ:$AQ,$C33,BV_Data_An_Cour!$AR:$AR,L$2)</f>
        <v>268022.17</v>
      </c>
      <c r="M33" s="480"/>
      <c r="N33" s="484" t="str">
        <f t="shared" si="17"/>
        <v>#N/A</v>
      </c>
      <c r="O33" s="480"/>
      <c r="P33" s="483">
        <f t="shared" si="18"/>
        <v>-59.69431239</v>
      </c>
      <c r="Q33" s="484">
        <f>SUMIFS(BV_Data_An_Prec!$AN:$AN,BV_Data_An_Prec!$AP:$AP,$B33,BV_Data_An_Prec!$AQ:$AQ,$C33,BV_Data_An_Prec!$AR:$AR,Q$2)</f>
        <v>-35159.95</v>
      </c>
      <c r="R33" s="480"/>
      <c r="S33" s="484">
        <f t="shared" si="19"/>
        <v>303182.12</v>
      </c>
      <c r="T33" s="48"/>
      <c r="U33" s="797"/>
      <c r="Z33" s="48"/>
      <c r="AA33" s="48"/>
      <c r="AB33" s="48"/>
      <c r="AC33" s="48"/>
      <c r="AD33" s="48"/>
      <c r="AE33" s="48"/>
      <c r="AF33" s="48"/>
      <c r="AG33" s="48"/>
      <c r="AH33" s="48"/>
      <c r="AI33" s="48"/>
      <c r="AJ33" s="48"/>
      <c r="AK33" s="48"/>
      <c r="AL33" s="48"/>
      <c r="AM33" s="48"/>
      <c r="AN33" s="48"/>
    </row>
    <row r="34" ht="15.75" customHeight="1">
      <c r="A34" s="5" t="str">
        <f t="shared" si="1"/>
        <v>Véhicules neufsService gratuit 1</v>
      </c>
      <c r="B34" s="48" t="str">
        <f t="shared" si="2"/>
        <v>Véhicules neufs</v>
      </c>
      <c r="C34" s="480" t="s">
        <v>114</v>
      </c>
      <c r="D34" s="546"/>
      <c r="E34" s="483" t="str">
        <f t="shared" si="15"/>
        <v>#N/A</v>
      </c>
      <c r="F34" s="481" t="str">
        <f t="array" ref="F34">+SUMPRODUCT(('Budget original'!$A$8:$A$501=$A34)*('Budget original'!$C$3:$AO$3=F$2),'Budget original'!$C$8:$AO$501)</f>
        <v>#N/A</v>
      </c>
      <c r="G34" s="547"/>
      <c r="H34" s="483"/>
      <c r="I34" s="481"/>
      <c r="J34" s="480"/>
      <c r="K34" s="483">
        <f t="shared" si="16"/>
        <v>21.45508046</v>
      </c>
      <c r="L34" s="484">
        <f>SUMIFS(BV_Data_An_Cour!$AN:$AN,BV_Data_An_Cour!$AP:$AP,$B34,BV_Data_An_Cour!$AQ:$AQ,$C34,BV_Data_An_Cour!$AR:$AR,L$2)</f>
        <v>9332.96</v>
      </c>
      <c r="M34" s="480"/>
      <c r="N34" s="484" t="str">
        <f t="shared" si="17"/>
        <v>#N/A</v>
      </c>
      <c r="O34" s="480"/>
      <c r="P34" s="483">
        <f t="shared" si="18"/>
        <v>6.258234295</v>
      </c>
      <c r="Q34" s="484">
        <f>SUMIFS(BV_Data_An_Prec!$AN:$AN,BV_Data_An_Prec!$AP:$AP,$B34,BV_Data_An_Prec!$AQ:$AQ,$C34,BV_Data_An_Prec!$AR:$AR,Q$2)</f>
        <v>3686.1</v>
      </c>
      <c r="R34" s="480"/>
      <c r="S34" s="484">
        <f t="shared" si="19"/>
        <v>5646.86</v>
      </c>
      <c r="T34" s="48"/>
      <c r="Z34" s="48"/>
      <c r="AA34" s="48"/>
      <c r="AB34" s="48"/>
      <c r="AC34" s="48"/>
      <c r="AD34" s="48"/>
      <c r="AE34" s="48"/>
      <c r="AF34" s="48"/>
      <c r="AG34" s="48"/>
      <c r="AH34" s="48"/>
      <c r="AI34" s="48"/>
      <c r="AJ34" s="48"/>
      <c r="AK34" s="48"/>
      <c r="AL34" s="48"/>
      <c r="AM34" s="48"/>
      <c r="AN34" s="48"/>
    </row>
    <row r="35" ht="15.75" customHeight="1">
      <c r="A35" s="5" t="str">
        <f t="shared" si="1"/>
        <v>Véhicules neufsEntretien stock</v>
      </c>
      <c r="B35" s="48" t="str">
        <f t="shared" si="2"/>
        <v>Véhicules neufs</v>
      </c>
      <c r="C35" s="471" t="s">
        <v>115</v>
      </c>
      <c r="D35" s="549"/>
      <c r="E35" s="513" t="str">
        <f t="shared" si="15"/>
        <v>#N/A</v>
      </c>
      <c r="F35" s="473" t="str">
        <f t="array" ref="F35">+SUMPRODUCT(('Budget original'!$A$8:$A$501=$A35)*('Budget original'!$C$3:$AO$3=F$2),'Budget original'!$C$8:$AO$501)</f>
        <v>#N/A</v>
      </c>
      <c r="G35" s="550"/>
      <c r="H35" s="513"/>
      <c r="I35" s="473"/>
      <c r="J35" s="471"/>
      <c r="K35" s="513">
        <f t="shared" si="16"/>
        <v>27.88804598</v>
      </c>
      <c r="L35" s="484">
        <f>SUMIFS(BV_Data_An_Cour!$AN:$AN,BV_Data_An_Cour!$AP:$AP,$B35,BV_Data_An_Cour!$AQ:$AQ,$C35,BV_Data_An_Cour!$AR:$AR,L$2)</f>
        <v>12131.3</v>
      </c>
      <c r="M35" s="471"/>
      <c r="N35" s="476" t="str">
        <f t="shared" si="17"/>
        <v>#N/A</v>
      </c>
      <c r="O35" s="471"/>
      <c r="P35" s="513">
        <f t="shared" si="18"/>
        <v>0</v>
      </c>
      <c r="Q35" s="476">
        <f>SUMIFS(BV_Data_An_Prec!$AN:$AN,BV_Data_An_Prec!$AP:$AP,$B35,BV_Data_An_Prec!$AQ:$AQ,$C35,BV_Data_An_Prec!$AR:$AR,Q$2)</f>
        <v>0</v>
      </c>
      <c r="R35" s="471"/>
      <c r="S35" s="476">
        <f t="shared" si="19"/>
        <v>12131.3</v>
      </c>
      <c r="T35" s="48"/>
      <c r="Z35" s="48"/>
      <c r="AA35" s="48"/>
      <c r="AB35" s="48"/>
      <c r="AC35" s="48"/>
      <c r="AD35" s="48"/>
      <c r="AE35" s="48"/>
      <c r="AF35" s="48"/>
      <c r="AG35" s="48"/>
      <c r="AH35" s="48"/>
      <c r="AI35" s="48"/>
      <c r="AJ35" s="48"/>
      <c r="AK35" s="48"/>
      <c r="AL35" s="48"/>
      <c r="AM35" s="48"/>
      <c r="AN35" s="48"/>
    </row>
    <row r="36" ht="15.75" customHeight="1">
      <c r="A36" s="5" t="str">
        <f t="shared" si="1"/>
        <v>Véhicules neufsPublicité 1</v>
      </c>
      <c r="B36" s="48" t="str">
        <f t="shared" si="2"/>
        <v>Véhicules neufs</v>
      </c>
      <c r="C36" s="480" t="s">
        <v>116</v>
      </c>
      <c r="D36" s="546"/>
      <c r="E36" s="483" t="str">
        <f t="shared" si="15"/>
        <v>#N/A</v>
      </c>
      <c r="F36" s="481" t="str">
        <f t="array" ref="F36">+SUMPRODUCT(('Budget original'!$A$8:$A$501=$A36)*('Budget original'!$C$3:$AO$3=F$2),'Budget original'!$C$8:$AO$501)</f>
        <v>#N/A</v>
      </c>
      <c r="G36" s="547"/>
      <c r="H36" s="483"/>
      <c r="I36" s="481"/>
      <c r="J36" s="480"/>
      <c r="K36" s="483">
        <f t="shared" si="16"/>
        <v>-319.4289425</v>
      </c>
      <c r="L36" s="523">
        <f>SUMIFS(BV_Data_An_Cour!$AN:$AN,BV_Data_An_Cour!$AP:$AP,$B36,BV_Data_An_Cour!$AQ:$AQ,$C36,BV_Data_An_Cour!$AR:$AR,L$2)</f>
        <v>-138951.59</v>
      </c>
      <c r="M36" s="480"/>
      <c r="N36" s="484" t="str">
        <f t="shared" si="17"/>
        <v>#N/A</v>
      </c>
      <c r="O36" s="480"/>
      <c r="P36" s="483">
        <f t="shared" si="18"/>
        <v>-419.8015789</v>
      </c>
      <c r="Q36" s="484">
        <f>SUMIFS(BV_Data_An_Prec!$AN:$AN,BV_Data_An_Prec!$AP:$AP,$B36,BV_Data_An_Prec!$AQ:$AQ,$C36,BV_Data_An_Prec!$AR:$AR,Q$2)</f>
        <v>-247263.13</v>
      </c>
      <c r="R36" s="480"/>
      <c r="S36" s="484">
        <f t="shared" si="19"/>
        <v>108311.54</v>
      </c>
      <c r="T36" s="48"/>
      <c r="U36" s="5"/>
      <c r="Z36" s="48"/>
      <c r="AA36" s="48"/>
      <c r="AB36" s="48"/>
      <c r="AC36" s="48"/>
      <c r="AD36" s="48"/>
      <c r="AE36" s="48"/>
      <c r="AF36" s="48"/>
      <c r="AG36" s="48"/>
      <c r="AH36" s="48"/>
      <c r="AI36" s="48"/>
      <c r="AJ36" s="48"/>
      <c r="AK36" s="48"/>
      <c r="AL36" s="48"/>
      <c r="AM36" s="48"/>
      <c r="AN36" s="48"/>
    </row>
    <row r="37" ht="15.75" customHeight="1">
      <c r="A37" s="5" t="str">
        <f t="shared" si="1"/>
        <v>Véhicules neufsIntérêt de gros</v>
      </c>
      <c r="B37" s="48" t="str">
        <f t="shared" si="2"/>
        <v>Véhicules neufs</v>
      </c>
      <c r="C37" s="480" t="s">
        <v>117</v>
      </c>
      <c r="D37" s="546"/>
      <c r="E37" s="483" t="str">
        <f t="shared" si="15"/>
        <v>#N/A</v>
      </c>
      <c r="F37" s="481" t="str">
        <f t="array" ref="F37">+SUMPRODUCT(('Budget original'!$A$8:$A$501=$A37)*('Budget original'!$C$3:$AO$3=F$2),'Budget original'!$C$8:$AO$501)</f>
        <v>#N/A</v>
      </c>
      <c r="G37" s="547"/>
      <c r="H37" s="483"/>
      <c r="I37" s="481"/>
      <c r="J37" s="480"/>
      <c r="K37" s="483">
        <f t="shared" si="16"/>
        <v>1127.475034</v>
      </c>
      <c r="L37" s="484">
        <f>SUMIFS(BV_Data_An_Cour!$AN:$AN,BV_Data_An_Cour!$AP:$AP,$B37,BV_Data_An_Cour!$AQ:$AQ,$C37,BV_Data_An_Cour!$AR:$AR,L$2)</f>
        <v>490451.64</v>
      </c>
      <c r="M37" s="480"/>
      <c r="N37" s="484" t="str">
        <f t="shared" si="17"/>
        <v>#N/A</v>
      </c>
      <c r="O37" s="480"/>
      <c r="P37" s="483">
        <f t="shared" si="18"/>
        <v>1373.498642</v>
      </c>
      <c r="Q37" s="484">
        <f>SUMIFS(BV_Data_An_Prec!$AN:$AN,BV_Data_An_Prec!$AP:$AP,$B37,BV_Data_An_Prec!$AQ:$AQ,$C37,BV_Data_An_Prec!$AR:$AR,Q$2)</f>
        <v>808990.7</v>
      </c>
      <c r="R37" s="480"/>
      <c r="S37" s="484">
        <f t="shared" si="19"/>
        <v>-318539.06</v>
      </c>
      <c r="T37" s="48"/>
      <c r="Z37" s="48"/>
      <c r="AA37" s="48"/>
      <c r="AB37" s="48"/>
      <c r="AC37" s="48"/>
      <c r="AD37" s="48"/>
      <c r="AE37" s="48"/>
      <c r="AF37" s="48"/>
      <c r="AG37" s="48"/>
      <c r="AH37" s="48"/>
      <c r="AI37" s="48"/>
      <c r="AJ37" s="48"/>
      <c r="AK37" s="48"/>
      <c r="AL37" s="48"/>
      <c r="AM37" s="48"/>
      <c r="AN37" s="48"/>
    </row>
    <row r="38" ht="15.75" customHeight="1">
      <c r="A38" s="5" t="str">
        <f t="shared" si="1"/>
        <v>Véhicules neufsCrédit Intérêts Floor Plan</v>
      </c>
      <c r="B38" s="48" t="str">
        <f t="shared" si="2"/>
        <v>Véhicules neufs</v>
      </c>
      <c r="C38" s="480" t="s">
        <v>813</v>
      </c>
      <c r="D38" s="546"/>
      <c r="E38" s="483" t="str">
        <f t="shared" si="15"/>
        <v>#N/A</v>
      </c>
      <c r="F38" s="481" t="str">
        <f t="array" ref="F38">+SUMPRODUCT(('Budget original'!$A$8:$A$501=$A38)*('Budget original'!$C$3:$AO$3=F$2),'Budget original'!$C$8:$AO$501)</f>
        <v>#N/A</v>
      </c>
      <c r="G38" s="547"/>
      <c r="H38" s="483"/>
      <c r="I38" s="481"/>
      <c r="J38" s="480"/>
      <c r="K38" s="483">
        <f t="shared" si="16"/>
        <v>-3697.036828</v>
      </c>
      <c r="L38" s="484">
        <f>SUMIFS(BV_Data_An_Cour!$AN:$AN,BV_Data_An_Cour!$AP:$AP,$B38,BV_Data_An_Cour!$AQ:$AQ,$C38,BV_Data_An_Cour!$AR:$AR,L$2)</f>
        <v>-1608211.02</v>
      </c>
      <c r="M38" s="48"/>
      <c r="N38" s="484" t="str">
        <f t="shared" si="17"/>
        <v>#N/A</v>
      </c>
      <c r="O38" s="480"/>
      <c r="P38" s="483">
        <f t="shared" si="18"/>
        <v>-3799.670628</v>
      </c>
      <c r="Q38" s="484">
        <f>SUMIFS(BV_Data_An_Prec!$AN:$AN,BV_Data_An_Prec!$AP:$AP,$B38,BV_Data_An_Prec!$AQ:$AQ,$C38,BV_Data_An_Prec!$AR:$AR,Q$2)</f>
        <v>-2238006</v>
      </c>
      <c r="R38" s="480"/>
      <c r="S38" s="484">
        <f t="shared" si="19"/>
        <v>629794.98</v>
      </c>
      <c r="T38" s="48"/>
      <c r="U38" s="48"/>
      <c r="V38" s="48"/>
      <c r="W38" s="48"/>
      <c r="X38" s="48"/>
      <c r="Y38" s="48"/>
      <c r="Z38" s="48"/>
      <c r="AA38" s="48"/>
      <c r="AB38" s="48"/>
      <c r="AC38" s="48"/>
      <c r="AD38" s="48"/>
      <c r="AE38" s="48"/>
      <c r="AF38" s="48"/>
      <c r="AG38" s="48"/>
      <c r="AH38" s="48"/>
      <c r="AI38" s="48"/>
      <c r="AJ38" s="48"/>
      <c r="AK38" s="48"/>
      <c r="AL38" s="48"/>
      <c r="AM38" s="48"/>
      <c r="AN38" s="48"/>
    </row>
    <row r="39" ht="15.75" customHeight="1">
      <c r="A39" s="5" t="str">
        <f t="shared" si="1"/>
        <v>Véhicules neufsCrédit Boni TD</v>
      </c>
      <c r="B39" s="48" t="str">
        <f t="shared" si="2"/>
        <v>Véhicules neufs</v>
      </c>
      <c r="C39" s="480" t="s">
        <v>814</v>
      </c>
      <c r="D39" s="546"/>
      <c r="E39" s="483" t="str">
        <f t="shared" si="15"/>
        <v>#N/A</v>
      </c>
      <c r="F39" s="481" t="str">
        <f t="array" ref="F39">+SUMPRODUCT(('Budget original'!$A$8:$A$501=$A39)*('Budget original'!$C$3:$AO$3=F$2),'Budget original'!$C$8:$AO$501)</f>
        <v>#N/A</v>
      </c>
      <c r="G39" s="547"/>
      <c r="H39" s="483"/>
      <c r="I39" s="481"/>
      <c r="J39" s="480"/>
      <c r="K39" s="483">
        <f t="shared" si="16"/>
        <v>-198.5085287</v>
      </c>
      <c r="L39" s="484">
        <f>SUMIFS(BV_Data_An_Cour!$AN:$AN,BV_Data_An_Cour!$AP:$AP,$B39,BV_Data_An_Cour!$AQ:$AQ,$C39,BV_Data_An_Cour!$AR:$AR,L$2)</f>
        <v>-86351.21</v>
      </c>
      <c r="M39" s="48"/>
      <c r="N39" s="484" t="str">
        <f t="shared" si="17"/>
        <v>#N/A</v>
      </c>
      <c r="O39" s="480"/>
      <c r="P39" s="483">
        <f t="shared" si="18"/>
        <v>0</v>
      </c>
      <c r="Q39" s="484">
        <f>SUMIFS(BV_Data_An_Prec!$AN:$AN,BV_Data_An_Prec!$AP:$AP,$B39,BV_Data_An_Prec!$AQ:$AQ,$C39,BV_Data_An_Prec!$AR:$AR,Q$2)</f>
        <v>0</v>
      </c>
      <c r="R39" s="480"/>
      <c r="S39" s="484">
        <f t="shared" si="19"/>
        <v>-86351.21</v>
      </c>
      <c r="T39" s="48"/>
      <c r="U39" s="540">
        <f>L39+L121+L194</f>
        <v>-131949.33</v>
      </c>
      <c r="V39" s="48"/>
      <c r="W39" s="48"/>
      <c r="X39" s="48"/>
      <c r="Y39" s="48"/>
      <c r="Z39" s="48"/>
      <c r="AA39" s="48"/>
      <c r="AB39" s="48"/>
      <c r="AC39" s="48"/>
      <c r="AD39" s="48"/>
      <c r="AE39" s="48"/>
      <c r="AF39" s="48"/>
      <c r="AG39" s="48"/>
      <c r="AH39" s="48"/>
      <c r="AI39" s="48"/>
      <c r="AJ39" s="48"/>
      <c r="AK39" s="48"/>
      <c r="AL39" s="48"/>
      <c r="AM39" s="48"/>
      <c r="AN39" s="48"/>
    </row>
    <row r="40" ht="20.25" hidden="1" customHeight="1">
      <c r="A40" s="5" t="str">
        <f t="shared" si="1"/>
        <v>Véhicules neufs[...]</v>
      </c>
      <c r="B40" s="48" t="str">
        <f t="shared" si="2"/>
        <v>Véhicules neufs</v>
      </c>
      <c r="C40" s="480" t="s">
        <v>56</v>
      </c>
      <c r="D40" s="546"/>
      <c r="E40" s="483" t="str">
        <f t="shared" si="15"/>
        <v>#N/A</v>
      </c>
      <c r="F40" s="481" t="str">
        <f t="array" ref="F40">+SUMPRODUCT(('Budget original'!$A$8:$A$501=$A40)*('Budget original'!$C$3:$AO$3=F$2),'Budget original'!$C$8:$AO$501)</f>
        <v>#N/A</v>
      </c>
      <c r="G40" s="547"/>
      <c r="H40" s="483"/>
      <c r="I40" s="481"/>
      <c r="J40" s="480"/>
      <c r="K40" s="483">
        <f t="shared" si="16"/>
        <v>0</v>
      </c>
      <c r="L40" s="551">
        <f>SUMIFS(BV_Data_An_Cour!$AN:$AN,BV_Data_An_Cour!$AP:$AP,$B40,BV_Data_An_Cour!$AQ:$AQ,$C40,BV_Data_An_Cour!$AR:$AR,L$2)</f>
        <v>0</v>
      </c>
      <c r="M40" s="48"/>
      <c r="N40" s="484" t="str">
        <f t="shared" si="17"/>
        <v>#N/A</v>
      </c>
      <c r="O40" s="480"/>
      <c r="P40" s="483">
        <f t="shared" si="18"/>
        <v>0</v>
      </c>
      <c r="Q40" s="551">
        <f>SUMIFS(BV_Data_An_Prec!$AN:$AN,BV_Data_An_Prec!$AP:$AP,$B40,BV_Data_An_Prec!$AQ:$AQ,$C40,BV_Data_An_Prec!$AR:$AR,Q$2)</f>
        <v>0</v>
      </c>
      <c r="R40" s="480"/>
      <c r="S40" s="484">
        <f t="shared" si="19"/>
        <v>0</v>
      </c>
      <c r="T40" s="48"/>
      <c r="U40" s="48"/>
      <c r="V40" s="48"/>
      <c r="W40" s="48"/>
      <c r="X40" s="48"/>
      <c r="Y40" s="48"/>
      <c r="Z40" s="48"/>
      <c r="AA40" s="48"/>
      <c r="AB40" s="48"/>
      <c r="AC40" s="48"/>
      <c r="AD40" s="48"/>
      <c r="AE40" s="48"/>
      <c r="AF40" s="48"/>
      <c r="AG40" s="48"/>
      <c r="AH40" s="48"/>
      <c r="AI40" s="48"/>
      <c r="AJ40" s="48"/>
      <c r="AK40" s="48"/>
      <c r="AL40" s="48"/>
      <c r="AM40" s="48"/>
      <c r="AN40" s="48"/>
    </row>
    <row r="41" ht="18.0" customHeight="1">
      <c r="A41" s="5" t="str">
        <f t="shared" si="1"/>
        <v>Véhicules neufsTOTAL VARIABLES</v>
      </c>
      <c r="B41" s="48" t="str">
        <f t="shared" si="2"/>
        <v>Véhicules neufs</v>
      </c>
      <c r="C41" s="552" t="s">
        <v>118</v>
      </c>
      <c r="D41" s="553" t="s">
        <v>225</v>
      </c>
      <c r="E41" s="554" t="str">
        <f>F41/F$27</f>
        <v>#N/A</v>
      </c>
      <c r="F41" s="555" t="str">
        <f>SUM(F31:F40)</f>
        <v>#N/A</v>
      </c>
      <c r="G41" s="556"/>
      <c r="H41" s="554"/>
      <c r="I41" s="555"/>
      <c r="J41" s="556" t="s">
        <v>225</v>
      </c>
      <c r="K41" s="554">
        <f>L41/L$27</f>
        <v>-0.3153302045</v>
      </c>
      <c r="L41" s="555">
        <f>SUM(L31:L40)</f>
        <v>-577655.65</v>
      </c>
      <c r="M41" s="557"/>
      <c r="N41" s="555" t="str">
        <f t="shared" si="17"/>
        <v>#N/A</v>
      </c>
      <c r="O41" s="556" t="s">
        <v>225</v>
      </c>
      <c r="P41" s="554">
        <f>Q41/Q$27</f>
        <v>-0.3903068173</v>
      </c>
      <c r="Q41" s="555">
        <f>SUM(Q31:Q40)</f>
        <v>-1076932.01</v>
      </c>
      <c r="R41" s="558"/>
      <c r="S41" s="555">
        <f t="shared" si="19"/>
        <v>499276.36</v>
      </c>
      <c r="T41" s="48"/>
      <c r="U41" s="48"/>
      <c r="V41" s="48"/>
      <c r="W41" s="48"/>
      <c r="X41" s="48"/>
      <c r="Y41" s="48"/>
      <c r="Z41" s="48"/>
      <c r="AA41" s="48"/>
      <c r="AB41" s="48"/>
      <c r="AC41" s="48"/>
      <c r="AD41" s="48"/>
      <c r="AE41" s="48"/>
      <c r="AF41" s="48"/>
      <c r="AG41" s="48"/>
      <c r="AH41" s="48"/>
      <c r="AI41" s="48"/>
      <c r="AJ41" s="48"/>
      <c r="AK41" s="48"/>
      <c r="AL41" s="48"/>
      <c r="AM41" s="48"/>
      <c r="AN41" s="48"/>
    </row>
    <row r="42" ht="15.75" customHeight="1">
      <c r="A42" s="5" t="str">
        <f t="shared" si="1"/>
        <v>Véhicules neufsSalaires cadres</v>
      </c>
      <c r="B42" s="48" t="str">
        <f t="shared" si="2"/>
        <v>Véhicules neufs</v>
      </c>
      <c r="C42" s="559" t="s">
        <v>119</v>
      </c>
      <c r="D42" s="48"/>
      <c r="E42" s="48"/>
      <c r="F42" s="481" t="str">
        <f t="array" ref="F42">+SUMPRODUCT(('Budget original'!$A$8:$A$501=$A42)*('Budget original'!$C$3:$AO$3=F$2),'Budget original'!$C$8:$AO$501)</f>
        <v>#N/A</v>
      </c>
      <c r="G42" s="480"/>
      <c r="H42" s="48"/>
      <c r="I42" s="481"/>
      <c r="J42" s="480"/>
      <c r="K42" s="48"/>
      <c r="L42" s="483">
        <f>SUMIFS(BV_Data_An_Cour!$AN:$AN,BV_Data_An_Cour!$AP:$AP,$B42,BV_Data_An_Cour!$AQ:$AQ,$C42,BV_Data_An_Cour!$AR:$AR,L$2)</f>
        <v>88491.1</v>
      </c>
      <c r="M42" s="480"/>
      <c r="N42" s="484" t="str">
        <f t="shared" si="17"/>
        <v>#N/A</v>
      </c>
      <c r="O42" s="480"/>
      <c r="P42" s="48"/>
      <c r="Q42" s="483">
        <f>SUMIFS(BV_Data_An_Prec!$AN:$AN,BV_Data_An_Prec!$AP:$AP,$B42,BV_Data_An_Prec!$AQ:$AQ,$C42,BV_Data_An_Prec!$AR:$AR,Q$2)</f>
        <v>125661.04</v>
      </c>
      <c r="R42" s="480"/>
      <c r="S42" s="484"/>
      <c r="T42" s="48"/>
      <c r="U42" s="48"/>
      <c r="V42" s="48"/>
      <c r="W42" s="48"/>
      <c r="X42" s="48"/>
      <c r="Y42" s="48"/>
      <c r="Z42" s="48"/>
      <c r="AA42" s="48"/>
      <c r="AB42" s="48"/>
      <c r="AC42" s="48"/>
      <c r="AD42" s="48"/>
      <c r="AE42" s="48"/>
      <c r="AF42" s="48"/>
      <c r="AG42" s="48"/>
      <c r="AH42" s="48"/>
      <c r="AI42" s="48"/>
      <c r="AJ42" s="48"/>
      <c r="AK42" s="48"/>
      <c r="AL42" s="48"/>
      <c r="AM42" s="48"/>
      <c r="AN42" s="48"/>
    </row>
    <row r="43" ht="15.75" customHeight="1">
      <c r="A43" s="5" t="str">
        <f t="shared" si="1"/>
        <v>Véhicules neufsSalaires commis</v>
      </c>
      <c r="B43" s="48" t="str">
        <f t="shared" si="2"/>
        <v>Véhicules neufs</v>
      </c>
      <c r="C43" s="560" t="s">
        <v>120</v>
      </c>
      <c r="D43" s="546"/>
      <c r="E43" s="48"/>
      <c r="F43" s="473" t="str">
        <f t="array" ref="F43">+SUMPRODUCT(('Budget original'!$A$8:$A$501=$A43)*('Budget original'!$C$3:$AO$3=F$2),'Budget original'!$C$8:$AO$501)</f>
        <v>#N/A</v>
      </c>
      <c r="G43" s="547"/>
      <c r="H43" s="48"/>
      <c r="I43" s="473"/>
      <c r="J43" s="480"/>
      <c r="K43" s="48"/>
      <c r="L43" s="476">
        <f>SUMIFS(BV_Data_An_Cour!$AN:$AN,BV_Data_An_Cour!$AP:$AP,$B43,BV_Data_An_Cour!$AQ:$AQ,$C43,BV_Data_An_Cour!$AR:$AR,L$2)</f>
        <v>166264.44</v>
      </c>
      <c r="M43" s="480"/>
      <c r="N43" s="484" t="str">
        <f t="shared" si="17"/>
        <v>#N/A</v>
      </c>
      <c r="O43" s="480"/>
      <c r="P43" s="48"/>
      <c r="Q43" s="476">
        <f>SUMIFS(BV_Data_An_Prec!$AN:$AN,BV_Data_An_Prec!$AP:$AP,$B43,BV_Data_An_Prec!$AQ:$AQ,$C43,BV_Data_An_Prec!$AR:$AR,Q$2)</f>
        <v>232543.78</v>
      </c>
      <c r="R43" s="480"/>
      <c r="S43" s="484">
        <f t="shared" ref="S43:S53" si="20">L43-Q43</f>
        <v>-66279.34</v>
      </c>
      <c r="T43" s="48"/>
      <c r="U43" s="48"/>
      <c r="V43" s="48"/>
      <c r="W43" s="48"/>
      <c r="X43" s="48"/>
      <c r="Y43" s="48"/>
      <c r="Z43" s="48"/>
      <c r="AA43" s="48"/>
      <c r="AB43" s="48"/>
      <c r="AC43" s="48"/>
      <c r="AD43" s="48"/>
      <c r="AE43" s="48"/>
      <c r="AF43" s="48"/>
      <c r="AG43" s="48"/>
      <c r="AH43" s="48"/>
      <c r="AI43" s="48"/>
      <c r="AJ43" s="48"/>
      <c r="AK43" s="48"/>
      <c r="AL43" s="48"/>
      <c r="AM43" s="48"/>
      <c r="AN43" s="48"/>
    </row>
    <row r="44" ht="15.75" customHeight="1">
      <c r="A44" s="5" t="str">
        <f t="shared" si="1"/>
        <v>Véhicules neufsSalaires autres</v>
      </c>
      <c r="B44" s="48" t="str">
        <f t="shared" si="2"/>
        <v>Véhicules neufs</v>
      </c>
      <c r="C44" s="559" t="s">
        <v>121</v>
      </c>
      <c r="D44" s="561"/>
      <c r="E44" s="562"/>
      <c r="F44" s="481" t="str">
        <f t="array" ref="F44">+SUMPRODUCT(('Budget original'!$A$8:$A$501=$A44)*('Budget original'!$C$3:$AO$3=F$2),'Budget original'!$C$8:$AO$501)</f>
        <v>#N/A</v>
      </c>
      <c r="G44" s="563"/>
      <c r="H44" s="562"/>
      <c r="I44" s="481"/>
      <c r="J44" s="466"/>
      <c r="K44" s="562"/>
      <c r="L44" s="483">
        <f>SUMIFS(BV_Data_An_Cour!$AN:$AN,BV_Data_An_Cour!$AP:$AP,$B44,BV_Data_An_Cour!$AQ:$AQ,$C44,BV_Data_An_Cour!$AR:$AR,L$2)</f>
        <v>52932.77</v>
      </c>
      <c r="M44" s="466"/>
      <c r="N44" s="523" t="str">
        <f t="shared" si="17"/>
        <v>#N/A</v>
      </c>
      <c r="O44" s="466"/>
      <c r="P44" s="562"/>
      <c r="Q44" s="483">
        <f>SUMIFS(BV_Data_An_Prec!$AN:$AN,BV_Data_An_Prec!$AP:$AP,$B44,BV_Data_An_Prec!$AQ:$AQ,$C44,BV_Data_An_Prec!$AR:$AR,Q$2)</f>
        <v>31061.38</v>
      </c>
      <c r="R44" s="466"/>
      <c r="S44" s="523">
        <f t="shared" si="20"/>
        <v>21871.39</v>
      </c>
      <c r="T44" s="48"/>
      <c r="U44" s="48"/>
      <c r="V44" s="48"/>
      <c r="W44" s="48"/>
      <c r="X44" s="48"/>
      <c r="Y44" s="48"/>
      <c r="Z44" s="48"/>
      <c r="AA44" s="48"/>
      <c r="AB44" s="48"/>
      <c r="AC44" s="48"/>
      <c r="AD44" s="48"/>
      <c r="AE44" s="48"/>
      <c r="AF44" s="48"/>
      <c r="AG44" s="48"/>
      <c r="AH44" s="48"/>
      <c r="AI44" s="48"/>
      <c r="AJ44" s="48"/>
      <c r="AK44" s="48"/>
      <c r="AL44" s="48"/>
      <c r="AM44" s="48"/>
      <c r="AN44" s="48"/>
    </row>
    <row r="45" ht="20.25" hidden="1" customHeight="1">
      <c r="A45" s="5" t="str">
        <f t="shared" si="1"/>
        <v>Véhicules neufsSalaires spécialistes</v>
      </c>
      <c r="B45" s="48" t="str">
        <f t="shared" si="2"/>
        <v>Véhicules neufs</v>
      </c>
      <c r="C45" s="559" t="s">
        <v>122</v>
      </c>
      <c r="D45" s="546"/>
      <c r="E45" s="48"/>
      <c r="F45" s="481" t="str">
        <f t="array" ref="F45">+SUMPRODUCT(('Budget original'!$A$8:$A$501=$A45)*('Budget original'!$C$3:$AO$3=F$2),'Budget original'!$C$8:$AO$501)</f>
        <v>#N/A</v>
      </c>
      <c r="G45" s="547"/>
      <c r="H45" s="48"/>
      <c r="I45" s="481"/>
      <c r="J45" s="480"/>
      <c r="K45" s="48"/>
      <c r="L45" s="483">
        <f>SUMIFS(BV_Data_An_Cour!$AN:$AN,BV_Data_An_Cour!$AP:$AP,$B45,BV_Data_An_Cour!$AQ:$AQ,$C45,BV_Data_An_Cour!$AR:$AR,L$2)</f>
        <v>0</v>
      </c>
      <c r="M45" s="480"/>
      <c r="N45" s="484" t="str">
        <f t="shared" si="17"/>
        <v>#N/A</v>
      </c>
      <c r="O45" s="480"/>
      <c r="P45" s="48"/>
      <c r="Q45" s="483">
        <f>SUMIFS(BV_Data_An_Prec!$AN:$AN,BV_Data_An_Prec!$AP:$AP,$B45,BV_Data_An_Prec!$AQ:$AQ,$C45,BV_Data_An_Prec!$AR:$AR,Q$2)</f>
        <v>0</v>
      </c>
      <c r="R45" s="480"/>
      <c r="S45" s="484">
        <f t="shared" si="20"/>
        <v>0</v>
      </c>
      <c r="T45" s="48"/>
      <c r="U45" s="48"/>
      <c r="V45" s="48"/>
      <c r="W45" s="48"/>
      <c r="X45" s="48"/>
      <c r="Y45" s="48"/>
      <c r="Z45" s="48"/>
      <c r="AA45" s="48"/>
      <c r="AB45" s="48"/>
      <c r="AC45" s="48"/>
      <c r="AD45" s="48"/>
      <c r="AE45" s="48"/>
      <c r="AF45" s="48"/>
      <c r="AG45" s="48"/>
      <c r="AH45" s="48"/>
      <c r="AI45" s="48"/>
      <c r="AJ45" s="48"/>
      <c r="AK45" s="48"/>
      <c r="AL45" s="48"/>
      <c r="AM45" s="48"/>
      <c r="AN45" s="48"/>
    </row>
    <row r="46" ht="20.25" hidden="1" customHeight="1">
      <c r="A46" s="5" t="str">
        <f t="shared" si="1"/>
        <v>Véhicules neufs[...]</v>
      </c>
      <c r="B46" s="48" t="str">
        <f t="shared" si="2"/>
        <v>Véhicules neufs</v>
      </c>
      <c r="C46" s="559" t="s">
        <v>56</v>
      </c>
      <c r="D46" s="546"/>
      <c r="E46" s="48"/>
      <c r="F46" s="481" t="str">
        <f t="array" ref="F46">+SUMPRODUCT(('Budget original'!$A$8:$A$501=$A46)*('Budget original'!$C$3:$AO$3=F$2),'Budget original'!$C$8:$AO$501)</f>
        <v>#N/A</v>
      </c>
      <c r="G46" s="547"/>
      <c r="H46" s="48"/>
      <c r="I46" s="481"/>
      <c r="J46" s="480"/>
      <c r="K46" s="48"/>
      <c r="L46" s="483">
        <f>SUMIFS(BV_Data_An_Cour!$AN:$AN,BV_Data_An_Cour!$AP:$AP,$B46,BV_Data_An_Cour!$AQ:$AQ,$C46,BV_Data_An_Cour!$AR:$AR,L$2)</f>
        <v>0</v>
      </c>
      <c r="M46" s="480"/>
      <c r="N46" s="484" t="str">
        <f t="shared" si="17"/>
        <v>#N/A</v>
      </c>
      <c r="O46" s="480"/>
      <c r="P46" s="48"/>
      <c r="Q46" s="483">
        <f>SUMIFS(BV_Data_An_Prec!$AN:$AN,BV_Data_An_Prec!$AP:$AP,$B46,BV_Data_An_Prec!$AQ:$AQ,$C46,BV_Data_An_Prec!$AR:$AR,Q$2)</f>
        <v>0</v>
      </c>
      <c r="R46" s="480"/>
      <c r="S46" s="484">
        <f t="shared" si="20"/>
        <v>0</v>
      </c>
      <c r="T46" s="48"/>
      <c r="U46" s="48"/>
      <c r="V46" s="48"/>
      <c r="W46" s="48"/>
      <c r="X46" s="48"/>
      <c r="Y46" s="48"/>
      <c r="Z46" s="48"/>
      <c r="AA46" s="48"/>
      <c r="AB46" s="48"/>
      <c r="AC46" s="48"/>
      <c r="AD46" s="48"/>
      <c r="AE46" s="48"/>
      <c r="AF46" s="48"/>
      <c r="AG46" s="48"/>
      <c r="AH46" s="48"/>
      <c r="AI46" s="48"/>
      <c r="AJ46" s="48"/>
      <c r="AK46" s="48"/>
      <c r="AL46" s="48"/>
      <c r="AM46" s="48"/>
      <c r="AN46" s="48"/>
    </row>
    <row r="47" ht="20.25" hidden="1" customHeight="1">
      <c r="A47" s="5" t="str">
        <f t="shared" si="1"/>
        <v>Véhicules neufs[...]</v>
      </c>
      <c r="B47" s="48" t="str">
        <f t="shared" si="2"/>
        <v>Véhicules neufs</v>
      </c>
      <c r="C47" s="559" t="s">
        <v>56</v>
      </c>
      <c r="D47" s="546"/>
      <c r="E47" s="48"/>
      <c r="F47" s="481" t="str">
        <f t="array" ref="F47">+SUMPRODUCT(('Budget original'!$A$8:$A$501=$A47)*('Budget original'!$C$3:$AO$3=F$2),'Budget original'!$C$8:$AO$501)</f>
        <v>#N/A</v>
      </c>
      <c r="G47" s="547"/>
      <c r="H47" s="48"/>
      <c r="I47" s="481"/>
      <c r="J47" s="480"/>
      <c r="K47" s="48"/>
      <c r="L47" s="483">
        <f>SUMIFS(BV_Data_An_Cour!$AN:$AN,BV_Data_An_Cour!$AP:$AP,$B47,BV_Data_An_Cour!$AQ:$AQ,$C47,BV_Data_An_Cour!$AR:$AR,L$2)</f>
        <v>0</v>
      </c>
      <c r="M47" s="480"/>
      <c r="N47" s="484" t="str">
        <f t="shared" si="17"/>
        <v>#N/A</v>
      </c>
      <c r="O47" s="480"/>
      <c r="P47" s="48"/>
      <c r="Q47" s="483">
        <f>SUMIFS(BV_Data_An_Prec!$AN:$AN,BV_Data_An_Prec!$AP:$AP,$B47,BV_Data_An_Prec!$AQ:$AQ,$C47,BV_Data_An_Prec!$AR:$AR,Q$2)</f>
        <v>0</v>
      </c>
      <c r="R47" s="480"/>
      <c r="S47" s="484">
        <f t="shared" si="20"/>
        <v>0</v>
      </c>
      <c r="T47" s="48"/>
      <c r="U47" s="48"/>
      <c r="V47" s="48"/>
      <c r="W47" s="48"/>
      <c r="X47" s="48"/>
      <c r="Y47" s="48"/>
      <c r="Z47" s="48"/>
      <c r="AA47" s="48"/>
      <c r="AB47" s="48"/>
      <c r="AC47" s="48"/>
      <c r="AD47" s="48"/>
      <c r="AE47" s="48"/>
      <c r="AF47" s="48"/>
      <c r="AG47" s="48"/>
      <c r="AH47" s="48"/>
      <c r="AI47" s="48"/>
      <c r="AJ47" s="48"/>
      <c r="AK47" s="48"/>
      <c r="AL47" s="48"/>
      <c r="AM47" s="48"/>
      <c r="AN47" s="48"/>
    </row>
    <row r="48" ht="20.25" hidden="1" customHeight="1">
      <c r="A48" s="5" t="str">
        <f t="shared" si="1"/>
        <v>Véhicules neufs[...]</v>
      </c>
      <c r="B48" s="48" t="str">
        <f t="shared" si="2"/>
        <v>Véhicules neufs</v>
      </c>
      <c r="C48" s="559" t="s">
        <v>56</v>
      </c>
      <c r="D48" s="546"/>
      <c r="E48" s="48"/>
      <c r="F48" s="481" t="str">
        <f t="array" ref="F48">+SUMPRODUCT(('Budget original'!$A$8:$A$501=$A48)*('Budget original'!$C$3:$AO$3=F$2),'Budget original'!$C$8:$AO$501)</f>
        <v>#N/A</v>
      </c>
      <c r="G48" s="547"/>
      <c r="H48" s="48"/>
      <c r="I48" s="481"/>
      <c r="J48" s="480"/>
      <c r="K48" s="48"/>
      <c r="L48" s="483">
        <f>SUMIFS(BV_Data_An_Cour!$AN:$AN,BV_Data_An_Cour!$AP:$AP,$B48,BV_Data_An_Cour!$AQ:$AQ,$C48,BV_Data_An_Cour!$AR:$AR,L$2)</f>
        <v>0</v>
      </c>
      <c r="M48" s="480"/>
      <c r="N48" s="484" t="str">
        <f t="shared" si="17"/>
        <v>#N/A</v>
      </c>
      <c r="O48" s="480"/>
      <c r="P48" s="48"/>
      <c r="Q48" s="483">
        <f>SUMIFS(BV_Data_An_Prec!$AN:$AN,BV_Data_An_Prec!$AP:$AP,$B48,BV_Data_An_Prec!$AQ:$AQ,$C48,BV_Data_An_Prec!$AR:$AR,Q$2)</f>
        <v>0</v>
      </c>
      <c r="R48" s="480"/>
      <c r="S48" s="484">
        <f t="shared" si="20"/>
        <v>0</v>
      </c>
      <c r="T48" s="48"/>
      <c r="U48" s="48"/>
      <c r="V48" s="48"/>
      <c r="W48" s="48"/>
      <c r="X48" s="48"/>
      <c r="Y48" s="48"/>
      <c r="Z48" s="48"/>
      <c r="AA48" s="48"/>
      <c r="AB48" s="48"/>
      <c r="AC48" s="48"/>
      <c r="AD48" s="48"/>
      <c r="AE48" s="48"/>
      <c r="AF48" s="48"/>
      <c r="AG48" s="48"/>
      <c r="AH48" s="48"/>
      <c r="AI48" s="48"/>
      <c r="AJ48" s="48"/>
      <c r="AK48" s="48"/>
      <c r="AL48" s="48"/>
      <c r="AM48" s="48"/>
      <c r="AN48" s="48"/>
    </row>
    <row r="49" ht="15.75" customHeight="1">
      <c r="A49" s="5" t="str">
        <f t="shared" si="1"/>
        <v>Véhicules neufsSalaires en absences</v>
      </c>
      <c r="B49" s="48" t="str">
        <f t="shared" si="2"/>
        <v>Véhicules neufs</v>
      </c>
      <c r="C49" s="560" t="s">
        <v>123</v>
      </c>
      <c r="D49" s="546"/>
      <c r="E49" s="48"/>
      <c r="F49" s="473" t="str">
        <f t="array" ref="F49">+SUMPRODUCT(('Budget original'!$A$8:$A$501=$A49)*('Budget original'!$C$3:$AO$3=F$2),'Budget original'!$C$8:$AO$501)</f>
        <v>#N/A</v>
      </c>
      <c r="G49" s="547"/>
      <c r="H49" s="48"/>
      <c r="I49" s="473"/>
      <c r="J49" s="480"/>
      <c r="K49" s="48"/>
      <c r="L49" s="476">
        <f>SUMIFS(BV_Data_An_Cour!$AN:$AN,BV_Data_An_Cour!$AP:$AP,$B49,BV_Data_An_Cour!$AQ:$AQ,$C49,BV_Data_An_Cour!$AR:$AR,L$2)</f>
        <v>66223.7</v>
      </c>
      <c r="M49" s="480"/>
      <c r="N49" s="484" t="str">
        <f t="shared" si="17"/>
        <v>#N/A</v>
      </c>
      <c r="O49" s="480"/>
      <c r="P49" s="48"/>
      <c r="Q49" s="476">
        <f>SUMIFS(BV_Data_An_Prec!$AN:$AN,BV_Data_An_Prec!$AP:$AP,$B49,BV_Data_An_Prec!$AQ:$AQ,$C49,BV_Data_An_Prec!$AR:$AR,Q$2)</f>
        <v>110342.33</v>
      </c>
      <c r="R49" s="480"/>
      <c r="S49" s="484">
        <f t="shared" si="20"/>
        <v>-44118.63</v>
      </c>
      <c r="T49" s="48"/>
      <c r="U49" s="48"/>
      <c r="V49" s="48"/>
      <c r="W49" s="48"/>
      <c r="X49" s="40"/>
      <c r="Y49" s="48"/>
      <c r="Z49" s="48"/>
      <c r="AA49" s="48"/>
      <c r="AB49" s="48"/>
      <c r="AC49" s="48"/>
      <c r="AD49" s="48"/>
      <c r="AE49" s="48"/>
      <c r="AF49" s="48"/>
      <c r="AG49" s="48"/>
      <c r="AH49" s="48"/>
      <c r="AI49" s="48"/>
      <c r="AJ49" s="48"/>
      <c r="AK49" s="48"/>
      <c r="AL49" s="48"/>
      <c r="AM49" s="48"/>
      <c r="AN49" s="48"/>
    </row>
    <row r="50" ht="15.75" customHeight="1">
      <c r="A50" s="5" t="str">
        <f t="shared" si="1"/>
        <v>Véhicules neufsDéduction à la source</v>
      </c>
      <c r="B50" s="48" t="str">
        <f t="shared" si="2"/>
        <v>Véhicules neufs</v>
      </c>
      <c r="C50" s="559" t="s">
        <v>124</v>
      </c>
      <c r="D50" s="561"/>
      <c r="E50" s="562"/>
      <c r="F50" s="481" t="str">
        <f t="array" ref="F50">+SUMPRODUCT(('Budget original'!$A$8:$A$501=$A50)*('Budget original'!$C$3:$AO$3=F$2),'Budget original'!$C$8:$AO$501)</f>
        <v>#N/A</v>
      </c>
      <c r="G50" s="563"/>
      <c r="H50" s="562"/>
      <c r="I50" s="481"/>
      <c r="J50" s="466"/>
      <c r="K50" s="562"/>
      <c r="L50" s="483">
        <f>SUMIFS(BV_Data_An_Cour!$AN:$AN,BV_Data_An_Cour!$AP:$AP,$B50,BV_Data_An_Cour!$AQ:$AQ,$C50,BV_Data_An_Cour!$AR:$AR,L$2)</f>
        <v>124664.15</v>
      </c>
      <c r="M50" s="466"/>
      <c r="N50" s="523" t="str">
        <f t="shared" si="17"/>
        <v>#N/A</v>
      </c>
      <c r="O50" s="466"/>
      <c r="P50" s="562"/>
      <c r="Q50" s="483">
        <f>SUMIFS(BV_Data_An_Prec!$AN:$AN,BV_Data_An_Prec!$AP:$AP,$B50,BV_Data_An_Prec!$AQ:$AQ,$C50,BV_Data_An_Prec!$AR:$AR,Q$2)</f>
        <v>166766.05</v>
      </c>
      <c r="R50" s="466"/>
      <c r="S50" s="523">
        <f t="shared" si="20"/>
        <v>-42101.9</v>
      </c>
      <c r="T50" s="48"/>
      <c r="U50" s="48"/>
      <c r="V50" s="48"/>
      <c r="W50" s="48"/>
      <c r="X50" s="40"/>
      <c r="Y50" s="48"/>
      <c r="Z50" s="48"/>
      <c r="AA50" s="48"/>
      <c r="AB50" s="48"/>
      <c r="AC50" s="48"/>
      <c r="AD50" s="48"/>
      <c r="AE50" s="48"/>
      <c r="AF50" s="48"/>
      <c r="AG50" s="48"/>
      <c r="AH50" s="48"/>
      <c r="AI50" s="48"/>
      <c r="AJ50" s="48"/>
      <c r="AK50" s="48"/>
      <c r="AL50" s="48"/>
      <c r="AM50" s="48"/>
      <c r="AN50" s="48"/>
    </row>
    <row r="51" ht="15.75" customHeight="1">
      <c r="A51" s="5" t="str">
        <f t="shared" si="1"/>
        <v>Véhicules neufsBénéfices marginaux</v>
      </c>
      <c r="B51" s="48" t="str">
        <f t="shared" si="2"/>
        <v>Véhicules neufs</v>
      </c>
      <c r="C51" s="559" t="s">
        <v>125</v>
      </c>
      <c r="D51" s="546"/>
      <c r="E51" s="48"/>
      <c r="F51" s="481" t="str">
        <f t="array" ref="F51">+SUMPRODUCT(('Budget original'!$A$8:$A$501=$A51)*('Budget original'!$C$3:$AO$3=F$2),'Budget original'!$C$8:$AO$501)</f>
        <v>#N/A</v>
      </c>
      <c r="G51" s="547"/>
      <c r="H51" s="48"/>
      <c r="I51" s="481"/>
      <c r="J51" s="480"/>
      <c r="K51" s="48"/>
      <c r="L51" s="483">
        <f>SUMIFS(BV_Data_An_Cour!$AN:$AN,BV_Data_An_Cour!$AP:$AP,$B51,BV_Data_An_Cour!$AQ:$AQ,$C51,BV_Data_An_Cour!$AR:$AR,L$2)</f>
        <v>28678.57</v>
      </c>
      <c r="M51" s="480"/>
      <c r="N51" s="484" t="str">
        <f t="shared" si="17"/>
        <v>#N/A</v>
      </c>
      <c r="O51" s="480"/>
      <c r="P51" s="48"/>
      <c r="Q51" s="483">
        <f>SUMIFS(BV_Data_An_Prec!$AN:$AN,BV_Data_An_Prec!$AP:$AP,$B51,BV_Data_An_Prec!$AQ:$AQ,$C51,BV_Data_An_Prec!$AR:$AR,Q$2)</f>
        <v>45602.89</v>
      </c>
      <c r="R51" s="480"/>
      <c r="S51" s="484">
        <f t="shared" si="20"/>
        <v>-16924.32</v>
      </c>
      <c r="T51" s="48"/>
      <c r="U51" s="48"/>
      <c r="V51" s="48"/>
      <c r="W51" s="48"/>
      <c r="X51" s="40"/>
      <c r="Y51" s="48"/>
      <c r="Z51" s="48"/>
      <c r="AA51" s="48"/>
      <c r="AB51" s="48"/>
      <c r="AC51" s="48"/>
      <c r="AD51" s="48"/>
      <c r="AE51" s="48"/>
      <c r="AF51" s="48"/>
      <c r="AG51" s="48"/>
      <c r="AH51" s="48"/>
      <c r="AI51" s="48"/>
      <c r="AJ51" s="48"/>
      <c r="AK51" s="48"/>
      <c r="AL51" s="48"/>
      <c r="AM51" s="48"/>
      <c r="AN51" s="48"/>
    </row>
    <row r="52" ht="15.75" customHeight="1">
      <c r="A52" s="5" t="str">
        <f t="shared" si="1"/>
        <v>Véhicules neufsCsst</v>
      </c>
      <c r="B52" s="48" t="str">
        <f t="shared" si="2"/>
        <v>Véhicules neufs</v>
      </c>
      <c r="C52" s="559" t="s">
        <v>126</v>
      </c>
      <c r="D52" s="546"/>
      <c r="E52" s="48"/>
      <c r="F52" s="481" t="str">
        <f t="array" ref="F52">+SUMPRODUCT(('Budget original'!$A$8:$A$501=$A52)*('Budget original'!$C$3:$AO$3=F$2),'Budget original'!$C$8:$AO$501)</f>
        <v>#N/A</v>
      </c>
      <c r="G52" s="547"/>
      <c r="H52" s="48"/>
      <c r="I52" s="481"/>
      <c r="J52" s="480"/>
      <c r="K52" s="48"/>
      <c r="L52" s="483">
        <f>SUMIFS(BV_Data_An_Cour!$AN:$AN,BV_Data_An_Cour!$AP:$AP,$B52,BV_Data_An_Cour!$AQ:$AQ,$C52,BV_Data_An_Cour!$AR:$AR,L$2)</f>
        <v>25158.22</v>
      </c>
      <c r="M52" s="480"/>
      <c r="N52" s="484" t="str">
        <f t="shared" si="17"/>
        <v>#N/A</v>
      </c>
      <c r="O52" s="480"/>
      <c r="P52" s="48"/>
      <c r="Q52" s="483">
        <f>SUMIFS(BV_Data_An_Prec!$AN:$AN,BV_Data_An_Prec!$AP:$AP,$B52,BV_Data_An_Prec!$AQ:$AQ,$C52,BV_Data_An_Prec!$AR:$AR,Q$2)</f>
        <v>799.78</v>
      </c>
      <c r="R52" s="480"/>
      <c r="S52" s="484">
        <f t="shared" si="20"/>
        <v>24358.44</v>
      </c>
      <c r="T52" s="48"/>
      <c r="U52" s="48"/>
      <c r="V52" s="48"/>
      <c r="W52" s="48"/>
      <c r="X52" s="40"/>
      <c r="Y52" s="48"/>
      <c r="Z52" s="48"/>
      <c r="AA52" s="48"/>
      <c r="AB52" s="48"/>
      <c r="AC52" s="48"/>
      <c r="AD52" s="48"/>
      <c r="AE52" s="48"/>
      <c r="AF52" s="48"/>
      <c r="AG52" s="48"/>
      <c r="AH52" s="48"/>
      <c r="AI52" s="48"/>
      <c r="AJ52" s="48"/>
      <c r="AK52" s="48"/>
      <c r="AL52" s="48"/>
      <c r="AM52" s="48"/>
      <c r="AN52" s="48"/>
    </row>
    <row r="53" ht="20.25" hidden="1" customHeight="1">
      <c r="A53" s="5" t="str">
        <f t="shared" si="1"/>
        <v>Véhicules neufs[...]</v>
      </c>
      <c r="B53" s="48" t="str">
        <f t="shared" si="2"/>
        <v>Véhicules neufs</v>
      </c>
      <c r="C53" s="480" t="s">
        <v>56</v>
      </c>
      <c r="D53" s="549"/>
      <c r="E53" s="564"/>
      <c r="F53" s="481" t="str">
        <f t="array" ref="F53">+SUMPRODUCT(('Budget original'!$A$8:$A$501=$A53)*('Budget original'!$C$3:$AO$3=F$2),'Budget original'!$C$8:$AO$501)</f>
        <v>#N/A</v>
      </c>
      <c r="G53" s="550"/>
      <c r="H53" s="564"/>
      <c r="I53" s="481"/>
      <c r="J53" s="471"/>
      <c r="K53" s="564"/>
      <c r="L53" s="484">
        <f>SUMIFS(BV_Data_An_Cour!$AN:$AN,BV_Data_An_Cour!$AP:$AP,$B53,BV_Data_An_Cour!$AQ:$AQ,$C53,BV_Data_An_Cour!$AR:$AR,L$2)</f>
        <v>0</v>
      </c>
      <c r="M53" s="471"/>
      <c r="N53" s="476" t="str">
        <f t="shared" si="17"/>
        <v>#N/A</v>
      </c>
      <c r="O53" s="471"/>
      <c r="P53" s="564"/>
      <c r="Q53" s="484">
        <f>SUMIFS(BV_Data_An_Prec!$AN:$AN,BV_Data_An_Prec!$AP:$AP,$B53,BV_Data_An_Prec!$AQ:$AQ,$C53,BV_Data_An_Prec!$AR:$AR,Q$2)</f>
        <v>0</v>
      </c>
      <c r="R53" s="471"/>
      <c r="S53" s="476">
        <f t="shared" si="20"/>
        <v>0</v>
      </c>
      <c r="T53" s="48"/>
      <c r="U53" s="48"/>
      <c r="V53" s="48"/>
      <c r="W53" s="48"/>
      <c r="X53" s="40"/>
      <c r="Y53" s="48"/>
      <c r="Z53" s="48"/>
      <c r="AA53" s="48"/>
      <c r="AB53" s="48"/>
      <c r="AC53" s="48"/>
      <c r="AD53" s="48"/>
      <c r="AE53" s="48"/>
      <c r="AF53" s="48"/>
      <c r="AG53" s="48"/>
      <c r="AH53" s="48"/>
      <c r="AI53" s="48"/>
      <c r="AJ53" s="48"/>
      <c r="AK53" s="48"/>
      <c r="AL53" s="48"/>
      <c r="AM53" s="48"/>
      <c r="AN53" s="48"/>
    </row>
    <row r="54" ht="18.0" customHeight="1">
      <c r="A54" s="5" t="str">
        <f t="shared" si="1"/>
        <v>Véhicules neufsTOTAL PERSONNEL</v>
      </c>
      <c r="B54" s="48" t="str">
        <f t="shared" si="2"/>
        <v>Véhicules neufs</v>
      </c>
      <c r="C54" s="552" t="s">
        <v>127</v>
      </c>
      <c r="D54" s="553" t="s">
        <v>225</v>
      </c>
      <c r="E54" s="554" t="str">
        <f>F54/F$27</f>
        <v>#N/A</v>
      </c>
      <c r="F54" s="555" t="str">
        <f>+SUM(F42:F53)</f>
        <v>#N/A</v>
      </c>
      <c r="G54" s="556"/>
      <c r="H54" s="554"/>
      <c r="I54" s="555"/>
      <c r="J54" s="556" t="s">
        <v>225</v>
      </c>
      <c r="K54" s="554">
        <f>L54/L$27</f>
        <v>0.3015507396</v>
      </c>
      <c r="L54" s="555">
        <f>+SUM(L42:L53)</f>
        <v>552412.95</v>
      </c>
      <c r="M54" s="557"/>
      <c r="N54" s="555" t="str">
        <f>+SUM(N42:N53)</f>
        <v>#N/A</v>
      </c>
      <c r="O54" s="556" t="s">
        <v>225</v>
      </c>
      <c r="P54" s="554">
        <f>Q54/Q$27</f>
        <v>0.2583281185</v>
      </c>
      <c r="Q54" s="555">
        <f>+SUM(Q42:Q53)</f>
        <v>712777.25</v>
      </c>
      <c r="R54" s="558"/>
      <c r="S54" s="555">
        <f>+SUM(S42:S53)</f>
        <v>-123194.36</v>
      </c>
      <c r="T54" s="48"/>
      <c r="U54" s="48"/>
      <c r="V54" s="48"/>
      <c r="W54" s="48"/>
      <c r="X54" s="48"/>
      <c r="Y54" s="48"/>
      <c r="Z54" s="48"/>
      <c r="AA54" s="48"/>
      <c r="AB54" s="48"/>
      <c r="AC54" s="48"/>
      <c r="AD54" s="48"/>
      <c r="AE54" s="48"/>
      <c r="AF54" s="48"/>
      <c r="AG54" s="48"/>
      <c r="AH54" s="48"/>
      <c r="AI54" s="48"/>
      <c r="AJ54" s="48"/>
      <c r="AK54" s="48"/>
      <c r="AL54" s="48"/>
      <c r="AM54" s="48"/>
      <c r="AN54" s="48"/>
    </row>
    <row r="55" ht="20.25" hidden="1" customHeight="1">
      <c r="A55" s="5" t="str">
        <f t="shared" si="1"/>
        <v>Véhicules neufsPublicité 2</v>
      </c>
      <c r="B55" s="48" t="str">
        <f t="shared" si="2"/>
        <v>Véhicules neufs</v>
      </c>
      <c r="C55" s="480" t="s">
        <v>128</v>
      </c>
      <c r="D55" s="546"/>
      <c r="E55" s="48"/>
      <c r="F55" s="481" t="str">
        <f t="array" ref="F55">+SUMPRODUCT(('Budget original'!$A$8:$A$501=$A55)*('Budget original'!$C$3:$AO$3=F$2),'Budget original'!$C$8:$AO$501)</f>
        <v>#N/A</v>
      </c>
      <c r="G55" s="547"/>
      <c r="H55" s="48"/>
      <c r="I55" s="481"/>
      <c r="J55" s="480"/>
      <c r="K55" s="48"/>
      <c r="L55" s="484">
        <f>SUMIFS(BV_Data_An_Cour!$AN:$AN,BV_Data_An_Cour!$AP:$AP,$B55,BV_Data_An_Cour!$AQ:$AQ,$C55,BV_Data_An_Cour!$AR:$AR,L$2)</f>
        <v>0</v>
      </c>
      <c r="M55" s="480"/>
      <c r="N55" s="484" t="str">
        <f t="shared" ref="N55:N71" si="21">L55-F55</f>
        <v>#N/A</v>
      </c>
      <c r="O55" s="480"/>
      <c r="P55" s="48"/>
      <c r="Q55" s="484">
        <f>SUMIFS(BV_Data_An_Prec!$AN:$AN,BV_Data_An_Prec!$AP:$AP,$B55,BV_Data_An_Prec!$AQ:$AQ,$C55,BV_Data_An_Prec!$AR:$AR,Q$2)</f>
        <v>0</v>
      </c>
      <c r="R55" s="480"/>
      <c r="S55" s="484">
        <f t="shared" ref="S55:S71" si="22">L55-Q55</f>
        <v>0</v>
      </c>
      <c r="T55" s="483"/>
      <c r="U55" s="48"/>
      <c r="V55" s="48"/>
      <c r="W55" s="48"/>
      <c r="X55" s="40"/>
      <c r="Y55" s="48"/>
      <c r="Z55" s="48"/>
      <c r="AA55" s="48"/>
      <c r="AB55" s="48"/>
      <c r="AC55" s="48"/>
      <c r="AD55" s="48"/>
      <c r="AE55" s="48"/>
      <c r="AF55" s="48"/>
      <c r="AG55" s="48"/>
      <c r="AH55" s="48"/>
      <c r="AI55" s="48"/>
      <c r="AJ55" s="48"/>
      <c r="AK55" s="48"/>
      <c r="AL55" s="48"/>
      <c r="AM55" s="48"/>
      <c r="AN55" s="48"/>
    </row>
    <row r="56" ht="20.25" hidden="1" customHeight="1">
      <c r="A56" s="5" t="str">
        <f t="shared" si="1"/>
        <v>Véhicules neufsService gratuit 2</v>
      </c>
      <c r="B56" s="48" t="str">
        <f t="shared" si="2"/>
        <v>Véhicules neufs</v>
      </c>
      <c r="C56" s="480" t="s">
        <v>129</v>
      </c>
      <c r="D56" s="546"/>
      <c r="E56" s="48"/>
      <c r="F56" s="481" t="str">
        <f t="array" ref="F56">+SUMPRODUCT(('Budget original'!$A$8:$A$501=$A56)*('Budget original'!$C$3:$AO$3=F$2),'Budget original'!$C$8:$AO$501)</f>
        <v>#N/A</v>
      </c>
      <c r="G56" s="547"/>
      <c r="H56" s="48"/>
      <c r="I56" s="481"/>
      <c r="J56" s="480"/>
      <c r="K56" s="48"/>
      <c r="L56" s="484">
        <f>SUMIFS(BV_Data_An_Cour!$AN:$AN,BV_Data_An_Cour!$AP:$AP,$B56,BV_Data_An_Cour!$AQ:$AQ,$C56,BV_Data_An_Cour!$AR:$AR,L$2)</f>
        <v>0</v>
      </c>
      <c r="M56" s="480"/>
      <c r="N56" s="484" t="str">
        <f t="shared" si="21"/>
        <v>#N/A</v>
      </c>
      <c r="O56" s="480"/>
      <c r="P56" s="48"/>
      <c r="Q56" s="484">
        <f>SUMIFS(BV_Data_An_Prec!$AN:$AN,BV_Data_An_Prec!$AP:$AP,$B56,BV_Data_An_Prec!$AQ:$AQ,$C56,BV_Data_An_Prec!$AR:$AR,Q$2)</f>
        <v>0</v>
      </c>
      <c r="R56" s="480"/>
      <c r="S56" s="484">
        <f t="shared" si="22"/>
        <v>0</v>
      </c>
      <c r="T56" s="483"/>
      <c r="U56" s="48"/>
      <c r="V56" s="48"/>
      <c r="W56" s="48"/>
      <c r="X56" s="40"/>
      <c r="Y56" s="48"/>
      <c r="Z56" s="48"/>
      <c r="AA56" s="48"/>
      <c r="AB56" s="48"/>
      <c r="AC56" s="48"/>
      <c r="AD56" s="48"/>
      <c r="AE56" s="48"/>
      <c r="AF56" s="48"/>
      <c r="AG56" s="48"/>
      <c r="AH56" s="48"/>
      <c r="AI56" s="48"/>
      <c r="AJ56" s="48"/>
      <c r="AK56" s="48"/>
      <c r="AL56" s="48"/>
      <c r="AM56" s="48"/>
      <c r="AN56" s="48"/>
    </row>
    <row r="57" ht="15.75" customHeight="1">
      <c r="A57" s="5" t="str">
        <f t="shared" si="1"/>
        <v>Véhicules neufsFrais véhicules de cie</v>
      </c>
      <c r="B57" s="48" t="str">
        <f t="shared" si="2"/>
        <v>Véhicules neufs</v>
      </c>
      <c r="C57" s="471" t="s">
        <v>130</v>
      </c>
      <c r="D57" s="549"/>
      <c r="E57" s="564"/>
      <c r="F57" s="473" t="str">
        <f t="array" ref="F57">+SUMPRODUCT(('Budget original'!$A$8:$A$501=$A57)*('Budget original'!$C$3:$AO$3=F$2),'Budget original'!$C$8:$AO$501)</f>
        <v>#N/A</v>
      </c>
      <c r="G57" s="550"/>
      <c r="H57" s="564"/>
      <c r="I57" s="473"/>
      <c r="J57" s="471"/>
      <c r="K57" s="564"/>
      <c r="L57" s="476">
        <f>SUMIFS(BV_Data_An_Cour!$AN:$AN,BV_Data_An_Cour!$AP:$AP,$B57,BV_Data_An_Cour!$AQ:$AQ,$C57,BV_Data_An_Cour!$AR:$AR,L$2)</f>
        <v>89956.36</v>
      </c>
      <c r="M57" s="471"/>
      <c r="N57" s="476" t="str">
        <f t="shared" si="21"/>
        <v>#N/A</v>
      </c>
      <c r="O57" s="471"/>
      <c r="P57" s="564"/>
      <c r="Q57" s="476">
        <f>SUMIFS(BV_Data_An_Prec!$AN:$AN,BV_Data_An_Prec!$AP:$AP,$B57,BV_Data_An_Prec!$AQ:$AQ,$C57,BV_Data_An_Prec!$AR:$AR,Q$2)</f>
        <v>109093.9</v>
      </c>
      <c r="R57" s="471"/>
      <c r="S57" s="476">
        <f t="shared" si="22"/>
        <v>-19137.54</v>
      </c>
      <c r="T57" s="503"/>
      <c r="U57" s="48"/>
      <c r="V57" s="48"/>
      <c r="W57" s="48"/>
      <c r="X57" s="40"/>
      <c r="Y57" s="48"/>
      <c r="Z57" s="48"/>
      <c r="AA57" s="48"/>
      <c r="AB57" s="48"/>
      <c r="AC57" s="48"/>
      <c r="AD57" s="48"/>
      <c r="AE57" s="48"/>
      <c r="AF57" s="48"/>
      <c r="AG57" s="48"/>
      <c r="AH57" s="48"/>
      <c r="AI57" s="48"/>
      <c r="AJ57" s="48"/>
      <c r="AK57" s="48"/>
      <c r="AL57" s="48"/>
      <c r="AM57" s="48"/>
      <c r="AN57" s="48"/>
    </row>
    <row r="58" ht="15.75" customHeight="1">
      <c r="A58" s="5" t="str">
        <f t="shared" si="1"/>
        <v>Véhicules neufsInformatique</v>
      </c>
      <c r="B58" s="48" t="str">
        <f t="shared" si="2"/>
        <v>Véhicules neufs</v>
      </c>
      <c r="C58" s="480" t="s">
        <v>131</v>
      </c>
      <c r="D58" s="546"/>
      <c r="E58" s="48"/>
      <c r="F58" s="481" t="str">
        <f t="array" ref="F58">+SUMPRODUCT(('Budget original'!$A$8:$A$501=$A58)*('Budget original'!$C$3:$AO$3=F$2),'Budget original'!$C$8:$AO$501)</f>
        <v>#N/A</v>
      </c>
      <c r="G58" s="547"/>
      <c r="H58" s="48"/>
      <c r="I58" s="481"/>
      <c r="J58" s="480"/>
      <c r="K58" s="48"/>
      <c r="L58" s="484">
        <f>SUMIFS(BV_Data_An_Cour!$AN:$AN,BV_Data_An_Cour!$AP:$AP,$B58,BV_Data_An_Cour!$AQ:$AQ,$C58,BV_Data_An_Cour!$AR:$AR,L$2)</f>
        <v>30700.71</v>
      </c>
      <c r="M58" s="480"/>
      <c r="N58" s="484" t="str">
        <f t="shared" si="21"/>
        <v>#N/A</v>
      </c>
      <c r="O58" s="480"/>
      <c r="P58" s="48"/>
      <c r="Q58" s="484">
        <f>SUMIFS(BV_Data_An_Prec!$AN:$AN,BV_Data_An_Prec!$AP:$AP,$B58,BV_Data_An_Prec!$AQ:$AQ,$C58,BV_Data_An_Prec!$AR:$AR,Q$2)</f>
        <v>37886.22</v>
      </c>
      <c r="R58" s="480"/>
      <c r="S58" s="484">
        <f t="shared" si="22"/>
        <v>-7185.51</v>
      </c>
      <c r="T58" s="483"/>
      <c r="U58" s="48"/>
      <c r="V58" s="48"/>
      <c r="W58" s="48"/>
      <c r="X58" s="48"/>
      <c r="Y58" s="48"/>
      <c r="Z58" s="48"/>
      <c r="AA58" s="48"/>
      <c r="AB58" s="48"/>
      <c r="AC58" s="48"/>
      <c r="AD58" s="48"/>
      <c r="AE58" s="48"/>
      <c r="AF58" s="48"/>
      <c r="AG58" s="48"/>
      <c r="AH58" s="48"/>
      <c r="AI58" s="48"/>
      <c r="AJ58" s="48"/>
      <c r="AK58" s="48"/>
      <c r="AL58" s="48"/>
      <c r="AM58" s="48"/>
      <c r="AN58" s="48"/>
    </row>
    <row r="59" ht="15.75" customHeight="1">
      <c r="A59" s="5" t="str">
        <f t="shared" si="1"/>
        <v>Véhicules neufsFrais de déplacement</v>
      </c>
      <c r="B59" s="48" t="str">
        <f t="shared" si="2"/>
        <v>Véhicules neufs</v>
      </c>
      <c r="C59" s="480" t="s">
        <v>132</v>
      </c>
      <c r="D59" s="546"/>
      <c r="E59" s="48"/>
      <c r="F59" s="481" t="str">
        <f t="array" ref="F59">+SUMPRODUCT(('Budget original'!$A$8:$A$501=$A59)*('Budget original'!$C$3:$AO$3=F$2),'Budget original'!$C$8:$AO$501)</f>
        <v>#N/A</v>
      </c>
      <c r="G59" s="547"/>
      <c r="H59" s="48"/>
      <c r="I59" s="481"/>
      <c r="J59" s="480"/>
      <c r="K59" s="48"/>
      <c r="L59" s="484">
        <f>SUMIFS(BV_Data_An_Cour!$AN:$AN,BV_Data_An_Cour!$AP:$AP,$B59,BV_Data_An_Cour!$AQ:$AQ,$C59,BV_Data_An_Cour!$AR:$AR,L$2)</f>
        <v>24910.61</v>
      </c>
      <c r="M59" s="480"/>
      <c r="N59" s="484" t="str">
        <f t="shared" si="21"/>
        <v>#N/A</v>
      </c>
      <c r="O59" s="480"/>
      <c r="P59" s="48"/>
      <c r="Q59" s="484">
        <f>SUMIFS(BV_Data_An_Prec!$AN:$AN,BV_Data_An_Prec!$AP:$AP,$B59,BV_Data_An_Prec!$AQ:$AQ,$C59,BV_Data_An_Prec!$AR:$AR,Q$2)</f>
        <v>42804.27</v>
      </c>
      <c r="R59" s="480"/>
      <c r="S59" s="484">
        <f t="shared" si="22"/>
        <v>-17893.66</v>
      </c>
      <c r="T59" s="48"/>
      <c r="U59" s="48"/>
      <c r="V59" s="48"/>
      <c r="W59" s="48"/>
      <c r="X59" s="48"/>
      <c r="Y59" s="48"/>
      <c r="Z59" s="48"/>
      <c r="AA59" s="48"/>
      <c r="AB59" s="48"/>
      <c r="AC59" s="48"/>
      <c r="AD59" s="48"/>
      <c r="AE59" s="48"/>
      <c r="AF59" s="48"/>
      <c r="AG59" s="48"/>
      <c r="AH59" s="48"/>
      <c r="AI59" s="48"/>
      <c r="AJ59" s="48"/>
      <c r="AK59" s="48"/>
      <c r="AL59" s="48"/>
      <c r="AM59" s="48"/>
      <c r="AN59" s="48"/>
    </row>
    <row r="60" ht="15.75" customHeight="1">
      <c r="A60" s="5" t="str">
        <f t="shared" si="1"/>
        <v>Véhicules neufsServices extérieurs</v>
      </c>
      <c r="B60" s="48" t="str">
        <f t="shared" si="2"/>
        <v>Véhicules neufs</v>
      </c>
      <c r="C60" s="471" t="s">
        <v>133</v>
      </c>
      <c r="D60" s="549"/>
      <c r="E60" s="564"/>
      <c r="F60" s="473" t="str">
        <f t="array" ref="F60">+SUMPRODUCT(('Budget original'!$A$8:$A$501=$A60)*('Budget original'!$C$3:$AO$3=F$2),'Budget original'!$C$8:$AO$501)</f>
        <v>#N/A</v>
      </c>
      <c r="G60" s="550"/>
      <c r="H60" s="564"/>
      <c r="I60" s="473"/>
      <c r="J60" s="471"/>
      <c r="K60" s="564"/>
      <c r="L60" s="476">
        <f>SUMIFS(BV_Data_An_Cour!$AN:$AN,BV_Data_An_Cour!$AP:$AP,$B60,BV_Data_An_Cour!$AQ:$AQ,$C60,BV_Data_An_Cour!$AR:$AR,L$2)</f>
        <v>56956.08</v>
      </c>
      <c r="M60" s="471"/>
      <c r="N60" s="476" t="str">
        <f t="shared" si="21"/>
        <v>#N/A</v>
      </c>
      <c r="O60" s="471"/>
      <c r="P60" s="564"/>
      <c r="Q60" s="476">
        <f>SUMIFS(BV_Data_An_Prec!$AN:$AN,BV_Data_An_Prec!$AP:$AP,$B60,BV_Data_An_Prec!$AQ:$AQ,$C60,BV_Data_An_Prec!$AR:$AR,Q$2)</f>
        <v>64864.05</v>
      </c>
      <c r="R60" s="471"/>
      <c r="S60" s="476">
        <f t="shared" si="22"/>
        <v>-7907.97</v>
      </c>
      <c r="T60" s="48"/>
      <c r="U60" s="48"/>
      <c r="V60" s="48"/>
      <c r="W60" s="48"/>
      <c r="X60" s="48"/>
      <c r="Y60" s="48"/>
      <c r="Z60" s="48"/>
      <c r="AA60" s="48"/>
      <c r="AB60" s="48"/>
      <c r="AC60" s="48"/>
      <c r="AD60" s="48"/>
      <c r="AE60" s="48"/>
      <c r="AF60" s="48"/>
      <c r="AG60" s="48"/>
      <c r="AH60" s="48"/>
      <c r="AI60" s="48"/>
      <c r="AJ60" s="48"/>
      <c r="AK60" s="48"/>
      <c r="AL60" s="48"/>
      <c r="AM60" s="48"/>
      <c r="AN60" s="48"/>
    </row>
    <row r="61" ht="15.75" customHeight="1">
      <c r="A61" s="5" t="str">
        <f t="shared" si="1"/>
        <v>Véhicules neufsFournitures autres</v>
      </c>
      <c r="B61" s="48" t="str">
        <f t="shared" si="2"/>
        <v>Véhicules neufs</v>
      </c>
      <c r="C61" s="480" t="s">
        <v>134</v>
      </c>
      <c r="D61" s="546"/>
      <c r="E61" s="48"/>
      <c r="F61" s="481" t="str">
        <f t="array" ref="F61">+SUMPRODUCT(('Budget original'!$A$8:$A$501=$A61)*('Budget original'!$C$3:$AO$3=F$2),'Budget original'!$C$8:$AO$501)</f>
        <v>#N/A</v>
      </c>
      <c r="G61" s="547"/>
      <c r="H61" s="48"/>
      <c r="I61" s="481"/>
      <c r="J61" s="480"/>
      <c r="K61" s="48"/>
      <c r="L61" s="484">
        <f>SUMIFS(BV_Data_An_Cour!$AN:$AN,BV_Data_An_Cour!$AP:$AP,$B61,BV_Data_An_Cour!$AQ:$AQ,$C61,BV_Data_An_Cour!$AR:$AR,L$2)</f>
        <v>3996.33</v>
      </c>
      <c r="M61" s="480"/>
      <c r="N61" s="484" t="str">
        <f t="shared" si="21"/>
        <v>#N/A</v>
      </c>
      <c r="O61" s="480"/>
      <c r="P61" s="48"/>
      <c r="Q61" s="484">
        <f>SUMIFS(BV_Data_An_Prec!$AN:$AN,BV_Data_An_Prec!$AP:$AP,$B61,BV_Data_An_Prec!$AQ:$AQ,$C61,BV_Data_An_Prec!$AR:$AR,Q$2)</f>
        <v>6191.83</v>
      </c>
      <c r="R61" s="480"/>
      <c r="S61" s="484">
        <f t="shared" si="22"/>
        <v>-2195.5</v>
      </c>
      <c r="T61" s="48"/>
      <c r="U61" s="48"/>
      <c r="V61" s="48"/>
      <c r="W61" s="48"/>
      <c r="X61" s="48"/>
      <c r="Y61" s="48"/>
      <c r="Z61" s="48"/>
      <c r="AA61" s="48"/>
      <c r="AB61" s="48"/>
      <c r="AC61" s="48"/>
      <c r="AD61" s="48"/>
      <c r="AE61" s="48"/>
      <c r="AF61" s="48"/>
      <c r="AG61" s="48"/>
      <c r="AH61" s="48"/>
      <c r="AI61" s="48"/>
      <c r="AJ61" s="48"/>
      <c r="AK61" s="48"/>
      <c r="AL61" s="48"/>
      <c r="AM61" s="48"/>
      <c r="AN61" s="48"/>
    </row>
    <row r="62" ht="15.75" customHeight="1">
      <c r="A62" s="5" t="str">
        <f t="shared" si="1"/>
        <v>Véhicules neufsUniformes</v>
      </c>
      <c r="B62" s="48" t="str">
        <f t="shared" si="2"/>
        <v>Véhicules neufs</v>
      </c>
      <c r="C62" s="480" t="s">
        <v>135</v>
      </c>
      <c r="D62" s="546"/>
      <c r="E62" s="48"/>
      <c r="F62" s="481" t="str">
        <f t="array" ref="F62">+SUMPRODUCT(('Budget original'!$A$8:$A$501=$A62)*('Budget original'!$C$3:$AO$3=F$2),'Budget original'!$C$8:$AO$501)</f>
        <v>#N/A</v>
      </c>
      <c r="G62" s="547"/>
      <c r="H62" s="48"/>
      <c r="I62" s="481"/>
      <c r="J62" s="480"/>
      <c r="K62" s="48"/>
      <c r="L62" s="484">
        <f>SUMIFS(BV_Data_An_Cour!$AN:$AN,BV_Data_An_Cour!$AP:$AP,$B62,BV_Data_An_Cour!$AQ:$AQ,$C62,BV_Data_An_Cour!$AR:$AR,L$2)</f>
        <v>0</v>
      </c>
      <c r="M62" s="480"/>
      <c r="N62" s="484" t="str">
        <f t="shared" si="21"/>
        <v>#N/A</v>
      </c>
      <c r="O62" s="480"/>
      <c r="P62" s="48"/>
      <c r="Q62" s="484">
        <f>SUMIFS(BV_Data_An_Prec!$AN:$AN,BV_Data_An_Prec!$AP:$AP,$B62,BV_Data_An_Prec!$AQ:$AQ,$C62,BV_Data_An_Prec!$AR:$AR,Q$2)</f>
        <v>0</v>
      </c>
      <c r="R62" s="480"/>
      <c r="S62" s="484">
        <f t="shared" si="22"/>
        <v>0</v>
      </c>
      <c r="T62" s="48"/>
      <c r="U62" s="48"/>
      <c r="V62" s="48"/>
      <c r="W62" s="48"/>
      <c r="X62" s="48"/>
      <c r="Y62" s="48"/>
      <c r="Z62" s="48"/>
      <c r="AA62" s="48"/>
      <c r="AB62" s="48"/>
      <c r="AC62" s="48"/>
      <c r="AD62" s="48"/>
      <c r="AE62" s="48"/>
      <c r="AF62" s="48"/>
      <c r="AG62" s="48"/>
      <c r="AH62" s="48"/>
      <c r="AI62" s="48"/>
      <c r="AJ62" s="48"/>
      <c r="AK62" s="48"/>
      <c r="AL62" s="48"/>
      <c r="AM62" s="48"/>
      <c r="AN62" s="48"/>
    </row>
    <row r="63" ht="15.75" customHeight="1">
      <c r="A63" s="5" t="str">
        <f t="shared" si="1"/>
        <v>Véhicules neufsPapeterie</v>
      </c>
      <c r="B63" s="48" t="str">
        <f t="shared" si="2"/>
        <v>Véhicules neufs</v>
      </c>
      <c r="C63" s="480" t="s">
        <v>136</v>
      </c>
      <c r="D63" s="546"/>
      <c r="E63" s="48"/>
      <c r="F63" s="481" t="str">
        <f t="array" ref="F63">+SUMPRODUCT(('Budget original'!$A$8:$A$501=$A63)*('Budget original'!$C$3:$AO$3=F$2),'Budget original'!$C$8:$AO$501)</f>
        <v>#N/A</v>
      </c>
      <c r="G63" s="547"/>
      <c r="H63" s="48"/>
      <c r="I63" s="481"/>
      <c r="J63" s="480"/>
      <c r="K63" s="48"/>
      <c r="L63" s="484">
        <f>SUMIFS(BV_Data_An_Cour!$AN:$AN,BV_Data_An_Cour!$AP:$AP,$B63,BV_Data_An_Cour!$AQ:$AQ,$C63,BV_Data_An_Cour!$AR:$AR,L$2)</f>
        <v>16701.57</v>
      </c>
      <c r="M63" s="480"/>
      <c r="N63" s="484" t="str">
        <f t="shared" si="21"/>
        <v>#N/A</v>
      </c>
      <c r="O63" s="480"/>
      <c r="P63" s="48"/>
      <c r="Q63" s="484">
        <f>SUMIFS(BV_Data_An_Prec!$AN:$AN,BV_Data_An_Prec!$AP:$AP,$B63,BV_Data_An_Prec!$AQ:$AQ,$C63,BV_Data_An_Prec!$AR:$AR,Q$2)</f>
        <v>19170.64</v>
      </c>
      <c r="R63" s="480"/>
      <c r="S63" s="484">
        <f t="shared" si="22"/>
        <v>-2469.07</v>
      </c>
      <c r="T63" s="48"/>
      <c r="U63" s="48"/>
      <c r="V63" s="48"/>
      <c r="W63" s="48"/>
      <c r="X63" s="48"/>
      <c r="Y63" s="48"/>
      <c r="Z63" s="48"/>
      <c r="AA63" s="48"/>
      <c r="AB63" s="48"/>
      <c r="AC63" s="48"/>
      <c r="AD63" s="48"/>
      <c r="AE63" s="48"/>
      <c r="AF63" s="48"/>
      <c r="AG63" s="48"/>
      <c r="AH63" s="48"/>
      <c r="AI63" s="48"/>
      <c r="AJ63" s="48"/>
      <c r="AK63" s="48"/>
      <c r="AL63" s="48"/>
      <c r="AM63" s="48"/>
      <c r="AN63" s="48"/>
    </row>
    <row r="64" ht="15.75" customHeight="1">
      <c r="A64" s="5" t="str">
        <f t="shared" si="1"/>
        <v>Véhicules neufsTéléphone</v>
      </c>
      <c r="B64" s="48" t="str">
        <f t="shared" si="2"/>
        <v>Véhicules neufs</v>
      </c>
      <c r="C64" s="480" t="s">
        <v>137</v>
      </c>
      <c r="D64" s="546"/>
      <c r="E64" s="48"/>
      <c r="F64" s="481" t="str">
        <f t="array" ref="F64">+SUMPRODUCT(('Budget original'!$A$8:$A$501=$A64)*('Budget original'!$C$3:$AO$3=F$2),'Budget original'!$C$8:$AO$501)</f>
        <v>#N/A</v>
      </c>
      <c r="G64" s="547"/>
      <c r="H64" s="48"/>
      <c r="I64" s="481"/>
      <c r="J64" s="480"/>
      <c r="K64" s="48"/>
      <c r="L64" s="484">
        <f>SUMIFS(BV_Data_An_Cour!$AN:$AN,BV_Data_An_Cour!$AP:$AP,$B64,BV_Data_An_Cour!$AQ:$AQ,$C64,BV_Data_An_Cour!$AR:$AR,L$2)</f>
        <v>5233.81</v>
      </c>
      <c r="M64" s="480"/>
      <c r="N64" s="484" t="str">
        <f t="shared" si="21"/>
        <v>#N/A</v>
      </c>
      <c r="O64" s="480"/>
      <c r="P64" s="48"/>
      <c r="Q64" s="484">
        <f>SUMIFS(BV_Data_An_Prec!$AN:$AN,BV_Data_An_Prec!$AP:$AP,$B64,BV_Data_An_Prec!$AQ:$AQ,$C64,BV_Data_An_Prec!$AR:$AR,Q$2)</f>
        <v>8741.13</v>
      </c>
      <c r="R64" s="480"/>
      <c r="S64" s="484">
        <f t="shared" si="22"/>
        <v>-3507.32</v>
      </c>
      <c r="T64" s="48"/>
      <c r="U64" s="48"/>
      <c r="V64" s="48"/>
      <c r="W64" s="48"/>
      <c r="X64" s="48"/>
      <c r="Y64" s="48"/>
      <c r="Z64" s="48"/>
      <c r="AA64" s="48"/>
      <c r="AB64" s="48"/>
      <c r="AC64" s="48"/>
      <c r="AD64" s="48"/>
      <c r="AE64" s="48"/>
      <c r="AF64" s="48"/>
      <c r="AG64" s="48"/>
      <c r="AH64" s="48"/>
      <c r="AI64" s="48"/>
      <c r="AJ64" s="48"/>
      <c r="AK64" s="48"/>
      <c r="AL64" s="48"/>
      <c r="AM64" s="48"/>
      <c r="AN64" s="48"/>
    </row>
    <row r="65" ht="15.75" customHeight="1">
      <c r="A65" s="5" t="str">
        <f t="shared" si="1"/>
        <v>Véhicules neufsFrais postaux</v>
      </c>
      <c r="B65" s="48" t="str">
        <f t="shared" si="2"/>
        <v>Véhicules neufs</v>
      </c>
      <c r="C65" s="480" t="s">
        <v>138</v>
      </c>
      <c r="D65" s="546"/>
      <c r="E65" s="48"/>
      <c r="F65" s="481" t="str">
        <f t="array" ref="F65">+SUMPRODUCT(('Budget original'!$A$8:$A$501=$A65)*('Budget original'!$C$3:$AO$3=F$2),'Budget original'!$C$8:$AO$501)</f>
        <v>#N/A</v>
      </c>
      <c r="G65" s="547"/>
      <c r="H65" s="48"/>
      <c r="I65" s="481"/>
      <c r="J65" s="480"/>
      <c r="K65" s="48"/>
      <c r="L65" s="484">
        <f>SUMIFS(BV_Data_An_Cour!$AN:$AN,BV_Data_An_Cour!$AP:$AP,$B65,BV_Data_An_Cour!$AQ:$AQ,$C65,BV_Data_An_Cour!$AR:$AR,L$2)</f>
        <v>14795.39</v>
      </c>
      <c r="M65" s="480"/>
      <c r="N65" s="484" t="str">
        <f t="shared" si="21"/>
        <v>#N/A</v>
      </c>
      <c r="O65" s="480"/>
      <c r="P65" s="48"/>
      <c r="Q65" s="484">
        <f>SUMIFS(BV_Data_An_Prec!$AN:$AN,BV_Data_An_Prec!$AP:$AP,$B65,BV_Data_An_Prec!$AQ:$AQ,$C65,BV_Data_An_Prec!$AR:$AR,Q$2)</f>
        <v>8079.51</v>
      </c>
      <c r="R65" s="480"/>
      <c r="S65" s="484">
        <f t="shared" si="22"/>
        <v>6715.88</v>
      </c>
      <c r="T65" s="48"/>
      <c r="U65" s="48"/>
      <c r="V65" s="48"/>
      <c r="W65" s="48"/>
      <c r="X65" s="48"/>
      <c r="Y65" s="48"/>
      <c r="Z65" s="48"/>
      <c r="AA65" s="48"/>
      <c r="AB65" s="48"/>
      <c r="AC65" s="48"/>
      <c r="AD65" s="48"/>
      <c r="AE65" s="48"/>
      <c r="AF65" s="48"/>
      <c r="AG65" s="48"/>
      <c r="AH65" s="48"/>
      <c r="AI65" s="48"/>
      <c r="AJ65" s="48"/>
      <c r="AK65" s="48"/>
      <c r="AL65" s="48"/>
      <c r="AM65" s="48"/>
      <c r="AN65" s="48"/>
    </row>
    <row r="66" ht="15.75" customHeight="1">
      <c r="A66" s="5" t="str">
        <f t="shared" si="1"/>
        <v>Véhicules neufsDivers</v>
      </c>
      <c r="B66" s="48" t="str">
        <f t="shared" si="2"/>
        <v>Véhicules neufs</v>
      </c>
      <c r="C66" s="480" t="s">
        <v>139</v>
      </c>
      <c r="D66" s="546"/>
      <c r="E66" s="48"/>
      <c r="F66" s="481" t="str">
        <f t="array" ref="F66">+SUMPRODUCT(('Budget original'!$A$8:$A$501=$A66)*('Budget original'!$C$3:$AO$3=F$2),'Budget original'!$C$8:$AO$501)</f>
        <v>#N/A</v>
      </c>
      <c r="G66" s="547"/>
      <c r="H66" s="48"/>
      <c r="I66" s="481"/>
      <c r="J66" s="480"/>
      <c r="K66" s="48"/>
      <c r="L66" s="484">
        <f>SUMIFS(BV_Data_An_Cour!$AN:$AN,BV_Data_An_Cour!$AP:$AP,$B66,BV_Data_An_Cour!$AQ:$AQ,$C66,BV_Data_An_Cour!$AR:$AR,L$2)</f>
        <v>29093.21</v>
      </c>
      <c r="M66" s="480"/>
      <c r="N66" s="484" t="str">
        <f t="shared" si="21"/>
        <v>#N/A</v>
      </c>
      <c r="O66" s="480"/>
      <c r="P66" s="48"/>
      <c r="Q66" s="484">
        <f>SUMIFS(BV_Data_An_Prec!$AN:$AN,BV_Data_An_Prec!$AP:$AP,$B66,BV_Data_An_Prec!$AQ:$AQ,$C66,BV_Data_An_Prec!$AR:$AR,Q$2)</f>
        <v>26756.24</v>
      </c>
      <c r="R66" s="480"/>
      <c r="S66" s="484">
        <f t="shared" si="22"/>
        <v>2336.97</v>
      </c>
      <c r="T66" s="48"/>
      <c r="U66" s="48"/>
      <c r="V66" s="48"/>
      <c r="W66" s="48"/>
      <c r="X66" s="48"/>
      <c r="Y66" s="48"/>
      <c r="Z66" s="48"/>
      <c r="AA66" s="48"/>
      <c r="AB66" s="48"/>
      <c r="AC66" s="48"/>
      <c r="AD66" s="48"/>
      <c r="AE66" s="48"/>
      <c r="AF66" s="48"/>
      <c r="AG66" s="48"/>
      <c r="AH66" s="48"/>
      <c r="AI66" s="48"/>
      <c r="AJ66" s="48"/>
      <c r="AK66" s="48"/>
      <c r="AL66" s="48"/>
      <c r="AM66" s="48"/>
      <c r="AN66" s="48"/>
    </row>
    <row r="67" ht="15.75" customHeight="1">
      <c r="A67" s="5" t="str">
        <f t="shared" si="1"/>
        <v>Véhicules neufsFormation</v>
      </c>
      <c r="B67" s="48" t="str">
        <f t="shared" si="2"/>
        <v>Véhicules neufs</v>
      </c>
      <c r="C67" s="480" t="s">
        <v>140</v>
      </c>
      <c r="D67" s="546"/>
      <c r="E67" s="48"/>
      <c r="F67" s="481" t="str">
        <f t="array" ref="F67">+SUMPRODUCT(('Budget original'!$A$8:$A$501=$A67)*('Budget original'!$C$3:$AO$3=F$2),'Budget original'!$C$8:$AO$501)</f>
        <v>#N/A</v>
      </c>
      <c r="G67" s="547"/>
      <c r="H67" s="48"/>
      <c r="I67" s="481"/>
      <c r="J67" s="480"/>
      <c r="K67" s="48"/>
      <c r="L67" s="484">
        <f>SUMIFS(BV_Data_An_Cour!$AN:$AN,BV_Data_An_Cour!$AP:$AP,$B67,BV_Data_An_Cour!$AQ:$AQ,$C67,BV_Data_An_Cour!$AR:$AR,L$2)</f>
        <v>13409.21</v>
      </c>
      <c r="M67" s="480"/>
      <c r="N67" s="484" t="str">
        <f t="shared" si="21"/>
        <v>#N/A</v>
      </c>
      <c r="O67" s="480"/>
      <c r="P67" s="48"/>
      <c r="Q67" s="484">
        <f>SUMIFS(BV_Data_An_Prec!$AN:$AN,BV_Data_An_Prec!$AP:$AP,$B67,BV_Data_An_Prec!$AQ:$AQ,$C67,BV_Data_An_Prec!$AR:$AR,Q$2)</f>
        <v>6711.03</v>
      </c>
      <c r="R67" s="480"/>
      <c r="S67" s="484">
        <f t="shared" si="22"/>
        <v>6698.18</v>
      </c>
      <c r="T67" s="48"/>
      <c r="U67" s="5"/>
      <c r="X67" s="48"/>
      <c r="Y67" s="48"/>
      <c r="Z67" s="48"/>
      <c r="AA67" s="48"/>
      <c r="AB67" s="48"/>
      <c r="AC67" s="48"/>
      <c r="AD67" s="48"/>
      <c r="AE67" s="48"/>
      <c r="AF67" s="48"/>
      <c r="AG67" s="48"/>
      <c r="AH67" s="48"/>
      <c r="AI67" s="48"/>
      <c r="AJ67" s="48"/>
      <c r="AK67" s="48"/>
      <c r="AL67" s="48"/>
      <c r="AM67" s="48"/>
      <c r="AN67" s="48"/>
    </row>
    <row r="68" ht="15.75" customHeight="1">
      <c r="A68" s="5" t="str">
        <f t="shared" si="1"/>
        <v>Véhicules neufsFrais bancaires</v>
      </c>
      <c r="B68" s="48" t="str">
        <f t="shared" si="2"/>
        <v>Véhicules neufs</v>
      </c>
      <c r="C68" s="480" t="s">
        <v>141</v>
      </c>
      <c r="D68" s="546"/>
      <c r="E68" s="48"/>
      <c r="F68" s="481" t="str">
        <f t="array" ref="F68">+SUMPRODUCT(('Budget original'!$A$8:$A$501=$A68)*('Budget original'!$C$3:$AO$3=F$2),'Budget original'!$C$8:$AO$501)</f>
        <v>#N/A</v>
      </c>
      <c r="G68" s="547"/>
      <c r="H68" s="48"/>
      <c r="I68" s="481"/>
      <c r="J68" s="480"/>
      <c r="K68" s="48"/>
      <c r="L68" s="484">
        <f>SUMIFS(BV_Data_An_Cour!$AN:$AN,BV_Data_An_Cour!$AP:$AP,$B68,BV_Data_An_Cour!$AQ:$AQ,$C68,BV_Data_An_Cour!$AR:$AR,L$2)</f>
        <v>13779.88</v>
      </c>
      <c r="M68" s="480"/>
      <c r="N68" s="484" t="str">
        <f t="shared" si="21"/>
        <v>#N/A</v>
      </c>
      <c r="O68" s="480"/>
      <c r="P68" s="48"/>
      <c r="Q68" s="484">
        <f>SUMIFS(BV_Data_An_Prec!$AN:$AN,BV_Data_An_Prec!$AP:$AP,$B68,BV_Data_An_Prec!$AQ:$AQ,$C68,BV_Data_An_Prec!$AR:$AR,Q$2)</f>
        <v>3227.62</v>
      </c>
      <c r="R68" s="480"/>
      <c r="S68" s="484">
        <f t="shared" si="22"/>
        <v>10552.26</v>
      </c>
      <c r="T68" s="48"/>
      <c r="X68" s="48"/>
      <c r="Y68" s="48"/>
      <c r="Z68" s="48"/>
      <c r="AA68" s="48"/>
      <c r="AB68" s="48"/>
      <c r="AC68" s="48"/>
      <c r="AD68" s="48"/>
      <c r="AE68" s="48"/>
      <c r="AF68" s="48"/>
      <c r="AG68" s="48"/>
      <c r="AH68" s="48"/>
      <c r="AI68" s="48"/>
      <c r="AJ68" s="48"/>
      <c r="AK68" s="48"/>
      <c r="AL68" s="48"/>
      <c r="AM68" s="48"/>
      <c r="AN68" s="48"/>
    </row>
    <row r="69" ht="20.25" hidden="1" customHeight="1">
      <c r="A69" s="5" t="str">
        <f t="shared" si="1"/>
        <v>Véhicules neufs[...]</v>
      </c>
      <c r="B69" s="48" t="str">
        <f t="shared" si="2"/>
        <v>Véhicules neufs</v>
      </c>
      <c r="C69" s="480" t="s">
        <v>56</v>
      </c>
      <c r="D69" s="546"/>
      <c r="E69" s="48"/>
      <c r="F69" s="481" t="str">
        <f t="array" ref="F69">+SUMPRODUCT(('Budget original'!$A$8:$A$501=$A69)*('Budget original'!$C$3:$AO$3=F$2),'Budget original'!$C$8:$AO$501)</f>
        <v>#N/A</v>
      </c>
      <c r="G69" s="547"/>
      <c r="H69" s="48"/>
      <c r="I69" s="481"/>
      <c r="J69" s="480"/>
      <c r="K69" s="48"/>
      <c r="L69" s="484"/>
      <c r="M69" s="480"/>
      <c r="N69" s="484" t="str">
        <f t="shared" si="21"/>
        <v>#N/A</v>
      </c>
      <c r="O69" s="480"/>
      <c r="P69" s="48"/>
      <c r="Q69" s="484"/>
      <c r="R69" s="480"/>
      <c r="S69" s="484">
        <f t="shared" si="22"/>
        <v>0</v>
      </c>
      <c r="T69" s="48"/>
      <c r="X69" s="48"/>
      <c r="Y69" s="48"/>
      <c r="Z69" s="48"/>
      <c r="AA69" s="48"/>
      <c r="AB69" s="48"/>
      <c r="AC69" s="48"/>
      <c r="AD69" s="48"/>
      <c r="AE69" s="48"/>
      <c r="AF69" s="48"/>
      <c r="AG69" s="48"/>
      <c r="AH69" s="48"/>
      <c r="AI69" s="48"/>
      <c r="AJ69" s="48"/>
      <c r="AK69" s="48"/>
      <c r="AL69" s="48"/>
      <c r="AM69" s="48"/>
      <c r="AN69" s="48"/>
    </row>
    <row r="70" ht="20.25" hidden="1" customHeight="1">
      <c r="A70" s="5" t="str">
        <f t="shared" si="1"/>
        <v>Véhicules neufs[...]</v>
      </c>
      <c r="B70" s="48" t="str">
        <f t="shared" si="2"/>
        <v>Véhicules neufs</v>
      </c>
      <c r="C70" s="480" t="s">
        <v>56</v>
      </c>
      <c r="D70" s="546"/>
      <c r="E70" s="48"/>
      <c r="F70" s="481" t="str">
        <f t="array" ref="F70">+SUMPRODUCT(('Budget original'!$A$8:$A$501=$A70)*('Budget original'!$C$3:$AO$3=F$2),'Budget original'!$C$8:$AO$501)</f>
        <v>#N/A</v>
      </c>
      <c r="G70" s="547"/>
      <c r="H70" s="48"/>
      <c r="I70" s="481"/>
      <c r="J70" s="480"/>
      <c r="K70" s="48"/>
      <c r="L70" s="484">
        <f>SUMIFS(BV_Data_An_Cour!$AN:$AN,BV_Data_An_Cour!$AP:$AP,$B70,BV_Data_An_Cour!$AQ:$AQ,$C70,BV_Data_An_Cour!$AR:$AR,L$2)</f>
        <v>0</v>
      </c>
      <c r="M70" s="480"/>
      <c r="N70" s="484" t="str">
        <f t="shared" si="21"/>
        <v>#N/A</v>
      </c>
      <c r="O70" s="480"/>
      <c r="P70" s="48"/>
      <c r="Q70" s="484">
        <f>SUMIFS(BV_Data_An_Prec!$AN:$AN,BV_Data_An_Prec!$AP:$AP,$B70,BV_Data_An_Prec!$AQ:$AQ,$C70,BV_Data_An_Prec!$AR:$AR,Q$2)</f>
        <v>0</v>
      </c>
      <c r="R70" s="480"/>
      <c r="S70" s="484">
        <f t="shared" si="22"/>
        <v>0</v>
      </c>
      <c r="T70" s="48"/>
      <c r="X70" s="48"/>
      <c r="Y70" s="48"/>
      <c r="Z70" s="48"/>
      <c r="AA70" s="48"/>
      <c r="AB70" s="48"/>
      <c r="AC70" s="48"/>
      <c r="AD70" s="48"/>
      <c r="AE70" s="48"/>
      <c r="AF70" s="48"/>
      <c r="AG70" s="48"/>
      <c r="AH70" s="48"/>
      <c r="AI70" s="48"/>
      <c r="AJ70" s="48"/>
      <c r="AK70" s="48"/>
      <c r="AL70" s="48"/>
      <c r="AM70" s="48"/>
      <c r="AN70" s="48"/>
    </row>
    <row r="71" ht="20.25" hidden="1" customHeight="1">
      <c r="A71" s="5" t="str">
        <f t="shared" si="1"/>
        <v>Véhicules neufs[...]</v>
      </c>
      <c r="B71" s="48" t="str">
        <f t="shared" si="2"/>
        <v>Véhicules neufs</v>
      </c>
      <c r="C71" s="480" t="s">
        <v>56</v>
      </c>
      <c r="D71" s="546"/>
      <c r="E71" s="48"/>
      <c r="F71" s="481" t="str">
        <f t="array" ref="F71">+SUMPRODUCT(('Budget original'!$A$8:$A$501=$A71)*('Budget original'!$C$3:$AO$3=F$2),'Budget original'!$C$8:$AO$501)</f>
        <v>#N/A</v>
      </c>
      <c r="G71" s="547"/>
      <c r="H71" s="48"/>
      <c r="I71" s="481"/>
      <c r="J71" s="480"/>
      <c r="K71" s="48"/>
      <c r="L71" s="484">
        <f>SUMIFS(BV_Data_An_Cour!$AN:$AN,BV_Data_An_Cour!$AP:$AP,$B71,BV_Data_An_Cour!$AQ:$AQ,$C71,BV_Data_An_Cour!$AR:$AR,L$2)*0.32</f>
        <v>0</v>
      </c>
      <c r="M71" s="480"/>
      <c r="N71" s="484" t="str">
        <f t="shared" si="21"/>
        <v>#N/A</v>
      </c>
      <c r="O71" s="480"/>
      <c r="P71" s="48"/>
      <c r="Q71" s="484">
        <f>SUMIFS(BV_Data_An_Prec!$AN:$AN,BV_Data_An_Prec!$AP:$AP,$B71,BV_Data_An_Prec!$AQ:$AQ,$C71,BV_Data_An_Prec!$AR:$AR,Q$2)*0.32</f>
        <v>0</v>
      </c>
      <c r="R71" s="480"/>
      <c r="S71" s="484">
        <f t="shared" si="22"/>
        <v>0</v>
      </c>
      <c r="T71" s="48"/>
      <c r="X71" s="48"/>
      <c r="Y71" s="48"/>
      <c r="Z71" s="48"/>
      <c r="AA71" s="48"/>
      <c r="AB71" s="48"/>
      <c r="AC71" s="48"/>
      <c r="AD71" s="48"/>
      <c r="AE71" s="48"/>
      <c r="AF71" s="48"/>
      <c r="AG71" s="48"/>
      <c r="AH71" s="48"/>
      <c r="AI71" s="48"/>
      <c r="AJ71" s="48"/>
      <c r="AK71" s="48"/>
      <c r="AL71" s="48"/>
      <c r="AM71" s="48"/>
      <c r="AN71" s="48"/>
    </row>
    <row r="72" ht="18.0" customHeight="1">
      <c r="A72" s="5" t="str">
        <f t="shared" si="1"/>
        <v>Véhicules neufsTOTAL SEMI-FIXES</v>
      </c>
      <c r="B72" s="48" t="str">
        <f t="shared" si="2"/>
        <v>Véhicules neufs</v>
      </c>
      <c r="C72" s="552" t="s">
        <v>142</v>
      </c>
      <c r="D72" s="553" t="s">
        <v>225</v>
      </c>
      <c r="E72" s="554" t="str">
        <f>F72/F$27</f>
        <v>#N/A</v>
      </c>
      <c r="F72" s="555" t="str">
        <f>+SUM(F55:F71)</f>
        <v>#N/A</v>
      </c>
      <c r="G72" s="556"/>
      <c r="H72" s="554"/>
      <c r="I72" s="555"/>
      <c r="J72" s="556" t="s">
        <v>225</v>
      </c>
      <c r="K72" s="554">
        <f>L72/L$27</f>
        <v>0.163508922</v>
      </c>
      <c r="L72" s="555">
        <f>+SUM(L55:L71)</f>
        <v>299533.16</v>
      </c>
      <c r="M72" s="557"/>
      <c r="N72" s="555" t="str">
        <f>+SUM(N55:N71)</f>
        <v>#N/A</v>
      </c>
      <c r="O72" s="556" t="s">
        <v>225</v>
      </c>
      <c r="P72" s="554">
        <f>Q72/Q$27</f>
        <v>0.1208782375</v>
      </c>
      <c r="Q72" s="555">
        <f>+SUM(Q55:Q71)</f>
        <v>333526.44</v>
      </c>
      <c r="R72" s="558"/>
      <c r="S72" s="555">
        <f>+SUM(S55:S71)</f>
        <v>-33993.28</v>
      </c>
      <c r="T72" s="48"/>
      <c r="U72" s="48"/>
      <c r="V72" s="48"/>
      <c r="W72" s="48"/>
      <c r="X72" s="48"/>
      <c r="Y72" s="48"/>
      <c r="Z72" s="48"/>
      <c r="AA72" s="48"/>
      <c r="AB72" s="48"/>
      <c r="AC72" s="48"/>
      <c r="AD72" s="48"/>
      <c r="AE72" s="48"/>
      <c r="AF72" s="48"/>
      <c r="AG72" s="48"/>
      <c r="AH72" s="48"/>
      <c r="AI72" s="48"/>
      <c r="AJ72" s="48"/>
      <c r="AK72" s="48"/>
      <c r="AL72" s="48"/>
      <c r="AM72" s="48"/>
      <c r="AN72" s="48"/>
    </row>
    <row r="73" ht="15.75" customHeight="1">
      <c r="A73" s="5" t="str">
        <f t="shared" si="1"/>
        <v>Véhicules neufs</v>
      </c>
      <c r="B73" s="48" t="str">
        <f t="shared" si="2"/>
        <v>Véhicules neufs</v>
      </c>
      <c r="C73" s="471"/>
      <c r="D73" s="549"/>
      <c r="E73" s="564"/>
      <c r="F73" s="484"/>
      <c r="G73" s="550"/>
      <c r="H73" s="564"/>
      <c r="I73" s="484"/>
      <c r="J73" s="471"/>
      <c r="K73" s="564"/>
      <c r="L73" s="476"/>
      <c r="M73" s="471"/>
      <c r="N73" s="476"/>
      <c r="O73" s="471"/>
      <c r="P73" s="564"/>
      <c r="Q73" s="476"/>
      <c r="R73" s="471"/>
      <c r="S73" s="476"/>
      <c r="T73" s="48"/>
      <c r="U73" s="48"/>
      <c r="V73" s="48"/>
      <c r="W73" s="48"/>
      <c r="X73" s="48"/>
      <c r="Y73" s="48"/>
      <c r="Z73" s="48"/>
      <c r="AA73" s="48"/>
      <c r="AB73" s="48"/>
      <c r="AC73" s="48"/>
      <c r="AD73" s="48"/>
      <c r="AE73" s="48"/>
      <c r="AF73" s="48"/>
      <c r="AG73" s="48"/>
      <c r="AH73" s="48"/>
      <c r="AI73" s="48"/>
      <c r="AJ73" s="48"/>
      <c r="AK73" s="48"/>
      <c r="AL73" s="48"/>
      <c r="AM73" s="48"/>
      <c r="AN73" s="48"/>
    </row>
    <row r="74" ht="18.0" customHeight="1">
      <c r="A74" s="5" t="str">
        <f t="shared" si="1"/>
        <v>Véhicules neufsTOTAL DES DÉPENSES</v>
      </c>
      <c r="B74" s="48" t="str">
        <f t="shared" si="2"/>
        <v>Véhicules neufs</v>
      </c>
      <c r="C74" s="552" t="s">
        <v>143</v>
      </c>
      <c r="D74" s="553" t="s">
        <v>225</v>
      </c>
      <c r="E74" s="554" t="str">
        <f>F74/F$27</f>
        <v>#N/A</v>
      </c>
      <c r="F74" s="555" t="str">
        <f>F41+F54+F72</f>
        <v>#N/A</v>
      </c>
      <c r="G74" s="556"/>
      <c r="H74" s="554"/>
      <c r="I74" s="555"/>
      <c r="J74" s="556" t="s">
        <v>225</v>
      </c>
      <c r="K74" s="554">
        <f>L74/L$27</f>
        <v>0.1497294571</v>
      </c>
      <c r="L74" s="555">
        <f>L41+L54+L72</f>
        <v>274290.46</v>
      </c>
      <c r="M74" s="557"/>
      <c r="N74" s="555" t="str">
        <f t="shared" ref="N74:N82" si="23">L74-F74</f>
        <v>#N/A</v>
      </c>
      <c r="O74" s="556" t="s">
        <v>225</v>
      </c>
      <c r="P74" s="554">
        <f>Q74/Q$27</f>
        <v>-0.0111004613</v>
      </c>
      <c r="Q74" s="555">
        <f>Q41+Q54+Q72</f>
        <v>-30628.32</v>
      </c>
      <c r="R74" s="558"/>
      <c r="S74" s="555">
        <f>L74-Q74</f>
        <v>304918.78</v>
      </c>
      <c r="T74" s="48"/>
      <c r="U74" s="48"/>
      <c r="V74" s="48"/>
      <c r="W74" s="48"/>
      <c r="X74" s="48"/>
      <c r="Y74" s="48"/>
      <c r="Z74" s="48"/>
      <c r="AA74" s="48"/>
      <c r="AB74" s="48"/>
      <c r="AC74" s="48"/>
      <c r="AD74" s="48"/>
      <c r="AE74" s="48"/>
      <c r="AF74" s="48"/>
      <c r="AG74" s="48"/>
      <c r="AH74" s="48"/>
      <c r="AI74" s="48"/>
      <c r="AJ74" s="48"/>
      <c r="AK74" s="48"/>
      <c r="AL74" s="48"/>
      <c r="AM74" s="48"/>
      <c r="AN74" s="48"/>
    </row>
    <row r="75" ht="15.75" customHeight="1">
      <c r="A75" s="5" t="str">
        <f t="shared" si="1"/>
        <v>Véhicules neufsProgramme Excellence</v>
      </c>
      <c r="B75" s="48" t="str">
        <f t="shared" si="2"/>
        <v>Véhicules neufs</v>
      </c>
      <c r="C75" s="480" t="s">
        <v>842</v>
      </c>
      <c r="D75" s="546"/>
      <c r="E75" s="48"/>
      <c r="F75" s="481" t="str">
        <f t="array" ref="F75">+SUMPRODUCT(('Budget original'!$A$8:$A$501=$A75)*('Budget original'!$C$3:$AO$3=F$2),'Budget original'!$C$8:$AO$501)</f>
        <v>#N/A</v>
      </c>
      <c r="G75" s="547"/>
      <c r="H75" s="48"/>
      <c r="I75" s="481"/>
      <c r="J75" s="480"/>
      <c r="K75" s="48"/>
      <c r="L75" s="484">
        <f>-SUMIFS(BV_Data_An_Cour!$AN:$AN,BV_Data_An_Cour!$AP:$AP,$B75,BV_Data_An_Cour!$AQ:$AQ,$C75,BV_Data_An_Cour!$AR:$AR,L$2)</f>
        <v>176893.77</v>
      </c>
      <c r="M75" s="480"/>
      <c r="N75" s="484" t="str">
        <f t="shared" si="23"/>
        <v>#N/A</v>
      </c>
      <c r="O75" s="480"/>
      <c r="P75" s="48"/>
      <c r="Q75" s="484">
        <f>-SUMIFS(BV_Data_An_Prec!$AN:$AN,BV_Data_An_Prec!$AP:$AP,$B75,BV_Data_An_Prec!$AQ:$AQ,$C75,BV_Data_An_Prec!$AR:$AR,Q$2)</f>
        <v>230561.58</v>
      </c>
      <c r="R75" s="480"/>
      <c r="S75" s="484"/>
      <c r="T75" s="48"/>
      <c r="U75" s="5"/>
      <c r="V75" s="48"/>
      <c r="W75" s="48"/>
      <c r="X75" s="48"/>
      <c r="Y75" s="48"/>
      <c r="Z75" s="48"/>
      <c r="AA75" s="48"/>
      <c r="AB75" s="48"/>
      <c r="AC75" s="48"/>
      <c r="AD75" s="48"/>
      <c r="AE75" s="48"/>
      <c r="AF75" s="48"/>
      <c r="AG75" s="48"/>
      <c r="AH75" s="48"/>
      <c r="AI75" s="48"/>
      <c r="AJ75" s="48"/>
      <c r="AK75" s="48"/>
      <c r="AL75" s="48"/>
      <c r="AM75" s="48"/>
      <c r="AN75" s="48"/>
    </row>
    <row r="76" ht="15.75" hidden="1" customHeight="1">
      <c r="A76" s="5" t="str">
        <f t="shared" si="1"/>
        <v>Véhicules neufsProgramme neuf 2</v>
      </c>
      <c r="B76" s="48" t="str">
        <f t="shared" si="2"/>
        <v>Véhicules neufs</v>
      </c>
      <c r="C76" s="566" t="s">
        <v>145</v>
      </c>
      <c r="D76" s="546"/>
      <c r="E76" s="48"/>
      <c r="F76" s="481" t="str">
        <f t="array" ref="F76">+SUMPRODUCT(('Budget original'!$A$8:$A$501=$A76)*('Budget original'!$C$3:$AO$3=F$2),'Budget original'!$C$8:$AO$501)</f>
        <v>#N/A</v>
      </c>
      <c r="G76" s="547"/>
      <c r="H76" s="48"/>
      <c r="I76" s="481"/>
      <c r="J76" s="480"/>
      <c r="K76" s="48"/>
      <c r="L76" s="484">
        <f>-SUMIFS(BV_Data_An_Cour!$AN:$AN,BV_Data_An_Cour!$AP:$AP,$B76,BV_Data_An_Cour!$AQ:$AQ,$C76,BV_Data_An_Cour!$AR:$AR,L$2)</f>
        <v>0</v>
      </c>
      <c r="M76" s="480"/>
      <c r="N76" s="484" t="str">
        <f t="shared" si="23"/>
        <v>#N/A</v>
      </c>
      <c r="O76" s="480"/>
      <c r="P76" s="48"/>
      <c r="Q76" s="484">
        <f>-SUMIFS(BV_Data_An_Prec!$AN:$AN,BV_Data_An_Prec!$AP:$AP,$B76,BV_Data_An_Prec!$AQ:$AQ,$C76,BV_Data_An_Prec!$AR:$AR,Q$2)</f>
        <v>0</v>
      </c>
      <c r="R76" s="480"/>
      <c r="S76" s="484">
        <f t="shared" ref="S76:S82" si="24">L76-Q76</f>
        <v>0</v>
      </c>
      <c r="T76" s="48"/>
      <c r="U76" s="48"/>
      <c r="V76" s="48"/>
      <c r="W76" s="48"/>
      <c r="X76" s="48"/>
      <c r="Y76" s="48"/>
      <c r="Z76" s="48"/>
      <c r="AA76" s="48"/>
      <c r="AB76" s="48"/>
      <c r="AC76" s="48"/>
      <c r="AD76" s="48"/>
      <c r="AE76" s="48"/>
      <c r="AF76" s="48"/>
      <c r="AG76" s="48"/>
      <c r="AH76" s="48"/>
      <c r="AI76" s="48"/>
      <c r="AJ76" s="48"/>
      <c r="AK76" s="48"/>
      <c r="AL76" s="48"/>
      <c r="AM76" s="48"/>
      <c r="AN76" s="48"/>
    </row>
    <row r="77" ht="15.75" hidden="1" customHeight="1">
      <c r="A77" s="5" t="str">
        <f t="shared" si="1"/>
        <v>Véhicules neufsProgramme neuf 3</v>
      </c>
      <c r="B77" s="48" t="str">
        <f t="shared" si="2"/>
        <v>Véhicules neufs</v>
      </c>
      <c r="C77" s="566" t="s">
        <v>146</v>
      </c>
      <c r="D77" s="546"/>
      <c r="E77" s="48"/>
      <c r="F77" s="481" t="str">
        <f t="array" ref="F77">+SUMPRODUCT(('Budget original'!$A$8:$A$501=$A77)*('Budget original'!$C$3:$AO$3=F$2),'Budget original'!$C$8:$AO$501)</f>
        <v>#N/A</v>
      </c>
      <c r="G77" s="547"/>
      <c r="H77" s="48"/>
      <c r="I77" s="481"/>
      <c r="J77" s="480"/>
      <c r="K77" s="48"/>
      <c r="L77" s="484">
        <f>-SUMIFS(BV_Data_An_Cour!$AN:$AN,BV_Data_An_Cour!$AP:$AP,$B77,BV_Data_An_Cour!$AQ:$AQ,$C77,BV_Data_An_Cour!$AR:$AR,L$2)</f>
        <v>0</v>
      </c>
      <c r="M77" s="480"/>
      <c r="N77" s="484" t="str">
        <f t="shared" si="23"/>
        <v>#N/A</v>
      </c>
      <c r="O77" s="480"/>
      <c r="P77" s="48"/>
      <c r="Q77" s="484">
        <f>-SUMIFS(BV_Data_An_Prec!$AN:$AN,BV_Data_An_Prec!$AP:$AP,$B77,BV_Data_An_Prec!$AQ:$AQ,$C77,BV_Data_An_Prec!$AR:$AR,Q$2)</f>
        <v>0</v>
      </c>
      <c r="R77" s="480"/>
      <c r="S77" s="484">
        <f t="shared" si="24"/>
        <v>0</v>
      </c>
      <c r="T77" s="48"/>
      <c r="U77" s="48"/>
      <c r="V77" s="48"/>
      <c r="W77" s="48"/>
      <c r="X77" s="48"/>
      <c r="Y77" s="48"/>
      <c r="Z77" s="48"/>
      <c r="AA77" s="48"/>
      <c r="AB77" s="48"/>
      <c r="AC77" s="48"/>
      <c r="AD77" s="48"/>
      <c r="AE77" s="48"/>
      <c r="AF77" s="48"/>
      <c r="AG77" s="48"/>
      <c r="AH77" s="48"/>
      <c r="AI77" s="48"/>
      <c r="AJ77" s="48"/>
      <c r="AK77" s="48"/>
      <c r="AL77" s="48"/>
      <c r="AM77" s="48"/>
      <c r="AN77" s="48"/>
    </row>
    <row r="78" ht="15.75" hidden="1" customHeight="1">
      <c r="A78" s="5" t="str">
        <f t="shared" si="1"/>
        <v>Véhicules neufsHoldbacks</v>
      </c>
      <c r="B78" s="48" t="str">
        <f t="shared" si="2"/>
        <v>Véhicules neufs</v>
      </c>
      <c r="C78" s="566" t="s">
        <v>147</v>
      </c>
      <c r="D78" s="546"/>
      <c r="E78" s="567"/>
      <c r="F78" s="481" t="str">
        <f t="array" ref="F78">+SUMPRODUCT(('Budget original'!$A$8:$A$501=$A78)*('Budget original'!$C$3:$AO$3=F$2),'Budget original'!$C$8:$AO$501)</f>
        <v>#N/A</v>
      </c>
      <c r="G78" s="547"/>
      <c r="H78" s="48"/>
      <c r="I78" s="481"/>
      <c r="J78" s="568"/>
      <c r="K78" s="567"/>
      <c r="L78" s="484">
        <f>-SUMIFS(BV_Data_An_Cour!$AN:$AN,BV_Data_An_Cour!$AP:$AP,$B78,BV_Data_An_Cour!$AQ:$AQ,$C78,BV_Data_An_Cour!$AR:$AR,L$2)</f>
        <v>0</v>
      </c>
      <c r="M78" s="480"/>
      <c r="N78" s="484" t="str">
        <f t="shared" si="23"/>
        <v>#N/A</v>
      </c>
      <c r="O78" s="568"/>
      <c r="P78" s="567"/>
      <c r="Q78" s="484">
        <f>-SUMIFS(BV_Data_An_Prec!$AN:$AN,BV_Data_An_Prec!$AP:$AP,$B78,BV_Data_An_Prec!$AQ:$AQ,$C78,BV_Data_An_Prec!$AR:$AR,Q$2)</f>
        <v>0</v>
      </c>
      <c r="R78" s="480"/>
      <c r="S78" s="484">
        <f t="shared" si="24"/>
        <v>0</v>
      </c>
      <c r="T78" s="48"/>
      <c r="U78" s="48"/>
      <c r="V78" s="48"/>
      <c r="W78" s="48"/>
      <c r="X78" s="48"/>
      <c r="Y78" s="48"/>
      <c r="Z78" s="48"/>
      <c r="AA78" s="48"/>
      <c r="AB78" s="48"/>
      <c r="AC78" s="48"/>
      <c r="AD78" s="48"/>
      <c r="AE78" s="48"/>
      <c r="AF78" s="48"/>
      <c r="AG78" s="48"/>
      <c r="AH78" s="48"/>
      <c r="AI78" s="48"/>
      <c r="AJ78" s="48"/>
      <c r="AK78" s="48"/>
      <c r="AL78" s="48"/>
      <c r="AM78" s="48"/>
      <c r="AN78" s="48"/>
    </row>
    <row r="79" ht="15.75" hidden="1" customHeight="1">
      <c r="A79" s="5" t="str">
        <f t="shared" si="1"/>
        <v>Véhicules neufs[...]</v>
      </c>
      <c r="B79" s="48" t="str">
        <f t="shared" si="2"/>
        <v>Véhicules neufs</v>
      </c>
      <c r="C79" s="566" t="s">
        <v>56</v>
      </c>
      <c r="D79" s="546"/>
      <c r="E79" s="48"/>
      <c r="F79" s="481" t="str">
        <f t="array" ref="F79">+SUMPRODUCT(('Budget original'!$A$8:$A$501=$A79)*('Budget original'!$C$3:$AO$3=F$2),'Budget original'!$C$8:$AO$501)</f>
        <v>#N/A</v>
      </c>
      <c r="G79" s="547"/>
      <c r="H79" s="48"/>
      <c r="I79" s="481"/>
      <c r="J79" s="480"/>
      <c r="K79" s="48"/>
      <c r="L79" s="484">
        <f>-SUMIFS(BV_Data_An_Cour!$AN:$AN,BV_Data_An_Cour!$AP:$AP,$B79,BV_Data_An_Cour!$AQ:$AQ,$C79,BV_Data_An_Cour!$AR:$AR,L$2)</f>
        <v>0</v>
      </c>
      <c r="M79" s="480"/>
      <c r="N79" s="484" t="str">
        <f t="shared" si="23"/>
        <v>#N/A</v>
      </c>
      <c r="O79" s="480"/>
      <c r="P79" s="48"/>
      <c r="Q79" s="484">
        <f>-SUMIFS(BV_Data_An_Prec!$AN:$AN,BV_Data_An_Prec!$AP:$AP,$B79,BV_Data_An_Prec!$AQ:$AQ,$C79,BV_Data_An_Prec!$AR:$AR,Q$2)</f>
        <v>0</v>
      </c>
      <c r="R79" s="480"/>
      <c r="S79" s="484">
        <f t="shared" si="24"/>
        <v>0</v>
      </c>
      <c r="T79" s="48"/>
      <c r="U79" s="48"/>
      <c r="V79" s="48"/>
      <c r="W79" s="48"/>
      <c r="X79" s="48"/>
      <c r="Y79" s="48"/>
      <c r="Z79" s="48"/>
      <c r="AA79" s="48"/>
      <c r="AB79" s="48"/>
      <c r="AC79" s="48"/>
      <c r="AD79" s="48"/>
      <c r="AE79" s="48"/>
      <c r="AF79" s="48"/>
      <c r="AG79" s="48"/>
      <c r="AH79" s="48"/>
      <c r="AI79" s="48"/>
      <c r="AJ79" s="48"/>
      <c r="AK79" s="48"/>
      <c r="AL79" s="48"/>
      <c r="AM79" s="48"/>
      <c r="AN79" s="48"/>
    </row>
    <row r="80" ht="15.75" hidden="1" customHeight="1">
      <c r="A80" s="5" t="str">
        <f t="shared" si="1"/>
        <v>Véhicules neufs[...]</v>
      </c>
      <c r="B80" s="48" t="str">
        <f t="shared" si="2"/>
        <v>Véhicules neufs</v>
      </c>
      <c r="C80" s="566" t="s">
        <v>56</v>
      </c>
      <c r="D80" s="546"/>
      <c r="E80" s="48"/>
      <c r="F80" s="481" t="str">
        <f t="array" ref="F80">+SUMPRODUCT(('Budget original'!$A$8:$A$501=$A80)*('Budget original'!$C$3:$AO$3=F$2),'Budget original'!$C$8:$AO$501)</f>
        <v>#N/A</v>
      </c>
      <c r="G80" s="547"/>
      <c r="H80" s="48"/>
      <c r="I80" s="481"/>
      <c r="J80" s="480"/>
      <c r="K80" s="48"/>
      <c r="L80" s="484">
        <f>-SUMIFS(BV_Data_An_Cour!$AN:$AN,BV_Data_An_Cour!$AP:$AP,$B80,BV_Data_An_Cour!$AQ:$AQ,$C80,BV_Data_An_Cour!$AR:$AR,L$2)</f>
        <v>0</v>
      </c>
      <c r="M80" s="480"/>
      <c r="N80" s="484" t="str">
        <f t="shared" si="23"/>
        <v>#N/A</v>
      </c>
      <c r="O80" s="480"/>
      <c r="P80" s="48"/>
      <c r="Q80" s="484">
        <f>-SUMIFS(BV_Data_An_Prec!$AN:$AN,BV_Data_An_Prec!$AP:$AP,$B80,BV_Data_An_Prec!$AQ:$AQ,$C80,BV_Data_An_Prec!$AR:$AR,Q$2)</f>
        <v>0</v>
      </c>
      <c r="R80" s="480"/>
      <c r="S80" s="484">
        <f t="shared" si="24"/>
        <v>0</v>
      </c>
      <c r="T80" s="48"/>
      <c r="U80" s="48"/>
      <c r="V80" s="48"/>
      <c r="W80" s="48"/>
      <c r="X80" s="48"/>
      <c r="Y80" s="48"/>
      <c r="Z80" s="48"/>
      <c r="AA80" s="48"/>
      <c r="AB80" s="48"/>
      <c r="AC80" s="48"/>
      <c r="AD80" s="48"/>
      <c r="AE80" s="48"/>
      <c r="AF80" s="48"/>
      <c r="AG80" s="48"/>
      <c r="AH80" s="48"/>
      <c r="AI80" s="48"/>
      <c r="AJ80" s="48"/>
      <c r="AK80" s="48"/>
      <c r="AL80" s="48"/>
      <c r="AM80" s="48"/>
      <c r="AN80" s="48"/>
    </row>
    <row r="81" ht="15.75" hidden="1" customHeight="1">
      <c r="A81" s="5" t="str">
        <f t="shared" si="1"/>
        <v>Véhicules neufs[...]</v>
      </c>
      <c r="B81" s="48" t="str">
        <f t="shared" si="2"/>
        <v>Véhicules neufs</v>
      </c>
      <c r="C81" s="566" t="s">
        <v>56</v>
      </c>
      <c r="D81" s="546"/>
      <c r="E81" s="48"/>
      <c r="F81" s="481" t="str">
        <f t="array" ref="F81">+SUMPRODUCT(('Budget original'!$A$8:$A$501=$A81)*('Budget original'!$C$3:$AO$3=F$2),'Budget original'!$C$8:$AO$501)</f>
        <v>#N/A</v>
      </c>
      <c r="G81" s="547"/>
      <c r="H81" s="48"/>
      <c r="I81" s="481"/>
      <c r="J81" s="480"/>
      <c r="K81" s="48"/>
      <c r="L81" s="484">
        <f>-SUMIFS(BV_Data_An_Cour!$AN:$AN,BV_Data_An_Cour!$AP:$AP,$B81,BV_Data_An_Cour!$AQ:$AQ,$C81,BV_Data_An_Cour!$AR:$AR,L$2)</f>
        <v>0</v>
      </c>
      <c r="M81" s="480"/>
      <c r="N81" s="484" t="str">
        <f t="shared" si="23"/>
        <v>#N/A</v>
      </c>
      <c r="O81" s="480"/>
      <c r="P81" s="48"/>
      <c r="Q81" s="484">
        <f>-SUMIFS(BV_Data_An_Prec!$AN:$AN,BV_Data_An_Prec!$AP:$AP,$B81,BV_Data_An_Prec!$AQ:$AQ,$C81,BV_Data_An_Prec!$AR:$AR,Q$2)</f>
        <v>0</v>
      </c>
      <c r="R81" s="480"/>
      <c r="S81" s="484">
        <f t="shared" si="24"/>
        <v>0</v>
      </c>
      <c r="T81" s="48"/>
      <c r="U81" s="48"/>
      <c r="V81" s="48"/>
      <c r="W81" s="48"/>
      <c r="X81" s="48"/>
      <c r="Y81" s="48"/>
      <c r="Z81" s="48"/>
      <c r="AA81" s="48"/>
      <c r="AB81" s="48"/>
      <c r="AC81" s="48"/>
      <c r="AD81" s="48"/>
      <c r="AE81" s="48"/>
      <c r="AF81" s="48"/>
      <c r="AG81" s="48"/>
      <c r="AH81" s="48"/>
      <c r="AI81" s="48"/>
      <c r="AJ81" s="48"/>
      <c r="AK81" s="48"/>
      <c r="AL81" s="48"/>
      <c r="AM81" s="48"/>
      <c r="AN81" s="48"/>
    </row>
    <row r="82" ht="15.75" customHeight="1">
      <c r="A82" s="5" t="str">
        <f t="shared" si="1"/>
        <v>Véhicules neufsFrais administration</v>
      </c>
      <c r="B82" s="48" t="str">
        <f t="shared" si="2"/>
        <v>Véhicules neufs</v>
      </c>
      <c r="C82" s="480" t="s">
        <v>148</v>
      </c>
      <c r="D82" s="569"/>
      <c r="E82" s="567"/>
      <c r="F82" s="481" t="str">
        <f t="array" ref="F82">+SUMPRODUCT(('Budget original'!$A$8:$A$501=$A82)*('Budget original'!$C$3:$AO$3=F$2),'Budget original'!$C$8:$AO$501)</f>
        <v>#N/A</v>
      </c>
      <c r="G82" s="547"/>
      <c r="H82" s="48"/>
      <c r="I82" s="481"/>
      <c r="J82" s="570">
        <f>K82/699</f>
        <v>0.8657458109</v>
      </c>
      <c r="K82" s="567">
        <f>+L82/J24</f>
        <v>605.1563218</v>
      </c>
      <c r="L82" s="484">
        <f>-SUMIFS(BV_Data_An_Cour!$AN:$AN,BV_Data_An_Cour!$AP:$AP,$B82,BV_Data_An_Cour!$AQ:$AQ,$C82,BV_Data_An_Cour!$AR:$AR,L$2)</f>
        <v>263243</v>
      </c>
      <c r="M82" s="480"/>
      <c r="N82" s="484" t="str">
        <f t="shared" si="23"/>
        <v>#N/A</v>
      </c>
      <c r="O82" s="570"/>
      <c r="P82" s="567"/>
      <c r="Q82" s="484">
        <f>-SUMIFS(BV_Data_An_Prec!$AN:$AN,BV_Data_An_Prec!$AP:$AP,$B82,BV_Data_An_Prec!$AQ:$AQ,$C82,BV_Data_An_Prec!$AR:$AR,Q$2)</f>
        <v>0</v>
      </c>
      <c r="R82" s="480"/>
      <c r="S82" s="484">
        <f t="shared" si="24"/>
        <v>263243</v>
      </c>
      <c r="T82" s="48"/>
      <c r="U82" s="48"/>
      <c r="V82" s="48"/>
      <c r="W82" s="48"/>
      <c r="X82" s="48"/>
      <c r="Y82" s="48"/>
      <c r="Z82" s="48"/>
      <c r="AA82" s="48"/>
      <c r="AB82" s="48"/>
      <c r="AC82" s="48"/>
      <c r="AD82" s="48"/>
      <c r="AE82" s="48"/>
      <c r="AF82" s="48"/>
      <c r="AG82" s="48"/>
      <c r="AH82" s="48"/>
      <c r="AI82" s="48"/>
      <c r="AJ82" s="48"/>
      <c r="AK82" s="48"/>
      <c r="AL82" s="48"/>
      <c r="AM82" s="48"/>
      <c r="AN82" s="48"/>
    </row>
    <row r="83" ht="18.0" customHeight="1">
      <c r="A83" s="5" t="str">
        <f t="shared" si="1"/>
        <v>Véhicules neufsAUTRES REVENUS</v>
      </c>
      <c r="B83" s="48" t="str">
        <f t="shared" si="2"/>
        <v>Véhicules neufs</v>
      </c>
      <c r="C83" s="552" t="s">
        <v>149</v>
      </c>
      <c r="D83" s="553"/>
      <c r="E83" s="554"/>
      <c r="F83" s="555" t="str">
        <f>+SUM(F75:F82)</f>
        <v>#N/A</v>
      </c>
      <c r="G83" s="556"/>
      <c r="H83" s="554"/>
      <c r="I83" s="555"/>
      <c r="J83" s="556"/>
      <c r="K83" s="554"/>
      <c r="L83" s="555">
        <f>+SUM(L75:L82)</f>
        <v>440136.77</v>
      </c>
      <c r="M83" s="557"/>
      <c r="N83" s="555" t="str">
        <f>+SUM(N75:N82)</f>
        <v>#N/A</v>
      </c>
      <c r="O83" s="556"/>
      <c r="P83" s="554"/>
      <c r="Q83" s="555">
        <f>+SUM(Q75:Q82)</f>
        <v>230561.58</v>
      </c>
      <c r="R83" s="558"/>
      <c r="S83" s="555">
        <f>+SUM(S75:S82)</f>
        <v>263243</v>
      </c>
      <c r="T83" s="48"/>
      <c r="U83" s="48"/>
      <c r="V83" s="48"/>
      <c r="W83" s="48"/>
      <c r="X83" s="48"/>
      <c r="Y83" s="48"/>
      <c r="Z83" s="48"/>
      <c r="AA83" s="48"/>
      <c r="AB83" s="48"/>
      <c r="AC83" s="48"/>
      <c r="AD83" s="48"/>
      <c r="AE83" s="48"/>
      <c r="AF83" s="48"/>
      <c r="AG83" s="48"/>
      <c r="AH83" s="48"/>
      <c r="AI83" s="48"/>
      <c r="AJ83" s="48"/>
      <c r="AK83" s="48"/>
      <c r="AL83" s="48"/>
      <c r="AM83" s="48"/>
      <c r="AN83" s="48"/>
    </row>
    <row r="84" ht="15.75" customHeight="1">
      <c r="A84" s="5" t="str">
        <f t="shared" si="1"/>
        <v>Véhicules neufs</v>
      </c>
      <c r="B84" s="48" t="str">
        <f t="shared" si="2"/>
        <v>Véhicules neufs</v>
      </c>
      <c r="C84" s="571"/>
      <c r="D84" s="572"/>
      <c r="E84" s="573"/>
      <c r="F84" s="574"/>
      <c r="G84" s="575"/>
      <c r="H84" s="573"/>
      <c r="I84" s="574"/>
      <c r="J84" s="576"/>
      <c r="K84" s="577"/>
      <c r="L84" s="574"/>
      <c r="M84" s="576"/>
      <c r="N84" s="578"/>
      <c r="O84" s="576"/>
      <c r="P84" s="577"/>
      <c r="Q84" s="574"/>
      <c r="R84" s="576"/>
      <c r="S84" s="578"/>
      <c r="T84" s="48"/>
      <c r="U84" s="48"/>
      <c r="V84" s="48"/>
      <c r="W84" s="48"/>
      <c r="X84" s="48"/>
      <c r="Y84" s="48"/>
      <c r="Z84" s="48"/>
      <c r="AA84" s="48"/>
      <c r="AB84" s="48"/>
      <c r="AC84" s="48"/>
      <c r="AD84" s="48"/>
      <c r="AE84" s="48"/>
      <c r="AF84" s="48"/>
      <c r="AG84" s="48"/>
      <c r="AH84" s="48"/>
      <c r="AI84" s="48"/>
      <c r="AJ84" s="48"/>
      <c r="AK84" s="48"/>
      <c r="AL84" s="48"/>
      <c r="AM84" s="48"/>
      <c r="AN84" s="48"/>
    </row>
    <row r="85" ht="18.0" customHeight="1">
      <c r="A85" s="5" t="str">
        <f t="shared" si="1"/>
        <v>Véhicules neufsPROFIT DÉPARTEMENTAL</v>
      </c>
      <c r="B85" s="48" t="str">
        <f t="shared" si="2"/>
        <v>Véhicules neufs</v>
      </c>
      <c r="C85" s="579" t="s">
        <v>150</v>
      </c>
      <c r="D85" s="580"/>
      <c r="E85" s="581"/>
      <c r="F85" s="582" t="str">
        <f>F27-F74+F83</f>
        <v>#N/A</v>
      </c>
      <c r="G85" s="583"/>
      <c r="H85" s="581"/>
      <c r="I85" s="582"/>
      <c r="J85" s="583"/>
      <c r="K85" s="581"/>
      <c r="L85" s="582">
        <f>L27-L74+L83</f>
        <v>1997753.44</v>
      </c>
      <c r="M85" s="584"/>
      <c r="N85" s="582" t="str">
        <f>N27-N41-N54-N72+N83</f>
        <v>#N/A</v>
      </c>
      <c r="O85" s="583"/>
      <c r="P85" s="581"/>
      <c r="Q85" s="582">
        <f>Q27-Q74+Q83</f>
        <v>3020383.34</v>
      </c>
      <c r="R85" s="585"/>
      <c r="S85" s="582">
        <f>L85-Q85</f>
        <v>-1022629.9</v>
      </c>
      <c r="T85" s="48"/>
      <c r="U85" s="48" t="str">
        <f>L85/V30</f>
        <v>#DIV/0!</v>
      </c>
      <c r="V85" s="48"/>
      <c r="W85" s="48"/>
      <c r="X85" s="48"/>
      <c r="Y85" s="48"/>
      <c r="Z85" s="48"/>
      <c r="AA85" s="48"/>
      <c r="AB85" s="48"/>
      <c r="AC85" s="48"/>
      <c r="AD85" s="48"/>
      <c r="AE85" s="48"/>
      <c r="AF85" s="48"/>
      <c r="AG85" s="48"/>
      <c r="AH85" s="48"/>
      <c r="AI85" s="48"/>
      <c r="AJ85" s="48"/>
      <c r="AK85" s="48"/>
      <c r="AL85" s="48"/>
      <c r="AM85" s="48"/>
      <c r="AN85" s="48"/>
    </row>
    <row r="86" ht="15.75" customHeight="1">
      <c r="B86" s="110"/>
      <c r="C86" s="110"/>
      <c r="D86" s="110"/>
      <c r="E86" s="110"/>
      <c r="F86" s="110"/>
      <c r="G86" s="110"/>
      <c r="H86" s="110"/>
      <c r="I86" s="110"/>
      <c r="J86" s="586"/>
      <c r="K86" s="110"/>
      <c r="L86" s="587"/>
      <c r="M86" s="110"/>
      <c r="N86" s="110"/>
      <c r="O86" s="110"/>
      <c r="P86" s="110"/>
      <c r="Q86" s="588"/>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row>
    <row r="87" ht="12.75" customHeight="1">
      <c r="B87" s="110"/>
      <c r="C87" s="110"/>
      <c r="D87" s="110"/>
      <c r="E87" s="110"/>
      <c r="F87" s="110"/>
      <c r="G87" s="110"/>
      <c r="H87" s="110"/>
      <c r="I87" s="588"/>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row>
    <row r="88" ht="15.0" hidden="1" customHeight="1">
      <c r="B88" s="3"/>
      <c r="C88" s="40"/>
      <c r="D88" s="40"/>
      <c r="E88" s="40"/>
      <c r="F88" s="40"/>
      <c r="G88" s="40"/>
      <c r="H88" s="40"/>
      <c r="I88" s="40"/>
      <c r="J88" s="40"/>
      <c r="K88" s="40"/>
      <c r="L88" s="40"/>
      <c r="M88" s="40"/>
      <c r="N88" s="40"/>
      <c r="O88" s="40"/>
      <c r="P88" s="40"/>
      <c r="Q88" s="40"/>
      <c r="R88" s="40"/>
      <c r="S88" s="40"/>
      <c r="T88" s="40"/>
      <c r="U88" s="40"/>
    </row>
    <row r="89" ht="33.0" customHeight="1">
      <c r="B89" s="38"/>
      <c r="C89" s="450" t="str">
        <f>C1</f>
        <v>Ste-Marie Auto</v>
      </c>
      <c r="D89" s="451"/>
      <c r="E89" s="452"/>
      <c r="F89" s="451"/>
      <c r="G89" s="451"/>
      <c r="H89" s="450"/>
      <c r="I89" s="451"/>
      <c r="J89" s="450"/>
      <c r="K89" s="453" t="s">
        <v>151</v>
      </c>
      <c r="L89" s="451"/>
      <c r="M89" s="451"/>
      <c r="N89" s="454"/>
      <c r="O89" s="450"/>
      <c r="P89" s="451"/>
      <c r="Q89" s="450"/>
      <c r="R89" s="451"/>
      <c r="S89" s="455"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ht="15.75" customHeight="1">
      <c r="B90" s="3"/>
      <c r="C90" s="39"/>
      <c r="D90" s="40"/>
      <c r="E90" s="40"/>
      <c r="F90" s="40"/>
      <c r="G90" s="40"/>
      <c r="H90" s="40"/>
      <c r="I90" s="40"/>
      <c r="J90" s="40"/>
      <c r="K90" s="40"/>
      <c r="L90" s="40"/>
      <c r="M90" s="40"/>
      <c r="N90" s="40"/>
      <c r="O90" s="40"/>
      <c r="P90" s="40"/>
      <c r="Q90" s="40"/>
      <c r="R90" s="40"/>
      <c r="S90" s="40"/>
      <c r="T90" s="40"/>
      <c r="U90" s="40"/>
    </row>
    <row r="91" ht="15.75" customHeight="1">
      <c r="B91" s="48"/>
      <c r="C91" s="461"/>
      <c r="D91" s="462" t="s">
        <v>774</v>
      </c>
      <c r="E91" s="44"/>
      <c r="F91" s="45"/>
      <c r="G91" s="463"/>
      <c r="H91" s="44"/>
      <c r="I91" s="45"/>
      <c r="J91" s="463" t="s">
        <v>775</v>
      </c>
      <c r="K91" s="44"/>
      <c r="L91" s="45"/>
      <c r="M91" s="463" t="s">
        <v>776</v>
      </c>
      <c r="N91" s="45"/>
      <c r="O91" s="462" t="s">
        <v>777</v>
      </c>
      <c r="P91" s="44"/>
      <c r="Q91" s="45"/>
      <c r="R91" s="463" t="s">
        <v>778</v>
      </c>
      <c r="S91" s="45"/>
      <c r="T91" s="48"/>
      <c r="U91" s="48"/>
      <c r="V91" s="48"/>
      <c r="W91" s="48"/>
      <c r="X91" s="48"/>
      <c r="Y91" s="48"/>
      <c r="Z91" s="48"/>
      <c r="AA91" s="48"/>
      <c r="AB91" s="48"/>
      <c r="AC91" s="48"/>
      <c r="AD91" s="48"/>
      <c r="AE91" s="48"/>
      <c r="AF91" s="48"/>
      <c r="AG91" s="48"/>
      <c r="AH91" s="48"/>
      <c r="AI91" s="48"/>
      <c r="AJ91" s="48"/>
      <c r="AK91" s="48"/>
      <c r="AL91" s="48"/>
      <c r="AM91" s="48"/>
      <c r="AN91" s="48"/>
    </row>
    <row r="92" ht="15.75" customHeight="1">
      <c r="B92" s="48"/>
      <c r="C92" s="480"/>
      <c r="D92" s="467" t="s">
        <v>93</v>
      </c>
      <c r="E92" s="468" t="s">
        <v>780</v>
      </c>
      <c r="F92" s="469" t="s">
        <v>95</v>
      </c>
      <c r="G92" s="470"/>
      <c r="H92" s="468"/>
      <c r="I92" s="469"/>
      <c r="J92" s="470" t="s">
        <v>781</v>
      </c>
      <c r="K92" s="468" t="s">
        <v>94</v>
      </c>
      <c r="L92" s="469" t="s">
        <v>95</v>
      </c>
      <c r="M92" s="470" t="s">
        <v>781</v>
      </c>
      <c r="N92" s="469" t="s">
        <v>95</v>
      </c>
      <c r="O92" s="468" t="s">
        <v>93</v>
      </c>
      <c r="P92" s="468" t="s">
        <v>780</v>
      </c>
      <c r="Q92" s="469" t="s">
        <v>95</v>
      </c>
      <c r="R92" s="470" t="s">
        <v>781</v>
      </c>
      <c r="S92" s="469" t="s">
        <v>95</v>
      </c>
      <c r="T92" s="48"/>
      <c r="U92" s="48"/>
      <c r="V92" s="48"/>
      <c r="W92" s="48"/>
      <c r="X92" s="48"/>
      <c r="Y92" s="48"/>
      <c r="Z92" s="48"/>
      <c r="AA92" s="48"/>
      <c r="AB92" s="48"/>
      <c r="AC92" s="48"/>
      <c r="AD92" s="48"/>
      <c r="AE92" s="48"/>
      <c r="AF92" s="48"/>
      <c r="AG92" s="48"/>
      <c r="AH92" s="48"/>
      <c r="AI92" s="48"/>
      <c r="AJ92" s="48"/>
      <c r="AK92" s="48"/>
      <c r="AL92" s="48"/>
      <c r="AM92" s="48"/>
      <c r="AN92" s="48"/>
    </row>
    <row r="93" ht="24.0" customHeight="1">
      <c r="A93" s="5" t="str">
        <f t="shared" ref="A93:A99" si="25">+B93&amp;C93</f>
        <v>Véhicules usagésVentes nettes</v>
      </c>
      <c r="B93" s="48" t="s">
        <v>151</v>
      </c>
      <c r="C93" s="471" t="s">
        <v>96</v>
      </c>
      <c r="D93" s="475"/>
      <c r="E93" s="475"/>
      <c r="F93" s="473" t="str">
        <f t="array" ref="F93">+SUMPRODUCT(('Budget original'!$A$8:$A$501=$A93)*('Budget original'!$C$3:$AO$3=F$2),'Budget original'!$C$8:$AO$501)</f>
        <v>#N/A</v>
      </c>
      <c r="G93" s="512"/>
      <c r="H93" s="475"/>
      <c r="I93" s="473"/>
      <c r="J93" s="471"/>
      <c r="K93" s="513"/>
      <c r="L93" s="476">
        <f>-SUMIFS(BV_Data_An_Cour!$AN:$AN,BV_Data_An_Cour!$AS:$AS,"Oui",BV_Data_An_Cour!$AP:$AP,$B93)</f>
        <v>15401473.09</v>
      </c>
      <c r="M93" s="589"/>
      <c r="N93" s="590"/>
      <c r="O93" s="471"/>
      <c r="P93" s="513"/>
      <c r="Q93" s="476">
        <f>-SUMIFS(BV_Data_An_Prec!$AN:$AN,BV_Data_An_Prec!$AS:$AS,"Oui",BV_Data_An_Prec!$AP:$AP,$B93)</f>
        <v>22782116.71</v>
      </c>
      <c r="R93" s="591"/>
      <c r="S93" s="479"/>
      <c r="T93" s="48"/>
      <c r="U93" s="48"/>
      <c r="V93" s="48"/>
      <c r="W93" s="48"/>
      <c r="X93" s="48"/>
      <c r="Y93" s="48"/>
      <c r="Z93" s="48"/>
      <c r="AA93" s="48"/>
      <c r="AB93" s="48"/>
      <c r="AC93" s="48"/>
      <c r="AD93" s="48"/>
      <c r="AE93" s="48"/>
      <c r="AF93" s="48"/>
      <c r="AG93" s="48"/>
      <c r="AH93" s="48"/>
      <c r="AI93" s="48"/>
      <c r="AJ93" s="48"/>
      <c r="AK93" s="48"/>
      <c r="AL93" s="48"/>
      <c r="AM93" s="48"/>
      <c r="AN93" s="48"/>
    </row>
    <row r="94" ht="21.75" customHeight="1">
      <c r="A94" s="5" t="str">
        <f t="shared" si="25"/>
        <v>Véhicules usagésCertifié</v>
      </c>
      <c r="B94" s="48" t="s">
        <v>151</v>
      </c>
      <c r="C94" s="480" t="s">
        <v>152</v>
      </c>
      <c r="D94" s="481" t="str">
        <f t="array" ref="D94">+SUMPRODUCT(('Budget original'!$A$8:$A$501=$A94)*('Budget original'!$C$3:$AO$3=D$2),'Budget original'!$C$8:$AO$501)</f>
        <v>#N/A</v>
      </c>
      <c r="E94" s="481" t="str">
        <f t="shared" ref="E94:E99" si="26">IF(D94=0,0,F94/D94)</f>
        <v>#N/A</v>
      </c>
      <c r="F94" s="481" t="str">
        <f t="array" ref="F94">+SUMPRODUCT(('Budget original'!$A$8:$A$501=$A94)*('Budget original'!$C$3:$AO$3=F$2),'Budget original'!$C$8:$AO$501)</f>
        <v>#N/A</v>
      </c>
      <c r="G94" s="482"/>
      <c r="H94" s="481"/>
      <c r="I94" s="481"/>
      <c r="J94" s="482">
        <f>SUMIFS(BV_Data_An_Cour!$AX:$AX,BV_Data_An_Cour!$AP:$AP,$B94,BV_Data_An_Cour!$AQ:$AQ,$C94,BV_Data_An_Cour!$AY:$AY,J$2)</f>
        <v>0</v>
      </c>
      <c r="K94" s="483">
        <f t="shared" ref="K94:K96" si="27">IF(J94=0,0,L94/J94)</f>
        <v>0</v>
      </c>
      <c r="L94" s="484">
        <f>-SUMIFS(BV_Data_An_Cour!$AN:$AN,BV_Data_An_Cour!$AP:$AP,$B94,BV_Data_An_Cour!$AQ:$AQ,$C94,BV_Data_An_Cour!$AR:$AR,$L2)</f>
        <v>0</v>
      </c>
      <c r="M94" s="482" t="str">
        <f t="shared" ref="M94:M97" si="28">J94-D94</f>
        <v>#N/A</v>
      </c>
      <c r="N94" s="485" t="str">
        <f t="shared" ref="N94:N97" si="29">L94-F94</f>
        <v>#N/A</v>
      </c>
      <c r="O94" s="482">
        <f>SUMIFS(BV_Data_An_Prec!$AX:$AX,BV_Data_An_Prec!$AP:$AP,$B94,BV_Data_An_Prec!$AQ:$AQ,$C94,BV_Data_An_Prec!$AY:$AY,O$2)</f>
        <v>0</v>
      </c>
      <c r="P94" s="483">
        <f t="shared" ref="P94:P96" si="30">IF(O94=0,0,Q94/O94)</f>
        <v>0</v>
      </c>
      <c r="Q94" s="484">
        <f>-SUMIFS(BV_Data_An_Prec!$AN:$AN,BV_Data_An_Prec!$AP:$AP,$B94,BV_Data_An_Prec!$AQ:$AQ,$C94,BV_Data_An_Prec!$AR:$AR,$L2)</f>
        <v>0</v>
      </c>
      <c r="R94" s="482">
        <f t="shared" ref="R94:R96" si="31">J94-O94</f>
        <v>0</v>
      </c>
      <c r="S94" s="484">
        <f t="shared" ref="S94:S96" si="32">L94-Q94</f>
        <v>0</v>
      </c>
      <c r="T94" s="48"/>
      <c r="U94" s="48"/>
      <c r="V94" s="48"/>
      <c r="W94" s="48"/>
      <c r="X94" s="48"/>
      <c r="Y94" s="48"/>
      <c r="Z94" s="48"/>
      <c r="AA94" s="48"/>
      <c r="AB94" s="48"/>
      <c r="AC94" s="48"/>
      <c r="AD94" s="48"/>
      <c r="AE94" s="48"/>
      <c r="AF94" s="48"/>
      <c r="AG94" s="48"/>
      <c r="AH94" s="48"/>
      <c r="AI94" s="48"/>
      <c r="AJ94" s="48"/>
      <c r="AK94" s="48"/>
      <c r="AL94" s="48"/>
      <c r="AM94" s="48"/>
      <c r="AN94" s="48"/>
    </row>
    <row r="95" ht="18.75" customHeight="1">
      <c r="A95" s="5" t="str">
        <f t="shared" si="25"/>
        <v>Véhicules usagésNon Certifié</v>
      </c>
      <c r="B95" s="48" t="s">
        <v>151</v>
      </c>
      <c r="C95" s="480" t="s">
        <v>153</v>
      </c>
      <c r="D95" s="481" t="str">
        <f t="array" ref="D95">+SUMPRODUCT(('Budget original'!$A$8:$A$501=$A95)*('Budget original'!$C$3:$AO$3=D$2),'Budget original'!$C$8:$AO$501)</f>
        <v>#N/A</v>
      </c>
      <c r="E95" s="481" t="str">
        <f t="shared" si="26"/>
        <v>#N/A</v>
      </c>
      <c r="F95" s="481" t="str">
        <f t="array" ref="F95">+SUMPRODUCT(('Budget original'!$A$8:$A$501=$A95)*('Budget original'!$C$3:$AO$3=F$2),'Budget original'!$C$8:$AO$501)</f>
        <v>#N/A</v>
      </c>
      <c r="G95" s="482"/>
      <c r="H95" s="481"/>
      <c r="I95" s="481"/>
      <c r="J95" s="482">
        <f>SUMIFS(BV_Data_An_Cour!$AX:$AX,BV_Data_An_Cour!$AP:$AP,$B95,BV_Data_An_Cour!$AQ:$AQ,$C95,BV_Data_An_Cour!$AY:$AY,J$2)</f>
        <v>193</v>
      </c>
      <c r="K95" s="483">
        <f t="shared" si="27"/>
        <v>1284.776321</v>
      </c>
      <c r="L95" s="484">
        <f>-SUMIFS(BV_Data_An_Cour!$AN:$AN,BV_Data_An_Cour!$AP:$AP,$B95,BV_Data_An_Cour!$AQ:$AQ,$C95,BV_Data_An_Cour!$AR:$AR,$L2)</f>
        <v>247961.83</v>
      </c>
      <c r="M95" s="482" t="str">
        <f t="shared" si="28"/>
        <v>#N/A</v>
      </c>
      <c r="N95" s="485" t="str">
        <f t="shared" si="29"/>
        <v>#N/A</v>
      </c>
      <c r="O95" s="482">
        <f>SUMIFS(BV_Data_An_Prec!$AX:$AX,BV_Data_An_Prec!$AP:$AP,$B95,BV_Data_An_Prec!$AQ:$AQ,$C95,BV_Data_An_Prec!$AY:$AY,O$2)</f>
        <v>83</v>
      </c>
      <c r="P95" s="483">
        <f t="shared" si="30"/>
        <v>242.3345783</v>
      </c>
      <c r="Q95" s="484">
        <f>-SUMIFS(BV_Data_An_Prec!$AN:$AN,BV_Data_An_Prec!$AP:$AP,$B95,BV_Data_An_Prec!$AQ:$AQ,$C95,BV_Data_An_Prec!$AR:$AR,$L2)</f>
        <v>20113.77</v>
      </c>
      <c r="R95" s="482">
        <f t="shared" si="31"/>
        <v>110</v>
      </c>
      <c r="S95" s="484">
        <f t="shared" si="32"/>
        <v>227848.06</v>
      </c>
      <c r="T95" s="48"/>
      <c r="U95" s="48"/>
      <c r="V95" s="798"/>
      <c r="W95" s="48"/>
      <c r="X95" s="48"/>
      <c r="Y95" s="48"/>
      <c r="Z95" s="48"/>
      <c r="AA95" s="48"/>
      <c r="AB95" s="48"/>
      <c r="AC95" s="48"/>
      <c r="AD95" s="48"/>
      <c r="AE95" s="48"/>
      <c r="AF95" s="48"/>
      <c r="AG95" s="48"/>
      <c r="AH95" s="48"/>
      <c r="AI95" s="48"/>
      <c r="AJ95" s="48"/>
      <c r="AK95" s="48"/>
      <c r="AL95" s="48"/>
      <c r="AM95" s="48"/>
      <c r="AN95" s="48"/>
    </row>
    <row r="96" ht="18.75" customHeight="1">
      <c r="A96" s="5" t="str">
        <f t="shared" si="25"/>
        <v>Véhicules usagésAutres marques</v>
      </c>
      <c r="B96" s="48" t="s">
        <v>151</v>
      </c>
      <c r="C96" s="480" t="s">
        <v>1109</v>
      </c>
      <c r="D96" s="481" t="str">
        <f t="array" ref="D96">+SUMPRODUCT(('Budget original'!$A$8:$A$501=$A96)*('Budget original'!$C$3:$AO$3=D$2),'Budget original'!$C$8:$AO$501)</f>
        <v>#N/A</v>
      </c>
      <c r="E96" s="475" t="str">
        <f t="shared" si="26"/>
        <v>#N/A</v>
      </c>
      <c r="F96" s="481" t="str">
        <f t="array" ref="F96">+SUMPRODUCT(('Budget original'!$A$8:$A$501=$A96)*('Budget original'!$C$3:$AO$3=F$2),'Budget original'!$C$8:$AO$501)</f>
        <v>#N/A</v>
      </c>
      <c r="G96" s="482"/>
      <c r="H96" s="481"/>
      <c r="I96" s="481"/>
      <c r="J96" s="482">
        <f>SUMIFS(BV_Data_An_Cour!$AX:$AX,BV_Data_An_Cour!$AP:$AP,$B96,BV_Data_An_Cour!$AQ:$AQ,$C96,BV_Data_An_Cour!$AY:$AY,J$2)</f>
        <v>0</v>
      </c>
      <c r="K96" s="513">
        <f t="shared" si="27"/>
        <v>0</v>
      </c>
      <c r="L96" s="484">
        <f>-SUMIFS(BV_Data_An_Cour!$AN:$AN,BV_Data_An_Cour!$AP:$AP,$B96,BV_Data_An_Cour!$AQ:$AQ,$C96,BV_Data_An_Cour!$AR:$AR,$L2)</f>
        <v>0</v>
      </c>
      <c r="M96" s="482" t="str">
        <f t="shared" si="28"/>
        <v>#N/A</v>
      </c>
      <c r="N96" s="485" t="str">
        <f t="shared" si="29"/>
        <v>#N/A</v>
      </c>
      <c r="O96" s="482">
        <f>SUMIFS(BV_Data_An_Prec!$AX:$AX,BV_Data_An_Prec!$AP:$AP,$B96,BV_Data_An_Prec!$AQ:$AQ,$C96,BV_Data_An_Prec!$AY:$AY,O$2)</f>
        <v>0</v>
      </c>
      <c r="P96" s="513">
        <f t="shared" si="30"/>
        <v>0</v>
      </c>
      <c r="Q96" s="484">
        <f>-SUMIFS(BV_Data_An_Prec!$AN:$AN,BV_Data_An_Prec!$AP:$AP,$B96,BV_Data_An_Prec!$AQ:$AQ,$C96,BV_Data_An_Prec!$AR:$AR,$L2)</f>
        <v>0</v>
      </c>
      <c r="R96" s="482">
        <f t="shared" si="31"/>
        <v>0</v>
      </c>
      <c r="S96" s="484">
        <f t="shared" si="32"/>
        <v>0</v>
      </c>
      <c r="T96" s="48"/>
      <c r="V96" s="798"/>
      <c r="W96" s="48"/>
      <c r="X96" s="48"/>
      <c r="Y96" s="48"/>
      <c r="Z96" s="48"/>
      <c r="AA96" s="48"/>
      <c r="AB96" s="48"/>
      <c r="AC96" s="48"/>
      <c r="AD96" s="48"/>
      <c r="AE96" s="48"/>
      <c r="AF96" s="48"/>
      <c r="AG96" s="48"/>
      <c r="AH96" s="48"/>
      <c r="AI96" s="48"/>
      <c r="AJ96" s="48"/>
      <c r="AK96" s="48"/>
      <c r="AL96" s="48"/>
      <c r="AM96" s="48"/>
      <c r="AN96" s="48"/>
    </row>
    <row r="97" ht="15.75" customHeight="1">
      <c r="A97" s="5" t="str">
        <f t="shared" si="25"/>
        <v>Véhicules usagésTotal Usagés</v>
      </c>
      <c r="B97" s="48" t="s">
        <v>151</v>
      </c>
      <c r="C97" s="490" t="s">
        <v>155</v>
      </c>
      <c r="D97" s="491" t="str">
        <f>+D95+D94+D96</f>
        <v>#N/A</v>
      </c>
      <c r="E97" s="501" t="str">
        <f t="shared" si="26"/>
        <v>#N/A</v>
      </c>
      <c r="F97" s="492" t="str">
        <f>+F94+F95+F96</f>
        <v>#N/A</v>
      </c>
      <c r="G97" s="493"/>
      <c r="H97" s="491"/>
      <c r="I97" s="492"/>
      <c r="J97" s="493">
        <f>+J94+J95+J96</f>
        <v>193</v>
      </c>
      <c r="K97" s="503">
        <f>IF(J97&lt;=0,0,L97/J97)</f>
        <v>1284.776321</v>
      </c>
      <c r="L97" s="497">
        <f>+L94+L95+L96</f>
        <v>247961.83</v>
      </c>
      <c r="M97" s="493" t="str">
        <f t="shared" si="28"/>
        <v>#N/A</v>
      </c>
      <c r="N97" s="492" t="str">
        <f t="shared" si="29"/>
        <v>#N/A</v>
      </c>
      <c r="O97" s="491">
        <f>+O94+O95+O96</f>
        <v>83</v>
      </c>
      <c r="P97" s="503">
        <f>IF(O97&lt;=0,0,Q97/O97)</f>
        <v>242.3345783</v>
      </c>
      <c r="Q97" s="497">
        <f>+Q94+Q95+Q96</f>
        <v>20113.77</v>
      </c>
      <c r="R97" s="493">
        <f t="shared" ref="R97:S97" si="33">R94+R95</f>
        <v>110</v>
      </c>
      <c r="S97" s="497">
        <f t="shared" si="33"/>
        <v>227848.06</v>
      </c>
      <c r="T97" s="48"/>
      <c r="U97" s="623">
        <f>-(1-(J97/O97))</f>
        <v>1.325301205</v>
      </c>
      <c r="V97" s="48"/>
      <c r="W97" s="48"/>
      <c r="X97" s="48"/>
      <c r="Y97" s="48"/>
      <c r="Z97" s="48"/>
      <c r="AA97" s="48"/>
      <c r="AB97" s="48"/>
      <c r="AC97" s="483"/>
      <c r="AD97" s="48"/>
      <c r="AE97" s="48"/>
      <c r="AF97" s="483"/>
      <c r="AG97" s="48"/>
      <c r="AH97" s="48"/>
      <c r="AI97" s="48"/>
      <c r="AJ97" s="48"/>
      <c r="AK97" s="48"/>
      <c r="AL97" s="48"/>
      <c r="AM97" s="48"/>
      <c r="AN97" s="48"/>
    </row>
    <row r="98" ht="15.75" customHeight="1">
      <c r="A98" s="5" t="str">
        <f t="shared" si="25"/>
        <v>Véhicules usagés</v>
      </c>
      <c r="B98" s="48" t="s">
        <v>151</v>
      </c>
      <c r="C98" s="500"/>
      <c r="D98" s="11"/>
      <c r="E98" s="501">
        <f t="shared" si="26"/>
        <v>0</v>
      </c>
      <c r="F98" s="502"/>
      <c r="G98" s="500"/>
      <c r="H98" s="11"/>
      <c r="I98" s="502"/>
      <c r="J98" s="500"/>
      <c r="K98" s="503"/>
      <c r="L98" s="504"/>
      <c r="M98" s="593"/>
      <c r="N98" s="594"/>
      <c r="O98" s="500"/>
      <c r="P98" s="503"/>
      <c r="Q98" s="504"/>
      <c r="R98" s="505">
        <f>R97/O97</f>
        <v>1.325301205</v>
      </c>
      <c r="S98" s="507">
        <f>IF(Q97=0,0,(S97/Q97))</f>
        <v>11.32796388</v>
      </c>
      <c r="T98" s="48"/>
      <c r="U98" s="48"/>
      <c r="V98" s="48"/>
      <c r="W98" s="48"/>
      <c r="X98" s="48"/>
      <c r="Y98" s="48"/>
      <c r="Z98" s="48"/>
      <c r="AA98" s="48"/>
      <c r="AB98" s="48"/>
      <c r="AC98" s="48"/>
      <c r="AD98" s="48"/>
      <c r="AE98" s="48"/>
      <c r="AF98" s="48"/>
      <c r="AG98" s="48"/>
      <c r="AH98" s="48"/>
      <c r="AI98" s="48"/>
      <c r="AJ98" s="48"/>
      <c r="AK98" s="48"/>
      <c r="AL98" s="48"/>
      <c r="AM98" s="48"/>
      <c r="AN98" s="48"/>
    </row>
    <row r="99" ht="15.75" customHeight="1">
      <c r="A99" s="5" t="str">
        <f t="shared" si="25"/>
        <v>Véhicules usagésRachat bail</v>
      </c>
      <c r="B99" s="48" t="s">
        <v>151</v>
      </c>
      <c r="C99" s="500" t="s">
        <v>104</v>
      </c>
      <c r="D99" s="481" t="str">
        <f t="array" ref="D99">+SUMPRODUCT(('Budget original'!$A$8:$A$501=$A99)*('Budget original'!$C$3:$AO$3=D$2),'Budget original'!$C$8:$AO$501)</f>
        <v>#N/A</v>
      </c>
      <c r="E99" s="481" t="str">
        <f t="shared" si="26"/>
        <v>#N/A</v>
      </c>
      <c r="F99" s="481" t="str">
        <f t="array" ref="F99">+SUMPRODUCT(('Budget original'!$A$8:$A$501=$A99)*('Budget original'!$C$3:$AO$3=F$2),'Budget original'!$C$8:$AO$501)</f>
        <v>#N/A</v>
      </c>
      <c r="G99" s="482"/>
      <c r="H99" s="481"/>
      <c r="I99" s="481"/>
      <c r="J99" s="482"/>
      <c r="K99" s="483">
        <f>IF(J99=0,0,L99/J99)</f>
        <v>0</v>
      </c>
      <c r="L99" s="484">
        <f>-SUMIFS(BV_Data_An_Cour!$AN:$AN,BV_Data_An_Cour!$AP:$AP,$B99,BV_Data_An_Cour!$AQ:$AQ,$C99,BV_Data_An_Cour!$AR:$AR,$L2)</f>
        <v>0</v>
      </c>
      <c r="M99" s="482" t="str">
        <f>J99-D99</f>
        <v>#N/A</v>
      </c>
      <c r="N99" s="485" t="str">
        <f>L99-F99</f>
        <v>#N/A</v>
      </c>
      <c r="O99" s="482"/>
      <c r="P99" s="483">
        <f>IF(O99=0,0,Q99/O99)</f>
        <v>0</v>
      </c>
      <c r="Q99" s="484">
        <f>-SUMIFS(BV_Data_An_Prec!$AN:$AN,BV_Data_An_Prec!$AP:$AP,$B99,BV_Data_An_Prec!$AQ:$AQ,$C99,BV_Data_An_Prec!$AR:$AR,$L2)</f>
        <v>0</v>
      </c>
      <c r="R99" s="482">
        <f>J99-O99</f>
        <v>0</v>
      </c>
      <c r="S99" s="484">
        <f>L99-Q99</f>
        <v>0</v>
      </c>
      <c r="T99" s="48"/>
      <c r="U99" s="48"/>
      <c r="V99" s="48"/>
      <c r="W99" s="48"/>
      <c r="X99" s="48"/>
      <c r="Y99" s="48"/>
      <c r="Z99" s="48"/>
      <c r="AA99" s="48"/>
      <c r="AB99" s="48"/>
      <c r="AC99" s="48"/>
      <c r="AD99" s="48"/>
      <c r="AE99" s="48"/>
      <c r="AF99" s="48"/>
      <c r="AG99" s="48"/>
      <c r="AH99" s="48"/>
      <c r="AI99" s="48"/>
      <c r="AJ99" s="48"/>
      <c r="AK99" s="48"/>
      <c r="AL99" s="48"/>
      <c r="AM99" s="48"/>
      <c r="AN99" s="48"/>
    </row>
    <row r="100" ht="15.75" customHeight="1">
      <c r="A100" s="5"/>
      <c r="B100" s="48"/>
      <c r="C100" s="500"/>
      <c r="D100" s="481"/>
      <c r="E100" s="481"/>
      <c r="F100" s="481"/>
      <c r="G100" s="482"/>
      <c r="H100" s="481"/>
      <c r="I100" s="481"/>
      <c r="J100" s="482"/>
      <c r="K100" s="483"/>
      <c r="L100" s="484"/>
      <c r="M100" s="482"/>
      <c r="N100" s="485"/>
      <c r="O100" s="482"/>
      <c r="P100" s="483"/>
      <c r="Q100" s="484"/>
      <c r="R100" s="482"/>
      <c r="S100" s="484"/>
      <c r="T100" s="48"/>
      <c r="U100" s="48"/>
      <c r="V100" s="48"/>
      <c r="W100" s="481"/>
      <c r="X100" s="481"/>
      <c r="Y100" s="48"/>
      <c r="Z100" s="48"/>
      <c r="AA100" s="48"/>
      <c r="AB100" s="48"/>
      <c r="AC100" s="48"/>
      <c r="AD100" s="48"/>
      <c r="AE100" s="48"/>
      <c r="AF100" s="48"/>
      <c r="AG100" s="48"/>
      <c r="AH100" s="48"/>
      <c r="AI100" s="48"/>
      <c r="AJ100" s="48"/>
      <c r="AK100" s="48"/>
      <c r="AL100" s="48"/>
      <c r="AM100" s="48"/>
      <c r="AN100" s="48"/>
    </row>
    <row r="101" ht="15.75" customHeight="1">
      <c r="A101" s="5" t="str">
        <f t="shared" ref="A101:A163" si="34">+B101&amp;C101</f>
        <v>Véhicules usagésVentes au Gros</v>
      </c>
      <c r="B101" s="48" t="s">
        <v>151</v>
      </c>
      <c r="C101" s="500" t="s">
        <v>156</v>
      </c>
      <c r="D101" s="481" t="str">
        <f t="array" ref="D101">+SUMPRODUCT(('Budget original'!$A$8:$A$501=$A101)*('Budget original'!$C$3:$AO$3=D$2),'Budget original'!$C$8:$AO$501)</f>
        <v>#N/A</v>
      </c>
      <c r="E101" s="481" t="str">
        <f>IF(D101=0,0,F101/D101)</f>
        <v>#N/A</v>
      </c>
      <c r="F101" s="481" t="str">
        <f t="array" ref="F101">+SUMPRODUCT(('Budget original'!$A$8:$A$501=$A101)*('Budget original'!$C$3:$AO$3=F$2),'Budget original'!$C$8:$AO$501)</f>
        <v>#N/A</v>
      </c>
      <c r="G101" s="482"/>
      <c r="H101" s="481"/>
      <c r="I101" s="481"/>
      <c r="J101" s="482">
        <f>SUMIFS(BV_Data_An_Cour!$AX:$AX,BV_Data_An_Cour!$AP:$AP,$B101,BV_Data_An_Cour!$AQ:$AQ,$C101,BV_Data_An_Cour!$AY:$AY,J$2)</f>
        <v>252</v>
      </c>
      <c r="K101" s="483">
        <f>IF(J101=0,0,L101/J101)</f>
        <v>414.3569841</v>
      </c>
      <c r="L101" s="484">
        <f>-SUMIFS(BV_Data_An_Cour!$AN:$AN,BV_Data_An_Cour!$AP:$AP,$B101,BV_Data_An_Cour!$AQ:$AQ,$C101,BV_Data_An_Cour!$AR:$AR,L$2)</f>
        <v>104417.96</v>
      </c>
      <c r="M101" s="482" t="str">
        <f>J101-D101</f>
        <v>#N/A</v>
      </c>
      <c r="N101" s="485" t="str">
        <f>L101-F101</f>
        <v>#N/A</v>
      </c>
      <c r="O101" s="482">
        <f>SUMIFS(BV_Data_An_Prec!$AX:$AX,BV_Data_An_Prec!$AP:$AP,$B101,BV_Data_An_Prec!$AQ:$AQ,$C101,BV_Data_An_Prec!$AY:$AY,O$2)</f>
        <v>544</v>
      </c>
      <c r="P101" s="483">
        <f>IF(O101=0,0,Q101/O101)</f>
        <v>879.1277574</v>
      </c>
      <c r="Q101" s="484">
        <f>-SUMIFS(BV_Data_An_Prec!$AN:$AN,BV_Data_An_Prec!$AP:$AP,$B101,BV_Data_An_Prec!$AQ:$AQ,$C101,BV_Data_An_Prec!$AR:$AR,Q$2)</f>
        <v>478245.5</v>
      </c>
      <c r="R101" s="482">
        <f>J101-O101</f>
        <v>-292</v>
      </c>
      <c r="S101" s="484">
        <f>L101-Q101</f>
        <v>-373827.54</v>
      </c>
      <c r="T101" s="48"/>
      <c r="U101" s="481"/>
      <c r="V101" s="48"/>
      <c r="W101" s="48"/>
      <c r="X101" s="48"/>
      <c r="Y101" s="48"/>
      <c r="Z101" s="48"/>
      <c r="AA101" s="48"/>
      <c r="AB101" s="48"/>
      <c r="AC101" s="483"/>
      <c r="AD101" s="48"/>
      <c r="AE101" s="48"/>
      <c r="AF101" s="597"/>
      <c r="AG101" s="48"/>
      <c r="AH101" s="48"/>
      <c r="AI101" s="48"/>
      <c r="AJ101" s="48"/>
      <c r="AK101" s="48"/>
      <c r="AL101" s="48"/>
      <c r="AM101" s="48"/>
      <c r="AN101" s="48"/>
    </row>
    <row r="102" ht="15.75" customHeight="1">
      <c r="A102" s="5" t="str">
        <f t="shared" si="34"/>
        <v>Véhicules usagés</v>
      </c>
      <c r="B102" s="48" t="s">
        <v>151</v>
      </c>
      <c r="C102" s="471"/>
      <c r="D102" s="475"/>
      <c r="E102" s="475"/>
      <c r="F102" s="473"/>
      <c r="G102" s="512"/>
      <c r="H102" s="475"/>
      <c r="I102" s="473"/>
      <c r="J102" s="512"/>
      <c r="K102" s="513"/>
      <c r="L102" s="476"/>
      <c r="M102" s="511"/>
      <c r="N102" s="510"/>
      <c r="O102" s="512"/>
      <c r="P102" s="513"/>
      <c r="Q102" s="476"/>
      <c r="R102" s="511"/>
      <c r="S102" s="598"/>
      <c r="T102" s="48"/>
      <c r="U102" s="48"/>
      <c r="V102" s="48"/>
      <c r="W102" s="481"/>
      <c r="X102" s="48"/>
      <c r="Y102" s="48"/>
      <c r="Z102" s="48"/>
      <c r="AA102" s="48"/>
      <c r="AB102" s="48"/>
      <c r="AC102" s="48"/>
      <c r="AD102" s="48"/>
      <c r="AE102" s="48"/>
      <c r="AF102" s="597"/>
      <c r="AG102" s="48"/>
      <c r="AH102" s="48"/>
      <c r="AI102" s="48"/>
      <c r="AJ102" s="48"/>
      <c r="AK102" s="48"/>
      <c r="AL102" s="48"/>
      <c r="AM102" s="48"/>
      <c r="AN102" s="48"/>
    </row>
    <row r="103" ht="15.75" customHeight="1">
      <c r="A103" s="5" t="str">
        <f t="shared" si="34"/>
        <v>Véhicules usagésRev. Finances</v>
      </c>
      <c r="B103" s="48" t="s">
        <v>151</v>
      </c>
      <c r="C103" s="480" t="s">
        <v>105</v>
      </c>
      <c r="D103" s="481" t="str">
        <f t="array" ref="D103">+SUMPRODUCT(('Budget original'!$A$8:$A$501=$A103)*('Budget original'!$C$3:$AO$3=D$2),'Budget original'!$C$8:$AO$501)</f>
        <v>#N/A</v>
      </c>
      <c r="E103" s="481" t="str">
        <f t="shared" ref="E103:E106" si="35">IF(D103=0,0,F103/D103)</f>
        <v>#N/A</v>
      </c>
      <c r="F103" s="485" t="str">
        <f t="array" ref="F103">+SUMPRODUCT(('Budget original'!$A$8:$A$501=$A103)*('Budget original'!$C$3:$AO$3=F$2),'Budget original'!$C$8:$AO$501)</f>
        <v>#N/A</v>
      </c>
      <c r="G103" s="482"/>
      <c r="H103" s="481"/>
      <c r="I103" s="481"/>
      <c r="J103" s="482"/>
      <c r="K103" s="483">
        <f>IF(J97=0,0,L103/J97)</f>
        <v>425.1048187</v>
      </c>
      <c r="L103" s="484">
        <f>-SUMIFS(BV_Data_An_Cour!$AN:$AN,BV_Data_An_Cour!$AP:$AP,$B103,BV_Data_An_Cour!$AQ:$AQ,$C103,BV_Data_An_Cour!$AR:$AR,$L2)</f>
        <v>82045.23</v>
      </c>
      <c r="M103" s="482"/>
      <c r="N103" s="485" t="str">
        <f t="shared" ref="N103:N106" si="36">L103-F103</f>
        <v>#N/A</v>
      </c>
      <c r="O103" s="482"/>
      <c r="P103" s="483">
        <f>IF(O97=0,0,Q103/O97)</f>
        <v>353.5750602</v>
      </c>
      <c r="Q103" s="484">
        <f>-SUMIFS(BV_Data_An_Prec!$AN:$AN,BV_Data_An_Prec!$AP:$AP,$B103,BV_Data_An_Prec!$AQ:$AQ,$C103,BV_Data_An_Prec!$AR:$AR,$L2)</f>
        <v>29346.73</v>
      </c>
      <c r="R103" s="486">
        <f t="shared" ref="R103:R106" si="37">P103-K103</f>
        <v>-71.52975841</v>
      </c>
      <c r="S103" s="484">
        <f t="shared" ref="S103:S106" si="38">L103-Q103</f>
        <v>52698.5</v>
      </c>
      <c r="T103" s="48"/>
      <c r="U103" s="48"/>
      <c r="V103" s="48"/>
      <c r="W103" s="48"/>
      <c r="X103" s="48"/>
      <c r="Y103" s="48"/>
      <c r="Z103" s="48"/>
      <c r="AA103" s="48"/>
      <c r="AB103" s="48"/>
      <c r="AC103" s="48"/>
      <c r="AD103" s="48"/>
      <c r="AE103" s="48"/>
      <c r="AF103" s="48"/>
      <c r="AG103" s="48"/>
      <c r="AH103" s="48"/>
      <c r="AI103" s="48"/>
      <c r="AJ103" s="48"/>
      <c r="AK103" s="48"/>
      <c r="AL103" s="48"/>
      <c r="AM103" s="48"/>
      <c r="AN103" s="48"/>
    </row>
    <row r="104" ht="15.75" customHeight="1">
      <c r="A104" s="5" t="str">
        <f t="shared" si="34"/>
        <v>Véhicules usagésRev. Protections</v>
      </c>
      <c r="B104" s="48" t="s">
        <v>151</v>
      </c>
      <c r="C104" s="480" t="s">
        <v>106</v>
      </c>
      <c r="D104" s="481" t="str">
        <f t="array" ref="D104">+SUMPRODUCT(('Budget original'!$A$8:$A$501=$A104)*('Budget original'!$C$3:$AO$3=D$2),'Budget original'!$C$8:$AO$501)</f>
        <v>#N/A</v>
      </c>
      <c r="E104" s="481" t="str">
        <f t="shared" si="35"/>
        <v>#N/A</v>
      </c>
      <c r="F104" s="485" t="str">
        <f t="array" ref="F104">+SUMPRODUCT(('Budget original'!$A$8:$A$501=$A104)*('Budget original'!$C$3:$AO$3=F$2),'Budget original'!$C$8:$AO$501)</f>
        <v>#N/A</v>
      </c>
      <c r="G104" s="482"/>
      <c r="H104" s="481"/>
      <c r="I104" s="481"/>
      <c r="J104" s="482"/>
      <c r="K104" s="483">
        <f>IF(J97=0,0,L104/J97)</f>
        <v>453.0582383</v>
      </c>
      <c r="L104" s="484">
        <f>-SUMIFS(BV_Data_An_Cour!$AN:$AN,BV_Data_An_Cour!$AP:$AP,$B104,BV_Data_An_Cour!$AQ:$AQ,$C104,BV_Data_An_Cour!$AR:$AR,$L2)</f>
        <v>87440.24</v>
      </c>
      <c r="M104" s="482"/>
      <c r="N104" s="485" t="str">
        <f t="shared" si="36"/>
        <v>#N/A</v>
      </c>
      <c r="O104" s="482"/>
      <c r="P104" s="483">
        <f>IF(O97=0,0,Q104/O97)</f>
        <v>706.600241</v>
      </c>
      <c r="Q104" s="484">
        <f>-SUMIFS(BV_Data_An_Prec!$AN:$AN,BV_Data_An_Prec!$AP:$AP,$B104,BV_Data_An_Prec!$AQ:$AQ,$C104,BV_Data_An_Prec!$AR:$AR,$L2)</f>
        <v>58647.82</v>
      </c>
      <c r="R104" s="486">
        <f t="shared" si="37"/>
        <v>253.5420026</v>
      </c>
      <c r="S104" s="484">
        <f t="shared" si="38"/>
        <v>28792.42</v>
      </c>
      <c r="T104" s="48"/>
      <c r="U104" s="48"/>
      <c r="V104" s="48"/>
      <c r="W104" s="48"/>
      <c r="X104" s="48"/>
      <c r="Y104" s="48"/>
      <c r="Z104" s="48"/>
      <c r="AA104" s="48"/>
      <c r="AB104" s="48"/>
      <c r="AC104" s="48"/>
      <c r="AD104" s="48"/>
      <c r="AE104" s="48"/>
      <c r="AF104" s="48"/>
      <c r="AG104" s="48"/>
      <c r="AH104" s="48"/>
      <c r="AI104" s="48"/>
      <c r="AJ104" s="48"/>
      <c r="AK104" s="48"/>
      <c r="AL104" s="48"/>
      <c r="AM104" s="48"/>
      <c r="AN104" s="48"/>
    </row>
    <row r="105" ht="15.75" customHeight="1">
      <c r="A105" s="5" t="str">
        <f t="shared" si="34"/>
        <v>Véhicules usagésRev. Autres</v>
      </c>
      <c r="B105" s="48" t="s">
        <v>151</v>
      </c>
      <c r="C105" s="480" t="s">
        <v>107</v>
      </c>
      <c r="D105" s="481" t="str">
        <f t="array" ref="D105">+SUMPRODUCT(('Budget original'!$A$8:$A$501=$A105)*('Budget original'!$C$3:$AO$3=D$2),'Budget original'!$C$8:$AO$501)</f>
        <v>#N/A</v>
      </c>
      <c r="E105" s="475" t="str">
        <f t="shared" si="35"/>
        <v>#N/A</v>
      </c>
      <c r="F105" s="485" t="str">
        <f t="array" ref="F105">+SUMPRODUCT(('Budget original'!$A$8:$A$501=$A105)*('Budget original'!$C$3:$AO$3=F$2),'Budget original'!$C$8:$AO$501)</f>
        <v>#N/A</v>
      </c>
      <c r="G105" s="482"/>
      <c r="H105" s="475"/>
      <c r="I105" s="481"/>
      <c r="J105" s="482"/>
      <c r="K105" s="513">
        <f>IF(J97=0,0,L105/J97)</f>
        <v>0</v>
      </c>
      <c r="L105" s="484">
        <f>-SUMIFS(BV_Data_An_Cour!$AN:$AN,BV_Data_An_Cour!$AP:$AP,$B105,BV_Data_An_Cour!$AQ:$AQ,$C105,BV_Data_An_Cour!$AR:$AR,$L$2)</f>
        <v>0</v>
      </c>
      <c r="M105" s="512"/>
      <c r="N105" s="485" t="str">
        <f t="shared" si="36"/>
        <v>#N/A</v>
      </c>
      <c r="O105" s="482"/>
      <c r="P105" s="513">
        <f>IF(O97=0,0,Q105/O97)</f>
        <v>0</v>
      </c>
      <c r="Q105" s="484">
        <f>-SUMIFS(BV_Data_An_Prec!$AN:$AN,BV_Data_An_Prec!$AP:$AP,$B105,BV_Data_An_Prec!$AQ:$AQ,$C105,BV_Data_An_Prec!$AR:$AR,$L$2)</f>
        <v>0</v>
      </c>
      <c r="R105" s="486">
        <f t="shared" si="37"/>
        <v>0</v>
      </c>
      <c r="S105" s="484">
        <f t="shared" si="38"/>
        <v>0</v>
      </c>
      <c r="T105" s="48"/>
      <c r="U105" s="48"/>
      <c r="V105" s="48"/>
      <c r="W105" s="48"/>
      <c r="X105" s="48"/>
      <c r="Y105" s="48"/>
      <c r="Z105" s="48"/>
      <c r="AA105" s="48"/>
      <c r="AB105" s="48"/>
      <c r="AC105" s="48"/>
      <c r="AD105" s="48"/>
      <c r="AE105" s="48"/>
      <c r="AF105" s="48"/>
      <c r="AG105" s="48"/>
      <c r="AH105" s="48"/>
      <c r="AI105" s="48"/>
      <c r="AJ105" s="48"/>
      <c r="AK105" s="48"/>
      <c r="AL105" s="48"/>
      <c r="AM105" s="48"/>
      <c r="AN105" s="48"/>
    </row>
    <row r="106" ht="15.75" customHeight="1">
      <c r="A106" s="5" t="str">
        <f t="shared" si="34"/>
        <v>Véhicules usagésTotal F&amp;I</v>
      </c>
      <c r="B106" s="48" t="s">
        <v>151</v>
      </c>
      <c r="C106" s="490" t="s">
        <v>108</v>
      </c>
      <c r="D106" s="491" t="str">
        <f>D97</f>
        <v>#N/A</v>
      </c>
      <c r="E106" s="501" t="str">
        <f t="shared" si="35"/>
        <v>#N/A</v>
      </c>
      <c r="F106" s="492" t="str">
        <f>F103+F104+F105</f>
        <v>#N/A</v>
      </c>
      <c r="G106" s="493"/>
      <c r="H106" s="491"/>
      <c r="I106" s="492"/>
      <c r="J106" s="493">
        <f>J97</f>
        <v>193</v>
      </c>
      <c r="K106" s="495">
        <f>IF(J106&lt;=0,0,L106/J106)</f>
        <v>878.163057</v>
      </c>
      <c r="L106" s="497">
        <f>L103+L104+L105</f>
        <v>169485.47</v>
      </c>
      <c r="M106" s="517" t="str">
        <f>J106-D106</f>
        <v>#N/A</v>
      </c>
      <c r="N106" s="492" t="str">
        <f t="shared" si="36"/>
        <v>#N/A</v>
      </c>
      <c r="O106" s="493">
        <f>O97</f>
        <v>83</v>
      </c>
      <c r="P106" s="495">
        <f>IF(O106&lt;=0,0,Q106/O106)</f>
        <v>1060.175301</v>
      </c>
      <c r="Q106" s="497">
        <f>Q103+Q104+Q105</f>
        <v>87994.55</v>
      </c>
      <c r="R106" s="489">
        <f t="shared" si="37"/>
        <v>182.0122442</v>
      </c>
      <c r="S106" s="497">
        <f t="shared" si="38"/>
        <v>81490.92</v>
      </c>
      <c r="T106" s="48"/>
      <c r="U106" s="548">
        <f>L106-L114</f>
        <v>124473.62</v>
      </c>
      <c r="V106" s="48"/>
      <c r="W106" s="48"/>
      <c r="X106" s="48"/>
      <c r="Y106" s="48"/>
      <c r="Z106" s="48"/>
      <c r="AA106" s="48"/>
      <c r="AB106" s="48"/>
      <c r="AC106" s="48"/>
      <c r="AD106" s="48"/>
      <c r="AE106" s="48"/>
      <c r="AF106" s="48"/>
      <c r="AG106" s="48"/>
      <c r="AH106" s="48"/>
      <c r="AI106" s="48"/>
      <c r="AJ106" s="48"/>
      <c r="AK106" s="48"/>
      <c r="AL106" s="48"/>
      <c r="AM106" s="48"/>
      <c r="AN106" s="48"/>
    </row>
    <row r="107" ht="15.75" customHeight="1">
      <c r="A107" s="5" t="str">
        <f t="shared" si="34"/>
        <v>Véhicules usagés</v>
      </c>
      <c r="B107" s="48" t="s">
        <v>151</v>
      </c>
      <c r="C107" s="500"/>
      <c r="D107" s="11"/>
      <c r="E107" s="11"/>
      <c r="F107" s="504"/>
      <c r="G107" s="500"/>
      <c r="H107" s="599"/>
      <c r="I107" s="504"/>
      <c r="J107" s="500"/>
      <c r="K107" s="503"/>
      <c r="L107" s="504"/>
      <c r="M107" s="525"/>
      <c r="N107" s="507" t="str">
        <f>N106/F106</f>
        <v>#N/A</v>
      </c>
      <c r="O107" s="500"/>
      <c r="P107" s="503"/>
      <c r="Q107" s="504"/>
      <c r="R107" s="600"/>
      <c r="S107" s="507">
        <f>IF(Q106=0,0,(S106/Q106))</f>
        <v>0.9260905363</v>
      </c>
      <c r="T107" s="48"/>
      <c r="U107" s="48"/>
      <c r="V107" s="48"/>
      <c r="W107" s="48"/>
      <c r="X107" s="48"/>
      <c r="Y107" s="48"/>
      <c r="Z107" s="48"/>
      <c r="AA107" s="48"/>
      <c r="AB107" s="48"/>
      <c r="AC107" s="48"/>
      <c r="AD107" s="48"/>
      <c r="AE107" s="48"/>
      <c r="AF107" s="48"/>
      <c r="AG107" s="48"/>
      <c r="AH107" s="48"/>
      <c r="AI107" s="48"/>
      <c r="AJ107" s="48"/>
      <c r="AK107" s="48"/>
      <c r="AL107" s="48"/>
      <c r="AM107" s="48"/>
      <c r="AN107" s="48"/>
    </row>
    <row r="108" ht="15.75" customHeight="1">
      <c r="A108" s="5" t="str">
        <f t="shared" si="34"/>
        <v>Véhicules usagés</v>
      </c>
      <c r="B108" s="48" t="s">
        <v>151</v>
      </c>
      <c r="C108" s="480"/>
      <c r="D108" s="48"/>
      <c r="E108" s="48"/>
      <c r="F108" s="484"/>
      <c r="G108" s="480"/>
      <c r="H108" s="601"/>
      <c r="I108" s="484"/>
      <c r="J108" s="480"/>
      <c r="K108" s="483"/>
      <c r="L108" s="484"/>
      <c r="M108" s="525"/>
      <c r="N108" s="507"/>
      <c r="O108" s="480"/>
      <c r="P108" s="483"/>
      <c r="Q108" s="484"/>
      <c r="R108" s="486"/>
      <c r="S108" s="507"/>
      <c r="T108" s="48"/>
      <c r="U108" s="48"/>
      <c r="V108" s="48"/>
      <c r="W108" s="48"/>
      <c r="X108" s="48"/>
      <c r="Y108" s="48"/>
      <c r="Z108" s="48"/>
      <c r="AA108" s="48"/>
      <c r="AB108" s="48"/>
      <c r="AC108" s="48"/>
      <c r="AD108" s="48"/>
      <c r="AE108" s="48"/>
      <c r="AF108" s="48"/>
      <c r="AG108" s="48"/>
      <c r="AH108" s="48"/>
      <c r="AI108" s="48"/>
      <c r="AJ108" s="48"/>
      <c r="AK108" s="48"/>
      <c r="AL108" s="48"/>
      <c r="AM108" s="48"/>
      <c r="AN108" s="48"/>
    </row>
    <row r="109" ht="18.0" customHeight="1">
      <c r="A109" s="5" t="str">
        <f t="shared" si="34"/>
        <v>Véhicules usagésTotal Dépt. Usagés</v>
      </c>
      <c r="B109" s="48" t="s">
        <v>151</v>
      </c>
      <c r="C109" s="526" t="s">
        <v>157</v>
      </c>
      <c r="D109" s="527" t="str">
        <f>D97+D101</f>
        <v>#N/A</v>
      </c>
      <c r="E109" s="528" t="str">
        <f>IF(D109&lt;=0,0,F109/D109)</f>
        <v>#N/A</v>
      </c>
      <c r="F109" s="529" t="str">
        <f>F97+F106+F101+F99</f>
        <v>#N/A</v>
      </c>
      <c r="G109" s="530"/>
      <c r="H109" s="528"/>
      <c r="I109" s="529"/>
      <c r="J109" s="530">
        <f>J97+J101</f>
        <v>445</v>
      </c>
      <c r="K109" s="527">
        <f>IF(J109&lt;=0,0,L109/J109)</f>
        <v>1172.730921</v>
      </c>
      <c r="L109" s="529">
        <f>L97+L106+L101+L99</f>
        <v>521865.26</v>
      </c>
      <c r="M109" s="530" t="str">
        <f>J109-D109</f>
        <v>#N/A</v>
      </c>
      <c r="N109" s="529" t="str">
        <f>N97+N106+N101+N99</f>
        <v>#N/A</v>
      </c>
      <c r="O109" s="530">
        <f>O97+O101</f>
        <v>627</v>
      </c>
      <c r="P109" s="527">
        <f>IF(O109&lt;=0,0,Q109/O109)</f>
        <v>935.1735566</v>
      </c>
      <c r="Q109" s="529">
        <f>Q97+Q106+Q101+Q99</f>
        <v>586353.82</v>
      </c>
      <c r="R109" s="530">
        <f>J109-O109</f>
        <v>-182</v>
      </c>
      <c r="S109" s="529">
        <f>S97+S106+S101+S99</f>
        <v>-64488.56</v>
      </c>
      <c r="T109" s="48"/>
      <c r="U109" s="48"/>
      <c r="V109" s="48"/>
      <c r="W109" s="48"/>
      <c r="X109" s="48"/>
      <c r="Y109" s="48"/>
      <c r="Z109" s="48"/>
      <c r="AA109" s="48"/>
      <c r="AB109" s="48"/>
      <c r="AC109" s="48"/>
      <c r="AD109" s="48"/>
      <c r="AE109" s="48"/>
      <c r="AF109" s="48"/>
      <c r="AG109" s="48"/>
      <c r="AH109" s="48"/>
      <c r="AI109" s="48"/>
      <c r="AJ109" s="48"/>
      <c r="AK109" s="48"/>
      <c r="AL109" s="48"/>
      <c r="AM109" s="48"/>
      <c r="AN109" s="48"/>
    </row>
    <row r="110" ht="22.5" customHeight="1">
      <c r="A110" s="5" t="str">
        <f t="shared" si="34"/>
        <v>Véhicules usagés</v>
      </c>
      <c r="B110" s="48" t="s">
        <v>151</v>
      </c>
      <c r="C110" s="531"/>
      <c r="D110" s="532"/>
      <c r="E110" s="532"/>
      <c r="F110" s="533"/>
      <c r="G110" s="531"/>
      <c r="H110" s="532"/>
      <c r="I110" s="533"/>
      <c r="J110" s="531"/>
      <c r="K110" s="534"/>
      <c r="L110" s="535"/>
      <c r="M110" s="536"/>
      <c r="N110" s="537"/>
      <c r="O110" s="531"/>
      <c r="P110" s="534"/>
      <c r="Q110" s="535"/>
      <c r="R110" s="536">
        <f>O109/R109</f>
        <v>-3.445054945</v>
      </c>
      <c r="S110" s="538">
        <f>IF(Q109=0,0,(S109/Q109))</f>
        <v>-0.1099823311</v>
      </c>
      <c r="T110" s="48"/>
      <c r="U110" s="48"/>
      <c r="V110" s="48"/>
      <c r="W110" s="48"/>
      <c r="X110" s="48"/>
      <c r="Y110" s="48"/>
      <c r="Z110" s="48"/>
      <c r="AA110" s="48"/>
      <c r="AB110" s="48"/>
      <c r="AC110" s="48"/>
      <c r="AD110" s="48"/>
      <c r="AE110" s="48"/>
      <c r="AF110" s="48"/>
      <c r="AG110" s="48"/>
      <c r="AH110" s="48"/>
      <c r="AI110" s="48"/>
      <c r="AJ110" s="48"/>
      <c r="AK110" s="48"/>
      <c r="AL110" s="48"/>
      <c r="AM110" s="48"/>
      <c r="AN110" s="48"/>
    </row>
    <row r="111" ht="15.75" customHeight="1">
      <c r="A111" s="5" t="str">
        <f t="shared" si="34"/>
        <v>Véhicules usagés</v>
      </c>
      <c r="B111" s="48" t="s">
        <v>151</v>
      </c>
      <c r="C111" s="500"/>
      <c r="D111" s="11"/>
      <c r="E111" s="11"/>
      <c r="F111" s="502"/>
      <c r="G111" s="500"/>
      <c r="H111" s="11"/>
      <c r="I111" s="502"/>
      <c r="J111" s="500"/>
      <c r="K111" s="503"/>
      <c r="L111" s="504"/>
      <c r="M111" s="525"/>
      <c r="N111" s="507"/>
      <c r="O111" s="500"/>
      <c r="P111" s="503"/>
      <c r="Q111" s="504"/>
      <c r="R111" s="525"/>
      <c r="S111" s="504"/>
      <c r="T111" s="48"/>
      <c r="U111" s="48"/>
      <c r="V111" s="48"/>
      <c r="W111" s="48"/>
      <c r="X111" s="48"/>
      <c r="Y111" s="48"/>
      <c r="Z111" s="48"/>
      <c r="AA111" s="48"/>
      <c r="AB111" s="48"/>
      <c r="AC111" s="48"/>
      <c r="AD111" s="48"/>
      <c r="AE111" s="48"/>
      <c r="AF111" s="48"/>
      <c r="AG111" s="48"/>
      <c r="AH111" s="48"/>
      <c r="AI111" s="48"/>
      <c r="AJ111" s="48"/>
      <c r="AK111" s="48"/>
      <c r="AL111" s="48"/>
      <c r="AM111" s="48"/>
      <c r="AN111" s="48"/>
    </row>
    <row r="112" ht="15.75" customHeight="1">
      <c r="A112" s="5" t="str">
        <f t="shared" si="34"/>
        <v>Véhicules usagésDEPENSES</v>
      </c>
      <c r="B112" s="48" t="s">
        <v>151</v>
      </c>
      <c r="C112" s="541" t="s">
        <v>110</v>
      </c>
      <c r="D112" s="48"/>
      <c r="E112" s="41"/>
      <c r="F112" s="484"/>
      <c r="G112" s="480"/>
      <c r="H112" s="41"/>
      <c r="I112" s="484"/>
      <c r="J112" s="480"/>
      <c r="K112" s="542"/>
      <c r="L112" s="484"/>
      <c r="M112" s="480"/>
      <c r="N112" s="514"/>
      <c r="O112" s="480"/>
      <c r="P112" s="542"/>
      <c r="Q112" s="484"/>
      <c r="R112" s="480"/>
      <c r="S112" s="484"/>
      <c r="T112" s="48"/>
      <c r="U112" s="48"/>
      <c r="V112" s="48"/>
      <c r="W112" s="48"/>
      <c r="X112" s="48"/>
      <c r="Y112" s="48"/>
      <c r="Z112" s="48"/>
      <c r="AA112" s="48"/>
      <c r="AB112" s="48"/>
      <c r="AC112" s="48"/>
      <c r="AD112" s="48"/>
      <c r="AE112" s="48"/>
      <c r="AF112" s="48"/>
      <c r="AG112" s="48"/>
      <c r="AH112" s="48"/>
      <c r="AI112" s="48"/>
      <c r="AJ112" s="48"/>
      <c r="AK112" s="48"/>
      <c r="AL112" s="48"/>
      <c r="AM112" s="48"/>
      <c r="AN112" s="48"/>
    </row>
    <row r="113" ht="15.75" customHeight="1">
      <c r="A113" s="5" t="str">
        <f t="shared" si="34"/>
        <v>Véhicules usagésComm. vendeurs</v>
      </c>
      <c r="B113" s="48" t="s">
        <v>151</v>
      </c>
      <c r="C113" s="480" t="s">
        <v>111</v>
      </c>
      <c r="D113" s="602" t="str">
        <f>F113/F97</f>
        <v>#N/A</v>
      </c>
      <c r="E113" s="483" t="str">
        <f t="shared" ref="E113:E122" si="39">F113/D$97</f>
        <v>#N/A</v>
      </c>
      <c r="F113" s="481" t="str">
        <f t="array" ref="F113">+SUMPRODUCT(('Budget original'!$A$8:$A$501=$A113)*('Budget original'!$C$3:$AO$3=F$2),'Budget original'!$C$8:$AO$501)</f>
        <v>#N/A</v>
      </c>
      <c r="G113" s="515"/>
      <c r="H113" s="483"/>
      <c r="I113" s="481"/>
      <c r="J113" s="515">
        <f>L113/L97</f>
        <v>0.3722051495</v>
      </c>
      <c r="K113" s="483">
        <f>IF($J$97=0,0,L113/(J$94+J$95+J96))</f>
        <v>478.2003627</v>
      </c>
      <c r="L113" s="484">
        <f>SUMIFS(BV_Data_An_Cour!$AN:$AN,BV_Data_An_Cour!$AP:$AP,$B113,BV_Data_An_Cour!$AQ:$AQ,$C113,BV_Data_An_Cour!$AR:$AR,$L$2)</f>
        <v>92292.67</v>
      </c>
      <c r="M113" s="480"/>
      <c r="N113" s="484" t="str">
        <f t="shared" ref="N113:N154" si="40">L113-F113</f>
        <v>#N/A</v>
      </c>
      <c r="O113" s="515">
        <f>Q113/Q97</f>
        <v>5.638899122</v>
      </c>
      <c r="P113" s="483">
        <f>IF($J$97=0,0,Q113/(O$94+O$95+O96))</f>
        <v>1366.500241</v>
      </c>
      <c r="Q113" s="484">
        <f>SUMIFS(BV_Data_An_Prec!$AN:$AN,BV_Data_An_Prec!$AP:$AP,$B113,BV_Data_An_Prec!$AQ:$AQ,$C113,BV_Data_An_Prec!$AR:$AR,$L$2)</f>
        <v>113419.52</v>
      </c>
      <c r="R113" s="480"/>
      <c r="S113" s="484">
        <f t="shared" ref="S113:S154" si="41">L113-Q113</f>
        <v>-21126.85</v>
      </c>
      <c r="T113" s="48"/>
      <c r="U113" s="48"/>
      <c r="V113" s="48"/>
      <c r="W113" s="48"/>
      <c r="X113" s="48"/>
      <c r="Y113" s="48"/>
      <c r="Z113" s="48"/>
      <c r="AA113" s="48"/>
      <c r="AB113" s="48"/>
      <c r="AC113" s="48"/>
      <c r="AD113" s="48"/>
      <c r="AE113" s="48"/>
      <c r="AF113" s="48"/>
      <c r="AG113" s="48"/>
      <c r="AH113" s="48"/>
      <c r="AI113" s="48"/>
      <c r="AJ113" s="48"/>
      <c r="AK113" s="48"/>
      <c r="AL113" s="48"/>
      <c r="AM113" s="48"/>
      <c r="AN113" s="48"/>
    </row>
    <row r="114" ht="15.75" customHeight="1">
      <c r="A114" s="5" t="str">
        <f t="shared" si="34"/>
        <v>Véhicules usagésComm. F&amp;I</v>
      </c>
      <c r="B114" s="48" t="s">
        <v>151</v>
      </c>
      <c r="C114" s="471" t="s">
        <v>112</v>
      </c>
      <c r="D114" s="603" t="str">
        <f>F114/(F106+F19)</f>
        <v>#N/A</v>
      </c>
      <c r="E114" s="513" t="str">
        <f t="shared" si="39"/>
        <v>#N/A</v>
      </c>
      <c r="F114" s="473" t="str">
        <f t="array" ref="F114">+SUMPRODUCT(('Budget original'!$A$8:$A$501=$A114)*('Budget original'!$C$3:$AO$3=F$2),'Budget original'!$C$8:$AO$501)</f>
        <v>#N/A</v>
      </c>
      <c r="G114" s="545"/>
      <c r="H114" s="513"/>
      <c r="I114" s="473"/>
      <c r="J114" s="545">
        <f>L114/(L106)</f>
        <v>0.2655794034</v>
      </c>
      <c r="K114" s="513">
        <f>IF($J$97=0,0,L114/(J$94+J$95+J96))</f>
        <v>233.2220207</v>
      </c>
      <c r="L114" s="484">
        <f>SUMIFS(BV_Data_An_Cour!$AN:$AN,BV_Data_An_Cour!$AP:$AP,$B114,BV_Data_An_Cour!$AQ:$AQ,$C114,BV_Data_An_Cour!$AR:$AR,$L$2)</f>
        <v>45011.85</v>
      </c>
      <c r="M114" s="471"/>
      <c r="N114" s="476" t="str">
        <f t="shared" si="40"/>
        <v>#N/A</v>
      </c>
      <c r="O114" s="545">
        <f>Q114/(Q106)</f>
        <v>0.2496054585</v>
      </c>
      <c r="P114" s="513">
        <f>IF($J$97=0,0,Q114/(O$94+O$95+O96))</f>
        <v>264.6255422</v>
      </c>
      <c r="Q114" s="484">
        <f>SUMIFS(BV_Data_An_Prec!$AN:$AN,BV_Data_An_Prec!$AP:$AP,$B114,BV_Data_An_Prec!$AQ:$AQ,$C114,BV_Data_An_Prec!$AR:$AR,$L$2)</f>
        <v>21963.92</v>
      </c>
      <c r="R114" s="471"/>
      <c r="S114" s="476">
        <f t="shared" si="41"/>
        <v>23047.93</v>
      </c>
      <c r="T114" s="48"/>
      <c r="U114" s="48"/>
      <c r="V114" s="48"/>
      <c r="W114" s="48"/>
      <c r="X114" s="48"/>
      <c r="Y114" s="48"/>
      <c r="Z114" s="48"/>
      <c r="AA114" s="48"/>
      <c r="AB114" s="48"/>
      <c r="AC114" s="48"/>
      <c r="AD114" s="48"/>
      <c r="AE114" s="48"/>
      <c r="AF114" s="48"/>
      <c r="AG114" s="48"/>
      <c r="AH114" s="48"/>
      <c r="AI114" s="48"/>
      <c r="AJ114" s="48"/>
      <c r="AK114" s="48"/>
      <c r="AL114" s="48"/>
      <c r="AM114" s="48"/>
      <c r="AN114" s="48"/>
    </row>
    <row r="115" ht="15.75" customHeight="1">
      <c r="A115" s="5" t="str">
        <f t="shared" si="34"/>
        <v>Véhicules usagésFrais de livraison</v>
      </c>
      <c r="B115" s="48" t="s">
        <v>151</v>
      </c>
      <c r="C115" s="480" t="s">
        <v>113</v>
      </c>
      <c r="D115" s="546"/>
      <c r="E115" s="483" t="str">
        <f t="shared" si="39"/>
        <v>#N/A</v>
      </c>
      <c r="F115" s="481" t="str">
        <f t="array" ref="F115">+SUMPRODUCT(('Budget original'!$A$8:$A$501=$A115)*('Budget original'!$C$3:$AO$3=F$2),'Budget original'!$C$8:$AO$501)</f>
        <v>#N/A</v>
      </c>
      <c r="G115" s="547"/>
      <c r="H115" s="483"/>
      <c r="I115" s="481"/>
      <c r="J115" s="480"/>
      <c r="K115" s="483">
        <f>IF($J$97=0,0,L115/(J$94+J$95+J96))</f>
        <v>-66.4192228</v>
      </c>
      <c r="L115" s="523">
        <f>SUMIFS(BV_Data_An_Cour!$AN:$AN,BV_Data_An_Cour!$AP:$AP,$B115,BV_Data_An_Cour!$AQ:$AQ,$C115,BV_Data_An_Cour!$AR:$AR,$L$2)</f>
        <v>-12818.91</v>
      </c>
      <c r="M115" s="480"/>
      <c r="N115" s="484" t="str">
        <f t="shared" si="40"/>
        <v>#N/A</v>
      </c>
      <c r="O115" s="480"/>
      <c r="P115" s="483">
        <f>IF($J$97=0,0,Q115/(O$94+O$95+O96))</f>
        <v>-147.323494</v>
      </c>
      <c r="Q115" s="523">
        <f>SUMIFS(BV_Data_An_Prec!$AN:$AN,BV_Data_An_Prec!$AP:$AP,$B115,BV_Data_An_Prec!$AQ:$AQ,$C115,BV_Data_An_Prec!$AR:$AR,$L$2)</f>
        <v>-12227.85</v>
      </c>
      <c r="R115" s="480"/>
      <c r="S115" s="484">
        <f t="shared" si="41"/>
        <v>-591.06</v>
      </c>
      <c r="T115" s="48"/>
      <c r="U115" s="48"/>
      <c r="V115" s="48"/>
      <c r="W115" s="481"/>
      <c r="X115" s="48"/>
      <c r="Y115" s="48"/>
      <c r="Z115" s="48"/>
      <c r="AA115" s="48"/>
      <c r="AB115" s="48"/>
      <c r="AC115" s="48"/>
      <c r="AD115" s="48"/>
      <c r="AE115" s="48"/>
      <c r="AF115" s="48"/>
      <c r="AG115" s="48"/>
      <c r="AH115" s="48"/>
      <c r="AI115" s="48"/>
      <c r="AJ115" s="48"/>
      <c r="AK115" s="48"/>
      <c r="AL115" s="48"/>
      <c r="AM115" s="48"/>
      <c r="AN115" s="48"/>
    </row>
    <row r="116" ht="15.75" customHeight="1">
      <c r="A116" s="5" t="str">
        <f t="shared" si="34"/>
        <v>Véhicules usagésService gratuit 1</v>
      </c>
      <c r="B116" s="48" t="s">
        <v>151</v>
      </c>
      <c r="C116" s="480" t="s">
        <v>114</v>
      </c>
      <c r="D116" s="546"/>
      <c r="E116" s="483" t="str">
        <f t="shared" si="39"/>
        <v>#N/A</v>
      </c>
      <c r="F116" s="481" t="str">
        <f t="array" ref="F116">+SUMPRODUCT(('Budget original'!$A$8:$A$501=$A116)*('Budget original'!$C$3:$AO$3=F$2),'Budget original'!$C$8:$AO$501)</f>
        <v>#N/A</v>
      </c>
      <c r="G116" s="547"/>
      <c r="H116" s="483"/>
      <c r="I116" s="481"/>
      <c r="J116" s="480"/>
      <c r="K116" s="483">
        <f>IF($J$97=0,0,L116/(J$94+J$95+J96))</f>
        <v>65.38948187</v>
      </c>
      <c r="L116" s="484">
        <f>SUMIFS(BV_Data_An_Cour!$AN:$AN,BV_Data_An_Cour!$AP:$AP,$B116,BV_Data_An_Cour!$AQ:$AQ,$C116,BV_Data_An_Cour!$AR:$AR,$L$2)</f>
        <v>12620.17</v>
      </c>
      <c r="M116" s="480"/>
      <c r="N116" s="484" t="str">
        <f t="shared" si="40"/>
        <v>#N/A</v>
      </c>
      <c r="O116" s="480"/>
      <c r="P116" s="483">
        <f>IF($J$97=0,0,Q116/(O$94+O$95+O96))</f>
        <v>19.1660241</v>
      </c>
      <c r="Q116" s="484">
        <f>SUMIFS(BV_Data_An_Prec!$AN:$AN,BV_Data_An_Prec!$AP:$AP,$B116,BV_Data_An_Prec!$AQ:$AQ,$C116,BV_Data_An_Prec!$AR:$AR,$L$2)</f>
        <v>1590.78</v>
      </c>
      <c r="R116" s="480"/>
      <c r="S116" s="484">
        <f t="shared" si="41"/>
        <v>11029.39</v>
      </c>
      <c r="T116" s="48"/>
      <c r="U116" s="48"/>
      <c r="V116" s="48"/>
      <c r="W116" s="481"/>
      <c r="X116" s="48"/>
      <c r="Y116" s="48"/>
      <c r="Z116" s="48"/>
      <c r="AA116" s="48"/>
      <c r="AB116" s="48"/>
      <c r="AC116" s="48"/>
      <c r="AD116" s="48"/>
      <c r="AE116" s="48"/>
      <c r="AF116" s="48"/>
      <c r="AG116" s="48"/>
      <c r="AH116" s="48"/>
      <c r="AI116" s="48"/>
      <c r="AJ116" s="48"/>
      <c r="AK116" s="48"/>
      <c r="AL116" s="48"/>
      <c r="AM116" s="48"/>
      <c r="AN116" s="48"/>
    </row>
    <row r="117" ht="15.75" customHeight="1">
      <c r="A117" s="5" t="str">
        <f t="shared" si="34"/>
        <v>Véhicules usagésEntretien stock</v>
      </c>
      <c r="B117" s="48" t="s">
        <v>151</v>
      </c>
      <c r="C117" s="471" t="s">
        <v>115</v>
      </c>
      <c r="D117" s="549"/>
      <c r="E117" s="513" t="str">
        <f t="shared" si="39"/>
        <v>#N/A</v>
      </c>
      <c r="F117" s="473" t="str">
        <f t="array" ref="F117">+SUMPRODUCT(('Budget original'!$A$8:$A$501=$A117)*('Budget original'!$C$3:$AO$3=F$2),'Budget original'!$C$8:$AO$501)</f>
        <v>#N/A</v>
      </c>
      <c r="G117" s="550"/>
      <c r="H117" s="513"/>
      <c r="I117" s="473"/>
      <c r="J117" s="471"/>
      <c r="K117" s="513">
        <f>IF($J$97=0,0,L117/(J$94+J$95+J96))</f>
        <v>8.612746114</v>
      </c>
      <c r="L117" s="476">
        <f>SUMIFS(BV_Data_An_Cour!$AN:$AN,BV_Data_An_Cour!$AP:$AP,$B117,BV_Data_An_Cour!$AQ:$AQ,$C117,BV_Data_An_Cour!$AR:$AR,$L$2)</f>
        <v>1662.26</v>
      </c>
      <c r="M117" s="471"/>
      <c r="N117" s="476" t="str">
        <f t="shared" si="40"/>
        <v>#N/A</v>
      </c>
      <c r="O117" s="471"/>
      <c r="P117" s="513">
        <f>IF($J$97=0,0,Q117/(O$94+O$95+O96))</f>
        <v>0</v>
      </c>
      <c r="Q117" s="476">
        <f>SUMIFS(BV_Data_An_Prec!$AN:$AN,BV_Data_An_Prec!$AP:$AP,$B117,BV_Data_An_Prec!$AQ:$AQ,$C117,BV_Data_An_Prec!$AR:$AR,$L$2)</f>
        <v>0</v>
      </c>
      <c r="R117" s="471"/>
      <c r="S117" s="476">
        <f t="shared" si="41"/>
        <v>1662.26</v>
      </c>
      <c r="T117" s="48"/>
      <c r="U117" s="669"/>
      <c r="V117" s="48"/>
      <c r="W117" s="481"/>
      <c r="X117" s="48"/>
      <c r="Y117" s="48"/>
      <c r="Z117" s="48"/>
      <c r="AA117" s="48"/>
      <c r="AB117" s="48"/>
      <c r="AC117" s="48"/>
      <c r="AD117" s="48"/>
      <c r="AE117" s="48"/>
      <c r="AF117" s="48"/>
      <c r="AG117" s="48"/>
      <c r="AH117" s="48"/>
      <c r="AI117" s="48"/>
      <c r="AJ117" s="48"/>
      <c r="AK117" s="48"/>
      <c r="AL117" s="48"/>
      <c r="AM117" s="48"/>
      <c r="AN117" s="48"/>
    </row>
    <row r="118" ht="19.5" customHeight="1">
      <c r="A118" s="5" t="str">
        <f t="shared" si="34"/>
        <v>Véhicules usagésPublicité 1</v>
      </c>
      <c r="B118" s="48" t="s">
        <v>151</v>
      </c>
      <c r="C118" s="480" t="s">
        <v>116</v>
      </c>
      <c r="D118" s="546"/>
      <c r="E118" s="483" t="str">
        <f t="shared" si="39"/>
        <v>#N/A</v>
      </c>
      <c r="F118" s="481" t="str">
        <f t="array" ref="F118">+SUMPRODUCT(('Budget original'!$A$8:$A$501=$A118)*('Budget original'!$C$3:$AO$3=F$2),'Budget original'!$C$8:$AO$501)</f>
        <v>#N/A</v>
      </c>
      <c r="G118" s="547"/>
      <c r="H118" s="483"/>
      <c r="I118" s="481"/>
      <c r="J118" s="480"/>
      <c r="K118" s="483">
        <f>IF($J$97=0,0,L118/(J$94+J$95+J96))</f>
        <v>423.4515544</v>
      </c>
      <c r="L118" s="484">
        <f>SUMIFS(BV_Data_An_Cour!$AN:$AN,BV_Data_An_Cour!$AP:$AP,$B118,BV_Data_An_Cour!$AQ:$AQ,$C118,BV_Data_An_Cour!$AR:$AR,$L$2)</f>
        <v>81726.15</v>
      </c>
      <c r="M118" s="480"/>
      <c r="N118" s="484" t="str">
        <f t="shared" si="40"/>
        <v>#N/A</v>
      </c>
      <c r="O118" s="480"/>
      <c r="P118" s="483">
        <f>IF($J$97=0,0,Q118/(O$94+O$95+O96))</f>
        <v>463.7507229</v>
      </c>
      <c r="Q118" s="484">
        <f>SUMIFS(BV_Data_An_Prec!$AN:$AN,BV_Data_An_Prec!$AP:$AP,$B118,BV_Data_An_Prec!$AQ:$AQ,$C118,BV_Data_An_Prec!$AR:$AR,$L$2)</f>
        <v>38491.31</v>
      </c>
      <c r="R118" s="480"/>
      <c r="S118" s="484">
        <f t="shared" si="41"/>
        <v>43234.84</v>
      </c>
      <c r="T118" s="48"/>
      <c r="U118" s="669"/>
      <c r="V118" s="48"/>
      <c r="W118" s="481"/>
      <c r="Z118" s="48"/>
      <c r="AA118" s="48"/>
      <c r="AB118" s="48"/>
      <c r="AC118" s="48"/>
      <c r="AD118" s="48"/>
      <c r="AE118" s="48"/>
      <c r="AF118" s="48"/>
      <c r="AG118" s="48"/>
      <c r="AH118" s="48"/>
      <c r="AI118" s="48"/>
      <c r="AJ118" s="48"/>
      <c r="AK118" s="48"/>
      <c r="AL118" s="48"/>
      <c r="AM118" s="48"/>
      <c r="AN118" s="48"/>
    </row>
    <row r="119" ht="15.75" customHeight="1">
      <c r="A119" s="5" t="str">
        <f t="shared" si="34"/>
        <v>Véhicules usagésIntérêt de gros</v>
      </c>
      <c r="B119" s="48" t="s">
        <v>151</v>
      </c>
      <c r="C119" s="480" t="s">
        <v>117</v>
      </c>
      <c r="D119" s="546"/>
      <c r="E119" s="483" t="str">
        <f t="shared" si="39"/>
        <v>#N/A</v>
      </c>
      <c r="F119" s="481" t="str">
        <f t="array" ref="F119">+SUMPRODUCT(('Budget original'!$A$8:$A$501=$A119)*('Budget original'!$C$3:$AO$3=F$2),'Budget original'!$C$8:$AO$501)</f>
        <v>#N/A</v>
      </c>
      <c r="G119" s="547"/>
      <c r="H119" s="483"/>
      <c r="I119" s="481"/>
      <c r="J119" s="480"/>
      <c r="K119" s="483">
        <f>IF($J$97=0,0,L119/(J$94+J$95+J96))</f>
        <v>1127.163886</v>
      </c>
      <c r="L119" s="484">
        <f>SUMIFS(BV_Data_An_Cour!$AN:$AN,BV_Data_An_Cour!$AP:$AP,$B119,BV_Data_An_Cour!$AQ:$AQ,$C119,BV_Data_An_Cour!$AR:$AR,$L$2)</f>
        <v>217542.63</v>
      </c>
      <c r="M119" s="480"/>
      <c r="N119" s="484" t="str">
        <f t="shared" si="40"/>
        <v>#N/A</v>
      </c>
      <c r="O119" s="480"/>
      <c r="P119" s="483">
        <f>IF($J$97=0,0,Q119/(O$94+O$95+O96))</f>
        <v>2353.150361</v>
      </c>
      <c r="Q119" s="484">
        <f>SUMIFS(BV_Data_An_Prec!$AN:$AN,BV_Data_An_Prec!$AP:$AP,$B119,BV_Data_An_Prec!$AQ:$AQ,$C119,BV_Data_An_Prec!$AR:$AR,$L$2)</f>
        <v>195311.48</v>
      </c>
      <c r="R119" s="480"/>
      <c r="S119" s="484">
        <f t="shared" si="41"/>
        <v>22231.15</v>
      </c>
      <c r="T119" s="48"/>
      <c r="U119" s="48"/>
      <c r="V119" s="48"/>
      <c r="W119" s="481"/>
      <c r="X119" s="48"/>
      <c r="Y119" s="48"/>
      <c r="Z119" s="48"/>
      <c r="AA119" s="48"/>
      <c r="AB119" s="48"/>
      <c r="AC119" s="48"/>
      <c r="AD119" s="48"/>
      <c r="AE119" s="48"/>
      <c r="AF119" s="48"/>
      <c r="AG119" s="48"/>
      <c r="AH119" s="48"/>
      <c r="AI119" s="48"/>
      <c r="AJ119" s="48"/>
      <c r="AK119" s="48"/>
      <c r="AL119" s="48"/>
      <c r="AM119" s="48"/>
      <c r="AN119" s="48"/>
    </row>
    <row r="120" ht="15.75" customHeight="1">
      <c r="A120" s="5" t="str">
        <f t="shared" si="34"/>
        <v>Véhicules usagésCrédit Intérêts Floor Plan</v>
      </c>
      <c r="B120" s="48" t="s">
        <v>151</v>
      </c>
      <c r="C120" s="480" t="s">
        <v>813</v>
      </c>
      <c r="D120" s="546"/>
      <c r="E120" s="483" t="str">
        <f t="shared" si="39"/>
        <v>#N/A</v>
      </c>
      <c r="F120" s="481" t="str">
        <f t="array" ref="F120">+SUMPRODUCT(('Budget original'!$A$8:$A$501=$A120)*('Budget original'!$C$3:$AO$3=F$2),'Budget original'!$C$8:$AO$501)</f>
        <v>#N/A</v>
      </c>
      <c r="G120" s="547"/>
      <c r="H120" s="483"/>
      <c r="I120" s="481"/>
      <c r="J120" s="480"/>
      <c r="K120" s="483">
        <f t="shared" ref="K120:K122" si="42">IF($J$97=0,0,L120/(J$94+J$95))</f>
        <v>0</v>
      </c>
      <c r="L120" s="484">
        <f>SUMIFS(BV_Data_An_Cour!$AN:$AN,BV_Data_An_Cour!$AP:$AP,$B120,BV_Data_An_Cour!$AQ:$AQ,$C120,BV_Data_An_Cour!$AR:$AR,$L$2)</f>
        <v>0</v>
      </c>
      <c r="M120" s="480"/>
      <c r="N120" s="484" t="str">
        <f t="shared" si="40"/>
        <v>#N/A</v>
      </c>
      <c r="O120" s="480"/>
      <c r="P120" s="483">
        <f t="shared" ref="P120:P122" si="43">IF($J$97=0,0,Q120/(O$94+O$95))</f>
        <v>0</v>
      </c>
      <c r="Q120" s="484">
        <f>SUMIFS(BV_Data_An_Prec!$AN:$AN,BV_Data_An_Prec!$AP:$AP,$B120,BV_Data_An_Prec!$AQ:$AQ,$C120,BV_Data_An_Prec!$AR:$AR,$L$2)</f>
        <v>0</v>
      </c>
      <c r="R120" s="480"/>
      <c r="S120" s="484">
        <f t="shared" si="41"/>
        <v>0</v>
      </c>
      <c r="T120" s="48"/>
      <c r="U120" s="48"/>
      <c r="V120" s="48"/>
      <c r="W120" s="48"/>
      <c r="X120" s="48"/>
      <c r="Y120" s="48"/>
      <c r="Z120" s="48"/>
      <c r="AA120" s="48"/>
      <c r="AB120" s="48"/>
      <c r="AC120" s="48"/>
      <c r="AD120" s="48"/>
      <c r="AE120" s="48"/>
      <c r="AF120" s="48"/>
      <c r="AG120" s="48"/>
      <c r="AH120" s="48"/>
      <c r="AI120" s="48"/>
      <c r="AJ120" s="48"/>
      <c r="AK120" s="48"/>
      <c r="AL120" s="48"/>
      <c r="AM120" s="48"/>
      <c r="AN120" s="48"/>
    </row>
    <row r="121" ht="15.75" customHeight="1">
      <c r="A121" s="5" t="str">
        <f t="shared" si="34"/>
        <v>Véhicules usagésCrédit Boni TD</v>
      </c>
      <c r="B121" s="48" t="s">
        <v>151</v>
      </c>
      <c r="C121" s="480" t="s">
        <v>814</v>
      </c>
      <c r="D121" s="546"/>
      <c r="E121" s="483" t="str">
        <f t="shared" si="39"/>
        <v>#N/A</v>
      </c>
      <c r="F121" s="481" t="str">
        <f t="array" ref="F121">+SUMPRODUCT(('Budget original'!$A$8:$A$501=$A121)*('Budget original'!$C$3:$AO$3=F$2),'Budget original'!$C$8:$AO$501)</f>
        <v>#N/A</v>
      </c>
      <c r="G121" s="547"/>
      <c r="H121" s="483"/>
      <c r="I121" s="481"/>
      <c r="J121" s="480"/>
      <c r="K121" s="483">
        <f t="shared" si="42"/>
        <v>-197.3846114</v>
      </c>
      <c r="L121" s="484">
        <f>SUMIFS(BV_Data_An_Cour!$AN:$AN,BV_Data_An_Cour!$AP:$AP,$B121,BV_Data_An_Cour!$AQ:$AQ,$C121,BV_Data_An_Cour!$AR:$AR,$L$2)</f>
        <v>-38095.23</v>
      </c>
      <c r="M121" s="480"/>
      <c r="N121" s="484" t="str">
        <f t="shared" si="40"/>
        <v>#N/A</v>
      </c>
      <c r="O121" s="480"/>
      <c r="P121" s="483">
        <f t="shared" si="43"/>
        <v>0</v>
      </c>
      <c r="Q121" s="484">
        <f>SUMIFS(BV_Data_An_Prec!$AN:$AN,BV_Data_An_Prec!$AP:$AP,$B121,BV_Data_An_Prec!$AQ:$AQ,$C121,BV_Data_An_Prec!$AR:$AR,$L$2)</f>
        <v>0</v>
      </c>
      <c r="R121" s="480"/>
      <c r="S121" s="484">
        <f t="shared" si="41"/>
        <v>-38095.23</v>
      </c>
      <c r="T121" s="48"/>
      <c r="U121" s="48"/>
      <c r="V121" s="48"/>
      <c r="W121" s="48"/>
      <c r="X121" s="48"/>
      <c r="Y121" s="48"/>
      <c r="Z121" s="48"/>
      <c r="AA121" s="48"/>
      <c r="AB121" s="48"/>
      <c r="AC121" s="48"/>
      <c r="AD121" s="48"/>
      <c r="AE121" s="48"/>
      <c r="AF121" s="48"/>
      <c r="AG121" s="48"/>
      <c r="AH121" s="48"/>
      <c r="AI121" s="48"/>
      <c r="AJ121" s="48"/>
      <c r="AK121" s="48"/>
      <c r="AL121" s="48"/>
      <c r="AM121" s="48"/>
      <c r="AN121" s="48"/>
    </row>
    <row r="122" ht="20.25" hidden="1" customHeight="1">
      <c r="A122" s="5" t="str">
        <f t="shared" si="34"/>
        <v>Véhicules usagés[...]</v>
      </c>
      <c r="B122" s="48" t="s">
        <v>151</v>
      </c>
      <c r="C122" s="480" t="s">
        <v>56</v>
      </c>
      <c r="D122" s="546"/>
      <c r="E122" s="483" t="str">
        <f t="shared" si="39"/>
        <v>#N/A</v>
      </c>
      <c r="F122" s="481" t="str">
        <f t="array" ref="F122">+SUMPRODUCT(('Budget original'!$A$8:$A$501=$A122)*('Budget original'!$C$3:$AO$3=F$2),'Budget original'!$C$8:$AO$501)</f>
        <v>#N/A</v>
      </c>
      <c r="G122" s="547"/>
      <c r="H122" s="483"/>
      <c r="I122" s="481"/>
      <c r="J122" s="480"/>
      <c r="K122" s="483">
        <f t="shared" si="42"/>
        <v>0</v>
      </c>
      <c r="L122" s="485">
        <f>SUMIFS(BV_Data_An_Cour!$AN:$AN,BV_Data_An_Cour!$AP:$AP,$B122,BV_Data_An_Cour!$AQ:$AQ,$C122,BV_Data_An_Cour!$AR:$AR,$L$2)</f>
        <v>0</v>
      </c>
      <c r="M122" s="480"/>
      <c r="N122" s="484" t="str">
        <f t="shared" si="40"/>
        <v>#N/A</v>
      </c>
      <c r="O122" s="480"/>
      <c r="P122" s="483">
        <f t="shared" si="43"/>
        <v>0</v>
      </c>
      <c r="Q122" s="485">
        <f>SUMIFS(BV_Data_An_Prec!$AN:$AN,BV_Data_An_Prec!$AP:$AP,$B122,BV_Data_An_Prec!$AQ:$AQ,$C122,BV_Data_An_Prec!$AR:$AR,$L$2)</f>
        <v>0</v>
      </c>
      <c r="R122" s="480"/>
      <c r="S122" s="484">
        <f t="shared" si="41"/>
        <v>0</v>
      </c>
      <c r="T122" s="48"/>
      <c r="U122" s="48"/>
      <c r="V122" s="48"/>
      <c r="W122" s="48"/>
      <c r="X122" s="48"/>
      <c r="Y122" s="48"/>
      <c r="Z122" s="48"/>
      <c r="AA122" s="48"/>
      <c r="AB122" s="48"/>
      <c r="AC122" s="48"/>
      <c r="AD122" s="48"/>
      <c r="AE122" s="48"/>
      <c r="AF122" s="48"/>
      <c r="AG122" s="48"/>
      <c r="AH122" s="48"/>
      <c r="AI122" s="48"/>
      <c r="AJ122" s="48"/>
      <c r="AK122" s="48"/>
      <c r="AL122" s="48"/>
      <c r="AM122" s="48"/>
      <c r="AN122" s="48"/>
    </row>
    <row r="123" ht="18.0" customHeight="1">
      <c r="A123" s="5" t="str">
        <f t="shared" si="34"/>
        <v>Véhicules usagésTOTAL VARIABLES</v>
      </c>
      <c r="B123" s="48" t="s">
        <v>151</v>
      </c>
      <c r="C123" s="552" t="s">
        <v>118</v>
      </c>
      <c r="D123" s="553" t="s">
        <v>225</v>
      </c>
      <c r="E123" s="554" t="str">
        <f>F123/F$109</f>
        <v>#N/A</v>
      </c>
      <c r="F123" s="555" t="str">
        <f>SUM(F113:F122)</f>
        <v>#N/A</v>
      </c>
      <c r="G123" s="556"/>
      <c r="H123" s="554"/>
      <c r="I123" s="555"/>
      <c r="J123" s="556" t="s">
        <v>225</v>
      </c>
      <c r="K123" s="554">
        <f>L123/L$109</f>
        <v>0.7663694456</v>
      </c>
      <c r="L123" s="555">
        <f>SUM(L113:L122)</f>
        <v>399941.59</v>
      </c>
      <c r="M123" s="557"/>
      <c r="N123" s="555" t="str">
        <f t="shared" si="40"/>
        <v>#N/A</v>
      </c>
      <c r="O123" s="556" t="s">
        <v>225</v>
      </c>
      <c r="P123" s="554">
        <f>Q123/Q$109</f>
        <v>0.6114894246</v>
      </c>
      <c r="Q123" s="555">
        <f>SUM(Q113:Q122)</f>
        <v>358549.16</v>
      </c>
      <c r="R123" s="558"/>
      <c r="S123" s="555">
        <f t="shared" si="41"/>
        <v>41392.43</v>
      </c>
      <c r="T123" s="48"/>
      <c r="U123" s="48"/>
      <c r="V123" s="48"/>
      <c r="W123" s="48"/>
      <c r="X123" s="48"/>
      <c r="Y123" s="48"/>
      <c r="Z123" s="48"/>
      <c r="AA123" s="48"/>
      <c r="AB123" s="48"/>
      <c r="AC123" s="48"/>
      <c r="AD123" s="48"/>
      <c r="AE123" s="48"/>
      <c r="AF123" s="48"/>
      <c r="AG123" s="48"/>
      <c r="AH123" s="48"/>
      <c r="AI123" s="48"/>
      <c r="AJ123" s="48"/>
      <c r="AK123" s="48"/>
      <c r="AL123" s="48"/>
      <c r="AM123" s="48"/>
      <c r="AN123" s="48"/>
    </row>
    <row r="124" ht="15.75" customHeight="1">
      <c r="A124" s="5" t="str">
        <f t="shared" si="34"/>
        <v>Véhicules usagésSalaires cadres</v>
      </c>
      <c r="B124" s="48" t="s">
        <v>151</v>
      </c>
      <c r="C124" s="559" t="s">
        <v>119</v>
      </c>
      <c r="D124" s="48"/>
      <c r="E124" s="48"/>
      <c r="F124" s="481" t="str">
        <f t="array" ref="F124">+SUMPRODUCT(('Budget original'!$A$8:$A$501=$A124)*('Budget original'!$C$3:$AO$3=F$2),'Budget original'!$C$8:$AO$501)</f>
        <v>#N/A</v>
      </c>
      <c r="G124" s="480"/>
      <c r="H124" s="48"/>
      <c r="I124" s="481"/>
      <c r="J124" s="480"/>
      <c r="K124" s="48"/>
      <c r="L124" s="484">
        <f>SUMIFS(BV_Data_An_Cour!$AN:$AN,BV_Data_An_Cour!$AP:$AP,$B124,BV_Data_An_Cour!$AQ:$AQ,$C124,BV_Data_An_Cour!$AR:$AR,$L$2)</f>
        <v>75580.79</v>
      </c>
      <c r="M124" s="480"/>
      <c r="N124" s="484" t="str">
        <f t="shared" si="40"/>
        <v>#N/A</v>
      </c>
      <c r="O124" s="480"/>
      <c r="P124" s="48"/>
      <c r="Q124" s="484">
        <f>SUMIFS(BV_Data_An_Prec!$AN:$AN,BV_Data_An_Prec!$AP:$AP,$B124,BV_Data_An_Prec!$AQ:$AQ,$C124,BV_Data_An_Prec!$AR:$AR,$L$2)</f>
        <v>114469.55</v>
      </c>
      <c r="R124" s="480"/>
      <c r="S124" s="484">
        <f t="shared" si="41"/>
        <v>-38888.76</v>
      </c>
      <c r="T124" s="48"/>
      <c r="U124" s="48"/>
      <c r="V124" s="48"/>
      <c r="W124" s="48"/>
      <c r="X124" s="48"/>
      <c r="Y124" s="48"/>
      <c r="Z124" s="48"/>
      <c r="AA124" s="48"/>
      <c r="AB124" s="48"/>
      <c r="AC124" s="48"/>
      <c r="AD124" s="48"/>
      <c r="AE124" s="48"/>
      <c r="AF124" s="48"/>
      <c r="AG124" s="48"/>
      <c r="AH124" s="48"/>
      <c r="AI124" s="48"/>
      <c r="AJ124" s="48"/>
      <c r="AK124" s="48"/>
      <c r="AL124" s="48"/>
      <c r="AM124" s="48"/>
      <c r="AN124" s="48"/>
    </row>
    <row r="125" ht="15.75" customHeight="1">
      <c r="A125" s="5" t="str">
        <f t="shared" si="34"/>
        <v>Véhicules usagésSalaires commis</v>
      </c>
      <c r="B125" s="48" t="s">
        <v>151</v>
      </c>
      <c r="C125" s="560" t="s">
        <v>120</v>
      </c>
      <c r="D125" s="546"/>
      <c r="E125" s="48"/>
      <c r="F125" s="473" t="str">
        <f t="array" ref="F125">+SUMPRODUCT(('Budget original'!$A$8:$A$501=$A125)*('Budget original'!$C$3:$AO$3=F$2),'Budget original'!$C$8:$AO$501)</f>
        <v>#N/A</v>
      </c>
      <c r="G125" s="547"/>
      <c r="H125" s="48"/>
      <c r="I125" s="473"/>
      <c r="J125" s="480"/>
      <c r="K125" s="48"/>
      <c r="L125" s="484">
        <f>SUMIFS(BV_Data_An_Cour!$AN:$AN,BV_Data_An_Cour!$AP:$AP,$B125,BV_Data_An_Cour!$AQ:$AQ,$C125,BV_Data_An_Cour!$AR:$AR,$L$2)</f>
        <v>43226.49</v>
      </c>
      <c r="M125" s="480"/>
      <c r="N125" s="484" t="str">
        <f t="shared" si="40"/>
        <v>#N/A</v>
      </c>
      <c r="O125" s="480"/>
      <c r="P125" s="48"/>
      <c r="Q125" s="484">
        <f>SUMIFS(BV_Data_An_Prec!$AN:$AN,BV_Data_An_Prec!$AP:$AP,$B125,BV_Data_An_Prec!$AQ:$AQ,$C125,BV_Data_An_Prec!$AR:$AR,$L$2)</f>
        <v>50995.63</v>
      </c>
      <c r="R125" s="480"/>
      <c r="S125" s="484">
        <f t="shared" si="41"/>
        <v>-7769.14</v>
      </c>
      <c r="T125" s="48"/>
      <c r="U125" s="48"/>
      <c r="V125" s="48"/>
      <c r="W125" s="48"/>
      <c r="X125" s="48"/>
      <c r="Y125" s="48"/>
      <c r="Z125" s="48"/>
      <c r="AA125" s="48"/>
      <c r="AB125" s="48"/>
      <c r="AC125" s="48"/>
      <c r="AD125" s="48"/>
      <c r="AE125" s="48"/>
      <c r="AF125" s="48"/>
      <c r="AG125" s="48"/>
      <c r="AH125" s="48"/>
      <c r="AI125" s="48"/>
      <c r="AJ125" s="48"/>
      <c r="AK125" s="48"/>
      <c r="AL125" s="48"/>
      <c r="AM125" s="48"/>
      <c r="AN125" s="48"/>
    </row>
    <row r="126" ht="15.75" customHeight="1">
      <c r="A126" s="5" t="str">
        <f t="shared" si="34"/>
        <v>Véhicules usagésSalaires autres</v>
      </c>
      <c r="B126" s="48" t="s">
        <v>151</v>
      </c>
      <c r="C126" s="559" t="s">
        <v>121</v>
      </c>
      <c r="D126" s="561"/>
      <c r="E126" s="562"/>
      <c r="F126" s="481" t="str">
        <f t="array" ref="F126">+SUMPRODUCT(('Budget original'!$A$8:$A$501=$A126)*('Budget original'!$C$3:$AO$3=F$2),'Budget original'!$C$8:$AO$501)</f>
        <v>#N/A</v>
      </c>
      <c r="G126" s="563"/>
      <c r="H126" s="562"/>
      <c r="I126" s="481"/>
      <c r="J126" s="466"/>
      <c r="K126" s="562"/>
      <c r="L126" s="523">
        <f>SUMIFS(BV_Data_An_Cour!$AN:$AN,BV_Data_An_Cour!$AP:$AP,$B126,BV_Data_An_Cour!$AQ:$AQ,$C126,BV_Data_An_Cour!$AR:$AR,$L$2)</f>
        <v>15453.89</v>
      </c>
      <c r="M126" s="466"/>
      <c r="N126" s="523" t="str">
        <f t="shared" si="40"/>
        <v>#N/A</v>
      </c>
      <c r="O126" s="466"/>
      <c r="P126" s="562"/>
      <c r="Q126" s="523">
        <f>SUMIFS(BV_Data_An_Prec!$AN:$AN,BV_Data_An_Prec!$AP:$AP,$B126,BV_Data_An_Prec!$AQ:$AQ,$C126,BV_Data_An_Prec!$AR:$AR,$L$2)</f>
        <v>16756.26</v>
      </c>
      <c r="R126" s="466"/>
      <c r="S126" s="523">
        <f t="shared" si="41"/>
        <v>-1302.37</v>
      </c>
      <c r="T126" s="48"/>
      <c r="U126" s="48"/>
      <c r="V126" s="48"/>
      <c r="W126" s="48"/>
      <c r="X126" s="48"/>
      <c r="Y126" s="48"/>
      <c r="Z126" s="48"/>
      <c r="AA126" s="48"/>
      <c r="AB126" s="48"/>
      <c r="AC126" s="48"/>
      <c r="AD126" s="48"/>
      <c r="AE126" s="48"/>
      <c r="AF126" s="48"/>
      <c r="AG126" s="48"/>
      <c r="AH126" s="48"/>
      <c r="AI126" s="48"/>
      <c r="AJ126" s="48"/>
      <c r="AK126" s="48"/>
      <c r="AL126" s="48"/>
      <c r="AM126" s="48"/>
      <c r="AN126" s="48"/>
    </row>
    <row r="127" ht="20.25" hidden="1" customHeight="1">
      <c r="A127" s="5" t="str">
        <f t="shared" si="34"/>
        <v>Véhicules usagésSalaires spécialistes</v>
      </c>
      <c r="B127" s="48" t="s">
        <v>151</v>
      </c>
      <c r="C127" s="559" t="s">
        <v>122</v>
      </c>
      <c r="D127" s="546"/>
      <c r="E127" s="48"/>
      <c r="F127" s="481" t="str">
        <f t="array" ref="F127">+SUMPRODUCT(('Budget original'!$A$8:$A$501=$A127)*('Budget original'!$C$3:$AO$3=F$2),'Budget original'!$C$8:$AO$501)</f>
        <v>#N/A</v>
      </c>
      <c r="G127" s="547"/>
      <c r="H127" s="48"/>
      <c r="I127" s="481"/>
      <c r="J127" s="480"/>
      <c r="K127" s="48"/>
      <c r="L127" s="484">
        <f>SUMIFS(BV_Data_An_Cour!$AN:$AN,BV_Data_An_Cour!$AP:$AP,$B127,BV_Data_An_Cour!$AQ:$AQ,$C127,BV_Data_An_Cour!$AR:$AR,$L$2)</f>
        <v>0</v>
      </c>
      <c r="M127" s="480"/>
      <c r="N127" s="484" t="str">
        <f t="shared" si="40"/>
        <v>#N/A</v>
      </c>
      <c r="O127" s="480"/>
      <c r="P127" s="48"/>
      <c r="Q127" s="484">
        <f>SUMIFS(BV_Data_An_Prec!$AN:$AN,BV_Data_An_Prec!$AP:$AP,$B127,BV_Data_An_Prec!$AQ:$AQ,$C127,BV_Data_An_Prec!$AR:$AR,$L$2)</f>
        <v>0</v>
      </c>
      <c r="R127" s="480"/>
      <c r="S127" s="484">
        <f t="shared" si="41"/>
        <v>0</v>
      </c>
      <c r="T127" s="48"/>
      <c r="U127" s="48"/>
      <c r="V127" s="48"/>
      <c r="W127" s="48"/>
      <c r="X127" s="48"/>
      <c r="Y127" s="48"/>
      <c r="Z127" s="48"/>
      <c r="AA127" s="48"/>
      <c r="AB127" s="48"/>
      <c r="AC127" s="48"/>
      <c r="AD127" s="48"/>
      <c r="AE127" s="48"/>
      <c r="AF127" s="48"/>
      <c r="AG127" s="48"/>
      <c r="AH127" s="48"/>
      <c r="AI127" s="48"/>
      <c r="AJ127" s="48"/>
      <c r="AK127" s="48"/>
      <c r="AL127" s="48"/>
      <c r="AM127" s="48"/>
      <c r="AN127" s="48"/>
    </row>
    <row r="128" ht="20.25" hidden="1" customHeight="1">
      <c r="A128" s="5" t="str">
        <f t="shared" si="34"/>
        <v>Véhicules usagés[...]</v>
      </c>
      <c r="B128" s="48" t="s">
        <v>151</v>
      </c>
      <c r="C128" s="559" t="s">
        <v>56</v>
      </c>
      <c r="D128" s="546"/>
      <c r="E128" s="48"/>
      <c r="F128" s="481" t="str">
        <f t="array" ref="F128">+SUMPRODUCT(('Budget original'!$A$8:$A$501=$A128)*('Budget original'!$C$3:$AO$3=F$2),'Budget original'!$C$8:$AO$501)</f>
        <v>#N/A</v>
      </c>
      <c r="G128" s="547"/>
      <c r="H128" s="48"/>
      <c r="I128" s="481"/>
      <c r="J128" s="480"/>
      <c r="K128" s="48"/>
      <c r="L128" s="484">
        <f>SUMIFS(BV_Data_An_Cour!$AN:$AN,BV_Data_An_Cour!$AP:$AP,$B128,BV_Data_An_Cour!$AQ:$AQ,$C128,BV_Data_An_Cour!$AR:$AR,$L$2)</f>
        <v>0</v>
      </c>
      <c r="M128" s="480"/>
      <c r="N128" s="484" t="str">
        <f t="shared" si="40"/>
        <v>#N/A</v>
      </c>
      <c r="O128" s="480"/>
      <c r="P128" s="48"/>
      <c r="Q128" s="484">
        <f>SUMIFS(BV_Data_An_Prec!$AN:$AN,BV_Data_An_Prec!$AP:$AP,$B128,BV_Data_An_Prec!$AQ:$AQ,$C128,BV_Data_An_Prec!$AR:$AR,$L$2)</f>
        <v>0</v>
      </c>
      <c r="R128" s="480"/>
      <c r="S128" s="484">
        <f t="shared" si="41"/>
        <v>0</v>
      </c>
      <c r="T128" s="48"/>
      <c r="U128" s="48"/>
      <c r="V128" s="48"/>
      <c r="W128" s="48"/>
      <c r="X128" s="48"/>
      <c r="Y128" s="48"/>
      <c r="Z128" s="48"/>
      <c r="AA128" s="48"/>
      <c r="AB128" s="48"/>
      <c r="AC128" s="48"/>
      <c r="AD128" s="48"/>
      <c r="AE128" s="48"/>
      <c r="AF128" s="48"/>
      <c r="AG128" s="48"/>
      <c r="AH128" s="48"/>
      <c r="AI128" s="48"/>
      <c r="AJ128" s="48"/>
      <c r="AK128" s="48"/>
      <c r="AL128" s="48"/>
      <c r="AM128" s="48"/>
      <c r="AN128" s="48"/>
    </row>
    <row r="129" ht="20.25" hidden="1" customHeight="1">
      <c r="A129" s="5" t="str">
        <f t="shared" si="34"/>
        <v>Véhicules usagés[...]</v>
      </c>
      <c r="B129" s="48" t="s">
        <v>151</v>
      </c>
      <c r="C129" s="559" t="s">
        <v>56</v>
      </c>
      <c r="D129" s="546"/>
      <c r="E129" s="48"/>
      <c r="F129" s="481" t="str">
        <f t="array" ref="F129">+SUMPRODUCT(('Budget original'!$A$8:$A$501=$A129)*('Budget original'!$C$3:$AO$3=F$2),'Budget original'!$C$8:$AO$501)</f>
        <v>#N/A</v>
      </c>
      <c r="G129" s="547"/>
      <c r="H129" s="48"/>
      <c r="I129" s="481"/>
      <c r="J129" s="480"/>
      <c r="K129" s="48"/>
      <c r="L129" s="484">
        <f>SUMIFS(BV_Data_An_Cour!$AN:$AN,BV_Data_An_Cour!$AP:$AP,$B129,BV_Data_An_Cour!$AQ:$AQ,$C129,BV_Data_An_Cour!$AR:$AR,$L$2)</f>
        <v>0</v>
      </c>
      <c r="M129" s="480"/>
      <c r="N129" s="484" t="str">
        <f t="shared" si="40"/>
        <v>#N/A</v>
      </c>
      <c r="O129" s="480"/>
      <c r="P129" s="48"/>
      <c r="Q129" s="484">
        <f>SUMIFS(BV_Data_An_Prec!$AN:$AN,BV_Data_An_Prec!$AP:$AP,$B129,BV_Data_An_Prec!$AQ:$AQ,$C129,BV_Data_An_Prec!$AR:$AR,$L$2)</f>
        <v>0</v>
      </c>
      <c r="R129" s="480"/>
      <c r="S129" s="484">
        <f t="shared" si="41"/>
        <v>0</v>
      </c>
      <c r="T129" s="48"/>
      <c r="U129" s="48"/>
      <c r="V129" s="48"/>
      <c r="W129" s="48"/>
      <c r="X129" s="48"/>
      <c r="Y129" s="48"/>
      <c r="Z129" s="48"/>
      <c r="AA129" s="48"/>
      <c r="AB129" s="48"/>
      <c r="AC129" s="48"/>
      <c r="AD129" s="48"/>
      <c r="AE129" s="48"/>
      <c r="AF129" s="48"/>
      <c r="AG129" s="48"/>
      <c r="AH129" s="48"/>
      <c r="AI129" s="48"/>
      <c r="AJ129" s="48"/>
      <c r="AK129" s="48"/>
      <c r="AL129" s="48"/>
      <c r="AM129" s="48"/>
      <c r="AN129" s="48"/>
    </row>
    <row r="130" ht="20.25" hidden="1" customHeight="1">
      <c r="A130" s="5" t="str">
        <f t="shared" si="34"/>
        <v>Véhicules usagés[...]</v>
      </c>
      <c r="B130" s="48" t="s">
        <v>151</v>
      </c>
      <c r="C130" s="559" t="s">
        <v>56</v>
      </c>
      <c r="D130" s="546"/>
      <c r="E130" s="48"/>
      <c r="F130" s="481" t="str">
        <f t="array" ref="F130">+SUMPRODUCT(('Budget original'!$A$8:$A$501=$A130)*('Budget original'!$C$3:$AO$3=F$2),'Budget original'!$C$8:$AO$501)</f>
        <v>#N/A</v>
      </c>
      <c r="G130" s="547"/>
      <c r="H130" s="48"/>
      <c r="I130" s="481"/>
      <c r="J130" s="480"/>
      <c r="K130" s="48"/>
      <c r="L130" s="484">
        <f>SUMIFS(BV_Data_An_Cour!$AN:$AN,BV_Data_An_Cour!$AP:$AP,$B130,BV_Data_An_Cour!$AQ:$AQ,$C130,BV_Data_An_Cour!$AR:$AR,$L$2)</f>
        <v>0</v>
      </c>
      <c r="M130" s="480"/>
      <c r="N130" s="484" t="str">
        <f t="shared" si="40"/>
        <v>#N/A</v>
      </c>
      <c r="O130" s="480"/>
      <c r="P130" s="48"/>
      <c r="Q130" s="484">
        <f>SUMIFS(BV_Data_An_Prec!$AN:$AN,BV_Data_An_Prec!$AP:$AP,$B130,BV_Data_An_Prec!$AQ:$AQ,$C130,BV_Data_An_Prec!$AR:$AR,$L$2)</f>
        <v>0</v>
      </c>
      <c r="R130" s="480"/>
      <c r="S130" s="484">
        <f t="shared" si="41"/>
        <v>0</v>
      </c>
      <c r="T130" s="48"/>
      <c r="U130" s="48"/>
      <c r="V130" s="48"/>
      <c r="W130" s="48"/>
      <c r="X130" s="48"/>
      <c r="Y130" s="48"/>
      <c r="Z130" s="48"/>
      <c r="AA130" s="48"/>
      <c r="AB130" s="48"/>
      <c r="AC130" s="48"/>
      <c r="AD130" s="48"/>
      <c r="AE130" s="48"/>
      <c r="AF130" s="48"/>
      <c r="AG130" s="48"/>
      <c r="AH130" s="48"/>
      <c r="AI130" s="48"/>
      <c r="AJ130" s="48"/>
      <c r="AK130" s="48"/>
      <c r="AL130" s="48"/>
      <c r="AM130" s="48"/>
      <c r="AN130" s="48"/>
    </row>
    <row r="131" ht="15.75" customHeight="1">
      <c r="A131" s="5" t="str">
        <f t="shared" si="34"/>
        <v>Véhicules usagésSalaires en absences</v>
      </c>
      <c r="B131" s="48" t="s">
        <v>151</v>
      </c>
      <c r="C131" s="560" t="s">
        <v>123</v>
      </c>
      <c r="D131" s="546"/>
      <c r="E131" s="48"/>
      <c r="F131" s="481" t="str">
        <f t="array" ref="F131">+SUMPRODUCT(('Budget original'!$A$8:$A$501=$A131)*('Budget original'!$C$3:$AO$3=F$2),'Budget original'!$C$8:$AO$501)</f>
        <v>#N/A</v>
      </c>
      <c r="G131" s="547"/>
      <c r="H131" s="48"/>
      <c r="I131" s="481"/>
      <c r="J131" s="480"/>
      <c r="K131" s="48"/>
      <c r="L131" s="484">
        <f>SUMIFS(BV_Data_An_Cour!$AN:$AN,BV_Data_An_Cour!$AP:$AP,$B131,BV_Data_An_Cour!$AQ:$AQ,$C131,BV_Data_An_Cour!$AR:$AR,$L$2)</f>
        <v>27270.26</v>
      </c>
      <c r="M131" s="480"/>
      <c r="N131" s="484" t="str">
        <f t="shared" si="40"/>
        <v>#N/A</v>
      </c>
      <c r="O131" s="480"/>
      <c r="P131" s="48"/>
      <c r="Q131" s="484">
        <f>SUMIFS(BV_Data_An_Prec!$AN:$AN,BV_Data_An_Prec!$AP:$AP,$B131,BV_Data_An_Prec!$AQ:$AQ,$C131,BV_Data_An_Prec!$AR:$AR,$L$2)</f>
        <v>10188.86</v>
      </c>
      <c r="R131" s="480"/>
      <c r="S131" s="484">
        <f t="shared" si="41"/>
        <v>17081.4</v>
      </c>
      <c r="T131" s="48"/>
      <c r="U131" s="48"/>
      <c r="V131" s="48"/>
      <c r="W131" s="48"/>
      <c r="X131" s="48"/>
      <c r="Y131" s="48"/>
      <c r="Z131" s="48"/>
      <c r="AA131" s="48"/>
      <c r="AB131" s="48"/>
      <c r="AC131" s="48"/>
      <c r="AD131" s="48"/>
      <c r="AE131" s="48"/>
      <c r="AF131" s="48"/>
      <c r="AG131" s="48"/>
      <c r="AH131" s="48"/>
      <c r="AI131" s="48"/>
      <c r="AJ131" s="48"/>
      <c r="AK131" s="48"/>
      <c r="AL131" s="48"/>
      <c r="AM131" s="48"/>
      <c r="AN131" s="48"/>
    </row>
    <row r="132" ht="15.75" customHeight="1">
      <c r="A132" s="5" t="str">
        <f t="shared" si="34"/>
        <v>Véhicules usagésDéduction à la source</v>
      </c>
      <c r="B132" s="48" t="s">
        <v>151</v>
      </c>
      <c r="C132" s="559" t="s">
        <v>124</v>
      </c>
      <c r="D132" s="561"/>
      <c r="E132" s="562"/>
      <c r="F132" s="519" t="str">
        <f t="array" ref="F132">+SUMPRODUCT(('Budget original'!$A$8:$A$501=$A132)*('Budget original'!$C$3:$AO$3=F$2),'Budget original'!$C$8:$AO$501)</f>
        <v>#N/A</v>
      </c>
      <c r="G132" s="563"/>
      <c r="H132" s="562"/>
      <c r="I132" s="519"/>
      <c r="J132" s="466"/>
      <c r="K132" s="562"/>
      <c r="L132" s="523">
        <f>SUMIFS(BV_Data_An_Cour!$AN:$AN,BV_Data_An_Cour!$AP:$AP,$B132,BV_Data_An_Cour!$AQ:$AQ,$C132,BV_Data_An_Cour!$AR:$AR,$L$2)</f>
        <v>35457.39</v>
      </c>
      <c r="M132" s="466"/>
      <c r="N132" s="523" t="str">
        <f t="shared" si="40"/>
        <v>#N/A</v>
      </c>
      <c r="O132" s="466"/>
      <c r="P132" s="562"/>
      <c r="Q132" s="523">
        <f>SUMIFS(BV_Data_An_Prec!$AN:$AN,BV_Data_An_Prec!$AP:$AP,$B132,BV_Data_An_Prec!$AQ:$AQ,$C132,BV_Data_An_Prec!$AR:$AR,$L$2)</f>
        <v>21607.07</v>
      </c>
      <c r="R132" s="466"/>
      <c r="S132" s="523">
        <f t="shared" si="41"/>
        <v>13850.32</v>
      </c>
      <c r="T132" s="48"/>
      <c r="U132" s="48"/>
      <c r="V132" s="48"/>
      <c r="W132" s="48"/>
      <c r="X132" s="48"/>
      <c r="Y132" s="48"/>
      <c r="Z132" s="48"/>
      <c r="AA132" s="48"/>
      <c r="AB132" s="48"/>
      <c r="AC132" s="48"/>
      <c r="AD132" s="48"/>
      <c r="AE132" s="48"/>
      <c r="AF132" s="48"/>
      <c r="AG132" s="48"/>
      <c r="AH132" s="48"/>
      <c r="AI132" s="48"/>
      <c r="AJ132" s="48"/>
      <c r="AK132" s="48"/>
      <c r="AL132" s="48"/>
      <c r="AM132" s="48"/>
      <c r="AN132" s="48"/>
    </row>
    <row r="133" ht="15.75" customHeight="1">
      <c r="A133" s="5" t="str">
        <f t="shared" si="34"/>
        <v>Véhicules usagésBénéfices marginaux</v>
      </c>
      <c r="B133" s="48" t="s">
        <v>151</v>
      </c>
      <c r="C133" s="559" t="s">
        <v>125</v>
      </c>
      <c r="D133" s="546"/>
      <c r="E133" s="48"/>
      <c r="F133" s="481" t="str">
        <f t="array" ref="F133">+SUMPRODUCT(('Budget original'!$A$8:$A$501=$A133)*('Budget original'!$C$3:$AO$3=F$2),'Budget original'!$C$8:$AO$501)</f>
        <v>#N/A</v>
      </c>
      <c r="G133" s="547"/>
      <c r="H133" s="48"/>
      <c r="I133" s="481"/>
      <c r="J133" s="480"/>
      <c r="K133" s="48"/>
      <c r="L133" s="484">
        <f>SUMIFS(BV_Data_An_Cour!$AN:$AN,BV_Data_An_Cour!$AP:$AP,$B133,BV_Data_An_Cour!$AQ:$AQ,$C133,BV_Data_An_Cour!$AR:$AR,$L$2)</f>
        <v>18478.41</v>
      </c>
      <c r="M133" s="480"/>
      <c r="N133" s="484" t="str">
        <f t="shared" si="40"/>
        <v>#N/A</v>
      </c>
      <c r="O133" s="480"/>
      <c r="P133" s="48"/>
      <c r="Q133" s="484">
        <f>SUMIFS(BV_Data_An_Prec!$AN:$AN,BV_Data_An_Prec!$AP:$AP,$B133,BV_Data_An_Prec!$AQ:$AQ,$C133,BV_Data_An_Prec!$AR:$AR,$L$2)</f>
        <v>21863.45</v>
      </c>
      <c r="R133" s="480"/>
      <c r="S133" s="484">
        <f t="shared" si="41"/>
        <v>-3385.04</v>
      </c>
      <c r="T133" s="48"/>
      <c r="U133" s="48"/>
      <c r="V133" s="48"/>
      <c r="W133" s="48"/>
      <c r="X133" s="48"/>
      <c r="Y133" s="48"/>
      <c r="Z133" s="48"/>
      <c r="AA133" s="48"/>
      <c r="AB133" s="48"/>
      <c r="AC133" s="48"/>
      <c r="AD133" s="48"/>
      <c r="AE133" s="48"/>
      <c r="AF133" s="48"/>
      <c r="AG133" s="48"/>
      <c r="AH133" s="48"/>
      <c r="AI133" s="48"/>
      <c r="AJ133" s="48"/>
      <c r="AK133" s="48"/>
      <c r="AL133" s="48"/>
      <c r="AM133" s="48"/>
      <c r="AN133" s="48"/>
    </row>
    <row r="134" ht="15.75" customHeight="1">
      <c r="A134" s="5" t="str">
        <f t="shared" si="34"/>
        <v>Véhicules usagésCsst</v>
      </c>
      <c r="B134" s="48" t="s">
        <v>151</v>
      </c>
      <c r="C134" s="559" t="s">
        <v>126</v>
      </c>
      <c r="D134" s="546"/>
      <c r="E134" s="48"/>
      <c r="F134" s="481" t="str">
        <f t="array" ref="F134">+SUMPRODUCT(('Budget original'!$A$8:$A$501=$A134)*('Budget original'!$C$3:$AO$3=F$2),'Budget original'!$C$8:$AO$501)</f>
        <v>#N/A</v>
      </c>
      <c r="G134" s="547"/>
      <c r="H134" s="48"/>
      <c r="I134" s="481"/>
      <c r="J134" s="480"/>
      <c r="K134" s="48"/>
      <c r="L134" s="484">
        <f>SUMIFS(BV_Data_An_Cour!$AN:$AN,BV_Data_An_Cour!$AP:$AP,$B134,BV_Data_An_Cour!$AQ:$AQ,$C134,BV_Data_An_Cour!$AR:$AR,$L$2)</f>
        <v>15529.4</v>
      </c>
      <c r="M134" s="480"/>
      <c r="N134" s="484" t="str">
        <f t="shared" si="40"/>
        <v>#N/A</v>
      </c>
      <c r="O134" s="480"/>
      <c r="P134" s="48"/>
      <c r="Q134" s="484">
        <f>SUMIFS(BV_Data_An_Prec!$AN:$AN,BV_Data_An_Prec!$AP:$AP,$B134,BV_Data_An_Prec!$AQ:$AQ,$C134,BV_Data_An_Prec!$AR:$AR,$L$2)</f>
        <v>224.85</v>
      </c>
      <c r="R134" s="480"/>
      <c r="S134" s="484">
        <f t="shared" si="41"/>
        <v>15304.55</v>
      </c>
      <c r="T134" s="48"/>
      <c r="U134" s="48"/>
      <c r="V134" s="48"/>
      <c r="W134" s="48"/>
      <c r="X134" s="48"/>
      <c r="Y134" s="48"/>
      <c r="Z134" s="48"/>
      <c r="AA134" s="48"/>
      <c r="AB134" s="48"/>
      <c r="AC134" s="48"/>
      <c r="AD134" s="48"/>
      <c r="AE134" s="48"/>
      <c r="AF134" s="48"/>
      <c r="AG134" s="48"/>
      <c r="AH134" s="48"/>
      <c r="AI134" s="48"/>
      <c r="AJ134" s="48"/>
      <c r="AK134" s="48"/>
      <c r="AL134" s="48"/>
      <c r="AM134" s="48"/>
      <c r="AN134" s="48"/>
    </row>
    <row r="135" ht="20.25" hidden="1" customHeight="1">
      <c r="A135" s="5" t="str">
        <f t="shared" si="34"/>
        <v>Véhicules usagés[...]</v>
      </c>
      <c r="B135" s="48" t="s">
        <v>151</v>
      </c>
      <c r="C135" s="480" t="s">
        <v>56</v>
      </c>
      <c r="D135" s="549"/>
      <c r="E135" s="564"/>
      <c r="F135" s="481" t="str">
        <f t="array" ref="F135">+SUMPRODUCT(('Budget original'!$A$8:$A$501=$A135)*('Budget original'!$C$3:$AO$3=F$2),'Budget original'!$C$8:$AO$501)</f>
        <v>#N/A</v>
      </c>
      <c r="G135" s="550"/>
      <c r="H135" s="564"/>
      <c r="I135" s="481"/>
      <c r="J135" s="471"/>
      <c r="K135" s="564"/>
      <c r="L135" s="484">
        <f>SUMIFS(BV_Data_An_Cour!$AN:$AN,BV_Data_An_Cour!$AP:$AP,$B135,BV_Data_An_Cour!$AQ:$AQ,$C135,BV_Data_An_Cour!$AR:$AR,$L$2)</f>
        <v>0</v>
      </c>
      <c r="M135" s="471"/>
      <c r="N135" s="476" t="str">
        <f t="shared" si="40"/>
        <v>#N/A</v>
      </c>
      <c r="O135" s="471"/>
      <c r="P135" s="564"/>
      <c r="Q135" s="484">
        <f>SUMIFS(BV_Data_An_Prec!$AN:$AN,BV_Data_An_Prec!$AP:$AP,$B135,BV_Data_An_Prec!$AQ:$AQ,$C135,BV_Data_An_Prec!$AR:$AR,$L$2)</f>
        <v>0</v>
      </c>
      <c r="R135" s="471"/>
      <c r="S135" s="476">
        <f t="shared" si="41"/>
        <v>0</v>
      </c>
      <c r="T135" s="48"/>
      <c r="U135" s="48"/>
      <c r="V135" s="48"/>
      <c r="W135" s="48"/>
      <c r="X135" s="48"/>
      <c r="Y135" s="48"/>
      <c r="Z135" s="48"/>
      <c r="AA135" s="48"/>
      <c r="AB135" s="48"/>
      <c r="AC135" s="48"/>
      <c r="AD135" s="48"/>
      <c r="AE135" s="48"/>
      <c r="AF135" s="48"/>
      <c r="AG135" s="48"/>
      <c r="AH135" s="48"/>
      <c r="AI135" s="48"/>
      <c r="AJ135" s="48"/>
      <c r="AK135" s="48"/>
      <c r="AL135" s="48"/>
      <c r="AM135" s="48"/>
      <c r="AN135" s="48"/>
    </row>
    <row r="136" ht="18.0" customHeight="1">
      <c r="A136" s="5" t="str">
        <f t="shared" si="34"/>
        <v>Véhicules usagésTOTAL PERSONNEL</v>
      </c>
      <c r="B136" s="48" t="s">
        <v>151</v>
      </c>
      <c r="C136" s="552" t="s">
        <v>127</v>
      </c>
      <c r="D136" s="553" t="s">
        <v>225</v>
      </c>
      <c r="E136" s="554" t="str">
        <f>F136/F$109</f>
        <v>#N/A</v>
      </c>
      <c r="F136" s="555" t="str">
        <f>+SUM(F124:F135)</f>
        <v>#N/A</v>
      </c>
      <c r="G136" s="556"/>
      <c r="H136" s="554"/>
      <c r="I136" s="555"/>
      <c r="J136" s="556" t="s">
        <v>225</v>
      </c>
      <c r="K136" s="554">
        <f>L136/L$109</f>
        <v>0.4426365342</v>
      </c>
      <c r="L136" s="555">
        <f>SUM(L124:L135)</f>
        <v>230996.63</v>
      </c>
      <c r="M136" s="557"/>
      <c r="N136" s="555" t="str">
        <f t="shared" si="40"/>
        <v>#N/A</v>
      </c>
      <c r="O136" s="556" t="s">
        <v>225</v>
      </c>
      <c r="P136" s="554">
        <f>Q136/Q$109</f>
        <v>0.4026675737</v>
      </c>
      <c r="Q136" s="555">
        <f>SUM(Q124:Q135)</f>
        <v>236105.67</v>
      </c>
      <c r="R136" s="558"/>
      <c r="S136" s="555">
        <f t="shared" si="41"/>
        <v>-5109.04</v>
      </c>
      <c r="T136" s="48"/>
      <c r="U136" s="48"/>
      <c r="V136" s="48"/>
      <c r="W136" s="48"/>
      <c r="X136" s="48"/>
      <c r="Y136" s="48"/>
      <c r="Z136" s="48"/>
      <c r="AA136" s="48"/>
      <c r="AB136" s="48"/>
      <c r="AC136" s="48"/>
      <c r="AD136" s="48"/>
      <c r="AE136" s="48"/>
      <c r="AF136" s="48"/>
      <c r="AG136" s="48"/>
      <c r="AH136" s="48"/>
      <c r="AI136" s="48"/>
      <c r="AJ136" s="48"/>
      <c r="AK136" s="48"/>
      <c r="AL136" s="48"/>
      <c r="AM136" s="48"/>
      <c r="AN136" s="48"/>
    </row>
    <row r="137" ht="20.25" hidden="1" customHeight="1">
      <c r="A137" s="5" t="str">
        <f t="shared" si="34"/>
        <v>Véhicules usagésPublicité 2</v>
      </c>
      <c r="B137" s="48" t="s">
        <v>151</v>
      </c>
      <c r="C137" s="480" t="s">
        <v>128</v>
      </c>
      <c r="D137" s="546"/>
      <c r="E137" s="48"/>
      <c r="F137" s="481" t="str">
        <f t="array" ref="F137">+SUMPRODUCT(('Budget original'!$A$8:$A$501=$A137)*('Budget original'!$C$3:$AO$3=F$2),'Budget original'!$C$8:$AO$501)</f>
        <v>#N/A</v>
      </c>
      <c r="G137" s="547"/>
      <c r="H137" s="48"/>
      <c r="I137" s="481"/>
      <c r="J137" s="480"/>
      <c r="K137" s="48"/>
      <c r="L137" s="484">
        <f>SUMIFS(BV_Data_An_Cour!$AN:$AN,BV_Data_An_Cour!$AP:$AP,$B137,BV_Data_An_Cour!$AQ:$AQ,$C137,BV_Data_An_Cour!$AR:$AR,$L$2)</f>
        <v>0</v>
      </c>
      <c r="M137" s="480"/>
      <c r="N137" s="484" t="str">
        <f t="shared" si="40"/>
        <v>#N/A</v>
      </c>
      <c r="O137" s="480"/>
      <c r="P137" s="48"/>
      <c r="Q137" s="484">
        <f>SUMIFS(BV_Data_An_Prec!$AN:$AN,BV_Data_An_Prec!$AP:$AP,$B137,BV_Data_An_Prec!$AQ:$AQ,$C137,BV_Data_An_Prec!$AR:$AR,$L$2)</f>
        <v>0</v>
      </c>
      <c r="R137" s="480"/>
      <c r="S137" s="484">
        <f t="shared" si="41"/>
        <v>0</v>
      </c>
      <c r="T137" s="48"/>
      <c r="U137" s="48"/>
      <c r="V137" s="48"/>
      <c r="W137" s="48"/>
      <c r="X137" s="48"/>
      <c r="Y137" s="48"/>
      <c r="Z137" s="48"/>
      <c r="AA137" s="48"/>
      <c r="AB137" s="48"/>
      <c r="AC137" s="48"/>
      <c r="AD137" s="48"/>
      <c r="AE137" s="48"/>
      <c r="AF137" s="48"/>
      <c r="AG137" s="48"/>
      <c r="AH137" s="48"/>
      <c r="AI137" s="48"/>
      <c r="AJ137" s="48"/>
      <c r="AK137" s="48"/>
      <c r="AL137" s="48"/>
      <c r="AM137" s="48"/>
      <c r="AN137" s="48"/>
    </row>
    <row r="138" ht="20.25" hidden="1" customHeight="1">
      <c r="A138" s="5" t="str">
        <f t="shared" si="34"/>
        <v>Véhicules usagésService gratuit 2</v>
      </c>
      <c r="B138" s="48" t="s">
        <v>151</v>
      </c>
      <c r="C138" s="480" t="s">
        <v>129</v>
      </c>
      <c r="D138" s="546"/>
      <c r="E138" s="48"/>
      <c r="F138" s="481" t="str">
        <f t="array" ref="F138">+SUMPRODUCT(('Budget original'!$A$8:$A$501=$A138)*('Budget original'!$C$3:$AO$3=F$2),'Budget original'!$C$8:$AO$501)</f>
        <v>#N/A</v>
      </c>
      <c r="G138" s="547"/>
      <c r="H138" s="48"/>
      <c r="I138" s="481"/>
      <c r="J138" s="480"/>
      <c r="K138" s="48"/>
      <c r="L138" s="484">
        <f>SUMIFS(BV_Data_An_Cour!$AN:$AN,BV_Data_An_Cour!$AP:$AP,$B138,BV_Data_An_Cour!$AQ:$AQ,$C138,BV_Data_An_Cour!$AR:$AR,$L$2)</f>
        <v>0</v>
      </c>
      <c r="M138" s="480"/>
      <c r="N138" s="484" t="str">
        <f t="shared" si="40"/>
        <v>#N/A</v>
      </c>
      <c r="O138" s="480"/>
      <c r="P138" s="48"/>
      <c r="Q138" s="484">
        <f>SUMIFS(BV_Data_An_Prec!$AN:$AN,BV_Data_An_Prec!$AP:$AP,$B138,BV_Data_An_Prec!$AQ:$AQ,$C138,BV_Data_An_Prec!$AR:$AR,$L$2)</f>
        <v>0</v>
      </c>
      <c r="R138" s="480"/>
      <c r="S138" s="484">
        <f t="shared" si="41"/>
        <v>0</v>
      </c>
      <c r="T138" s="48"/>
      <c r="U138" s="48"/>
      <c r="V138" s="48"/>
      <c r="W138" s="48"/>
      <c r="X138" s="48"/>
      <c r="Y138" s="48"/>
      <c r="Z138" s="48"/>
      <c r="AA138" s="48"/>
      <c r="AB138" s="48"/>
      <c r="AC138" s="48"/>
      <c r="AD138" s="48"/>
      <c r="AE138" s="48"/>
      <c r="AF138" s="48"/>
      <c r="AG138" s="48"/>
      <c r="AH138" s="48"/>
      <c r="AI138" s="48"/>
      <c r="AJ138" s="48"/>
      <c r="AK138" s="48"/>
      <c r="AL138" s="48"/>
      <c r="AM138" s="48"/>
      <c r="AN138" s="48"/>
    </row>
    <row r="139" ht="15.75" customHeight="1">
      <c r="A139" s="5" t="str">
        <f t="shared" si="34"/>
        <v>Véhicules usagésFrais véhicules de cie</v>
      </c>
      <c r="B139" s="48" t="s">
        <v>151</v>
      </c>
      <c r="C139" s="471" t="s">
        <v>130</v>
      </c>
      <c r="D139" s="549"/>
      <c r="E139" s="564"/>
      <c r="F139" s="473" t="str">
        <f t="array" ref="F139">+SUMPRODUCT(('Budget original'!$A$8:$A$501=$A139)*('Budget original'!$C$3:$AO$3=F$2),'Budget original'!$C$8:$AO$501)</f>
        <v>#N/A</v>
      </c>
      <c r="G139" s="550"/>
      <c r="H139" s="564"/>
      <c r="I139" s="473"/>
      <c r="J139" s="471"/>
      <c r="K139" s="564"/>
      <c r="L139" s="476">
        <f>SUMIFS(BV_Data_An_Cour!$AN:$AN,BV_Data_An_Cour!$AP:$AP,$B139,BV_Data_An_Cour!$AQ:$AQ,$C139,BV_Data_An_Cour!$AR:$AR,$L$2)</f>
        <v>35964.92</v>
      </c>
      <c r="M139" s="471"/>
      <c r="N139" s="476" t="str">
        <f t="shared" si="40"/>
        <v>#N/A</v>
      </c>
      <c r="O139" s="471"/>
      <c r="P139" s="564"/>
      <c r="Q139" s="476">
        <f>SUMIFS(BV_Data_An_Prec!$AN:$AN,BV_Data_An_Prec!$AP:$AP,$B139,BV_Data_An_Prec!$AQ:$AQ,$C139,BV_Data_An_Prec!$AR:$AR,$L$2)</f>
        <v>19273.33</v>
      </c>
      <c r="R139" s="471"/>
      <c r="S139" s="476">
        <f t="shared" si="41"/>
        <v>16691.59</v>
      </c>
      <c r="T139" s="48"/>
      <c r="U139" s="48"/>
      <c r="V139" s="48"/>
      <c r="W139" s="48"/>
      <c r="X139" s="48"/>
      <c r="Y139" s="48"/>
      <c r="Z139" s="48"/>
      <c r="AA139" s="48"/>
      <c r="AB139" s="48"/>
      <c r="AC139" s="48"/>
      <c r="AD139" s="48"/>
      <c r="AE139" s="48"/>
      <c r="AF139" s="48"/>
      <c r="AG139" s="48"/>
      <c r="AH139" s="48"/>
      <c r="AI139" s="48"/>
      <c r="AJ139" s="48"/>
      <c r="AK139" s="48"/>
      <c r="AL139" s="48"/>
      <c r="AM139" s="48"/>
      <c r="AN139" s="48"/>
    </row>
    <row r="140" ht="15.75" customHeight="1">
      <c r="A140" s="5" t="str">
        <f t="shared" si="34"/>
        <v>Véhicules usagésInformatique</v>
      </c>
      <c r="B140" s="48" t="s">
        <v>151</v>
      </c>
      <c r="C140" s="480" t="s">
        <v>131</v>
      </c>
      <c r="D140" s="546"/>
      <c r="E140" s="48"/>
      <c r="F140" s="481" t="str">
        <f t="array" ref="F140">+SUMPRODUCT(('Budget original'!$A$8:$A$501=$A140)*('Budget original'!$C$3:$AO$3=F$2),'Budget original'!$C$8:$AO$501)</f>
        <v>#N/A</v>
      </c>
      <c r="G140" s="547"/>
      <c r="H140" s="48"/>
      <c r="I140" s="481"/>
      <c r="J140" s="480"/>
      <c r="K140" s="48"/>
      <c r="L140" s="484">
        <f>SUMIFS(BV_Data_An_Cour!$AN:$AN,BV_Data_An_Cour!$AP:$AP,$B140,BV_Data_An_Cour!$AQ:$AQ,$C140,BV_Data_An_Cour!$AR:$AR,$L$2)</f>
        <v>14112.71</v>
      </c>
      <c r="M140" s="480"/>
      <c r="N140" s="484" t="str">
        <f t="shared" si="40"/>
        <v>#N/A</v>
      </c>
      <c r="O140" s="480"/>
      <c r="P140" s="48"/>
      <c r="Q140" s="484">
        <f>SUMIFS(BV_Data_An_Prec!$AN:$AN,BV_Data_An_Prec!$AP:$AP,$B140,BV_Data_An_Prec!$AQ:$AQ,$C140,BV_Data_An_Prec!$AR:$AR,$L$2)</f>
        <v>16578.46</v>
      </c>
      <c r="R140" s="480"/>
      <c r="S140" s="484">
        <f t="shared" si="41"/>
        <v>-2465.75</v>
      </c>
      <c r="T140" s="48"/>
      <c r="U140" s="48"/>
      <c r="V140" s="48"/>
      <c r="W140" s="48"/>
      <c r="X140" s="48"/>
      <c r="Y140" s="48"/>
      <c r="Z140" s="48"/>
      <c r="AA140" s="48"/>
      <c r="AB140" s="48"/>
      <c r="AC140" s="48"/>
      <c r="AD140" s="48"/>
      <c r="AE140" s="48"/>
      <c r="AF140" s="48"/>
      <c r="AG140" s="48"/>
      <c r="AH140" s="48"/>
      <c r="AI140" s="48"/>
      <c r="AJ140" s="48"/>
      <c r="AK140" s="48"/>
      <c r="AL140" s="48"/>
      <c r="AM140" s="48"/>
      <c r="AN140" s="48"/>
    </row>
    <row r="141" ht="15.75" customHeight="1">
      <c r="A141" s="5" t="str">
        <f t="shared" si="34"/>
        <v>Véhicules usagésFrais de déplacement</v>
      </c>
      <c r="B141" s="48" t="s">
        <v>151</v>
      </c>
      <c r="C141" s="480" t="s">
        <v>132</v>
      </c>
      <c r="D141" s="546"/>
      <c r="E141" s="48"/>
      <c r="F141" s="481" t="str">
        <f t="array" ref="F141">+SUMPRODUCT(('Budget original'!$A$8:$A$501=$A141)*('Budget original'!$C$3:$AO$3=F$2),'Budget original'!$C$8:$AO$501)</f>
        <v>#N/A</v>
      </c>
      <c r="G141" s="547"/>
      <c r="H141" s="48"/>
      <c r="I141" s="481"/>
      <c r="J141" s="480"/>
      <c r="K141" s="48"/>
      <c r="L141" s="484">
        <f>SUMIFS(BV_Data_An_Cour!$AN:$AN,BV_Data_An_Cour!$AP:$AP,$B141,BV_Data_An_Cour!$AQ:$AQ,$C141,BV_Data_An_Cour!$AR:$AR,$L$2)</f>
        <v>14063.22</v>
      </c>
      <c r="M141" s="480"/>
      <c r="N141" s="484" t="str">
        <f t="shared" si="40"/>
        <v>#N/A</v>
      </c>
      <c r="O141" s="480"/>
      <c r="P141" s="48"/>
      <c r="Q141" s="484">
        <f>SUMIFS(BV_Data_An_Prec!$AN:$AN,BV_Data_An_Prec!$AP:$AP,$B141,BV_Data_An_Prec!$AQ:$AQ,$C141,BV_Data_An_Prec!$AR:$AR,$L$2)</f>
        <v>21347.03</v>
      </c>
      <c r="R141" s="480"/>
      <c r="S141" s="484">
        <f t="shared" si="41"/>
        <v>-7283.81</v>
      </c>
      <c r="T141" s="602"/>
      <c r="U141" s="48"/>
      <c r="V141" s="48"/>
      <c r="W141" s="48"/>
      <c r="X141" s="48"/>
      <c r="Y141" s="48"/>
      <c r="Z141" s="48"/>
      <c r="AA141" s="48"/>
      <c r="AB141" s="48"/>
      <c r="AC141" s="48"/>
      <c r="AD141" s="48"/>
      <c r="AE141" s="48"/>
      <c r="AF141" s="48"/>
      <c r="AG141" s="48"/>
      <c r="AH141" s="48"/>
      <c r="AI141" s="48"/>
      <c r="AJ141" s="48"/>
      <c r="AK141" s="48"/>
      <c r="AL141" s="48"/>
      <c r="AM141" s="48"/>
      <c r="AN141" s="48"/>
    </row>
    <row r="142" ht="15.75" customHeight="1">
      <c r="A142" s="5" t="str">
        <f t="shared" si="34"/>
        <v>Véhicules usagésServices extérieurs</v>
      </c>
      <c r="B142" s="48" t="s">
        <v>151</v>
      </c>
      <c r="C142" s="471" t="s">
        <v>133</v>
      </c>
      <c r="D142" s="549"/>
      <c r="E142" s="564"/>
      <c r="F142" s="473" t="str">
        <f t="array" ref="F142">+SUMPRODUCT(('Budget original'!$A$8:$A$501=$A142)*('Budget original'!$C$3:$AO$3=F$2),'Budget original'!$C$8:$AO$501)</f>
        <v>#N/A</v>
      </c>
      <c r="G142" s="550"/>
      <c r="H142" s="564"/>
      <c r="I142" s="473"/>
      <c r="J142" s="471"/>
      <c r="K142" s="564"/>
      <c r="L142" s="476">
        <f>SUMIFS(BV_Data_An_Cour!$AN:$AN,BV_Data_An_Cour!$AP:$AP,$B142,BV_Data_An_Cour!$AQ:$AQ,$C142,BV_Data_An_Cour!$AR:$AR,$L$2)</f>
        <v>32723.43</v>
      </c>
      <c r="M142" s="471"/>
      <c r="N142" s="476" t="str">
        <f t="shared" si="40"/>
        <v>#N/A</v>
      </c>
      <c r="O142" s="471"/>
      <c r="P142" s="564"/>
      <c r="Q142" s="476">
        <f>SUMIFS(BV_Data_An_Prec!$AN:$AN,BV_Data_An_Prec!$AP:$AP,$B142,BV_Data_An_Prec!$AQ:$AQ,$C142,BV_Data_An_Prec!$AR:$AR,$L$2)</f>
        <v>37780.53</v>
      </c>
      <c r="R142" s="471"/>
      <c r="S142" s="476">
        <f t="shared" si="41"/>
        <v>-5057.1</v>
      </c>
      <c r="T142" s="48"/>
      <c r="U142" s="669"/>
      <c r="V142" s="48"/>
      <c r="W142" s="48"/>
      <c r="X142" s="48"/>
      <c r="Y142" s="48"/>
      <c r="Z142" s="48"/>
      <c r="AA142" s="48"/>
      <c r="AB142" s="48"/>
      <c r="AC142" s="48"/>
      <c r="AD142" s="48"/>
      <c r="AE142" s="48"/>
      <c r="AF142" s="48"/>
      <c r="AG142" s="48"/>
      <c r="AH142" s="48"/>
      <c r="AI142" s="48"/>
      <c r="AJ142" s="48"/>
      <c r="AK142" s="48"/>
      <c r="AL142" s="48"/>
      <c r="AM142" s="48"/>
      <c r="AN142" s="48"/>
    </row>
    <row r="143" ht="15.75" customHeight="1">
      <c r="A143" s="5" t="str">
        <f t="shared" si="34"/>
        <v>Véhicules usagésFournitures autres</v>
      </c>
      <c r="B143" s="48" t="s">
        <v>151</v>
      </c>
      <c r="C143" s="480" t="s">
        <v>134</v>
      </c>
      <c r="D143" s="546"/>
      <c r="E143" s="48"/>
      <c r="F143" s="481" t="str">
        <f t="array" ref="F143">+SUMPRODUCT(('Budget original'!$A$8:$A$501=$A143)*('Budget original'!$C$3:$AO$3=F$2),'Budget original'!$C$8:$AO$501)</f>
        <v>#N/A</v>
      </c>
      <c r="G143" s="547"/>
      <c r="H143" s="48"/>
      <c r="I143" s="481"/>
      <c r="J143" s="480"/>
      <c r="K143" s="48"/>
      <c r="L143" s="484">
        <f>SUMIFS(BV_Data_An_Cour!$AN:$AN,BV_Data_An_Cour!$AP:$AP,$B143,BV_Data_An_Cour!$AQ:$AQ,$C143,BV_Data_An_Cour!$AR:$AR,$L$2)</f>
        <v>1387.93</v>
      </c>
      <c r="M143" s="480"/>
      <c r="N143" s="484" t="str">
        <f t="shared" si="40"/>
        <v>#N/A</v>
      </c>
      <c r="O143" s="480"/>
      <c r="P143" s="48"/>
      <c r="Q143" s="484">
        <f>SUMIFS(BV_Data_An_Prec!$AN:$AN,BV_Data_An_Prec!$AP:$AP,$B143,BV_Data_An_Prec!$AQ:$AQ,$C143,BV_Data_An_Prec!$AR:$AR,$L$2)</f>
        <v>1172.51</v>
      </c>
      <c r="R143" s="480"/>
      <c r="S143" s="484">
        <f t="shared" si="41"/>
        <v>215.42</v>
      </c>
      <c r="T143" s="48"/>
      <c r="U143" s="48"/>
      <c r="V143" s="48"/>
      <c r="W143" s="48"/>
      <c r="X143" s="48"/>
      <c r="Y143" s="48"/>
      <c r="Z143" s="48"/>
      <c r="AA143" s="48"/>
      <c r="AB143" s="48"/>
      <c r="AC143" s="48"/>
      <c r="AD143" s="48"/>
      <c r="AE143" s="48"/>
      <c r="AF143" s="48"/>
      <c r="AG143" s="48"/>
      <c r="AH143" s="48"/>
      <c r="AI143" s="48"/>
      <c r="AJ143" s="48"/>
      <c r="AK143" s="48"/>
      <c r="AL143" s="48"/>
      <c r="AM143" s="48"/>
      <c r="AN143" s="48"/>
    </row>
    <row r="144" ht="15.75" customHeight="1">
      <c r="A144" s="5" t="str">
        <f t="shared" si="34"/>
        <v>Véhicules usagésUniformes</v>
      </c>
      <c r="B144" s="48" t="s">
        <v>151</v>
      </c>
      <c r="C144" s="480" t="s">
        <v>135</v>
      </c>
      <c r="D144" s="546"/>
      <c r="E144" s="48"/>
      <c r="F144" s="481" t="str">
        <f t="array" ref="F144">+SUMPRODUCT(('Budget original'!$A$8:$A$501=$A144)*('Budget original'!$C$3:$AO$3=F$2),'Budget original'!$C$8:$AO$501)</f>
        <v>#N/A</v>
      </c>
      <c r="G144" s="547"/>
      <c r="H144" s="48"/>
      <c r="I144" s="481"/>
      <c r="J144" s="480"/>
      <c r="K144" s="48"/>
      <c r="L144" s="484">
        <f>SUMIFS(BV_Data_An_Cour!$AN:$AN,BV_Data_An_Cour!$AP:$AP,$B144,BV_Data_An_Cour!$AQ:$AQ,$C144,BV_Data_An_Cour!$AR:$AR,$L$2)</f>
        <v>0</v>
      </c>
      <c r="M144" s="480"/>
      <c r="N144" s="484" t="str">
        <f t="shared" si="40"/>
        <v>#N/A</v>
      </c>
      <c r="O144" s="480"/>
      <c r="P144" s="48"/>
      <c r="Q144" s="484">
        <f>SUMIFS(BV_Data_An_Prec!$AN:$AN,BV_Data_An_Prec!$AP:$AP,$B144,BV_Data_An_Prec!$AQ:$AQ,$C144,BV_Data_An_Prec!$AR:$AR,$L$2)</f>
        <v>0</v>
      </c>
      <c r="R144" s="480"/>
      <c r="S144" s="484">
        <f t="shared" si="41"/>
        <v>0</v>
      </c>
      <c r="T144" s="48"/>
      <c r="U144" s="669"/>
      <c r="V144" s="48"/>
      <c r="W144" s="48"/>
      <c r="X144" s="48"/>
      <c r="Y144" s="48"/>
      <c r="Z144" s="48"/>
      <c r="AA144" s="48"/>
      <c r="AB144" s="48"/>
      <c r="AC144" s="48"/>
      <c r="AD144" s="48"/>
      <c r="AE144" s="48"/>
      <c r="AF144" s="48"/>
      <c r="AG144" s="48"/>
      <c r="AH144" s="48"/>
      <c r="AI144" s="48"/>
      <c r="AJ144" s="48"/>
      <c r="AK144" s="48"/>
      <c r="AL144" s="48"/>
      <c r="AM144" s="48"/>
      <c r="AN144" s="48"/>
    </row>
    <row r="145" ht="15.75" customHeight="1">
      <c r="A145" s="5" t="str">
        <f t="shared" si="34"/>
        <v>Véhicules usagésPapeterie</v>
      </c>
      <c r="B145" s="48" t="s">
        <v>151</v>
      </c>
      <c r="C145" s="480" t="s">
        <v>136</v>
      </c>
      <c r="D145" s="546"/>
      <c r="E145" s="48"/>
      <c r="F145" s="481" t="str">
        <f t="array" ref="F145">+SUMPRODUCT(('Budget original'!$A$8:$A$501=$A145)*('Budget original'!$C$3:$AO$3=F$2),'Budget original'!$C$8:$AO$501)</f>
        <v>#N/A</v>
      </c>
      <c r="G145" s="547"/>
      <c r="H145" s="48"/>
      <c r="I145" s="481"/>
      <c r="J145" s="480"/>
      <c r="K145" s="48"/>
      <c r="L145" s="484">
        <f>SUMIFS(BV_Data_An_Cour!$AN:$AN,BV_Data_An_Cour!$AP:$AP,$B145,BV_Data_An_Cour!$AQ:$AQ,$C145,BV_Data_An_Cour!$AR:$AR,$L$2)</f>
        <v>6053.32</v>
      </c>
      <c r="M145" s="480"/>
      <c r="N145" s="484" t="str">
        <f t="shared" si="40"/>
        <v>#N/A</v>
      </c>
      <c r="O145" s="480"/>
      <c r="P145" s="48"/>
      <c r="Q145" s="484">
        <f>SUMIFS(BV_Data_An_Prec!$AN:$AN,BV_Data_An_Prec!$AP:$AP,$B145,BV_Data_An_Prec!$AQ:$AQ,$C145,BV_Data_An_Prec!$AR:$AR,$L$2)</f>
        <v>5772.1</v>
      </c>
      <c r="R145" s="480"/>
      <c r="S145" s="484">
        <f t="shared" si="41"/>
        <v>281.22</v>
      </c>
      <c r="T145" s="48"/>
      <c r="U145" s="48"/>
      <c r="V145" s="48"/>
      <c r="W145" s="48"/>
      <c r="X145" s="48"/>
      <c r="Y145" s="48"/>
      <c r="Z145" s="48"/>
      <c r="AA145" s="48"/>
      <c r="AB145" s="48"/>
      <c r="AC145" s="48"/>
      <c r="AD145" s="48"/>
      <c r="AE145" s="48"/>
      <c r="AF145" s="48"/>
      <c r="AG145" s="48"/>
      <c r="AH145" s="48"/>
      <c r="AI145" s="48"/>
      <c r="AJ145" s="48"/>
      <c r="AK145" s="48"/>
      <c r="AL145" s="48"/>
      <c r="AM145" s="48"/>
      <c r="AN145" s="48"/>
    </row>
    <row r="146" ht="15.75" customHeight="1">
      <c r="A146" s="5" t="str">
        <f t="shared" si="34"/>
        <v>Véhicules usagésTéléphone</v>
      </c>
      <c r="B146" s="48" t="s">
        <v>151</v>
      </c>
      <c r="C146" s="480" t="s">
        <v>137</v>
      </c>
      <c r="D146" s="546"/>
      <c r="E146" s="48"/>
      <c r="F146" s="481" t="str">
        <f t="array" ref="F146">+SUMPRODUCT(('Budget original'!$A$8:$A$501=$A146)*('Budget original'!$C$3:$AO$3=F$2),'Budget original'!$C$8:$AO$501)</f>
        <v>#N/A</v>
      </c>
      <c r="G146" s="547"/>
      <c r="H146" s="48"/>
      <c r="I146" s="481"/>
      <c r="J146" s="480"/>
      <c r="K146" s="48"/>
      <c r="L146" s="484">
        <f>SUMIFS(BV_Data_An_Cour!$AN:$AN,BV_Data_An_Cour!$AP:$AP,$B146,BV_Data_An_Cour!$AQ:$AQ,$C146,BV_Data_An_Cour!$AR:$AR,$L$2)</f>
        <v>3066.87</v>
      </c>
      <c r="M146" s="480"/>
      <c r="N146" s="484" t="str">
        <f t="shared" si="40"/>
        <v>#N/A</v>
      </c>
      <c r="O146" s="480"/>
      <c r="P146" s="48"/>
      <c r="Q146" s="484">
        <f>SUMIFS(BV_Data_An_Prec!$AN:$AN,BV_Data_An_Prec!$AP:$AP,$B146,BV_Data_An_Prec!$AQ:$AQ,$C146,BV_Data_An_Prec!$AR:$AR,$L$2)</f>
        <v>5555.76</v>
      </c>
      <c r="R146" s="480"/>
      <c r="S146" s="484">
        <f t="shared" si="41"/>
        <v>-2488.89</v>
      </c>
      <c r="T146" s="48"/>
      <c r="U146" s="48"/>
      <c r="V146" s="48"/>
      <c r="W146" s="48"/>
      <c r="X146" s="48"/>
      <c r="Y146" s="48"/>
      <c r="Z146" s="48"/>
      <c r="AA146" s="48"/>
      <c r="AB146" s="48"/>
      <c r="AC146" s="48"/>
      <c r="AD146" s="48"/>
      <c r="AE146" s="48"/>
      <c r="AF146" s="48"/>
      <c r="AG146" s="48"/>
      <c r="AH146" s="48"/>
      <c r="AI146" s="48"/>
      <c r="AJ146" s="48"/>
      <c r="AK146" s="48"/>
      <c r="AL146" s="48"/>
      <c r="AM146" s="48"/>
      <c r="AN146" s="48"/>
    </row>
    <row r="147" ht="15.75" customHeight="1">
      <c r="A147" s="5" t="str">
        <f t="shared" si="34"/>
        <v>Véhicules usagésFrais postaux</v>
      </c>
      <c r="B147" s="48" t="s">
        <v>151</v>
      </c>
      <c r="C147" s="480" t="s">
        <v>138</v>
      </c>
      <c r="D147" s="546"/>
      <c r="E147" s="48"/>
      <c r="F147" s="481" t="str">
        <f t="array" ref="F147">+SUMPRODUCT(('Budget original'!$A$8:$A$501=$A147)*('Budget original'!$C$3:$AO$3=F$2),'Budget original'!$C$8:$AO$501)</f>
        <v>#N/A</v>
      </c>
      <c r="G147" s="547"/>
      <c r="H147" s="48"/>
      <c r="I147" s="481"/>
      <c r="J147" s="480"/>
      <c r="K147" s="48"/>
      <c r="L147" s="484">
        <f>SUMIFS(BV_Data_An_Cour!$AN:$AN,BV_Data_An_Cour!$AP:$AP,$B147,BV_Data_An_Cour!$AQ:$AQ,$C147,BV_Data_An_Cour!$AR:$AR,$L$2)</f>
        <v>10296.13</v>
      </c>
      <c r="M147" s="480"/>
      <c r="N147" s="484" t="str">
        <f t="shared" si="40"/>
        <v>#N/A</v>
      </c>
      <c r="O147" s="480"/>
      <c r="P147" s="48"/>
      <c r="Q147" s="484">
        <f>SUMIFS(BV_Data_An_Prec!$AN:$AN,BV_Data_An_Prec!$AP:$AP,$B147,BV_Data_An_Prec!$AQ:$AQ,$C147,BV_Data_An_Prec!$AR:$AR,$L$2)</f>
        <v>9620.06</v>
      </c>
      <c r="R147" s="480"/>
      <c r="S147" s="484">
        <f t="shared" si="41"/>
        <v>676.07</v>
      </c>
      <c r="T147" s="48"/>
      <c r="U147" s="48"/>
      <c r="V147" s="48"/>
      <c r="W147" s="48"/>
      <c r="X147" s="48"/>
      <c r="Y147" s="48"/>
      <c r="Z147" s="48"/>
      <c r="AA147" s="48"/>
      <c r="AB147" s="48"/>
      <c r="AC147" s="48"/>
      <c r="AD147" s="48"/>
      <c r="AE147" s="48"/>
      <c r="AF147" s="48"/>
      <c r="AG147" s="48"/>
      <c r="AH147" s="48"/>
      <c r="AI147" s="48"/>
      <c r="AJ147" s="48"/>
      <c r="AK147" s="48"/>
      <c r="AL147" s="48"/>
      <c r="AM147" s="48"/>
      <c r="AN147" s="48"/>
    </row>
    <row r="148" ht="15.75" customHeight="1">
      <c r="A148" s="5" t="str">
        <f t="shared" si="34"/>
        <v>Véhicules usagésDivers</v>
      </c>
      <c r="B148" s="48" t="s">
        <v>151</v>
      </c>
      <c r="C148" s="480" t="s">
        <v>139</v>
      </c>
      <c r="D148" s="546"/>
      <c r="E148" s="48"/>
      <c r="F148" s="481" t="str">
        <f t="array" ref="F148">+SUMPRODUCT(('Budget original'!$A$8:$A$501=$A148)*('Budget original'!$C$3:$AO$3=F$2),'Budget original'!$C$8:$AO$501)</f>
        <v>#N/A</v>
      </c>
      <c r="G148" s="547"/>
      <c r="H148" s="48"/>
      <c r="I148" s="481"/>
      <c r="J148" s="480"/>
      <c r="K148" s="48"/>
      <c r="L148" s="484">
        <f>SUMIFS(BV_Data_An_Cour!$AN:$AN,BV_Data_An_Cour!$AP:$AP,$B148,BV_Data_An_Cour!$AQ:$AQ,$C148,BV_Data_An_Cour!$AR:$AR,$L$2)</f>
        <v>20050.33</v>
      </c>
      <c r="M148" s="480"/>
      <c r="N148" s="484" t="str">
        <f t="shared" si="40"/>
        <v>#N/A</v>
      </c>
      <c r="O148" s="480"/>
      <c r="P148" s="48"/>
      <c r="Q148" s="484">
        <f>SUMIFS(BV_Data_An_Prec!$AN:$AN,BV_Data_An_Prec!$AP:$AP,$B148,BV_Data_An_Prec!$AQ:$AQ,$C148,BV_Data_An_Prec!$AR:$AR,$L$2)</f>
        <v>25515.41</v>
      </c>
      <c r="R148" s="480"/>
      <c r="S148" s="484">
        <f t="shared" si="41"/>
        <v>-5465.08</v>
      </c>
      <c r="T148" s="48"/>
      <c r="U148" s="48"/>
      <c r="V148" s="48"/>
      <c r="W148" s="48"/>
      <c r="X148" s="48"/>
      <c r="Y148" s="48"/>
      <c r="Z148" s="48"/>
      <c r="AA148" s="48"/>
      <c r="AB148" s="48"/>
      <c r="AC148" s="48"/>
      <c r="AD148" s="48"/>
      <c r="AE148" s="48"/>
      <c r="AF148" s="48"/>
      <c r="AG148" s="48"/>
      <c r="AH148" s="48"/>
      <c r="AI148" s="48"/>
      <c r="AJ148" s="48"/>
      <c r="AK148" s="48"/>
      <c r="AL148" s="48"/>
      <c r="AM148" s="48"/>
      <c r="AN148" s="48"/>
    </row>
    <row r="149" ht="15.75" customHeight="1">
      <c r="A149" s="5" t="str">
        <f t="shared" si="34"/>
        <v>Véhicules usagésFormation</v>
      </c>
      <c r="B149" s="48" t="s">
        <v>151</v>
      </c>
      <c r="C149" s="480" t="s">
        <v>140</v>
      </c>
      <c r="D149" s="546"/>
      <c r="E149" s="48"/>
      <c r="F149" s="481" t="str">
        <f t="array" ref="F149">+SUMPRODUCT(('Budget original'!$A$8:$A$501=$A149)*('Budget original'!$C$3:$AO$3=F$2),'Budget original'!$C$8:$AO$501)</f>
        <v>#N/A</v>
      </c>
      <c r="G149" s="547"/>
      <c r="H149" s="48"/>
      <c r="I149" s="481"/>
      <c r="J149" s="480"/>
      <c r="K149" s="48"/>
      <c r="L149" s="484">
        <f>SUMIFS(BV_Data_An_Cour!$AN:$AN,BV_Data_An_Cour!$AP:$AP,$B149,BV_Data_An_Cour!$AQ:$AQ,$C149,BV_Data_An_Cour!$AR:$AR,$L$2)</f>
        <v>2210.69</v>
      </c>
      <c r="M149" s="480"/>
      <c r="N149" s="484" t="str">
        <f t="shared" si="40"/>
        <v>#N/A</v>
      </c>
      <c r="O149" s="480"/>
      <c r="P149" s="48"/>
      <c r="Q149" s="484">
        <f>SUMIFS(BV_Data_An_Prec!$AN:$AN,BV_Data_An_Prec!$AP:$AP,$B149,BV_Data_An_Prec!$AQ:$AQ,$C149,BV_Data_An_Prec!$AR:$AR,$L$2)</f>
        <v>464</v>
      </c>
      <c r="R149" s="480"/>
      <c r="S149" s="484">
        <f t="shared" si="41"/>
        <v>1746.69</v>
      </c>
      <c r="T149" s="48"/>
      <c r="X149" s="48"/>
      <c r="Y149" s="48"/>
      <c r="Z149" s="48"/>
      <c r="AA149" s="48"/>
      <c r="AB149" s="48"/>
      <c r="AC149" s="48"/>
      <c r="AD149" s="48"/>
      <c r="AE149" s="48"/>
      <c r="AF149" s="48"/>
      <c r="AG149" s="48"/>
      <c r="AH149" s="48"/>
      <c r="AI149" s="48"/>
      <c r="AJ149" s="48"/>
      <c r="AK149" s="48"/>
      <c r="AL149" s="48"/>
      <c r="AM149" s="48"/>
      <c r="AN149" s="48"/>
    </row>
    <row r="150" ht="15.75" customHeight="1">
      <c r="A150" s="5" t="str">
        <f t="shared" si="34"/>
        <v>Véhicules usagésFrais bancaires</v>
      </c>
      <c r="B150" s="48" t="s">
        <v>151</v>
      </c>
      <c r="C150" s="480" t="s">
        <v>141</v>
      </c>
      <c r="D150" s="546"/>
      <c r="E150" s="48"/>
      <c r="F150" s="481" t="str">
        <f t="array" ref="F150">+SUMPRODUCT(('Budget original'!$A$8:$A$501=$A150)*('Budget original'!$C$3:$AO$3=F$2),'Budget original'!$C$8:$AO$501)</f>
        <v>#N/A</v>
      </c>
      <c r="G150" s="547"/>
      <c r="H150" s="48"/>
      <c r="I150" s="481"/>
      <c r="J150" s="480"/>
      <c r="K150" s="48"/>
      <c r="L150" s="484">
        <f>SUMIFS(BV_Data_An_Cour!$AN:$AN,BV_Data_An_Cour!$AP:$AP,$B150,BV_Data_An_Cour!$AQ:$AQ,$C150,BV_Data_An_Cour!$AR:$AR,L$2)</f>
        <v>9674.19</v>
      </c>
      <c r="M150" s="480"/>
      <c r="N150" s="484" t="str">
        <f t="shared" si="40"/>
        <v>#N/A</v>
      </c>
      <c r="O150" s="480"/>
      <c r="P150" s="48"/>
      <c r="Q150" s="484">
        <f>SUMIFS(BV_Data_An_Prec!$AN:$AN,BV_Data_An_Prec!$AP:$AP,$B150,BV_Data_An_Prec!$AQ:$AQ,$C150,BV_Data_An_Prec!$AR:$AR,Q$2)</f>
        <v>2173.25</v>
      </c>
      <c r="R150" s="480"/>
      <c r="S150" s="484">
        <f t="shared" si="41"/>
        <v>7500.94</v>
      </c>
      <c r="T150" s="483"/>
      <c r="X150" s="48"/>
      <c r="Y150" s="48"/>
      <c r="Z150" s="48"/>
      <c r="AA150" s="48"/>
      <c r="AB150" s="48"/>
      <c r="AC150" s="48"/>
      <c r="AD150" s="48"/>
      <c r="AE150" s="48"/>
      <c r="AF150" s="48"/>
      <c r="AG150" s="48"/>
      <c r="AH150" s="48"/>
      <c r="AI150" s="48"/>
      <c r="AJ150" s="48"/>
      <c r="AK150" s="48"/>
      <c r="AL150" s="48"/>
      <c r="AM150" s="48"/>
      <c r="AN150" s="48"/>
    </row>
    <row r="151" ht="20.25" hidden="1" customHeight="1">
      <c r="A151" s="5" t="str">
        <f t="shared" si="34"/>
        <v>Véhicules usagés[...]</v>
      </c>
      <c r="B151" s="48" t="s">
        <v>151</v>
      </c>
      <c r="C151" s="480" t="s">
        <v>56</v>
      </c>
      <c r="D151" s="546"/>
      <c r="E151" s="48"/>
      <c r="F151" s="481" t="str">
        <f t="array" ref="F151">+SUMPRODUCT(('Budget original'!$A$8:$A$501=$A151)*('Budget original'!$C$3:$AO$3=F$2),'Budget original'!$C$8:$AO$501)</f>
        <v>#N/A</v>
      </c>
      <c r="G151" s="547"/>
      <c r="H151" s="48"/>
      <c r="I151" s="481"/>
      <c r="J151" s="480"/>
      <c r="K151" s="48"/>
      <c r="L151" s="484">
        <f>SUMIFS(BV_Data_An_Cour!$AN:$AN,BV_Data_An_Cour!$AP:$AP,$B151,BV_Data_An_Cour!$AQ:$AQ,$C151,BV_Data_An_Cour!$AR:$AR,$L$2)</f>
        <v>0</v>
      </c>
      <c r="M151" s="480"/>
      <c r="N151" s="484" t="str">
        <f t="shared" si="40"/>
        <v>#N/A</v>
      </c>
      <c r="O151" s="480"/>
      <c r="P151" s="48"/>
      <c r="Q151" s="484">
        <f>SUMIFS(BV_Data_An_Prec!$AN:$AN,BV_Data_An_Prec!$AP:$AP,$B151,BV_Data_An_Prec!$AQ:$AQ,$C151,BV_Data_An_Prec!$AR:$AR,$L$2)</f>
        <v>0</v>
      </c>
      <c r="R151" s="480"/>
      <c r="S151" s="484">
        <f t="shared" si="41"/>
        <v>0</v>
      </c>
      <c r="T151" s="48"/>
      <c r="X151" s="48"/>
      <c r="Y151" s="48"/>
      <c r="Z151" s="48"/>
      <c r="AA151" s="48"/>
      <c r="AB151" s="48"/>
      <c r="AC151" s="48"/>
      <c r="AD151" s="48"/>
      <c r="AE151" s="48"/>
      <c r="AF151" s="48"/>
      <c r="AG151" s="48"/>
      <c r="AH151" s="48"/>
      <c r="AI151" s="48"/>
      <c r="AJ151" s="48"/>
      <c r="AK151" s="48"/>
      <c r="AL151" s="48"/>
      <c r="AM151" s="48"/>
      <c r="AN151" s="48"/>
    </row>
    <row r="152" ht="20.25" hidden="1" customHeight="1">
      <c r="A152" s="5" t="str">
        <f t="shared" si="34"/>
        <v>Véhicules usagés[...]</v>
      </c>
      <c r="B152" s="48" t="s">
        <v>151</v>
      </c>
      <c r="C152" s="480" t="s">
        <v>56</v>
      </c>
      <c r="D152" s="546"/>
      <c r="E152" s="48"/>
      <c r="F152" s="481" t="str">
        <f t="array" ref="F152">+SUMPRODUCT(('Budget original'!$A$8:$A$501=$A152)*('Budget original'!$C$3:$AO$3=F$2),'Budget original'!$C$8:$AO$501)</f>
        <v>#N/A</v>
      </c>
      <c r="G152" s="547"/>
      <c r="H152" s="48"/>
      <c r="I152" s="481"/>
      <c r="J152" s="480"/>
      <c r="K152" s="48"/>
      <c r="L152" s="484">
        <f>SUMIFS(BV_Data_An_Cour!$AN:$AN,BV_Data_An_Cour!$AP:$AP,$B152,BV_Data_An_Cour!$AQ:$AQ,$C152,BV_Data_An_Cour!$AR:$AR,$L$2)</f>
        <v>0</v>
      </c>
      <c r="M152" s="480"/>
      <c r="N152" s="484" t="str">
        <f t="shared" si="40"/>
        <v>#N/A</v>
      </c>
      <c r="O152" s="480"/>
      <c r="P152" s="48"/>
      <c r="Q152" s="484">
        <f>SUMIFS(BV_Data_An_Prec!$AN:$AN,BV_Data_An_Prec!$AP:$AP,$B152,BV_Data_An_Prec!$AQ:$AQ,$C152,BV_Data_An_Prec!$AR:$AR,$L$2)</f>
        <v>0</v>
      </c>
      <c r="R152" s="480"/>
      <c r="S152" s="484">
        <f t="shared" si="41"/>
        <v>0</v>
      </c>
      <c r="T152" s="48"/>
      <c r="X152" s="48"/>
      <c r="Y152" s="48"/>
      <c r="Z152" s="48"/>
      <c r="AA152" s="48"/>
      <c r="AB152" s="48"/>
      <c r="AC152" s="48"/>
      <c r="AD152" s="48"/>
      <c r="AE152" s="48"/>
      <c r="AF152" s="48"/>
      <c r="AG152" s="48"/>
      <c r="AH152" s="48"/>
      <c r="AI152" s="48"/>
      <c r="AJ152" s="48"/>
      <c r="AK152" s="48"/>
      <c r="AL152" s="48"/>
      <c r="AM152" s="48"/>
      <c r="AN152" s="48"/>
    </row>
    <row r="153" ht="20.25" hidden="1" customHeight="1">
      <c r="A153" s="5" t="str">
        <f t="shared" si="34"/>
        <v>Véhicules usagés[...]</v>
      </c>
      <c r="B153" s="48" t="s">
        <v>151</v>
      </c>
      <c r="C153" s="480" t="s">
        <v>56</v>
      </c>
      <c r="D153" s="546"/>
      <c r="E153" s="48"/>
      <c r="F153" s="481" t="str">
        <f t="array" ref="F153">+SUMPRODUCT(('Budget original'!$A$8:$A$501=$A153)*('Budget original'!$C$3:$AO$3=F$2),'Budget original'!$C$8:$AO$501)</f>
        <v>#N/A</v>
      </c>
      <c r="G153" s="547"/>
      <c r="H153" s="48"/>
      <c r="I153" s="481"/>
      <c r="J153" s="480"/>
      <c r="K153" s="48"/>
      <c r="L153" s="484">
        <f>SUMIFS(BV_Data_An_Cour!$AN:$AN,BV_Data_An_Cour!$AP:$AP,$B153,BV_Data_An_Cour!$AQ:$AQ,$C153,BV_Data_An_Cour!$AR:$AR,$L$2)</f>
        <v>0</v>
      </c>
      <c r="M153" s="480"/>
      <c r="N153" s="484" t="str">
        <f t="shared" si="40"/>
        <v>#N/A</v>
      </c>
      <c r="O153" s="480"/>
      <c r="P153" s="48"/>
      <c r="Q153" s="484">
        <f>SUMIFS(BV_Data_An_Prec!$AN:$AN,BV_Data_An_Prec!$AP:$AP,$B153,BV_Data_An_Prec!$AQ:$AQ,$C153,BV_Data_An_Prec!$AR:$AR,$L$2)</f>
        <v>0</v>
      </c>
      <c r="R153" s="480"/>
      <c r="S153" s="484">
        <f t="shared" si="41"/>
        <v>0</v>
      </c>
      <c r="T153" s="483"/>
      <c r="X153" s="48"/>
      <c r="Y153" s="48"/>
      <c r="Z153" s="48"/>
      <c r="AA153" s="48"/>
      <c r="AB153" s="48"/>
      <c r="AC153" s="48"/>
      <c r="AD153" s="48"/>
      <c r="AE153" s="48"/>
      <c r="AF153" s="48"/>
      <c r="AG153" s="48"/>
      <c r="AH153" s="48"/>
      <c r="AI153" s="48"/>
      <c r="AJ153" s="48"/>
      <c r="AK153" s="48"/>
      <c r="AL153" s="48"/>
      <c r="AM153" s="48"/>
      <c r="AN153" s="48"/>
    </row>
    <row r="154" ht="18.0" customHeight="1">
      <c r="A154" s="5" t="str">
        <f t="shared" si="34"/>
        <v>Véhicules usagésTOTAL SEMI-FIXES</v>
      </c>
      <c r="B154" s="48" t="s">
        <v>151</v>
      </c>
      <c r="C154" s="552" t="s">
        <v>142</v>
      </c>
      <c r="D154" s="553" t="s">
        <v>225</v>
      </c>
      <c r="E154" s="554" t="str">
        <f>F154/F$109</f>
        <v>#N/A</v>
      </c>
      <c r="F154" s="555" t="str">
        <f>+SUM(F137:F153)</f>
        <v>#N/A</v>
      </c>
      <c r="G154" s="556"/>
      <c r="H154" s="554"/>
      <c r="I154" s="555"/>
      <c r="J154" s="556" t="s">
        <v>225</v>
      </c>
      <c r="K154" s="554">
        <f>L154/L$109</f>
        <v>0.2866711994</v>
      </c>
      <c r="L154" s="555">
        <f>+SUM(L137:L153)</f>
        <v>149603.74</v>
      </c>
      <c r="M154" s="557"/>
      <c r="N154" s="555" t="str">
        <f t="shared" si="40"/>
        <v>#N/A</v>
      </c>
      <c r="O154" s="556" t="s">
        <v>225</v>
      </c>
      <c r="P154" s="554">
        <f>Q154/Q$109</f>
        <v>0.2477214867</v>
      </c>
      <c r="Q154" s="555">
        <f>+SUM(Q137:Q153)</f>
        <v>145252.44</v>
      </c>
      <c r="R154" s="558"/>
      <c r="S154" s="555">
        <f t="shared" si="41"/>
        <v>4351.3</v>
      </c>
      <c r="T154" s="48"/>
      <c r="U154" s="48"/>
      <c r="V154" s="48"/>
      <c r="W154" s="48"/>
      <c r="X154" s="48"/>
      <c r="Y154" s="48"/>
      <c r="Z154" s="48"/>
      <c r="AA154" s="48"/>
      <c r="AB154" s="48"/>
      <c r="AC154" s="48"/>
      <c r="AD154" s="48"/>
      <c r="AE154" s="48"/>
      <c r="AF154" s="48"/>
      <c r="AG154" s="48"/>
      <c r="AH154" s="48"/>
      <c r="AI154" s="48"/>
      <c r="AJ154" s="48"/>
      <c r="AK154" s="48"/>
      <c r="AL154" s="48"/>
      <c r="AM154" s="48"/>
      <c r="AN154" s="48"/>
    </row>
    <row r="155" ht="15.75" customHeight="1">
      <c r="A155" s="5" t="str">
        <f t="shared" si="34"/>
        <v>Véhicules usagés</v>
      </c>
      <c r="B155" s="48" t="s">
        <v>151</v>
      </c>
      <c r="C155" s="471"/>
      <c r="D155" s="549"/>
      <c r="E155" s="564"/>
      <c r="F155" s="484"/>
      <c r="G155" s="550"/>
      <c r="H155" s="564"/>
      <c r="I155" s="484"/>
      <c r="J155" s="471"/>
      <c r="K155" s="564"/>
      <c r="L155" s="476"/>
      <c r="M155" s="471"/>
      <c r="N155" s="476"/>
      <c r="O155" s="471"/>
      <c r="P155" s="564"/>
      <c r="Q155" s="476"/>
      <c r="R155" s="471"/>
      <c r="S155" s="476"/>
      <c r="T155" s="503"/>
      <c r="U155" s="48"/>
      <c r="V155" s="48"/>
      <c r="W155" s="48"/>
      <c r="X155" s="48"/>
      <c r="Y155" s="48"/>
      <c r="Z155" s="48"/>
      <c r="AA155" s="48"/>
      <c r="AB155" s="48"/>
      <c r="AC155" s="48"/>
      <c r="AD155" s="48"/>
      <c r="AE155" s="48"/>
      <c r="AF155" s="48"/>
      <c r="AG155" s="48"/>
      <c r="AH155" s="48"/>
      <c r="AI155" s="48"/>
      <c r="AJ155" s="48"/>
      <c r="AK155" s="48"/>
      <c r="AL155" s="48"/>
      <c r="AM155" s="48"/>
      <c r="AN155" s="48"/>
    </row>
    <row r="156" ht="18.0" customHeight="1">
      <c r="A156" s="5" t="str">
        <f t="shared" si="34"/>
        <v>Véhicules usagésTOTAL DES DÉPENSES</v>
      </c>
      <c r="B156" s="48" t="s">
        <v>151</v>
      </c>
      <c r="C156" s="552" t="s">
        <v>143</v>
      </c>
      <c r="D156" s="553" t="s">
        <v>225</v>
      </c>
      <c r="E156" s="554" t="str">
        <f>F156/F$109</f>
        <v>#N/A</v>
      </c>
      <c r="F156" s="555" t="str">
        <f>F123+F136+F154</f>
        <v>#N/A</v>
      </c>
      <c r="G156" s="556"/>
      <c r="H156" s="554"/>
      <c r="I156" s="555"/>
      <c r="J156" s="556" t="s">
        <v>225</v>
      </c>
      <c r="K156" s="554">
        <f>L156/L$109</f>
        <v>1.495677179</v>
      </c>
      <c r="L156" s="555">
        <f>L123+L136+L154</f>
        <v>780541.96</v>
      </c>
      <c r="M156" s="557"/>
      <c r="N156" s="555" t="str">
        <f t="shared" ref="N156:N163" si="44">L156-F156</f>
        <v>#N/A</v>
      </c>
      <c r="O156" s="556" t="s">
        <v>225</v>
      </c>
      <c r="P156" s="554">
        <f>Q156/Q$109</f>
        <v>1.261878485</v>
      </c>
      <c r="Q156" s="555">
        <f>Q123+Q136+Q154</f>
        <v>739907.27</v>
      </c>
      <c r="R156" s="558"/>
      <c r="S156" s="555">
        <f t="shared" ref="S156:S164" si="45">L156-Q156</f>
        <v>40634.69</v>
      </c>
      <c r="T156" s="48"/>
      <c r="U156" s="48"/>
      <c r="V156" s="48"/>
      <c r="W156" s="48"/>
      <c r="X156" s="48"/>
      <c r="Y156" s="48"/>
      <c r="Z156" s="48"/>
      <c r="AA156" s="48"/>
      <c r="AB156" s="48"/>
      <c r="AC156" s="48"/>
      <c r="AD156" s="48"/>
      <c r="AE156" s="48"/>
      <c r="AF156" s="48"/>
      <c r="AG156" s="48"/>
      <c r="AH156" s="48"/>
      <c r="AI156" s="48"/>
      <c r="AJ156" s="48"/>
      <c r="AK156" s="48"/>
      <c r="AL156" s="48"/>
      <c r="AM156" s="48"/>
      <c r="AN156" s="48"/>
    </row>
    <row r="157" ht="21.0" hidden="1" customHeight="1">
      <c r="A157" s="5" t="str">
        <f t="shared" si="34"/>
        <v>Véhicules usagésProgramme used 1</v>
      </c>
      <c r="B157" s="48" t="s">
        <v>151</v>
      </c>
      <c r="C157" s="566" t="s">
        <v>158</v>
      </c>
      <c r="D157" s="605"/>
      <c r="E157" s="606"/>
      <c r="F157" s="481" t="str">
        <f t="array" ref="F157">+SUMPRODUCT(('Budget original'!$A$8:$A$501=$A157)*('Budget original'!$C$3:$AO$3=F$2),'Budget original'!$C$8:$AO$501)</f>
        <v>#N/A</v>
      </c>
      <c r="G157" s="607"/>
      <c r="H157" s="606"/>
      <c r="I157" s="481"/>
      <c r="J157" s="607"/>
      <c r="K157" s="606"/>
      <c r="L157" s="484">
        <v>0.0</v>
      </c>
      <c r="M157" s="480"/>
      <c r="N157" s="484" t="str">
        <f t="shared" si="44"/>
        <v>#N/A</v>
      </c>
      <c r="O157" s="607"/>
      <c r="P157" s="606"/>
      <c r="Q157" s="484">
        <v>0.0</v>
      </c>
      <c r="R157" s="480"/>
      <c r="S157" s="484">
        <f t="shared" si="45"/>
        <v>0</v>
      </c>
      <c r="T157" s="503"/>
      <c r="U157" s="48"/>
      <c r="V157" s="48"/>
      <c r="W157" s="48"/>
      <c r="X157" s="48"/>
      <c r="Y157" s="48"/>
      <c r="Z157" s="48"/>
      <c r="AA157" s="48"/>
      <c r="AB157" s="48"/>
      <c r="AC157" s="48"/>
      <c r="AD157" s="48"/>
      <c r="AE157" s="48"/>
      <c r="AF157" s="48"/>
      <c r="AG157" s="48"/>
      <c r="AH157" s="48"/>
      <c r="AI157" s="48"/>
      <c r="AJ157" s="48"/>
      <c r="AK157" s="48"/>
      <c r="AL157" s="48"/>
      <c r="AM157" s="48"/>
      <c r="AN157" s="48"/>
    </row>
    <row r="158" ht="21.0" hidden="1" customHeight="1">
      <c r="A158" s="5" t="str">
        <f t="shared" si="34"/>
        <v>Véhicules usagésProgramme used 2</v>
      </c>
      <c r="B158" s="48" t="s">
        <v>151</v>
      </c>
      <c r="C158" s="566" t="s">
        <v>159</v>
      </c>
      <c r="D158" s="605"/>
      <c r="E158" s="606"/>
      <c r="F158" s="481" t="str">
        <f t="array" ref="F158">+SUMPRODUCT(('Budget original'!$A$8:$A$501=$A158)*('Budget original'!$C$3:$AO$3=F$2),'Budget original'!$C$8:$AO$501)</f>
        <v>#N/A</v>
      </c>
      <c r="G158" s="607"/>
      <c r="H158" s="606"/>
      <c r="I158" s="481"/>
      <c r="J158" s="607"/>
      <c r="K158" s="606"/>
      <c r="L158" s="484">
        <f>-SUMIFS(BV_Data_An_Cour!$AN:$AN,BV_Data_An_Cour!$AP:$AP,$B158,BV_Data_An_Cour!$AQ:$AQ,$C158,BV_Data_An_Cour!$AR:$AR,$L$2)</f>
        <v>0</v>
      </c>
      <c r="M158" s="480"/>
      <c r="N158" s="484" t="str">
        <f t="shared" si="44"/>
        <v>#N/A</v>
      </c>
      <c r="O158" s="607"/>
      <c r="P158" s="606"/>
      <c r="Q158" s="484">
        <f>-SUMIFS(BV_Data_An_Prec!$AN:$AN,BV_Data_An_Prec!$AP:$AP,$B158,BV_Data_An_Prec!$AQ:$AQ,$C158,BV_Data_An_Prec!$AR:$AR,$L$2)</f>
        <v>0</v>
      </c>
      <c r="R158" s="480"/>
      <c r="S158" s="484">
        <f t="shared" si="45"/>
        <v>0</v>
      </c>
      <c r="T158" s="503"/>
      <c r="U158" s="48"/>
      <c r="V158" s="48"/>
      <c r="W158" s="48"/>
      <c r="X158" s="48"/>
      <c r="Y158" s="48"/>
      <c r="Z158" s="48"/>
      <c r="AA158" s="48"/>
      <c r="AB158" s="48"/>
      <c r="AC158" s="48"/>
      <c r="AD158" s="48"/>
      <c r="AE158" s="48"/>
      <c r="AF158" s="48"/>
      <c r="AG158" s="48"/>
      <c r="AH158" s="48"/>
      <c r="AI158" s="48"/>
      <c r="AJ158" s="48"/>
      <c r="AK158" s="48"/>
      <c r="AL158" s="48"/>
      <c r="AM158" s="48"/>
      <c r="AN158" s="48"/>
    </row>
    <row r="159" ht="21.0" hidden="1" customHeight="1">
      <c r="A159" s="5" t="str">
        <f t="shared" si="34"/>
        <v>Véhicules usagésProgramme used 3</v>
      </c>
      <c r="B159" s="48" t="s">
        <v>151</v>
      </c>
      <c r="C159" s="566" t="s">
        <v>160</v>
      </c>
      <c r="D159" s="546"/>
      <c r="E159" s="48"/>
      <c r="F159" s="481" t="str">
        <f t="array" ref="F159">+SUMPRODUCT(('Budget original'!$A$8:$A$501=$A159)*('Budget original'!$C$3:$AO$3=F$2),'Budget original'!$C$8:$AO$501)</f>
        <v>#N/A</v>
      </c>
      <c r="G159" s="547"/>
      <c r="H159" s="48"/>
      <c r="I159" s="481"/>
      <c r="J159" s="480"/>
      <c r="K159" s="48"/>
      <c r="L159" s="484">
        <f>-SUMIFS(BV_Data_An_Cour!$AN:$AN,BV_Data_An_Cour!$AP:$AP,$B159,BV_Data_An_Cour!$AQ:$AQ,$C159,BV_Data_An_Cour!$AR:$AR,$L$2)</f>
        <v>0</v>
      </c>
      <c r="M159" s="480"/>
      <c r="N159" s="484" t="str">
        <f t="shared" si="44"/>
        <v>#N/A</v>
      </c>
      <c r="O159" s="480"/>
      <c r="P159" s="48"/>
      <c r="Q159" s="484">
        <f>-SUMIFS(BV_Data_An_Prec!$AN:$AN,BV_Data_An_Prec!$AP:$AP,$B159,BV_Data_An_Prec!$AQ:$AQ,$C159,BV_Data_An_Prec!$AR:$AR,$L$2)</f>
        <v>0</v>
      </c>
      <c r="R159" s="480"/>
      <c r="S159" s="484">
        <f t="shared" si="45"/>
        <v>0</v>
      </c>
      <c r="T159" s="503"/>
      <c r="U159" s="48"/>
      <c r="V159" s="48"/>
      <c r="W159" s="48"/>
      <c r="X159" s="48"/>
      <c r="Y159" s="48"/>
      <c r="Z159" s="48"/>
      <c r="AA159" s="48"/>
      <c r="AB159" s="48"/>
      <c r="AC159" s="48"/>
      <c r="AD159" s="48"/>
      <c r="AE159" s="48"/>
      <c r="AF159" s="48"/>
      <c r="AG159" s="48"/>
      <c r="AH159" s="48"/>
      <c r="AI159" s="48"/>
      <c r="AJ159" s="48"/>
      <c r="AK159" s="48"/>
      <c r="AL159" s="48"/>
      <c r="AM159" s="48"/>
      <c r="AN159" s="48"/>
    </row>
    <row r="160" ht="21.0" customHeight="1">
      <c r="A160" s="5" t="str">
        <f t="shared" si="34"/>
        <v>Véhicules usagésFrais administration</v>
      </c>
      <c r="B160" s="48" t="s">
        <v>151</v>
      </c>
      <c r="C160" s="480" t="s">
        <v>148</v>
      </c>
      <c r="D160" s="608"/>
      <c r="E160" s="567"/>
      <c r="F160" s="481" t="str">
        <f t="array" ref="F160">+SUMPRODUCT(('Budget original'!$A$8:$A$501=$A160)*('Budget original'!$C$3:$AO$3=F$2),'Budget original'!$C$8:$AO$501)</f>
        <v>#N/A</v>
      </c>
      <c r="G160" s="547"/>
      <c r="H160" s="48"/>
      <c r="I160" s="481"/>
      <c r="J160" s="570">
        <f>K160/500</f>
        <v>0.6852263212</v>
      </c>
      <c r="K160" s="567">
        <f>L160/J97</f>
        <v>342.6131606</v>
      </c>
      <c r="L160" s="484">
        <f>-SUMIFS(BV_Data_An_Cour!$AN:$AN,BV_Data_An_Cour!$AP:$AP,$B160,BV_Data_An_Cour!$AQ:$AQ,$C160,BV_Data_An_Cour!$AR:$AR,L$2)</f>
        <v>66124.34</v>
      </c>
      <c r="M160" s="480"/>
      <c r="N160" s="484" t="str">
        <f t="shared" si="44"/>
        <v>#N/A</v>
      </c>
      <c r="O160" s="570"/>
      <c r="P160" s="567"/>
      <c r="Q160" s="484">
        <f>-SUMIFS(BV_Data_An_Prec!$AN:$AN,BV_Data_An_Prec!$AP:$AP,$B160,BV_Data_An_Prec!$AQ:$AQ,$C160,BV_Data_An_Prec!$AR:$AR,Q$2)</f>
        <v>0</v>
      </c>
      <c r="R160" s="480"/>
      <c r="S160" s="484">
        <f t="shared" si="45"/>
        <v>66124.34</v>
      </c>
      <c r="T160" s="503"/>
      <c r="U160" s="48"/>
      <c r="V160" s="48"/>
      <c r="W160" s="48"/>
      <c r="X160" s="48"/>
      <c r="Y160" s="48"/>
      <c r="Z160" s="48"/>
      <c r="AA160" s="48"/>
      <c r="AB160" s="48"/>
      <c r="AC160" s="48"/>
      <c r="AD160" s="48"/>
      <c r="AE160" s="48"/>
      <c r="AF160" s="48"/>
      <c r="AG160" s="48"/>
      <c r="AH160" s="48"/>
      <c r="AI160" s="48"/>
      <c r="AJ160" s="48"/>
      <c r="AK160" s="48"/>
      <c r="AL160" s="48"/>
      <c r="AM160" s="48"/>
      <c r="AN160" s="48"/>
    </row>
    <row r="161" ht="21.0" hidden="1" customHeight="1">
      <c r="A161" s="5" t="str">
        <f t="shared" si="34"/>
        <v>Véhicules usagés[...]</v>
      </c>
      <c r="B161" s="48" t="s">
        <v>151</v>
      </c>
      <c r="C161" s="480" t="s">
        <v>56</v>
      </c>
      <c r="D161" s="546"/>
      <c r="E161" s="48"/>
      <c r="F161" s="481" t="str">
        <f t="array" ref="F161">+SUMPRODUCT(('Budget original'!$A$8:$A$501=$A161)*('Budget original'!$C$3:$AO$3=F$2),'Budget original'!$C$8:$AO$501)</f>
        <v>#N/A</v>
      </c>
      <c r="G161" s="547"/>
      <c r="H161" s="48"/>
      <c r="I161" s="481"/>
      <c r="J161" s="480"/>
      <c r="K161" s="48"/>
      <c r="L161" s="484">
        <f>-SUMIFS(BV_Data_An_Cour!$AN:$AN,BV_Data_An_Cour!$AP:$AP,$B161,BV_Data_An_Cour!$AQ:$AQ,$C161,BV_Data_An_Cour!$AR:$AR,$L$2)</f>
        <v>0</v>
      </c>
      <c r="M161" s="480"/>
      <c r="N161" s="484" t="str">
        <f t="shared" si="44"/>
        <v>#N/A</v>
      </c>
      <c r="O161" s="480"/>
      <c r="P161" s="48"/>
      <c r="Q161" s="484">
        <f>-SUMIFS(BV_Data_An_Prec!$AN:$AN,BV_Data_An_Prec!$AP:$AP,$B161,BV_Data_An_Prec!$AQ:$AQ,$C161,BV_Data_An_Prec!$AR:$AR,$L$2)</f>
        <v>0</v>
      </c>
      <c r="R161" s="480"/>
      <c r="S161" s="484">
        <f t="shared" si="45"/>
        <v>0</v>
      </c>
      <c r="T161" s="503"/>
      <c r="U161" s="48"/>
      <c r="V161" s="48"/>
      <c r="W161" s="48"/>
      <c r="X161" s="48"/>
      <c r="Y161" s="48"/>
      <c r="Z161" s="48"/>
      <c r="AA161" s="48"/>
      <c r="AB161" s="48"/>
      <c r="AC161" s="48"/>
      <c r="AD161" s="48"/>
      <c r="AE161" s="48"/>
      <c r="AF161" s="48"/>
      <c r="AG161" s="48"/>
      <c r="AH161" s="48"/>
      <c r="AI161" s="48"/>
      <c r="AJ161" s="48"/>
      <c r="AK161" s="48"/>
      <c r="AL161" s="48"/>
      <c r="AM161" s="48"/>
      <c r="AN161" s="48"/>
    </row>
    <row r="162" ht="21.0" hidden="1" customHeight="1">
      <c r="A162" s="5" t="str">
        <f t="shared" si="34"/>
        <v>Véhicules usagés[...]</v>
      </c>
      <c r="B162" s="48" t="s">
        <v>151</v>
      </c>
      <c r="C162" s="480" t="s">
        <v>56</v>
      </c>
      <c r="D162" s="546"/>
      <c r="E162" s="48"/>
      <c r="F162" s="481" t="str">
        <f t="array" ref="F162">+SUMPRODUCT(('Budget original'!$A$8:$A$501=$A162)*('Budget original'!$C$3:$AO$3=F$2),'Budget original'!$C$8:$AO$501)</f>
        <v>#N/A</v>
      </c>
      <c r="G162" s="547"/>
      <c r="H162" s="48"/>
      <c r="I162" s="481"/>
      <c r="J162" s="480"/>
      <c r="K162" s="48"/>
      <c r="L162" s="484">
        <f>-SUMIFS(BV_Data_An_Cour!$AN:$AN,BV_Data_An_Cour!$AP:$AP,$B162,BV_Data_An_Cour!$AQ:$AQ,$C162,BV_Data_An_Cour!$AR:$AR,$L$2)</f>
        <v>0</v>
      </c>
      <c r="M162" s="480"/>
      <c r="N162" s="484" t="str">
        <f t="shared" si="44"/>
        <v>#N/A</v>
      </c>
      <c r="O162" s="480"/>
      <c r="P162" s="48"/>
      <c r="Q162" s="484">
        <f>-SUMIFS(BV_Data_An_Prec!$AN:$AN,BV_Data_An_Prec!$AP:$AP,$B162,BV_Data_An_Prec!$AQ:$AQ,$C162,BV_Data_An_Prec!$AR:$AR,$L$2)</f>
        <v>0</v>
      </c>
      <c r="R162" s="480"/>
      <c r="S162" s="484">
        <f t="shared" si="45"/>
        <v>0</v>
      </c>
      <c r="T162" s="503"/>
      <c r="U162" s="48"/>
      <c r="V162" s="48"/>
      <c r="W162" s="48"/>
      <c r="X162" s="48"/>
      <c r="Y162" s="48"/>
      <c r="Z162" s="48"/>
      <c r="AA162" s="48"/>
      <c r="AB162" s="48"/>
      <c r="AC162" s="48"/>
      <c r="AD162" s="48"/>
      <c r="AE162" s="48"/>
      <c r="AF162" s="48"/>
      <c r="AG162" s="48"/>
      <c r="AH162" s="48"/>
      <c r="AI162" s="48"/>
      <c r="AJ162" s="48"/>
      <c r="AK162" s="48"/>
      <c r="AL162" s="48"/>
      <c r="AM162" s="48"/>
      <c r="AN162" s="48"/>
    </row>
    <row r="163" ht="21.0" hidden="1" customHeight="1">
      <c r="A163" s="5" t="str">
        <f t="shared" si="34"/>
        <v>Véhicules usagés[...]</v>
      </c>
      <c r="B163" s="48" t="s">
        <v>151</v>
      </c>
      <c r="C163" s="471" t="s">
        <v>56</v>
      </c>
      <c r="D163" s="549"/>
      <c r="E163" s="564"/>
      <c r="F163" s="481" t="str">
        <f t="array" ref="F163">+SUMPRODUCT(('Budget original'!$A$8:$A$501=$A163)*('Budget original'!$C$3:$AO$3=F$2),'Budget original'!$C$8:$AO$501)</f>
        <v>#N/A</v>
      </c>
      <c r="G163" s="547"/>
      <c r="H163" s="48"/>
      <c r="I163" s="481"/>
      <c r="J163" s="480"/>
      <c r="K163" s="48"/>
      <c r="L163" s="484">
        <f>-SUMIFS(BV_Data_An_Cour!$AN:$AN,BV_Data_An_Cour!$AP:$AP,$B163,BV_Data_An_Cour!$AQ:$AQ,$C163,BV_Data_An_Cour!$AR:$AR,$L$2)</f>
        <v>0</v>
      </c>
      <c r="M163" s="480"/>
      <c r="N163" s="484" t="str">
        <f t="shared" si="44"/>
        <v>#N/A</v>
      </c>
      <c r="O163" s="480"/>
      <c r="P163" s="48"/>
      <c r="Q163" s="484">
        <f>-SUMIFS(BV_Data_An_Prec!$AN:$AN,BV_Data_An_Prec!$AP:$AP,$B163,BV_Data_An_Prec!$AQ:$AQ,$C163,BV_Data_An_Prec!$AR:$AR,$L$2)</f>
        <v>0</v>
      </c>
      <c r="R163" s="480"/>
      <c r="S163" s="484">
        <f t="shared" si="45"/>
        <v>0</v>
      </c>
      <c r="T163" s="503"/>
      <c r="U163" s="48"/>
      <c r="V163" s="48"/>
      <c r="W163" s="48"/>
      <c r="X163" s="48"/>
      <c r="Y163" s="48"/>
      <c r="Z163" s="48"/>
      <c r="AA163" s="48"/>
      <c r="AB163" s="48"/>
      <c r="AC163" s="48"/>
      <c r="AD163" s="48"/>
      <c r="AE163" s="48"/>
      <c r="AF163" s="48"/>
      <c r="AG163" s="48"/>
      <c r="AH163" s="48"/>
      <c r="AI163" s="48"/>
      <c r="AJ163" s="48"/>
      <c r="AK163" s="48"/>
      <c r="AL163" s="48"/>
      <c r="AM163" s="48"/>
      <c r="AN163" s="48"/>
    </row>
    <row r="164" ht="18.0" customHeight="1">
      <c r="A164" s="5"/>
      <c r="B164" s="48"/>
      <c r="C164" s="552" t="s">
        <v>149</v>
      </c>
      <c r="D164" s="553"/>
      <c r="E164" s="554"/>
      <c r="F164" s="555" t="str">
        <f>+SUM(F157:F163)</f>
        <v>#N/A</v>
      </c>
      <c r="G164" s="556"/>
      <c r="H164" s="554"/>
      <c r="I164" s="555"/>
      <c r="J164" s="556"/>
      <c r="K164" s="554"/>
      <c r="L164" s="555">
        <f>+SUM(L157:L163)</f>
        <v>66124.34</v>
      </c>
      <c r="M164" s="557"/>
      <c r="N164" s="555" t="str">
        <f>SUM(N157:N160)</f>
        <v>#N/A</v>
      </c>
      <c r="O164" s="556"/>
      <c r="P164" s="554"/>
      <c r="Q164" s="555">
        <f>+SUM(Q157:Q163)</f>
        <v>0</v>
      </c>
      <c r="R164" s="558"/>
      <c r="S164" s="555">
        <f t="shared" si="45"/>
        <v>66124.34</v>
      </c>
      <c r="T164" s="48"/>
      <c r="U164" s="48"/>
      <c r="V164" s="48"/>
      <c r="W164" s="48"/>
      <c r="X164" s="48"/>
      <c r="Y164" s="48"/>
      <c r="Z164" s="48"/>
      <c r="AA164" s="48"/>
      <c r="AB164" s="48"/>
      <c r="AC164" s="48"/>
      <c r="AD164" s="48"/>
      <c r="AE164" s="48"/>
      <c r="AF164" s="48"/>
      <c r="AG164" s="48"/>
      <c r="AH164" s="48"/>
      <c r="AI164" s="48"/>
      <c r="AJ164" s="48"/>
      <c r="AK164" s="48"/>
      <c r="AL164" s="48"/>
      <c r="AM164" s="48"/>
      <c r="AN164" s="48"/>
    </row>
    <row r="165" ht="15.75" customHeight="1">
      <c r="B165" s="48"/>
      <c r="C165" s="480"/>
      <c r="D165" s="546"/>
      <c r="E165" s="48"/>
      <c r="F165" s="484"/>
      <c r="G165" s="547"/>
      <c r="H165" s="48"/>
      <c r="I165" s="484"/>
      <c r="J165" s="480"/>
      <c r="K165" s="48"/>
      <c r="L165" s="484"/>
      <c r="M165" s="480"/>
      <c r="N165" s="484"/>
      <c r="O165" s="480"/>
      <c r="P165" s="48"/>
      <c r="Q165" s="484"/>
      <c r="R165" s="480"/>
      <c r="S165" s="484"/>
      <c r="T165" s="606"/>
      <c r="U165" s="48"/>
      <c r="V165" s="48"/>
      <c r="W165" s="48"/>
      <c r="X165" s="48"/>
      <c r="Y165" s="48"/>
      <c r="Z165" s="48"/>
      <c r="AA165" s="48"/>
      <c r="AB165" s="48"/>
      <c r="AC165" s="48"/>
      <c r="AD165" s="48"/>
      <c r="AE165" s="48"/>
      <c r="AF165" s="48"/>
      <c r="AG165" s="48"/>
      <c r="AH165" s="48"/>
      <c r="AI165" s="48"/>
      <c r="AJ165" s="48"/>
      <c r="AK165" s="48"/>
      <c r="AL165" s="48"/>
      <c r="AM165" s="48"/>
      <c r="AN165" s="48"/>
    </row>
    <row r="166" ht="18.0" customHeight="1">
      <c r="A166" s="5"/>
      <c r="B166" s="48"/>
      <c r="C166" s="579" t="s">
        <v>150</v>
      </c>
      <c r="D166" s="580"/>
      <c r="E166" s="581"/>
      <c r="F166" s="582" t="str">
        <f>F109-F156+F164</f>
        <v>#N/A</v>
      </c>
      <c r="G166" s="583"/>
      <c r="H166" s="581"/>
      <c r="I166" s="582"/>
      <c r="J166" s="583"/>
      <c r="K166" s="581"/>
      <c r="L166" s="582">
        <f>L109-L156+L164</f>
        <v>-192552.36</v>
      </c>
      <c r="M166" s="584"/>
      <c r="N166" s="582" t="str">
        <f>L166-F166</f>
        <v>#N/A</v>
      </c>
      <c r="O166" s="583"/>
      <c r="P166" s="581"/>
      <c r="Q166" s="582">
        <f>Q109-Q156+Q164</f>
        <v>-153553.45</v>
      </c>
      <c r="R166" s="585"/>
      <c r="S166" s="582">
        <f>L166-Q166</f>
        <v>-38998.91</v>
      </c>
      <c r="T166" s="48"/>
      <c r="U166" s="48"/>
      <c r="V166" s="48"/>
      <c r="W166" s="48"/>
      <c r="X166" s="48"/>
      <c r="Y166" s="48"/>
      <c r="Z166" s="48"/>
      <c r="AA166" s="48"/>
      <c r="AB166" s="48"/>
      <c r="AC166" s="48"/>
      <c r="AD166" s="48"/>
      <c r="AE166" s="48"/>
      <c r="AF166" s="48"/>
      <c r="AG166" s="48"/>
      <c r="AH166" s="48"/>
      <c r="AI166" s="48"/>
      <c r="AJ166" s="48"/>
      <c r="AK166" s="48"/>
      <c r="AL166" s="48"/>
      <c r="AM166" s="48"/>
      <c r="AN166" s="48"/>
    </row>
    <row r="167" ht="15.75" customHeight="1">
      <c r="B167" s="48"/>
      <c r="C167" s="40"/>
      <c r="D167" s="40"/>
      <c r="E167" s="40"/>
      <c r="F167" s="540"/>
      <c r="G167" s="40"/>
      <c r="H167" s="40"/>
      <c r="I167" s="40"/>
      <c r="J167" s="40"/>
      <c r="K167" s="40"/>
      <c r="L167" s="540"/>
      <c r="M167" s="40"/>
      <c r="N167" s="40"/>
      <c r="O167" s="40"/>
      <c r="P167" s="40"/>
      <c r="Q167" s="40"/>
      <c r="R167" s="540"/>
      <c r="S167" s="40"/>
      <c r="T167" s="540"/>
      <c r="U167" s="40"/>
      <c r="V167" s="48"/>
      <c r="W167" s="48"/>
      <c r="X167" s="48"/>
      <c r="Y167" s="48"/>
      <c r="Z167" s="48"/>
      <c r="AA167" s="48"/>
      <c r="AB167" s="48"/>
      <c r="AC167" s="48"/>
      <c r="AD167" s="48"/>
      <c r="AE167" s="48"/>
      <c r="AF167" s="48"/>
      <c r="AG167" s="48"/>
      <c r="AH167" s="48"/>
      <c r="AI167" s="48"/>
      <c r="AJ167" s="48"/>
      <c r="AK167" s="48"/>
      <c r="AL167" s="48"/>
      <c r="AM167" s="48"/>
      <c r="AN167" s="48"/>
    </row>
    <row r="168" ht="15.75" customHeight="1">
      <c r="B168" s="48"/>
      <c r="C168" s="40"/>
      <c r="D168" s="40"/>
      <c r="E168" s="40"/>
      <c r="F168" s="540"/>
      <c r="G168" s="40"/>
      <c r="H168" s="40"/>
      <c r="I168" s="40"/>
      <c r="J168" s="40"/>
      <c r="K168" s="40"/>
      <c r="L168" s="540"/>
      <c r="M168" s="40"/>
      <c r="N168" s="40"/>
      <c r="O168" s="40"/>
      <c r="P168" s="40"/>
      <c r="Q168" s="40"/>
      <c r="R168" s="540"/>
      <c r="S168" s="40"/>
      <c r="T168" s="540"/>
      <c r="U168" s="40"/>
      <c r="V168" s="48"/>
      <c r="W168" s="48"/>
      <c r="X168" s="48"/>
      <c r="Y168" s="48"/>
      <c r="Z168" s="48"/>
      <c r="AA168" s="48"/>
      <c r="AB168" s="48"/>
      <c r="AC168" s="48"/>
      <c r="AD168" s="48"/>
      <c r="AE168" s="48"/>
      <c r="AF168" s="48"/>
      <c r="AG168" s="48"/>
      <c r="AH168" s="48"/>
      <c r="AI168" s="48"/>
      <c r="AJ168" s="48"/>
      <c r="AK168" s="48"/>
      <c r="AL168" s="48"/>
      <c r="AM168" s="48"/>
      <c r="AN168" s="48"/>
    </row>
    <row r="169" ht="33.0" customHeight="1">
      <c r="B169" s="38"/>
      <c r="C169" s="450" t="str">
        <f>C1</f>
        <v>Ste-Marie Auto</v>
      </c>
      <c r="D169" s="451"/>
      <c r="E169" s="452"/>
      <c r="F169" s="451"/>
      <c r="G169" s="451"/>
      <c r="H169" s="450"/>
      <c r="I169" s="451"/>
      <c r="J169" s="450"/>
      <c r="K169" s="453" t="s">
        <v>898</v>
      </c>
      <c r="L169" s="451"/>
      <c r="M169" s="451"/>
      <c r="N169" s="454"/>
      <c r="O169" s="450"/>
      <c r="P169" s="451"/>
      <c r="Q169" s="450"/>
      <c r="R169" s="451"/>
      <c r="S169" s="455"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ht="15.75" customHeight="1">
      <c r="B170" s="3"/>
      <c r="C170" s="39"/>
      <c r="D170" s="40"/>
      <c r="E170" s="40"/>
      <c r="F170" s="40"/>
      <c r="G170" s="40"/>
      <c r="H170" s="40"/>
      <c r="I170" s="40"/>
      <c r="J170" s="40"/>
      <c r="K170" s="40"/>
      <c r="L170" s="40"/>
      <c r="M170" s="40"/>
      <c r="N170" s="40"/>
      <c r="O170" s="40"/>
      <c r="P170" s="40"/>
      <c r="Q170" s="40"/>
      <c r="R170" s="40"/>
      <c r="S170" s="40"/>
      <c r="T170" s="40"/>
      <c r="U170" s="40"/>
    </row>
    <row r="171" ht="15.75" customHeight="1">
      <c r="B171" s="48"/>
      <c r="C171" s="461"/>
      <c r="D171" s="462" t="s">
        <v>774</v>
      </c>
      <c r="E171" s="44"/>
      <c r="F171" s="45"/>
      <c r="G171" s="463"/>
      <c r="H171" s="44"/>
      <c r="I171" s="45"/>
      <c r="J171" s="463" t="s">
        <v>775</v>
      </c>
      <c r="K171" s="44"/>
      <c r="L171" s="45"/>
      <c r="M171" s="463" t="s">
        <v>776</v>
      </c>
      <c r="N171" s="45"/>
      <c r="O171" s="463" t="s">
        <v>777</v>
      </c>
      <c r="P171" s="44"/>
      <c r="Q171" s="45"/>
      <c r="R171" s="463" t="s">
        <v>778</v>
      </c>
      <c r="S171" s="45"/>
      <c r="T171" s="48"/>
      <c r="U171" s="48"/>
      <c r="V171" s="48"/>
      <c r="W171" s="48"/>
      <c r="X171" s="48"/>
      <c r="Y171" s="48"/>
      <c r="Z171" s="48"/>
      <c r="AA171" s="48"/>
      <c r="AB171" s="48"/>
      <c r="AC171" s="48"/>
      <c r="AD171" s="48"/>
      <c r="AE171" s="48"/>
      <c r="AF171" s="48"/>
      <c r="AG171" s="48"/>
      <c r="AH171" s="48"/>
      <c r="AI171" s="48"/>
      <c r="AJ171" s="48"/>
      <c r="AK171" s="48"/>
      <c r="AL171" s="48"/>
      <c r="AM171" s="48"/>
      <c r="AN171" s="48"/>
    </row>
    <row r="172" ht="15.75" customHeight="1">
      <c r="B172" s="48"/>
      <c r="C172" s="480"/>
      <c r="D172" s="467" t="s">
        <v>93</v>
      </c>
      <c r="E172" s="468" t="s">
        <v>780</v>
      </c>
      <c r="F172" s="469" t="s">
        <v>95</v>
      </c>
      <c r="G172" s="470"/>
      <c r="H172" s="468"/>
      <c r="I172" s="469"/>
      <c r="J172" s="470" t="s">
        <v>781</v>
      </c>
      <c r="K172" s="468" t="s">
        <v>94</v>
      </c>
      <c r="L172" s="469" t="s">
        <v>95</v>
      </c>
      <c r="M172" s="470" t="s">
        <v>781</v>
      </c>
      <c r="N172" s="469" t="s">
        <v>95</v>
      </c>
      <c r="O172" s="468" t="s">
        <v>93</v>
      </c>
      <c r="P172" s="468" t="s">
        <v>780</v>
      </c>
      <c r="Q172" s="469" t="s">
        <v>95</v>
      </c>
      <c r="R172" s="470" t="s">
        <v>781</v>
      </c>
      <c r="S172" s="469" t="s">
        <v>95</v>
      </c>
      <c r="T172" s="48"/>
      <c r="U172" s="48"/>
      <c r="V172" s="48"/>
      <c r="W172" s="48"/>
      <c r="X172" s="48"/>
      <c r="Y172" s="48"/>
      <c r="Z172" s="48"/>
      <c r="AA172" s="48"/>
      <c r="AB172" s="48"/>
      <c r="AC172" s="48"/>
      <c r="AD172" s="48"/>
      <c r="AE172" s="48"/>
      <c r="AF172" s="48"/>
      <c r="AG172" s="48"/>
      <c r="AH172" s="48"/>
      <c r="AI172" s="48"/>
      <c r="AJ172" s="48"/>
      <c r="AK172" s="48"/>
      <c r="AL172" s="48"/>
      <c r="AM172" s="48"/>
      <c r="AN172" s="48"/>
    </row>
    <row r="173" ht="24.0" customHeight="1">
      <c r="A173" s="5" t="str">
        <f>+B173&amp;C173</f>
        <v>Wholesale autresVentes nettes</v>
      </c>
      <c r="B173" s="48" t="s">
        <v>899</v>
      </c>
      <c r="C173" s="471" t="s">
        <v>96</v>
      </c>
      <c r="D173" s="475"/>
      <c r="E173" s="475"/>
      <c r="F173" s="473" t="str">
        <f t="array" ref="F173">+SUMPRODUCT(('Budget original'!$A$8:$A$501=$A173)*('Budget original'!$C$3:$AO$3=F$2),'Budget original'!$C$8:$AO$501)</f>
        <v>#N/A</v>
      </c>
      <c r="G173" s="512"/>
      <c r="H173" s="475"/>
      <c r="I173" s="473"/>
      <c r="J173" s="471"/>
      <c r="K173" s="513"/>
      <c r="L173" s="476">
        <f>-SUMIFS(BV_Data_An_Cour!$AN:$AN,BV_Data_An_Cour!$AS:$AS,"Oui",BV_Data_An_Cour!$AP:$AP,$B173)</f>
        <v>60671994.8</v>
      </c>
      <c r="M173" s="589"/>
      <c r="N173" s="590"/>
      <c r="O173" s="471"/>
      <c r="P173" s="513"/>
      <c r="Q173" s="476">
        <f>-SUMIFS(BV_Data_An_Prec!$AN:$AN,BV_Data_An_Prec!$AS:$AS,"Oui",BV_Data_An_Prec!$AP:$AP,$B173)</f>
        <v>50348969.49</v>
      </c>
      <c r="R173" s="589"/>
      <c r="S173" s="590"/>
      <c r="T173" s="48"/>
      <c r="U173" s="48"/>
      <c r="V173" s="48"/>
      <c r="W173" s="48"/>
      <c r="X173" s="48"/>
      <c r="Y173" s="48"/>
      <c r="Z173" s="48"/>
      <c r="AA173" s="48"/>
      <c r="AB173" s="48"/>
      <c r="AC173" s="48"/>
      <c r="AD173" s="48"/>
      <c r="AE173" s="48"/>
      <c r="AF173" s="48"/>
      <c r="AG173" s="48"/>
      <c r="AH173" s="48"/>
      <c r="AI173" s="48"/>
      <c r="AJ173" s="48"/>
      <c r="AK173" s="48"/>
      <c r="AL173" s="48"/>
      <c r="AM173" s="48"/>
      <c r="AN173" s="48"/>
    </row>
    <row r="174" ht="24.0" customHeight="1">
      <c r="A174" s="5"/>
      <c r="B174" s="48" t="s">
        <v>899</v>
      </c>
      <c r="C174" s="480"/>
      <c r="D174" s="481"/>
      <c r="E174" s="481"/>
      <c r="F174" s="481"/>
      <c r="G174" s="482"/>
      <c r="H174" s="481"/>
      <c r="I174" s="481"/>
      <c r="J174" s="480"/>
      <c r="K174" s="483"/>
      <c r="L174" s="484"/>
      <c r="M174" s="610"/>
      <c r="N174" s="611"/>
      <c r="O174" s="480"/>
      <c r="P174" s="483"/>
      <c r="Q174" s="484"/>
      <c r="R174" s="610"/>
      <c r="S174" s="612"/>
      <c r="T174" s="48"/>
      <c r="U174" s="48"/>
      <c r="V174" s="48"/>
      <c r="W174" s="48"/>
      <c r="X174" s="48"/>
      <c r="Y174" s="48"/>
      <c r="Z174" s="48"/>
      <c r="AA174" s="48"/>
      <c r="AB174" s="48"/>
      <c r="AC174" s="48"/>
      <c r="AD174" s="48"/>
      <c r="AE174" s="48"/>
      <c r="AF174" s="48"/>
      <c r="AG174" s="48"/>
      <c r="AH174" s="48"/>
      <c r="AI174" s="48"/>
      <c r="AJ174" s="48"/>
      <c r="AK174" s="48"/>
      <c r="AL174" s="48"/>
      <c r="AM174" s="48"/>
      <c r="AN174" s="48"/>
    </row>
    <row r="175" ht="21.75" customHeight="1">
      <c r="A175" s="5" t="str">
        <f>+B175&amp;C175</f>
        <v>Wholesale autresWholesale USA</v>
      </c>
      <c r="B175" s="48" t="s">
        <v>899</v>
      </c>
      <c r="C175" s="480" t="s">
        <v>900</v>
      </c>
      <c r="D175" s="481" t="str">
        <f t="array" ref="D175">+SUMPRODUCT(('Budget original'!$A$8:$A$501=$A175)*('Budget original'!$C$3:$AO$3=D$2),'Budget original'!$C$8:$AO$501)</f>
        <v>#N/A</v>
      </c>
      <c r="E175" s="481" t="str">
        <f>IF(D175=0,0,F175/D175)</f>
        <v>#N/A</v>
      </c>
      <c r="F175" s="481" t="str">
        <f t="array" ref="F175">+SUMPRODUCT(('Budget original'!$A$8:$A$501=$A175)*('Budget original'!$C$3:$AO$3=F$2),'Budget original'!$C$8:$AO$501)</f>
        <v>#N/A</v>
      </c>
      <c r="G175" s="482"/>
      <c r="H175" s="481"/>
      <c r="I175" s="481"/>
      <c r="J175" s="482">
        <f>SUMIFS(BV_Data_An_Cour!$AX:$AX,BV_Data_An_Cour!$AP:$AP,$B175,BV_Data_An_Cour!$AQ:$AQ,$C175,BV_Data_An_Cour!$AY:$AY,J$2)</f>
        <v>530</v>
      </c>
      <c r="K175" s="483">
        <f>IF(J175=0,0,L175/J175)</f>
        <v>535.2450566</v>
      </c>
      <c r="L175" s="484">
        <f>-SUMIFS(BV_Data_An_Cour!$AN:$AN,BV_Data_An_Cour!$AP:$AP,$B175,BV_Data_An_Cour!$AQ:$AQ,$C175,BV_Data_An_Cour!$AR:$AR,$L2)</f>
        <v>283679.88</v>
      </c>
      <c r="M175" s="482" t="str">
        <f>J175-D175</f>
        <v>#N/A</v>
      </c>
      <c r="N175" s="485" t="str">
        <f>L175-F175</f>
        <v>#N/A</v>
      </c>
      <c r="O175" s="482">
        <f>SUMIFS(BV_Data_An_Prec!$AX:$AX,BV_Data_An_Prec!$AP:$AP,$B175,BV_Data_An_Prec!$AQ:$AQ,$C175,BV_Data_An_Prec!$AY:$AY,O$2)</f>
        <v>518</v>
      </c>
      <c r="P175" s="483">
        <f>IF(O175=0,0,Q175/O175)</f>
        <v>1273.995444</v>
      </c>
      <c r="Q175" s="484">
        <f>-SUMIFS(BV_Data_An_Prec!$AN:$AN,BV_Data_An_Prec!$AP:$AP,$B175,BV_Data_An_Prec!$AQ:$AQ,$C175,BV_Data_An_Prec!$AR:$AR,$L2)</f>
        <v>659929.64</v>
      </c>
      <c r="R175" s="482">
        <f>J175-O175</f>
        <v>12</v>
      </c>
      <c r="S175" s="484">
        <f>L175-Q175</f>
        <v>-376249.76</v>
      </c>
      <c r="T175" s="48"/>
      <c r="U175" s="48"/>
      <c r="V175" s="48"/>
      <c r="W175" s="48"/>
      <c r="X175" s="48"/>
      <c r="Y175" s="48"/>
      <c r="Z175" s="48"/>
      <c r="AA175" s="48"/>
      <c r="AB175" s="48"/>
      <c r="AC175" s="48"/>
      <c r="AD175" s="48"/>
      <c r="AE175" s="48"/>
      <c r="AF175" s="48"/>
      <c r="AG175" s="48"/>
      <c r="AH175" s="48"/>
      <c r="AI175" s="48"/>
      <c r="AJ175" s="48"/>
      <c r="AK175" s="48"/>
      <c r="AL175" s="48"/>
      <c r="AM175" s="48"/>
      <c r="AN175" s="48"/>
    </row>
    <row r="176" ht="21.75" customHeight="1">
      <c r="A176" s="5"/>
      <c r="B176" s="48" t="s">
        <v>899</v>
      </c>
      <c r="C176" s="471"/>
      <c r="D176" s="475"/>
      <c r="E176" s="475"/>
      <c r="F176" s="475"/>
      <c r="G176" s="512"/>
      <c r="H176" s="475"/>
      <c r="I176" s="475"/>
      <c r="J176" s="512"/>
      <c r="K176" s="513"/>
      <c r="L176" s="476"/>
      <c r="M176" s="512"/>
      <c r="N176" s="473"/>
      <c r="O176" s="512"/>
      <c r="P176" s="513"/>
      <c r="Q176" s="476"/>
      <c r="R176" s="613">
        <f>R175/O175</f>
        <v>0.02316602317</v>
      </c>
      <c r="S176" s="614">
        <f>IF(Q175=0,0,(S175/Q175))</f>
        <v>-0.5701361739</v>
      </c>
      <c r="T176" s="48"/>
      <c r="U176" s="48"/>
      <c r="V176" s="48"/>
      <c r="W176" s="48"/>
      <c r="X176" s="48"/>
      <c r="Y176" s="48"/>
      <c r="Z176" s="48"/>
      <c r="AA176" s="48"/>
      <c r="AB176" s="48"/>
      <c r="AC176" s="48"/>
      <c r="AD176" s="48"/>
      <c r="AE176" s="48"/>
      <c r="AF176" s="48"/>
      <c r="AG176" s="48"/>
      <c r="AH176" s="48"/>
      <c r="AI176" s="48"/>
      <c r="AJ176" s="48"/>
      <c r="AK176" s="48"/>
      <c r="AL176" s="48"/>
      <c r="AM176" s="48"/>
      <c r="AN176" s="48"/>
    </row>
    <row r="177" ht="18.75" customHeight="1">
      <c r="A177" s="5" t="str">
        <f>+B177&amp;C177</f>
        <v>Wholesale autresWholesale Canada</v>
      </c>
      <c r="B177" s="48" t="s">
        <v>899</v>
      </c>
      <c r="C177" s="480" t="s">
        <v>901</v>
      </c>
      <c r="D177" s="481" t="str">
        <f t="array" ref="D177">+SUMPRODUCT(('Budget original'!$A$8:$A$501=$A177)*('Budget original'!$C$3:$AO$3=D$2),'Budget original'!$C$8:$AO$501)</f>
        <v>#N/A</v>
      </c>
      <c r="E177" s="481" t="str">
        <f>IF(D177=0,0,F177/D177)</f>
        <v>#N/A</v>
      </c>
      <c r="F177" s="481" t="str">
        <f t="array" ref="F177">+SUMPRODUCT(('Budget original'!$A$8:$A$501=$A177)*('Budget original'!$C$3:$AO$3=F$2),'Budget original'!$C$8:$AO$501)</f>
        <v>#N/A</v>
      </c>
      <c r="G177" s="482"/>
      <c r="H177" s="481"/>
      <c r="I177" s="481"/>
      <c r="J177" s="482">
        <f>SUMIFS(BV_Data_An_Cour!$AX:$AX,BV_Data_An_Cour!$AP:$AP,$B177,BV_Data_An_Cour!$AQ:$AQ,$C177,BV_Data_An_Cour!$AY:$AY,J$2)</f>
        <v>328</v>
      </c>
      <c r="K177" s="483">
        <f>IF(J177=0,0,L177/J177)</f>
        <v>1037.077591</v>
      </c>
      <c r="L177" s="484">
        <f>-SUMIFS(BV_Data_An_Cour!$AN:$AN,BV_Data_An_Cour!$AP:$AP,$B177,BV_Data_An_Cour!$AQ:$AQ,$C177,BV_Data_An_Cour!$AR:$AR,$L2)</f>
        <v>340161.45</v>
      </c>
      <c r="M177" s="482" t="str">
        <f>J177-D177</f>
        <v>#N/A</v>
      </c>
      <c r="N177" s="485" t="str">
        <f>L177-F177</f>
        <v>#N/A</v>
      </c>
      <c r="O177" s="482">
        <f>SUMIFS(BV_Data_An_Prec!$AX:$AX,BV_Data_An_Prec!$AP:$AP,$B177,BV_Data_An_Prec!$AQ:$AQ,$C177,BV_Data_An_Prec!$AY:$AY,O$2)</f>
        <v>0</v>
      </c>
      <c r="P177" s="483">
        <f>IF(O177=0,0,Q177/O177)</f>
        <v>0</v>
      </c>
      <c r="Q177" s="484">
        <f>-SUMIFS(BV_Data_An_Prec!$AN:$AN,BV_Data_An_Prec!$AP:$AP,$B177,BV_Data_An_Prec!$AQ:$AQ,$C177,BV_Data_An_Prec!$AR:$AR,$L2)</f>
        <v>0</v>
      </c>
      <c r="R177" s="482">
        <f>J177-O177</f>
        <v>328</v>
      </c>
      <c r="S177" s="484">
        <f>L177-Q177</f>
        <v>340161.45</v>
      </c>
      <c r="T177" s="48"/>
      <c r="U177" s="48"/>
      <c r="V177" s="798"/>
      <c r="W177" s="48"/>
      <c r="X177" s="48"/>
      <c r="Y177" s="48"/>
      <c r="Z177" s="48"/>
      <c r="AA177" s="48"/>
      <c r="AB177" s="48"/>
      <c r="AC177" s="48"/>
      <c r="AD177" s="48"/>
      <c r="AE177" s="48"/>
      <c r="AF177" s="48"/>
      <c r="AG177" s="48"/>
      <c r="AH177" s="48"/>
      <c r="AI177" s="48"/>
      <c r="AJ177" s="48"/>
      <c r="AK177" s="48"/>
      <c r="AL177" s="48"/>
      <c r="AM177" s="48"/>
      <c r="AN177" s="48"/>
    </row>
    <row r="178" ht="18.75" customHeight="1">
      <c r="A178" s="5"/>
      <c r="B178" s="48" t="s">
        <v>899</v>
      </c>
      <c r="C178" s="471"/>
      <c r="D178" s="475"/>
      <c r="E178" s="475"/>
      <c r="F178" s="475"/>
      <c r="G178" s="512"/>
      <c r="H178" s="475"/>
      <c r="I178" s="475"/>
      <c r="J178" s="512"/>
      <c r="K178" s="513"/>
      <c r="L178" s="476"/>
      <c r="M178" s="512"/>
      <c r="N178" s="473"/>
      <c r="O178" s="512"/>
      <c r="P178" s="513"/>
      <c r="Q178" s="476"/>
      <c r="R178" s="613" t="str">
        <f>R177/O177</f>
        <v>#DIV/0!</v>
      </c>
      <c r="S178" s="614">
        <f>IF(Q177=0,0,(S177/Q177))</f>
        <v>0</v>
      </c>
      <c r="T178" s="48"/>
      <c r="U178" s="48"/>
      <c r="V178" s="798"/>
      <c r="W178" s="48"/>
      <c r="X178" s="48"/>
      <c r="Y178" s="48"/>
      <c r="Z178" s="48"/>
      <c r="AA178" s="48"/>
      <c r="AB178" s="48"/>
      <c r="AC178" s="48"/>
      <c r="AD178" s="48"/>
      <c r="AE178" s="48"/>
      <c r="AF178" s="48"/>
      <c r="AG178" s="48"/>
      <c r="AH178" s="48"/>
      <c r="AI178" s="48"/>
      <c r="AJ178" s="48"/>
      <c r="AK178" s="48"/>
      <c r="AL178" s="48"/>
      <c r="AM178" s="48"/>
      <c r="AN178" s="48"/>
    </row>
    <row r="179" ht="18.75" customHeight="1">
      <c r="A179" s="5" t="str">
        <f t="shared" ref="A179:A236" si="46">+B179&amp;C179</f>
        <v>Wholesale autresWholesale Luxueux</v>
      </c>
      <c r="B179" s="48" t="s">
        <v>899</v>
      </c>
      <c r="C179" s="480" t="s">
        <v>902</v>
      </c>
      <c r="D179" s="481" t="str">
        <f t="array" ref="D179">+SUMPRODUCT(('Budget original'!$A$8:$A$501=$A179)*('Budget original'!$C$3:$AO$3=D$2),'Budget original'!$C$8:$AO$501)</f>
        <v>#N/A</v>
      </c>
      <c r="E179" s="481" t="str">
        <f>IF(D179=0,0,F179/D179)</f>
        <v>#N/A</v>
      </c>
      <c r="F179" s="481" t="str">
        <f t="array" ref="F179">+SUMPRODUCT(('Budget original'!$A$8:$A$501=$A179)*('Budget original'!$C$3:$AO$3=F$2),'Budget original'!$C$8:$AO$501)</f>
        <v>#N/A</v>
      </c>
      <c r="G179" s="482"/>
      <c r="H179" s="481"/>
      <c r="I179" s="481"/>
      <c r="J179" s="482">
        <f>SUMIFS(BV_Data_An_Cour!$AX:$AX,BV_Data_An_Cour!$AP:$AP,$B179,BV_Data_An_Cour!$AQ:$AQ,$C179,BV_Data_An_Cour!$AY:$AY,J$2)</f>
        <v>202</v>
      </c>
      <c r="K179" s="483">
        <f>IF(J179=0,0,L179/J179)</f>
        <v>2369.73599</v>
      </c>
      <c r="L179" s="484">
        <f>-SUMIFS(BV_Data_An_Cour!$AN:$AN,BV_Data_An_Cour!$AP:$AP,$B179,BV_Data_An_Cour!$AQ:$AQ,$C179,BV_Data_An_Cour!$AR:$AR,$L2)</f>
        <v>478686.67</v>
      </c>
      <c r="M179" s="482" t="str">
        <f>J179-D179</f>
        <v>#N/A</v>
      </c>
      <c r="N179" s="485" t="str">
        <f>L179-F179</f>
        <v>#N/A</v>
      </c>
      <c r="O179" s="482">
        <f>SUMIFS(BV_Data_An_Prec!$AX:$AX,BV_Data_An_Prec!$AP:$AP,$B179,BV_Data_An_Prec!$AQ:$AQ,$C179,BV_Data_An_Prec!$AY:$AY,O$2)</f>
        <v>175</v>
      </c>
      <c r="P179" s="483">
        <f>IF(O179=0,0,Q179/O179)</f>
        <v>3110.853314</v>
      </c>
      <c r="Q179" s="484">
        <f>-SUMIFS(BV_Data_An_Prec!$AN:$AN,BV_Data_An_Prec!$AP:$AP,$B179,BV_Data_An_Prec!$AQ:$AQ,$C179,BV_Data_An_Prec!$AR:$AR,$L2)</f>
        <v>544399.33</v>
      </c>
      <c r="R179" s="482">
        <f>J179-O179</f>
        <v>27</v>
      </c>
      <c r="S179" s="484">
        <f>L179-Q179</f>
        <v>-65712.66</v>
      </c>
      <c r="T179" s="48"/>
      <c r="U179" s="48"/>
      <c r="V179" s="798"/>
      <c r="W179" s="48"/>
      <c r="X179" s="48"/>
      <c r="Y179" s="48"/>
      <c r="Z179" s="48"/>
      <c r="AA179" s="48"/>
      <c r="AB179" s="48"/>
      <c r="AC179" s="48"/>
      <c r="AD179" s="48"/>
      <c r="AE179" s="48"/>
      <c r="AF179" s="48"/>
      <c r="AG179" s="48"/>
      <c r="AH179" s="48"/>
      <c r="AI179" s="48"/>
      <c r="AJ179" s="48"/>
      <c r="AK179" s="48"/>
      <c r="AL179" s="48"/>
      <c r="AM179" s="48"/>
      <c r="AN179" s="48"/>
    </row>
    <row r="180" ht="15.75" customHeight="1">
      <c r="A180" s="5" t="str">
        <f t="shared" si="46"/>
        <v>Wholesale autres</v>
      </c>
      <c r="B180" s="48" t="s">
        <v>899</v>
      </c>
      <c r="C180" s="480"/>
      <c r="D180" s="48"/>
      <c r="E180" s="48"/>
      <c r="F180" s="484"/>
      <c r="G180" s="480"/>
      <c r="H180" s="601"/>
      <c r="I180" s="484"/>
      <c r="J180" s="480"/>
      <c r="K180" s="483"/>
      <c r="L180" s="484"/>
      <c r="M180" s="525"/>
      <c r="N180" s="507" t="str">
        <f>#REF!/#REF!</f>
        <v>#REF!</v>
      </c>
      <c r="O180" s="480"/>
      <c r="P180" s="483"/>
      <c r="Q180" s="484"/>
      <c r="R180" s="616">
        <f>R179/O179</f>
        <v>0.1542857143</v>
      </c>
      <c r="S180" s="516">
        <f>IF(Q179=0,0,(S179/Q179))</f>
        <v>-0.1207067246</v>
      </c>
      <c r="T180" s="48"/>
      <c r="U180" s="48"/>
      <c r="V180" s="48"/>
      <c r="W180" s="48"/>
      <c r="X180" s="48"/>
      <c r="Y180" s="48"/>
      <c r="Z180" s="48"/>
      <c r="AA180" s="48"/>
      <c r="AB180" s="48"/>
      <c r="AC180" s="48"/>
      <c r="AD180" s="48"/>
      <c r="AE180" s="48"/>
      <c r="AF180" s="48"/>
      <c r="AG180" s="48"/>
      <c r="AH180" s="48"/>
      <c r="AI180" s="48"/>
      <c r="AJ180" s="48"/>
      <c r="AK180" s="48"/>
      <c r="AL180" s="48"/>
      <c r="AM180" s="48"/>
      <c r="AN180" s="48"/>
    </row>
    <row r="181" ht="15.75" customHeight="1">
      <c r="A181" s="5" t="str">
        <f t="shared" si="46"/>
        <v>Wholesale autres</v>
      </c>
      <c r="B181" s="48" t="s">
        <v>899</v>
      </c>
      <c r="C181" s="480"/>
      <c r="D181" s="48"/>
      <c r="E181" s="48"/>
      <c r="F181" s="484"/>
      <c r="G181" s="480"/>
      <c r="H181" s="601"/>
      <c r="I181" s="484"/>
      <c r="J181" s="480"/>
      <c r="K181" s="483"/>
      <c r="L181" s="484"/>
      <c r="M181" s="525"/>
      <c r="N181" s="507"/>
      <c r="O181" s="480"/>
      <c r="P181" s="483"/>
      <c r="Q181" s="484"/>
      <c r="R181" s="486"/>
      <c r="S181" s="504"/>
      <c r="T181" s="48"/>
      <c r="U181" s="48"/>
      <c r="V181" s="48"/>
      <c r="W181" s="48"/>
      <c r="X181" s="48"/>
      <c r="Y181" s="48"/>
      <c r="Z181" s="48"/>
      <c r="AA181" s="48"/>
      <c r="AB181" s="48"/>
      <c r="AC181" s="48"/>
      <c r="AD181" s="48"/>
      <c r="AE181" s="48"/>
      <c r="AF181" s="48"/>
      <c r="AG181" s="48"/>
      <c r="AH181" s="48"/>
      <c r="AI181" s="48"/>
      <c r="AJ181" s="48"/>
      <c r="AK181" s="48"/>
      <c r="AL181" s="48"/>
      <c r="AM181" s="48"/>
      <c r="AN181" s="48"/>
    </row>
    <row r="182" ht="18.0" customHeight="1">
      <c r="A182" s="5" t="str">
        <f t="shared" si="46"/>
        <v>Wholesale autresTotal Dépt. Wholesale autres</v>
      </c>
      <c r="B182" s="48" t="s">
        <v>899</v>
      </c>
      <c r="C182" s="526" t="s">
        <v>903</v>
      </c>
      <c r="D182" s="527" t="str">
        <f>D175+D177+D179</f>
        <v>#N/A</v>
      </c>
      <c r="E182" s="528" t="str">
        <f>IF(D182&lt;=0,0,F182/D182)</f>
        <v>#N/A</v>
      </c>
      <c r="F182" s="529" t="str">
        <f>#REF!+#REF!+#REF!</f>
        <v>#REF!</v>
      </c>
      <c r="G182" s="530"/>
      <c r="H182" s="528"/>
      <c r="I182" s="529"/>
      <c r="J182" s="530">
        <f>J175+J177+J179</f>
        <v>1060</v>
      </c>
      <c r="K182" s="527">
        <f>IF(J182&lt;=0,0,L182/J182)</f>
        <v>1040.120755</v>
      </c>
      <c r="L182" s="529">
        <f>L175+L179+L177</f>
        <v>1102528</v>
      </c>
      <c r="M182" s="530" t="str">
        <f>J182-D182</f>
        <v>#N/A</v>
      </c>
      <c r="N182" s="529" t="str">
        <f>#REF!+#REF!+#REF!+#REF!</f>
        <v>#REF!</v>
      </c>
      <c r="O182" s="530">
        <f>O175+O177+O179</f>
        <v>693</v>
      </c>
      <c r="P182" s="527">
        <f>IF(O182&lt;=0,0,Q182/O182)</f>
        <v>1737.848442</v>
      </c>
      <c r="Q182" s="529">
        <f>Q175+Q179+Q177</f>
        <v>1204328.97</v>
      </c>
      <c r="R182" s="530">
        <f>J182-O182</f>
        <v>367</v>
      </c>
      <c r="S182" s="529">
        <f>S175+S179+S177</f>
        <v>-101800.97</v>
      </c>
      <c r="T182" s="48"/>
      <c r="U182" s="48"/>
      <c r="V182" s="48"/>
      <c r="W182" s="48"/>
      <c r="X182" s="48"/>
      <c r="Y182" s="48"/>
      <c r="Z182" s="48"/>
      <c r="AA182" s="48"/>
      <c r="AB182" s="48"/>
      <c r="AC182" s="48"/>
      <c r="AD182" s="48"/>
      <c r="AE182" s="48"/>
      <c r="AF182" s="48"/>
      <c r="AG182" s="48"/>
      <c r="AH182" s="48"/>
      <c r="AI182" s="48"/>
      <c r="AJ182" s="48"/>
      <c r="AK182" s="48"/>
      <c r="AL182" s="48"/>
      <c r="AM182" s="48"/>
      <c r="AN182" s="48"/>
    </row>
    <row r="183" ht="22.5" customHeight="1">
      <c r="A183" s="5" t="str">
        <f t="shared" si="46"/>
        <v>Wholesale autres</v>
      </c>
      <c r="B183" s="48" t="s">
        <v>899</v>
      </c>
      <c r="C183" s="531"/>
      <c r="D183" s="532"/>
      <c r="E183" s="532"/>
      <c r="F183" s="533"/>
      <c r="G183" s="531"/>
      <c r="H183" s="532"/>
      <c r="I183" s="533"/>
      <c r="J183" s="531"/>
      <c r="K183" s="534"/>
      <c r="L183" s="535"/>
      <c r="M183" s="536"/>
      <c r="N183" s="537"/>
      <c r="O183" s="531"/>
      <c r="P183" s="534"/>
      <c r="Q183" s="535"/>
      <c r="R183" s="536">
        <f>O182/R182</f>
        <v>1.888283379</v>
      </c>
      <c r="S183" s="538">
        <f>IF(Q182=0,0,(S182/Q182))</f>
        <v>-0.08452920467</v>
      </c>
      <c r="T183" s="48"/>
      <c r="U183" s="48"/>
      <c r="V183" s="48"/>
      <c r="W183" s="48"/>
      <c r="X183" s="48"/>
      <c r="Y183" s="48"/>
      <c r="Z183" s="48"/>
      <c r="AA183" s="48"/>
      <c r="AB183" s="48"/>
      <c r="AC183" s="48"/>
      <c r="AD183" s="48"/>
      <c r="AE183" s="48"/>
      <c r="AF183" s="48"/>
      <c r="AG183" s="48"/>
      <c r="AH183" s="48"/>
      <c r="AI183" s="48"/>
      <c r="AJ183" s="48"/>
      <c r="AK183" s="48"/>
      <c r="AL183" s="48"/>
      <c r="AM183" s="48"/>
      <c r="AN183" s="48"/>
    </row>
    <row r="184" ht="15.75" customHeight="1">
      <c r="A184" s="5" t="str">
        <f t="shared" si="46"/>
        <v>Wholesale autres</v>
      </c>
      <c r="B184" s="48" t="s">
        <v>899</v>
      </c>
      <c r="C184" s="500"/>
      <c r="D184" s="11"/>
      <c r="E184" s="11"/>
      <c r="F184" s="502"/>
      <c r="G184" s="500"/>
      <c r="H184" s="11"/>
      <c r="I184" s="502"/>
      <c r="J184" s="500"/>
      <c r="K184" s="503"/>
      <c r="L184" s="504"/>
      <c r="M184" s="525"/>
      <c r="N184" s="507"/>
      <c r="O184" s="500"/>
      <c r="P184" s="503"/>
      <c r="Q184" s="504"/>
      <c r="R184" s="525"/>
      <c r="S184" s="507"/>
      <c r="T184" s="48"/>
      <c r="U184" s="48"/>
      <c r="V184" s="48"/>
      <c r="W184" s="48"/>
      <c r="X184" s="48"/>
      <c r="Y184" s="48"/>
      <c r="Z184" s="48"/>
      <c r="AA184" s="48"/>
      <c r="AB184" s="48"/>
      <c r="AC184" s="48"/>
      <c r="AD184" s="48"/>
      <c r="AE184" s="48"/>
      <c r="AF184" s="48"/>
      <c r="AG184" s="48"/>
      <c r="AH184" s="48"/>
      <c r="AI184" s="48"/>
      <c r="AJ184" s="48"/>
      <c r="AK184" s="48"/>
      <c r="AL184" s="48"/>
      <c r="AM184" s="48"/>
      <c r="AN184" s="48"/>
    </row>
    <row r="185" ht="15.75" customHeight="1">
      <c r="A185" s="5" t="str">
        <f t="shared" si="46"/>
        <v>Wholesale autresDEPENSES</v>
      </c>
      <c r="B185" s="48" t="s">
        <v>899</v>
      </c>
      <c r="C185" s="541" t="s">
        <v>110</v>
      </c>
      <c r="D185" s="48"/>
      <c r="E185" s="41"/>
      <c r="F185" s="484"/>
      <c r="G185" s="480"/>
      <c r="H185" s="41"/>
      <c r="I185" s="484"/>
      <c r="J185" s="480"/>
      <c r="K185" s="542"/>
      <c r="L185" s="484"/>
      <c r="M185" s="480"/>
      <c r="N185" s="514"/>
      <c r="O185" s="515"/>
      <c r="P185" s="483"/>
      <c r="Q185" s="484"/>
      <c r="R185" s="480"/>
      <c r="S185" s="514"/>
      <c r="T185" s="48"/>
      <c r="U185" s="48"/>
      <c r="V185" s="48"/>
      <c r="W185" s="48"/>
      <c r="X185" s="48"/>
      <c r="Y185" s="48"/>
      <c r="Z185" s="48"/>
      <c r="AA185" s="48"/>
      <c r="AB185" s="48"/>
      <c r="AC185" s="48"/>
      <c r="AD185" s="48"/>
      <c r="AE185" s="48"/>
      <c r="AF185" s="48"/>
      <c r="AG185" s="48"/>
      <c r="AH185" s="48"/>
      <c r="AI185" s="48"/>
      <c r="AJ185" s="48"/>
      <c r="AK185" s="48"/>
      <c r="AL185" s="48"/>
      <c r="AM185" s="48"/>
      <c r="AN185" s="48"/>
    </row>
    <row r="186" ht="15.75" customHeight="1">
      <c r="A186" s="5" t="str">
        <f t="shared" si="46"/>
        <v>Wholesale autresComm. vendeurs</v>
      </c>
      <c r="B186" s="48" t="s">
        <v>899</v>
      </c>
      <c r="C186" s="480" t="s">
        <v>111</v>
      </c>
      <c r="D186" s="515" t="str">
        <f>F186/F182</f>
        <v>#N/A</v>
      </c>
      <c r="E186" s="483" t="str">
        <f>IF($J$97=0,0,F186/(D$94+D$95+D182))</f>
        <v>#N/A</v>
      </c>
      <c r="F186" s="481" t="str">
        <f t="array" ref="F186">+SUMPRODUCT(('Budget original'!$A$8:$A$501=$A186)*('Budget original'!$C$3:$AO$3=F$2),'Budget original'!$C$8:$AO$501)</f>
        <v>#N/A</v>
      </c>
      <c r="G186" s="515"/>
      <c r="H186" s="483"/>
      <c r="I186" s="481"/>
      <c r="J186" s="515">
        <f>L186/L182</f>
        <v>0.2105751509</v>
      </c>
      <c r="K186" s="483">
        <f>IF($J$97=0,0,L186/(J$94+J$95+J182))</f>
        <v>185.2873105</v>
      </c>
      <c r="L186" s="484">
        <f>SUMIFS(BV_Data_An_Cour!$AN:$AN,BV_Data_An_Cour!$AP:$AP,$B186,BV_Data_An_Cour!$AQ:$AQ,$C186,BV_Data_An_Cour!$AR:$AR,$L$2)</f>
        <v>232165</v>
      </c>
      <c r="M186" s="480"/>
      <c r="N186" s="484" t="str">
        <f t="shared" ref="N186:N227" si="47">L186-F186</f>
        <v>#N/A</v>
      </c>
      <c r="O186" s="515">
        <f>Q186/Q182</f>
        <v>0</v>
      </c>
      <c r="P186" s="483">
        <f>IF($J$97=0,0,Q186/(O$94+O$95+O182))</f>
        <v>0</v>
      </c>
      <c r="Q186" s="484">
        <f>SUMIFS(BV_Data_An_Prec!$AN:$AN,BV_Data_An_Prec!$AP:$AP,$B186,BV_Data_An_Prec!$AQ:$AQ,$C186,BV_Data_An_Prec!$AR:$AR,$L$2)</f>
        <v>0</v>
      </c>
      <c r="R186" s="480"/>
      <c r="S186" s="484">
        <f t="shared" ref="S186:S196" si="48">L186-Q186</f>
        <v>232165</v>
      </c>
      <c r="T186" s="48"/>
      <c r="U186" s="48"/>
      <c r="V186" s="48"/>
      <c r="W186" s="48"/>
      <c r="X186" s="48"/>
      <c r="Y186" s="48"/>
      <c r="Z186" s="48"/>
      <c r="AA186" s="48"/>
      <c r="AB186" s="48"/>
      <c r="AC186" s="48"/>
      <c r="AD186" s="48"/>
      <c r="AE186" s="48"/>
      <c r="AF186" s="48"/>
      <c r="AG186" s="48"/>
      <c r="AH186" s="48"/>
      <c r="AI186" s="48"/>
      <c r="AJ186" s="48"/>
      <c r="AK186" s="48"/>
      <c r="AL186" s="48"/>
      <c r="AM186" s="48"/>
      <c r="AN186" s="48"/>
    </row>
    <row r="187" ht="15.75" customHeight="1">
      <c r="A187" s="5" t="str">
        <f t="shared" si="46"/>
        <v>Wholesale autresComm. F&amp;I</v>
      </c>
      <c r="B187" s="48" t="s">
        <v>899</v>
      </c>
      <c r="C187" s="471" t="s">
        <v>112</v>
      </c>
      <c r="D187" s="545" t="str">
        <f>F187/(F182)</f>
        <v>#N/A</v>
      </c>
      <c r="E187" s="513" t="str">
        <f>IF($J$97=0,0,F187/(D$94+D$95+D182))</f>
        <v>#N/A</v>
      </c>
      <c r="F187" s="473" t="str">
        <f t="array" ref="F187">+SUMPRODUCT(('Budget original'!$A$8:$A$501=$A187)*('Budget original'!$C$3:$AO$3=F$2),'Budget original'!$C$8:$AO$501)</f>
        <v>#N/A</v>
      </c>
      <c r="G187" s="545"/>
      <c r="H187" s="513"/>
      <c r="I187" s="473"/>
      <c r="J187" s="545">
        <f>L187/(L182)</f>
        <v>0</v>
      </c>
      <c r="K187" s="513">
        <f>IF($J$97=0,0,L187/(J$94+J$95+J182))</f>
        <v>0</v>
      </c>
      <c r="L187" s="484">
        <f>SUMIFS(BV_Data_An_Cour!$AN:$AN,BV_Data_An_Cour!$AP:$AP,$B187,BV_Data_An_Cour!$AQ:$AQ,$C187,BV_Data_An_Cour!$AR:$AR,$L$2)</f>
        <v>0</v>
      </c>
      <c r="M187" s="471"/>
      <c r="N187" s="476" t="str">
        <f t="shared" si="47"/>
        <v>#N/A</v>
      </c>
      <c r="O187" s="545">
        <f>Q187/(Q182)</f>
        <v>0</v>
      </c>
      <c r="P187" s="513">
        <f>IF($J$97=0,0,Q187/(O$94+O$95+O182))</f>
        <v>0</v>
      </c>
      <c r="Q187" s="484">
        <f>SUMIFS(BV_Data_An_Prec!$AN:$AN,BV_Data_An_Prec!$AP:$AP,$B187,BV_Data_An_Prec!$AQ:$AQ,$C187,BV_Data_An_Prec!$AR:$AR,$L$2)</f>
        <v>0</v>
      </c>
      <c r="R187" s="471"/>
      <c r="S187" s="476">
        <f t="shared" si="48"/>
        <v>0</v>
      </c>
      <c r="T187" s="48"/>
      <c r="U187" s="48"/>
      <c r="V187" s="48"/>
      <c r="W187" s="48"/>
      <c r="X187" s="48"/>
      <c r="Y187" s="48"/>
      <c r="Z187" s="48"/>
      <c r="AA187" s="48"/>
      <c r="AB187" s="48"/>
      <c r="AC187" s="48"/>
      <c r="AD187" s="48"/>
      <c r="AE187" s="48"/>
      <c r="AF187" s="48"/>
      <c r="AG187" s="48"/>
      <c r="AH187" s="48"/>
      <c r="AI187" s="48"/>
      <c r="AJ187" s="48"/>
      <c r="AK187" s="48"/>
      <c r="AL187" s="48"/>
      <c r="AM187" s="48"/>
      <c r="AN187" s="48"/>
    </row>
    <row r="188" ht="15.75" customHeight="1">
      <c r="A188" s="5" t="str">
        <f t="shared" si="46"/>
        <v>Wholesale autresFrais de livraison</v>
      </c>
      <c r="B188" s="48" t="s">
        <v>899</v>
      </c>
      <c r="C188" s="480" t="s">
        <v>113</v>
      </c>
      <c r="D188" s="480"/>
      <c r="E188" s="483" t="str">
        <f>IF($J$97=0,0,F188/(D$94+D$95+D182))</f>
        <v>#N/A</v>
      </c>
      <c r="F188" s="481" t="str">
        <f t="array" ref="F188">+SUMPRODUCT(('Budget original'!$A$8:$A$501=$A188)*('Budget original'!$C$3:$AO$3=F$2),'Budget original'!$C$8:$AO$501)</f>
        <v>#N/A</v>
      </c>
      <c r="G188" s="547"/>
      <c r="H188" s="483"/>
      <c r="I188" s="481"/>
      <c r="J188" s="480"/>
      <c r="K188" s="483">
        <f>IF($J$97=0,0,L188/(J$94+J$95+J182))</f>
        <v>9.456664006</v>
      </c>
      <c r="L188" s="523">
        <f>SUMIFS(BV_Data_An_Cour!$AN:$AN,BV_Data_An_Cour!$AP:$AP,$B188,BV_Data_An_Cour!$AQ:$AQ,$C188,BV_Data_An_Cour!$AR:$AR,$L$2)</f>
        <v>11849.2</v>
      </c>
      <c r="M188" s="480"/>
      <c r="N188" s="484" t="str">
        <f t="shared" si="47"/>
        <v>#N/A</v>
      </c>
      <c r="O188" s="480"/>
      <c r="P188" s="483">
        <f>IF($J$97=0,0,Q188/(O$94+O$95+O182))</f>
        <v>10.74472938</v>
      </c>
      <c r="Q188" s="523">
        <f>SUMIFS(BV_Data_An_Prec!$AN:$AN,BV_Data_An_Prec!$AP:$AP,$B188,BV_Data_An_Prec!$AQ:$AQ,$C188,BV_Data_An_Prec!$AR:$AR,$L$2)</f>
        <v>8337.91</v>
      </c>
      <c r="R188" s="480"/>
      <c r="S188" s="484">
        <f t="shared" si="48"/>
        <v>3511.29</v>
      </c>
      <c r="T188" s="48"/>
      <c r="U188" s="48"/>
      <c r="V188" s="48"/>
      <c r="W188" s="481"/>
      <c r="X188" s="48"/>
      <c r="Y188" s="48"/>
      <c r="Z188" s="48"/>
      <c r="AA188" s="48"/>
      <c r="AB188" s="48"/>
      <c r="AC188" s="48"/>
      <c r="AD188" s="48"/>
      <c r="AE188" s="48"/>
      <c r="AF188" s="48"/>
      <c r="AG188" s="48"/>
      <c r="AH188" s="48"/>
      <c r="AI188" s="48"/>
      <c r="AJ188" s="48"/>
      <c r="AK188" s="48"/>
      <c r="AL188" s="48"/>
      <c r="AM188" s="48"/>
      <c r="AN188" s="48"/>
    </row>
    <row r="189" ht="15.75" customHeight="1">
      <c r="A189" s="5" t="str">
        <f t="shared" si="46"/>
        <v>Wholesale autresService gratuit 1</v>
      </c>
      <c r="B189" s="48" t="s">
        <v>899</v>
      </c>
      <c r="C189" s="480" t="s">
        <v>114</v>
      </c>
      <c r="D189" s="480"/>
      <c r="E189" s="483" t="str">
        <f>IF($J$97=0,0,F189/(D$94+D$95+D182))</f>
        <v>#N/A</v>
      </c>
      <c r="F189" s="481" t="str">
        <f t="array" ref="F189">+SUMPRODUCT(('Budget original'!$A$8:$A$501=$A189)*('Budget original'!$C$3:$AO$3=F$2),'Budget original'!$C$8:$AO$501)</f>
        <v>#N/A</v>
      </c>
      <c r="G189" s="547"/>
      <c r="H189" s="483"/>
      <c r="I189" s="481"/>
      <c r="J189" s="480"/>
      <c r="K189" s="483">
        <f>IF($J$97=0,0,L189/(J$94+J$95+J182))</f>
        <v>0</v>
      </c>
      <c r="L189" s="484">
        <f>SUMIFS(BV_Data_An_Cour!$AN:$AN,BV_Data_An_Cour!$AP:$AP,$B189,BV_Data_An_Cour!$AQ:$AQ,$C189,BV_Data_An_Cour!$AR:$AR,$L$2)</f>
        <v>0</v>
      </c>
      <c r="M189" s="480"/>
      <c r="N189" s="484" t="str">
        <f t="shared" si="47"/>
        <v>#N/A</v>
      </c>
      <c r="O189" s="480"/>
      <c r="P189" s="483">
        <f>IF($J$97=0,0,Q189/(O$94+O$95+O182))</f>
        <v>0</v>
      </c>
      <c r="Q189" s="484">
        <f>SUMIFS(BV_Data_An_Prec!$AN:$AN,BV_Data_An_Prec!$AP:$AP,$B189,BV_Data_An_Prec!$AQ:$AQ,$C189,BV_Data_An_Prec!$AR:$AR,$L$2)</f>
        <v>0</v>
      </c>
      <c r="R189" s="480"/>
      <c r="S189" s="484">
        <f t="shared" si="48"/>
        <v>0</v>
      </c>
      <c r="T189" s="48"/>
      <c r="U189" s="48"/>
      <c r="V189" s="48"/>
      <c r="W189" s="481"/>
      <c r="X189" s="48"/>
      <c r="Y189" s="48"/>
      <c r="Z189" s="48"/>
      <c r="AA189" s="48"/>
      <c r="AB189" s="48"/>
      <c r="AC189" s="48"/>
      <c r="AD189" s="48"/>
      <c r="AE189" s="48"/>
      <c r="AF189" s="48"/>
      <c r="AG189" s="48"/>
      <c r="AH189" s="48"/>
      <c r="AI189" s="48"/>
      <c r="AJ189" s="48"/>
      <c r="AK189" s="48"/>
      <c r="AL189" s="48"/>
      <c r="AM189" s="48"/>
      <c r="AN189" s="48"/>
    </row>
    <row r="190" ht="15.75" customHeight="1">
      <c r="A190" s="5" t="str">
        <f t="shared" si="46"/>
        <v>Wholesale autresEntretien stock</v>
      </c>
      <c r="B190" s="48" t="s">
        <v>899</v>
      </c>
      <c r="C190" s="471" t="s">
        <v>115</v>
      </c>
      <c r="D190" s="471"/>
      <c r="E190" s="513" t="str">
        <f>IF($J$97=0,0,F190/(D$94+D$95+D182))</f>
        <v>#N/A</v>
      </c>
      <c r="F190" s="473" t="str">
        <f t="array" ref="F190">+SUMPRODUCT(('Budget original'!$A$8:$A$501=$A190)*('Budget original'!$C$3:$AO$3=F$2),'Budget original'!$C$8:$AO$501)</f>
        <v>#N/A</v>
      </c>
      <c r="G190" s="550"/>
      <c r="H190" s="513"/>
      <c r="I190" s="473"/>
      <c r="J190" s="471"/>
      <c r="K190" s="513">
        <f>IF($J$97=0,0,L190/(J$94+J$95+J182))</f>
        <v>0.02793296089</v>
      </c>
      <c r="L190" s="476">
        <f>SUMIFS(BV_Data_An_Cour!$AN:$AN,BV_Data_An_Cour!$AP:$AP,$B190,BV_Data_An_Cour!$AQ:$AQ,$C190,BV_Data_An_Cour!$AR:$AR,$L$2)</f>
        <v>35</v>
      </c>
      <c r="M190" s="471"/>
      <c r="N190" s="476" t="str">
        <f t="shared" si="47"/>
        <v>#N/A</v>
      </c>
      <c r="O190" s="471"/>
      <c r="P190" s="513">
        <f>IF($J$97=0,0,Q190/(O$94+O$95+O182))</f>
        <v>0</v>
      </c>
      <c r="Q190" s="476">
        <f>SUMIFS(BV_Data_An_Prec!$AN:$AN,BV_Data_An_Prec!$AP:$AP,$B190,BV_Data_An_Prec!$AQ:$AQ,$C190,BV_Data_An_Prec!$AR:$AR,$L$2)</f>
        <v>0</v>
      </c>
      <c r="R190" s="471"/>
      <c r="S190" s="476">
        <f t="shared" si="48"/>
        <v>35</v>
      </c>
      <c r="T190" s="48"/>
      <c r="U190" s="669"/>
      <c r="V190" s="48"/>
      <c r="W190" s="481"/>
      <c r="X190" s="48"/>
      <c r="Y190" s="48"/>
      <c r="Z190" s="48"/>
      <c r="AA190" s="48"/>
      <c r="AB190" s="48"/>
      <c r="AC190" s="48"/>
      <c r="AD190" s="48"/>
      <c r="AE190" s="48"/>
      <c r="AF190" s="48"/>
      <c r="AG190" s="48"/>
      <c r="AH190" s="48"/>
      <c r="AI190" s="48"/>
      <c r="AJ190" s="48"/>
      <c r="AK190" s="48"/>
      <c r="AL190" s="48"/>
      <c r="AM190" s="48"/>
      <c r="AN190" s="48"/>
    </row>
    <row r="191" ht="19.5" customHeight="1">
      <c r="A191" s="5" t="str">
        <f t="shared" si="46"/>
        <v>Wholesale autresPublicité 1</v>
      </c>
      <c r="B191" s="48" t="s">
        <v>899</v>
      </c>
      <c r="C191" s="480" t="s">
        <v>116</v>
      </c>
      <c r="D191" s="480"/>
      <c r="E191" s="483" t="str">
        <f>IF($J$97=0,0,F191/(D$94+D$95+D182))</f>
        <v>#N/A</v>
      </c>
      <c r="F191" s="481" t="str">
        <f t="array" ref="F191">+SUMPRODUCT(('Budget original'!$A$8:$A$501=$A191)*('Budget original'!$C$3:$AO$3=F$2),'Budget original'!$C$8:$AO$501)</f>
        <v>#N/A</v>
      </c>
      <c r="G191" s="547"/>
      <c r="H191" s="483"/>
      <c r="I191" s="481"/>
      <c r="J191" s="480"/>
      <c r="K191" s="483">
        <f>IF($J$97=0,0,L191/(J$94+J$95+J182))</f>
        <v>0</v>
      </c>
      <c r="L191" s="484">
        <f>SUMIFS(BV_Data_An_Cour!$AN:$AN,BV_Data_An_Cour!$AP:$AP,$B191,BV_Data_An_Cour!$AQ:$AQ,$C191,BV_Data_An_Cour!$AR:$AR,$L$2)</f>
        <v>0</v>
      </c>
      <c r="M191" s="480"/>
      <c r="N191" s="484" t="str">
        <f t="shared" si="47"/>
        <v>#N/A</v>
      </c>
      <c r="O191" s="480"/>
      <c r="P191" s="483">
        <f>IF($J$97=0,0,Q191/(O$94+O$95+O182))</f>
        <v>0</v>
      </c>
      <c r="Q191" s="484">
        <f>SUMIFS(BV_Data_An_Prec!$AN:$AN,BV_Data_An_Prec!$AP:$AP,$B191,BV_Data_An_Prec!$AQ:$AQ,$C191,BV_Data_An_Prec!$AR:$AR,$L$2)</f>
        <v>0</v>
      </c>
      <c r="R191" s="480"/>
      <c r="S191" s="484">
        <f t="shared" si="48"/>
        <v>0</v>
      </c>
      <c r="T191" s="48"/>
      <c r="U191" s="669"/>
      <c r="V191" s="48"/>
      <c r="W191" s="481"/>
      <c r="Z191" s="48"/>
      <c r="AA191" s="48"/>
      <c r="AB191" s="48"/>
      <c r="AC191" s="48"/>
      <c r="AD191" s="48"/>
      <c r="AE191" s="48"/>
      <c r="AF191" s="48"/>
      <c r="AG191" s="48"/>
      <c r="AH191" s="48"/>
      <c r="AI191" s="48"/>
      <c r="AJ191" s="48"/>
      <c r="AK191" s="48"/>
      <c r="AL191" s="48"/>
      <c r="AM191" s="48"/>
      <c r="AN191" s="48"/>
    </row>
    <row r="192" ht="15.75" customHeight="1">
      <c r="A192" s="5" t="str">
        <f t="shared" si="46"/>
        <v>Wholesale autresIntérêt de gros</v>
      </c>
      <c r="B192" s="48" t="s">
        <v>899</v>
      </c>
      <c r="C192" s="480" t="s">
        <v>117</v>
      </c>
      <c r="D192" s="480"/>
      <c r="E192" s="483" t="str">
        <f>IF($J$97=0,0,F192/(D$94+D$95+D182))</f>
        <v>#N/A</v>
      </c>
      <c r="F192" s="481" t="str">
        <f t="array" ref="F192">+SUMPRODUCT(('Budget original'!$A$8:$A$501=$A192)*('Budget original'!$C$3:$AO$3=F$2),'Budget original'!$C$8:$AO$501)</f>
        <v>#N/A</v>
      </c>
      <c r="G192" s="547"/>
      <c r="H192" s="483"/>
      <c r="I192" s="481"/>
      <c r="J192" s="480"/>
      <c r="K192" s="483">
        <f>IF($J$97=0,0,L192/(J$94+J$95+J182))</f>
        <v>141.0438228</v>
      </c>
      <c r="L192" s="484">
        <f>SUMIFS(BV_Data_An_Cour!$AN:$AN,BV_Data_An_Cour!$AP:$AP,$B192,BV_Data_An_Cour!$AQ:$AQ,$C192,BV_Data_An_Cour!$AR:$AR,$L$2)</f>
        <v>176727.91</v>
      </c>
      <c r="M192" s="480"/>
      <c r="N192" s="484" t="str">
        <f t="shared" si="47"/>
        <v>#N/A</v>
      </c>
      <c r="O192" s="480"/>
      <c r="P192" s="483">
        <f>IF($J$97=0,0,Q192/(O$94+O$95+O182))</f>
        <v>203.7430284</v>
      </c>
      <c r="Q192" s="484">
        <f>SUMIFS(BV_Data_An_Prec!$AN:$AN,BV_Data_An_Prec!$AP:$AP,$B192,BV_Data_An_Prec!$AQ:$AQ,$C192,BV_Data_An_Prec!$AR:$AR,$L$2)</f>
        <v>158104.59</v>
      </c>
      <c r="R192" s="480"/>
      <c r="S192" s="484">
        <f t="shared" si="48"/>
        <v>18623.32</v>
      </c>
      <c r="T192" s="48"/>
      <c r="U192" s="48"/>
      <c r="V192" s="48"/>
      <c r="W192" s="481"/>
      <c r="X192" s="48"/>
      <c r="Y192" s="48"/>
      <c r="Z192" s="48"/>
      <c r="AA192" s="48"/>
      <c r="AB192" s="48"/>
      <c r="AC192" s="48"/>
      <c r="AD192" s="48"/>
      <c r="AE192" s="48"/>
      <c r="AF192" s="48"/>
      <c r="AG192" s="48"/>
      <c r="AH192" s="48"/>
      <c r="AI192" s="48"/>
      <c r="AJ192" s="48"/>
      <c r="AK192" s="48"/>
      <c r="AL192" s="48"/>
      <c r="AM192" s="48"/>
      <c r="AN192" s="48"/>
    </row>
    <row r="193" ht="20.25" customHeight="1">
      <c r="A193" s="5" t="str">
        <f t="shared" si="46"/>
        <v>Wholesale autresCrédit Intérêts Floor Plan</v>
      </c>
      <c r="B193" s="48" t="s">
        <v>899</v>
      </c>
      <c r="C193" s="480" t="s">
        <v>813</v>
      </c>
      <c r="D193" s="546"/>
      <c r="E193" s="483" t="str">
        <f t="shared" ref="E193:E195" si="49">F193/D$97</f>
        <v>#N/A</v>
      </c>
      <c r="F193" s="481" t="str">
        <f t="array" ref="F193">+SUMPRODUCT(('Budget original'!$A$8:$A$501=$A193)*('Budget original'!$C$3:$AO$3=F$2),'Budget original'!$C$8:$AO$501)</f>
        <v>#N/A</v>
      </c>
      <c r="G193" s="547"/>
      <c r="H193" s="483"/>
      <c r="I193" s="481"/>
      <c r="J193" s="480"/>
      <c r="K193" s="483">
        <f t="shared" ref="K193:K195" si="50">IF($J$97=0,0,L193/(J$94+J$95))</f>
        <v>0</v>
      </c>
      <c r="L193" s="484">
        <f>SUMIFS(BV_Data_An_Cour!$AN:$AN,BV_Data_An_Cour!$AP:$AP,$B193,BV_Data_An_Cour!$AQ:$AQ,$C193,BV_Data_An_Cour!$AR:$AR,$L$2)</f>
        <v>0</v>
      </c>
      <c r="M193" s="480"/>
      <c r="N193" s="484" t="str">
        <f t="shared" si="47"/>
        <v>#N/A</v>
      </c>
      <c r="O193" s="480"/>
      <c r="P193" s="483">
        <f t="shared" ref="P193:P195" si="51">IF($J$97=0,0,Q193/(O$94+O$95))</f>
        <v>0</v>
      </c>
      <c r="Q193" s="485">
        <f>SUMIFS(BV_Data_An_Prec!$AN:$AN,BV_Data_An_Prec!$AP:$AP,$B193,BV_Data_An_Prec!$AQ:$AQ,$C193,BV_Data_An_Prec!$AR:$AR,$L$2)</f>
        <v>0</v>
      </c>
      <c r="R193" s="480"/>
      <c r="S193" s="484">
        <f t="shared" si="48"/>
        <v>0</v>
      </c>
      <c r="T193" s="48"/>
      <c r="U193" s="48"/>
      <c r="V193" s="48"/>
      <c r="W193" s="48"/>
      <c r="X193" s="48"/>
      <c r="Y193" s="48"/>
      <c r="Z193" s="48"/>
      <c r="AA193" s="48"/>
      <c r="AB193" s="48"/>
      <c r="AC193" s="48"/>
      <c r="AD193" s="48"/>
      <c r="AE193" s="48"/>
      <c r="AF193" s="48"/>
      <c r="AG193" s="48"/>
      <c r="AH193" s="48"/>
      <c r="AI193" s="48"/>
      <c r="AJ193" s="48"/>
      <c r="AK193" s="48"/>
      <c r="AL193" s="48"/>
      <c r="AM193" s="48"/>
      <c r="AN193" s="48"/>
    </row>
    <row r="194" ht="20.25" customHeight="1">
      <c r="A194" s="5" t="str">
        <f t="shared" si="46"/>
        <v>Wholesale autresCrédit Boni TD</v>
      </c>
      <c r="B194" s="48" t="s">
        <v>899</v>
      </c>
      <c r="C194" s="480" t="s">
        <v>814</v>
      </c>
      <c r="D194" s="546"/>
      <c r="E194" s="483" t="str">
        <f t="shared" si="49"/>
        <v>#N/A</v>
      </c>
      <c r="F194" s="481" t="str">
        <f t="array" ref="F194">+SUMPRODUCT(('Budget original'!$A$8:$A$501=$A194)*('Budget original'!$C$3:$AO$3=F$2),'Budget original'!$C$8:$AO$501)</f>
        <v>#N/A</v>
      </c>
      <c r="G194" s="547"/>
      <c r="H194" s="483"/>
      <c r="I194" s="481"/>
      <c r="J194" s="480"/>
      <c r="K194" s="483">
        <f t="shared" si="50"/>
        <v>-38.87507772</v>
      </c>
      <c r="L194" s="484">
        <f>SUMIFS(BV_Data_An_Cour!$AN:$AN,BV_Data_An_Cour!$AP:$AP,$B194,BV_Data_An_Cour!$AQ:$AQ,$C194,BV_Data_An_Cour!$AR:$AR,$L$2)</f>
        <v>-7502.89</v>
      </c>
      <c r="M194" s="480"/>
      <c r="N194" s="484" t="str">
        <f t="shared" si="47"/>
        <v>#N/A</v>
      </c>
      <c r="O194" s="480"/>
      <c r="P194" s="483">
        <f t="shared" si="51"/>
        <v>0</v>
      </c>
      <c r="Q194" s="485">
        <f>SUMIFS(BV_Data_An_Prec!$AN:$AN,BV_Data_An_Prec!$AP:$AP,$B194,BV_Data_An_Prec!$AQ:$AQ,$C194,BV_Data_An_Prec!$AR:$AR,$L$2)</f>
        <v>0</v>
      </c>
      <c r="R194" s="480"/>
      <c r="S194" s="484">
        <f t="shared" si="48"/>
        <v>-7502.89</v>
      </c>
      <c r="T194" s="48"/>
      <c r="U194" s="48"/>
      <c r="V194" s="48"/>
      <c r="W194" s="48"/>
      <c r="X194" s="48"/>
      <c r="Y194" s="48"/>
      <c r="Z194" s="48"/>
      <c r="AA194" s="48"/>
      <c r="AB194" s="48"/>
      <c r="AC194" s="48"/>
      <c r="AD194" s="48"/>
      <c r="AE194" s="48"/>
      <c r="AF194" s="48"/>
      <c r="AG194" s="48"/>
      <c r="AH194" s="48"/>
      <c r="AI194" s="48"/>
      <c r="AJ194" s="48"/>
      <c r="AK194" s="48"/>
      <c r="AL194" s="48"/>
      <c r="AM194" s="48"/>
      <c r="AN194" s="48"/>
    </row>
    <row r="195" ht="20.25" hidden="1" customHeight="1">
      <c r="A195" s="5" t="str">
        <f t="shared" si="46"/>
        <v>Wholesale autres[...]</v>
      </c>
      <c r="B195" s="48" t="s">
        <v>899</v>
      </c>
      <c r="C195" s="480" t="s">
        <v>56</v>
      </c>
      <c r="D195" s="546"/>
      <c r="E195" s="483" t="str">
        <f t="shared" si="49"/>
        <v>#N/A</v>
      </c>
      <c r="F195" s="481" t="str">
        <f t="array" ref="F195">+SUMPRODUCT(('Budget original'!$A$8:$A$501=$A195)*('Budget original'!$C$3:$AO$3=F$2),'Budget original'!$C$8:$AO$501)</f>
        <v>#N/A</v>
      </c>
      <c r="G195" s="547"/>
      <c r="H195" s="483"/>
      <c r="I195" s="481"/>
      <c r="J195" s="480"/>
      <c r="K195" s="483">
        <f t="shared" si="50"/>
        <v>0</v>
      </c>
      <c r="L195" s="485">
        <f>SUMIFS(BV_Data_An_Cour!$AN:$AN,BV_Data_An_Cour!$AP:$AP,$B195,BV_Data_An_Cour!$AQ:$AQ,$C195,BV_Data_An_Cour!$AR:$AR,$L$2)</f>
        <v>0</v>
      </c>
      <c r="M195" s="480"/>
      <c r="N195" s="484" t="str">
        <f t="shared" si="47"/>
        <v>#N/A</v>
      </c>
      <c r="O195" s="480"/>
      <c r="P195" s="483">
        <f t="shared" si="51"/>
        <v>0</v>
      </c>
      <c r="Q195" s="485">
        <f>SUMIFS(BV_Data_An_Prec!$AN:$AN,BV_Data_An_Prec!$AP:$AP,$B195,BV_Data_An_Prec!$AQ:$AQ,$C195,BV_Data_An_Prec!$AR:$AR,$L$2)</f>
        <v>0</v>
      </c>
      <c r="R195" s="480"/>
      <c r="S195" s="484">
        <f t="shared" si="48"/>
        <v>0</v>
      </c>
      <c r="T195" s="48"/>
      <c r="U195" s="48"/>
      <c r="V195" s="48"/>
      <c r="W195" s="48"/>
      <c r="X195" s="48"/>
      <c r="Y195" s="48"/>
      <c r="Z195" s="48"/>
      <c r="AA195" s="48"/>
      <c r="AB195" s="48"/>
      <c r="AC195" s="48"/>
      <c r="AD195" s="48"/>
      <c r="AE195" s="48"/>
      <c r="AF195" s="48"/>
      <c r="AG195" s="48"/>
      <c r="AH195" s="48"/>
      <c r="AI195" s="48"/>
      <c r="AJ195" s="48"/>
      <c r="AK195" s="48"/>
      <c r="AL195" s="48"/>
      <c r="AM195" s="48"/>
      <c r="AN195" s="48"/>
    </row>
    <row r="196" ht="18.0" customHeight="1">
      <c r="A196" s="5" t="str">
        <f t="shared" si="46"/>
        <v>Wholesale autresTOTAL VARIABLES</v>
      </c>
      <c r="B196" s="48" t="s">
        <v>899</v>
      </c>
      <c r="C196" s="552" t="s">
        <v>118</v>
      </c>
      <c r="D196" s="553" t="s">
        <v>225</v>
      </c>
      <c r="E196" s="554" t="str">
        <f>F196/F$109</f>
        <v>#N/A</v>
      </c>
      <c r="F196" s="555" t="str">
        <f>SUM(F186:F195)</f>
        <v>#N/A</v>
      </c>
      <c r="G196" s="556"/>
      <c r="H196" s="554"/>
      <c r="I196" s="555"/>
      <c r="J196" s="556" t="s">
        <v>225</v>
      </c>
      <c r="K196" s="554">
        <f>L196/L$109</f>
        <v>0.7919174769</v>
      </c>
      <c r="L196" s="555">
        <f>SUM(L186:L195)</f>
        <v>413274.22</v>
      </c>
      <c r="M196" s="557"/>
      <c r="N196" s="555" t="str">
        <f t="shared" si="47"/>
        <v>#N/A</v>
      </c>
      <c r="O196" s="556" t="s">
        <v>225</v>
      </c>
      <c r="P196" s="554">
        <f>Q196/Q$109</f>
        <v>0.2838601785</v>
      </c>
      <c r="Q196" s="555">
        <f>SUM(Q186:Q195)</f>
        <v>166442.5</v>
      </c>
      <c r="R196" s="558"/>
      <c r="S196" s="555">
        <f t="shared" si="48"/>
        <v>246831.72</v>
      </c>
      <c r="T196" s="48"/>
      <c r="U196" s="48"/>
      <c r="V196" s="48"/>
      <c r="W196" s="48"/>
      <c r="X196" s="48"/>
      <c r="Y196" s="48"/>
      <c r="Z196" s="48"/>
      <c r="AA196" s="48"/>
      <c r="AB196" s="48"/>
      <c r="AC196" s="48"/>
      <c r="AD196" s="48"/>
      <c r="AE196" s="48"/>
      <c r="AF196" s="48"/>
      <c r="AG196" s="48"/>
      <c r="AH196" s="48"/>
      <c r="AI196" s="48"/>
      <c r="AJ196" s="48"/>
      <c r="AK196" s="48"/>
      <c r="AL196" s="48"/>
      <c r="AM196" s="48"/>
      <c r="AN196" s="48"/>
    </row>
    <row r="197" ht="15.75" customHeight="1">
      <c r="A197" s="5" t="str">
        <f t="shared" si="46"/>
        <v>Wholesale autresSalaires cadres</v>
      </c>
      <c r="B197" s="48" t="s">
        <v>899</v>
      </c>
      <c r="C197" s="559" t="s">
        <v>119</v>
      </c>
      <c r="D197" s="48"/>
      <c r="E197" s="48"/>
      <c r="F197" s="481" t="str">
        <f t="array" ref="F197">+SUMPRODUCT(('Budget original'!$A$8:$A$501=$A197)*('Budget original'!$C$3:$AO$3=F$2),'Budget original'!$C$8:$AO$501)</f>
        <v>#N/A</v>
      </c>
      <c r="G197" s="480"/>
      <c r="H197" s="48"/>
      <c r="I197" s="481"/>
      <c r="J197" s="480"/>
      <c r="K197" s="48"/>
      <c r="L197" s="484">
        <f>SUMIFS(BV_Data_An_Cour!$AN:$AN,BV_Data_An_Cour!$AP:$AP,$B197,BV_Data_An_Cour!$AQ:$AQ,$C197,BV_Data_An_Cour!$AR:$AR,$L$2)</f>
        <v>74065.87</v>
      </c>
      <c r="M197" s="480"/>
      <c r="N197" s="484" t="str">
        <f t="shared" si="47"/>
        <v>#N/A</v>
      </c>
      <c r="O197" s="480"/>
      <c r="P197" s="48"/>
      <c r="Q197" s="484">
        <f>SUMIFS(BV_Data_An_Prec!$AN:$AN,BV_Data_An_Prec!$AP:$AP,$B197,BV_Data_An_Prec!$AQ:$AQ,$C197,BV_Data_An_Prec!$AR:$AR,$L$2)</f>
        <v>331828.59</v>
      </c>
      <c r="R197" s="480"/>
      <c r="S197" s="484"/>
      <c r="T197" s="48"/>
      <c r="U197" s="48"/>
      <c r="V197" s="48"/>
      <c r="W197" s="48"/>
      <c r="X197" s="48"/>
      <c r="Y197" s="48"/>
      <c r="Z197" s="48"/>
      <c r="AA197" s="48"/>
      <c r="AB197" s="48"/>
      <c r="AC197" s="48"/>
      <c r="AD197" s="48"/>
      <c r="AE197" s="48"/>
      <c r="AF197" s="48"/>
      <c r="AG197" s="48"/>
      <c r="AH197" s="48"/>
      <c r="AI197" s="48"/>
      <c r="AJ197" s="48"/>
      <c r="AK197" s="48"/>
      <c r="AL197" s="48"/>
      <c r="AM197" s="48"/>
      <c r="AN197" s="48"/>
    </row>
    <row r="198" ht="15.75" customHeight="1">
      <c r="A198" s="5" t="str">
        <f t="shared" si="46"/>
        <v>Wholesale autresSalaires commis</v>
      </c>
      <c r="B198" s="48" t="s">
        <v>899</v>
      </c>
      <c r="C198" s="560" t="s">
        <v>120</v>
      </c>
      <c r="D198" s="546"/>
      <c r="E198" s="48"/>
      <c r="F198" s="473" t="str">
        <f t="array" ref="F198">+SUMPRODUCT(('Budget original'!$A$8:$A$501=$A198)*('Budget original'!$C$3:$AO$3=F$2),'Budget original'!$C$8:$AO$501)</f>
        <v>#N/A</v>
      </c>
      <c r="G198" s="547"/>
      <c r="H198" s="48"/>
      <c r="I198" s="473"/>
      <c r="J198" s="480"/>
      <c r="K198" s="48"/>
      <c r="L198" s="484">
        <f>SUMIFS(BV_Data_An_Cour!$AN:$AN,BV_Data_An_Cour!$AP:$AP,$B198,BV_Data_An_Cour!$AQ:$AQ,$C198,BV_Data_An_Cour!$AR:$AR,$L$2)</f>
        <v>39445.39</v>
      </c>
      <c r="M198" s="480"/>
      <c r="N198" s="484" t="str">
        <f t="shared" si="47"/>
        <v>#N/A</v>
      </c>
      <c r="O198" s="480"/>
      <c r="P198" s="48"/>
      <c r="Q198" s="484">
        <f>SUMIFS(BV_Data_An_Prec!$AN:$AN,BV_Data_An_Prec!$AP:$AP,$B198,BV_Data_An_Prec!$AQ:$AQ,$C198,BV_Data_An_Prec!$AR:$AR,$L$2)</f>
        <v>94477.06</v>
      </c>
      <c r="R198" s="480"/>
      <c r="S198" s="484">
        <f t="shared" ref="S198:S227" si="52">L198-Q198</f>
        <v>-55031.67</v>
      </c>
      <c r="T198" s="48"/>
      <c r="U198" s="48"/>
      <c r="V198" s="48"/>
      <c r="W198" s="48"/>
      <c r="X198" s="48"/>
      <c r="Y198" s="48"/>
      <c r="Z198" s="48"/>
      <c r="AA198" s="48"/>
      <c r="AB198" s="48"/>
      <c r="AC198" s="48"/>
      <c r="AD198" s="48"/>
      <c r="AE198" s="48"/>
      <c r="AF198" s="48"/>
      <c r="AG198" s="48"/>
      <c r="AH198" s="48"/>
      <c r="AI198" s="48"/>
      <c r="AJ198" s="48"/>
      <c r="AK198" s="48"/>
      <c r="AL198" s="48"/>
      <c r="AM198" s="48"/>
      <c r="AN198" s="48"/>
    </row>
    <row r="199" ht="15.75" customHeight="1">
      <c r="A199" s="5" t="str">
        <f t="shared" si="46"/>
        <v>Wholesale autresSalaires autres</v>
      </c>
      <c r="B199" s="48" t="s">
        <v>899</v>
      </c>
      <c r="C199" s="559" t="s">
        <v>121</v>
      </c>
      <c r="D199" s="561"/>
      <c r="E199" s="562"/>
      <c r="F199" s="481" t="str">
        <f t="array" ref="F199">+SUMPRODUCT(('Budget original'!$A$8:$A$501=$A199)*('Budget original'!$C$3:$AO$3=F$2),'Budget original'!$C$8:$AO$501)</f>
        <v>#N/A</v>
      </c>
      <c r="G199" s="563"/>
      <c r="H199" s="562"/>
      <c r="I199" s="481"/>
      <c r="J199" s="466"/>
      <c r="K199" s="562"/>
      <c r="L199" s="523">
        <f>SUMIFS(BV_Data_An_Cour!$AN:$AN,BV_Data_An_Cour!$AP:$AP,$B199,BV_Data_An_Cour!$AQ:$AQ,$C199,BV_Data_An_Cour!$AR:$AR,$L$2)</f>
        <v>0</v>
      </c>
      <c r="M199" s="466"/>
      <c r="N199" s="523" t="str">
        <f t="shared" si="47"/>
        <v>#N/A</v>
      </c>
      <c r="O199" s="466"/>
      <c r="P199" s="562"/>
      <c r="Q199" s="523">
        <f>SUMIFS(BV_Data_An_Prec!$AN:$AN,BV_Data_An_Prec!$AP:$AP,$B199,BV_Data_An_Prec!$AQ:$AQ,$C199,BV_Data_An_Prec!$AR:$AR,$L$2)</f>
        <v>356557.49</v>
      </c>
      <c r="R199" s="466"/>
      <c r="S199" s="523">
        <f t="shared" si="52"/>
        <v>-356557.49</v>
      </c>
      <c r="T199" s="48"/>
      <c r="U199" s="48"/>
      <c r="V199" s="48"/>
      <c r="W199" s="48"/>
      <c r="X199" s="48"/>
      <c r="Y199" s="48"/>
      <c r="Z199" s="48"/>
      <c r="AA199" s="48"/>
      <c r="AB199" s="48"/>
      <c r="AC199" s="48"/>
      <c r="AD199" s="48"/>
      <c r="AE199" s="48"/>
      <c r="AF199" s="48"/>
      <c r="AG199" s="48"/>
      <c r="AH199" s="48"/>
      <c r="AI199" s="48"/>
      <c r="AJ199" s="48"/>
      <c r="AK199" s="48"/>
      <c r="AL199" s="48"/>
      <c r="AM199" s="48"/>
      <c r="AN199" s="48"/>
    </row>
    <row r="200" ht="20.25" hidden="1" customHeight="1">
      <c r="A200" s="5" t="str">
        <f t="shared" si="46"/>
        <v>Wholesale autresSalaires spécialistes</v>
      </c>
      <c r="B200" s="48" t="s">
        <v>899</v>
      </c>
      <c r="C200" s="559" t="s">
        <v>122</v>
      </c>
      <c r="D200" s="546"/>
      <c r="E200" s="48"/>
      <c r="F200" s="481" t="str">
        <f t="array" ref="F200">+SUMPRODUCT(('Budget original'!$A$8:$A$501=$A200)*('Budget original'!$C$3:$AO$3=F$2),'Budget original'!$C$8:$AO$501)</f>
        <v>#N/A</v>
      </c>
      <c r="G200" s="547"/>
      <c r="H200" s="48"/>
      <c r="I200" s="481"/>
      <c r="J200" s="480"/>
      <c r="K200" s="48"/>
      <c r="L200" s="484">
        <f>SUMIFS(BV_Data_An_Cour!$AN:$AN,BV_Data_An_Cour!$AP:$AP,$B200,BV_Data_An_Cour!$AQ:$AQ,$C200,BV_Data_An_Cour!$AR:$AR,$L$2)</f>
        <v>0</v>
      </c>
      <c r="M200" s="480"/>
      <c r="N200" s="484" t="str">
        <f t="shared" si="47"/>
        <v>#N/A</v>
      </c>
      <c r="O200" s="480"/>
      <c r="P200" s="48"/>
      <c r="Q200" s="484">
        <f>SUMIFS(BV_Data_An_Prec!$AN:$AN,BV_Data_An_Prec!$AP:$AP,$B200,BV_Data_An_Prec!$AQ:$AQ,$C200,BV_Data_An_Prec!$AR:$AR,$L$2)</f>
        <v>0</v>
      </c>
      <c r="R200" s="480"/>
      <c r="S200" s="484">
        <f t="shared" si="52"/>
        <v>0</v>
      </c>
      <c r="T200" s="48"/>
      <c r="U200" s="48"/>
      <c r="V200" s="48"/>
      <c r="W200" s="48"/>
      <c r="X200" s="48"/>
      <c r="Y200" s="48"/>
      <c r="Z200" s="48"/>
      <c r="AA200" s="48"/>
      <c r="AB200" s="48"/>
      <c r="AC200" s="48"/>
      <c r="AD200" s="48"/>
      <c r="AE200" s="48"/>
      <c r="AF200" s="48"/>
      <c r="AG200" s="48"/>
      <c r="AH200" s="48"/>
      <c r="AI200" s="48"/>
      <c r="AJ200" s="48"/>
      <c r="AK200" s="48"/>
      <c r="AL200" s="48"/>
      <c r="AM200" s="48"/>
      <c r="AN200" s="48"/>
    </row>
    <row r="201" ht="20.25" hidden="1" customHeight="1">
      <c r="A201" s="5" t="str">
        <f t="shared" si="46"/>
        <v>Wholesale autres[...]</v>
      </c>
      <c r="B201" s="48" t="s">
        <v>899</v>
      </c>
      <c r="C201" s="559" t="s">
        <v>56</v>
      </c>
      <c r="D201" s="546"/>
      <c r="E201" s="48"/>
      <c r="F201" s="481" t="str">
        <f t="array" ref="F201">+SUMPRODUCT(('Budget original'!$A$8:$A$501=$A201)*('Budget original'!$C$3:$AO$3=F$2),'Budget original'!$C$8:$AO$501)</f>
        <v>#N/A</v>
      </c>
      <c r="G201" s="547"/>
      <c r="H201" s="48"/>
      <c r="I201" s="481"/>
      <c r="J201" s="480"/>
      <c r="K201" s="48"/>
      <c r="L201" s="484">
        <f>SUMIFS(BV_Data_An_Cour!$AN:$AN,BV_Data_An_Cour!$AP:$AP,$B201,BV_Data_An_Cour!$AQ:$AQ,$C201,BV_Data_An_Cour!$AR:$AR,$L$2)</f>
        <v>0</v>
      </c>
      <c r="M201" s="480"/>
      <c r="N201" s="484" t="str">
        <f t="shared" si="47"/>
        <v>#N/A</v>
      </c>
      <c r="O201" s="480"/>
      <c r="P201" s="48"/>
      <c r="Q201" s="484">
        <f>SUMIFS(BV_Data_An_Prec!$AN:$AN,BV_Data_An_Prec!$AP:$AP,$B201,BV_Data_An_Prec!$AQ:$AQ,$C201,BV_Data_An_Prec!$AR:$AR,$L$2)</f>
        <v>0</v>
      </c>
      <c r="R201" s="480"/>
      <c r="S201" s="484">
        <f t="shared" si="52"/>
        <v>0</v>
      </c>
      <c r="T201" s="48"/>
      <c r="U201" s="48"/>
      <c r="V201" s="48"/>
      <c r="W201" s="48"/>
      <c r="X201" s="48"/>
      <c r="Y201" s="48"/>
      <c r="Z201" s="48"/>
      <c r="AA201" s="48"/>
      <c r="AB201" s="48"/>
      <c r="AC201" s="48"/>
      <c r="AD201" s="48"/>
      <c r="AE201" s="48"/>
      <c r="AF201" s="48"/>
      <c r="AG201" s="48"/>
      <c r="AH201" s="48"/>
      <c r="AI201" s="48"/>
      <c r="AJ201" s="48"/>
      <c r="AK201" s="48"/>
      <c r="AL201" s="48"/>
      <c r="AM201" s="48"/>
      <c r="AN201" s="48"/>
    </row>
    <row r="202" ht="20.25" hidden="1" customHeight="1">
      <c r="A202" s="5" t="str">
        <f t="shared" si="46"/>
        <v>Wholesale autres[...]</v>
      </c>
      <c r="B202" s="48" t="s">
        <v>899</v>
      </c>
      <c r="C202" s="559" t="s">
        <v>56</v>
      </c>
      <c r="D202" s="546"/>
      <c r="E202" s="48"/>
      <c r="F202" s="481" t="str">
        <f t="array" ref="F202">+SUMPRODUCT(('Budget original'!$A$8:$A$501=$A202)*('Budget original'!$C$3:$AO$3=F$2),'Budget original'!$C$8:$AO$501)</f>
        <v>#N/A</v>
      </c>
      <c r="G202" s="547"/>
      <c r="H202" s="48"/>
      <c r="I202" s="481"/>
      <c r="J202" s="480"/>
      <c r="K202" s="48"/>
      <c r="L202" s="484">
        <f>SUMIFS(BV_Data_An_Cour!$AN:$AN,BV_Data_An_Cour!$AP:$AP,$B202,BV_Data_An_Cour!$AQ:$AQ,$C202,BV_Data_An_Cour!$AR:$AR,$L$2)</f>
        <v>0</v>
      </c>
      <c r="M202" s="480"/>
      <c r="N202" s="484" t="str">
        <f t="shared" si="47"/>
        <v>#N/A</v>
      </c>
      <c r="O202" s="480"/>
      <c r="P202" s="48"/>
      <c r="Q202" s="484">
        <f>SUMIFS(BV_Data_An_Prec!$AN:$AN,BV_Data_An_Prec!$AP:$AP,$B202,BV_Data_An_Prec!$AQ:$AQ,$C202,BV_Data_An_Prec!$AR:$AR,$L$2)</f>
        <v>0</v>
      </c>
      <c r="R202" s="480"/>
      <c r="S202" s="484">
        <f t="shared" si="52"/>
        <v>0</v>
      </c>
      <c r="T202" s="48"/>
      <c r="U202" s="48"/>
      <c r="V202" s="48"/>
      <c r="W202" s="48"/>
      <c r="X202" s="48"/>
      <c r="Y202" s="48"/>
      <c r="Z202" s="48"/>
      <c r="AA202" s="48"/>
      <c r="AB202" s="48"/>
      <c r="AC202" s="48"/>
      <c r="AD202" s="48"/>
      <c r="AE202" s="48"/>
      <c r="AF202" s="48"/>
      <c r="AG202" s="48"/>
      <c r="AH202" s="48"/>
      <c r="AI202" s="48"/>
      <c r="AJ202" s="48"/>
      <c r="AK202" s="48"/>
      <c r="AL202" s="48"/>
      <c r="AM202" s="48"/>
      <c r="AN202" s="48"/>
    </row>
    <row r="203" ht="20.25" hidden="1" customHeight="1">
      <c r="A203" s="5" t="str">
        <f t="shared" si="46"/>
        <v>Wholesale autres[...]</v>
      </c>
      <c r="B203" s="48" t="s">
        <v>899</v>
      </c>
      <c r="C203" s="559" t="s">
        <v>56</v>
      </c>
      <c r="D203" s="546"/>
      <c r="E203" s="48"/>
      <c r="F203" s="481" t="str">
        <f t="array" ref="F203">+SUMPRODUCT(('Budget original'!$A$8:$A$501=$A203)*('Budget original'!$C$3:$AO$3=F$2),'Budget original'!$C$8:$AO$501)</f>
        <v>#N/A</v>
      </c>
      <c r="G203" s="547"/>
      <c r="H203" s="48"/>
      <c r="I203" s="481"/>
      <c r="J203" s="480"/>
      <c r="K203" s="48"/>
      <c r="L203" s="484">
        <f>SUMIFS(BV_Data_An_Cour!$AN:$AN,BV_Data_An_Cour!$AP:$AP,$B203,BV_Data_An_Cour!$AQ:$AQ,$C203,BV_Data_An_Cour!$AR:$AR,$L$2)</f>
        <v>0</v>
      </c>
      <c r="M203" s="480"/>
      <c r="N203" s="484" t="str">
        <f t="shared" si="47"/>
        <v>#N/A</v>
      </c>
      <c r="O203" s="480"/>
      <c r="P203" s="48"/>
      <c r="Q203" s="484">
        <f>SUMIFS(BV_Data_An_Prec!$AN:$AN,BV_Data_An_Prec!$AP:$AP,$B203,BV_Data_An_Prec!$AQ:$AQ,$C203,BV_Data_An_Prec!$AR:$AR,$L$2)</f>
        <v>0</v>
      </c>
      <c r="R203" s="480"/>
      <c r="S203" s="484">
        <f t="shared" si="52"/>
        <v>0</v>
      </c>
      <c r="T203" s="48"/>
      <c r="U203" s="48"/>
      <c r="V203" s="48"/>
      <c r="W203" s="48"/>
      <c r="X203" s="48"/>
      <c r="Y203" s="48"/>
      <c r="Z203" s="48"/>
      <c r="AA203" s="48"/>
      <c r="AB203" s="48"/>
      <c r="AC203" s="48"/>
      <c r="AD203" s="48"/>
      <c r="AE203" s="48"/>
      <c r="AF203" s="48"/>
      <c r="AG203" s="48"/>
      <c r="AH203" s="48"/>
      <c r="AI203" s="48"/>
      <c r="AJ203" s="48"/>
      <c r="AK203" s="48"/>
      <c r="AL203" s="48"/>
      <c r="AM203" s="48"/>
      <c r="AN203" s="48"/>
    </row>
    <row r="204" ht="15.75" customHeight="1">
      <c r="A204" s="5" t="str">
        <f t="shared" si="46"/>
        <v>Wholesale autresSalaires en absences</v>
      </c>
      <c r="B204" s="48" t="s">
        <v>899</v>
      </c>
      <c r="C204" s="560" t="s">
        <v>123</v>
      </c>
      <c r="D204" s="546"/>
      <c r="E204" s="48"/>
      <c r="F204" s="481" t="str">
        <f t="array" ref="F204">+SUMPRODUCT(('Budget original'!$A$8:$A$501=$A204)*('Budget original'!$C$3:$AO$3=F$2),'Budget original'!$C$8:$AO$501)</f>
        <v>#N/A</v>
      </c>
      <c r="G204" s="547"/>
      <c r="H204" s="48"/>
      <c r="I204" s="481"/>
      <c r="J204" s="480"/>
      <c r="K204" s="48"/>
      <c r="L204" s="484">
        <f>SUMIFS(BV_Data_An_Cour!$AN:$AN,BV_Data_An_Cour!$AP:$AP,$B204,BV_Data_An_Cour!$AQ:$AQ,$C204,BV_Data_An_Cour!$AR:$AR,$L$2)</f>
        <v>17973.2</v>
      </c>
      <c r="M204" s="480"/>
      <c r="N204" s="484" t="str">
        <f t="shared" si="47"/>
        <v>#N/A</v>
      </c>
      <c r="O204" s="480"/>
      <c r="P204" s="48"/>
      <c r="Q204" s="484">
        <f>SUMIFS(BV_Data_An_Prec!$AN:$AN,BV_Data_An_Prec!$AP:$AP,$B204,BV_Data_An_Prec!$AQ:$AQ,$C204,BV_Data_An_Prec!$AR:$AR,$L$2)</f>
        <v>23357.18</v>
      </c>
      <c r="R204" s="480"/>
      <c r="S204" s="484">
        <f t="shared" si="52"/>
        <v>-5383.98</v>
      </c>
      <c r="T204" s="48"/>
      <c r="U204" s="48"/>
      <c r="V204" s="48"/>
      <c r="W204" s="48"/>
      <c r="X204" s="48"/>
      <c r="Y204" s="48"/>
      <c r="Z204" s="48"/>
      <c r="AA204" s="48"/>
      <c r="AB204" s="48"/>
      <c r="AC204" s="48"/>
      <c r="AD204" s="48"/>
      <c r="AE204" s="48"/>
      <c r="AF204" s="48"/>
      <c r="AG204" s="48"/>
      <c r="AH204" s="48"/>
      <c r="AI204" s="48"/>
      <c r="AJ204" s="48"/>
      <c r="AK204" s="48"/>
      <c r="AL204" s="48"/>
      <c r="AM204" s="48"/>
      <c r="AN204" s="48"/>
    </row>
    <row r="205" ht="15.75" customHeight="1">
      <c r="A205" s="5" t="str">
        <f t="shared" si="46"/>
        <v>Wholesale autresDéduction à la source</v>
      </c>
      <c r="B205" s="48" t="s">
        <v>899</v>
      </c>
      <c r="C205" s="559" t="s">
        <v>124</v>
      </c>
      <c r="D205" s="561"/>
      <c r="E205" s="562"/>
      <c r="F205" s="519" t="str">
        <f t="array" ref="F205">+SUMPRODUCT(('Budget original'!$A$8:$A$501=$A205)*('Budget original'!$C$3:$AO$3=F$2),'Budget original'!$C$8:$AO$501)</f>
        <v>#N/A</v>
      </c>
      <c r="G205" s="563"/>
      <c r="H205" s="562"/>
      <c r="I205" s="519"/>
      <c r="J205" s="466"/>
      <c r="K205" s="562"/>
      <c r="L205" s="523">
        <f>SUMIFS(BV_Data_An_Cour!$AN:$AN,BV_Data_An_Cour!$AP:$AP,$B205,BV_Data_An_Cour!$AQ:$AQ,$C205,BV_Data_An_Cour!$AR:$AR,$L$2)</f>
        <v>49756</v>
      </c>
      <c r="M205" s="466"/>
      <c r="N205" s="523" t="str">
        <f t="shared" si="47"/>
        <v>#N/A</v>
      </c>
      <c r="O205" s="466"/>
      <c r="P205" s="562"/>
      <c r="Q205" s="523">
        <f>SUMIFS(BV_Data_An_Prec!$AN:$AN,BV_Data_An_Prec!$AP:$AP,$B205,BV_Data_An_Prec!$AQ:$AQ,$C205,BV_Data_An_Prec!$AR:$AR,$L$2)</f>
        <v>34124.55</v>
      </c>
      <c r="R205" s="466"/>
      <c r="S205" s="523">
        <f t="shared" si="52"/>
        <v>15631.45</v>
      </c>
      <c r="T205" s="48"/>
      <c r="U205" s="48"/>
      <c r="V205" s="48"/>
      <c r="W205" s="48"/>
      <c r="X205" s="48"/>
      <c r="Y205" s="48"/>
      <c r="Z205" s="48"/>
      <c r="AA205" s="48"/>
      <c r="AB205" s="48"/>
      <c r="AC205" s="48"/>
      <c r="AD205" s="48"/>
      <c r="AE205" s="48"/>
      <c r="AF205" s="48"/>
      <c r="AG205" s="48"/>
      <c r="AH205" s="48"/>
      <c r="AI205" s="48"/>
      <c r="AJ205" s="48"/>
      <c r="AK205" s="48"/>
      <c r="AL205" s="48"/>
      <c r="AM205" s="48"/>
      <c r="AN205" s="48"/>
    </row>
    <row r="206" ht="15.75" customHeight="1">
      <c r="A206" s="5" t="str">
        <f t="shared" si="46"/>
        <v>Wholesale autresBénéfices marginaux</v>
      </c>
      <c r="B206" s="48" t="s">
        <v>899</v>
      </c>
      <c r="C206" s="559" t="s">
        <v>125</v>
      </c>
      <c r="D206" s="546"/>
      <c r="E206" s="48"/>
      <c r="F206" s="481" t="str">
        <f t="array" ref="F206">+SUMPRODUCT(('Budget original'!$A$8:$A$501=$A206)*('Budget original'!$C$3:$AO$3=F$2),'Budget original'!$C$8:$AO$501)</f>
        <v>#N/A</v>
      </c>
      <c r="G206" s="547"/>
      <c r="H206" s="48"/>
      <c r="I206" s="481"/>
      <c r="J206" s="480"/>
      <c r="K206" s="48"/>
      <c r="L206" s="484">
        <f>SUMIFS(BV_Data_An_Cour!$AN:$AN,BV_Data_An_Cour!$AP:$AP,$B206,BV_Data_An_Cour!$AQ:$AQ,$C206,BV_Data_An_Cour!$AR:$AR,$L$2)</f>
        <v>8779.32</v>
      </c>
      <c r="M206" s="480"/>
      <c r="N206" s="484" t="str">
        <f t="shared" si="47"/>
        <v>#N/A</v>
      </c>
      <c r="O206" s="480"/>
      <c r="P206" s="48"/>
      <c r="Q206" s="484">
        <f>SUMIFS(BV_Data_An_Prec!$AN:$AN,BV_Data_An_Prec!$AP:$AP,$B206,BV_Data_An_Prec!$AQ:$AQ,$C206,BV_Data_An_Prec!$AR:$AR,$L$2)</f>
        <v>15841.94</v>
      </c>
      <c r="R206" s="480"/>
      <c r="S206" s="484">
        <f t="shared" si="52"/>
        <v>-7062.62</v>
      </c>
      <c r="T206" s="48"/>
      <c r="U206" s="48"/>
      <c r="V206" s="48"/>
      <c r="W206" s="48"/>
      <c r="X206" s="48"/>
      <c r="Y206" s="48"/>
      <c r="Z206" s="48"/>
      <c r="AA206" s="48"/>
      <c r="AB206" s="48"/>
      <c r="AC206" s="48"/>
      <c r="AD206" s="48"/>
      <c r="AE206" s="48"/>
      <c r="AF206" s="48"/>
      <c r="AG206" s="48"/>
      <c r="AH206" s="48"/>
      <c r="AI206" s="48"/>
      <c r="AJ206" s="48"/>
      <c r="AK206" s="48"/>
      <c r="AL206" s="48"/>
      <c r="AM206" s="48"/>
      <c r="AN206" s="48"/>
    </row>
    <row r="207" ht="15.75" customHeight="1">
      <c r="A207" s="5" t="str">
        <f t="shared" si="46"/>
        <v>Wholesale autresCsst</v>
      </c>
      <c r="B207" s="48" t="s">
        <v>899</v>
      </c>
      <c r="C207" s="559" t="s">
        <v>126</v>
      </c>
      <c r="D207" s="546"/>
      <c r="E207" s="48"/>
      <c r="F207" s="481" t="str">
        <f t="array" ref="F207">+SUMPRODUCT(('Budget original'!$A$8:$A$501=$A207)*('Budget original'!$C$3:$AO$3=F$2),'Budget original'!$C$8:$AO$501)</f>
        <v>#N/A</v>
      </c>
      <c r="G207" s="547"/>
      <c r="H207" s="48"/>
      <c r="I207" s="481"/>
      <c r="J207" s="480"/>
      <c r="K207" s="48"/>
      <c r="L207" s="484">
        <f>SUMIFS(BV_Data_An_Cour!$AN:$AN,BV_Data_An_Cour!$AP:$AP,$B207,BV_Data_An_Cour!$AQ:$AQ,$C207,BV_Data_An_Cour!$AR:$AR,$L$2)</f>
        <v>1383.94</v>
      </c>
      <c r="M207" s="480"/>
      <c r="N207" s="484" t="str">
        <f t="shared" si="47"/>
        <v>#N/A</v>
      </c>
      <c r="O207" s="480"/>
      <c r="P207" s="48"/>
      <c r="Q207" s="484">
        <f>SUMIFS(BV_Data_An_Prec!$AN:$AN,BV_Data_An_Prec!$AP:$AP,$B207,BV_Data_An_Prec!$AQ:$AQ,$C207,BV_Data_An_Prec!$AR:$AR,$L$2)</f>
        <v>0</v>
      </c>
      <c r="R207" s="480"/>
      <c r="S207" s="484">
        <f t="shared" si="52"/>
        <v>1383.94</v>
      </c>
      <c r="T207" s="48"/>
      <c r="U207" s="48"/>
      <c r="V207" s="48"/>
      <c r="W207" s="48"/>
      <c r="X207" s="48"/>
      <c r="Y207" s="48"/>
      <c r="Z207" s="48"/>
      <c r="AA207" s="48"/>
      <c r="AB207" s="48"/>
      <c r="AC207" s="48"/>
      <c r="AD207" s="48"/>
      <c r="AE207" s="48"/>
      <c r="AF207" s="48"/>
      <c r="AG207" s="48"/>
      <c r="AH207" s="48"/>
      <c r="AI207" s="48"/>
      <c r="AJ207" s="48"/>
      <c r="AK207" s="48"/>
      <c r="AL207" s="48"/>
      <c r="AM207" s="48"/>
      <c r="AN207" s="48"/>
    </row>
    <row r="208" ht="20.25" hidden="1" customHeight="1">
      <c r="A208" s="5" t="str">
        <f t="shared" si="46"/>
        <v>Wholesale autres[...]</v>
      </c>
      <c r="B208" s="48" t="s">
        <v>899</v>
      </c>
      <c r="C208" s="480" t="s">
        <v>56</v>
      </c>
      <c r="D208" s="549"/>
      <c r="E208" s="564"/>
      <c r="F208" s="481" t="str">
        <f t="array" ref="F208">+SUMPRODUCT(('Budget original'!$A$8:$A$501=$A208)*('Budget original'!$C$3:$AO$3=F$2),'Budget original'!$C$8:$AO$501)</f>
        <v>#N/A</v>
      </c>
      <c r="G208" s="550"/>
      <c r="H208" s="564"/>
      <c r="I208" s="481"/>
      <c r="J208" s="471"/>
      <c r="K208" s="564"/>
      <c r="L208" s="484">
        <f>SUMIFS(BV_Data_An_Cour!$AN:$AN,BV_Data_An_Cour!$AP:$AP,$B208,BV_Data_An_Cour!$AQ:$AQ,$C208,BV_Data_An_Cour!$AR:$AR,$L$2)</f>
        <v>0</v>
      </c>
      <c r="M208" s="471"/>
      <c r="N208" s="476" t="str">
        <f t="shared" si="47"/>
        <v>#N/A</v>
      </c>
      <c r="O208" s="471"/>
      <c r="P208" s="564"/>
      <c r="Q208" s="484">
        <f>SUMIFS(BV_Data_An_Prec!$AN:$AN,BV_Data_An_Prec!$AP:$AP,$B208,BV_Data_An_Prec!$AQ:$AQ,$C208,BV_Data_An_Prec!$AR:$AR,$L$2)</f>
        <v>0</v>
      </c>
      <c r="R208" s="471"/>
      <c r="S208" s="476">
        <f t="shared" si="52"/>
        <v>0</v>
      </c>
      <c r="T208" s="48"/>
      <c r="U208" s="48"/>
      <c r="V208" s="48"/>
      <c r="W208" s="48"/>
      <c r="X208" s="48"/>
      <c r="Y208" s="48"/>
      <c r="Z208" s="48"/>
      <c r="AA208" s="48"/>
      <c r="AB208" s="48"/>
      <c r="AC208" s="48"/>
      <c r="AD208" s="48"/>
      <c r="AE208" s="48"/>
      <c r="AF208" s="48"/>
      <c r="AG208" s="48"/>
      <c r="AH208" s="48"/>
      <c r="AI208" s="48"/>
      <c r="AJ208" s="48"/>
      <c r="AK208" s="48"/>
      <c r="AL208" s="48"/>
      <c r="AM208" s="48"/>
      <c r="AN208" s="48"/>
    </row>
    <row r="209" ht="18.0" customHeight="1">
      <c r="A209" s="5" t="str">
        <f t="shared" si="46"/>
        <v>Wholesale autresTOTAL PERSONNEL</v>
      </c>
      <c r="B209" s="48" t="s">
        <v>899</v>
      </c>
      <c r="C209" s="552" t="s">
        <v>127</v>
      </c>
      <c r="D209" s="553" t="s">
        <v>225</v>
      </c>
      <c r="E209" s="554" t="str">
        <f>F209/F$109</f>
        <v>#N/A</v>
      </c>
      <c r="F209" s="555" t="str">
        <f>+SUM(F197:F208)</f>
        <v>#N/A</v>
      </c>
      <c r="G209" s="556"/>
      <c r="H209" s="554"/>
      <c r="I209" s="555"/>
      <c r="J209" s="556" t="s">
        <v>225</v>
      </c>
      <c r="K209" s="554">
        <f>L209/L$109</f>
        <v>0.3667684643</v>
      </c>
      <c r="L209" s="555">
        <f>SUM(L197:L208)</f>
        <v>191403.72</v>
      </c>
      <c r="M209" s="557"/>
      <c r="N209" s="555" t="str">
        <f t="shared" si="47"/>
        <v>#N/A</v>
      </c>
      <c r="O209" s="556" t="s">
        <v>225</v>
      </c>
      <c r="P209" s="554">
        <f>Q209/Q$109</f>
        <v>1.460187997</v>
      </c>
      <c r="Q209" s="555">
        <f>SUM(Q197:Q208)</f>
        <v>856186.81</v>
      </c>
      <c r="R209" s="558"/>
      <c r="S209" s="555">
        <f t="shared" si="52"/>
        <v>-664783.09</v>
      </c>
      <c r="T209" s="48"/>
      <c r="U209" s="48"/>
      <c r="V209" s="48"/>
      <c r="W209" s="48"/>
      <c r="X209" s="48"/>
      <c r="Y209" s="48"/>
      <c r="Z209" s="48"/>
      <c r="AA209" s="48"/>
      <c r="AB209" s="48"/>
      <c r="AC209" s="48"/>
      <c r="AD209" s="48"/>
      <c r="AE209" s="48"/>
      <c r="AF209" s="48"/>
      <c r="AG209" s="48"/>
      <c r="AH209" s="48"/>
      <c r="AI209" s="48"/>
      <c r="AJ209" s="48"/>
      <c r="AK209" s="48"/>
      <c r="AL209" s="48"/>
      <c r="AM209" s="48"/>
      <c r="AN209" s="48"/>
    </row>
    <row r="210" ht="20.25" hidden="1" customHeight="1">
      <c r="A210" s="5" t="str">
        <f t="shared" si="46"/>
        <v>Wholesale autresPublicité 2</v>
      </c>
      <c r="B210" s="48" t="s">
        <v>899</v>
      </c>
      <c r="C210" s="480" t="s">
        <v>128</v>
      </c>
      <c r="D210" s="546"/>
      <c r="E210" s="48"/>
      <c r="F210" s="481" t="str">
        <f t="array" ref="F210">+SUMPRODUCT(('Budget original'!$A$8:$A$501=$A210)*('Budget original'!$C$3:$AO$3=F$2),'Budget original'!$C$8:$AO$501)</f>
        <v>#N/A</v>
      </c>
      <c r="G210" s="547"/>
      <c r="H210" s="48"/>
      <c r="I210" s="481"/>
      <c r="J210" s="480"/>
      <c r="K210" s="48"/>
      <c r="L210" s="484">
        <f>SUMIFS(BV_Data_An_Cour!$AN:$AN,BV_Data_An_Cour!$AP:$AP,$B210,BV_Data_An_Cour!$AQ:$AQ,$C210,BV_Data_An_Cour!$AR:$AR,$L$2)</f>
        <v>0</v>
      </c>
      <c r="M210" s="480"/>
      <c r="N210" s="484" t="str">
        <f t="shared" si="47"/>
        <v>#N/A</v>
      </c>
      <c r="O210" s="480"/>
      <c r="P210" s="48"/>
      <c r="Q210" s="484">
        <f>SUMIFS(BV_Data_An_Prec!$AN:$AN,BV_Data_An_Prec!$AP:$AP,$B210,BV_Data_An_Prec!$AQ:$AQ,$C210,BV_Data_An_Prec!$AR:$AR,$L$2)</f>
        <v>0</v>
      </c>
      <c r="R210" s="480"/>
      <c r="S210" s="484">
        <f t="shared" si="52"/>
        <v>0</v>
      </c>
      <c r="T210" s="48"/>
      <c r="U210" s="48"/>
      <c r="V210" s="48"/>
      <c r="W210" s="48"/>
      <c r="X210" s="48"/>
      <c r="Y210" s="48"/>
      <c r="Z210" s="48"/>
      <c r="AA210" s="48"/>
      <c r="AB210" s="48"/>
      <c r="AC210" s="48"/>
      <c r="AD210" s="48"/>
      <c r="AE210" s="48"/>
      <c r="AF210" s="48"/>
      <c r="AG210" s="48"/>
      <c r="AH210" s="48"/>
      <c r="AI210" s="48"/>
      <c r="AJ210" s="48"/>
      <c r="AK210" s="48"/>
      <c r="AL210" s="48"/>
      <c r="AM210" s="48"/>
      <c r="AN210" s="48"/>
    </row>
    <row r="211" ht="20.25" hidden="1" customHeight="1">
      <c r="A211" s="5" t="str">
        <f t="shared" si="46"/>
        <v>Wholesale autresService gratuit 2</v>
      </c>
      <c r="B211" s="48" t="s">
        <v>899</v>
      </c>
      <c r="C211" s="480" t="s">
        <v>129</v>
      </c>
      <c r="D211" s="546"/>
      <c r="E211" s="48"/>
      <c r="F211" s="481" t="str">
        <f t="array" ref="F211">+SUMPRODUCT(('Budget original'!$A$8:$A$501=$A211)*('Budget original'!$C$3:$AO$3=F$2),'Budget original'!$C$8:$AO$501)</f>
        <v>#N/A</v>
      </c>
      <c r="G211" s="547"/>
      <c r="H211" s="48"/>
      <c r="I211" s="481"/>
      <c r="J211" s="480"/>
      <c r="K211" s="48"/>
      <c r="L211" s="484">
        <f>SUMIFS(BV_Data_An_Cour!$AN:$AN,BV_Data_An_Cour!$AP:$AP,$B211,BV_Data_An_Cour!$AQ:$AQ,$C211,BV_Data_An_Cour!$AR:$AR,$L$2)</f>
        <v>0</v>
      </c>
      <c r="M211" s="480"/>
      <c r="N211" s="484" t="str">
        <f t="shared" si="47"/>
        <v>#N/A</v>
      </c>
      <c r="O211" s="480"/>
      <c r="P211" s="48"/>
      <c r="Q211" s="484">
        <f>SUMIFS(BV_Data_An_Prec!$AN:$AN,BV_Data_An_Prec!$AP:$AP,$B211,BV_Data_An_Prec!$AQ:$AQ,$C211,BV_Data_An_Prec!$AR:$AR,$L$2)</f>
        <v>0</v>
      </c>
      <c r="R211" s="480"/>
      <c r="S211" s="484">
        <f t="shared" si="52"/>
        <v>0</v>
      </c>
      <c r="T211" s="48"/>
      <c r="U211" s="48"/>
      <c r="V211" s="48"/>
      <c r="W211" s="48"/>
      <c r="X211" s="48"/>
      <c r="Y211" s="48"/>
      <c r="Z211" s="48"/>
      <c r="AA211" s="48"/>
      <c r="AB211" s="48"/>
      <c r="AC211" s="48"/>
      <c r="AD211" s="48"/>
      <c r="AE211" s="48"/>
      <c r="AF211" s="48"/>
      <c r="AG211" s="48"/>
      <c r="AH211" s="48"/>
      <c r="AI211" s="48"/>
      <c r="AJ211" s="48"/>
      <c r="AK211" s="48"/>
      <c r="AL211" s="48"/>
      <c r="AM211" s="48"/>
      <c r="AN211" s="48"/>
    </row>
    <row r="212" ht="15.75" customHeight="1">
      <c r="A212" s="5" t="str">
        <f t="shared" si="46"/>
        <v>Wholesale autresFrais véhicules de cie</v>
      </c>
      <c r="B212" s="48" t="s">
        <v>899</v>
      </c>
      <c r="C212" s="471" t="s">
        <v>130</v>
      </c>
      <c r="D212" s="549"/>
      <c r="E212" s="564"/>
      <c r="F212" s="473" t="str">
        <f t="array" ref="F212">+SUMPRODUCT(('Budget original'!$A$8:$A$501=$A212)*('Budget original'!$C$3:$AO$3=F$2),'Budget original'!$C$8:$AO$501)</f>
        <v>#N/A</v>
      </c>
      <c r="G212" s="550"/>
      <c r="H212" s="564"/>
      <c r="I212" s="473"/>
      <c r="J212" s="471"/>
      <c r="K212" s="564"/>
      <c r="L212" s="476">
        <f>SUMIFS(BV_Data_An_Cour!$AN:$AN,BV_Data_An_Cour!$AP:$AP,$B212,BV_Data_An_Cour!$AQ:$AQ,$C212,BV_Data_An_Cour!$AR:$AR,$L$2)</f>
        <v>2750</v>
      </c>
      <c r="M212" s="471"/>
      <c r="N212" s="476" t="str">
        <f t="shared" si="47"/>
        <v>#N/A</v>
      </c>
      <c r="O212" s="471"/>
      <c r="P212" s="564"/>
      <c r="Q212" s="476">
        <f>SUMIFS(BV_Data_An_Prec!$AN:$AN,BV_Data_An_Prec!$AP:$AP,$B212,BV_Data_An_Prec!$AQ:$AQ,$C212,BV_Data_An_Prec!$AR:$AR,$L$2)</f>
        <v>0</v>
      </c>
      <c r="R212" s="471"/>
      <c r="S212" s="476">
        <f t="shared" si="52"/>
        <v>2750</v>
      </c>
      <c r="T212" s="48"/>
      <c r="U212" s="48"/>
      <c r="V212" s="48"/>
      <c r="W212" s="48"/>
      <c r="X212" s="48"/>
      <c r="Y212" s="48"/>
      <c r="Z212" s="48"/>
      <c r="AA212" s="48"/>
      <c r="AB212" s="48"/>
      <c r="AC212" s="48"/>
      <c r="AD212" s="48"/>
      <c r="AE212" s="48"/>
      <c r="AF212" s="48"/>
      <c r="AG212" s="48"/>
      <c r="AH212" s="48"/>
      <c r="AI212" s="48"/>
      <c r="AJ212" s="48"/>
      <c r="AK212" s="48"/>
      <c r="AL212" s="48"/>
      <c r="AM212" s="48"/>
      <c r="AN212" s="48"/>
    </row>
    <row r="213" ht="15.75" customHeight="1">
      <c r="A213" s="5" t="str">
        <f t="shared" si="46"/>
        <v>Wholesale autresInformatique</v>
      </c>
      <c r="B213" s="48" t="s">
        <v>899</v>
      </c>
      <c r="C213" s="480" t="s">
        <v>131</v>
      </c>
      <c r="D213" s="546"/>
      <c r="E213" s="48"/>
      <c r="F213" s="481" t="str">
        <f t="array" ref="F213">+SUMPRODUCT(('Budget original'!$A$8:$A$501=$A213)*('Budget original'!$C$3:$AO$3=F$2),'Budget original'!$C$8:$AO$501)</f>
        <v>#N/A</v>
      </c>
      <c r="G213" s="547"/>
      <c r="H213" s="48"/>
      <c r="I213" s="481"/>
      <c r="J213" s="480"/>
      <c r="K213" s="48"/>
      <c r="L213" s="484">
        <f>SUMIFS(BV_Data_An_Cour!$AN:$AN,BV_Data_An_Cour!$AP:$AP,$B213,BV_Data_An_Cour!$AQ:$AQ,$C213,BV_Data_An_Cour!$AR:$AR,$L$2)</f>
        <v>0</v>
      </c>
      <c r="M213" s="480"/>
      <c r="N213" s="484" t="str">
        <f t="shared" si="47"/>
        <v>#N/A</v>
      </c>
      <c r="O213" s="480"/>
      <c r="P213" s="48"/>
      <c r="Q213" s="484">
        <f>SUMIFS(BV_Data_An_Prec!$AN:$AN,BV_Data_An_Prec!$AP:$AP,$B213,BV_Data_An_Prec!$AQ:$AQ,$C213,BV_Data_An_Prec!$AR:$AR,$L$2)</f>
        <v>0</v>
      </c>
      <c r="R213" s="480"/>
      <c r="S213" s="484">
        <f t="shared" si="52"/>
        <v>0</v>
      </c>
      <c r="T213" s="48"/>
      <c r="U213" s="48"/>
      <c r="V213" s="48"/>
      <c r="W213" s="48"/>
      <c r="X213" s="48"/>
      <c r="Y213" s="48"/>
      <c r="Z213" s="48"/>
      <c r="AA213" s="48"/>
      <c r="AB213" s="48"/>
      <c r="AC213" s="48"/>
      <c r="AD213" s="48"/>
      <c r="AE213" s="48"/>
      <c r="AF213" s="48"/>
      <c r="AG213" s="48"/>
      <c r="AH213" s="48"/>
      <c r="AI213" s="48"/>
      <c r="AJ213" s="48"/>
      <c r="AK213" s="48"/>
      <c r="AL213" s="48"/>
      <c r="AM213" s="48"/>
      <c r="AN213" s="48"/>
    </row>
    <row r="214" ht="15.75" customHeight="1">
      <c r="A214" s="5" t="str">
        <f t="shared" si="46"/>
        <v>Wholesale autresFrais de déplacement</v>
      </c>
      <c r="B214" s="48" t="s">
        <v>899</v>
      </c>
      <c r="C214" s="480" t="s">
        <v>132</v>
      </c>
      <c r="D214" s="546"/>
      <c r="E214" s="48"/>
      <c r="F214" s="481" t="str">
        <f t="array" ref="F214">+SUMPRODUCT(('Budget original'!$A$8:$A$501=$A214)*('Budget original'!$C$3:$AO$3=F$2),'Budget original'!$C$8:$AO$501)</f>
        <v>#N/A</v>
      </c>
      <c r="G214" s="547"/>
      <c r="H214" s="48"/>
      <c r="I214" s="481"/>
      <c r="J214" s="480"/>
      <c r="K214" s="48"/>
      <c r="L214" s="484">
        <f>SUMIFS(BV_Data_An_Cour!$AN:$AN,BV_Data_An_Cour!$AP:$AP,$B214,BV_Data_An_Cour!$AQ:$AQ,$C214,BV_Data_An_Cour!$AR:$AR,$L$2)</f>
        <v>2514.28</v>
      </c>
      <c r="M214" s="480"/>
      <c r="N214" s="484" t="str">
        <f t="shared" si="47"/>
        <v>#N/A</v>
      </c>
      <c r="O214" s="480"/>
      <c r="P214" s="48"/>
      <c r="Q214" s="484">
        <f>SUMIFS(BV_Data_An_Prec!$AN:$AN,BV_Data_An_Prec!$AP:$AP,$B214,BV_Data_An_Prec!$AQ:$AQ,$C214,BV_Data_An_Prec!$AR:$AR,$L$2)</f>
        <v>0</v>
      </c>
      <c r="R214" s="480"/>
      <c r="S214" s="484">
        <f t="shared" si="52"/>
        <v>2514.28</v>
      </c>
      <c r="T214" s="602"/>
      <c r="U214" s="48"/>
      <c r="V214" s="48"/>
      <c r="W214" s="48"/>
      <c r="X214" s="48"/>
      <c r="Y214" s="48"/>
      <c r="Z214" s="48"/>
      <c r="AA214" s="48"/>
      <c r="AB214" s="48"/>
      <c r="AC214" s="48"/>
      <c r="AD214" s="48"/>
      <c r="AE214" s="48"/>
      <c r="AF214" s="48"/>
      <c r="AG214" s="48"/>
      <c r="AH214" s="48"/>
      <c r="AI214" s="48"/>
      <c r="AJ214" s="48"/>
      <c r="AK214" s="48"/>
      <c r="AL214" s="48"/>
      <c r="AM214" s="48"/>
      <c r="AN214" s="48"/>
    </row>
    <row r="215" ht="15.75" customHeight="1">
      <c r="A215" s="5" t="str">
        <f t="shared" si="46"/>
        <v>Wholesale autresServices extérieurs</v>
      </c>
      <c r="B215" s="48" t="s">
        <v>899</v>
      </c>
      <c r="C215" s="471" t="s">
        <v>133</v>
      </c>
      <c r="D215" s="549"/>
      <c r="E215" s="564"/>
      <c r="F215" s="473" t="str">
        <f t="array" ref="F215">+SUMPRODUCT(('Budget original'!$A$8:$A$501=$A215)*('Budget original'!$C$3:$AO$3=F$2),'Budget original'!$C$8:$AO$501)</f>
        <v>#N/A</v>
      </c>
      <c r="G215" s="550"/>
      <c r="H215" s="564"/>
      <c r="I215" s="473"/>
      <c r="J215" s="471"/>
      <c r="K215" s="564"/>
      <c r="L215" s="476">
        <f>SUMIFS(BV_Data_An_Cour!$AN:$AN,BV_Data_An_Cour!$AP:$AP,$B215,BV_Data_An_Cour!$AQ:$AQ,$C215,BV_Data_An_Cour!$AR:$AR,$L$2)</f>
        <v>528.26</v>
      </c>
      <c r="M215" s="471"/>
      <c r="N215" s="476" t="str">
        <f t="shared" si="47"/>
        <v>#N/A</v>
      </c>
      <c r="O215" s="471"/>
      <c r="P215" s="564"/>
      <c r="Q215" s="476">
        <f>SUMIFS(BV_Data_An_Prec!$AN:$AN,BV_Data_An_Prec!$AP:$AP,$B215,BV_Data_An_Prec!$AQ:$AQ,$C215,BV_Data_An_Prec!$AR:$AR,$L$2)</f>
        <v>341</v>
      </c>
      <c r="R215" s="471"/>
      <c r="S215" s="476">
        <f t="shared" si="52"/>
        <v>187.26</v>
      </c>
      <c r="T215" s="48"/>
      <c r="U215" s="669"/>
      <c r="V215" s="48"/>
      <c r="W215" s="48"/>
      <c r="X215" s="48"/>
      <c r="Y215" s="48"/>
      <c r="Z215" s="48"/>
      <c r="AA215" s="48"/>
      <c r="AB215" s="48"/>
      <c r="AC215" s="48"/>
      <c r="AD215" s="48"/>
      <c r="AE215" s="48"/>
      <c r="AF215" s="48"/>
      <c r="AG215" s="48"/>
      <c r="AH215" s="48"/>
      <c r="AI215" s="48"/>
      <c r="AJ215" s="48"/>
      <c r="AK215" s="48"/>
      <c r="AL215" s="48"/>
      <c r="AM215" s="48"/>
      <c r="AN215" s="48"/>
    </row>
    <row r="216" ht="15.75" customHeight="1">
      <c r="A216" s="5" t="str">
        <f t="shared" si="46"/>
        <v>Wholesale autresFournitures autres</v>
      </c>
      <c r="B216" s="48" t="s">
        <v>899</v>
      </c>
      <c r="C216" s="480" t="s">
        <v>134</v>
      </c>
      <c r="D216" s="546"/>
      <c r="E216" s="48"/>
      <c r="F216" s="481" t="str">
        <f t="array" ref="F216">+SUMPRODUCT(('Budget original'!$A$8:$A$501=$A216)*('Budget original'!$C$3:$AO$3=F$2),'Budget original'!$C$8:$AO$501)</f>
        <v>#N/A</v>
      </c>
      <c r="G216" s="547"/>
      <c r="H216" s="48"/>
      <c r="I216" s="481"/>
      <c r="J216" s="480"/>
      <c r="K216" s="48"/>
      <c r="L216" s="484">
        <f>SUMIFS(BV_Data_An_Cour!$AN:$AN,BV_Data_An_Cour!$AP:$AP,$B216,BV_Data_An_Cour!$AQ:$AQ,$C216,BV_Data_An_Cour!$AR:$AR,$L$2)</f>
        <v>0</v>
      </c>
      <c r="M216" s="480"/>
      <c r="N216" s="484" t="str">
        <f t="shared" si="47"/>
        <v>#N/A</v>
      </c>
      <c r="O216" s="480"/>
      <c r="P216" s="48"/>
      <c r="Q216" s="484">
        <f>SUMIFS(BV_Data_An_Prec!$AN:$AN,BV_Data_An_Prec!$AP:$AP,$B216,BV_Data_An_Prec!$AQ:$AQ,$C216,BV_Data_An_Prec!$AR:$AR,$L$2)</f>
        <v>0</v>
      </c>
      <c r="R216" s="480"/>
      <c r="S216" s="484">
        <f t="shared" si="52"/>
        <v>0</v>
      </c>
      <c r="T216" s="48"/>
      <c r="U216" s="48"/>
      <c r="V216" s="48"/>
      <c r="W216" s="48"/>
      <c r="X216" s="48"/>
      <c r="Y216" s="48"/>
      <c r="Z216" s="48"/>
      <c r="AA216" s="48"/>
      <c r="AB216" s="48"/>
      <c r="AC216" s="48"/>
      <c r="AD216" s="48"/>
      <c r="AE216" s="48"/>
      <c r="AF216" s="48"/>
      <c r="AG216" s="48"/>
      <c r="AH216" s="48"/>
      <c r="AI216" s="48"/>
      <c r="AJ216" s="48"/>
      <c r="AK216" s="48"/>
      <c r="AL216" s="48"/>
      <c r="AM216" s="48"/>
      <c r="AN216" s="48"/>
    </row>
    <row r="217" ht="15.75" customHeight="1">
      <c r="A217" s="5" t="str">
        <f t="shared" si="46"/>
        <v>Wholesale autresUniformes</v>
      </c>
      <c r="B217" s="48" t="s">
        <v>899</v>
      </c>
      <c r="C217" s="480" t="s">
        <v>135</v>
      </c>
      <c r="D217" s="546"/>
      <c r="E217" s="48"/>
      <c r="F217" s="481" t="str">
        <f t="array" ref="F217">+SUMPRODUCT(('Budget original'!$A$8:$A$501=$A217)*('Budget original'!$C$3:$AO$3=F$2),'Budget original'!$C$8:$AO$501)</f>
        <v>#N/A</v>
      </c>
      <c r="G217" s="547"/>
      <c r="H217" s="48"/>
      <c r="I217" s="481"/>
      <c r="J217" s="480"/>
      <c r="K217" s="48"/>
      <c r="L217" s="484">
        <f>SUMIFS(BV_Data_An_Cour!$AN:$AN,BV_Data_An_Cour!$AP:$AP,$B217,BV_Data_An_Cour!$AQ:$AQ,$C217,BV_Data_An_Cour!$AR:$AR,$L$2)</f>
        <v>0</v>
      </c>
      <c r="M217" s="480"/>
      <c r="N217" s="484" t="str">
        <f t="shared" si="47"/>
        <v>#N/A</v>
      </c>
      <c r="O217" s="480"/>
      <c r="P217" s="48"/>
      <c r="Q217" s="484">
        <f>SUMIFS(BV_Data_An_Prec!$AN:$AN,BV_Data_An_Prec!$AP:$AP,$B217,BV_Data_An_Prec!$AQ:$AQ,$C217,BV_Data_An_Prec!$AR:$AR,$L$2)</f>
        <v>0</v>
      </c>
      <c r="R217" s="480"/>
      <c r="S217" s="484">
        <f t="shared" si="52"/>
        <v>0</v>
      </c>
      <c r="T217" s="48"/>
      <c r="U217" s="669"/>
      <c r="V217" s="48"/>
      <c r="W217" s="48"/>
      <c r="X217" s="48"/>
      <c r="Y217" s="48"/>
      <c r="Z217" s="48"/>
      <c r="AA217" s="48"/>
      <c r="AB217" s="48"/>
      <c r="AC217" s="48"/>
      <c r="AD217" s="48"/>
      <c r="AE217" s="48"/>
      <c r="AF217" s="48"/>
      <c r="AG217" s="48"/>
      <c r="AH217" s="48"/>
      <c r="AI217" s="48"/>
      <c r="AJ217" s="48"/>
      <c r="AK217" s="48"/>
      <c r="AL217" s="48"/>
      <c r="AM217" s="48"/>
      <c r="AN217" s="48"/>
    </row>
    <row r="218" ht="15.75" customHeight="1">
      <c r="A218" s="5" t="str">
        <f t="shared" si="46"/>
        <v>Wholesale autresPapeterie</v>
      </c>
      <c r="B218" s="48" t="s">
        <v>899</v>
      </c>
      <c r="C218" s="480" t="s">
        <v>136</v>
      </c>
      <c r="D218" s="546"/>
      <c r="E218" s="48"/>
      <c r="F218" s="481" t="str">
        <f t="array" ref="F218">+SUMPRODUCT(('Budget original'!$A$8:$A$501=$A218)*('Budget original'!$C$3:$AO$3=F$2),'Budget original'!$C$8:$AO$501)</f>
        <v>#N/A</v>
      </c>
      <c r="G218" s="547"/>
      <c r="H218" s="48"/>
      <c r="I218" s="481"/>
      <c r="J218" s="480"/>
      <c r="K218" s="48"/>
      <c r="L218" s="484">
        <f>SUMIFS(BV_Data_An_Cour!$AN:$AN,BV_Data_An_Cour!$AP:$AP,$B218,BV_Data_An_Cour!$AQ:$AQ,$C218,BV_Data_An_Cour!$AR:$AR,$L$2)</f>
        <v>2502</v>
      </c>
      <c r="M218" s="480"/>
      <c r="N218" s="484" t="str">
        <f t="shared" si="47"/>
        <v>#N/A</v>
      </c>
      <c r="O218" s="480"/>
      <c r="P218" s="48"/>
      <c r="Q218" s="484">
        <f>SUMIFS(BV_Data_An_Prec!$AN:$AN,BV_Data_An_Prec!$AP:$AP,$B218,BV_Data_An_Prec!$AQ:$AQ,$C218,BV_Data_An_Prec!$AR:$AR,$L$2)</f>
        <v>1727.37</v>
      </c>
      <c r="R218" s="480"/>
      <c r="S218" s="484">
        <f t="shared" si="52"/>
        <v>774.63</v>
      </c>
      <c r="T218" s="48"/>
      <c r="U218" s="48"/>
      <c r="V218" s="48"/>
      <c r="W218" s="48"/>
      <c r="X218" s="48"/>
      <c r="Y218" s="48"/>
      <c r="Z218" s="48"/>
      <c r="AA218" s="48"/>
      <c r="AB218" s="48"/>
      <c r="AC218" s="48"/>
      <c r="AD218" s="48"/>
      <c r="AE218" s="48"/>
      <c r="AF218" s="48"/>
      <c r="AG218" s="48"/>
      <c r="AH218" s="48"/>
      <c r="AI218" s="48"/>
      <c r="AJ218" s="48"/>
      <c r="AK218" s="48"/>
      <c r="AL218" s="48"/>
      <c r="AM218" s="48"/>
      <c r="AN218" s="48"/>
    </row>
    <row r="219" ht="15.75" customHeight="1">
      <c r="A219" s="5" t="str">
        <f t="shared" si="46"/>
        <v>Wholesale autresTéléphone</v>
      </c>
      <c r="B219" s="48" t="s">
        <v>899</v>
      </c>
      <c r="C219" s="480" t="s">
        <v>137</v>
      </c>
      <c r="D219" s="546"/>
      <c r="E219" s="48"/>
      <c r="F219" s="481" t="str">
        <f t="array" ref="F219">+SUMPRODUCT(('Budget original'!$A$8:$A$501=$A219)*('Budget original'!$C$3:$AO$3=F$2),'Budget original'!$C$8:$AO$501)</f>
        <v>#N/A</v>
      </c>
      <c r="G219" s="547"/>
      <c r="H219" s="48"/>
      <c r="I219" s="481"/>
      <c r="J219" s="480"/>
      <c r="K219" s="48"/>
      <c r="L219" s="484">
        <f>SUMIFS(BV_Data_An_Cour!$AN:$AN,BV_Data_An_Cour!$AP:$AP,$B219,BV_Data_An_Cour!$AQ:$AQ,$C219,BV_Data_An_Cour!$AR:$AR,$L$2)</f>
        <v>630</v>
      </c>
      <c r="M219" s="480"/>
      <c r="N219" s="484" t="str">
        <f t="shared" si="47"/>
        <v>#N/A</v>
      </c>
      <c r="O219" s="480"/>
      <c r="P219" s="48"/>
      <c r="Q219" s="484">
        <f>SUMIFS(BV_Data_An_Prec!$AN:$AN,BV_Data_An_Prec!$AP:$AP,$B219,BV_Data_An_Prec!$AQ:$AQ,$C219,BV_Data_An_Prec!$AR:$AR,$L$2)</f>
        <v>525.91</v>
      </c>
      <c r="R219" s="480"/>
      <c r="S219" s="484">
        <f t="shared" si="52"/>
        <v>104.09</v>
      </c>
      <c r="T219" s="48"/>
      <c r="U219" s="48"/>
      <c r="V219" s="48"/>
      <c r="W219" s="48"/>
      <c r="X219" s="48"/>
      <c r="Y219" s="48"/>
      <c r="Z219" s="48"/>
      <c r="AA219" s="48"/>
      <c r="AB219" s="48"/>
      <c r="AC219" s="48"/>
      <c r="AD219" s="48"/>
      <c r="AE219" s="48"/>
      <c r="AF219" s="48"/>
      <c r="AG219" s="48"/>
      <c r="AH219" s="48"/>
      <c r="AI219" s="48"/>
      <c r="AJ219" s="48"/>
      <c r="AK219" s="48"/>
      <c r="AL219" s="48"/>
      <c r="AM219" s="48"/>
      <c r="AN219" s="48"/>
    </row>
    <row r="220" ht="15.75" customHeight="1">
      <c r="A220" s="5" t="str">
        <f t="shared" si="46"/>
        <v>Wholesale autresFrais postaux</v>
      </c>
      <c r="B220" s="48" t="s">
        <v>899</v>
      </c>
      <c r="C220" s="480" t="s">
        <v>138</v>
      </c>
      <c r="D220" s="546"/>
      <c r="E220" s="48"/>
      <c r="F220" s="481" t="str">
        <f t="array" ref="F220">+SUMPRODUCT(('Budget original'!$A$8:$A$501=$A220)*('Budget original'!$C$3:$AO$3=F$2),'Budget original'!$C$8:$AO$501)</f>
        <v>#N/A</v>
      </c>
      <c r="G220" s="547"/>
      <c r="H220" s="48"/>
      <c r="I220" s="481"/>
      <c r="J220" s="480"/>
      <c r="K220" s="48"/>
      <c r="L220" s="484">
        <f>SUMIFS(BV_Data_An_Cour!$AN:$AN,BV_Data_An_Cour!$AP:$AP,$B220,BV_Data_An_Cour!$AQ:$AQ,$C220,BV_Data_An_Cour!$AR:$AR,$L$2)</f>
        <v>4601.07</v>
      </c>
      <c r="M220" s="480"/>
      <c r="N220" s="484" t="str">
        <f t="shared" si="47"/>
        <v>#N/A</v>
      </c>
      <c r="O220" s="480"/>
      <c r="P220" s="48"/>
      <c r="Q220" s="484">
        <f>SUMIFS(BV_Data_An_Prec!$AN:$AN,BV_Data_An_Prec!$AP:$AP,$B220,BV_Data_An_Prec!$AQ:$AQ,$C220,BV_Data_An_Prec!$AR:$AR,$L$2)</f>
        <v>5801.95</v>
      </c>
      <c r="R220" s="480"/>
      <c r="S220" s="484">
        <f t="shared" si="52"/>
        <v>-1200.88</v>
      </c>
      <c r="T220" s="48"/>
      <c r="U220" s="48"/>
      <c r="V220" s="48"/>
      <c r="W220" s="48"/>
      <c r="X220" s="48"/>
      <c r="Y220" s="48"/>
      <c r="Z220" s="48"/>
      <c r="AA220" s="48"/>
      <c r="AB220" s="48"/>
      <c r="AC220" s="48"/>
      <c r="AD220" s="48"/>
      <c r="AE220" s="48"/>
      <c r="AF220" s="48"/>
      <c r="AG220" s="48"/>
      <c r="AH220" s="48"/>
      <c r="AI220" s="48"/>
      <c r="AJ220" s="48"/>
      <c r="AK220" s="48"/>
      <c r="AL220" s="48"/>
      <c r="AM220" s="48"/>
      <c r="AN220" s="48"/>
    </row>
    <row r="221" ht="15.75" customHeight="1">
      <c r="A221" s="5" t="str">
        <f t="shared" si="46"/>
        <v>Wholesale autresDivers</v>
      </c>
      <c r="B221" s="48" t="s">
        <v>899</v>
      </c>
      <c r="C221" s="480" t="s">
        <v>139</v>
      </c>
      <c r="D221" s="546"/>
      <c r="E221" s="48"/>
      <c r="F221" s="481" t="str">
        <f t="array" ref="F221">+SUMPRODUCT(('Budget original'!$A$8:$A$501=$A221)*('Budget original'!$C$3:$AO$3=F$2),'Budget original'!$C$8:$AO$501)</f>
        <v>#N/A</v>
      </c>
      <c r="G221" s="547"/>
      <c r="H221" s="48"/>
      <c r="I221" s="481"/>
      <c r="J221" s="480"/>
      <c r="K221" s="48"/>
      <c r="L221" s="484">
        <f>SUMIFS(BV_Data_An_Cour!$AN:$AN,BV_Data_An_Cour!$AP:$AP,$B221,BV_Data_An_Cour!$AQ:$AQ,$C221,BV_Data_An_Cour!$AR:$AR,$L$2)</f>
        <v>0</v>
      </c>
      <c r="M221" s="480"/>
      <c r="N221" s="484" t="str">
        <f t="shared" si="47"/>
        <v>#N/A</v>
      </c>
      <c r="O221" s="480"/>
      <c r="P221" s="48"/>
      <c r="Q221" s="484">
        <f>SUMIFS(BV_Data_An_Prec!$AN:$AN,BV_Data_An_Prec!$AP:$AP,$B221,BV_Data_An_Prec!$AQ:$AQ,$C221,BV_Data_An_Prec!$AR:$AR,$L$2)</f>
        <v>79.9</v>
      </c>
      <c r="R221" s="480"/>
      <c r="S221" s="484">
        <f t="shared" si="52"/>
        <v>-79.9</v>
      </c>
      <c r="T221" s="48"/>
      <c r="U221" s="48"/>
      <c r="V221" s="48"/>
      <c r="W221" s="48"/>
      <c r="X221" s="48"/>
      <c r="Y221" s="48"/>
      <c r="Z221" s="48"/>
      <c r="AA221" s="48"/>
      <c r="AB221" s="48"/>
      <c r="AC221" s="48"/>
      <c r="AD221" s="48"/>
      <c r="AE221" s="48"/>
      <c r="AF221" s="48"/>
      <c r="AG221" s="48"/>
      <c r="AH221" s="48"/>
      <c r="AI221" s="48"/>
      <c r="AJ221" s="48"/>
      <c r="AK221" s="48"/>
      <c r="AL221" s="48"/>
      <c r="AM221" s="48"/>
      <c r="AN221" s="48"/>
    </row>
    <row r="222" ht="15.75" customHeight="1">
      <c r="A222" s="5" t="str">
        <f t="shared" si="46"/>
        <v>Wholesale autresFormation</v>
      </c>
      <c r="B222" s="48" t="s">
        <v>899</v>
      </c>
      <c r="C222" s="480" t="s">
        <v>140</v>
      </c>
      <c r="D222" s="546"/>
      <c r="E222" s="48"/>
      <c r="F222" s="481" t="str">
        <f t="array" ref="F222">+SUMPRODUCT(('Budget original'!$A$8:$A$501=$A222)*('Budget original'!$C$3:$AO$3=F$2),'Budget original'!$C$8:$AO$501)</f>
        <v>#N/A</v>
      </c>
      <c r="G222" s="547"/>
      <c r="H222" s="48"/>
      <c r="I222" s="481"/>
      <c r="J222" s="480"/>
      <c r="K222" s="48"/>
      <c r="L222" s="484">
        <f>SUMIFS(BV_Data_An_Cour!$AN:$AN,BV_Data_An_Cour!$AP:$AP,$B222,BV_Data_An_Cour!$AQ:$AQ,$C222,BV_Data_An_Cour!$AR:$AR,$L$2)</f>
        <v>0</v>
      </c>
      <c r="M222" s="480"/>
      <c r="N222" s="484" t="str">
        <f t="shared" si="47"/>
        <v>#N/A</v>
      </c>
      <c r="O222" s="480"/>
      <c r="P222" s="48"/>
      <c r="Q222" s="484">
        <f>SUMIFS(BV_Data_An_Prec!$AN:$AN,BV_Data_An_Prec!$AP:$AP,$B222,BV_Data_An_Prec!$AQ:$AQ,$C222,BV_Data_An_Prec!$AR:$AR,$L$2)</f>
        <v>0</v>
      </c>
      <c r="R222" s="480"/>
      <c r="S222" s="484">
        <f t="shared" si="52"/>
        <v>0</v>
      </c>
      <c r="T222" s="48"/>
      <c r="X222" s="48"/>
      <c r="Y222" s="48"/>
      <c r="Z222" s="48"/>
      <c r="AA222" s="48"/>
      <c r="AB222" s="48"/>
      <c r="AC222" s="48"/>
      <c r="AD222" s="48"/>
      <c r="AE222" s="48"/>
      <c r="AF222" s="48"/>
      <c r="AG222" s="48"/>
      <c r="AH222" s="48"/>
      <c r="AI222" s="48"/>
      <c r="AJ222" s="48"/>
      <c r="AK222" s="48"/>
      <c r="AL222" s="48"/>
      <c r="AM222" s="48"/>
      <c r="AN222" s="48"/>
    </row>
    <row r="223" ht="15.75" customHeight="1">
      <c r="A223" s="5" t="str">
        <f t="shared" si="46"/>
        <v>Wholesale autresFrais bancaires</v>
      </c>
      <c r="B223" s="48" t="s">
        <v>899</v>
      </c>
      <c r="C223" s="480" t="s">
        <v>141</v>
      </c>
      <c r="D223" s="546"/>
      <c r="E223" s="48"/>
      <c r="F223" s="481" t="str">
        <f t="array" ref="F223">+SUMPRODUCT(('Budget original'!$A$8:$A$501=$A223)*('Budget original'!$C$3:$AO$3=F$2),'Budget original'!$C$8:$AO$501)</f>
        <v>#N/A</v>
      </c>
      <c r="G223" s="547"/>
      <c r="H223" s="48"/>
      <c r="I223" s="481"/>
      <c r="J223" s="480"/>
      <c r="K223" s="48"/>
      <c r="L223" s="484">
        <f>SUMIFS(BV_Data_An_Cour!$AN:$AN,BV_Data_An_Cour!$AP:$AP,$B223,BV_Data_An_Cour!$AQ:$AQ,$C223,BV_Data_An_Cour!$AR:$AR,L$2)</f>
        <v>52.5</v>
      </c>
      <c r="M223" s="480"/>
      <c r="N223" s="484" t="str">
        <f t="shared" si="47"/>
        <v>#N/A</v>
      </c>
      <c r="O223" s="480"/>
      <c r="P223" s="48"/>
      <c r="Q223" s="484">
        <f>SUMIFS(BV_Data_An_Prec!$AN:$AN,BV_Data_An_Prec!$AP:$AP,$B223,BV_Data_An_Prec!$AQ:$AQ,$C223,BV_Data_An_Prec!$AR:$AR,Q$2)</f>
        <v>2134.59</v>
      </c>
      <c r="R223" s="480"/>
      <c r="S223" s="484">
        <f t="shared" si="52"/>
        <v>-2082.09</v>
      </c>
      <c r="T223" s="483"/>
      <c r="X223" s="48"/>
      <c r="Y223" s="48"/>
      <c r="Z223" s="48"/>
      <c r="AA223" s="48"/>
      <c r="AB223" s="48"/>
      <c r="AC223" s="48"/>
      <c r="AD223" s="48"/>
      <c r="AE223" s="48"/>
      <c r="AF223" s="48"/>
      <c r="AG223" s="48"/>
      <c r="AH223" s="48"/>
      <c r="AI223" s="48"/>
      <c r="AJ223" s="48"/>
      <c r="AK223" s="48"/>
      <c r="AL223" s="48"/>
      <c r="AM223" s="48"/>
      <c r="AN223" s="48"/>
    </row>
    <row r="224" ht="20.25" hidden="1" customHeight="1">
      <c r="A224" s="5" t="str">
        <f t="shared" si="46"/>
        <v>Wholesale autres[...]</v>
      </c>
      <c r="B224" s="48" t="s">
        <v>899</v>
      </c>
      <c r="C224" s="480" t="s">
        <v>56</v>
      </c>
      <c r="D224" s="546"/>
      <c r="E224" s="48"/>
      <c r="F224" s="481" t="str">
        <f t="array" ref="F224">+SUMPRODUCT(('Budget original'!$A$8:$A$501=$A224)*('Budget original'!$C$3:$AO$3=F$2),'Budget original'!$C$8:$AO$501)</f>
        <v>#N/A</v>
      </c>
      <c r="G224" s="547"/>
      <c r="H224" s="48"/>
      <c r="I224" s="481"/>
      <c r="J224" s="480"/>
      <c r="K224" s="48"/>
      <c r="L224" s="484">
        <f>SUMIFS(BV_Data_An_Cour!$AN:$AN,BV_Data_An_Cour!$AP:$AP,$B224,BV_Data_An_Cour!$AQ:$AQ,$C224,BV_Data_An_Cour!$AR:$AR,$L$2)</f>
        <v>0</v>
      </c>
      <c r="M224" s="480"/>
      <c r="N224" s="484" t="str">
        <f t="shared" si="47"/>
        <v>#N/A</v>
      </c>
      <c r="O224" s="480"/>
      <c r="P224" s="48"/>
      <c r="Q224" s="484">
        <f>SUMIFS(BV_Data_An_Prec!$AN:$AN,BV_Data_An_Prec!$AP:$AP,$B224,BV_Data_An_Prec!$AQ:$AQ,$C224,BV_Data_An_Prec!$AR:$AR,$L$2)</f>
        <v>0</v>
      </c>
      <c r="R224" s="480"/>
      <c r="S224" s="484">
        <f t="shared" si="52"/>
        <v>0</v>
      </c>
      <c r="T224" s="48"/>
      <c r="X224" s="48"/>
      <c r="Y224" s="48"/>
      <c r="Z224" s="48"/>
      <c r="AA224" s="48"/>
      <c r="AB224" s="48"/>
      <c r="AC224" s="48"/>
      <c r="AD224" s="48"/>
      <c r="AE224" s="48"/>
      <c r="AF224" s="48"/>
      <c r="AG224" s="48"/>
      <c r="AH224" s="48"/>
      <c r="AI224" s="48"/>
      <c r="AJ224" s="48"/>
      <c r="AK224" s="48"/>
      <c r="AL224" s="48"/>
      <c r="AM224" s="48"/>
      <c r="AN224" s="48"/>
    </row>
    <row r="225" ht="20.25" hidden="1" customHeight="1">
      <c r="A225" s="5" t="str">
        <f t="shared" si="46"/>
        <v>Wholesale autres[...]</v>
      </c>
      <c r="B225" s="48" t="s">
        <v>899</v>
      </c>
      <c r="C225" s="480" t="s">
        <v>56</v>
      </c>
      <c r="D225" s="546"/>
      <c r="E225" s="48"/>
      <c r="F225" s="481" t="str">
        <f t="array" ref="F225">+SUMPRODUCT(('Budget original'!$A$8:$A$501=$A225)*('Budget original'!$C$3:$AO$3=F$2),'Budget original'!$C$8:$AO$501)</f>
        <v>#N/A</v>
      </c>
      <c r="G225" s="547"/>
      <c r="H225" s="48"/>
      <c r="I225" s="481"/>
      <c r="J225" s="480"/>
      <c r="K225" s="48"/>
      <c r="L225" s="484">
        <f>SUMIFS(BV_Data_An_Cour!$AN:$AN,BV_Data_An_Cour!$AP:$AP,$B225,BV_Data_An_Cour!$AQ:$AQ,$C225,BV_Data_An_Cour!$AR:$AR,$L$2)</f>
        <v>0</v>
      </c>
      <c r="M225" s="480"/>
      <c r="N225" s="484" t="str">
        <f t="shared" si="47"/>
        <v>#N/A</v>
      </c>
      <c r="O225" s="480"/>
      <c r="P225" s="48"/>
      <c r="Q225" s="484">
        <f>SUMIFS(BV_Data_An_Prec!$AN:$AN,BV_Data_An_Prec!$AP:$AP,$B225,BV_Data_An_Prec!$AQ:$AQ,$C225,BV_Data_An_Prec!$AR:$AR,$L$2)</f>
        <v>0</v>
      </c>
      <c r="R225" s="480"/>
      <c r="S225" s="484">
        <f t="shared" si="52"/>
        <v>0</v>
      </c>
      <c r="T225" s="48"/>
      <c r="X225" s="48"/>
      <c r="Y225" s="48"/>
      <c r="Z225" s="48"/>
      <c r="AA225" s="48"/>
      <c r="AB225" s="48"/>
      <c r="AC225" s="48"/>
      <c r="AD225" s="48"/>
      <c r="AE225" s="48"/>
      <c r="AF225" s="48"/>
      <c r="AG225" s="48"/>
      <c r="AH225" s="48"/>
      <c r="AI225" s="48"/>
      <c r="AJ225" s="48"/>
      <c r="AK225" s="48"/>
      <c r="AL225" s="48"/>
      <c r="AM225" s="48"/>
      <c r="AN225" s="48"/>
    </row>
    <row r="226" ht="20.25" hidden="1" customHeight="1">
      <c r="A226" s="5" t="str">
        <f t="shared" si="46"/>
        <v>Wholesale autres[...]</v>
      </c>
      <c r="B226" s="48" t="s">
        <v>899</v>
      </c>
      <c r="C226" s="480" t="s">
        <v>56</v>
      </c>
      <c r="D226" s="546"/>
      <c r="E226" s="48"/>
      <c r="F226" s="481" t="str">
        <f t="array" ref="F226">+SUMPRODUCT(('Budget original'!$A$8:$A$501=$A226)*('Budget original'!$C$3:$AO$3=F$2),'Budget original'!$C$8:$AO$501)</f>
        <v>#N/A</v>
      </c>
      <c r="G226" s="547"/>
      <c r="H226" s="48"/>
      <c r="I226" s="481"/>
      <c r="J226" s="480"/>
      <c r="K226" s="48"/>
      <c r="L226" s="484">
        <f>SUMIFS(BV_Data_An_Cour!$AN:$AN,BV_Data_An_Cour!$AP:$AP,$B226,BV_Data_An_Cour!$AQ:$AQ,$C226,BV_Data_An_Cour!$AR:$AR,$L$2)</f>
        <v>0</v>
      </c>
      <c r="M226" s="480"/>
      <c r="N226" s="484" t="str">
        <f t="shared" si="47"/>
        <v>#N/A</v>
      </c>
      <c r="O226" s="480"/>
      <c r="P226" s="48"/>
      <c r="Q226" s="484">
        <f>SUMIFS(BV_Data_An_Prec!$AN:$AN,BV_Data_An_Prec!$AP:$AP,$B226,BV_Data_An_Prec!$AQ:$AQ,$C226,BV_Data_An_Prec!$AR:$AR,$L$2)</f>
        <v>0</v>
      </c>
      <c r="R226" s="480"/>
      <c r="S226" s="484">
        <f t="shared" si="52"/>
        <v>0</v>
      </c>
      <c r="T226" s="483"/>
      <c r="X226" s="48"/>
      <c r="Y226" s="48"/>
      <c r="Z226" s="48"/>
      <c r="AA226" s="48"/>
      <c r="AB226" s="48"/>
      <c r="AC226" s="48"/>
      <c r="AD226" s="48"/>
      <c r="AE226" s="48"/>
      <c r="AF226" s="48"/>
      <c r="AG226" s="48"/>
      <c r="AH226" s="48"/>
      <c r="AI226" s="48"/>
      <c r="AJ226" s="48"/>
      <c r="AK226" s="48"/>
      <c r="AL226" s="48"/>
      <c r="AM226" s="48"/>
      <c r="AN226" s="48"/>
    </row>
    <row r="227" ht="18.0" customHeight="1">
      <c r="A227" s="5" t="str">
        <f t="shared" si="46"/>
        <v>Wholesale autresTOTAL SEMI-FIXES</v>
      </c>
      <c r="B227" s="48" t="s">
        <v>899</v>
      </c>
      <c r="C227" s="552" t="s">
        <v>142</v>
      </c>
      <c r="D227" s="553" t="s">
        <v>225</v>
      </c>
      <c r="E227" s="554" t="str">
        <f>F227/F$109</f>
        <v>#N/A</v>
      </c>
      <c r="F227" s="555" t="str">
        <f>+SUM(F210:F226)</f>
        <v>#N/A</v>
      </c>
      <c r="G227" s="556"/>
      <c r="H227" s="554"/>
      <c r="I227" s="555"/>
      <c r="J227" s="556" t="s">
        <v>225</v>
      </c>
      <c r="K227" s="554">
        <f>L227/L$109</f>
        <v>0.02601842092</v>
      </c>
      <c r="L227" s="555">
        <f>+SUM(L210:L226)</f>
        <v>13578.11</v>
      </c>
      <c r="M227" s="557"/>
      <c r="N227" s="555" t="str">
        <f t="shared" si="47"/>
        <v>#N/A</v>
      </c>
      <c r="O227" s="556" t="s">
        <v>225</v>
      </c>
      <c r="P227" s="554">
        <f>Q227/Q$109</f>
        <v>0.0180961045</v>
      </c>
      <c r="Q227" s="555">
        <f>+SUM(Q210:Q226)</f>
        <v>10610.72</v>
      </c>
      <c r="R227" s="558"/>
      <c r="S227" s="555">
        <f t="shared" si="52"/>
        <v>2967.39</v>
      </c>
      <c r="T227" s="48"/>
      <c r="U227" s="48"/>
      <c r="V227" s="48"/>
      <c r="W227" s="48"/>
      <c r="X227" s="48"/>
      <c r="Y227" s="48"/>
      <c r="Z227" s="48"/>
      <c r="AA227" s="48"/>
      <c r="AB227" s="48"/>
      <c r="AC227" s="48"/>
      <c r="AD227" s="48"/>
      <c r="AE227" s="48"/>
      <c r="AF227" s="48"/>
      <c r="AG227" s="48"/>
      <c r="AH227" s="48"/>
      <c r="AI227" s="48"/>
      <c r="AJ227" s="48"/>
      <c r="AK227" s="48"/>
      <c r="AL227" s="48"/>
      <c r="AM227" s="48"/>
      <c r="AN227" s="48"/>
    </row>
    <row r="228" ht="15.75" customHeight="1">
      <c r="A228" s="5" t="str">
        <f t="shared" si="46"/>
        <v>Wholesale autres</v>
      </c>
      <c r="B228" s="48" t="s">
        <v>899</v>
      </c>
      <c r="C228" s="471"/>
      <c r="D228" s="549"/>
      <c r="E228" s="564"/>
      <c r="F228" s="484"/>
      <c r="G228" s="550"/>
      <c r="H228" s="564"/>
      <c r="I228" s="484"/>
      <c r="J228" s="471"/>
      <c r="K228" s="564"/>
      <c r="L228" s="476"/>
      <c r="M228" s="471"/>
      <c r="N228" s="476"/>
      <c r="O228" s="471"/>
      <c r="P228" s="564"/>
      <c r="Q228" s="476"/>
      <c r="R228" s="471"/>
      <c r="S228" s="476"/>
      <c r="T228" s="503"/>
      <c r="U228" s="48"/>
      <c r="V228" s="48"/>
      <c r="W228" s="48"/>
      <c r="X228" s="48"/>
      <c r="Y228" s="48"/>
      <c r="Z228" s="48"/>
      <c r="AA228" s="48"/>
      <c r="AB228" s="48"/>
      <c r="AC228" s="48"/>
      <c r="AD228" s="48"/>
      <c r="AE228" s="48"/>
      <c r="AF228" s="48"/>
      <c r="AG228" s="48"/>
      <c r="AH228" s="48"/>
      <c r="AI228" s="48"/>
      <c r="AJ228" s="48"/>
      <c r="AK228" s="48"/>
      <c r="AL228" s="48"/>
      <c r="AM228" s="48"/>
      <c r="AN228" s="48"/>
    </row>
    <row r="229" ht="18.0" customHeight="1">
      <c r="A229" s="5" t="str">
        <f t="shared" si="46"/>
        <v>Wholesale autresTOTAL DES DÉPENSES</v>
      </c>
      <c r="B229" s="48" t="s">
        <v>899</v>
      </c>
      <c r="C229" s="552" t="s">
        <v>143</v>
      </c>
      <c r="D229" s="553" t="s">
        <v>225</v>
      </c>
      <c r="E229" s="554" t="str">
        <f>F229/F$109</f>
        <v>#N/A</v>
      </c>
      <c r="F229" s="555" t="str">
        <f>F196+F209+F227</f>
        <v>#N/A</v>
      </c>
      <c r="G229" s="556"/>
      <c r="H229" s="554"/>
      <c r="I229" s="555"/>
      <c r="J229" s="556" t="s">
        <v>225</v>
      </c>
      <c r="K229" s="554">
        <f>L229/L$109</f>
        <v>1.184704362</v>
      </c>
      <c r="L229" s="555">
        <f>L196+L209+L227</f>
        <v>618256.05</v>
      </c>
      <c r="M229" s="557"/>
      <c r="N229" s="555" t="str">
        <f t="shared" ref="N229:N236" si="53">L229-F229</f>
        <v>#N/A</v>
      </c>
      <c r="O229" s="556" t="s">
        <v>225</v>
      </c>
      <c r="P229" s="554">
        <f>Q229/Q$109</f>
        <v>1.76214428</v>
      </c>
      <c r="Q229" s="555">
        <f>Q196+Q209+Q227</f>
        <v>1033240.03</v>
      </c>
      <c r="R229" s="558"/>
      <c r="S229" s="555">
        <f t="shared" ref="S229:S236" si="54">L229-Q229</f>
        <v>-414983.98</v>
      </c>
      <c r="T229" s="48"/>
      <c r="U229" s="48"/>
      <c r="V229" s="48"/>
      <c r="W229" s="48"/>
      <c r="X229" s="48"/>
      <c r="Y229" s="48"/>
      <c r="Z229" s="48"/>
      <c r="AA229" s="48"/>
      <c r="AB229" s="48"/>
      <c r="AC229" s="48"/>
      <c r="AD229" s="48"/>
      <c r="AE229" s="48"/>
      <c r="AF229" s="48"/>
      <c r="AG229" s="48"/>
      <c r="AH229" s="48"/>
      <c r="AI229" s="48"/>
      <c r="AJ229" s="48"/>
      <c r="AK229" s="48"/>
      <c r="AL229" s="48"/>
      <c r="AM229" s="48"/>
      <c r="AN229" s="48"/>
    </row>
    <row r="230" ht="21.0" hidden="1" customHeight="1">
      <c r="A230" s="5" t="str">
        <f t="shared" si="46"/>
        <v>Wholesale autresProgramme used 1</v>
      </c>
      <c r="B230" s="48" t="s">
        <v>899</v>
      </c>
      <c r="C230" s="480" t="s">
        <v>158</v>
      </c>
      <c r="D230" s="605"/>
      <c r="E230" s="606"/>
      <c r="F230" s="481" t="str">
        <f t="array" ref="F230">+SUMPRODUCT(('Budget original'!$A$8:$A$501=$A230)*('Budget original'!$C$3:$AO$3=F$2),'Budget original'!$C$8:$AO$501)</f>
        <v>#N/A</v>
      </c>
      <c r="G230" s="607"/>
      <c r="H230" s="606"/>
      <c r="I230" s="481"/>
      <c r="J230" s="607"/>
      <c r="K230" s="606"/>
      <c r="L230" s="484">
        <v>0.0</v>
      </c>
      <c r="M230" s="480"/>
      <c r="N230" s="484" t="str">
        <f t="shared" si="53"/>
        <v>#N/A</v>
      </c>
      <c r="O230" s="607"/>
      <c r="P230" s="606"/>
      <c r="Q230" s="484">
        <v>0.0</v>
      </c>
      <c r="R230" s="480"/>
      <c r="S230" s="484">
        <f t="shared" si="54"/>
        <v>0</v>
      </c>
      <c r="T230" s="503"/>
      <c r="U230" s="48"/>
      <c r="V230" s="48"/>
      <c r="W230" s="48"/>
      <c r="X230" s="48"/>
      <c r="Y230" s="48"/>
      <c r="Z230" s="48"/>
      <c r="AA230" s="48"/>
      <c r="AB230" s="48"/>
      <c r="AC230" s="48"/>
      <c r="AD230" s="48"/>
      <c r="AE230" s="48"/>
      <c r="AF230" s="48"/>
      <c r="AG230" s="48"/>
      <c r="AH230" s="48"/>
      <c r="AI230" s="48"/>
      <c r="AJ230" s="48"/>
      <c r="AK230" s="48"/>
      <c r="AL230" s="48"/>
      <c r="AM230" s="48"/>
      <c r="AN230" s="48"/>
    </row>
    <row r="231" ht="21.0" hidden="1" customHeight="1">
      <c r="A231" s="5" t="str">
        <f t="shared" si="46"/>
        <v>Wholesale autresProgramme used 2</v>
      </c>
      <c r="B231" s="48" t="s">
        <v>899</v>
      </c>
      <c r="C231" s="480" t="s">
        <v>159</v>
      </c>
      <c r="D231" s="605"/>
      <c r="E231" s="606"/>
      <c r="F231" s="481" t="str">
        <f t="array" ref="F231">+SUMPRODUCT(('Budget original'!$A$8:$A$501=$A231)*('Budget original'!$C$3:$AO$3=F$2),'Budget original'!$C$8:$AO$501)</f>
        <v>#N/A</v>
      </c>
      <c r="G231" s="607"/>
      <c r="H231" s="606"/>
      <c r="I231" s="481"/>
      <c r="J231" s="607"/>
      <c r="K231" s="606"/>
      <c r="L231" s="484">
        <f>-SUMIFS(BV_Data_An_Cour!$AN:$AN,BV_Data_An_Cour!$AP:$AP,$B231,BV_Data_An_Cour!$AQ:$AQ,$C231,BV_Data_An_Cour!$AR:$AR,$L$2)</f>
        <v>0</v>
      </c>
      <c r="M231" s="480"/>
      <c r="N231" s="484" t="str">
        <f t="shared" si="53"/>
        <v>#N/A</v>
      </c>
      <c r="O231" s="607"/>
      <c r="P231" s="606"/>
      <c r="Q231" s="484">
        <f>-SUMIFS(BV_Data_An_Prec!$AN:$AN,BV_Data_An_Prec!$AP:$AP,$B231,BV_Data_An_Prec!$AQ:$AQ,$C231,BV_Data_An_Prec!$AR:$AR,$L$2)</f>
        <v>0</v>
      </c>
      <c r="R231" s="480"/>
      <c r="S231" s="484">
        <f t="shared" si="54"/>
        <v>0</v>
      </c>
      <c r="T231" s="503"/>
      <c r="U231" s="48"/>
      <c r="V231" s="48"/>
      <c r="W231" s="48"/>
      <c r="X231" s="48"/>
      <c r="Y231" s="48"/>
      <c r="Z231" s="48"/>
      <c r="AA231" s="48"/>
      <c r="AB231" s="48"/>
      <c r="AC231" s="48"/>
      <c r="AD231" s="48"/>
      <c r="AE231" s="48"/>
      <c r="AF231" s="48"/>
      <c r="AG231" s="48"/>
      <c r="AH231" s="48"/>
      <c r="AI231" s="48"/>
      <c r="AJ231" s="48"/>
      <c r="AK231" s="48"/>
      <c r="AL231" s="48"/>
      <c r="AM231" s="48"/>
      <c r="AN231" s="48"/>
    </row>
    <row r="232" ht="21.0" hidden="1" customHeight="1">
      <c r="A232" s="5" t="str">
        <f t="shared" si="46"/>
        <v>Wholesale autresProgramme used 3</v>
      </c>
      <c r="B232" s="48" t="s">
        <v>899</v>
      </c>
      <c r="C232" s="480" t="s">
        <v>160</v>
      </c>
      <c r="D232" s="546"/>
      <c r="E232" s="48"/>
      <c r="F232" s="481" t="str">
        <f t="array" ref="F232">+SUMPRODUCT(('Budget original'!$A$8:$A$501=$A232)*('Budget original'!$C$3:$AO$3=F$2),'Budget original'!$C$8:$AO$501)</f>
        <v>#N/A</v>
      </c>
      <c r="G232" s="547"/>
      <c r="H232" s="48"/>
      <c r="I232" s="481"/>
      <c r="J232" s="480"/>
      <c r="K232" s="48"/>
      <c r="L232" s="484">
        <f>-SUMIFS(BV_Data_An_Cour!$AN:$AN,BV_Data_An_Cour!$AP:$AP,$B232,BV_Data_An_Cour!$AQ:$AQ,$C232,BV_Data_An_Cour!$AR:$AR,$L$2)</f>
        <v>0</v>
      </c>
      <c r="M232" s="480"/>
      <c r="N232" s="484" t="str">
        <f t="shared" si="53"/>
        <v>#N/A</v>
      </c>
      <c r="O232" s="480"/>
      <c r="P232" s="48"/>
      <c r="Q232" s="484">
        <f>-SUMIFS(BV_Data_An_Prec!$AN:$AN,BV_Data_An_Prec!$AP:$AP,$B232,BV_Data_An_Prec!$AQ:$AQ,$C232,BV_Data_An_Prec!$AR:$AR,$L$2)</f>
        <v>0</v>
      </c>
      <c r="R232" s="480"/>
      <c r="S232" s="484">
        <f t="shared" si="54"/>
        <v>0</v>
      </c>
      <c r="T232" s="503"/>
      <c r="U232" s="48"/>
      <c r="V232" s="48"/>
      <c r="W232" s="48"/>
      <c r="X232" s="48"/>
      <c r="Y232" s="48"/>
      <c r="Z232" s="48"/>
      <c r="AA232" s="48"/>
      <c r="AB232" s="48"/>
      <c r="AC232" s="48"/>
      <c r="AD232" s="48"/>
      <c r="AE232" s="48"/>
      <c r="AF232" s="48"/>
      <c r="AG232" s="48"/>
      <c r="AH232" s="48"/>
      <c r="AI232" s="48"/>
      <c r="AJ232" s="48"/>
      <c r="AK232" s="48"/>
      <c r="AL232" s="48"/>
      <c r="AM232" s="48"/>
      <c r="AN232" s="48"/>
    </row>
    <row r="233" ht="21.0" hidden="1" customHeight="1">
      <c r="A233" s="5" t="str">
        <f t="shared" si="46"/>
        <v>Wholesale autresFrais administration</v>
      </c>
      <c r="B233" s="48" t="s">
        <v>899</v>
      </c>
      <c r="C233" s="480" t="s">
        <v>148</v>
      </c>
      <c r="D233" s="608"/>
      <c r="E233" s="567"/>
      <c r="F233" s="481" t="str">
        <f t="array" ref="F233">+SUMPRODUCT(('Budget original'!$A$8:$A$501=$A233)*('Budget original'!$C$3:$AO$3=F$2),'Budget original'!$C$8:$AO$501)</f>
        <v>#N/A</v>
      </c>
      <c r="G233" s="547"/>
      <c r="H233" s="48"/>
      <c r="I233" s="481"/>
      <c r="J233" s="570"/>
      <c r="K233" s="567"/>
      <c r="L233" s="484">
        <f>-SUMIFS(BV_Data_An_Cour!$AN:$AN,BV_Data_An_Cour!$AP:$AP,$B233,BV_Data_An_Cour!$AQ:$AQ,$C233,BV_Data_An_Cour!$AR:$AR,L$2)</f>
        <v>0</v>
      </c>
      <c r="M233" s="480"/>
      <c r="N233" s="484" t="str">
        <f t="shared" si="53"/>
        <v>#N/A</v>
      </c>
      <c r="O233" s="570"/>
      <c r="P233" s="567"/>
      <c r="Q233" s="484">
        <f>-SUMIFS(BV_Data_An_Prec!$AN:$AN,BV_Data_An_Prec!$AP:$AP,$B233,BV_Data_An_Prec!$AQ:$AQ,$C233,BV_Data_An_Prec!$AR:$AR,Q$2)</f>
        <v>0</v>
      </c>
      <c r="R233" s="480"/>
      <c r="S233" s="484">
        <f t="shared" si="54"/>
        <v>0</v>
      </c>
      <c r="T233" s="503"/>
      <c r="U233" s="48"/>
      <c r="V233" s="48"/>
      <c r="W233" s="48"/>
      <c r="X233" s="48"/>
      <c r="Y233" s="48"/>
      <c r="Z233" s="48"/>
      <c r="AA233" s="48"/>
      <c r="AB233" s="48"/>
      <c r="AC233" s="48"/>
      <c r="AD233" s="48"/>
      <c r="AE233" s="48"/>
      <c r="AF233" s="48"/>
      <c r="AG233" s="48"/>
      <c r="AH233" s="48"/>
      <c r="AI233" s="48"/>
      <c r="AJ233" s="48"/>
      <c r="AK233" s="48"/>
      <c r="AL233" s="48"/>
      <c r="AM233" s="48"/>
      <c r="AN233" s="48"/>
    </row>
    <row r="234" ht="21.0" hidden="1" customHeight="1">
      <c r="A234" s="5" t="str">
        <f t="shared" si="46"/>
        <v>Véhicules usagés[...]</v>
      </c>
      <c r="B234" s="48" t="s">
        <v>151</v>
      </c>
      <c r="C234" s="480" t="s">
        <v>56</v>
      </c>
      <c r="D234" s="546"/>
      <c r="E234" s="48"/>
      <c r="F234" s="481" t="str">
        <f t="array" ref="F234">+SUMPRODUCT(('Budget original'!$A$8:$A$501=$A234)*('Budget original'!$C$3:$AO$3=F$2),'Budget original'!$C$8:$AO$501)</f>
        <v>#N/A</v>
      </c>
      <c r="G234" s="547"/>
      <c r="H234" s="48"/>
      <c r="I234" s="481"/>
      <c r="J234" s="480"/>
      <c r="K234" s="48"/>
      <c r="L234" s="484">
        <f>-SUMIFS(BV_Data_An_Cour!$AN:$AN,BV_Data_An_Cour!$AP:$AP,$B234,BV_Data_An_Cour!$AQ:$AQ,$C234,BV_Data_An_Cour!$AR:$AR,$L$2)</f>
        <v>0</v>
      </c>
      <c r="M234" s="480"/>
      <c r="N234" s="484" t="str">
        <f t="shared" si="53"/>
        <v>#N/A</v>
      </c>
      <c r="O234" s="480"/>
      <c r="P234" s="48"/>
      <c r="Q234" s="484">
        <f>-SUMIFS(BV_Data_An_Prec!$AN:$AN,BV_Data_An_Prec!$AP:$AP,$B234,BV_Data_An_Prec!$AQ:$AQ,$C234,BV_Data_An_Prec!$AR:$AR,$L$2)</f>
        <v>0</v>
      </c>
      <c r="R234" s="480"/>
      <c r="S234" s="484">
        <f t="shared" si="54"/>
        <v>0</v>
      </c>
      <c r="T234" s="503"/>
      <c r="U234" s="48"/>
      <c r="V234" s="48"/>
      <c r="W234" s="48"/>
      <c r="X234" s="48"/>
      <c r="Y234" s="48"/>
      <c r="Z234" s="48"/>
      <c r="AA234" s="48"/>
      <c r="AB234" s="48"/>
      <c r="AC234" s="48"/>
      <c r="AD234" s="48"/>
      <c r="AE234" s="48"/>
      <c r="AF234" s="48"/>
      <c r="AG234" s="48"/>
      <c r="AH234" s="48"/>
      <c r="AI234" s="48"/>
      <c r="AJ234" s="48"/>
      <c r="AK234" s="48"/>
      <c r="AL234" s="48"/>
      <c r="AM234" s="48"/>
      <c r="AN234" s="48"/>
    </row>
    <row r="235" ht="21.0" hidden="1" customHeight="1">
      <c r="A235" s="5" t="str">
        <f t="shared" si="46"/>
        <v>Véhicules usagés[...]</v>
      </c>
      <c r="B235" s="48" t="s">
        <v>151</v>
      </c>
      <c r="C235" s="480" t="s">
        <v>56</v>
      </c>
      <c r="D235" s="546"/>
      <c r="E235" s="48"/>
      <c r="F235" s="481" t="str">
        <f t="array" ref="F235">+SUMPRODUCT(('Budget original'!$A$8:$A$501=$A235)*('Budget original'!$C$3:$AO$3=F$2),'Budget original'!$C$8:$AO$501)</f>
        <v>#N/A</v>
      </c>
      <c r="G235" s="547"/>
      <c r="H235" s="48"/>
      <c r="I235" s="481"/>
      <c r="J235" s="480"/>
      <c r="K235" s="48"/>
      <c r="L235" s="484">
        <f>-SUMIFS(BV_Data_An_Cour!$AN:$AN,BV_Data_An_Cour!$AP:$AP,$B235,BV_Data_An_Cour!$AQ:$AQ,$C235,BV_Data_An_Cour!$AR:$AR,$L$2)</f>
        <v>0</v>
      </c>
      <c r="M235" s="480"/>
      <c r="N235" s="484" t="str">
        <f t="shared" si="53"/>
        <v>#N/A</v>
      </c>
      <c r="O235" s="480"/>
      <c r="P235" s="48"/>
      <c r="Q235" s="484">
        <f>-SUMIFS(BV_Data_An_Prec!$AN:$AN,BV_Data_An_Prec!$AP:$AP,$B235,BV_Data_An_Prec!$AQ:$AQ,$C235,BV_Data_An_Prec!$AR:$AR,$L$2)</f>
        <v>0</v>
      </c>
      <c r="R235" s="480"/>
      <c r="S235" s="484">
        <f t="shared" si="54"/>
        <v>0</v>
      </c>
      <c r="T235" s="503"/>
      <c r="U235" s="48"/>
      <c r="V235" s="48"/>
      <c r="W235" s="48"/>
      <c r="X235" s="48"/>
      <c r="Y235" s="48"/>
      <c r="Z235" s="48"/>
      <c r="AA235" s="48"/>
      <c r="AB235" s="48"/>
      <c r="AC235" s="48"/>
      <c r="AD235" s="48"/>
      <c r="AE235" s="48"/>
      <c r="AF235" s="48"/>
      <c r="AG235" s="48"/>
      <c r="AH235" s="48"/>
      <c r="AI235" s="48"/>
      <c r="AJ235" s="48"/>
      <c r="AK235" s="48"/>
      <c r="AL235" s="48"/>
      <c r="AM235" s="48"/>
      <c r="AN235" s="48"/>
    </row>
    <row r="236" ht="21.0" hidden="1" customHeight="1">
      <c r="A236" s="5" t="str">
        <f t="shared" si="46"/>
        <v>Véhicules usagés[...]</v>
      </c>
      <c r="B236" s="48" t="s">
        <v>151</v>
      </c>
      <c r="C236" s="471" t="s">
        <v>56</v>
      </c>
      <c r="D236" s="549"/>
      <c r="E236" s="564"/>
      <c r="F236" s="481" t="str">
        <f t="array" ref="F236">+SUMPRODUCT(('Budget original'!$A$8:$A$501=$A236)*('Budget original'!$C$3:$AO$3=F$2),'Budget original'!$C$8:$AO$501)</f>
        <v>#N/A</v>
      </c>
      <c r="G236" s="547"/>
      <c r="H236" s="48"/>
      <c r="I236" s="481"/>
      <c r="J236" s="480"/>
      <c r="K236" s="48"/>
      <c r="L236" s="484">
        <f>-SUMIFS(BV_Data_An_Cour!$AN:$AN,BV_Data_An_Cour!$AP:$AP,$B236,BV_Data_An_Cour!$AQ:$AQ,$C236,BV_Data_An_Cour!$AR:$AR,$L$2)</f>
        <v>0</v>
      </c>
      <c r="M236" s="480"/>
      <c r="N236" s="484" t="str">
        <f t="shared" si="53"/>
        <v>#N/A</v>
      </c>
      <c r="O236" s="480"/>
      <c r="P236" s="48"/>
      <c r="Q236" s="484">
        <f>-SUMIFS(BV_Data_An_Prec!$AN:$AN,BV_Data_An_Prec!$AP:$AP,$B236,BV_Data_An_Prec!$AQ:$AQ,$C236,BV_Data_An_Prec!$AR:$AR,$L$2)</f>
        <v>0</v>
      </c>
      <c r="R236" s="480"/>
      <c r="S236" s="484">
        <f t="shared" si="54"/>
        <v>0</v>
      </c>
      <c r="T236" s="503"/>
      <c r="U236" s="48"/>
      <c r="V236" s="48"/>
      <c r="W236" s="48"/>
      <c r="X236" s="48"/>
      <c r="Y236" s="48"/>
      <c r="Z236" s="48"/>
      <c r="AA236" s="48"/>
      <c r="AB236" s="48"/>
      <c r="AC236" s="48"/>
      <c r="AD236" s="48"/>
      <c r="AE236" s="48"/>
      <c r="AF236" s="48"/>
      <c r="AG236" s="48"/>
      <c r="AH236" s="48"/>
      <c r="AI236" s="48"/>
      <c r="AJ236" s="48"/>
      <c r="AK236" s="48"/>
      <c r="AL236" s="48"/>
      <c r="AM236" s="48"/>
      <c r="AN236" s="48"/>
    </row>
    <row r="237" ht="18.0" customHeight="1">
      <c r="A237" s="5"/>
      <c r="B237" s="48"/>
      <c r="C237" s="552" t="s">
        <v>149</v>
      </c>
      <c r="D237" s="553"/>
      <c r="E237" s="554"/>
      <c r="F237" s="555" t="str">
        <f>+SUM(F230:F236)</f>
        <v>#N/A</v>
      </c>
      <c r="G237" s="556"/>
      <c r="H237" s="554"/>
      <c r="I237" s="555"/>
      <c r="J237" s="556"/>
      <c r="K237" s="554"/>
      <c r="L237" s="555">
        <f>+SUM(L230:L236)</f>
        <v>0</v>
      </c>
      <c r="M237" s="557"/>
      <c r="N237" s="555" t="str">
        <f>SUM(N230:N233)</f>
        <v>#N/A</v>
      </c>
      <c r="O237" s="556"/>
      <c r="P237" s="554"/>
      <c r="Q237" s="555">
        <f>+SUM(Q230:Q236)</f>
        <v>0</v>
      </c>
      <c r="R237" s="558"/>
      <c r="S237" s="555">
        <f>+SUM(S230:S236)</f>
        <v>0</v>
      </c>
      <c r="T237" s="48"/>
      <c r="U237" s="48"/>
      <c r="V237" s="48"/>
      <c r="W237" s="48"/>
      <c r="X237" s="48"/>
      <c r="Y237" s="48"/>
      <c r="Z237" s="48"/>
      <c r="AA237" s="48"/>
      <c r="AB237" s="48"/>
      <c r="AC237" s="48"/>
      <c r="AD237" s="48"/>
      <c r="AE237" s="48"/>
      <c r="AF237" s="48"/>
      <c r="AG237" s="48"/>
      <c r="AH237" s="48"/>
      <c r="AI237" s="48"/>
      <c r="AJ237" s="48"/>
      <c r="AK237" s="48"/>
      <c r="AL237" s="48"/>
      <c r="AM237" s="48"/>
      <c r="AN237" s="48"/>
    </row>
    <row r="238" ht="15.75" customHeight="1">
      <c r="B238" s="48"/>
      <c r="C238" s="480"/>
      <c r="D238" s="546"/>
      <c r="E238" s="48"/>
      <c r="F238" s="484"/>
      <c r="G238" s="547"/>
      <c r="H238" s="48"/>
      <c r="I238" s="484"/>
      <c r="J238" s="480"/>
      <c r="K238" s="48"/>
      <c r="L238" s="484"/>
      <c r="M238" s="480"/>
      <c r="N238" s="484"/>
      <c r="O238" s="480"/>
      <c r="P238" s="48"/>
      <c r="Q238" s="484"/>
      <c r="R238" s="480"/>
      <c r="S238" s="484"/>
      <c r="T238" s="606"/>
      <c r="U238" s="48"/>
      <c r="V238" s="48"/>
      <c r="W238" s="48"/>
      <c r="X238" s="48"/>
      <c r="Y238" s="48"/>
      <c r="Z238" s="48"/>
      <c r="AA238" s="48"/>
      <c r="AB238" s="48"/>
      <c r="AC238" s="48"/>
      <c r="AD238" s="48"/>
      <c r="AE238" s="48"/>
      <c r="AF238" s="48"/>
      <c r="AG238" s="48"/>
      <c r="AH238" s="48"/>
      <c r="AI238" s="48"/>
      <c r="AJ238" s="48"/>
      <c r="AK238" s="48"/>
      <c r="AL238" s="48"/>
      <c r="AM238" s="48"/>
      <c r="AN238" s="48"/>
    </row>
    <row r="239" ht="18.0" customHeight="1">
      <c r="A239" s="5"/>
      <c r="B239" s="48"/>
      <c r="C239" s="579" t="s">
        <v>150</v>
      </c>
      <c r="D239" s="580"/>
      <c r="E239" s="581"/>
      <c r="F239" s="582" t="str">
        <f>F182-F229+F237</f>
        <v>#REF!</v>
      </c>
      <c r="G239" s="583"/>
      <c r="H239" s="581"/>
      <c r="I239" s="582"/>
      <c r="J239" s="583"/>
      <c r="K239" s="581"/>
      <c r="L239" s="582">
        <f>L182-L229+L237</f>
        <v>484271.95</v>
      </c>
      <c r="M239" s="584"/>
      <c r="N239" s="582" t="str">
        <f>L239-F239</f>
        <v>#REF!</v>
      </c>
      <c r="O239" s="583"/>
      <c r="P239" s="581"/>
      <c r="Q239" s="582">
        <f>Q182-Q229+Q237</f>
        <v>171088.94</v>
      </c>
      <c r="R239" s="585"/>
      <c r="S239" s="582">
        <f>L239-Q239</f>
        <v>313183.01</v>
      </c>
      <c r="T239" s="48"/>
      <c r="U239" s="48"/>
      <c r="V239" s="48"/>
      <c r="W239" s="48"/>
      <c r="X239" s="48"/>
      <c r="Y239" s="48"/>
      <c r="Z239" s="48"/>
      <c r="AA239" s="48"/>
      <c r="AB239" s="48"/>
      <c r="AC239" s="48"/>
      <c r="AD239" s="48"/>
      <c r="AE239" s="48"/>
      <c r="AF239" s="48"/>
      <c r="AG239" s="48"/>
      <c r="AH239" s="48"/>
      <c r="AI239" s="48"/>
      <c r="AJ239" s="48"/>
      <c r="AK239" s="48"/>
      <c r="AL239" s="48"/>
      <c r="AM239" s="48"/>
      <c r="AN239" s="48"/>
    </row>
    <row r="240" ht="15.75" customHeight="1">
      <c r="B240" s="48"/>
      <c r="C240" s="40"/>
      <c r="D240" s="40"/>
      <c r="E240" s="40"/>
      <c r="F240" s="540"/>
      <c r="G240" s="40"/>
      <c r="H240" s="40"/>
      <c r="I240" s="40"/>
      <c r="J240" s="40"/>
      <c r="K240" s="40"/>
      <c r="L240" s="540"/>
      <c r="M240" s="40"/>
      <c r="N240" s="40"/>
      <c r="O240" s="40"/>
      <c r="P240" s="40"/>
      <c r="Q240" s="40"/>
      <c r="R240" s="540"/>
      <c r="S240" s="40"/>
      <c r="T240" s="540"/>
      <c r="U240" s="40"/>
      <c r="V240" s="48"/>
      <c r="W240" s="48"/>
      <c r="X240" s="48"/>
      <c r="Y240" s="48"/>
      <c r="Z240" s="48"/>
      <c r="AA240" s="48"/>
      <c r="AB240" s="48"/>
      <c r="AC240" s="48"/>
      <c r="AD240" s="48"/>
      <c r="AE240" s="48"/>
      <c r="AF240" s="48"/>
      <c r="AG240" s="48"/>
      <c r="AH240" s="48"/>
      <c r="AI240" s="48"/>
      <c r="AJ240" s="48"/>
      <c r="AK240" s="48"/>
      <c r="AL240" s="48"/>
      <c r="AM240" s="48"/>
      <c r="AN240" s="48"/>
    </row>
    <row r="241" ht="8.25" customHeight="1">
      <c r="B241" s="48"/>
      <c r="C241" s="40"/>
      <c r="D241" s="40"/>
      <c r="E241" s="40"/>
      <c r="F241" s="40"/>
      <c r="G241" s="40"/>
      <c r="H241" s="40"/>
      <c r="I241" s="40"/>
      <c r="J241" s="40"/>
      <c r="K241" s="40"/>
      <c r="L241" s="40"/>
      <c r="M241" s="40"/>
      <c r="N241" s="40"/>
      <c r="O241" s="40"/>
      <c r="P241" s="40"/>
      <c r="Q241" s="40"/>
      <c r="R241" s="40"/>
      <c r="S241" s="40"/>
      <c r="T241" s="540"/>
      <c r="U241" s="40"/>
      <c r="V241" s="40"/>
      <c r="W241" s="40"/>
      <c r="X241" s="40"/>
      <c r="Y241" s="40"/>
      <c r="Z241" s="40"/>
      <c r="AA241" s="40"/>
      <c r="AB241" s="40"/>
      <c r="AC241" s="40"/>
      <c r="AD241" s="40"/>
      <c r="AE241" s="40"/>
      <c r="AF241" s="40"/>
      <c r="AG241" s="40"/>
      <c r="AH241" s="40"/>
      <c r="AI241" s="40"/>
      <c r="AJ241" s="40"/>
      <c r="AK241" s="40"/>
      <c r="AL241" s="40"/>
      <c r="AM241" s="40"/>
      <c r="AN241" s="40"/>
    </row>
    <row r="242" ht="33.75" customHeight="1">
      <c r="B242" s="48"/>
      <c r="C242" s="450" t="str">
        <f>C1</f>
        <v>Ste-Marie Auto</v>
      </c>
      <c r="D242" s="451"/>
      <c r="E242" s="452"/>
      <c r="F242" s="451"/>
      <c r="G242" s="451"/>
      <c r="H242" s="450"/>
      <c r="I242" s="451"/>
      <c r="J242" s="450"/>
      <c r="K242" s="453" t="s">
        <v>161</v>
      </c>
      <c r="L242" s="451"/>
      <c r="M242" s="451"/>
      <c r="N242" s="454"/>
      <c r="O242" s="450"/>
      <c r="P242" s="451"/>
      <c r="Q242" s="450"/>
      <c r="R242" s="451"/>
      <c r="S242" s="455" t="str">
        <f>$S$1</f>
        <v>Réalisé AAD, Septembre 2026</v>
      </c>
      <c r="T242" s="796"/>
      <c r="U242" s="38"/>
      <c r="V242" s="40"/>
      <c r="W242" s="40"/>
      <c r="X242" s="40"/>
      <c r="Y242" s="40"/>
      <c r="Z242" s="40"/>
      <c r="AA242" s="40"/>
      <c r="AB242" s="40"/>
      <c r="AC242" s="40"/>
      <c r="AD242" s="40"/>
      <c r="AE242" s="40"/>
      <c r="AF242" s="40"/>
      <c r="AG242" s="40"/>
      <c r="AH242" s="40"/>
      <c r="AI242" s="40"/>
      <c r="AJ242" s="40"/>
      <c r="AK242" s="40"/>
      <c r="AL242" s="40"/>
      <c r="AM242" s="40"/>
      <c r="AN242" s="40"/>
    </row>
    <row r="243" ht="15.75" customHeight="1">
      <c r="B243" s="48"/>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ht="15.75" customHeight="1">
      <c r="B244" s="48"/>
      <c r="C244" s="461"/>
      <c r="D244" s="462" t="s">
        <v>774</v>
      </c>
      <c r="E244" s="44"/>
      <c r="F244" s="45"/>
      <c r="G244" s="463"/>
      <c r="H244" s="44"/>
      <c r="I244" s="45"/>
      <c r="J244" s="463" t="s">
        <v>775</v>
      </c>
      <c r="K244" s="44"/>
      <c r="L244" s="45"/>
      <c r="M244" s="463" t="s">
        <v>776</v>
      </c>
      <c r="N244" s="45"/>
      <c r="O244" s="462" t="s">
        <v>777</v>
      </c>
      <c r="P244" s="44"/>
      <c r="Q244" s="45"/>
      <c r="R244" s="463" t="s">
        <v>778</v>
      </c>
      <c r="S244" s="45"/>
      <c r="T244" s="605"/>
      <c r="AA244" s="40"/>
      <c r="AB244" s="40"/>
      <c r="AC244" s="40"/>
      <c r="AD244" s="40"/>
      <c r="AE244" s="40"/>
      <c r="AF244" s="40"/>
      <c r="AG244" s="40"/>
      <c r="AH244" s="40"/>
      <c r="AI244" s="40"/>
      <c r="AJ244" s="40"/>
      <c r="AK244" s="40"/>
      <c r="AL244" s="40"/>
      <c r="AM244" s="40"/>
      <c r="AN244" s="40"/>
    </row>
    <row r="245" ht="15.75" customHeight="1">
      <c r="A245" s="5" t="str">
        <f t="shared" ref="A245:A302" si="55">+B245&amp;C245</f>
        <v>Service</v>
      </c>
      <c r="B245" s="48" t="s">
        <v>161</v>
      </c>
      <c r="C245" s="480"/>
      <c r="D245" s="41" t="s">
        <v>221</v>
      </c>
      <c r="E245" s="41" t="s">
        <v>222</v>
      </c>
      <c r="F245" s="611" t="s">
        <v>95</v>
      </c>
      <c r="G245" s="610"/>
      <c r="H245" s="41"/>
      <c r="I245" s="611"/>
      <c r="J245" s="610" t="s">
        <v>221</v>
      </c>
      <c r="K245" s="41" t="s">
        <v>222</v>
      </c>
      <c r="L245" s="611" t="s">
        <v>95</v>
      </c>
      <c r="M245" s="610" t="s">
        <v>907</v>
      </c>
      <c r="N245" s="611" t="s">
        <v>908</v>
      </c>
      <c r="O245" s="610" t="s">
        <v>221</v>
      </c>
      <c r="P245" s="41" t="s">
        <v>222</v>
      </c>
      <c r="Q245" s="611" t="s">
        <v>95</v>
      </c>
      <c r="R245" s="610" t="s">
        <v>909</v>
      </c>
      <c r="S245" s="611" t="s">
        <v>95</v>
      </c>
      <c r="T245" s="41"/>
      <c r="AA245" s="48"/>
      <c r="AB245" s="48"/>
      <c r="AC245" s="48"/>
      <c r="AD245" s="48"/>
      <c r="AE245" s="48"/>
      <c r="AF245" s="48"/>
      <c r="AG245" s="48"/>
      <c r="AH245" s="48"/>
      <c r="AI245" s="48"/>
      <c r="AJ245" s="48"/>
      <c r="AK245" s="48"/>
      <c r="AL245" s="48"/>
      <c r="AM245" s="48"/>
      <c r="AN245" s="48"/>
    </row>
    <row r="246" ht="15.75" customHeight="1">
      <c r="A246" s="5" t="str">
        <f t="shared" si="55"/>
        <v>ServiceM/O Client</v>
      </c>
      <c r="B246" s="48" t="s">
        <v>161</v>
      </c>
      <c r="C246" s="480" t="s">
        <v>162</v>
      </c>
      <c r="D246" s="483" t="str">
        <f t="array" ref="D246">+SUMPRODUCT(('Budget original'!$A$8:$A$501=$A246)*('Budget original'!$C$3:$AO$3=D$2),'Budget original'!$C$8:$AO$501)</f>
        <v>#N/A</v>
      </c>
      <c r="E246" s="483" t="str">
        <f t="array" ref="E246">+SUMPRODUCT(('Budget original'!$A$8:$A$501=$A246)*('Budget original'!$C$3:$AO$3=E$2),'Budget original'!$C$8:$AO$501)</f>
        <v>#N/A</v>
      </c>
      <c r="F246" s="483" t="str">
        <f t="array" ref="F246">+SUMPRODUCT(('Budget original'!$A$8:$A$501=$A246)*('Budget original'!$C$3:$AO$3=F$2),'Budget original'!$C$8:$AO$501)</f>
        <v>#N/A</v>
      </c>
      <c r="G246" s="486"/>
      <c r="H246" s="483"/>
      <c r="I246" s="483"/>
      <c r="J246" s="482">
        <f>SUMIFS(BV_Data_An_Cour!$AX:$AX,BV_Data_An_Cour!$AP:$AP,$B246,BV_Data_An_Cour!$AQ:$AQ,$C246,BV_Data_An_Cour!$AY:$AY,J$2)</f>
        <v>2056</v>
      </c>
      <c r="K246" s="483">
        <f>-SUMIFS(BV_Data_An_Cour!$AN:$AN,BV_Data_An_Cour!$AS:$AS,"Oui",BV_Data_An_Cour!$AP:$AP,$B246,BV_Data_An_Cour!$AQ:$AQ,$C246)</f>
        <v>538851.51</v>
      </c>
      <c r="L246" s="484">
        <f>-SUMIFS(BV_Data_An_Cour!$AN:$AN,BV_Data_An_Cour!$AP:$AP,$B246,BV_Data_An_Cour!$AQ:$AQ,$C246,BV_Data_An_Cour!$AR:$AR,$L$2)</f>
        <v>394366.54</v>
      </c>
      <c r="M246" s="515" t="str">
        <f>(K246-E246)/E246</f>
        <v>#N/A</v>
      </c>
      <c r="N246" s="484" t="str">
        <f>L246-F246</f>
        <v>#N/A</v>
      </c>
      <c r="O246" s="482">
        <f>SUMIFS(BV_Data_An_Prec!$AX:$AX,BV_Data_An_Prec!$AP:$AP,$B246,BV_Data_An_Prec!$AQ:$AQ,$C246,BV_Data_An_Prec!$AY:$AY,O$2)</f>
        <v>2090</v>
      </c>
      <c r="P246" s="483">
        <f>-SUMIFS(BV_Data_An_Prec!$AN:$AN,BV_Data_An_Prec!$AS:$AS,"Oui",BV_Data_An_Prec!$AP:$AP,$B246,BV_Data_An_Prec!$AQ:$AQ,$C246)</f>
        <v>749323.63</v>
      </c>
      <c r="Q246" s="484">
        <f>-SUMIFS(BV_Data_An_Prec!$AN:$AN,BV_Data_An_Prec!$AP:$AP,$B246,BV_Data_An_Prec!$AQ:$AQ,$C246,BV_Data_An_Prec!$AR:$AR,$L$2)</f>
        <v>584156.5</v>
      </c>
      <c r="R246" s="515">
        <f>IF(O246=0,0,J246/O246)</f>
        <v>0.9837320574</v>
      </c>
      <c r="S246" s="484">
        <f>L246-Q246</f>
        <v>-189789.96</v>
      </c>
      <c r="T246" s="483"/>
      <c r="AA246" s="48"/>
      <c r="AB246" s="48"/>
      <c r="AC246" s="48"/>
      <c r="AD246" s="48"/>
      <c r="AE246" s="48"/>
      <c r="AF246" s="48"/>
      <c r="AG246" s="48"/>
      <c r="AH246" s="48"/>
      <c r="AI246" s="48"/>
      <c r="AJ246" s="48"/>
      <c r="AK246" s="48"/>
      <c r="AL246" s="48"/>
      <c r="AM246" s="48"/>
      <c r="AN246" s="48"/>
    </row>
    <row r="247" ht="15.75" customHeight="1">
      <c r="A247" s="5" t="str">
        <f t="shared" si="55"/>
        <v>Service% profit / ventes</v>
      </c>
      <c r="B247" s="48" t="s">
        <v>161</v>
      </c>
      <c r="C247" s="480" t="s">
        <v>163</v>
      </c>
      <c r="D247" s="483"/>
      <c r="E247" s="601"/>
      <c r="F247" s="516" t="str">
        <f>F246/E246</f>
        <v>#N/A</v>
      </c>
      <c r="G247" s="486"/>
      <c r="H247" s="601"/>
      <c r="I247" s="516"/>
      <c r="J247" s="486"/>
      <c r="K247" s="48"/>
      <c r="L247" s="516">
        <f>IF(L246=0,0,L246/K246)</f>
        <v>0.7318649622</v>
      </c>
      <c r="M247" s="515"/>
      <c r="N247" s="484"/>
      <c r="O247" s="486"/>
      <c r="P247" s="48"/>
      <c r="Q247" s="516">
        <f>IF(Q246=0,0,Q246/P246)</f>
        <v>0.7795783779</v>
      </c>
      <c r="R247" s="486"/>
      <c r="S247" s="516">
        <f>IF(Q246=0,0,(S246/Q246))</f>
        <v>-0.3248957428</v>
      </c>
      <c r="T247" s="483"/>
      <c r="AA247" s="48"/>
      <c r="AB247" s="48"/>
      <c r="AC247" s="48"/>
      <c r="AD247" s="48"/>
      <c r="AE247" s="48"/>
      <c r="AF247" s="48"/>
      <c r="AG247" s="48"/>
      <c r="AH247" s="48"/>
      <c r="AI247" s="48"/>
      <c r="AJ247" s="48"/>
      <c r="AK247" s="48"/>
      <c r="AL247" s="48"/>
      <c r="AM247" s="48"/>
      <c r="AN247" s="48"/>
    </row>
    <row r="248" ht="15.75" customHeight="1">
      <c r="A248" s="5" t="str">
        <f t="shared" si="55"/>
        <v>Service</v>
      </c>
      <c r="B248" s="48" t="s">
        <v>161</v>
      </c>
      <c r="C248" s="471"/>
      <c r="D248" s="513"/>
      <c r="E248" s="621">
        <f>IFERROR(E246/D246,0)</f>
        <v>0</v>
      </c>
      <c r="F248" s="614"/>
      <c r="G248" s="622"/>
      <c r="H248" s="621"/>
      <c r="I248" s="614"/>
      <c r="J248" s="622"/>
      <c r="K248" s="621">
        <f>IFERROR(K246/J246,0)</f>
        <v>262.0873103</v>
      </c>
      <c r="L248" s="614"/>
      <c r="M248" s="545"/>
      <c r="N248" s="476"/>
      <c r="O248" s="622"/>
      <c r="P248" s="621">
        <f>IFERROR(P246/O246,0)</f>
        <v>358.5280526</v>
      </c>
      <c r="Q248" s="614"/>
      <c r="R248" s="622"/>
      <c r="S248" s="476"/>
      <c r="T248" s="483"/>
      <c r="AA248" s="48"/>
      <c r="AB248" s="48"/>
      <c r="AC248" s="48"/>
      <c r="AD248" s="48"/>
      <c r="AE248" s="48"/>
      <c r="AF248" s="48"/>
      <c r="AG248" s="48"/>
      <c r="AH248" s="48"/>
      <c r="AI248" s="48"/>
      <c r="AJ248" s="48"/>
      <c r="AK248" s="48"/>
      <c r="AL248" s="48"/>
      <c r="AM248" s="48"/>
      <c r="AN248" s="48"/>
    </row>
    <row r="249" ht="18.0" customHeight="1">
      <c r="A249" s="5" t="str">
        <f t="shared" si="55"/>
        <v>ServiceM/O Garantie</v>
      </c>
      <c r="B249" s="48" t="s">
        <v>161</v>
      </c>
      <c r="C249" s="466" t="s">
        <v>164</v>
      </c>
      <c r="D249" s="522" t="str">
        <f t="array" ref="D249">+SUMPRODUCT(('Budget original'!$A$8:$A$501=$A249)*('Budget original'!$C$3:$AO$3=D$2),'Budget original'!$C$8:$AO$501)</f>
        <v>#N/A</v>
      </c>
      <c r="E249" s="483" t="str">
        <f t="array" ref="E249">+SUMPRODUCT(('Budget original'!$A$8:$A$501=$A249)*('Budget original'!$C$3:$AO$3=E$2),'Budget original'!$C$8:$AO$501)</f>
        <v>#N/A</v>
      </c>
      <c r="F249" s="483" t="str">
        <f t="array" ref="F249">+SUMPRODUCT(('Budget original'!$A$8:$A$501=$A249)*('Budget original'!$C$3:$AO$3=F$2),'Budget original'!$C$8:$AO$501)</f>
        <v>#N/A</v>
      </c>
      <c r="G249" s="252"/>
      <c r="H249" s="483"/>
      <c r="I249" s="483"/>
      <c r="J249" s="482">
        <f>SUMIFS(BV_Data_An_Cour!$AX:$AX,BV_Data_An_Cour!$AP:$AP,$B249,BV_Data_An_Cour!$AQ:$AQ,$C249,BV_Data_An_Cour!$AY:$AY,J$2)</f>
        <v>2639</v>
      </c>
      <c r="K249" s="522">
        <f>-SUMIFS(BV_Data_An_Cour!$AN:$AN,BV_Data_An_Cour!$AS:$AS,"Oui",BV_Data_An_Cour!$AP:$AP,$B249,BV_Data_An_Cour!$AQ:$AQ,$C249)</f>
        <v>447973.74</v>
      </c>
      <c r="L249" s="484">
        <f>-SUMIFS(BV_Data_An_Cour!$AN:$AN,BV_Data_An_Cour!$AP:$AP,$B249,BV_Data_An_Cour!$AQ:$AQ,$C249,BV_Data_An_Cour!$AR:$AR,$L$2)</f>
        <v>294272.25</v>
      </c>
      <c r="M249" s="515" t="str">
        <f>(K249-E249)/E249</f>
        <v>#N/A</v>
      </c>
      <c r="N249" s="523" t="str">
        <f>L249-F249</f>
        <v>#N/A</v>
      </c>
      <c r="O249" s="482">
        <f>SUMIFS(BV_Data_An_Prec!$AX:$AX,BV_Data_An_Prec!$AP:$AP,$B249,BV_Data_An_Prec!$AQ:$AQ,$C249,BV_Data_An_Prec!$AY:$AY,O$2)</f>
        <v>2946</v>
      </c>
      <c r="P249" s="522">
        <f>-SUMIFS(BV_Data_An_Prec!$AN:$AN,BV_Data_An_Prec!$AS:$AS,"Oui",BV_Data_An_Prec!$AP:$AP,$B249,BV_Data_An_Prec!$AQ:$AQ,$C249)</f>
        <v>463669.26</v>
      </c>
      <c r="Q249" s="484">
        <f>-SUMIFS(BV_Data_An_Prec!$AN:$AN,BV_Data_An_Prec!$AP:$AP,$B249,BV_Data_An_Prec!$AQ:$AQ,$C249,BV_Data_An_Prec!$AR:$AR,$L$2)</f>
        <v>316004.55</v>
      </c>
      <c r="R249" s="515">
        <f>IF(O249=0,0,J249/O249)</f>
        <v>0.8957909029</v>
      </c>
      <c r="S249" s="484">
        <f>L249-Q249</f>
        <v>-21732.3</v>
      </c>
      <c r="T249" s="483"/>
      <c r="U249" s="48"/>
      <c r="V249" s="481"/>
      <c r="W249" s="48"/>
      <c r="AA249" s="48"/>
      <c r="AB249" s="48"/>
      <c r="AC249" s="48"/>
      <c r="AD249" s="48"/>
      <c r="AE249" s="48"/>
      <c r="AF249" s="48"/>
      <c r="AG249" s="48"/>
      <c r="AH249" s="48"/>
      <c r="AI249" s="48"/>
      <c r="AJ249" s="48"/>
      <c r="AK249" s="48"/>
      <c r="AL249" s="48"/>
      <c r="AM249" s="48"/>
      <c r="AN249" s="48"/>
    </row>
    <row r="250" ht="15.75" customHeight="1">
      <c r="A250" s="5" t="str">
        <f t="shared" si="55"/>
        <v>Service% profit / ventes</v>
      </c>
      <c r="B250" s="48" t="s">
        <v>161</v>
      </c>
      <c r="C250" s="480" t="s">
        <v>163</v>
      </c>
      <c r="D250" s="48"/>
      <c r="E250" s="48"/>
      <c r="F250" s="516" t="str">
        <f>F249/E249</f>
        <v>#N/A</v>
      </c>
      <c r="G250" s="480"/>
      <c r="H250" s="48"/>
      <c r="I250" s="516"/>
      <c r="J250" s="480"/>
      <c r="K250" s="48"/>
      <c r="L250" s="516">
        <f>IF(L249=0,0,L249/K249)</f>
        <v>0.6568962056</v>
      </c>
      <c r="M250" s="515"/>
      <c r="N250" s="516"/>
      <c r="O250" s="480"/>
      <c r="P250" s="48"/>
      <c r="Q250" s="516">
        <f>IF(Q249=0,0,Q249/P249)</f>
        <v>0.6815300846</v>
      </c>
      <c r="R250" s="515"/>
      <c r="S250" s="516">
        <f>IF(Q249=0,0,(S249/Q249))</f>
        <v>-0.06877211103</v>
      </c>
      <c r="T250" s="48"/>
      <c r="U250" s="48"/>
      <c r="V250" s="481"/>
      <c r="W250" s="623"/>
      <c r="AA250" s="48"/>
      <c r="AB250" s="48"/>
      <c r="AC250" s="48"/>
      <c r="AD250" s="48"/>
      <c r="AE250" s="48"/>
      <c r="AF250" s="48"/>
      <c r="AG250" s="48"/>
      <c r="AH250" s="48"/>
      <c r="AI250" s="48"/>
      <c r="AJ250" s="48"/>
      <c r="AK250" s="48"/>
      <c r="AL250" s="48"/>
      <c r="AM250" s="48"/>
      <c r="AN250" s="48"/>
    </row>
    <row r="251" ht="15.75" customHeight="1">
      <c r="A251" s="5" t="str">
        <f t="shared" si="55"/>
        <v>Service</v>
      </c>
      <c r="B251" s="48" t="s">
        <v>161</v>
      </c>
      <c r="C251" s="471"/>
      <c r="D251" s="564"/>
      <c r="E251" s="621"/>
      <c r="F251" s="614"/>
      <c r="G251" s="622"/>
      <c r="H251" s="621"/>
      <c r="I251" s="614"/>
      <c r="J251" s="622"/>
      <c r="K251" s="621">
        <f>IFERROR(K249/J249,0)</f>
        <v>169.7513225</v>
      </c>
      <c r="L251" s="614"/>
      <c r="M251" s="545"/>
      <c r="N251" s="476"/>
      <c r="O251" s="622"/>
      <c r="P251" s="621">
        <f>IFERROR(P249/O249,0)</f>
        <v>157.3894297</v>
      </c>
      <c r="Q251" s="614"/>
      <c r="R251" s="545"/>
      <c r="S251" s="614"/>
      <c r="T251" s="48"/>
      <c r="AA251" s="48"/>
      <c r="AB251" s="48"/>
      <c r="AC251" s="48"/>
      <c r="AD251" s="48"/>
      <c r="AE251" s="48"/>
      <c r="AF251" s="48"/>
      <c r="AG251" s="48"/>
      <c r="AH251" s="48"/>
      <c r="AI251" s="48"/>
      <c r="AJ251" s="48"/>
      <c r="AK251" s="48"/>
      <c r="AL251" s="48"/>
      <c r="AM251" s="48"/>
      <c r="AN251" s="48"/>
    </row>
    <row r="252" ht="15.75" customHeight="1">
      <c r="A252" s="5" t="str">
        <f t="shared" si="55"/>
        <v>ServiceM/O Interne</v>
      </c>
      <c r="B252" s="48" t="s">
        <v>161</v>
      </c>
      <c r="C252" s="480" t="s">
        <v>165</v>
      </c>
      <c r="D252" s="483" t="str">
        <f t="array" ref="D252">+SUMPRODUCT(('Budget original'!$A$8:$A$501=$A252)*('Budget original'!$C$3:$AO$3=D$2),'Budget original'!$C$8:$AO$501)</f>
        <v>#N/A</v>
      </c>
      <c r="E252" s="483" t="str">
        <f t="array" ref="E252">+SUMPRODUCT(('Budget original'!$A$8:$A$501=$A252)*('Budget original'!$C$3:$AO$3=E$2),'Budget original'!$C$8:$AO$501)</f>
        <v>#N/A</v>
      </c>
      <c r="F252" s="483" t="str">
        <f t="array" ref="F252">+SUMPRODUCT(('Budget original'!$A$8:$A$501=$A252)*('Budget original'!$C$3:$AO$3=F$2),'Budget original'!$C$8:$AO$501)</f>
        <v>#N/A</v>
      </c>
      <c r="G252" s="486"/>
      <c r="H252" s="483"/>
      <c r="I252" s="483"/>
      <c r="J252" s="482">
        <f>SUMIFS(BV_Data_An_Cour!$AX:$AX,BV_Data_An_Cour!$AP:$AP,$B252,BV_Data_An_Cour!$AQ:$AQ,$C252,BV_Data_An_Cour!$AY:$AY,J$2)</f>
        <v>4278</v>
      </c>
      <c r="K252" s="522">
        <f>-SUMIFS(BV_Data_An_Cour!$AN:$AN,BV_Data_An_Cour!$AS:$AS,"Oui",BV_Data_An_Cour!$AP:$AP,$B252,BV_Data_An_Cour!$AQ:$AQ,$C252)</f>
        <v>658909.48</v>
      </c>
      <c r="L252" s="484">
        <f>-SUMIFS(BV_Data_An_Cour!$AN:$AN,BV_Data_An_Cour!$AP:$AP,$B252,BV_Data_An_Cour!$AQ:$AQ,$C252,BV_Data_An_Cour!$AR:$AR,$L$2)</f>
        <v>482820.53</v>
      </c>
      <c r="M252" s="515" t="str">
        <f>(K252-E252)/E252</f>
        <v>#N/A</v>
      </c>
      <c r="N252" s="484" t="str">
        <f t="shared" ref="N252:N253" si="56">L252-F252</f>
        <v>#N/A</v>
      </c>
      <c r="O252" s="482">
        <f>SUMIFS(BV_Data_An_Prec!$AX:$AX,BV_Data_An_Prec!$AP:$AP,$B252,BV_Data_An_Prec!$AQ:$AQ,$C252,BV_Data_An_Prec!$AY:$AY,O$2)</f>
        <v>4841</v>
      </c>
      <c r="P252" s="522">
        <f>-SUMIFS(BV_Data_An_Prec!$AN:$AN,BV_Data_An_Prec!$AS:$AS,"Oui",BV_Data_An_Prec!$AP:$AP,$B252,BV_Data_An_Prec!$AQ:$AQ,$C252)</f>
        <v>646797.91</v>
      </c>
      <c r="Q252" s="484">
        <f>-SUMIFS(BV_Data_An_Prec!$AN:$AN,BV_Data_An_Prec!$AP:$AP,$B252,BV_Data_An_Prec!$AQ:$AQ,$C252,BV_Data_An_Prec!$AR:$AR,$L$2)</f>
        <v>471264.42</v>
      </c>
      <c r="R252" s="515">
        <f>IF(O252=0,0,J252/O252)</f>
        <v>0.8837017145</v>
      </c>
      <c r="S252" s="484">
        <f>L252-Q252</f>
        <v>11556.11</v>
      </c>
      <c r="T252" s="483"/>
      <c r="AA252" s="48"/>
      <c r="AB252" s="48"/>
      <c r="AC252" s="48"/>
      <c r="AD252" s="48"/>
      <c r="AE252" s="48"/>
      <c r="AF252" s="48"/>
      <c r="AG252" s="48"/>
      <c r="AH252" s="48"/>
      <c r="AI252" s="48"/>
      <c r="AJ252" s="48"/>
      <c r="AK252" s="48"/>
      <c r="AL252" s="48"/>
      <c r="AM252" s="48"/>
      <c r="AN252" s="48"/>
    </row>
    <row r="253" ht="15.75" customHeight="1">
      <c r="A253" s="5" t="str">
        <f t="shared" si="55"/>
        <v>Service% profit / ventes</v>
      </c>
      <c r="B253" s="48" t="s">
        <v>161</v>
      </c>
      <c r="C253" s="480" t="s">
        <v>163</v>
      </c>
      <c r="D253" s="483"/>
      <c r="E253" s="601"/>
      <c r="F253" s="516" t="str">
        <f>F252/E252</f>
        <v>#N/A</v>
      </c>
      <c r="G253" s="486"/>
      <c r="H253" s="601"/>
      <c r="I253" s="516"/>
      <c r="J253" s="486"/>
      <c r="K253" s="601"/>
      <c r="L253" s="516">
        <f>IF(L252=0,0,L252/K252)</f>
        <v>0.7327569942</v>
      </c>
      <c r="M253" s="515"/>
      <c r="N253" s="484" t="str">
        <f t="shared" si="56"/>
        <v>#N/A</v>
      </c>
      <c r="O253" s="486"/>
      <c r="P253" s="601"/>
      <c r="Q253" s="516">
        <f>IF(Q252=0,0,Q252/P252)</f>
        <v>0.728611538</v>
      </c>
      <c r="R253" s="486"/>
      <c r="S253" s="516">
        <f>IF(Q252=0,0,(S252/Q252))</f>
        <v>0.02452149899</v>
      </c>
      <c r="T253" s="483"/>
      <c r="AA253" s="48"/>
      <c r="AB253" s="48"/>
      <c r="AC253" s="48"/>
      <c r="AD253" s="48"/>
      <c r="AE253" s="48"/>
      <c r="AF253" s="48"/>
      <c r="AG253" s="48"/>
      <c r="AH253" s="48"/>
      <c r="AI253" s="48"/>
      <c r="AJ253" s="48"/>
      <c r="AK253" s="48"/>
      <c r="AL253" s="48"/>
      <c r="AM253" s="48"/>
      <c r="AN253" s="48"/>
    </row>
    <row r="254" ht="15.75" customHeight="1">
      <c r="A254" s="5" t="str">
        <f t="shared" si="55"/>
        <v>Service</v>
      </c>
      <c r="B254" s="48" t="s">
        <v>161</v>
      </c>
      <c r="C254" s="480"/>
      <c r="D254" s="483"/>
      <c r="E254" s="621"/>
      <c r="F254" s="614"/>
      <c r="G254" s="622"/>
      <c r="H254" s="621"/>
      <c r="I254" s="614"/>
      <c r="J254" s="622"/>
      <c r="K254" s="621">
        <f>IFERROR(K252/J252,0)</f>
        <v>154.0227863</v>
      </c>
      <c r="L254" s="614"/>
      <c r="M254" s="545"/>
      <c r="N254" s="476"/>
      <c r="O254" s="622"/>
      <c r="P254" s="621">
        <f>IFERROR(P252/O252,0)</f>
        <v>133.6083268</v>
      </c>
      <c r="Q254" s="614"/>
      <c r="R254" s="622"/>
      <c r="S254" s="484"/>
      <c r="T254" s="483"/>
      <c r="U254" s="797"/>
      <c r="AA254" s="48"/>
      <c r="AB254" s="48"/>
      <c r="AC254" s="48"/>
      <c r="AD254" s="48"/>
      <c r="AE254" s="48"/>
      <c r="AF254" s="48"/>
      <c r="AG254" s="48"/>
      <c r="AH254" s="48"/>
      <c r="AI254" s="48"/>
      <c r="AJ254" s="48"/>
      <c r="AK254" s="48"/>
      <c r="AL254" s="48"/>
      <c r="AM254" s="48"/>
      <c r="AN254" s="48"/>
    </row>
    <row r="255" ht="15.75" customHeight="1">
      <c r="A255" s="5" t="str">
        <f t="shared" si="55"/>
        <v>ServiceM/O Esthétique</v>
      </c>
      <c r="B255" s="48" t="s">
        <v>161</v>
      </c>
      <c r="C255" s="466" t="s">
        <v>166</v>
      </c>
      <c r="D255" s="522" t="str">
        <f t="array" ref="D255">+SUMPRODUCT(('Budget original'!$A$8:$A$501=$A255)*('Budget original'!$C$3:$AO$3=D$2),'Budget original'!$C$8:$AO$501)</f>
        <v>#N/A</v>
      </c>
      <c r="E255" s="483" t="str">
        <f t="array" ref="E255">+SUMPRODUCT(('Budget original'!$A$8:$A$501=$A255)*('Budget original'!$C$3:$AO$3=E$2),'Budget original'!$C$8:$AO$501)</f>
        <v>#N/A</v>
      </c>
      <c r="F255" s="483" t="str">
        <f t="array" ref="F255">+SUMPRODUCT(('Budget original'!$A$8:$A$501=$A255)*('Budget original'!$C$3:$AO$3=F$2),'Budget original'!$C$8:$AO$501)</f>
        <v>#N/A</v>
      </c>
      <c r="G255" s="252"/>
      <c r="H255" s="483"/>
      <c r="I255" s="483"/>
      <c r="J255" s="482">
        <f>SUMIFS(BV_Data_An_Cour!$AX:$AX,BV_Data_An_Cour!$AP:$AP,$B255,BV_Data_An_Cour!$AQ:$AQ,$C255,BV_Data_An_Cour!$AY:$AY,J$2)</f>
        <v>0</v>
      </c>
      <c r="K255" s="522">
        <f>-SUMIFS(BV_Data_An_Cour!$AN:$AN,BV_Data_An_Cour!$AS:$AS,"Oui",BV_Data_An_Cour!$AP:$AP,$B255,BV_Data_An_Cour!$AQ:$AQ,$C255)</f>
        <v>0</v>
      </c>
      <c r="L255" s="523">
        <f>-SUMIFS(BV_Data_An_Cour!$AN:$AN,BV_Data_An_Cour!$AP:$AP,$B255,BV_Data_An_Cour!$AQ:$AQ,$C255,BV_Data_An_Cour!$AR:$AR,$L$2)</f>
        <v>0</v>
      </c>
      <c r="M255" s="624" t="str">
        <f>IF(E255=0,0,(K255-E255)/E255)</f>
        <v>#N/A</v>
      </c>
      <c r="N255" s="523" t="str">
        <f>L255-F255</f>
        <v>#N/A</v>
      </c>
      <c r="O255" s="482">
        <f>SUMIFS(BV_Data_An_Prec!$AX:$AX,BV_Data_An_Prec!$AP:$AP,$B255,BV_Data_An_Prec!$AQ:$AQ,$C255,BV_Data_An_Prec!$AY:$AY,O$2)</f>
        <v>0</v>
      </c>
      <c r="P255" s="522">
        <f>-SUMIFS(BV_Data_An_Prec!$AN:$AN,BV_Data_An_Prec!$AS:$AS,"Oui",BV_Data_An_Prec!$AP:$AP,$B255,BV_Data_An_Prec!$AQ:$AQ,$C255)</f>
        <v>0</v>
      </c>
      <c r="Q255" s="523">
        <f>-SUMIFS(BV_Data_An_Prec!$AN:$AN,BV_Data_An_Prec!$AP:$AP,$B255,BV_Data_An_Prec!$AQ:$AQ,$C255,BV_Data_An_Prec!$AR:$AR,$L$2)</f>
        <v>0</v>
      </c>
      <c r="R255" s="515">
        <f>IF(O255=0,0,J255/O255)</f>
        <v>0</v>
      </c>
      <c r="S255" s="523">
        <f>L255-Q255</f>
        <v>0</v>
      </c>
      <c r="T255" s="483"/>
      <c r="U255" s="797"/>
      <c r="AA255" s="48"/>
      <c r="AB255" s="48"/>
      <c r="AC255" s="48"/>
      <c r="AD255" s="48"/>
      <c r="AE255" s="48"/>
      <c r="AF255" s="48"/>
      <c r="AG255" s="48"/>
      <c r="AH255" s="48"/>
      <c r="AI255" s="48"/>
      <c r="AJ255" s="48"/>
      <c r="AK255" s="48"/>
      <c r="AL255" s="48"/>
      <c r="AM255" s="48"/>
      <c r="AN255" s="48"/>
    </row>
    <row r="256" ht="15.75" customHeight="1">
      <c r="A256" s="5" t="str">
        <f t="shared" si="55"/>
        <v>Service% profit / ventes</v>
      </c>
      <c r="B256" s="48" t="s">
        <v>161</v>
      </c>
      <c r="C256" s="480" t="s">
        <v>163</v>
      </c>
      <c r="D256" s="48"/>
      <c r="E256" s="601"/>
      <c r="F256" s="516">
        <f>IFERROR(F255/E255,0)</f>
        <v>0</v>
      </c>
      <c r="G256" s="480"/>
      <c r="H256" s="601"/>
      <c r="I256" s="516"/>
      <c r="J256" s="486"/>
      <c r="K256" s="601"/>
      <c r="L256" s="516">
        <f>IF(L255=0,0,L255/K255)</f>
        <v>0</v>
      </c>
      <c r="M256" s="486">
        <f>J256-D256</f>
        <v>0</v>
      </c>
      <c r="N256" s="484"/>
      <c r="O256" s="486"/>
      <c r="P256" s="601"/>
      <c r="Q256" s="516">
        <f>IF(Q255=0,0,Q255/P255)</f>
        <v>0</v>
      </c>
      <c r="R256" s="480"/>
      <c r="S256" s="516">
        <f>IF(Q255=0,0,(S255/Q255))</f>
        <v>0</v>
      </c>
      <c r="T256" s="503"/>
      <c r="U256" s="797"/>
      <c r="AA256" s="48"/>
      <c r="AB256" s="48"/>
      <c r="AC256" s="48"/>
      <c r="AD256" s="48"/>
      <c r="AE256" s="48"/>
      <c r="AF256" s="48"/>
      <c r="AG256" s="48"/>
      <c r="AH256" s="48"/>
      <c r="AI256" s="48"/>
      <c r="AJ256" s="48"/>
      <c r="AK256" s="48"/>
      <c r="AL256" s="48"/>
      <c r="AM256" s="48"/>
      <c r="AN256" s="48"/>
    </row>
    <row r="257" ht="15.75" customHeight="1">
      <c r="A257" s="5" t="str">
        <f t="shared" si="55"/>
        <v>Service</v>
      </c>
      <c r="B257" s="48" t="s">
        <v>161</v>
      </c>
      <c r="C257" s="471"/>
      <c r="D257" s="564"/>
      <c r="E257" s="625"/>
      <c r="F257" s="614"/>
      <c r="G257" s="471"/>
      <c r="H257" s="625"/>
      <c r="I257" s="614"/>
      <c r="J257" s="622"/>
      <c r="K257" s="621">
        <f>IFERROR(K255/J255,0)</f>
        <v>0</v>
      </c>
      <c r="L257" s="614"/>
      <c r="M257" s="622"/>
      <c r="N257" s="476"/>
      <c r="O257" s="622"/>
      <c r="P257" s="621">
        <f>IFERROR(P255/O255,0)</f>
        <v>0</v>
      </c>
      <c r="Q257" s="614"/>
      <c r="R257" s="471"/>
      <c r="S257" s="476"/>
      <c r="T257" s="503"/>
      <c r="AA257" s="48"/>
      <c r="AB257" s="48"/>
      <c r="AC257" s="48"/>
      <c r="AD257" s="48"/>
      <c r="AE257" s="48"/>
      <c r="AF257" s="48"/>
      <c r="AG257" s="48"/>
      <c r="AH257" s="48"/>
      <c r="AI257" s="48"/>
      <c r="AJ257" s="48"/>
      <c r="AK257" s="48"/>
      <c r="AL257" s="48"/>
      <c r="AM257" s="48"/>
      <c r="AN257" s="48"/>
    </row>
    <row r="258" ht="26.25" customHeight="1">
      <c r="A258" s="5" t="str">
        <f t="shared" si="55"/>
        <v>ServiceAjustement M/O</v>
      </c>
      <c r="B258" s="48" t="s">
        <v>161</v>
      </c>
      <c r="C258" s="480" t="s">
        <v>167</v>
      </c>
      <c r="D258" s="48"/>
      <c r="E258" s="48"/>
      <c r="F258" s="484" t="str">
        <f t="array" ref="F258">+SUMPRODUCT(('Budget original'!$A$8:$A$501=$A258)*('Budget original'!$C$3:$AO$3=F$2),'Budget original'!$C$8:$AO$501)</f>
        <v>#N/A</v>
      </c>
      <c r="G258" s="480"/>
      <c r="H258" s="483"/>
      <c r="I258" s="483"/>
      <c r="J258" s="486"/>
      <c r="K258" s="483"/>
      <c r="L258" s="483">
        <f>-SUMIFS(BV_Data_An_Cour!$AN:$AN,BV_Data_An_Cour!$AP:$AP,$B258,BV_Data_An_Cour!$AQ:$AQ,$C258,BV_Data_An_Cour!$AR:$AR,$L$2)</f>
        <v>-14887.04</v>
      </c>
      <c r="M258" s="486"/>
      <c r="N258" s="484" t="str">
        <f t="shared" ref="N258:N259" si="59">L258-F258</f>
        <v>#N/A</v>
      </c>
      <c r="O258" s="486"/>
      <c r="P258" s="483"/>
      <c r="Q258" s="483">
        <f>-SUMIFS(BV_Data_An_Prec!$AN:$AN,BV_Data_An_Prec!$AP:$AP,$B258,BV_Data_An_Prec!$AQ:$AQ,$C258,BV_Data_An_Prec!$AR:$AR,$L$2)</f>
        <v>24960.49</v>
      </c>
      <c r="R258" s="626"/>
      <c r="S258" s="484">
        <f t="shared" ref="S258:S259" si="61">L258-Q258</f>
        <v>-39847.53</v>
      </c>
      <c r="T258" s="48"/>
      <c r="U258" s="48"/>
      <c r="V258" s="48"/>
      <c r="W258" s="48"/>
      <c r="X258" s="48"/>
      <c r="Y258" s="48"/>
      <c r="Z258" s="48"/>
      <c r="AA258" s="48"/>
      <c r="AB258" s="48"/>
      <c r="AC258" s="48"/>
      <c r="AD258" s="48"/>
      <c r="AE258" s="48"/>
      <c r="AF258" s="48"/>
      <c r="AG258" s="48"/>
      <c r="AH258" s="48"/>
      <c r="AI258" s="48"/>
      <c r="AJ258" s="48"/>
      <c r="AK258" s="48"/>
      <c r="AL258" s="48"/>
      <c r="AM258" s="48"/>
      <c r="AN258" s="48"/>
    </row>
    <row r="259" ht="19.5" customHeight="1">
      <c r="A259" s="5" t="str">
        <f t="shared" si="55"/>
        <v>ServiceSous-total M/O</v>
      </c>
      <c r="B259" s="48" t="s">
        <v>161</v>
      </c>
      <c r="C259" s="627" t="s">
        <v>168</v>
      </c>
      <c r="D259" s="628" t="str">
        <f t="shared" ref="D259:F259" si="57">D246+D249+D252+D255+D258</f>
        <v>#N/A</v>
      </c>
      <c r="E259" s="628" t="str">
        <f t="shared" si="57"/>
        <v>#N/A</v>
      </c>
      <c r="F259" s="629" t="str">
        <f t="shared" si="57"/>
        <v>#N/A</v>
      </c>
      <c r="G259" s="630"/>
      <c r="H259" s="628"/>
      <c r="I259" s="629"/>
      <c r="J259" s="631">
        <f t="shared" ref="J259:L259" si="58">J246+J249+J252+J255+J258</f>
        <v>8973</v>
      </c>
      <c r="K259" s="632">
        <f t="shared" si="58"/>
        <v>1645734.73</v>
      </c>
      <c r="L259" s="633">
        <f t="shared" si="58"/>
        <v>1156572.28</v>
      </c>
      <c r="M259" s="634" t="str">
        <f>(K259-E259)/E259</f>
        <v>#N/A</v>
      </c>
      <c r="N259" s="633" t="str">
        <f t="shared" si="59"/>
        <v>#N/A</v>
      </c>
      <c r="O259" s="631">
        <f t="shared" ref="O259:Q259" si="60">O246+O249+O252+O255+O258</f>
        <v>9877</v>
      </c>
      <c r="P259" s="632">
        <f t="shared" si="60"/>
        <v>1859790.8</v>
      </c>
      <c r="Q259" s="633">
        <f t="shared" si="60"/>
        <v>1396385.96</v>
      </c>
      <c r="R259" s="525">
        <f>IF(O259=0,0,J259/O259)</f>
        <v>0.9084742331</v>
      </c>
      <c r="S259" s="629">
        <f t="shared" si="61"/>
        <v>-239813.68</v>
      </c>
      <c r="T259" s="503"/>
      <c r="U259" s="48"/>
      <c r="V259" s="48"/>
      <c r="W259" s="48"/>
      <c r="X259" s="48"/>
      <c r="Y259" s="48"/>
      <c r="Z259" s="48"/>
      <c r="AA259" s="48"/>
      <c r="AB259" s="48"/>
      <c r="AC259" s="48"/>
      <c r="AD259" s="48"/>
      <c r="AE259" s="48"/>
      <c r="AF259" s="48"/>
      <c r="AG259" s="48"/>
      <c r="AH259" s="48"/>
      <c r="AI259" s="48"/>
      <c r="AJ259" s="48"/>
      <c r="AK259" s="48"/>
      <c r="AL259" s="48"/>
      <c r="AM259" s="48"/>
      <c r="AN259" s="48"/>
    </row>
    <row r="260" ht="15.75" customHeight="1">
      <c r="A260" s="5" t="str">
        <f t="shared" si="55"/>
        <v>Service% protit / ventes</v>
      </c>
      <c r="B260" s="48" t="s">
        <v>161</v>
      </c>
      <c r="C260" s="635" t="s">
        <v>169</v>
      </c>
      <c r="D260" s="636"/>
      <c r="E260" s="637" t="str">
        <f>IF(D259=0,0,E259/D259)</f>
        <v>#N/A</v>
      </c>
      <c r="F260" s="638" t="str">
        <f>F259/E259</f>
        <v>#N/A</v>
      </c>
      <c r="G260" s="639"/>
      <c r="H260" s="637"/>
      <c r="I260" s="507"/>
      <c r="J260" s="640"/>
      <c r="K260" s="641">
        <f>IF(J259=0,0,K259/J259)</f>
        <v>183.4096434</v>
      </c>
      <c r="L260" s="507">
        <f>IF(L259=0,0,L259/K259)</f>
        <v>0.7027695648</v>
      </c>
      <c r="M260" s="640"/>
      <c r="N260" s="642" t="str">
        <f>N259/F259</f>
        <v>#N/A</v>
      </c>
      <c r="O260" s="640"/>
      <c r="P260" s="641">
        <f>IF(O259=0,0,P259/O259)</f>
        <v>188.2951099</v>
      </c>
      <c r="Q260" s="507">
        <f>IF(Q259=0,0,Q259/P259)</f>
        <v>0.7508295879</v>
      </c>
      <c r="R260" s="639"/>
      <c r="S260" s="507">
        <f>S259/Q259</f>
        <v>-0.1717388221</v>
      </c>
      <c r="T260" s="503"/>
      <c r="U260" s="48"/>
      <c r="V260" s="48"/>
      <c r="W260" s="48"/>
      <c r="X260" s="48"/>
      <c r="Y260" s="48"/>
      <c r="Z260" s="48"/>
      <c r="AA260" s="48"/>
      <c r="AB260" s="48"/>
      <c r="AC260" s="48"/>
      <c r="AD260" s="48"/>
      <c r="AE260" s="48"/>
      <c r="AF260" s="48"/>
      <c r="AG260" s="48"/>
      <c r="AH260" s="48"/>
      <c r="AI260" s="48"/>
      <c r="AJ260" s="48"/>
      <c r="AK260" s="48"/>
      <c r="AL260" s="48"/>
      <c r="AM260" s="48"/>
      <c r="AN260" s="48"/>
    </row>
    <row r="261" ht="15.75" customHeight="1">
      <c r="A261" s="5" t="str">
        <f t="shared" si="55"/>
        <v>Service</v>
      </c>
      <c r="B261" s="48" t="s">
        <v>161</v>
      </c>
      <c r="C261" s="466"/>
      <c r="D261" s="522"/>
      <c r="E261" s="643"/>
      <c r="F261" s="523"/>
      <c r="G261" s="252"/>
      <c r="H261" s="643"/>
      <c r="I261" s="523"/>
      <c r="J261" s="252"/>
      <c r="K261" s="643"/>
      <c r="L261" s="523"/>
      <c r="M261" s="252"/>
      <c r="N261" s="523"/>
      <c r="O261" s="252"/>
      <c r="P261" s="643"/>
      <c r="Q261" s="523"/>
      <c r="R261" s="252"/>
      <c r="S261" s="523"/>
      <c r="T261" s="503"/>
      <c r="U261" s="48"/>
      <c r="V261" s="48"/>
      <c r="W261" s="48"/>
      <c r="X261" s="48"/>
      <c r="Y261" s="48"/>
      <c r="Z261" s="48"/>
      <c r="AA261" s="48"/>
      <c r="AB261" s="48"/>
      <c r="AC261" s="48"/>
      <c r="AD261" s="48"/>
      <c r="AE261" s="48"/>
      <c r="AF261" s="48"/>
      <c r="AG261" s="48"/>
      <c r="AH261" s="48"/>
      <c r="AI261" s="48"/>
      <c r="AJ261" s="48"/>
      <c r="AK261" s="48"/>
      <c r="AL261" s="48"/>
      <c r="AM261" s="48"/>
      <c r="AN261" s="48"/>
    </row>
    <row r="262" ht="19.5" customHeight="1">
      <c r="A262" s="5" t="str">
        <f t="shared" si="55"/>
        <v>ServiceSous-traitement</v>
      </c>
      <c r="B262" s="48" t="s">
        <v>161</v>
      </c>
      <c r="C262" s="480" t="s">
        <v>170</v>
      </c>
      <c r="D262" s="483"/>
      <c r="E262" s="483" t="str">
        <f t="array" ref="E262">+SUMPRODUCT(('Budget original'!$A$8:$A$501=$A262)*('Budget original'!$C$3:$AO$3=E$2),'Budget original'!$C$8:$AO$501)</f>
        <v>#N/A</v>
      </c>
      <c r="F262" s="483" t="str">
        <f t="array" ref="F262">+SUMPRODUCT(('Budget original'!$A$8:$A$501=$A262)*('Budget original'!$C$3:$AO$3=F$2),'Budget original'!$C$8:$AO$501)</f>
        <v>#N/A</v>
      </c>
      <c r="G262" s="486"/>
      <c r="H262" s="483"/>
      <c r="I262" s="483"/>
      <c r="J262" s="482">
        <f>SUMIFS(BV_Data_An_Cour!$AX:$AX,BV_Data_An_Cour!$AP:$AP,$B262,BV_Data_An_Cour!$AQ:$AQ,$C262,BV_Data_An_Cour!$AY:$AY,J$2)</f>
        <v>2873</v>
      </c>
      <c r="K262" s="483">
        <f>-SUMIFS(BV_Data_An_Cour!$AN:$AN,BV_Data_An_Cour!$AS:$AS,"Oui",BV_Data_An_Cour!$AP:$AP,$B262,BV_Data_An_Cour!$AQ:$AQ,$C262)</f>
        <v>140868.92</v>
      </c>
      <c r="L262" s="484">
        <f>-SUMIFS(BV_Data_An_Cour!$AN:$AN,BV_Data_An_Cour!$AP:$AP,$B262,BV_Data_An_Cour!$AQ:$AQ,$C262,BV_Data_An_Cour!$AR:$AR,$L$2)</f>
        <v>37156.42</v>
      </c>
      <c r="M262" s="515" t="str">
        <f>IF(E262=0,0,(K262-E262)/E262)</f>
        <v>#N/A</v>
      </c>
      <c r="N262" s="484" t="str">
        <f>L262-F262</f>
        <v>#N/A</v>
      </c>
      <c r="O262" s="482">
        <f>SUMIFS(BV_Data_An_Prec!$AX:$AX,BV_Data_An_Prec!$AP:$AP,$B262,BV_Data_An_Prec!$AQ:$AQ,$C262,BV_Data_An_Prec!$AY:$AY,O$2)</f>
        <v>2765</v>
      </c>
      <c r="P262" s="483">
        <f>-SUMIFS(BV_Data_An_Prec!$AN:$AN,BV_Data_An_Prec!$AS:$AS,"Oui",BV_Data_An_Prec!$AP:$AP,$B262,BV_Data_An_Prec!$AQ:$AQ,$C262)</f>
        <v>211286.48</v>
      </c>
      <c r="Q262" s="484">
        <f>-SUMIFS(BV_Data_An_Prec!$AN:$AN,BV_Data_An_Prec!$AP:$AP,$B262,BV_Data_An_Prec!$AQ:$AQ,$C262,BV_Data_An_Prec!$AR:$AR,$L$2)</f>
        <v>44521.45</v>
      </c>
      <c r="R262" s="515">
        <f>IF(O262=0,0,J262/O262)</f>
        <v>1.039059675</v>
      </c>
      <c r="S262" s="484">
        <f>L262-Q262</f>
        <v>-7365.03</v>
      </c>
      <c r="T262" s="503"/>
      <c r="U262" s="48"/>
      <c r="V262" s="48"/>
      <c r="W262" s="48"/>
      <c r="X262" s="48"/>
      <c r="Y262" s="48"/>
      <c r="Z262" s="48"/>
      <c r="AA262" s="48"/>
      <c r="AB262" s="48"/>
      <c r="AC262" s="48"/>
      <c r="AD262" s="48"/>
      <c r="AE262" s="48"/>
      <c r="AF262" s="48"/>
      <c r="AG262" s="48"/>
      <c r="AH262" s="48"/>
      <c r="AI262" s="48"/>
      <c r="AJ262" s="48"/>
      <c r="AK262" s="48"/>
      <c r="AL262" s="48"/>
      <c r="AM262" s="48"/>
      <c r="AN262" s="48"/>
    </row>
    <row r="263" ht="21.0" customHeight="1">
      <c r="A263" s="5" t="str">
        <f t="shared" si="55"/>
        <v>Service% profit / ventes</v>
      </c>
      <c r="B263" s="48" t="s">
        <v>161</v>
      </c>
      <c r="C263" s="480" t="s">
        <v>163</v>
      </c>
      <c r="D263" s="48"/>
      <c r="E263" s="601"/>
      <c r="F263" s="516">
        <f>IFERROR(F262/E262,0)</f>
        <v>0</v>
      </c>
      <c r="G263" s="480"/>
      <c r="H263" s="601"/>
      <c r="I263" s="516"/>
      <c r="J263" s="486"/>
      <c r="K263" s="601"/>
      <c r="L263" s="516">
        <f>IF(L262=0,0,L262/K262)</f>
        <v>0.263765918</v>
      </c>
      <c r="M263" s="486"/>
      <c r="N263" s="484"/>
      <c r="O263" s="486"/>
      <c r="P263" s="601"/>
      <c r="Q263" s="516">
        <f>IF(Q262=0,0,Q262/P262)</f>
        <v>0.2107160382</v>
      </c>
      <c r="R263" s="486"/>
      <c r="S263" s="516">
        <f>IF(Q262=0,0,(S262/Q262))</f>
        <v>-0.1654265528</v>
      </c>
      <c r="T263" s="503"/>
      <c r="U263" s="48"/>
      <c r="V263" s="48"/>
      <c r="W263" s="48"/>
      <c r="X263" s="48"/>
      <c r="Y263" s="48"/>
      <c r="Z263" s="48"/>
      <c r="AA263" s="48"/>
      <c r="AB263" s="48"/>
      <c r="AC263" s="48"/>
      <c r="AD263" s="48"/>
      <c r="AE263" s="48"/>
      <c r="AF263" s="48"/>
      <c r="AG263" s="48"/>
      <c r="AH263" s="48"/>
      <c r="AI263" s="48"/>
      <c r="AJ263" s="48"/>
      <c r="AK263" s="48"/>
      <c r="AL263" s="48"/>
      <c r="AM263" s="48"/>
      <c r="AN263" s="48"/>
    </row>
    <row r="264" ht="21.0" hidden="1" customHeight="1">
      <c r="A264" s="5" t="str">
        <f t="shared" si="55"/>
        <v>Service</v>
      </c>
      <c r="B264" s="48" t="s">
        <v>161</v>
      </c>
      <c r="C264" s="480"/>
      <c r="D264" s="48"/>
      <c r="E264" s="601"/>
      <c r="F264" s="516"/>
      <c r="G264" s="480"/>
      <c r="H264" s="601"/>
      <c r="I264" s="516"/>
      <c r="J264" s="600"/>
      <c r="K264" s="599"/>
      <c r="L264" s="516"/>
      <c r="M264" s="600"/>
      <c r="N264" s="504"/>
      <c r="O264" s="600"/>
      <c r="P264" s="599"/>
      <c r="Q264" s="516"/>
      <c r="R264" s="600"/>
      <c r="S264" s="504"/>
      <c r="T264" s="503"/>
      <c r="U264" s="48"/>
      <c r="V264" s="48"/>
      <c r="W264" s="48"/>
      <c r="X264" s="48"/>
      <c r="Y264" s="48"/>
      <c r="Z264" s="48"/>
      <c r="AA264" s="48"/>
      <c r="AB264" s="48"/>
      <c r="AC264" s="48"/>
      <c r="AD264" s="48"/>
      <c r="AE264" s="48"/>
      <c r="AF264" s="48"/>
      <c r="AG264" s="48"/>
      <c r="AH264" s="48"/>
      <c r="AI264" s="48"/>
      <c r="AJ264" s="48"/>
      <c r="AK264" s="48"/>
      <c r="AL264" s="48"/>
      <c r="AM264" s="48"/>
      <c r="AN264" s="48"/>
    </row>
    <row r="265" ht="21.0" hidden="1" customHeight="1">
      <c r="A265" s="5" t="str">
        <f t="shared" si="55"/>
        <v>ServiceM.O. Recond. MCPA</v>
      </c>
      <c r="B265" s="48" t="s">
        <v>161</v>
      </c>
      <c r="C265" s="480" t="s">
        <v>171</v>
      </c>
      <c r="D265" s="48"/>
      <c r="E265" s="483" t="str">
        <f t="array" ref="E265">+SUMPRODUCT(('Budget original'!$A$8:$A$501=$A265)*('Budget original'!$C$3:$AO$3=E$2),'Budget original'!$C$8:$AO$501)</f>
        <v>#N/A</v>
      </c>
      <c r="F265" s="483" t="str">
        <f t="array" ref="F265">+SUMPRODUCT(('Budget original'!$A$8:$A$501=$A265)*('Budget original'!$C$3:$AO$3=F$2),'Budget original'!$C$8:$AO$501)</f>
        <v>#N/A</v>
      </c>
      <c r="G265" s="480"/>
      <c r="H265" s="483"/>
      <c r="I265" s="483"/>
      <c r="J265" s="482"/>
      <c r="K265" s="481">
        <f>-SUMIFS(BV_Data_An_Cour!$AN:$AN,BV_Data_An_Cour!$AS:$AS,"Oui",BV_Data_An_Cour!$AP:$AP,$B265,BV_Data_An_Cour!$AQ:$AQ,$C265)</f>
        <v>0</v>
      </c>
      <c r="L265" s="485">
        <f>-SUMIFS(BV_Data_An_Cour!$AN:$AN,BV_Data_An_Cour!$AP:$AP,$B265,BV_Data_An_Cour!$AQ:$AQ,$C265,BV_Data_An_Cour!$AR:$AR,$L$2)</f>
        <v>0</v>
      </c>
      <c r="M265" s="515"/>
      <c r="N265" s="484"/>
      <c r="O265" s="482"/>
      <c r="P265" s="481">
        <f>-SUMIFS(BV_Data_An_Prec!$AN:$AN,BV_Data_An_Prec!$AS:$AS,"Oui",BV_Data_An_Prec!$AP:$AP,$B265,BV_Data_An_Prec!$AQ:$AQ,$C265)</f>
        <v>0</v>
      </c>
      <c r="Q265" s="485">
        <f>-SUMIFS(BV_Data_An_Prec!$AN:$AN,BV_Data_An_Prec!$AP:$AP,$B265,BV_Data_An_Prec!$AQ:$AQ,$C265,BV_Data_An_Prec!$AR:$AR,$L$2)</f>
        <v>0</v>
      </c>
      <c r="R265" s="515"/>
      <c r="S265" s="484"/>
      <c r="T265" s="503"/>
      <c r="U265" s="48"/>
      <c r="V265" s="48"/>
      <c r="W265" s="48"/>
      <c r="X265" s="48"/>
      <c r="Y265" s="48"/>
      <c r="Z265" s="48"/>
      <c r="AA265" s="48"/>
      <c r="AB265" s="48"/>
      <c r="AC265" s="48"/>
      <c r="AD265" s="48"/>
      <c r="AE265" s="48"/>
      <c r="AF265" s="48"/>
      <c r="AG265" s="48"/>
      <c r="AH265" s="48"/>
      <c r="AI265" s="48"/>
      <c r="AJ265" s="48"/>
      <c r="AK265" s="48"/>
      <c r="AL265" s="48"/>
      <c r="AM265" s="48"/>
      <c r="AN265" s="48"/>
    </row>
    <row r="266" ht="21.0" hidden="1" customHeight="1">
      <c r="A266" s="5" t="str">
        <f t="shared" si="55"/>
        <v>Service% profit / ventes</v>
      </c>
      <c r="B266" s="48" t="s">
        <v>161</v>
      </c>
      <c r="C266" s="480" t="s">
        <v>163</v>
      </c>
      <c r="D266" s="48"/>
      <c r="E266" s="601"/>
      <c r="F266" s="516" t="str">
        <f>IF(F265=0,0,F265/E265)</f>
        <v>#N/A</v>
      </c>
      <c r="G266" s="480"/>
      <c r="H266" s="601"/>
      <c r="I266" s="516"/>
      <c r="J266" s="600"/>
      <c r="K266" s="599"/>
      <c r="L266" s="516">
        <f>IF(L265=0,0,L265/K265)</f>
        <v>0</v>
      </c>
      <c r="M266" s="600"/>
      <c r="N266" s="504"/>
      <c r="O266" s="600"/>
      <c r="P266" s="599"/>
      <c r="Q266" s="516">
        <f>IF(Q265=0,0,Q265/P265)</f>
        <v>0</v>
      </c>
      <c r="R266" s="600"/>
      <c r="S266" s="504"/>
      <c r="T266" s="503"/>
      <c r="U266" s="481"/>
      <c r="V266" s="48"/>
      <c r="W266" s="48"/>
      <c r="X266" s="48"/>
      <c r="Y266" s="48"/>
      <c r="Z266" s="48"/>
      <c r="AA266" s="48"/>
      <c r="AB266" s="48"/>
      <c r="AC266" s="48"/>
      <c r="AD266" s="48"/>
      <c r="AE266" s="48"/>
      <c r="AF266" s="48"/>
      <c r="AG266" s="48"/>
      <c r="AH266" s="48"/>
      <c r="AI266" s="48"/>
      <c r="AJ266" s="48"/>
      <c r="AK266" s="48"/>
      <c r="AL266" s="48"/>
      <c r="AM266" s="48"/>
      <c r="AN266" s="48"/>
    </row>
    <row r="267" ht="15.75" customHeight="1">
      <c r="A267" s="5" t="str">
        <f t="shared" si="55"/>
        <v>Service</v>
      </c>
      <c r="B267" s="48" t="s">
        <v>161</v>
      </c>
      <c r="C267" s="644"/>
      <c r="D267" s="645"/>
      <c r="E267" s="646"/>
      <c r="F267" s="647"/>
      <c r="G267" s="648"/>
      <c r="H267" s="646"/>
      <c r="I267" s="647"/>
      <c r="J267" s="648"/>
      <c r="K267" s="646"/>
      <c r="L267" s="647"/>
      <c r="M267" s="648"/>
      <c r="N267" s="647"/>
      <c r="O267" s="648"/>
      <c r="P267" s="646"/>
      <c r="Q267" s="647"/>
      <c r="R267" s="648"/>
      <c r="S267" s="647"/>
      <c r="T267" s="503"/>
      <c r="U267" s="48"/>
      <c r="V267" s="48"/>
      <c r="W267" s="48"/>
      <c r="X267" s="48"/>
      <c r="Y267" s="48"/>
      <c r="Z267" s="48"/>
      <c r="AA267" s="48"/>
      <c r="AB267" s="48"/>
      <c r="AC267" s="48"/>
      <c r="AD267" s="48"/>
      <c r="AE267" s="48"/>
      <c r="AF267" s="48"/>
      <c r="AG267" s="48"/>
      <c r="AH267" s="48"/>
      <c r="AI267" s="48"/>
      <c r="AJ267" s="48"/>
      <c r="AK267" s="48"/>
      <c r="AL267" s="48"/>
      <c r="AM267" s="48"/>
      <c r="AN267" s="48"/>
    </row>
    <row r="268" ht="18.0" customHeight="1">
      <c r="A268" s="5" t="str">
        <f t="shared" si="55"/>
        <v>ServiceTotal Mécanique</v>
      </c>
      <c r="B268" s="48" t="s">
        <v>161</v>
      </c>
      <c r="C268" s="526" t="s">
        <v>172</v>
      </c>
      <c r="D268" s="527"/>
      <c r="E268" s="528" t="str">
        <f t="shared" ref="E268:F268" si="62">E259+E262+E265</f>
        <v>#N/A</v>
      </c>
      <c r="F268" s="529" t="str">
        <f t="shared" si="62"/>
        <v>#N/A</v>
      </c>
      <c r="G268" s="530"/>
      <c r="H268" s="528"/>
      <c r="I268" s="529"/>
      <c r="J268" s="530"/>
      <c r="K268" s="527">
        <f t="shared" ref="K268:L268" si="63">K259+K262+K265</f>
        <v>1786603.65</v>
      </c>
      <c r="L268" s="529">
        <f t="shared" si="63"/>
        <v>1193728.7</v>
      </c>
      <c r="M268" s="530" t="str">
        <f>L269-F269</f>
        <v>#N/A</v>
      </c>
      <c r="N268" s="529" t="str">
        <f>L268-F268</f>
        <v>#N/A</v>
      </c>
      <c r="O268" s="530"/>
      <c r="P268" s="527">
        <f t="shared" ref="P268:Q268" si="64">P259+P262+P265</f>
        <v>2071077.28</v>
      </c>
      <c r="Q268" s="529">
        <f t="shared" si="64"/>
        <v>1440907.41</v>
      </c>
      <c r="R268" s="530">
        <f>L269-Q269</f>
        <v>-0.0275731604</v>
      </c>
      <c r="S268" s="529">
        <f>L268-Q268</f>
        <v>-247178.71</v>
      </c>
      <c r="T268" s="48"/>
      <c r="U268" s="48"/>
      <c r="V268" s="48"/>
      <c r="W268" s="48"/>
      <c r="X268" s="48"/>
      <c r="Y268" s="48"/>
      <c r="Z268" s="48"/>
      <c r="AA268" s="48"/>
      <c r="AB268" s="48"/>
      <c r="AC268" s="48"/>
      <c r="AD268" s="48"/>
      <c r="AE268" s="48"/>
      <c r="AF268" s="48"/>
      <c r="AG268" s="48"/>
      <c r="AH268" s="48"/>
      <c r="AI268" s="48"/>
      <c r="AJ268" s="48"/>
      <c r="AK268" s="48"/>
      <c r="AL268" s="48"/>
      <c r="AM268" s="48"/>
      <c r="AN268" s="48"/>
    </row>
    <row r="269" ht="22.5" customHeight="1">
      <c r="A269" s="5" t="str">
        <f t="shared" si="55"/>
        <v>Service</v>
      </c>
      <c r="B269" s="48" t="s">
        <v>161</v>
      </c>
      <c r="C269" s="531"/>
      <c r="D269" s="532"/>
      <c r="E269" s="532"/>
      <c r="F269" s="533" t="str">
        <f>F268/E268</f>
        <v>#N/A</v>
      </c>
      <c r="G269" s="531"/>
      <c r="H269" s="532"/>
      <c r="I269" s="533"/>
      <c r="J269" s="531"/>
      <c r="K269" s="534"/>
      <c r="L269" s="538">
        <f>L268/K268</f>
        <v>0.6681553013</v>
      </c>
      <c r="M269" s="536"/>
      <c r="N269" s="537" t="str">
        <f>N268/F268</f>
        <v>#N/A</v>
      </c>
      <c r="O269" s="531"/>
      <c r="P269" s="534"/>
      <c r="Q269" s="538">
        <f>Q268/P268</f>
        <v>0.6957284617</v>
      </c>
      <c r="R269" s="536"/>
      <c r="S269" s="538">
        <f>L268/S268</f>
        <v>-4.829415527</v>
      </c>
      <c r="T269" s="48"/>
      <c r="U269" s="48"/>
      <c r="V269" s="48"/>
      <c r="W269" s="48"/>
      <c r="X269" s="48"/>
      <c r="Y269" s="48"/>
      <c r="Z269" s="48"/>
      <c r="AA269" s="48"/>
      <c r="AB269" s="48"/>
      <c r="AC269" s="48"/>
      <c r="AD269" s="48"/>
      <c r="AE269" s="48"/>
      <c r="AF269" s="48"/>
      <c r="AG269" s="48"/>
      <c r="AH269" s="48"/>
      <c r="AI269" s="48"/>
      <c r="AJ269" s="48"/>
      <c r="AK269" s="48"/>
      <c r="AL269" s="48"/>
      <c r="AM269" s="48"/>
      <c r="AN269" s="48"/>
    </row>
    <row r="270" ht="15.75" customHeight="1">
      <c r="A270" s="5" t="str">
        <f t="shared" si="55"/>
        <v>Service</v>
      </c>
      <c r="B270" s="48" t="s">
        <v>161</v>
      </c>
      <c r="C270" s="500"/>
      <c r="D270" s="11"/>
      <c r="E270" s="11"/>
      <c r="F270" s="507"/>
      <c r="G270" s="500"/>
      <c r="H270" s="11"/>
      <c r="I270" s="507"/>
      <c r="J270" s="500"/>
      <c r="K270" s="503"/>
      <c r="L270" s="507"/>
      <c r="M270" s="525"/>
      <c r="N270" s="507"/>
      <c r="O270" s="500"/>
      <c r="P270" s="503"/>
      <c r="Q270" s="507"/>
      <c r="R270" s="525"/>
      <c r="S270" s="507"/>
      <c r="T270" s="11"/>
      <c r="U270" s="48"/>
      <c r="V270" s="48"/>
      <c r="W270" s="48"/>
      <c r="X270" s="48"/>
      <c r="Y270" s="48"/>
      <c r="Z270" s="48"/>
      <c r="AA270" s="48"/>
      <c r="AB270" s="48"/>
      <c r="AC270" s="48"/>
      <c r="AD270" s="48"/>
      <c r="AE270" s="48"/>
      <c r="AF270" s="48"/>
      <c r="AG270" s="48"/>
      <c r="AH270" s="48"/>
      <c r="AI270" s="48"/>
      <c r="AJ270" s="48"/>
      <c r="AK270" s="48"/>
      <c r="AL270" s="48"/>
      <c r="AM270" s="48"/>
      <c r="AN270" s="48"/>
    </row>
    <row r="271" ht="15.75" customHeight="1">
      <c r="A271" s="5" t="str">
        <f t="shared" si="55"/>
        <v>ServiceDEPENSES</v>
      </c>
      <c r="B271" s="48" t="s">
        <v>161</v>
      </c>
      <c r="C271" s="541" t="s">
        <v>110</v>
      </c>
      <c r="D271" s="48"/>
      <c r="E271" s="48"/>
      <c r="F271" s="484"/>
      <c r="G271" s="480"/>
      <c r="H271" s="48"/>
      <c r="I271" s="484"/>
      <c r="J271" s="480"/>
      <c r="K271" s="48"/>
      <c r="L271" s="514"/>
      <c r="M271" s="480"/>
      <c r="N271" s="514"/>
      <c r="O271" s="480"/>
      <c r="P271" s="48"/>
      <c r="Q271" s="514"/>
      <c r="R271" s="480"/>
      <c r="S271" s="514"/>
      <c r="T271" s="48"/>
      <c r="U271" s="48"/>
      <c r="V271" s="48"/>
      <c r="W271" s="48"/>
      <c r="X271" s="48"/>
      <c r="Y271" s="48"/>
      <c r="Z271" s="48"/>
      <c r="AA271" s="48"/>
      <c r="AB271" s="48"/>
      <c r="AC271" s="48"/>
      <c r="AD271" s="48"/>
      <c r="AE271" s="48"/>
      <c r="AF271" s="48"/>
      <c r="AG271" s="48"/>
      <c r="AH271" s="48"/>
      <c r="AI271" s="48"/>
      <c r="AJ271" s="48"/>
      <c r="AK271" s="48"/>
      <c r="AL271" s="48"/>
      <c r="AM271" s="48"/>
      <c r="AN271" s="48"/>
    </row>
    <row r="272" ht="15.75" customHeight="1">
      <c r="A272" s="5" t="str">
        <f t="shared" si="55"/>
        <v>ServiceSalaires cadres</v>
      </c>
      <c r="B272" s="48" t="s">
        <v>161</v>
      </c>
      <c r="C272" s="559" t="s">
        <v>119</v>
      </c>
      <c r="D272" s="48"/>
      <c r="E272" s="48"/>
      <c r="F272" s="481" t="str">
        <f t="array" ref="F272">+SUMPRODUCT(('Budget original'!$A$8:$A$501=$A272)*('Budget original'!$C$3:$AO$3=F$2),'Budget original'!$C$8:$AO$501)</f>
        <v>#N/A</v>
      </c>
      <c r="G272" s="480"/>
      <c r="H272" s="48"/>
      <c r="I272" s="481"/>
      <c r="J272" s="480"/>
      <c r="K272" s="48"/>
      <c r="L272" s="484">
        <f>SUMIFS(BV_Data_An_Cour!$AN:$AN,BV_Data_An_Cour!$AP:$AP,$B272,BV_Data_An_Cour!$AQ:$AQ,$C272,BV_Data_An_Cour!$AR:$AR,$L$2)</f>
        <v>94350.66</v>
      </c>
      <c r="M272" s="480"/>
      <c r="N272" s="484" t="str">
        <f t="shared" ref="N272:N303" si="65">L272-F272</f>
        <v>#N/A</v>
      </c>
      <c r="O272" s="480"/>
      <c r="P272" s="48"/>
      <c r="Q272" s="484">
        <f>SUMIFS(BV_Data_An_Prec!$AN:$AN,BV_Data_An_Prec!$AP:$AP,$B272,BV_Data_An_Prec!$AQ:$AQ,$C272,BV_Data_An_Prec!$AR:$AR,$L$2)</f>
        <v>89444.98</v>
      </c>
      <c r="R272" s="480"/>
      <c r="S272" s="484">
        <f t="shared" ref="S272:S303" si="66">L272-Q272</f>
        <v>4905.68</v>
      </c>
      <c r="T272" s="48"/>
      <c r="U272" s="48"/>
      <c r="V272" s="48"/>
      <c r="W272" s="48"/>
      <c r="X272" s="48"/>
      <c r="Y272" s="48"/>
      <c r="Z272" s="48"/>
      <c r="AA272" s="48"/>
      <c r="AB272" s="48"/>
      <c r="AC272" s="48"/>
      <c r="AD272" s="48"/>
      <c r="AE272" s="48"/>
      <c r="AF272" s="48"/>
      <c r="AG272" s="48"/>
      <c r="AH272" s="48"/>
      <c r="AI272" s="48"/>
      <c r="AJ272" s="48"/>
      <c r="AK272" s="48"/>
      <c r="AL272" s="48"/>
      <c r="AM272" s="48"/>
      <c r="AN272" s="48"/>
    </row>
    <row r="273" ht="15.75" customHeight="1">
      <c r="A273" s="5" t="str">
        <f t="shared" si="55"/>
        <v>ServiceSalaires commis</v>
      </c>
      <c r="B273" s="48" t="s">
        <v>161</v>
      </c>
      <c r="C273" s="560" t="s">
        <v>120</v>
      </c>
      <c r="D273" s="546"/>
      <c r="E273" s="48"/>
      <c r="F273" s="473" t="str">
        <f t="array" ref="F273">+SUMPRODUCT(('Budget original'!$A$8:$A$501=$A273)*('Budget original'!$C$3:$AO$3=F$2),'Budget original'!$C$8:$AO$501)</f>
        <v>#N/A</v>
      </c>
      <c r="G273" s="547"/>
      <c r="H273" s="48"/>
      <c r="I273" s="473"/>
      <c r="J273" s="480"/>
      <c r="K273" s="48"/>
      <c r="L273" s="484">
        <f>SUMIFS(BV_Data_An_Cour!$AN:$AN,BV_Data_An_Cour!$AP:$AP,$B273,BV_Data_An_Cour!$AQ:$AQ,$C273,BV_Data_An_Cour!$AR:$AR,$L$2)</f>
        <v>182004.16</v>
      </c>
      <c r="M273" s="480"/>
      <c r="N273" s="484" t="str">
        <f t="shared" si="65"/>
        <v>#N/A</v>
      </c>
      <c r="O273" s="480"/>
      <c r="P273" s="48"/>
      <c r="Q273" s="484">
        <f>SUMIFS(BV_Data_An_Prec!$AN:$AN,BV_Data_An_Prec!$AP:$AP,$B273,BV_Data_An_Prec!$AQ:$AQ,$C273,BV_Data_An_Prec!$AR:$AR,$L$2)</f>
        <v>230406.04</v>
      </c>
      <c r="R273" s="480"/>
      <c r="S273" s="484">
        <f t="shared" si="66"/>
        <v>-48401.88</v>
      </c>
      <c r="T273" s="48"/>
      <c r="U273" s="48"/>
      <c r="V273" s="48"/>
      <c r="W273" s="48"/>
      <c r="X273" s="48"/>
      <c r="Y273" s="48"/>
      <c r="Z273" s="48"/>
      <c r="AA273" s="48"/>
      <c r="AB273" s="48"/>
      <c r="AC273" s="48"/>
      <c r="AD273" s="48"/>
      <c r="AE273" s="48"/>
      <c r="AF273" s="48"/>
      <c r="AG273" s="48"/>
      <c r="AH273" s="48"/>
      <c r="AI273" s="48"/>
      <c r="AJ273" s="48"/>
      <c r="AK273" s="48"/>
      <c r="AL273" s="48"/>
      <c r="AM273" s="48"/>
      <c r="AN273" s="48"/>
    </row>
    <row r="274" ht="15.75" customHeight="1">
      <c r="A274" s="5" t="str">
        <f t="shared" si="55"/>
        <v>ServiceSalaires autres</v>
      </c>
      <c r="B274" s="48" t="s">
        <v>161</v>
      </c>
      <c r="C274" s="559" t="s">
        <v>121</v>
      </c>
      <c r="D274" s="561"/>
      <c r="E274" s="562"/>
      <c r="F274" s="481" t="str">
        <f t="array" ref="F274">+SUMPRODUCT(('Budget original'!$A$8:$A$501=$A274)*('Budget original'!$C$3:$AO$3=F$2),'Budget original'!$C$8:$AO$501)</f>
        <v>#N/A</v>
      </c>
      <c r="G274" s="563"/>
      <c r="H274" s="562"/>
      <c r="I274" s="481"/>
      <c r="J274" s="466"/>
      <c r="K274" s="562"/>
      <c r="L274" s="523">
        <f>SUMIFS(BV_Data_An_Cour!$AN:$AN,BV_Data_An_Cour!$AP:$AP,$B274,BV_Data_An_Cour!$AQ:$AQ,$C274,BV_Data_An_Cour!$AR:$AR,$L$2)</f>
        <v>104884.44</v>
      </c>
      <c r="M274" s="466"/>
      <c r="N274" s="523" t="str">
        <f t="shared" si="65"/>
        <v>#N/A</v>
      </c>
      <c r="O274" s="466"/>
      <c r="P274" s="562"/>
      <c r="Q274" s="523">
        <f>SUMIFS(BV_Data_An_Prec!$AN:$AN,BV_Data_An_Prec!$AP:$AP,$B274,BV_Data_An_Prec!$AQ:$AQ,$C274,BV_Data_An_Prec!$AR:$AR,$L$2)</f>
        <v>243634.88</v>
      </c>
      <c r="R274" s="466"/>
      <c r="S274" s="523">
        <f t="shared" si="66"/>
        <v>-138750.44</v>
      </c>
      <c r="T274" s="48"/>
      <c r="U274" s="40"/>
      <c r="V274" s="48"/>
      <c r="W274" s="48"/>
      <c r="X274" s="48"/>
      <c r="Y274" s="48"/>
      <c r="Z274" s="48"/>
      <c r="AA274" s="48"/>
      <c r="AB274" s="48"/>
      <c r="AC274" s="48"/>
      <c r="AD274" s="48"/>
      <c r="AE274" s="48"/>
      <c r="AF274" s="48"/>
      <c r="AG274" s="48"/>
      <c r="AH274" s="48"/>
      <c r="AI274" s="48"/>
      <c r="AJ274" s="48"/>
      <c r="AK274" s="48"/>
      <c r="AL274" s="48"/>
      <c r="AM274" s="48"/>
      <c r="AN274" s="48"/>
    </row>
    <row r="275" ht="15.75" customHeight="1">
      <c r="A275" s="5" t="str">
        <f t="shared" si="55"/>
        <v>ServiceSalaires spécialistes</v>
      </c>
      <c r="B275" s="48" t="s">
        <v>161</v>
      </c>
      <c r="C275" s="559" t="s">
        <v>122</v>
      </c>
      <c r="D275" s="546"/>
      <c r="E275" s="602"/>
      <c r="F275" s="481" t="str">
        <f t="array" ref="F275">+SUMPRODUCT(('Budget original'!$A$8:$A$501=$A275)*('Budget original'!$C$3:$AO$3=F$2),'Budget original'!$C$8:$AO$501)</f>
        <v>#N/A</v>
      </c>
      <c r="G275" s="547"/>
      <c r="H275" s="48"/>
      <c r="I275" s="481"/>
      <c r="J275" s="480"/>
      <c r="K275" s="602"/>
      <c r="L275" s="484">
        <f>SUMIFS(BV_Data_An_Cour!$AN:$AN,BV_Data_An_Cour!$AP:$AP,$B275,BV_Data_An_Cour!$AQ:$AQ,$C275,BV_Data_An_Cour!$AR:$AR,$L$2)</f>
        <v>50389.74</v>
      </c>
      <c r="M275" s="480"/>
      <c r="N275" s="484" t="str">
        <f t="shared" si="65"/>
        <v>#N/A</v>
      </c>
      <c r="O275" s="480"/>
      <c r="P275" s="602"/>
      <c r="Q275" s="484">
        <f>SUMIFS(BV_Data_An_Prec!$AN:$AN,BV_Data_An_Prec!$AP:$AP,$B275,BV_Data_An_Prec!$AQ:$AQ,$C275,BV_Data_An_Prec!$AR:$AR,$L$2)</f>
        <v>0</v>
      </c>
      <c r="R275" s="480"/>
      <c r="S275" s="484">
        <f t="shared" si="66"/>
        <v>50389.74</v>
      </c>
      <c r="T275" s="48"/>
      <c r="U275" s="48"/>
      <c r="V275" s="48"/>
      <c r="W275" s="48"/>
      <c r="X275" s="48"/>
      <c r="Y275" s="48"/>
      <c r="Z275" s="48"/>
      <c r="AA275" s="48"/>
      <c r="AB275" s="48"/>
      <c r="AC275" s="48"/>
      <c r="AD275" s="48"/>
      <c r="AE275" s="48"/>
      <c r="AF275" s="48"/>
      <c r="AG275" s="48"/>
      <c r="AH275" s="48"/>
      <c r="AI275" s="48"/>
      <c r="AJ275" s="48"/>
      <c r="AK275" s="48"/>
      <c r="AL275" s="48"/>
      <c r="AM275" s="48"/>
      <c r="AN275" s="48"/>
    </row>
    <row r="276" ht="20.25" hidden="1" customHeight="1">
      <c r="A276" s="5" t="str">
        <f t="shared" si="55"/>
        <v>Service[...]</v>
      </c>
      <c r="B276" s="48" t="s">
        <v>161</v>
      </c>
      <c r="C276" s="480" t="s">
        <v>56</v>
      </c>
      <c r="D276" s="546"/>
      <c r="E276" s="48"/>
      <c r="F276" s="481" t="str">
        <f t="array" ref="F276">+SUMPRODUCT(('Budget original'!$A$8:$A$501=$A276)*('Budget original'!$C$3:$AO$3=F$2),'Budget original'!$C$8:$AO$501)</f>
        <v>#N/A</v>
      </c>
      <c r="G276" s="547"/>
      <c r="H276" s="48"/>
      <c r="I276" s="481"/>
      <c r="J276" s="480"/>
      <c r="K276" s="48"/>
      <c r="L276" s="484">
        <f>SUMIFS(BV_Data_An_Cour!$AN:$AN,BV_Data_An_Cour!$AP:$AP,$B276,BV_Data_An_Cour!$AQ:$AQ,$C276,BV_Data_An_Cour!$AR:$AR,$L$2)</f>
        <v>0</v>
      </c>
      <c r="M276" s="480"/>
      <c r="N276" s="484" t="str">
        <f t="shared" si="65"/>
        <v>#N/A</v>
      </c>
      <c r="O276" s="480"/>
      <c r="P276" s="48"/>
      <c r="Q276" s="484">
        <f>SUMIFS(BV_Data_An_Prec!$AN:$AN,BV_Data_An_Prec!$AP:$AP,$B276,BV_Data_An_Prec!$AQ:$AQ,$C276,BV_Data_An_Prec!$AR:$AR,$L$2)</f>
        <v>0</v>
      </c>
      <c r="R276" s="480"/>
      <c r="S276" s="484">
        <f t="shared" si="66"/>
        <v>0</v>
      </c>
      <c r="T276" s="48"/>
      <c r="U276" s="48"/>
      <c r="V276" s="48"/>
      <c r="W276" s="48"/>
      <c r="X276" s="48"/>
      <c r="Y276" s="48"/>
      <c r="Z276" s="48"/>
      <c r="AA276" s="48"/>
      <c r="AB276" s="48"/>
      <c r="AC276" s="48"/>
      <c r="AD276" s="48"/>
      <c r="AE276" s="48"/>
      <c r="AF276" s="48"/>
      <c r="AG276" s="48"/>
      <c r="AH276" s="48"/>
      <c r="AI276" s="48"/>
      <c r="AJ276" s="48"/>
      <c r="AK276" s="48"/>
      <c r="AL276" s="48"/>
      <c r="AM276" s="48"/>
      <c r="AN276" s="48"/>
    </row>
    <row r="277" ht="20.25" hidden="1" customHeight="1">
      <c r="A277" s="5" t="str">
        <f t="shared" si="55"/>
        <v>Service[...]</v>
      </c>
      <c r="B277" s="48" t="s">
        <v>161</v>
      </c>
      <c r="C277" s="480" t="s">
        <v>56</v>
      </c>
      <c r="D277" s="546"/>
      <c r="E277" s="48"/>
      <c r="F277" s="481" t="str">
        <f t="array" ref="F277">+SUMPRODUCT(('Budget original'!$A$8:$A$501=$A277)*('Budget original'!$C$3:$AO$3=F$2),'Budget original'!$C$8:$AO$501)</f>
        <v>#N/A</v>
      </c>
      <c r="G277" s="547"/>
      <c r="H277" s="48"/>
      <c r="I277" s="481"/>
      <c r="J277" s="480"/>
      <c r="K277" s="48"/>
      <c r="L277" s="484">
        <f>SUMIFS(BV_Data_An_Cour!$AN:$AN,BV_Data_An_Cour!$AP:$AP,$B277,BV_Data_An_Cour!$AQ:$AQ,$C277,BV_Data_An_Cour!$AR:$AR,$L$2)</f>
        <v>0</v>
      </c>
      <c r="M277" s="480"/>
      <c r="N277" s="484" t="str">
        <f t="shared" si="65"/>
        <v>#N/A</v>
      </c>
      <c r="O277" s="480"/>
      <c r="P277" s="48"/>
      <c r="Q277" s="484">
        <f>SUMIFS(BV_Data_An_Prec!$AN:$AN,BV_Data_An_Prec!$AP:$AP,$B277,BV_Data_An_Prec!$AQ:$AQ,$C277,BV_Data_An_Prec!$AR:$AR,$L$2)</f>
        <v>0</v>
      </c>
      <c r="R277" s="480"/>
      <c r="S277" s="484">
        <f t="shared" si="66"/>
        <v>0</v>
      </c>
      <c r="T277" s="48"/>
      <c r="U277" s="48"/>
      <c r="V277" s="48"/>
      <c r="W277" s="48"/>
      <c r="X277" s="48"/>
      <c r="Y277" s="48"/>
      <c r="Z277" s="48"/>
      <c r="AA277" s="48"/>
      <c r="AB277" s="48"/>
      <c r="AC277" s="48"/>
      <c r="AD277" s="48"/>
      <c r="AE277" s="48"/>
      <c r="AF277" s="48"/>
      <c r="AG277" s="48"/>
      <c r="AH277" s="48"/>
      <c r="AI277" s="48"/>
      <c r="AJ277" s="48"/>
      <c r="AK277" s="48"/>
      <c r="AL277" s="48"/>
      <c r="AM277" s="48"/>
      <c r="AN277" s="48"/>
    </row>
    <row r="278" ht="20.25" hidden="1" customHeight="1">
      <c r="A278" s="5" t="str">
        <f t="shared" si="55"/>
        <v>Service[...]</v>
      </c>
      <c r="B278" s="48" t="s">
        <v>161</v>
      </c>
      <c r="C278" s="480" t="s">
        <v>56</v>
      </c>
      <c r="D278" s="546"/>
      <c r="E278" s="48"/>
      <c r="F278" s="481" t="str">
        <f t="array" ref="F278">+SUMPRODUCT(('Budget original'!$A$8:$A$501=$A278)*('Budget original'!$C$3:$AO$3=F$2),'Budget original'!$C$8:$AO$501)</f>
        <v>#N/A</v>
      </c>
      <c r="G278" s="547"/>
      <c r="H278" s="48"/>
      <c r="I278" s="481"/>
      <c r="J278" s="480"/>
      <c r="K278" s="48"/>
      <c r="L278" s="484">
        <f>SUMIFS(BV_Data_An_Cour!$AN:$AN,BV_Data_An_Cour!$AP:$AP,$B278,BV_Data_An_Cour!$AQ:$AQ,$C278,BV_Data_An_Cour!$AR:$AR,$L$2)</f>
        <v>0</v>
      </c>
      <c r="M278" s="480"/>
      <c r="N278" s="484" t="str">
        <f t="shared" si="65"/>
        <v>#N/A</v>
      </c>
      <c r="O278" s="480"/>
      <c r="P278" s="48"/>
      <c r="Q278" s="484">
        <f>SUMIFS(BV_Data_An_Prec!$AN:$AN,BV_Data_An_Prec!$AP:$AP,$B278,BV_Data_An_Prec!$AQ:$AQ,$C278,BV_Data_An_Prec!$AR:$AR,$L$2)</f>
        <v>0</v>
      </c>
      <c r="R278" s="480"/>
      <c r="S278" s="484">
        <f t="shared" si="66"/>
        <v>0</v>
      </c>
      <c r="T278" s="48"/>
      <c r="U278" s="48"/>
      <c r="V278" s="48"/>
      <c r="W278" s="48"/>
      <c r="X278" s="48"/>
      <c r="Y278" s="48"/>
      <c r="Z278" s="48"/>
      <c r="AA278" s="48"/>
      <c r="AB278" s="48"/>
      <c r="AC278" s="48"/>
      <c r="AD278" s="48"/>
      <c r="AE278" s="48"/>
      <c r="AF278" s="48"/>
      <c r="AG278" s="48"/>
      <c r="AH278" s="48"/>
      <c r="AI278" s="48"/>
      <c r="AJ278" s="48"/>
      <c r="AK278" s="48"/>
      <c r="AL278" s="48"/>
      <c r="AM278" s="48"/>
      <c r="AN278" s="48"/>
    </row>
    <row r="279" ht="15.75" customHeight="1">
      <c r="A279" s="5" t="str">
        <f t="shared" si="55"/>
        <v>ServiceSalaires en absences</v>
      </c>
      <c r="B279" s="48" t="s">
        <v>161</v>
      </c>
      <c r="C279" s="560" t="s">
        <v>123</v>
      </c>
      <c r="D279" s="546"/>
      <c r="E279" s="48"/>
      <c r="F279" s="481" t="str">
        <f t="array" ref="F279">+SUMPRODUCT(('Budget original'!$A$8:$A$501=$A279)*('Budget original'!$C$3:$AO$3=F$2),'Budget original'!$C$8:$AO$501)</f>
        <v>#N/A</v>
      </c>
      <c r="G279" s="547"/>
      <c r="H279" s="48"/>
      <c r="I279" s="481"/>
      <c r="J279" s="480"/>
      <c r="K279" s="48"/>
      <c r="L279" s="484">
        <f>SUMIFS(BV_Data_An_Cour!$AN:$AN,BV_Data_An_Cour!$AP:$AP,$B279,BV_Data_An_Cour!$AQ:$AQ,$C279,BV_Data_An_Cour!$AR:$AR,$L$2)</f>
        <v>117850.04</v>
      </c>
      <c r="M279" s="480"/>
      <c r="N279" s="484" t="str">
        <f t="shared" si="65"/>
        <v>#N/A</v>
      </c>
      <c r="O279" s="480"/>
      <c r="P279" s="48"/>
      <c r="Q279" s="484">
        <f>SUMIFS(BV_Data_An_Prec!$AN:$AN,BV_Data_An_Prec!$AP:$AP,$B279,BV_Data_An_Prec!$AQ:$AQ,$C279,BV_Data_An_Prec!$AR:$AR,$L$2)</f>
        <v>143902.31</v>
      </c>
      <c r="R279" s="480"/>
      <c r="S279" s="484">
        <f t="shared" si="66"/>
        <v>-26052.27</v>
      </c>
      <c r="T279" s="48"/>
      <c r="U279" s="48"/>
      <c r="V279" s="48"/>
      <c r="W279" s="48"/>
      <c r="X279" s="48"/>
      <c r="Y279" s="48"/>
      <c r="Z279" s="48"/>
      <c r="AA279" s="48"/>
      <c r="AB279" s="48"/>
      <c r="AC279" s="48"/>
      <c r="AD279" s="48"/>
      <c r="AE279" s="48"/>
      <c r="AF279" s="48"/>
      <c r="AG279" s="48"/>
      <c r="AH279" s="48"/>
      <c r="AI279" s="48"/>
      <c r="AJ279" s="48"/>
      <c r="AK279" s="48"/>
      <c r="AL279" s="48"/>
      <c r="AM279" s="48"/>
      <c r="AN279" s="48"/>
    </row>
    <row r="280" ht="15.75" customHeight="1">
      <c r="A280" s="5" t="str">
        <f t="shared" si="55"/>
        <v>ServiceDéduction à la source</v>
      </c>
      <c r="B280" s="48" t="s">
        <v>161</v>
      </c>
      <c r="C280" s="559" t="s">
        <v>124</v>
      </c>
      <c r="D280" s="561"/>
      <c r="E280" s="562"/>
      <c r="F280" s="520" t="str">
        <f t="array" ref="F280">+SUMPRODUCT(('Budget original'!$A$8:$A$501=$A280)*('Budget original'!$C$3:$AO$3=F$2),'Budget original'!$C$8:$AO$501)</f>
        <v>#N/A</v>
      </c>
      <c r="G280" s="563"/>
      <c r="H280" s="562"/>
      <c r="I280" s="520"/>
      <c r="J280" s="466"/>
      <c r="K280" s="562"/>
      <c r="L280" s="523">
        <f>SUMIFS(BV_Data_An_Cour!$AN:$AN,BV_Data_An_Cour!$AP:$AP,$B280,BV_Data_An_Cour!$AQ:$AQ,$C280,BV_Data_An_Cour!$AR:$AR,$L$2)</f>
        <v>155240.63</v>
      </c>
      <c r="M280" s="466"/>
      <c r="N280" s="523" t="str">
        <f t="shared" si="65"/>
        <v>#N/A</v>
      </c>
      <c r="O280" s="466"/>
      <c r="P280" s="562"/>
      <c r="Q280" s="523">
        <f>SUMIFS(BV_Data_An_Prec!$AN:$AN,BV_Data_An_Prec!$AP:$AP,$B280,BV_Data_An_Prec!$AQ:$AQ,$C280,BV_Data_An_Prec!$AR:$AR,$L$2)</f>
        <v>157880.81</v>
      </c>
      <c r="R280" s="466"/>
      <c r="S280" s="523">
        <f t="shared" si="66"/>
        <v>-2640.18</v>
      </c>
      <c r="T280" s="48"/>
      <c r="U280" s="48"/>
      <c r="V280" s="48"/>
      <c r="W280" s="48"/>
      <c r="X280" s="48"/>
      <c r="Y280" s="48"/>
      <c r="Z280" s="48"/>
      <c r="AA280" s="48"/>
      <c r="AB280" s="48"/>
      <c r="AC280" s="48"/>
      <c r="AD280" s="48"/>
      <c r="AE280" s="48"/>
      <c r="AF280" s="48"/>
      <c r="AG280" s="48"/>
      <c r="AH280" s="48"/>
      <c r="AI280" s="48"/>
      <c r="AJ280" s="48"/>
      <c r="AK280" s="48"/>
      <c r="AL280" s="48"/>
      <c r="AM280" s="48"/>
      <c r="AN280" s="48"/>
    </row>
    <row r="281" ht="15.75" customHeight="1">
      <c r="A281" s="5" t="str">
        <f t="shared" si="55"/>
        <v>ServiceBénéfices marginaux</v>
      </c>
      <c r="B281" s="48" t="s">
        <v>161</v>
      </c>
      <c r="C281" s="559" t="s">
        <v>125</v>
      </c>
      <c r="D281" s="546"/>
      <c r="E281" s="48"/>
      <c r="F281" s="481" t="str">
        <f t="array" ref="F281">+SUMPRODUCT(('Budget original'!$A$8:$A$501=$A281)*('Budget original'!$C$3:$AO$3=F$2),'Budget original'!$C$8:$AO$501)</f>
        <v>#N/A</v>
      </c>
      <c r="G281" s="547"/>
      <c r="H281" s="48"/>
      <c r="I281" s="481"/>
      <c r="J281" s="480"/>
      <c r="K281" s="48"/>
      <c r="L281" s="484">
        <f>SUMIFS(BV_Data_An_Cour!$AN:$AN,BV_Data_An_Cour!$AP:$AP,$B281,BV_Data_An_Cour!$AQ:$AQ,$C281,BV_Data_An_Cour!$AR:$AR,$L$2)</f>
        <v>58039.05</v>
      </c>
      <c r="M281" s="480"/>
      <c r="N281" s="484" t="str">
        <f t="shared" si="65"/>
        <v>#N/A</v>
      </c>
      <c r="O281" s="480"/>
      <c r="P281" s="48"/>
      <c r="Q281" s="484">
        <f>SUMIFS(BV_Data_An_Prec!$AN:$AN,BV_Data_An_Prec!$AP:$AP,$B281,BV_Data_An_Prec!$AQ:$AQ,$C281,BV_Data_An_Prec!$AR:$AR,$L$2)</f>
        <v>94032.66</v>
      </c>
      <c r="R281" s="480"/>
      <c r="S281" s="484">
        <f t="shared" si="66"/>
        <v>-35993.61</v>
      </c>
      <c r="T281" s="48"/>
      <c r="U281" s="48"/>
      <c r="V281" s="48"/>
      <c r="W281" s="48"/>
      <c r="X281" s="48"/>
      <c r="Y281" s="48"/>
      <c r="Z281" s="48"/>
      <c r="AA281" s="48"/>
      <c r="AB281" s="48"/>
      <c r="AC281" s="48"/>
      <c r="AD281" s="48"/>
      <c r="AE281" s="48"/>
      <c r="AF281" s="48"/>
      <c r="AG281" s="48"/>
      <c r="AH281" s="48"/>
      <c r="AI281" s="48"/>
      <c r="AJ281" s="48"/>
      <c r="AK281" s="48"/>
      <c r="AL281" s="48"/>
      <c r="AM281" s="48"/>
      <c r="AN281" s="48"/>
    </row>
    <row r="282" ht="15.75" customHeight="1">
      <c r="A282" s="5" t="str">
        <f t="shared" si="55"/>
        <v>ServiceCsst</v>
      </c>
      <c r="B282" s="48" t="s">
        <v>161</v>
      </c>
      <c r="C282" s="559" t="s">
        <v>126</v>
      </c>
      <c r="D282" s="546"/>
      <c r="E282" s="48"/>
      <c r="F282" s="481" t="str">
        <f t="array" ref="F282">+SUMPRODUCT(('Budget original'!$A$8:$A$501=$A282)*('Budget original'!$C$3:$AO$3=F$2),'Budget original'!$C$8:$AO$501)</f>
        <v>#N/A</v>
      </c>
      <c r="G282" s="547"/>
      <c r="H282" s="48"/>
      <c r="I282" s="481"/>
      <c r="J282" s="480"/>
      <c r="K282" s="48"/>
      <c r="L282" s="484">
        <f>SUMIFS(BV_Data_An_Cour!$AN:$AN,BV_Data_An_Cour!$AP:$AP,$B282,BV_Data_An_Cour!$AQ:$AQ,$C282,BV_Data_An_Cour!$AR:$AR,$L$2)</f>
        <v>31685.83</v>
      </c>
      <c r="M282" s="480"/>
      <c r="N282" s="484" t="str">
        <f t="shared" si="65"/>
        <v>#N/A</v>
      </c>
      <c r="O282" s="480"/>
      <c r="P282" s="48"/>
      <c r="Q282" s="484">
        <f>SUMIFS(BV_Data_An_Prec!$AN:$AN,BV_Data_An_Prec!$AP:$AP,$B282,BV_Data_An_Prec!$AQ:$AQ,$C282,BV_Data_An_Prec!$AR:$AR,$L$2)</f>
        <v>9111.88</v>
      </c>
      <c r="R282" s="480"/>
      <c r="S282" s="484">
        <f t="shared" si="66"/>
        <v>22573.95</v>
      </c>
      <c r="T282" s="48"/>
      <c r="U282" s="48"/>
      <c r="V282" s="48"/>
      <c r="W282" s="48"/>
      <c r="X282" s="48"/>
      <c r="Y282" s="48"/>
      <c r="Z282" s="48"/>
      <c r="AA282" s="48"/>
      <c r="AB282" s="48"/>
      <c r="AC282" s="48"/>
      <c r="AD282" s="48"/>
      <c r="AE282" s="48"/>
      <c r="AF282" s="48"/>
      <c r="AG282" s="48"/>
      <c r="AH282" s="48"/>
      <c r="AI282" s="48"/>
      <c r="AJ282" s="48"/>
      <c r="AK282" s="48"/>
      <c r="AL282" s="48"/>
      <c r="AM282" s="48"/>
      <c r="AN282" s="48"/>
    </row>
    <row r="283" ht="20.25" hidden="1" customHeight="1">
      <c r="A283" s="5" t="str">
        <f t="shared" si="55"/>
        <v>Service[...]</v>
      </c>
      <c r="B283" s="48" t="s">
        <v>161</v>
      </c>
      <c r="C283" s="480" t="s">
        <v>56</v>
      </c>
      <c r="D283" s="549"/>
      <c r="E283" s="564"/>
      <c r="F283" s="481" t="str">
        <f t="array" ref="F283">+SUMPRODUCT(('Budget original'!$A$8:$A$501=$A283)*('Budget original'!$C$3:$AO$3=F$2),'Budget original'!$C$8:$AO$501)</f>
        <v>#N/A</v>
      </c>
      <c r="G283" s="550"/>
      <c r="H283" s="564"/>
      <c r="I283" s="481"/>
      <c r="J283" s="471"/>
      <c r="K283" s="564"/>
      <c r="L283" s="484">
        <f>SUMIFS(BV_Data_An_Cour!$AN:$AN,BV_Data_An_Cour!$AP:$AP,$B283,BV_Data_An_Cour!$AQ:$AQ,$C283,BV_Data_An_Cour!$AR:$AR,$L$2)</f>
        <v>0</v>
      </c>
      <c r="M283" s="471"/>
      <c r="N283" s="485" t="str">
        <f t="shared" si="65"/>
        <v>#N/A</v>
      </c>
      <c r="O283" s="471"/>
      <c r="P283" s="564"/>
      <c r="Q283" s="484">
        <f>SUMIFS(BV_Data_An_Prec!$AN:$AN,BV_Data_An_Prec!$AP:$AP,$B283,BV_Data_An_Prec!$AQ:$AQ,$C283,BV_Data_An_Prec!$AR:$AR,$L$2)</f>
        <v>0</v>
      </c>
      <c r="R283" s="471"/>
      <c r="S283" s="476">
        <f t="shared" si="66"/>
        <v>0</v>
      </c>
      <c r="T283" s="48"/>
      <c r="U283" s="48"/>
      <c r="V283" s="48"/>
      <c r="W283" s="48"/>
      <c r="X283" s="48"/>
      <c r="Y283" s="48"/>
      <c r="Z283" s="48"/>
      <c r="AA283" s="48"/>
      <c r="AB283" s="48"/>
      <c r="AC283" s="48"/>
      <c r="AD283" s="48"/>
      <c r="AE283" s="48"/>
      <c r="AF283" s="48"/>
      <c r="AG283" s="48"/>
      <c r="AH283" s="48"/>
      <c r="AI283" s="48"/>
      <c r="AJ283" s="48"/>
      <c r="AK283" s="48"/>
      <c r="AL283" s="48"/>
      <c r="AM283" s="48"/>
      <c r="AN283" s="48"/>
    </row>
    <row r="284" ht="18.0" customHeight="1">
      <c r="A284" s="5" t="str">
        <f t="shared" si="55"/>
        <v>ServiceTOTAL PERSONNEL</v>
      </c>
      <c r="B284" s="48" t="s">
        <v>161</v>
      </c>
      <c r="C284" s="552" t="s">
        <v>127</v>
      </c>
      <c r="D284" s="553" t="s">
        <v>932</v>
      </c>
      <c r="E284" s="554" t="str">
        <f>F284/F$268</f>
        <v>#N/A</v>
      </c>
      <c r="F284" s="555" t="str">
        <f>+SUM(F272:F283)</f>
        <v>#N/A</v>
      </c>
      <c r="G284" s="556"/>
      <c r="H284" s="554"/>
      <c r="I284" s="555"/>
      <c r="J284" s="556" t="s">
        <v>932</v>
      </c>
      <c r="K284" s="554">
        <f>L284/L$268</f>
        <v>0.6655151627</v>
      </c>
      <c r="L284" s="555">
        <f>+SUM(L272:L283)</f>
        <v>794444.55</v>
      </c>
      <c r="M284" s="557"/>
      <c r="N284" s="555" t="str">
        <f t="shared" si="65"/>
        <v>#N/A</v>
      </c>
      <c r="O284" s="556" t="s">
        <v>932</v>
      </c>
      <c r="P284" s="554">
        <f>Q284/Q$268</f>
        <v>0.6720859045</v>
      </c>
      <c r="Q284" s="555">
        <f>+SUM(Q272:Q283)</f>
        <v>968413.56</v>
      </c>
      <c r="R284" s="558"/>
      <c r="S284" s="555">
        <f t="shared" si="66"/>
        <v>-173969.01</v>
      </c>
      <c r="T284" s="48"/>
      <c r="U284" s="48"/>
      <c r="V284" s="48"/>
      <c r="W284" s="48"/>
      <c r="X284" s="48"/>
      <c r="Y284" s="48"/>
      <c r="Z284" s="48"/>
      <c r="AA284" s="48"/>
      <c r="AB284" s="48"/>
      <c r="AC284" s="48"/>
      <c r="AD284" s="48"/>
      <c r="AE284" s="48"/>
      <c r="AF284" s="48"/>
      <c r="AG284" s="48"/>
      <c r="AH284" s="48"/>
      <c r="AI284" s="48"/>
      <c r="AJ284" s="48"/>
      <c r="AK284" s="48"/>
      <c r="AL284" s="48"/>
      <c r="AM284" s="48"/>
      <c r="AN284" s="48"/>
    </row>
    <row r="285" ht="15.75" customHeight="1">
      <c r="A285" s="5" t="str">
        <f t="shared" si="55"/>
        <v>ServicePublicité 2</v>
      </c>
      <c r="B285" s="48" t="s">
        <v>161</v>
      </c>
      <c r="C285" s="480" t="s">
        <v>128</v>
      </c>
      <c r="D285" s="546"/>
      <c r="E285" s="48"/>
      <c r="F285" s="481" t="str">
        <f t="array" ref="F285">+SUMPRODUCT(('Budget original'!$A$8:$A$501=$A285)*('Budget original'!$C$3:$AO$3=F$2),'Budget original'!$C$8:$AO$501)</f>
        <v>#N/A</v>
      </c>
      <c r="G285" s="547"/>
      <c r="H285" s="48"/>
      <c r="I285" s="481"/>
      <c r="J285" s="480"/>
      <c r="K285" s="48"/>
      <c r="L285" s="484">
        <f>SUMIFS(BV_Data_An_Cour!$AN:$AN,BV_Data_An_Cour!$AP:$AP,$B285,BV_Data_An_Cour!$AQ:$AQ,$C285,BV_Data_An_Cour!$AR:$AR,$L$2)</f>
        <v>21637.64</v>
      </c>
      <c r="M285" s="480"/>
      <c r="N285" s="484" t="str">
        <f t="shared" si="65"/>
        <v>#N/A</v>
      </c>
      <c r="O285" s="480"/>
      <c r="P285" s="48"/>
      <c r="Q285" s="484">
        <f>SUMIFS(BV_Data_An_Prec!$AN:$AN,BV_Data_An_Prec!$AP:$AP,$B285,BV_Data_An_Prec!$AQ:$AQ,$C285,BV_Data_An_Prec!$AR:$AR,$L$2)</f>
        <v>18255.86</v>
      </c>
      <c r="R285" s="480"/>
      <c r="S285" s="484">
        <f t="shared" si="66"/>
        <v>3381.78</v>
      </c>
      <c r="T285" s="48"/>
      <c r="U285" s="48"/>
      <c r="V285" s="48"/>
      <c r="W285" s="48"/>
      <c r="X285" s="48"/>
      <c r="Y285" s="48"/>
      <c r="Z285" s="48"/>
      <c r="AA285" s="48"/>
      <c r="AB285" s="48"/>
      <c r="AC285" s="48"/>
      <c r="AD285" s="48"/>
      <c r="AE285" s="48"/>
      <c r="AF285" s="48"/>
      <c r="AG285" s="48"/>
      <c r="AH285" s="48"/>
      <c r="AI285" s="48"/>
      <c r="AJ285" s="48"/>
      <c r="AK285" s="48"/>
      <c r="AL285" s="48"/>
      <c r="AM285" s="48"/>
      <c r="AN285" s="48"/>
    </row>
    <row r="286" ht="15.75" customHeight="1">
      <c r="A286" s="5" t="str">
        <f t="shared" si="55"/>
        <v>ServiceService gratuit 2</v>
      </c>
      <c r="B286" s="48" t="s">
        <v>161</v>
      </c>
      <c r="C286" s="480" t="s">
        <v>129</v>
      </c>
      <c r="D286" s="546"/>
      <c r="E286" s="48"/>
      <c r="F286" s="481" t="str">
        <f t="array" ref="F286">+SUMPRODUCT(('Budget original'!$A$8:$A$501=$A286)*('Budget original'!$C$3:$AO$3=F$2),'Budget original'!$C$8:$AO$501)</f>
        <v>#N/A</v>
      </c>
      <c r="G286" s="547"/>
      <c r="H286" s="48"/>
      <c r="I286" s="481"/>
      <c r="J286" s="480"/>
      <c r="K286" s="48"/>
      <c r="L286" s="484">
        <f>SUMIFS(BV_Data_An_Cour!$AN:$AN,BV_Data_An_Cour!$AP:$AP,$B286,BV_Data_An_Cour!$AQ:$AQ,$C286,BV_Data_An_Cour!$AR:$AR,$L$2)</f>
        <v>29175.77</v>
      </c>
      <c r="M286" s="480"/>
      <c r="N286" s="484" t="str">
        <f t="shared" si="65"/>
        <v>#N/A</v>
      </c>
      <c r="O286" s="480"/>
      <c r="P286" s="48"/>
      <c r="Q286" s="484">
        <f>SUMIFS(BV_Data_An_Prec!$AN:$AN,BV_Data_An_Prec!$AP:$AP,$B286,BV_Data_An_Prec!$AQ:$AQ,$C286,BV_Data_An_Prec!$AR:$AR,$L$2)</f>
        <v>18992.88</v>
      </c>
      <c r="R286" s="480"/>
      <c r="S286" s="484">
        <f t="shared" si="66"/>
        <v>10182.89</v>
      </c>
      <c r="T286" s="48"/>
      <c r="U286" s="5"/>
      <c r="V286" s="48"/>
      <c r="W286" s="48"/>
      <c r="X286" s="48"/>
      <c r="Y286" s="48"/>
      <c r="Z286" s="48"/>
      <c r="AA286" s="48"/>
      <c r="AB286" s="48"/>
      <c r="AC286" s="48"/>
      <c r="AD286" s="48"/>
      <c r="AE286" s="48"/>
      <c r="AF286" s="48"/>
      <c r="AG286" s="48"/>
      <c r="AH286" s="48"/>
      <c r="AI286" s="48"/>
      <c r="AJ286" s="48"/>
      <c r="AK286" s="48"/>
      <c r="AL286" s="48"/>
      <c r="AM286" s="48"/>
      <c r="AN286" s="48"/>
    </row>
    <row r="287" ht="15.75" customHeight="1">
      <c r="A287" s="5" t="str">
        <f t="shared" si="55"/>
        <v>ServiceFrais véhicules de cie</v>
      </c>
      <c r="B287" s="48" t="s">
        <v>161</v>
      </c>
      <c r="C287" s="471" t="s">
        <v>130</v>
      </c>
      <c r="D287" s="549"/>
      <c r="E287" s="564"/>
      <c r="F287" s="473" t="str">
        <f t="array" ref="F287">+SUMPRODUCT(('Budget original'!$A$8:$A$501=$A287)*('Budget original'!$C$3:$AO$3=F$2),'Budget original'!$C$8:$AO$501)</f>
        <v>#N/A</v>
      </c>
      <c r="G287" s="550"/>
      <c r="H287" s="564"/>
      <c r="I287" s="473"/>
      <c r="J287" s="471"/>
      <c r="K287" s="564"/>
      <c r="L287" s="484">
        <f>SUMIFS(BV_Data_An_Cour!$AN:$AN,BV_Data_An_Cour!$AP:$AP,$B287,BV_Data_An_Cour!$AQ:$AQ,$C287,BV_Data_An_Cour!$AR:$AR,$L$2)</f>
        <v>51242.22</v>
      </c>
      <c r="M287" s="471"/>
      <c r="N287" s="476" t="str">
        <f t="shared" si="65"/>
        <v>#N/A</v>
      </c>
      <c r="O287" s="471"/>
      <c r="P287" s="564"/>
      <c r="Q287" s="484">
        <f>SUMIFS(BV_Data_An_Prec!$AN:$AN,BV_Data_An_Prec!$AP:$AP,$B287,BV_Data_An_Prec!$AQ:$AQ,$C287,BV_Data_An_Prec!$AR:$AR,$L$2)</f>
        <v>-58192.31</v>
      </c>
      <c r="R287" s="471"/>
      <c r="S287" s="476">
        <f t="shared" si="66"/>
        <v>109434.53</v>
      </c>
      <c r="T287" s="48"/>
      <c r="U287" s="48"/>
      <c r="V287" s="48"/>
      <c r="W287" s="48"/>
      <c r="X287" s="48"/>
      <c r="Y287" s="48"/>
      <c r="Z287" s="48"/>
      <c r="AA287" s="48"/>
      <c r="AB287" s="48"/>
      <c r="AC287" s="48"/>
      <c r="AD287" s="48"/>
      <c r="AE287" s="48"/>
      <c r="AF287" s="48"/>
      <c r="AG287" s="48"/>
      <c r="AH287" s="48"/>
      <c r="AI287" s="48"/>
      <c r="AJ287" s="48"/>
      <c r="AK287" s="48"/>
      <c r="AL287" s="48"/>
      <c r="AM287" s="48"/>
      <c r="AN287" s="48"/>
    </row>
    <row r="288" ht="15.75" customHeight="1">
      <c r="A288" s="5" t="str">
        <f t="shared" si="55"/>
        <v>ServiceInformatique</v>
      </c>
      <c r="B288" s="48" t="s">
        <v>161</v>
      </c>
      <c r="C288" s="480" t="s">
        <v>131</v>
      </c>
      <c r="D288" s="546"/>
      <c r="E288" s="48"/>
      <c r="F288" s="481" t="str">
        <f t="array" ref="F288">+SUMPRODUCT(('Budget original'!$A$8:$A$501=$A288)*('Budget original'!$C$3:$AO$3=F$2),'Budget original'!$C$8:$AO$501)</f>
        <v>#N/A</v>
      </c>
      <c r="G288" s="547"/>
      <c r="H288" s="48"/>
      <c r="I288" s="481"/>
      <c r="J288" s="480"/>
      <c r="K288" s="48"/>
      <c r="L288" s="523">
        <f>SUMIFS(BV_Data_An_Cour!$AN:$AN,BV_Data_An_Cour!$AP:$AP,$B288,BV_Data_An_Cour!$AQ:$AQ,$C288,BV_Data_An_Cour!$AR:$AR,$L$2)</f>
        <v>27414.22</v>
      </c>
      <c r="M288" s="480"/>
      <c r="N288" s="484" t="str">
        <f t="shared" si="65"/>
        <v>#N/A</v>
      </c>
      <c r="O288" s="480"/>
      <c r="P288" s="48"/>
      <c r="Q288" s="523">
        <f>SUMIFS(BV_Data_An_Prec!$AN:$AN,BV_Data_An_Prec!$AP:$AP,$B288,BV_Data_An_Prec!$AQ:$AQ,$C288,BV_Data_An_Prec!$AR:$AR,$L$2)</f>
        <v>23840.51</v>
      </c>
      <c r="R288" s="480"/>
      <c r="S288" s="484">
        <f t="shared" si="66"/>
        <v>3573.71</v>
      </c>
      <c r="T288" s="48"/>
      <c r="U288" s="48"/>
      <c r="V288" s="48"/>
      <c r="W288" s="48"/>
      <c r="X288" s="48"/>
      <c r="Y288" s="48"/>
      <c r="Z288" s="48"/>
      <c r="AA288" s="48"/>
      <c r="AB288" s="48"/>
      <c r="AC288" s="48"/>
      <c r="AD288" s="48"/>
      <c r="AE288" s="48"/>
      <c r="AF288" s="48"/>
      <c r="AG288" s="48"/>
      <c r="AH288" s="48"/>
      <c r="AI288" s="48"/>
      <c r="AJ288" s="48"/>
      <c r="AK288" s="48"/>
      <c r="AL288" s="48"/>
      <c r="AM288" s="48"/>
      <c r="AN288" s="48"/>
    </row>
    <row r="289" ht="15.75" customHeight="1">
      <c r="A289" s="5" t="str">
        <f t="shared" si="55"/>
        <v>ServiceFrais de déplacement</v>
      </c>
      <c r="B289" s="48" t="s">
        <v>161</v>
      </c>
      <c r="C289" s="480" t="s">
        <v>132</v>
      </c>
      <c r="D289" s="546"/>
      <c r="E289" s="48"/>
      <c r="F289" s="481" t="str">
        <f t="array" ref="F289">+SUMPRODUCT(('Budget original'!$A$8:$A$501=$A289)*('Budget original'!$C$3:$AO$3=F$2),'Budget original'!$C$8:$AO$501)</f>
        <v>#N/A</v>
      </c>
      <c r="G289" s="547"/>
      <c r="H289" s="48"/>
      <c r="I289" s="481"/>
      <c r="J289" s="480"/>
      <c r="K289" s="48"/>
      <c r="L289" s="484">
        <f>SUMIFS(BV_Data_An_Cour!$AN:$AN,BV_Data_An_Cour!$AP:$AP,$B289,BV_Data_An_Cour!$AQ:$AQ,$C289,BV_Data_An_Cour!$AR:$AR,$L$2)</f>
        <v>21450.21</v>
      </c>
      <c r="M289" s="480"/>
      <c r="N289" s="484" t="str">
        <f t="shared" si="65"/>
        <v>#N/A</v>
      </c>
      <c r="O289" s="480"/>
      <c r="P289" s="48"/>
      <c r="Q289" s="484">
        <f>SUMIFS(BV_Data_An_Prec!$AN:$AN,BV_Data_An_Prec!$AP:$AP,$B289,BV_Data_An_Prec!$AQ:$AQ,$C289,BV_Data_An_Prec!$AR:$AR,$L$2)</f>
        <v>32478.89</v>
      </c>
      <c r="R289" s="480"/>
      <c r="S289" s="484">
        <f t="shared" si="66"/>
        <v>-11028.68</v>
      </c>
      <c r="T289" s="48"/>
      <c r="U289" s="48"/>
      <c r="V289" s="48"/>
      <c r="W289" s="48"/>
      <c r="X289" s="48"/>
      <c r="Y289" s="48"/>
      <c r="Z289" s="48"/>
      <c r="AA289" s="48"/>
      <c r="AB289" s="48"/>
      <c r="AC289" s="48"/>
      <c r="AD289" s="48"/>
      <c r="AE289" s="48"/>
      <c r="AF289" s="48"/>
      <c r="AG289" s="48"/>
      <c r="AH289" s="48"/>
      <c r="AI289" s="48"/>
      <c r="AJ289" s="48"/>
      <c r="AK289" s="48"/>
      <c r="AL289" s="48"/>
      <c r="AM289" s="48"/>
      <c r="AN289" s="48"/>
    </row>
    <row r="290" ht="15.75" customHeight="1">
      <c r="A290" s="5" t="str">
        <f t="shared" si="55"/>
        <v>ServiceServices extérieurs</v>
      </c>
      <c r="B290" s="48" t="s">
        <v>161</v>
      </c>
      <c r="C290" s="471" t="s">
        <v>133</v>
      </c>
      <c r="D290" s="549"/>
      <c r="E290" s="564"/>
      <c r="F290" s="473" t="str">
        <f t="array" ref="F290">+SUMPRODUCT(('Budget original'!$A$8:$A$501=$A290)*('Budget original'!$C$3:$AO$3=F$2),'Budget original'!$C$8:$AO$501)</f>
        <v>#N/A</v>
      </c>
      <c r="G290" s="550"/>
      <c r="H290" s="564"/>
      <c r="I290" s="473"/>
      <c r="J290" s="471"/>
      <c r="K290" s="564"/>
      <c r="L290" s="484">
        <f>SUMIFS(BV_Data_An_Cour!$AN:$AN,BV_Data_An_Cour!$AP:$AP,$B290,BV_Data_An_Cour!$AQ:$AQ,$C290,BV_Data_An_Cour!$AR:$AR,$L$2)</f>
        <v>110126.47</v>
      </c>
      <c r="M290" s="471"/>
      <c r="N290" s="476" t="str">
        <f t="shared" si="65"/>
        <v>#N/A</v>
      </c>
      <c r="O290" s="471"/>
      <c r="P290" s="564"/>
      <c r="Q290" s="484">
        <f>SUMIFS(BV_Data_An_Prec!$AN:$AN,BV_Data_An_Prec!$AP:$AP,$B290,BV_Data_An_Prec!$AQ:$AQ,$C290,BV_Data_An_Prec!$AR:$AR,$L$2)</f>
        <v>112428.12</v>
      </c>
      <c r="R290" s="471"/>
      <c r="S290" s="476">
        <f t="shared" si="66"/>
        <v>-2301.65</v>
      </c>
      <c r="T290" s="48"/>
      <c r="U290" s="40"/>
      <c r="V290" s="48"/>
      <c r="W290" s="48"/>
      <c r="X290" s="48"/>
      <c r="Y290" s="48"/>
      <c r="Z290" s="48"/>
      <c r="AA290" s="48"/>
      <c r="AB290" s="48"/>
      <c r="AC290" s="48"/>
      <c r="AD290" s="48"/>
      <c r="AE290" s="48"/>
      <c r="AF290" s="48"/>
      <c r="AG290" s="48"/>
      <c r="AH290" s="48"/>
      <c r="AI290" s="48"/>
      <c r="AJ290" s="48"/>
      <c r="AK290" s="48"/>
      <c r="AL290" s="48"/>
      <c r="AM290" s="48"/>
      <c r="AN290" s="48"/>
    </row>
    <row r="291" ht="15.75" customHeight="1">
      <c r="A291" s="5" t="str">
        <f t="shared" si="55"/>
        <v>ServiceFournitures d'atelier</v>
      </c>
      <c r="B291" s="48" t="s">
        <v>161</v>
      </c>
      <c r="C291" s="480" t="s">
        <v>173</v>
      </c>
      <c r="D291" s="546"/>
      <c r="E291" s="48"/>
      <c r="F291" s="481" t="str">
        <f t="array" ref="F291">+SUMPRODUCT(('Budget original'!$A$8:$A$501=$A291)*('Budget original'!$C$3:$AO$3=F$2),'Budget original'!$C$8:$AO$501)</f>
        <v>#N/A</v>
      </c>
      <c r="G291" s="547"/>
      <c r="H291" s="48"/>
      <c r="I291" s="481"/>
      <c r="J291" s="480"/>
      <c r="K291" s="48"/>
      <c r="L291" s="523">
        <f>SUMIFS(BV_Data_An_Cour!$AN:$AN,BV_Data_An_Cour!$AP:$AP,$B291,BV_Data_An_Cour!$AQ:$AQ,$C291,BV_Data_An_Cour!$AR:$AR,$L$2)</f>
        <v>0</v>
      </c>
      <c r="M291" s="480"/>
      <c r="N291" s="484" t="str">
        <f t="shared" si="65"/>
        <v>#N/A</v>
      </c>
      <c r="O291" s="480"/>
      <c r="P291" s="48"/>
      <c r="Q291" s="523">
        <f>SUMIFS(BV_Data_An_Prec!$AN:$AN,BV_Data_An_Prec!$AP:$AP,$B291,BV_Data_An_Prec!$AQ:$AQ,$C291,BV_Data_An_Prec!$AR:$AR,$L$2)</f>
        <v>0</v>
      </c>
      <c r="R291" s="480"/>
      <c r="S291" s="484">
        <f t="shared" si="66"/>
        <v>0</v>
      </c>
      <c r="T291" s="48"/>
      <c r="U291" s="48"/>
      <c r="V291" s="48"/>
      <c r="W291" s="48"/>
      <c r="X291" s="48"/>
      <c r="Y291" s="48"/>
      <c r="Z291" s="48"/>
      <c r="AA291" s="48"/>
      <c r="AB291" s="48"/>
      <c r="AC291" s="48"/>
      <c r="AD291" s="48"/>
      <c r="AE291" s="48"/>
      <c r="AF291" s="48"/>
      <c r="AG291" s="48"/>
      <c r="AH291" s="48"/>
      <c r="AI291" s="48"/>
      <c r="AJ291" s="48"/>
      <c r="AK291" s="48"/>
      <c r="AL291" s="48"/>
      <c r="AM291" s="48"/>
      <c r="AN291" s="48"/>
    </row>
    <row r="292" ht="15.75" customHeight="1">
      <c r="A292" s="5" t="str">
        <f t="shared" si="55"/>
        <v>ServiceFournitures autres</v>
      </c>
      <c r="B292" s="48" t="s">
        <v>161</v>
      </c>
      <c r="C292" s="480" t="s">
        <v>134</v>
      </c>
      <c r="D292" s="546"/>
      <c r="E292" s="48"/>
      <c r="F292" s="481" t="str">
        <f t="array" ref="F292">+SUMPRODUCT(('Budget original'!$A$8:$A$501=$A292)*('Budget original'!$C$3:$AO$3=F$2),'Budget original'!$C$8:$AO$501)</f>
        <v>#N/A</v>
      </c>
      <c r="G292" s="547"/>
      <c r="H292" s="48"/>
      <c r="I292" s="481"/>
      <c r="J292" s="480"/>
      <c r="K292" s="48"/>
      <c r="L292" s="484">
        <f>SUMIFS(BV_Data_An_Cour!$AN:$AN,BV_Data_An_Cour!$AP:$AP,$B292,BV_Data_An_Cour!$AQ:$AQ,$C292,BV_Data_An_Cour!$AR:$AR,$L$2)</f>
        <v>46080.48</v>
      </c>
      <c r="M292" s="480"/>
      <c r="N292" s="484" t="str">
        <f t="shared" si="65"/>
        <v>#N/A</v>
      </c>
      <c r="O292" s="480"/>
      <c r="P292" s="48"/>
      <c r="Q292" s="484">
        <f>SUMIFS(BV_Data_An_Prec!$AN:$AN,BV_Data_An_Prec!$AP:$AP,$B292,BV_Data_An_Prec!$AQ:$AQ,$C292,BV_Data_An_Prec!$AR:$AR,$L$2)</f>
        <v>38536.49</v>
      </c>
      <c r="R292" s="480"/>
      <c r="S292" s="484">
        <f t="shared" si="66"/>
        <v>7543.99</v>
      </c>
      <c r="T292" s="48"/>
      <c r="U292" s="48"/>
      <c r="V292" s="48"/>
      <c r="W292" s="48"/>
      <c r="X292" s="48"/>
      <c r="Y292" s="48"/>
      <c r="Z292" s="48"/>
      <c r="AA292" s="48"/>
      <c r="AB292" s="48"/>
      <c r="AC292" s="48"/>
      <c r="AD292" s="48"/>
      <c r="AE292" s="48"/>
      <c r="AF292" s="48"/>
      <c r="AG292" s="48"/>
      <c r="AH292" s="48"/>
      <c r="AI292" s="48"/>
      <c r="AJ292" s="48"/>
      <c r="AK292" s="48"/>
      <c r="AL292" s="48"/>
      <c r="AM292" s="48"/>
      <c r="AN292" s="48"/>
    </row>
    <row r="293" ht="15.75" customHeight="1">
      <c r="A293" s="5" t="str">
        <f t="shared" si="55"/>
        <v>ServiceUniformes</v>
      </c>
      <c r="B293" s="48" t="s">
        <v>161</v>
      </c>
      <c r="C293" s="480" t="s">
        <v>135</v>
      </c>
      <c r="D293" s="546"/>
      <c r="E293" s="48"/>
      <c r="F293" s="481" t="str">
        <f t="array" ref="F293">+SUMPRODUCT(('Budget original'!$A$8:$A$501=$A293)*('Budget original'!$C$3:$AO$3=F$2),'Budget original'!$C$8:$AO$501)</f>
        <v>#N/A</v>
      </c>
      <c r="G293" s="547"/>
      <c r="H293" s="48"/>
      <c r="I293" s="481"/>
      <c r="J293" s="480"/>
      <c r="K293" s="48"/>
      <c r="L293" s="484">
        <f>SUMIFS(BV_Data_An_Cour!$AN:$AN,BV_Data_An_Cour!$AP:$AP,$B293,BV_Data_An_Cour!$AQ:$AQ,$C293,BV_Data_An_Cour!$AR:$AR,$L$2)</f>
        <v>3040.34</v>
      </c>
      <c r="M293" s="480"/>
      <c r="N293" s="484" t="str">
        <f t="shared" si="65"/>
        <v>#N/A</v>
      </c>
      <c r="O293" s="480"/>
      <c r="P293" s="48"/>
      <c r="Q293" s="484">
        <f>SUMIFS(BV_Data_An_Prec!$AN:$AN,BV_Data_An_Prec!$AP:$AP,$B293,BV_Data_An_Prec!$AQ:$AQ,$C293,BV_Data_An_Prec!$AR:$AR,$L$2)</f>
        <v>0</v>
      </c>
      <c r="R293" s="480"/>
      <c r="S293" s="484">
        <f t="shared" si="66"/>
        <v>3040.34</v>
      </c>
      <c r="T293" s="48"/>
      <c r="U293" s="48"/>
      <c r="V293" s="48"/>
      <c r="W293" s="48"/>
      <c r="X293" s="48"/>
      <c r="Y293" s="48"/>
      <c r="Z293" s="48"/>
      <c r="AA293" s="48"/>
      <c r="AB293" s="48"/>
      <c r="AC293" s="48"/>
      <c r="AD293" s="48"/>
      <c r="AE293" s="48"/>
      <c r="AF293" s="48"/>
      <c r="AG293" s="48"/>
      <c r="AH293" s="48"/>
      <c r="AI293" s="48"/>
      <c r="AJ293" s="48"/>
      <c r="AK293" s="48"/>
      <c r="AL293" s="48"/>
      <c r="AM293" s="48"/>
      <c r="AN293" s="48"/>
    </row>
    <row r="294" ht="15.75" customHeight="1">
      <c r="A294" s="5" t="str">
        <f t="shared" si="55"/>
        <v>ServicePapeterie</v>
      </c>
      <c r="B294" s="48" t="s">
        <v>161</v>
      </c>
      <c r="C294" s="480" t="s">
        <v>136</v>
      </c>
      <c r="D294" s="546"/>
      <c r="E294" s="48"/>
      <c r="F294" s="481" t="str">
        <f t="array" ref="F294">+SUMPRODUCT(('Budget original'!$A$8:$A$501=$A294)*('Budget original'!$C$3:$AO$3=F$2),'Budget original'!$C$8:$AO$501)</f>
        <v>#N/A</v>
      </c>
      <c r="G294" s="547"/>
      <c r="H294" s="48"/>
      <c r="I294" s="481"/>
      <c r="J294" s="480"/>
      <c r="K294" s="48"/>
      <c r="L294" s="484">
        <f>SUMIFS(BV_Data_An_Cour!$AN:$AN,BV_Data_An_Cour!$AP:$AP,$B294,BV_Data_An_Cour!$AQ:$AQ,$C294,BV_Data_An_Cour!$AR:$AR,$L$2)</f>
        <v>11351.24</v>
      </c>
      <c r="M294" s="480"/>
      <c r="N294" s="484" t="str">
        <f t="shared" si="65"/>
        <v>#N/A</v>
      </c>
      <c r="O294" s="480"/>
      <c r="P294" s="483"/>
      <c r="Q294" s="484">
        <f>SUMIFS(BV_Data_An_Prec!$AN:$AN,BV_Data_An_Prec!$AP:$AP,$B294,BV_Data_An_Prec!$AQ:$AQ,$C294,BV_Data_An_Prec!$AR:$AR,$L$2)</f>
        <v>12536.21</v>
      </c>
      <c r="R294" s="480"/>
      <c r="S294" s="484">
        <f t="shared" si="66"/>
        <v>-1184.97</v>
      </c>
      <c r="T294" s="48"/>
      <c r="U294" s="48"/>
      <c r="V294" s="48"/>
      <c r="W294" s="48"/>
      <c r="X294" s="48"/>
      <c r="Y294" s="48"/>
      <c r="Z294" s="48"/>
      <c r="AA294" s="48"/>
      <c r="AB294" s="48"/>
      <c r="AC294" s="48"/>
      <c r="AD294" s="48"/>
      <c r="AE294" s="48"/>
      <c r="AF294" s="48"/>
      <c r="AG294" s="48"/>
      <c r="AH294" s="48"/>
      <c r="AI294" s="48"/>
      <c r="AJ294" s="48"/>
      <c r="AK294" s="48"/>
      <c r="AL294" s="48"/>
      <c r="AM294" s="48"/>
      <c r="AN294" s="48"/>
    </row>
    <row r="295" ht="15.75" customHeight="1">
      <c r="A295" s="5" t="str">
        <f t="shared" si="55"/>
        <v>ServiceTéléphone</v>
      </c>
      <c r="B295" s="48" t="s">
        <v>161</v>
      </c>
      <c r="C295" s="480" t="s">
        <v>137</v>
      </c>
      <c r="D295" s="546"/>
      <c r="E295" s="48"/>
      <c r="F295" s="481" t="str">
        <f t="array" ref="F295">+SUMPRODUCT(('Budget original'!$A$8:$A$501=$A295)*('Budget original'!$C$3:$AO$3=F$2),'Budget original'!$C$8:$AO$501)</f>
        <v>#N/A</v>
      </c>
      <c r="G295" s="547"/>
      <c r="H295" s="48"/>
      <c r="I295" s="481"/>
      <c r="J295" s="480"/>
      <c r="K295" s="48"/>
      <c r="L295" s="484">
        <f>SUMIFS(BV_Data_An_Cour!$AN:$AN,BV_Data_An_Cour!$AP:$AP,$B295,BV_Data_An_Cour!$AQ:$AQ,$C295,BV_Data_An_Cour!$AR:$AR,$L$2)</f>
        <v>5010.18</v>
      </c>
      <c r="M295" s="480"/>
      <c r="N295" s="484" t="str">
        <f t="shared" si="65"/>
        <v>#N/A</v>
      </c>
      <c r="O295" s="480"/>
      <c r="P295" s="48"/>
      <c r="Q295" s="484">
        <f>SUMIFS(BV_Data_An_Prec!$AN:$AN,BV_Data_An_Prec!$AP:$AP,$B295,BV_Data_An_Prec!$AQ:$AQ,$C295,BV_Data_An_Prec!$AR:$AR,$L$2)</f>
        <v>9353.54</v>
      </c>
      <c r="R295" s="480"/>
      <c r="S295" s="484">
        <f t="shared" si="66"/>
        <v>-4343.36</v>
      </c>
      <c r="T295" s="48"/>
      <c r="U295" s="48"/>
      <c r="V295" s="48"/>
      <c r="W295" s="48"/>
      <c r="X295" s="48"/>
      <c r="Y295" s="48"/>
      <c r="Z295" s="48"/>
      <c r="AA295" s="48"/>
      <c r="AB295" s="48"/>
      <c r="AC295" s="48"/>
      <c r="AD295" s="48"/>
      <c r="AE295" s="48"/>
      <c r="AF295" s="48"/>
      <c r="AG295" s="48"/>
      <c r="AH295" s="48"/>
      <c r="AI295" s="48"/>
      <c r="AJ295" s="48"/>
      <c r="AK295" s="48"/>
      <c r="AL295" s="48"/>
      <c r="AM295" s="48"/>
      <c r="AN295" s="48"/>
    </row>
    <row r="296" ht="15.75" customHeight="1">
      <c r="A296" s="5" t="str">
        <f t="shared" si="55"/>
        <v>ServiceFrais postaux</v>
      </c>
      <c r="B296" s="48" t="s">
        <v>161</v>
      </c>
      <c r="C296" s="480" t="s">
        <v>138</v>
      </c>
      <c r="D296" s="546"/>
      <c r="E296" s="48"/>
      <c r="F296" s="481" t="str">
        <f t="array" ref="F296">+SUMPRODUCT(('Budget original'!$A$8:$A$501=$A296)*('Budget original'!$C$3:$AO$3=F$2),'Budget original'!$C$8:$AO$501)</f>
        <v>#N/A</v>
      </c>
      <c r="G296" s="547"/>
      <c r="H296" s="48"/>
      <c r="I296" s="481"/>
      <c r="J296" s="480"/>
      <c r="K296" s="48"/>
      <c r="L296" s="484">
        <f>SUMIFS(BV_Data_An_Cour!$AN:$AN,BV_Data_An_Cour!$AP:$AP,$B296,BV_Data_An_Cour!$AQ:$AQ,$C296,BV_Data_An_Cour!$AR:$AR,$L$2)</f>
        <v>9718.14</v>
      </c>
      <c r="M296" s="480"/>
      <c r="N296" s="484" t="str">
        <f t="shared" si="65"/>
        <v>#N/A</v>
      </c>
      <c r="O296" s="480"/>
      <c r="P296" s="48"/>
      <c r="Q296" s="484">
        <f>SUMIFS(BV_Data_An_Prec!$AN:$AN,BV_Data_An_Prec!$AP:$AP,$B296,BV_Data_An_Prec!$AQ:$AQ,$C296,BV_Data_An_Prec!$AR:$AR,$L$2)</f>
        <v>6122</v>
      </c>
      <c r="R296" s="480"/>
      <c r="S296" s="484">
        <f t="shared" si="66"/>
        <v>3596.14</v>
      </c>
      <c r="T296" s="48"/>
      <c r="U296" s="48"/>
      <c r="V296" s="48"/>
      <c r="W296" s="48"/>
      <c r="X296" s="48"/>
      <c r="Y296" s="48"/>
      <c r="Z296" s="48"/>
      <c r="AA296" s="48"/>
      <c r="AB296" s="48"/>
      <c r="AC296" s="48"/>
      <c r="AD296" s="48"/>
      <c r="AE296" s="48"/>
      <c r="AF296" s="48"/>
      <c r="AG296" s="48"/>
      <c r="AH296" s="48"/>
      <c r="AI296" s="48"/>
      <c r="AJ296" s="48"/>
      <c r="AK296" s="48"/>
      <c r="AL296" s="48"/>
      <c r="AM296" s="48"/>
      <c r="AN296" s="48"/>
    </row>
    <row r="297" ht="15.75" customHeight="1">
      <c r="A297" s="5" t="str">
        <f t="shared" si="55"/>
        <v>ServiceDivers</v>
      </c>
      <c r="B297" s="48" t="s">
        <v>161</v>
      </c>
      <c r="C297" s="480" t="s">
        <v>139</v>
      </c>
      <c r="D297" s="546"/>
      <c r="E297" s="48"/>
      <c r="F297" s="481" t="str">
        <f t="array" ref="F297">+SUMPRODUCT(('Budget original'!$A$8:$A$501=$A297)*('Budget original'!$C$3:$AO$3=F$2),'Budget original'!$C$8:$AO$501)</f>
        <v>#N/A</v>
      </c>
      <c r="G297" s="547"/>
      <c r="H297" s="48"/>
      <c r="I297" s="481"/>
      <c r="J297" s="480"/>
      <c r="K297" s="48"/>
      <c r="L297" s="484">
        <f>SUMIFS(BV_Data_An_Cour!$AN:$AN,BV_Data_An_Cour!$AP:$AP,$B297,BV_Data_An_Cour!$AQ:$AQ,$C297,BV_Data_An_Cour!$AR:$AR,$L$2)</f>
        <v>10079.23</v>
      </c>
      <c r="M297" s="480"/>
      <c r="N297" s="484" t="str">
        <f t="shared" si="65"/>
        <v>#N/A</v>
      </c>
      <c r="O297" s="480"/>
      <c r="P297" s="48"/>
      <c r="Q297" s="484">
        <f>SUMIFS(BV_Data_An_Prec!$AN:$AN,BV_Data_An_Prec!$AP:$AP,$B297,BV_Data_An_Prec!$AQ:$AQ,$C297,BV_Data_An_Prec!$AR:$AR,$L$2)</f>
        <v>10541.63</v>
      </c>
      <c r="R297" s="480"/>
      <c r="S297" s="484">
        <f t="shared" si="66"/>
        <v>-462.4</v>
      </c>
      <c r="T297" s="48"/>
      <c r="U297" s="48"/>
      <c r="V297" s="48"/>
      <c r="W297" s="48"/>
      <c r="X297" s="48"/>
      <c r="Y297" s="48"/>
      <c r="Z297" s="48"/>
      <c r="AA297" s="48"/>
      <c r="AB297" s="48"/>
      <c r="AC297" s="48"/>
      <c r="AD297" s="48"/>
      <c r="AE297" s="48"/>
      <c r="AF297" s="48"/>
      <c r="AG297" s="48"/>
      <c r="AH297" s="48"/>
      <c r="AI297" s="48"/>
      <c r="AJ297" s="48"/>
      <c r="AK297" s="48"/>
      <c r="AL297" s="48"/>
      <c r="AM297" s="48"/>
      <c r="AN297" s="48"/>
    </row>
    <row r="298" ht="15.75" customHeight="1">
      <c r="A298" s="5" t="str">
        <f t="shared" si="55"/>
        <v>ServiceFormation</v>
      </c>
      <c r="B298" s="48" t="s">
        <v>161</v>
      </c>
      <c r="C298" s="480" t="s">
        <v>140</v>
      </c>
      <c r="D298" s="546"/>
      <c r="E298" s="48"/>
      <c r="F298" s="481" t="str">
        <f t="array" ref="F298">+SUMPRODUCT(('Budget original'!$A$8:$A$501=$A298)*('Budget original'!$C$3:$AO$3=F$2),'Budget original'!$C$8:$AO$501)</f>
        <v>#N/A</v>
      </c>
      <c r="G298" s="547"/>
      <c r="H298" s="48"/>
      <c r="I298" s="481"/>
      <c r="J298" s="480"/>
      <c r="K298" s="48"/>
      <c r="L298" s="484">
        <f>SUMIFS(BV_Data_An_Cour!$AN:$AN,BV_Data_An_Cour!$AP:$AP,$B298,BV_Data_An_Cour!$AQ:$AQ,$C298,BV_Data_An_Cour!$AR:$AR,$L$2)</f>
        <v>18542.64</v>
      </c>
      <c r="M298" s="480"/>
      <c r="N298" s="484" t="str">
        <f t="shared" si="65"/>
        <v>#N/A</v>
      </c>
      <c r="O298" s="480"/>
      <c r="P298" s="48"/>
      <c r="Q298" s="484">
        <f>SUMIFS(BV_Data_An_Prec!$AN:$AN,BV_Data_An_Prec!$AP:$AP,$B298,BV_Data_An_Prec!$AQ:$AQ,$C298,BV_Data_An_Prec!$AR:$AR,$L$2)</f>
        <v>21332.08</v>
      </c>
      <c r="R298" s="480"/>
      <c r="S298" s="484">
        <f t="shared" si="66"/>
        <v>-2789.44</v>
      </c>
      <c r="T298" s="48"/>
      <c r="X298" s="48"/>
      <c r="Y298" s="48"/>
      <c r="Z298" s="48"/>
      <c r="AA298" s="48"/>
      <c r="AB298" s="48"/>
      <c r="AC298" s="48"/>
      <c r="AD298" s="48"/>
      <c r="AE298" s="48"/>
      <c r="AF298" s="48"/>
      <c r="AG298" s="48"/>
      <c r="AH298" s="48"/>
      <c r="AI298" s="48"/>
      <c r="AJ298" s="48"/>
      <c r="AK298" s="48"/>
      <c r="AL298" s="48"/>
      <c r="AM298" s="48"/>
      <c r="AN298" s="48"/>
    </row>
    <row r="299" ht="15.75" customHeight="1">
      <c r="A299" s="5" t="str">
        <f t="shared" si="55"/>
        <v>ServiceFrais bancaires</v>
      </c>
      <c r="B299" s="48" t="s">
        <v>161</v>
      </c>
      <c r="C299" s="480" t="s">
        <v>141</v>
      </c>
      <c r="D299" s="546"/>
      <c r="E299" s="48"/>
      <c r="F299" s="481" t="str">
        <f t="array" ref="F299">+SUMPRODUCT(('Budget original'!$A$8:$A$501=$A299)*('Budget original'!$C$3:$AO$3=F$2),'Budget original'!$C$8:$AO$501)</f>
        <v>#N/A</v>
      </c>
      <c r="G299" s="547"/>
      <c r="H299" s="48"/>
      <c r="I299" s="481"/>
      <c r="J299" s="480"/>
      <c r="K299" s="48"/>
      <c r="L299" s="484">
        <f>SUMIFS(BV_Data_An_Cour!$AN:$AN,BV_Data_An_Cour!$AP:$AP,$B299,BV_Data_An_Cour!$AQ:$AQ,$C299,BV_Data_An_Cour!$AR:$AR,L$2)</f>
        <v>13778.31</v>
      </c>
      <c r="M299" s="480"/>
      <c r="N299" s="484" t="str">
        <f t="shared" si="65"/>
        <v>#N/A</v>
      </c>
      <c r="O299" s="480"/>
      <c r="P299" s="48"/>
      <c r="Q299" s="484">
        <f>SUMIFS(BV_Data_An_Prec!$AN:$AN,BV_Data_An_Prec!$AP:$AP,$B299,BV_Data_An_Prec!$AQ:$AQ,$C299,BV_Data_An_Prec!$AR:$AR,Q$2)</f>
        <v>3203.64</v>
      </c>
      <c r="R299" s="480"/>
      <c r="S299" s="484">
        <f t="shared" si="66"/>
        <v>10574.67</v>
      </c>
      <c r="T299" s="48"/>
      <c r="X299" s="48"/>
      <c r="Y299" s="48"/>
      <c r="Z299" s="48"/>
      <c r="AA299" s="48"/>
      <c r="AB299" s="48"/>
      <c r="AC299" s="48"/>
      <c r="AD299" s="48"/>
      <c r="AE299" s="48"/>
      <c r="AF299" s="48"/>
      <c r="AG299" s="48"/>
      <c r="AH299" s="48"/>
      <c r="AI299" s="48"/>
      <c r="AJ299" s="48"/>
      <c r="AK299" s="48"/>
      <c r="AL299" s="48"/>
      <c r="AM299" s="48"/>
      <c r="AN299" s="48"/>
    </row>
    <row r="300" ht="20.25" hidden="1" customHeight="1">
      <c r="A300" s="5" t="str">
        <f t="shared" si="55"/>
        <v>Service[...]</v>
      </c>
      <c r="B300" s="48" t="s">
        <v>161</v>
      </c>
      <c r="C300" s="480" t="s">
        <v>56</v>
      </c>
      <c r="D300" s="546"/>
      <c r="E300" s="48"/>
      <c r="F300" s="481" t="str">
        <f t="array" ref="F300">+SUMPRODUCT(('Budget original'!$A$8:$A$501=$A300)*('Budget original'!$C$3:$AO$3=F$2),'Budget original'!$C$8:$AO$501)</f>
        <v>#N/A</v>
      </c>
      <c r="G300" s="547"/>
      <c r="H300" s="48"/>
      <c r="I300" s="481"/>
      <c r="J300" s="480"/>
      <c r="K300" s="48"/>
      <c r="L300" s="484">
        <f>SUMIFS(BV_Data_An_Cour!$AN:$AN,BV_Data_An_Cour!$AP:$AP,$B300,BV_Data_An_Cour!$AQ:$AQ,$C300,BV_Data_An_Cour!$AR:$AR,$L$2)</f>
        <v>0</v>
      </c>
      <c r="M300" s="480"/>
      <c r="N300" s="484" t="str">
        <f t="shared" si="65"/>
        <v>#N/A</v>
      </c>
      <c r="O300" s="480"/>
      <c r="P300" s="48"/>
      <c r="Q300" s="484">
        <f>SUMIFS(BV_Data_An_Prec!$AN:$AN,BV_Data_An_Prec!$AP:$AP,$B300,BV_Data_An_Prec!$AQ:$AQ,$C300,BV_Data_An_Prec!$AR:$AR,$L$2)</f>
        <v>0</v>
      </c>
      <c r="R300" s="480"/>
      <c r="S300" s="484">
        <f t="shared" si="66"/>
        <v>0</v>
      </c>
      <c r="T300" s="48"/>
      <c r="U300" s="48"/>
      <c r="V300" s="48"/>
      <c r="W300" s="48"/>
      <c r="X300" s="48"/>
      <c r="Y300" s="48"/>
      <c r="Z300" s="48"/>
      <c r="AA300" s="48"/>
      <c r="AB300" s="48"/>
      <c r="AC300" s="48"/>
      <c r="AD300" s="48"/>
      <c r="AE300" s="48"/>
      <c r="AF300" s="48"/>
      <c r="AG300" s="48"/>
      <c r="AH300" s="48"/>
      <c r="AI300" s="48"/>
      <c r="AJ300" s="48"/>
      <c r="AK300" s="48"/>
      <c r="AL300" s="48"/>
      <c r="AM300" s="48"/>
      <c r="AN300" s="48"/>
    </row>
    <row r="301" ht="20.25" hidden="1" customHeight="1">
      <c r="A301" s="5" t="str">
        <f t="shared" si="55"/>
        <v>Service[...]</v>
      </c>
      <c r="B301" s="48" t="s">
        <v>161</v>
      </c>
      <c r="C301" s="480" t="s">
        <v>56</v>
      </c>
      <c r="D301" s="546"/>
      <c r="E301" s="48"/>
      <c r="F301" s="481" t="str">
        <f t="array" ref="F301">+SUMPRODUCT(('Budget original'!$A$8:$A$501=$A301)*('Budget original'!$C$3:$AO$3=F$2),'Budget original'!$C$8:$AO$501)</f>
        <v>#N/A</v>
      </c>
      <c r="G301" s="547"/>
      <c r="H301" s="48"/>
      <c r="I301" s="481"/>
      <c r="J301" s="480"/>
      <c r="K301" s="48"/>
      <c r="L301" s="484">
        <f>SUMIFS(BV_Data_An_Cour!$AN:$AN,BV_Data_An_Cour!$AP:$AP,$B301,BV_Data_An_Cour!$AQ:$AQ,$C301,BV_Data_An_Cour!$AR:$AR,$L$2)</f>
        <v>0</v>
      </c>
      <c r="M301" s="480"/>
      <c r="N301" s="484" t="str">
        <f t="shared" si="65"/>
        <v>#N/A</v>
      </c>
      <c r="O301" s="480"/>
      <c r="P301" s="48"/>
      <c r="Q301" s="484">
        <f>SUMIFS(BV_Data_An_Prec!$AN:$AN,BV_Data_An_Prec!$AP:$AP,$B301,BV_Data_An_Prec!$AQ:$AQ,$C301,BV_Data_An_Prec!$AR:$AR,$L$2)</f>
        <v>0</v>
      </c>
      <c r="R301" s="480"/>
      <c r="S301" s="484">
        <f t="shared" si="66"/>
        <v>0</v>
      </c>
      <c r="T301" s="48"/>
      <c r="U301" s="48"/>
      <c r="V301" s="48"/>
      <c r="W301" s="48"/>
      <c r="X301" s="48"/>
      <c r="Y301" s="48"/>
      <c r="Z301" s="48"/>
      <c r="AA301" s="48"/>
      <c r="AB301" s="48"/>
      <c r="AC301" s="48"/>
      <c r="AD301" s="48"/>
      <c r="AE301" s="48"/>
      <c r="AF301" s="48"/>
      <c r="AG301" s="48"/>
      <c r="AH301" s="48"/>
      <c r="AI301" s="48"/>
      <c r="AJ301" s="48"/>
      <c r="AK301" s="48"/>
      <c r="AL301" s="48"/>
      <c r="AM301" s="48"/>
      <c r="AN301" s="48"/>
    </row>
    <row r="302" ht="20.25" hidden="1" customHeight="1">
      <c r="A302" s="5" t="str">
        <f t="shared" si="55"/>
        <v>Service[...]</v>
      </c>
      <c r="B302" s="48" t="s">
        <v>161</v>
      </c>
      <c r="C302" s="480" t="s">
        <v>56</v>
      </c>
      <c r="D302" s="546"/>
      <c r="E302" s="48"/>
      <c r="F302" s="481" t="str">
        <f t="array" ref="F302">+SUMPRODUCT(('Budget original'!$A$8:$A$501=$A302)*('Budget original'!$C$3:$AO$3=F$2),'Budget original'!$C$8:$AO$501)</f>
        <v>#N/A</v>
      </c>
      <c r="G302" s="547"/>
      <c r="H302" s="48"/>
      <c r="I302" s="481"/>
      <c r="J302" s="480"/>
      <c r="K302" s="48"/>
      <c r="L302" s="484">
        <f>SUMIFS(BV_Data_An_Cour!$AN:$AN,BV_Data_An_Cour!$AP:$AP,$B302,BV_Data_An_Cour!$AQ:$AQ,$C302,BV_Data_An_Cour!$AR:$AR,$L$2)</f>
        <v>0</v>
      </c>
      <c r="M302" s="480"/>
      <c r="N302" s="484" t="str">
        <f t="shared" si="65"/>
        <v>#N/A</v>
      </c>
      <c r="O302" s="480"/>
      <c r="P302" s="48"/>
      <c r="Q302" s="484">
        <f>SUMIFS(BV_Data_An_Prec!$AN:$AN,BV_Data_An_Prec!$AP:$AP,$B302,BV_Data_An_Prec!$AQ:$AQ,$C302,BV_Data_An_Prec!$AR:$AR,$L$2)</f>
        <v>0</v>
      </c>
      <c r="R302" s="480"/>
      <c r="S302" s="484">
        <f t="shared" si="66"/>
        <v>0</v>
      </c>
      <c r="T302" s="48"/>
      <c r="U302" s="48"/>
      <c r="V302" s="48"/>
      <c r="W302" s="48"/>
      <c r="X302" s="48"/>
      <c r="Y302" s="48"/>
      <c r="Z302" s="48"/>
      <c r="AA302" s="48"/>
      <c r="AB302" s="48"/>
      <c r="AC302" s="48"/>
      <c r="AD302" s="48"/>
      <c r="AE302" s="48"/>
      <c r="AF302" s="48"/>
      <c r="AG302" s="48"/>
      <c r="AH302" s="48"/>
      <c r="AI302" s="48"/>
      <c r="AJ302" s="48"/>
      <c r="AK302" s="48"/>
      <c r="AL302" s="48"/>
      <c r="AM302" s="48"/>
      <c r="AN302" s="48"/>
    </row>
    <row r="303" ht="18.0" customHeight="1">
      <c r="A303" s="5"/>
      <c r="B303" s="48"/>
      <c r="C303" s="552" t="s">
        <v>142</v>
      </c>
      <c r="D303" s="553" t="s">
        <v>932</v>
      </c>
      <c r="E303" s="554" t="str">
        <f>F303/F$268</f>
        <v>#N/A</v>
      </c>
      <c r="F303" s="555" t="str">
        <f>+SUM(F285:F302)</f>
        <v>#N/A</v>
      </c>
      <c r="G303" s="556"/>
      <c r="H303" s="554"/>
      <c r="I303" s="555"/>
      <c r="J303" s="556" t="s">
        <v>932</v>
      </c>
      <c r="K303" s="554">
        <f>L303/L$268</f>
        <v>0.3171969393</v>
      </c>
      <c r="L303" s="555">
        <f>+SUM(L285:L302)</f>
        <v>378647.09</v>
      </c>
      <c r="M303" s="557"/>
      <c r="N303" s="555" t="str">
        <f t="shared" si="65"/>
        <v>#N/A</v>
      </c>
      <c r="O303" s="556" t="s">
        <v>932</v>
      </c>
      <c r="P303" s="554">
        <f>Q303/Q$268</f>
        <v>0.1731058764</v>
      </c>
      <c r="Q303" s="555">
        <f>+SUM(Q285:Q302)</f>
        <v>249429.54</v>
      </c>
      <c r="R303" s="558"/>
      <c r="S303" s="555">
        <f t="shared" si="66"/>
        <v>129217.55</v>
      </c>
      <c r="T303" s="48"/>
      <c r="U303" s="48"/>
      <c r="V303" s="48"/>
      <c r="W303" s="48"/>
      <c r="X303" s="48"/>
      <c r="Y303" s="48"/>
      <c r="Z303" s="48"/>
      <c r="AA303" s="48"/>
      <c r="AB303" s="48"/>
      <c r="AC303" s="48"/>
      <c r="AD303" s="48"/>
      <c r="AE303" s="48"/>
      <c r="AF303" s="48"/>
      <c r="AG303" s="48"/>
      <c r="AH303" s="48"/>
      <c r="AI303" s="48"/>
      <c r="AJ303" s="48"/>
      <c r="AK303" s="48"/>
      <c r="AL303" s="48"/>
      <c r="AM303" s="48"/>
      <c r="AN303" s="48"/>
    </row>
    <row r="304" ht="15.75" customHeight="1">
      <c r="B304" s="48"/>
      <c r="C304" s="471"/>
      <c r="D304" s="549"/>
      <c r="E304" s="564"/>
      <c r="F304" s="484"/>
      <c r="G304" s="550"/>
      <c r="H304" s="564"/>
      <c r="I304" s="484"/>
      <c r="J304" s="471"/>
      <c r="K304" s="564"/>
      <c r="L304" s="476"/>
      <c r="M304" s="471"/>
      <c r="N304" s="476"/>
      <c r="O304" s="471"/>
      <c r="P304" s="564"/>
      <c r="Q304" s="476"/>
      <c r="R304" s="471"/>
      <c r="S304" s="476"/>
      <c r="T304" s="48"/>
      <c r="U304" s="48"/>
      <c r="V304" s="48"/>
      <c r="W304" s="48"/>
      <c r="X304" s="48"/>
      <c r="Y304" s="48"/>
      <c r="Z304" s="48"/>
      <c r="AA304" s="48"/>
      <c r="AB304" s="48"/>
      <c r="AC304" s="48"/>
      <c r="AD304" s="48"/>
      <c r="AE304" s="48"/>
      <c r="AF304" s="48"/>
      <c r="AG304" s="48"/>
      <c r="AH304" s="48"/>
      <c r="AI304" s="48"/>
      <c r="AJ304" s="48"/>
      <c r="AK304" s="48"/>
      <c r="AL304" s="48"/>
      <c r="AM304" s="48"/>
      <c r="AN304" s="48"/>
    </row>
    <row r="305" ht="18.0" customHeight="1">
      <c r="A305" s="5"/>
      <c r="B305" s="48"/>
      <c r="C305" s="552" t="s">
        <v>143</v>
      </c>
      <c r="D305" s="553" t="s">
        <v>225</v>
      </c>
      <c r="E305" s="554" t="str">
        <f>F305/F$268</f>
        <v>#N/A</v>
      </c>
      <c r="F305" s="555" t="str">
        <f>F284+F303</f>
        <v>#N/A</v>
      </c>
      <c r="G305" s="556"/>
      <c r="H305" s="554"/>
      <c r="I305" s="555"/>
      <c r="J305" s="556" t="s">
        <v>225</v>
      </c>
      <c r="K305" s="554">
        <f>L305/L$268</f>
        <v>0.982712102</v>
      </c>
      <c r="L305" s="555">
        <f>L284+L303</f>
        <v>1173091.64</v>
      </c>
      <c r="M305" s="557"/>
      <c r="N305" s="555" t="str">
        <f t="shared" ref="N305:N307" si="67">L305-F305</f>
        <v>#N/A</v>
      </c>
      <c r="O305" s="556" t="s">
        <v>225</v>
      </c>
      <c r="P305" s="554">
        <f>Q305/Q$268</f>
        <v>0.8451917809</v>
      </c>
      <c r="Q305" s="555">
        <f>Q284+Q303</f>
        <v>1217843.1</v>
      </c>
      <c r="R305" s="558"/>
      <c r="S305" s="555">
        <f>L305-Q305</f>
        <v>-44751.46</v>
      </c>
      <c r="T305" s="48"/>
      <c r="U305" s="48"/>
      <c r="V305" s="48"/>
      <c r="W305" s="48"/>
      <c r="X305" s="48"/>
      <c r="Y305" s="48"/>
      <c r="Z305" s="48"/>
      <c r="AA305" s="48"/>
      <c r="AB305" s="48"/>
      <c r="AC305" s="48"/>
      <c r="AD305" s="48"/>
      <c r="AE305" s="48"/>
      <c r="AF305" s="48"/>
      <c r="AG305" s="48"/>
      <c r="AH305" s="48"/>
      <c r="AI305" s="48"/>
      <c r="AJ305" s="48"/>
      <c r="AK305" s="48"/>
      <c r="AL305" s="48"/>
      <c r="AM305" s="48"/>
      <c r="AN305" s="48"/>
    </row>
    <row r="306" ht="15.75" customHeight="1">
      <c r="B306" s="48"/>
      <c r="C306" s="480"/>
      <c r="D306" s="546"/>
      <c r="E306" s="48"/>
      <c r="F306" s="484"/>
      <c r="G306" s="547"/>
      <c r="H306" s="48"/>
      <c r="I306" s="484"/>
      <c r="J306" s="480"/>
      <c r="K306" s="48"/>
      <c r="L306" s="484"/>
      <c r="M306" s="480"/>
      <c r="N306" s="484">
        <f t="shared" si="67"/>
        <v>0</v>
      </c>
      <c r="O306" s="480"/>
      <c r="P306" s="48"/>
      <c r="Q306" s="484"/>
      <c r="R306" s="480"/>
      <c r="S306" s="484"/>
      <c r="T306" s="48"/>
      <c r="U306" s="48"/>
      <c r="V306" s="48"/>
      <c r="W306" s="48"/>
      <c r="X306" s="48"/>
      <c r="Y306" s="48"/>
      <c r="Z306" s="48"/>
      <c r="AA306" s="48"/>
      <c r="AB306" s="48"/>
      <c r="AC306" s="48"/>
      <c r="AD306" s="48"/>
      <c r="AE306" s="48"/>
      <c r="AF306" s="48"/>
      <c r="AG306" s="48"/>
      <c r="AH306" s="48"/>
      <c r="AI306" s="48"/>
      <c r="AJ306" s="48"/>
      <c r="AK306" s="48"/>
      <c r="AL306" s="48"/>
      <c r="AM306" s="48"/>
      <c r="AN306" s="48"/>
    </row>
    <row r="307" ht="18.0" customHeight="1">
      <c r="A307" s="5"/>
      <c r="B307" s="48"/>
      <c r="C307" s="579" t="s">
        <v>150</v>
      </c>
      <c r="D307" s="580"/>
      <c r="E307" s="581"/>
      <c r="F307" s="582" t="str">
        <f>F268-F305</f>
        <v>#N/A</v>
      </c>
      <c r="G307" s="583"/>
      <c r="H307" s="581"/>
      <c r="I307" s="582"/>
      <c r="J307" s="583"/>
      <c r="K307" s="581"/>
      <c r="L307" s="582">
        <f>L268-L305</f>
        <v>20637.06</v>
      </c>
      <c r="M307" s="584"/>
      <c r="N307" s="582" t="str">
        <f t="shared" si="67"/>
        <v>#N/A</v>
      </c>
      <c r="O307" s="583"/>
      <c r="P307" s="581"/>
      <c r="Q307" s="582">
        <f>Q268-Q305</f>
        <v>223064.31</v>
      </c>
      <c r="R307" s="585"/>
      <c r="S307" s="582">
        <f>L307-Q307</f>
        <v>-202427.25</v>
      </c>
      <c r="T307" s="48"/>
      <c r="U307" s="48"/>
      <c r="V307" s="48"/>
      <c r="W307" s="48"/>
      <c r="X307" s="48"/>
      <c r="Y307" s="48"/>
      <c r="Z307" s="48"/>
      <c r="AA307" s="48"/>
      <c r="AB307" s="48"/>
      <c r="AC307" s="48"/>
      <c r="AD307" s="48"/>
      <c r="AE307" s="48"/>
      <c r="AF307" s="48"/>
      <c r="AG307" s="48"/>
      <c r="AH307" s="48"/>
      <c r="AI307" s="48"/>
      <c r="AJ307" s="48"/>
      <c r="AK307" s="48"/>
      <c r="AL307" s="48"/>
      <c r="AM307" s="48"/>
      <c r="AN307" s="48"/>
    </row>
    <row r="308" ht="15.75" customHeight="1">
      <c r="B308" s="48"/>
      <c r="C308" s="48"/>
      <c r="D308" s="48"/>
      <c r="E308" s="48"/>
      <c r="F308" s="48"/>
      <c r="G308" s="48"/>
      <c r="H308" s="48"/>
      <c r="I308" s="48"/>
      <c r="J308" s="48"/>
      <c r="K308" s="48"/>
      <c r="L308" s="483"/>
      <c r="M308" s="483"/>
      <c r="N308" s="48"/>
      <c r="O308" s="483"/>
      <c r="P308" s="483"/>
      <c r="Q308" s="483"/>
      <c r="R308" s="48"/>
      <c r="S308" s="48"/>
      <c r="T308" s="48"/>
      <c r="U308" s="48"/>
      <c r="V308" s="48"/>
      <c r="W308" s="48"/>
      <c r="X308" s="48"/>
      <c r="Y308" s="48"/>
      <c r="Z308" s="48"/>
      <c r="AA308" s="48"/>
      <c r="AB308" s="48"/>
      <c r="AC308" s="48"/>
      <c r="AD308" s="48"/>
      <c r="AE308" s="48"/>
      <c r="AF308" s="48"/>
      <c r="AG308" s="48"/>
      <c r="AH308" s="48"/>
      <c r="AI308" s="48"/>
      <c r="AJ308" s="48"/>
      <c r="AK308" s="48"/>
      <c r="AL308" s="48"/>
      <c r="AM308" s="48"/>
      <c r="AN308" s="48"/>
    </row>
    <row r="309" ht="15.75" customHeight="1">
      <c r="B309" s="48"/>
      <c r="C309" s="40"/>
      <c r="D309" s="40"/>
      <c r="E309" s="40"/>
      <c r="F309" s="40"/>
      <c r="G309" s="40"/>
      <c r="H309" s="40"/>
      <c r="I309" s="40"/>
      <c r="J309" s="40"/>
      <c r="K309" s="40"/>
      <c r="L309" s="540"/>
      <c r="M309" s="540"/>
      <c r="N309" s="40"/>
      <c r="O309" s="540"/>
      <c r="P309" s="40"/>
      <c r="Q309" s="540"/>
      <c r="R309" s="40"/>
      <c r="S309" s="40"/>
      <c r="T309" s="40"/>
      <c r="U309" s="40"/>
      <c r="V309" s="48"/>
      <c r="W309" s="48"/>
      <c r="X309" s="48"/>
      <c r="Y309" s="48"/>
      <c r="Z309" s="48"/>
      <c r="AA309" s="48"/>
      <c r="AB309" s="48"/>
      <c r="AC309" s="48"/>
      <c r="AD309" s="48"/>
      <c r="AE309" s="48"/>
      <c r="AF309" s="48"/>
      <c r="AG309" s="48"/>
      <c r="AH309" s="48"/>
      <c r="AI309" s="48"/>
      <c r="AJ309" s="48"/>
      <c r="AK309" s="48"/>
      <c r="AL309" s="48"/>
      <c r="AM309" s="48"/>
      <c r="AN309" s="48"/>
    </row>
    <row r="310" ht="33.0" customHeight="1">
      <c r="B310" s="48"/>
      <c r="C310" s="450" t="str">
        <f>C1</f>
        <v>Ste-Marie Auto</v>
      </c>
      <c r="D310" s="451"/>
      <c r="E310" s="452"/>
      <c r="F310" s="451"/>
      <c r="G310" s="451"/>
      <c r="H310" s="450"/>
      <c r="I310" s="451"/>
      <c r="J310" s="450"/>
      <c r="K310" s="453" t="s">
        <v>174</v>
      </c>
      <c r="L310" s="451"/>
      <c r="M310" s="451"/>
      <c r="N310" s="454"/>
      <c r="O310" s="450"/>
      <c r="P310" s="451"/>
      <c r="Q310" s="450"/>
      <c r="R310" s="451"/>
      <c r="S310" s="455" t="str">
        <f>$S$1</f>
        <v>Réalisé AAD, Septembre 2026</v>
      </c>
      <c r="T310" s="796"/>
      <c r="U310" s="38"/>
      <c r="V310" s="40"/>
      <c r="W310" s="40"/>
      <c r="X310" s="40"/>
      <c r="Y310" s="40"/>
      <c r="Z310" s="40"/>
      <c r="AA310" s="40"/>
      <c r="AB310" s="40"/>
      <c r="AC310" s="40"/>
      <c r="AD310" s="40"/>
      <c r="AE310" s="40"/>
      <c r="AF310" s="40"/>
      <c r="AG310" s="40"/>
      <c r="AH310" s="40"/>
      <c r="AI310" s="40"/>
      <c r="AJ310" s="40"/>
      <c r="AK310" s="40"/>
      <c r="AL310" s="40"/>
      <c r="AM310" s="40"/>
      <c r="AN310" s="40"/>
    </row>
    <row r="311" ht="24.0" customHeight="1">
      <c r="B311" s="48"/>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ht="15.75" customHeight="1">
      <c r="B312" s="48"/>
      <c r="C312" s="461"/>
      <c r="D312" s="462" t="s">
        <v>774</v>
      </c>
      <c r="E312" s="44"/>
      <c r="F312" s="45"/>
      <c r="G312" s="463"/>
      <c r="H312" s="44"/>
      <c r="I312" s="45"/>
      <c r="J312" s="463" t="s">
        <v>775</v>
      </c>
      <c r="K312" s="44"/>
      <c r="L312" s="45"/>
      <c r="M312" s="463" t="s">
        <v>776</v>
      </c>
      <c r="N312" s="45"/>
      <c r="O312" s="462" t="s">
        <v>777</v>
      </c>
      <c r="P312" s="44"/>
      <c r="Q312" s="45"/>
      <c r="R312" s="463" t="s">
        <v>778</v>
      </c>
      <c r="S312" s="45"/>
      <c r="T312" s="605"/>
      <c r="U312" s="48"/>
      <c r="V312" s="40"/>
      <c r="W312" s="40"/>
      <c r="X312" s="40"/>
      <c r="Y312" s="40"/>
      <c r="Z312" s="40"/>
      <c r="AA312" s="40"/>
      <c r="AB312" s="40"/>
      <c r="AC312" s="40"/>
      <c r="AD312" s="40"/>
      <c r="AE312" s="40"/>
      <c r="AF312" s="40"/>
      <c r="AG312" s="40"/>
      <c r="AH312" s="40"/>
      <c r="AI312" s="40"/>
      <c r="AJ312" s="40"/>
      <c r="AK312" s="40"/>
      <c r="AL312" s="40"/>
      <c r="AM312" s="40"/>
      <c r="AN312" s="40"/>
    </row>
    <row r="313" ht="15.75" customHeight="1">
      <c r="A313" s="5" t="str">
        <f t="shared" ref="A313:A322" si="68">+B313&amp;C313</f>
        <v>Carrosserie</v>
      </c>
      <c r="B313" s="48" t="s">
        <v>174</v>
      </c>
      <c r="C313" s="480"/>
      <c r="D313" s="41" t="s">
        <v>221</v>
      </c>
      <c r="E313" s="41" t="s">
        <v>222</v>
      </c>
      <c r="F313" s="611" t="s">
        <v>95</v>
      </c>
      <c r="G313" s="610"/>
      <c r="H313" s="41"/>
      <c r="I313" s="611"/>
      <c r="J313" s="610" t="s">
        <v>221</v>
      </c>
      <c r="K313" s="41" t="s">
        <v>222</v>
      </c>
      <c r="L313" s="611" t="s">
        <v>95</v>
      </c>
      <c r="M313" s="610" t="s">
        <v>221</v>
      </c>
      <c r="N313" s="611" t="s">
        <v>908</v>
      </c>
      <c r="O313" s="41" t="s">
        <v>221</v>
      </c>
      <c r="P313" s="41" t="s">
        <v>222</v>
      </c>
      <c r="Q313" s="611" t="s">
        <v>95</v>
      </c>
      <c r="R313" s="610" t="s">
        <v>909</v>
      </c>
      <c r="S313" s="611" t="s">
        <v>95</v>
      </c>
      <c r="T313" s="41"/>
      <c r="U313" s="48"/>
      <c r="V313" s="48"/>
      <c r="W313" s="48"/>
      <c r="X313" s="48"/>
      <c r="Y313" s="48"/>
      <c r="Z313" s="48"/>
      <c r="AA313" s="48"/>
      <c r="AB313" s="48"/>
      <c r="AC313" s="48"/>
      <c r="AD313" s="48"/>
      <c r="AE313" s="48"/>
      <c r="AF313" s="48"/>
      <c r="AG313" s="48"/>
      <c r="AH313" s="48"/>
      <c r="AI313" s="48"/>
      <c r="AJ313" s="48"/>
      <c r="AK313" s="48"/>
      <c r="AL313" s="48"/>
      <c r="AM313" s="48"/>
      <c r="AN313" s="48"/>
    </row>
    <row r="314" ht="15.75" customHeight="1">
      <c r="A314" s="5" t="str">
        <f t="shared" si="68"/>
        <v>Carrosserie</v>
      </c>
      <c r="B314" s="48" t="s">
        <v>174</v>
      </c>
      <c r="C314" s="480"/>
      <c r="D314" s="41"/>
      <c r="E314" s="41"/>
      <c r="F314" s="611"/>
      <c r="G314" s="610"/>
      <c r="H314" s="41"/>
      <c r="I314" s="611"/>
      <c r="J314" s="610"/>
      <c r="K314" s="481"/>
      <c r="L314" s="485"/>
      <c r="M314" s="610"/>
      <c r="N314" s="611"/>
      <c r="O314" s="41"/>
      <c r="P314" s="41"/>
      <c r="Q314" s="611"/>
      <c r="R314" s="610"/>
      <c r="S314" s="611"/>
      <c r="T314" s="41"/>
      <c r="U314" s="48"/>
      <c r="V314" s="48"/>
      <c r="W314" s="48"/>
      <c r="X314" s="48"/>
      <c r="Y314" s="48"/>
      <c r="Z314" s="48"/>
      <c r="AA314" s="48"/>
      <c r="AB314" s="48"/>
      <c r="AC314" s="48"/>
      <c r="AD314" s="48"/>
      <c r="AE314" s="48"/>
      <c r="AF314" s="48"/>
      <c r="AG314" s="48"/>
      <c r="AH314" s="48"/>
      <c r="AI314" s="48"/>
      <c r="AJ314" s="48"/>
      <c r="AK314" s="48"/>
      <c r="AL314" s="48"/>
      <c r="AM314" s="48"/>
      <c r="AN314" s="48"/>
    </row>
    <row r="315" ht="15.75" customHeight="1">
      <c r="A315" s="5" t="str">
        <f t="shared" si="68"/>
        <v>CarrosserieCarrosserie Clients</v>
      </c>
      <c r="B315" s="48" t="s">
        <v>174</v>
      </c>
      <c r="C315" s="480" t="s">
        <v>949</v>
      </c>
      <c r="D315" s="542" t="str">
        <f t="array" ref="D315">+SUMPRODUCT(('Budget original'!$A$8:$A$501=$A315)*('Budget original'!$C$3:$AO$3=D$2),'Budget original'!$C$8:$AO$501)</f>
        <v>#N/A</v>
      </c>
      <c r="E315" s="483" t="str">
        <f t="array" ref="E315">+SUMPRODUCT(('Budget original'!$A$8:$A$501=$A315)*('Budget original'!$C$3:$AO$3=E$2),'Budget original'!$C$8:$AO$501)</f>
        <v>#N/A</v>
      </c>
      <c r="F315" s="483" t="str">
        <f t="array" ref="F315">+SUMPRODUCT(('Budget original'!$A$8:$A$501=$A315)*('Budget original'!$C$3:$AO$3=F$2),'Budget original'!$C$8:$AO$501)</f>
        <v>#N/A</v>
      </c>
      <c r="G315" s="649"/>
      <c r="H315" s="483"/>
      <c r="I315" s="483"/>
      <c r="J315" s="486"/>
      <c r="K315" s="483">
        <f>-SUMIFS(BV_Data_An_Cour!$AN:$AN,BV_Data_An_Cour!$AS:$AS,"Oui",BV_Data_An_Cour!$AP:$AP,$B315,BV_Data_An_Cour!$AQ:$AQ,$C315)</f>
        <v>1221561.89</v>
      </c>
      <c r="L315" s="484">
        <f>-SUMIFS(BV_Data_An_Cour!$AN:$AN,BV_Data_An_Cour!$AP:$AP,$B315,BV_Data_An_Cour!$AQ:$AQ,$C315,BV_Data_An_Cour!$AR:$AR,$L$2)</f>
        <v>510771.31</v>
      </c>
      <c r="M315" s="515">
        <f>IFERROR((K315-E315)/E315,0)</f>
        <v>0</v>
      </c>
      <c r="N315" s="484" t="str">
        <f>L315-F315</f>
        <v>#N/A</v>
      </c>
      <c r="O315" s="486"/>
      <c r="P315" s="483">
        <f>-SUMIFS(BV_Data_An_Prec!$AN:$AN,BV_Data_An_Prec!$AS:$AS,"Oui",BV_Data_An_Prec!$AP:$AP,$B315,BV_Data_An_Prec!$AQ:$AQ,$C315)</f>
        <v>1370942.35</v>
      </c>
      <c r="Q315" s="484">
        <f>-SUMIFS(BV_Data_An_Prec!$AN:$AN,BV_Data_An_Prec!$AP:$AP,$B315,BV_Data_An_Prec!$AQ:$AQ,$C315,BV_Data_An_Prec!$AR:$AR,$L$2)</f>
        <v>554103.72</v>
      </c>
      <c r="R315" s="515">
        <f>IF(O315=0,0,J315/O315)</f>
        <v>0</v>
      </c>
      <c r="S315" s="484">
        <f>L315-Q315</f>
        <v>-43332.41</v>
      </c>
      <c r="T315" s="41"/>
      <c r="U315" s="48"/>
      <c r="V315" s="48"/>
      <c r="W315" s="48"/>
      <c r="X315" s="48"/>
      <c r="Y315" s="48"/>
      <c r="Z315" s="48"/>
      <c r="AA315" s="48"/>
      <c r="AB315" s="48"/>
      <c r="AC315" s="48"/>
      <c r="AD315" s="48"/>
      <c r="AE315" s="48"/>
      <c r="AF315" s="48"/>
      <c r="AG315" s="48"/>
      <c r="AH315" s="48"/>
      <c r="AI315" s="48"/>
      <c r="AJ315" s="48"/>
      <c r="AK315" s="48"/>
      <c r="AL315" s="48"/>
      <c r="AM315" s="48"/>
      <c r="AN315" s="48"/>
    </row>
    <row r="316" ht="15.75" customHeight="1">
      <c r="A316" s="5" t="str">
        <f t="shared" si="68"/>
        <v>Carrosserie% profit / ventes</v>
      </c>
      <c r="B316" s="48" t="s">
        <v>174</v>
      </c>
      <c r="C316" s="480" t="s">
        <v>163</v>
      </c>
      <c r="D316" s="41"/>
      <c r="E316" s="601"/>
      <c r="F316" s="516">
        <f>IFERROR(F315/E315,0)</f>
        <v>0</v>
      </c>
      <c r="G316" s="480"/>
      <c r="H316" s="601"/>
      <c r="I316" s="516"/>
      <c r="J316" s="486"/>
      <c r="K316" s="48"/>
      <c r="L316" s="516">
        <f>IFERROR(L315/K315,0)</f>
        <v>0.4181297028</v>
      </c>
      <c r="M316" s="515"/>
      <c r="N316" s="484">
        <f>IFERROR(N315/M315,0)</f>
        <v>0</v>
      </c>
      <c r="O316" s="486"/>
      <c r="P316" s="48"/>
      <c r="Q316" s="516">
        <f>IFERROR(Q315/P315,0)</f>
        <v>0.4041772581</v>
      </c>
      <c r="R316" s="486"/>
      <c r="S316" s="516">
        <f>IF(Q315=0,0,(S315/Q315))</f>
        <v>-0.07820270544</v>
      </c>
      <c r="T316" s="41"/>
      <c r="U316" s="48"/>
      <c r="V316" s="48"/>
      <c r="W316" s="48"/>
      <c r="X316" s="48"/>
      <c r="Y316" s="48"/>
      <c r="Z316" s="48"/>
      <c r="AA316" s="48"/>
      <c r="AB316" s="48"/>
      <c r="AC316" s="48"/>
      <c r="AD316" s="48"/>
      <c r="AE316" s="48"/>
      <c r="AF316" s="48"/>
      <c r="AG316" s="48"/>
      <c r="AH316" s="48"/>
      <c r="AI316" s="48"/>
      <c r="AJ316" s="48"/>
      <c r="AK316" s="48"/>
      <c r="AL316" s="48"/>
      <c r="AM316" s="48"/>
      <c r="AN316" s="48"/>
    </row>
    <row r="317" ht="15.75" customHeight="1">
      <c r="A317" s="5" t="str">
        <f t="shared" si="68"/>
        <v>Carrosserie</v>
      </c>
      <c r="B317" s="48" t="s">
        <v>174</v>
      </c>
      <c r="C317" s="480"/>
      <c r="D317" s="41"/>
      <c r="E317" s="650"/>
      <c r="F317" s="590"/>
      <c r="G317" s="610"/>
      <c r="H317" s="650"/>
      <c r="I317" s="590"/>
      <c r="J317" s="610"/>
      <c r="K317" s="41"/>
      <c r="L317" s="611"/>
      <c r="M317" s="610"/>
      <c r="N317" s="611"/>
      <c r="O317" s="610"/>
      <c r="P317" s="41"/>
      <c r="Q317" s="611"/>
      <c r="R317" s="589"/>
      <c r="S317" s="590"/>
      <c r="T317" s="41"/>
      <c r="U317" s="48"/>
      <c r="V317" s="48"/>
      <c r="W317" s="48"/>
      <c r="X317" s="48"/>
      <c r="Y317" s="48"/>
      <c r="Z317" s="48"/>
      <c r="AA317" s="48"/>
      <c r="AB317" s="48"/>
      <c r="AC317" s="48"/>
      <c r="AD317" s="48"/>
      <c r="AE317" s="48"/>
      <c r="AF317" s="48"/>
      <c r="AG317" s="48"/>
      <c r="AH317" s="48"/>
      <c r="AI317" s="48"/>
      <c r="AJ317" s="48"/>
      <c r="AK317" s="48"/>
      <c r="AL317" s="48"/>
      <c r="AM317" s="48"/>
      <c r="AN317" s="48"/>
    </row>
    <row r="318" ht="15.75" customHeight="1">
      <c r="A318" s="5" t="str">
        <f t="shared" si="68"/>
        <v>CarrosserieCarrosserie Interne</v>
      </c>
      <c r="B318" s="48" t="s">
        <v>174</v>
      </c>
      <c r="C318" s="466" t="s">
        <v>952</v>
      </c>
      <c r="D318" s="522" t="str">
        <f t="array" ref="D318">+SUMPRODUCT(('Budget original'!$A$8:$A$501=$A318)*('Budget original'!$C$3:$AO$3=D$2),'Budget original'!$C$8:$AO$501)</f>
        <v>#N/A</v>
      </c>
      <c r="E318" s="483" t="str">
        <f t="array" ref="E318">+SUMPRODUCT(('Budget original'!$A$8:$A$501=$A318)*('Budget original'!$C$3:$AO$3=E$2),'Budget original'!$C$8:$AO$501)</f>
        <v>#N/A</v>
      </c>
      <c r="F318" s="483" t="str">
        <f t="array" ref="F318">+SUMPRODUCT(('Budget original'!$A$8:$A$501=$A318)*('Budget original'!$C$3:$AO$3=F$2),'Budget original'!$C$8:$AO$501)</f>
        <v>#N/A</v>
      </c>
      <c r="G318" s="651"/>
      <c r="H318" s="483"/>
      <c r="I318" s="483"/>
      <c r="J318" s="252"/>
      <c r="K318" s="522">
        <f>-SUMIFS(BV_Data_An_Cour!$AN:$AN,BV_Data_An_Cour!$AS:$AS,"Oui",BV_Data_An_Cour!$AP:$AP,$B318,BV_Data_An_Cour!$AQ:$AQ,$C318)</f>
        <v>59103.04</v>
      </c>
      <c r="L318" s="523">
        <f>-SUMIFS(BV_Data_An_Cour!$AN:$AN,BV_Data_An_Cour!$AP:$AP,$B318,BV_Data_An_Cour!$AQ:$AQ,$C318,BV_Data_An_Cour!$AR:$AR,$L$2)</f>
        <v>27092.53</v>
      </c>
      <c r="M318" s="624">
        <f>IFERROR((K318-E318)/E318,0)</f>
        <v>0</v>
      </c>
      <c r="N318" s="523" t="str">
        <f>L318-F318</f>
        <v>#N/A</v>
      </c>
      <c r="O318" s="252"/>
      <c r="P318" s="522">
        <f>-SUMIFS(BV_Data_An_Prec!$AN:$AN,BV_Data_An_Prec!$AS:$AS,"Oui",BV_Data_An_Prec!$AP:$AP,$B318,BV_Data_An_Prec!$AQ:$AQ,$C318)</f>
        <v>42171.16</v>
      </c>
      <c r="Q318" s="523">
        <f>-SUMIFS(BV_Data_An_Prec!$AN:$AN,BV_Data_An_Prec!$AP:$AP,$B318,BV_Data_An_Prec!$AQ:$AQ,$C318,BV_Data_An_Prec!$AR:$AR,$L$2)</f>
        <v>32152.62</v>
      </c>
      <c r="R318" s="515">
        <f>IF(O318=0,0,J318/O318)</f>
        <v>0</v>
      </c>
      <c r="S318" s="484">
        <f>L318-Q318</f>
        <v>-5060.09</v>
      </c>
      <c r="T318" s="602"/>
      <c r="U318" s="48"/>
      <c r="V318" s="48"/>
      <c r="W318" s="48"/>
      <c r="X318" s="48"/>
      <c r="Y318" s="48"/>
      <c r="Z318" s="48"/>
      <c r="AA318" s="48"/>
      <c r="AB318" s="48"/>
      <c r="AC318" s="48"/>
      <c r="AD318" s="48"/>
      <c r="AE318" s="48"/>
      <c r="AF318" s="48"/>
      <c r="AG318" s="48"/>
      <c r="AH318" s="48"/>
      <c r="AI318" s="48"/>
      <c r="AJ318" s="48"/>
      <c r="AK318" s="48"/>
      <c r="AL318" s="48"/>
      <c r="AM318" s="48"/>
      <c r="AN318" s="48"/>
    </row>
    <row r="319" ht="15.75" customHeight="1">
      <c r="A319" s="5" t="str">
        <f t="shared" si="68"/>
        <v>Carrosserie% profit / ventes</v>
      </c>
      <c r="B319" s="48" t="s">
        <v>174</v>
      </c>
      <c r="C319" s="480" t="s">
        <v>163</v>
      </c>
      <c r="D319" s="48"/>
      <c r="E319" s="601"/>
      <c r="F319" s="516">
        <f>IFERROR(F318/E318,0)</f>
        <v>0</v>
      </c>
      <c r="G319" s="480"/>
      <c r="H319" s="601"/>
      <c r="I319" s="516"/>
      <c r="J319" s="486"/>
      <c r="K319" s="48"/>
      <c r="L319" s="516">
        <f>IFERROR(L318/K318,0)</f>
        <v>0.4583948643</v>
      </c>
      <c r="M319" s="515"/>
      <c r="N319" s="484">
        <f>IFERROR(N318/F318,0)</f>
        <v>0</v>
      </c>
      <c r="O319" s="486"/>
      <c r="P319" s="48"/>
      <c r="Q319" s="516">
        <f>IFERROR(Q318/P318,0)</f>
        <v>0.7624314816</v>
      </c>
      <c r="R319" s="486"/>
      <c r="S319" s="516">
        <f>IF(Q318=0,0,(S318/Q318))</f>
        <v>-0.1573772215</v>
      </c>
      <c r="T319" s="602"/>
      <c r="U319" s="48"/>
      <c r="V319" s="48"/>
      <c r="W319" s="48"/>
      <c r="X319" s="48"/>
      <c r="Y319" s="48"/>
      <c r="Z319" s="48"/>
      <c r="AA319" s="48"/>
      <c r="AB319" s="48"/>
      <c r="AC319" s="48"/>
      <c r="AD319" s="48"/>
      <c r="AE319" s="48"/>
      <c r="AF319" s="48"/>
      <c r="AG319" s="48"/>
      <c r="AH319" s="48"/>
      <c r="AI319" s="48"/>
      <c r="AJ319" s="48"/>
      <c r="AK319" s="48"/>
      <c r="AL319" s="48"/>
      <c r="AM319" s="48"/>
      <c r="AN319" s="48"/>
    </row>
    <row r="320" ht="15.75" customHeight="1">
      <c r="A320" s="5" t="str">
        <f t="shared" si="68"/>
        <v>Carrosserie</v>
      </c>
      <c r="B320" s="48" t="s">
        <v>174</v>
      </c>
      <c r="C320" s="471"/>
      <c r="D320" s="564"/>
      <c r="E320" s="625"/>
      <c r="F320" s="614"/>
      <c r="G320" s="471"/>
      <c r="H320" s="625"/>
      <c r="I320" s="614"/>
      <c r="J320" s="622"/>
      <c r="K320" s="652"/>
      <c r="L320" s="614"/>
      <c r="M320" s="545"/>
      <c r="N320" s="476"/>
      <c r="O320" s="622"/>
      <c r="P320" s="652"/>
      <c r="Q320" s="614"/>
      <c r="R320" s="622"/>
      <c r="S320" s="476"/>
      <c r="T320" s="602"/>
      <c r="U320" s="48"/>
      <c r="V320" s="48"/>
      <c r="W320" s="48"/>
      <c r="X320" s="48"/>
      <c r="Y320" s="48"/>
      <c r="Z320" s="48"/>
      <c r="AA320" s="48"/>
      <c r="AB320" s="48"/>
      <c r="AC320" s="48"/>
      <c r="AD320" s="48"/>
      <c r="AE320" s="48"/>
      <c r="AF320" s="48"/>
      <c r="AG320" s="48"/>
      <c r="AH320" s="48"/>
      <c r="AI320" s="48"/>
      <c r="AJ320" s="48"/>
      <c r="AK320" s="48"/>
      <c r="AL320" s="48"/>
      <c r="AM320" s="48"/>
      <c r="AN320" s="48"/>
    </row>
    <row r="321" ht="15.75" customHeight="1">
      <c r="A321" s="5" t="str">
        <f t="shared" si="68"/>
        <v>CarrosserieCarrosserie Concessions</v>
      </c>
      <c r="B321" s="48" t="s">
        <v>174</v>
      </c>
      <c r="C321" s="466" t="s">
        <v>954</v>
      </c>
      <c r="D321" s="522" t="str">
        <f t="array" ref="D321">+SUMPRODUCT(('Budget original'!$A$8:$A$501=$A321)*('Budget original'!$C$3:$AO$3=D$2),'Budget original'!$C$8:$AO$501)</f>
        <v>#N/A</v>
      </c>
      <c r="E321" s="483" t="str">
        <f t="array" ref="E321">+SUMPRODUCT(('Budget original'!$A$8:$A$501=$A321)*('Budget original'!$C$3:$AO$3=E$2),'Budget original'!$C$8:$AO$501)</f>
        <v>#N/A</v>
      </c>
      <c r="F321" s="483" t="str">
        <f t="array" ref="F321">+SUMPRODUCT(('Budget original'!$A$8:$A$501=$A321)*('Budget original'!$C$3:$AO$3=F$2),'Budget original'!$C$8:$AO$501)</f>
        <v>#N/A</v>
      </c>
      <c r="G321" s="252"/>
      <c r="H321" s="483"/>
      <c r="I321" s="483"/>
      <c r="J321" s="252"/>
      <c r="K321" s="483">
        <f>-SUMIFS(BV_Data_An_Cour!$AN:$AN,BV_Data_An_Cour!$AS:$AS,"Oui",BV_Data_An_Cour!$AP:$AP,$B321,BV_Data_An_Cour!$AQ:$AQ,$C321)</f>
        <v>196805.37</v>
      </c>
      <c r="L321" s="484">
        <f>-SUMIFS(BV_Data_An_Cour!$AN:$AN,BV_Data_An_Cour!$AP:$AP,$B321,BV_Data_An_Cour!$AQ:$AQ,$C321,BV_Data_An_Cour!$AR:$AR,$L$2)</f>
        <v>118208.39</v>
      </c>
      <c r="M321" s="515">
        <f>IFERROR((K321-E321)/E321,0)</f>
        <v>0</v>
      </c>
      <c r="N321" s="523" t="str">
        <f>L321-F321</f>
        <v>#N/A</v>
      </c>
      <c r="O321" s="252"/>
      <c r="P321" s="483">
        <f>-SUMIFS(BV_Data_An_Prec!$AN:$AN,BV_Data_An_Prec!$AS:$AS,"Oui",BV_Data_An_Prec!$AP:$AP,$B321,BV_Data_An_Prec!$AQ:$AQ,$C321)</f>
        <v>0</v>
      </c>
      <c r="Q321" s="484">
        <f>-SUMIFS(BV_Data_An_Prec!$AN:$AN,BV_Data_An_Prec!$AP:$AP,$B321,BV_Data_An_Prec!$AQ:$AQ,$C321,BV_Data_An_Prec!$AR:$AR,$L$2)</f>
        <v>0</v>
      </c>
      <c r="R321" s="515">
        <f>IF(O321=0,0,J321/O321)</f>
        <v>0</v>
      </c>
      <c r="S321" s="484">
        <f>L321-Q321</f>
        <v>118208.39</v>
      </c>
      <c r="T321" s="602"/>
      <c r="U321" s="48"/>
      <c r="V321" s="48"/>
      <c r="W321" s="48"/>
      <c r="X321" s="48"/>
      <c r="Y321" s="48"/>
      <c r="Z321" s="48"/>
      <c r="AA321" s="48"/>
      <c r="AB321" s="48"/>
      <c r="AC321" s="48"/>
      <c r="AD321" s="48"/>
      <c r="AE321" s="48"/>
      <c r="AF321" s="48"/>
      <c r="AG321" s="48"/>
      <c r="AH321" s="48"/>
      <c r="AI321" s="48"/>
      <c r="AJ321" s="48"/>
      <c r="AK321" s="48"/>
      <c r="AL321" s="48"/>
      <c r="AM321" s="48"/>
      <c r="AN321" s="48"/>
    </row>
    <row r="322" ht="15.75" customHeight="1">
      <c r="A322" s="5" t="str">
        <f t="shared" si="68"/>
        <v>Carrosserie% profit / ventes</v>
      </c>
      <c r="B322" s="48" t="s">
        <v>174</v>
      </c>
      <c r="C322" s="480" t="s">
        <v>163</v>
      </c>
      <c r="D322" s="48"/>
      <c r="E322" s="48"/>
      <c r="F322" s="516">
        <f>IFERROR(F321/E321,0)</f>
        <v>0</v>
      </c>
      <c r="G322" s="480"/>
      <c r="H322" s="48"/>
      <c r="I322" s="516"/>
      <c r="J322" s="480"/>
      <c r="K322" s="48"/>
      <c r="L322" s="516">
        <f>IFERROR(L321/K321,0)</f>
        <v>0.6006359989</v>
      </c>
      <c r="M322" s="525"/>
      <c r="N322" s="507" t="str">
        <f>IF(L321=0,0,N321/L321)</f>
        <v>#N/A</v>
      </c>
      <c r="O322" s="480"/>
      <c r="P322" s="48"/>
      <c r="Q322" s="516">
        <f>IFERROR(Q321/P321,0)</f>
        <v>0</v>
      </c>
      <c r="R322" s="486"/>
      <c r="S322" s="516">
        <f>IF(Q321=0,0,(S321/Q321))</f>
        <v>0</v>
      </c>
      <c r="T322" s="602"/>
      <c r="U322" s="48"/>
      <c r="V322" s="48"/>
      <c r="W322" s="48"/>
      <c r="X322" s="48"/>
      <c r="Y322" s="48"/>
      <c r="Z322" s="48"/>
      <c r="AA322" s="48"/>
      <c r="AB322" s="48"/>
      <c r="AC322" s="48"/>
      <c r="AD322" s="48"/>
      <c r="AE322" s="48"/>
      <c r="AF322" s="48"/>
      <c r="AG322" s="48"/>
      <c r="AH322" s="48"/>
      <c r="AI322" s="48"/>
      <c r="AJ322" s="48"/>
      <c r="AK322" s="48"/>
      <c r="AL322" s="48"/>
      <c r="AM322" s="48"/>
      <c r="AN322" s="48"/>
    </row>
    <row r="323" ht="15.75" customHeight="1">
      <c r="A323" s="5"/>
      <c r="B323" s="48" t="s">
        <v>174</v>
      </c>
      <c r="C323" s="471"/>
      <c r="D323" s="564"/>
      <c r="E323" s="564"/>
      <c r="F323" s="614"/>
      <c r="G323" s="471"/>
      <c r="H323" s="564"/>
      <c r="I323" s="614"/>
      <c r="J323" s="471"/>
      <c r="K323" s="564"/>
      <c r="L323" s="476"/>
      <c r="M323" s="653"/>
      <c r="N323" s="642"/>
      <c r="O323" s="471"/>
      <c r="P323" s="564"/>
      <c r="Q323" s="614"/>
      <c r="R323" s="545"/>
      <c r="S323" s="614"/>
      <c r="T323" s="602"/>
      <c r="U323" s="48"/>
      <c r="V323" s="48"/>
      <c r="W323" s="48"/>
      <c r="X323" s="48"/>
      <c r="Y323" s="48"/>
      <c r="Z323" s="48"/>
      <c r="AA323" s="48"/>
      <c r="AB323" s="48"/>
      <c r="AC323" s="48"/>
      <c r="AD323" s="48"/>
      <c r="AE323" s="48"/>
      <c r="AF323" s="48"/>
      <c r="AG323" s="48"/>
      <c r="AH323" s="48"/>
      <c r="AI323" s="48"/>
      <c r="AJ323" s="48"/>
      <c r="AK323" s="48"/>
      <c r="AL323" s="48"/>
      <c r="AM323" s="48"/>
      <c r="AN323" s="48"/>
    </row>
    <row r="324" ht="15.75" customHeight="1">
      <c r="A324" s="5"/>
      <c r="B324" s="48" t="s">
        <v>174</v>
      </c>
      <c r="C324" s="480" t="s">
        <v>955</v>
      </c>
      <c r="D324" s="48"/>
      <c r="E324" s="48"/>
      <c r="F324" s="516"/>
      <c r="G324" s="480"/>
      <c r="H324" s="48"/>
      <c r="I324" s="516"/>
      <c r="J324" s="480"/>
      <c r="K324" s="48"/>
      <c r="L324" s="484">
        <f>-SUMIFS(BV_Data_An_Cour!$AN:$AN,BV_Data_An_Cour!$AP:$AP,$B324,BV_Data_An_Cour!$AQ:$AQ,$C324,BV_Data_An_Cour!$AR:$AR,$L$2)</f>
        <v>-17178.51</v>
      </c>
      <c r="M324" s="525"/>
      <c r="N324" s="507"/>
      <c r="O324" s="480"/>
      <c r="P324" s="48"/>
      <c r="Q324" s="484">
        <f>-SUMIFS(BV_Data_An_Prec!$AN:$AN,BV_Data_An_Prec!$AP:$AP,$B324,BV_Data_An_Prec!$AQ:$AQ,$C324,BV_Data_An_Prec!$AR:$AR,$L$2)</f>
        <v>7326.93</v>
      </c>
      <c r="R324" s="515">
        <f>IF(O324=0,0,J324/O324)</f>
        <v>0</v>
      </c>
      <c r="S324" s="484">
        <f>L324-Q324</f>
        <v>-24505.44</v>
      </c>
      <c r="T324" s="602"/>
      <c r="U324" s="48"/>
      <c r="V324" s="48"/>
      <c r="W324" s="48"/>
      <c r="X324" s="48"/>
      <c r="Y324" s="48"/>
      <c r="Z324" s="48"/>
      <c r="AA324" s="48"/>
      <c r="AB324" s="48"/>
      <c r="AC324" s="48"/>
      <c r="AD324" s="48"/>
      <c r="AE324" s="48"/>
      <c r="AF324" s="48"/>
      <c r="AG324" s="48"/>
      <c r="AH324" s="48"/>
      <c r="AI324" s="48"/>
      <c r="AJ324" s="48"/>
      <c r="AK324" s="48"/>
      <c r="AL324" s="48"/>
      <c r="AM324" s="48"/>
      <c r="AN324" s="48"/>
    </row>
    <row r="325" ht="15.75" customHeight="1">
      <c r="A325" s="5" t="str">
        <f t="shared" ref="A325:A360" si="69">+B325&amp;C325</f>
        <v>Carrosserie</v>
      </c>
      <c r="B325" s="48" t="s">
        <v>174</v>
      </c>
      <c r="C325" s="480"/>
      <c r="D325" s="48"/>
      <c r="E325" s="48"/>
      <c r="F325" s="516"/>
      <c r="G325" s="480"/>
      <c r="H325" s="48"/>
      <c r="I325" s="516"/>
      <c r="J325" s="480"/>
      <c r="K325" s="48"/>
      <c r="L325" s="484"/>
      <c r="M325" s="525"/>
      <c r="N325" s="507"/>
      <c r="O325" s="480"/>
      <c r="P325" s="48"/>
      <c r="Q325" s="484"/>
      <c r="R325" s="525"/>
      <c r="S325" s="507"/>
      <c r="T325" s="602"/>
      <c r="U325" s="48"/>
      <c r="V325" s="48"/>
      <c r="W325" s="48"/>
      <c r="X325" s="48"/>
      <c r="Y325" s="48"/>
      <c r="Z325" s="48"/>
      <c r="AA325" s="48"/>
      <c r="AB325" s="48"/>
      <c r="AC325" s="48"/>
      <c r="AD325" s="48"/>
      <c r="AE325" s="48"/>
      <c r="AF325" s="48"/>
      <c r="AG325" s="48"/>
      <c r="AH325" s="48"/>
      <c r="AI325" s="48"/>
      <c r="AJ325" s="48"/>
      <c r="AK325" s="48"/>
      <c r="AL325" s="48"/>
      <c r="AM325" s="48"/>
      <c r="AN325" s="48"/>
    </row>
    <row r="326" ht="18.0" customHeight="1">
      <c r="A326" s="5" t="str">
        <f t="shared" si="69"/>
        <v>CarrosserieTotal Carrosserie</v>
      </c>
      <c r="B326" s="48" t="s">
        <v>174</v>
      </c>
      <c r="C326" s="526" t="s">
        <v>957</v>
      </c>
      <c r="D326" s="527"/>
      <c r="E326" s="528" t="str">
        <f t="shared" ref="E326:F326" si="70">E318+E321+E315</f>
        <v>#N/A</v>
      </c>
      <c r="F326" s="529" t="str">
        <f t="shared" si="70"/>
        <v>#N/A</v>
      </c>
      <c r="G326" s="530"/>
      <c r="H326" s="528"/>
      <c r="I326" s="529"/>
      <c r="J326" s="530"/>
      <c r="K326" s="527">
        <f>K318+K321+K315</f>
        <v>1477470.3</v>
      </c>
      <c r="L326" s="529">
        <f>L318+L321+L315+L324</f>
        <v>638893.72</v>
      </c>
      <c r="M326" s="530" t="str">
        <f>L327-F327</f>
        <v>#N/A</v>
      </c>
      <c r="N326" s="529" t="str">
        <f>L326-F326</f>
        <v>#N/A</v>
      </c>
      <c r="O326" s="530"/>
      <c r="P326" s="527">
        <f>P318+P321+P315</f>
        <v>1413113.51</v>
      </c>
      <c r="Q326" s="529">
        <f>Q318+Q321+Q315+Q324</f>
        <v>593583.27</v>
      </c>
      <c r="R326" s="530"/>
      <c r="S326" s="529">
        <f>L326-Q326</f>
        <v>45310.45</v>
      </c>
      <c r="T326" s="48"/>
      <c r="U326" s="48"/>
      <c r="V326" s="48"/>
      <c r="W326" s="48"/>
      <c r="X326" s="48"/>
      <c r="Y326" s="48"/>
      <c r="Z326" s="48"/>
      <c r="AA326" s="48"/>
      <c r="AB326" s="48"/>
      <c r="AC326" s="48"/>
      <c r="AD326" s="48"/>
      <c r="AE326" s="48"/>
      <c r="AF326" s="48"/>
      <c r="AG326" s="48"/>
      <c r="AH326" s="48"/>
      <c r="AI326" s="48"/>
      <c r="AJ326" s="48"/>
      <c r="AK326" s="48"/>
      <c r="AL326" s="48"/>
      <c r="AM326" s="48"/>
      <c r="AN326" s="48"/>
    </row>
    <row r="327" ht="22.5" customHeight="1">
      <c r="A327" s="5" t="str">
        <f t="shared" si="69"/>
        <v>Carrosserie</v>
      </c>
      <c r="B327" s="48" t="s">
        <v>174</v>
      </c>
      <c r="C327" s="531"/>
      <c r="D327" s="532"/>
      <c r="E327" s="532"/>
      <c r="F327" s="533" t="str">
        <f>F326/E326</f>
        <v>#N/A</v>
      </c>
      <c r="G327" s="531"/>
      <c r="H327" s="532"/>
      <c r="I327" s="533"/>
      <c r="J327" s="531"/>
      <c r="K327" s="534"/>
      <c r="L327" s="538">
        <f>L326/K326</f>
        <v>0.4324240697</v>
      </c>
      <c r="M327" s="536"/>
      <c r="N327" s="537" t="str">
        <f>N326/F326</f>
        <v>#N/A</v>
      </c>
      <c r="O327" s="531"/>
      <c r="P327" s="534"/>
      <c r="Q327" s="538">
        <f>Q326/P326</f>
        <v>0.4200534959</v>
      </c>
      <c r="R327" s="536"/>
      <c r="S327" s="538">
        <f>S326/Q326</f>
        <v>0.07633377201</v>
      </c>
      <c r="T327" s="48"/>
      <c r="U327" s="48"/>
      <c r="V327" s="48"/>
      <c r="W327" s="48"/>
      <c r="X327" s="48"/>
      <c r="Y327" s="48"/>
      <c r="Z327" s="48"/>
      <c r="AA327" s="48"/>
      <c r="AB327" s="48"/>
      <c r="AC327" s="48"/>
      <c r="AD327" s="48"/>
      <c r="AE327" s="48"/>
      <c r="AF327" s="48"/>
      <c r="AG327" s="48"/>
      <c r="AH327" s="48"/>
      <c r="AI327" s="48"/>
      <c r="AJ327" s="48"/>
      <c r="AK327" s="48"/>
      <c r="AL327" s="48"/>
      <c r="AM327" s="48"/>
      <c r="AN327" s="48"/>
    </row>
    <row r="328" ht="15.75" customHeight="1">
      <c r="A328" s="5" t="str">
        <f t="shared" si="69"/>
        <v>Carrosserie</v>
      </c>
      <c r="B328" s="48" t="s">
        <v>174</v>
      </c>
      <c r="C328" s="480"/>
      <c r="D328" s="48"/>
      <c r="E328" s="48"/>
      <c r="F328" s="484"/>
      <c r="G328" s="480"/>
      <c r="H328" s="48"/>
      <c r="I328" s="484"/>
      <c r="J328" s="480"/>
      <c r="K328" s="48"/>
      <c r="L328" s="514"/>
      <c r="M328" s="480"/>
      <c r="N328" s="514"/>
      <c r="O328" s="480"/>
      <c r="P328" s="48"/>
      <c r="Q328" s="514"/>
      <c r="R328" s="480"/>
      <c r="S328" s="514"/>
      <c r="T328" s="48"/>
      <c r="U328" s="48"/>
      <c r="V328" s="48"/>
      <c r="W328" s="48"/>
      <c r="X328" s="48"/>
      <c r="Y328" s="48"/>
      <c r="Z328" s="48"/>
      <c r="AA328" s="48"/>
      <c r="AB328" s="48"/>
      <c r="AC328" s="48"/>
      <c r="AD328" s="48"/>
      <c r="AE328" s="48"/>
      <c r="AF328" s="48"/>
      <c r="AG328" s="48"/>
      <c r="AH328" s="48"/>
      <c r="AI328" s="48"/>
      <c r="AJ328" s="48"/>
      <c r="AK328" s="48"/>
      <c r="AL328" s="48"/>
      <c r="AM328" s="48"/>
      <c r="AN328" s="48"/>
    </row>
    <row r="329" ht="15.75" customHeight="1">
      <c r="A329" s="5" t="str">
        <f t="shared" si="69"/>
        <v>CarrosserieDEPENSES</v>
      </c>
      <c r="B329" s="48" t="s">
        <v>174</v>
      </c>
      <c r="C329" s="541" t="s">
        <v>110</v>
      </c>
      <c r="D329" s="48"/>
      <c r="E329" s="48"/>
      <c r="F329" s="484"/>
      <c r="G329" s="480"/>
      <c r="H329" s="48"/>
      <c r="I329" s="484"/>
      <c r="J329" s="480"/>
      <c r="K329" s="48"/>
      <c r="L329" s="514"/>
      <c r="M329" s="480"/>
      <c r="N329" s="514"/>
      <c r="O329" s="480"/>
      <c r="P329" s="48"/>
      <c r="Q329" s="514"/>
      <c r="R329" s="480"/>
      <c r="S329" s="514"/>
      <c r="T329" s="48"/>
      <c r="U329" s="48"/>
      <c r="V329" s="48"/>
      <c r="W329" s="48"/>
      <c r="X329" s="48"/>
      <c r="Y329" s="48"/>
      <c r="Z329" s="48"/>
      <c r="AA329" s="48"/>
      <c r="AB329" s="48"/>
      <c r="AC329" s="48"/>
      <c r="AD329" s="48"/>
      <c r="AE329" s="48"/>
      <c r="AF329" s="48"/>
      <c r="AG329" s="48"/>
      <c r="AH329" s="48"/>
      <c r="AI329" s="48"/>
      <c r="AJ329" s="48"/>
      <c r="AK329" s="48"/>
      <c r="AL329" s="48"/>
      <c r="AM329" s="48"/>
      <c r="AN329" s="48"/>
    </row>
    <row r="330" ht="15.75" customHeight="1">
      <c r="A330" s="5" t="str">
        <f t="shared" si="69"/>
        <v>CarrosserieSalaires cadres</v>
      </c>
      <c r="B330" s="48" t="s">
        <v>174</v>
      </c>
      <c r="C330" s="559" t="s">
        <v>119</v>
      </c>
      <c r="D330" s="48"/>
      <c r="E330" s="48"/>
      <c r="F330" s="481" t="str">
        <f t="array" ref="F330">+SUMPRODUCT(('Budget original'!$A$8:$A$501=$A330)*('Budget original'!$C$3:$AO$3=F$2),'Budget original'!$C$8:$AO$501)</f>
        <v>#N/A</v>
      </c>
      <c r="G330" s="480"/>
      <c r="H330" s="48"/>
      <c r="I330" s="481"/>
      <c r="J330" s="480"/>
      <c r="K330" s="48"/>
      <c r="L330" s="484">
        <f>SUMIFS(BV_Data_An_Cour!$AN:$AN,BV_Data_An_Cour!$AP:$AP,$B330,BV_Data_An_Cour!$AQ:$AQ,$C330,BV_Data_An_Cour!$AR:$AR,$L$2)</f>
        <v>89791.23</v>
      </c>
      <c r="M330" s="480"/>
      <c r="N330" s="484" t="str">
        <f t="shared" ref="N330:N360" si="71">L330-F330</f>
        <v>#N/A</v>
      </c>
      <c r="O330" s="480"/>
      <c r="P330" s="48"/>
      <c r="Q330" s="484">
        <f>SUMIFS(BV_Data_An_Prec!$AN:$AN,BV_Data_An_Prec!$AP:$AP,$B330,BV_Data_An_Prec!$AQ:$AQ,$C330,BV_Data_An_Prec!$AR:$AR,$L$2)</f>
        <v>94248.07</v>
      </c>
      <c r="R330" s="480"/>
      <c r="S330" s="484">
        <f t="shared" ref="S330:S361" si="72">L330-Q330</f>
        <v>-4456.84</v>
      </c>
      <c r="T330" s="48"/>
      <c r="U330" s="48"/>
      <c r="V330" s="48"/>
      <c r="W330" s="48"/>
      <c r="X330" s="48"/>
      <c r="Y330" s="48"/>
      <c r="Z330" s="48"/>
      <c r="AA330" s="48"/>
      <c r="AB330" s="48"/>
      <c r="AC330" s="48"/>
      <c r="AD330" s="48"/>
      <c r="AE330" s="48"/>
      <c r="AF330" s="48"/>
      <c r="AG330" s="48"/>
      <c r="AH330" s="48"/>
      <c r="AI330" s="48"/>
      <c r="AJ330" s="48"/>
      <c r="AK330" s="48"/>
      <c r="AL330" s="48"/>
      <c r="AM330" s="48"/>
      <c r="AN330" s="48"/>
    </row>
    <row r="331" ht="15.75" customHeight="1">
      <c r="A331" s="5" t="str">
        <f t="shared" si="69"/>
        <v>CarrosserieSalaires commis</v>
      </c>
      <c r="B331" s="48" t="s">
        <v>174</v>
      </c>
      <c r="C331" s="560" t="s">
        <v>120</v>
      </c>
      <c r="D331" s="546"/>
      <c r="E331" s="48"/>
      <c r="F331" s="473" t="str">
        <f t="array" ref="F331">+SUMPRODUCT(('Budget original'!$A$8:$A$501=$A331)*('Budget original'!$C$3:$AO$3=F$2),'Budget original'!$C$8:$AO$501)</f>
        <v>#N/A</v>
      </c>
      <c r="G331" s="547"/>
      <c r="H331" s="48"/>
      <c r="I331" s="473"/>
      <c r="J331" s="480"/>
      <c r="K331" s="48"/>
      <c r="L331" s="484">
        <f>SUMIFS(BV_Data_An_Cour!$AN:$AN,BV_Data_An_Cour!$AP:$AP,$B331,BV_Data_An_Cour!$AQ:$AQ,$C331,BV_Data_An_Cour!$AR:$AR,$L$2)</f>
        <v>57751.35</v>
      </c>
      <c r="M331" s="480"/>
      <c r="N331" s="484" t="str">
        <f t="shared" si="71"/>
        <v>#N/A</v>
      </c>
      <c r="O331" s="480"/>
      <c r="P331" s="48"/>
      <c r="Q331" s="484">
        <f>SUMIFS(BV_Data_An_Prec!$AN:$AN,BV_Data_An_Prec!$AP:$AP,$B331,BV_Data_An_Prec!$AQ:$AQ,$C331,BV_Data_An_Prec!$AR:$AR,$L$2)</f>
        <v>65265.05</v>
      </c>
      <c r="R331" s="480"/>
      <c r="S331" s="484">
        <f t="shared" si="72"/>
        <v>-7513.7</v>
      </c>
      <c r="T331" s="48"/>
      <c r="U331" s="48"/>
      <c r="V331" s="48"/>
      <c r="W331" s="48"/>
      <c r="X331" s="48"/>
      <c r="Y331" s="48"/>
      <c r="Z331" s="48"/>
      <c r="AA331" s="48"/>
      <c r="AB331" s="48"/>
      <c r="AC331" s="48"/>
      <c r="AD331" s="48"/>
      <c r="AE331" s="48"/>
      <c r="AF331" s="48"/>
      <c r="AG331" s="48"/>
      <c r="AH331" s="48"/>
      <c r="AI331" s="48"/>
      <c r="AJ331" s="48"/>
      <c r="AK331" s="48"/>
      <c r="AL331" s="48"/>
      <c r="AM331" s="48"/>
      <c r="AN331" s="48"/>
    </row>
    <row r="332" ht="15.75" customHeight="1">
      <c r="A332" s="5" t="str">
        <f t="shared" si="69"/>
        <v>CarrosserieSalaires autres</v>
      </c>
      <c r="B332" s="48" t="s">
        <v>174</v>
      </c>
      <c r="C332" s="559" t="s">
        <v>121</v>
      </c>
      <c r="D332" s="561"/>
      <c r="E332" s="562"/>
      <c r="F332" s="481" t="str">
        <f t="array" ref="F332">+SUMPRODUCT(('Budget original'!$A$8:$A$501=$A332)*('Budget original'!$C$3:$AO$3=F$2),'Budget original'!$C$8:$AO$501)</f>
        <v>#N/A</v>
      </c>
      <c r="G332" s="563"/>
      <c r="H332" s="562"/>
      <c r="I332" s="481"/>
      <c r="J332" s="466"/>
      <c r="K332" s="562"/>
      <c r="L332" s="523">
        <f>SUMIFS(BV_Data_An_Cour!$AN:$AN,BV_Data_An_Cour!$AP:$AP,$B332,BV_Data_An_Cour!$AQ:$AQ,$C332,BV_Data_An_Cour!$AR:$AR,$L$2)</f>
        <v>6507.27</v>
      </c>
      <c r="M332" s="466"/>
      <c r="N332" s="523" t="str">
        <f t="shared" si="71"/>
        <v>#N/A</v>
      </c>
      <c r="O332" s="466"/>
      <c r="P332" s="562"/>
      <c r="Q332" s="523">
        <f>SUMIFS(BV_Data_An_Prec!$AN:$AN,BV_Data_An_Prec!$AP:$AP,$B332,BV_Data_An_Prec!$AQ:$AQ,$C332,BV_Data_An_Prec!$AR:$AR,$L$2)</f>
        <v>76</v>
      </c>
      <c r="R332" s="466"/>
      <c r="S332" s="523">
        <f t="shared" si="72"/>
        <v>6431.27</v>
      </c>
      <c r="T332" s="48"/>
      <c r="U332" s="48"/>
      <c r="V332" s="48"/>
      <c r="W332" s="48"/>
      <c r="X332" s="48"/>
      <c r="Y332" s="48"/>
      <c r="Z332" s="48"/>
      <c r="AA332" s="48"/>
      <c r="AB332" s="48"/>
      <c r="AC332" s="48"/>
      <c r="AD332" s="48"/>
      <c r="AE332" s="48"/>
      <c r="AF332" s="48"/>
      <c r="AG332" s="48"/>
      <c r="AH332" s="48"/>
      <c r="AI332" s="48"/>
      <c r="AJ332" s="48"/>
      <c r="AK332" s="48"/>
      <c r="AL332" s="48"/>
      <c r="AM332" s="48"/>
      <c r="AN332" s="48"/>
    </row>
    <row r="333" ht="15.75" customHeight="1">
      <c r="A333" s="5" t="str">
        <f t="shared" si="69"/>
        <v>CarrosserieSalaires spécialistes</v>
      </c>
      <c r="B333" s="48" t="s">
        <v>174</v>
      </c>
      <c r="C333" s="559" t="s">
        <v>122</v>
      </c>
      <c r="D333" s="546"/>
      <c r="E333" s="48"/>
      <c r="F333" s="481" t="str">
        <f t="array" ref="F333">+SUMPRODUCT(('Budget original'!$A$8:$A$501=$A333)*('Budget original'!$C$3:$AO$3=F$2),'Budget original'!$C$8:$AO$501)</f>
        <v>#N/A</v>
      </c>
      <c r="G333" s="547"/>
      <c r="H333" s="48"/>
      <c r="I333" s="481"/>
      <c r="J333" s="480"/>
      <c r="K333" s="48"/>
      <c r="L333" s="484">
        <f>SUMIFS(BV_Data_An_Cour!$AN:$AN,BV_Data_An_Cour!$AP:$AP,$B333,BV_Data_An_Cour!$AQ:$AQ,$C333,BV_Data_An_Cour!$AR:$AR,$L$2)</f>
        <v>0</v>
      </c>
      <c r="M333" s="480"/>
      <c r="N333" s="484" t="str">
        <f t="shared" si="71"/>
        <v>#N/A</v>
      </c>
      <c r="O333" s="480"/>
      <c r="P333" s="48"/>
      <c r="Q333" s="484">
        <f>SUMIFS(BV_Data_An_Prec!$AN:$AN,BV_Data_An_Prec!$AP:$AP,$B333,BV_Data_An_Prec!$AQ:$AQ,$C333,BV_Data_An_Prec!$AR:$AR,$L$2)</f>
        <v>0</v>
      </c>
      <c r="R333" s="480"/>
      <c r="S333" s="484">
        <f t="shared" si="72"/>
        <v>0</v>
      </c>
      <c r="T333" s="48"/>
      <c r="U333" s="48"/>
      <c r="V333" s="48"/>
      <c r="W333" s="48"/>
      <c r="X333" s="48"/>
      <c r="Y333" s="48"/>
      <c r="Z333" s="48"/>
      <c r="AA333" s="48"/>
      <c r="AB333" s="48"/>
      <c r="AC333" s="48"/>
      <c r="AD333" s="48"/>
      <c r="AE333" s="48"/>
      <c r="AF333" s="48"/>
      <c r="AG333" s="48"/>
      <c r="AH333" s="48"/>
      <c r="AI333" s="48"/>
      <c r="AJ333" s="48"/>
      <c r="AK333" s="48"/>
      <c r="AL333" s="48"/>
      <c r="AM333" s="48"/>
      <c r="AN333" s="48"/>
    </row>
    <row r="334" ht="20.25" hidden="1" customHeight="1">
      <c r="A334" s="5" t="str">
        <f t="shared" si="69"/>
        <v>Carrosserie[...]</v>
      </c>
      <c r="B334" s="48" t="s">
        <v>174</v>
      </c>
      <c r="C334" s="480" t="s">
        <v>56</v>
      </c>
      <c r="D334" s="546"/>
      <c r="E334" s="48"/>
      <c r="F334" s="481" t="str">
        <f t="array" ref="F334">+SUMPRODUCT(('Budget original'!$A$8:$A$501=$A334)*('Budget original'!$C$3:$AO$3=F$2),'Budget original'!$C$8:$AO$501)</f>
        <v>#N/A</v>
      </c>
      <c r="G334" s="547"/>
      <c r="H334" s="48"/>
      <c r="I334" s="481"/>
      <c r="J334" s="480"/>
      <c r="K334" s="48"/>
      <c r="L334" s="484">
        <f>SUMIFS(BV_Data_An_Cour!$AN:$AN,BV_Data_An_Cour!$AP:$AP,$B334,BV_Data_An_Cour!$AQ:$AQ,$C334,BV_Data_An_Cour!$AR:$AR,$L$2)</f>
        <v>0</v>
      </c>
      <c r="M334" s="480"/>
      <c r="N334" s="484" t="str">
        <f t="shared" si="71"/>
        <v>#N/A</v>
      </c>
      <c r="O334" s="480"/>
      <c r="P334" s="48"/>
      <c r="Q334" s="484">
        <f>SUMIFS(BV_Data_An_Prec!$AN:$AN,BV_Data_An_Prec!$AP:$AP,$B334,BV_Data_An_Prec!$AQ:$AQ,$C334,BV_Data_An_Prec!$AR:$AR,$L$2)</f>
        <v>0</v>
      </c>
      <c r="R334" s="480"/>
      <c r="S334" s="484">
        <f t="shared" si="72"/>
        <v>0</v>
      </c>
      <c r="T334" s="48"/>
      <c r="U334" s="48"/>
      <c r="V334" s="48"/>
      <c r="W334" s="48"/>
      <c r="X334" s="48"/>
      <c r="Y334" s="48"/>
      <c r="Z334" s="48"/>
      <c r="AA334" s="48"/>
      <c r="AB334" s="48"/>
      <c r="AC334" s="48"/>
      <c r="AD334" s="48"/>
      <c r="AE334" s="48"/>
      <c r="AF334" s="48"/>
      <c r="AG334" s="48"/>
      <c r="AH334" s="48"/>
      <c r="AI334" s="48"/>
      <c r="AJ334" s="48"/>
      <c r="AK334" s="48"/>
      <c r="AL334" s="48"/>
      <c r="AM334" s="48"/>
      <c r="AN334" s="48"/>
    </row>
    <row r="335" ht="20.25" hidden="1" customHeight="1">
      <c r="A335" s="5" t="str">
        <f t="shared" si="69"/>
        <v>Carrosserie[...]</v>
      </c>
      <c r="B335" s="48" t="s">
        <v>174</v>
      </c>
      <c r="C335" s="480" t="s">
        <v>56</v>
      </c>
      <c r="D335" s="546"/>
      <c r="E335" s="48"/>
      <c r="F335" s="481" t="str">
        <f t="array" ref="F335">+SUMPRODUCT(('Budget original'!$A$8:$A$501=$A335)*('Budget original'!$C$3:$AO$3=F$2),'Budget original'!$C$8:$AO$501)</f>
        <v>#N/A</v>
      </c>
      <c r="G335" s="547"/>
      <c r="H335" s="48"/>
      <c r="I335" s="481"/>
      <c r="J335" s="480"/>
      <c r="K335" s="48"/>
      <c r="L335" s="484">
        <f>SUMIFS(BV_Data_An_Cour!$AN:$AN,BV_Data_An_Cour!$AP:$AP,$B335,BV_Data_An_Cour!$AQ:$AQ,$C335,BV_Data_An_Cour!$AR:$AR,$L$2)</f>
        <v>0</v>
      </c>
      <c r="M335" s="480"/>
      <c r="N335" s="484" t="str">
        <f t="shared" si="71"/>
        <v>#N/A</v>
      </c>
      <c r="O335" s="480"/>
      <c r="P335" s="48"/>
      <c r="Q335" s="484">
        <f>SUMIFS(BV_Data_An_Prec!$AN:$AN,BV_Data_An_Prec!$AP:$AP,$B335,BV_Data_An_Prec!$AQ:$AQ,$C335,BV_Data_An_Prec!$AR:$AR,$L$2)</f>
        <v>0</v>
      </c>
      <c r="R335" s="480"/>
      <c r="S335" s="484">
        <f t="shared" si="72"/>
        <v>0</v>
      </c>
      <c r="T335" s="48"/>
      <c r="U335" s="48"/>
      <c r="V335" s="48"/>
      <c r="W335" s="48"/>
      <c r="X335" s="48"/>
      <c r="Y335" s="48"/>
      <c r="Z335" s="48"/>
      <c r="AA335" s="48"/>
      <c r="AB335" s="48"/>
      <c r="AC335" s="48"/>
      <c r="AD335" s="48"/>
      <c r="AE335" s="48"/>
      <c r="AF335" s="48"/>
      <c r="AG335" s="48"/>
      <c r="AH335" s="48"/>
      <c r="AI335" s="48"/>
      <c r="AJ335" s="48"/>
      <c r="AK335" s="48"/>
      <c r="AL335" s="48"/>
      <c r="AM335" s="48"/>
      <c r="AN335" s="48"/>
    </row>
    <row r="336" ht="20.25" hidden="1" customHeight="1">
      <c r="A336" s="5" t="str">
        <f t="shared" si="69"/>
        <v>Carrosserie[...]</v>
      </c>
      <c r="B336" s="48" t="s">
        <v>174</v>
      </c>
      <c r="C336" s="480" t="s">
        <v>56</v>
      </c>
      <c r="D336" s="546"/>
      <c r="E336" s="48"/>
      <c r="F336" s="481" t="str">
        <f t="array" ref="F336">+SUMPRODUCT(('Budget original'!$A$8:$A$501=$A336)*('Budget original'!$C$3:$AO$3=F$2),'Budget original'!$C$8:$AO$501)</f>
        <v>#N/A</v>
      </c>
      <c r="G336" s="547"/>
      <c r="H336" s="48"/>
      <c r="I336" s="481"/>
      <c r="J336" s="480"/>
      <c r="K336" s="48"/>
      <c r="L336" s="484">
        <f>SUMIFS(BV_Data_An_Cour!$AN:$AN,BV_Data_An_Cour!$AP:$AP,$B336,BV_Data_An_Cour!$AQ:$AQ,$C336,BV_Data_An_Cour!$AR:$AR,$L$2)</f>
        <v>0</v>
      </c>
      <c r="M336" s="480"/>
      <c r="N336" s="484" t="str">
        <f t="shared" si="71"/>
        <v>#N/A</v>
      </c>
      <c r="O336" s="480"/>
      <c r="P336" s="48"/>
      <c r="Q336" s="484">
        <f>SUMIFS(BV_Data_An_Prec!$AN:$AN,BV_Data_An_Prec!$AP:$AP,$B336,BV_Data_An_Prec!$AQ:$AQ,$C336,BV_Data_An_Prec!$AR:$AR,$L$2)</f>
        <v>0</v>
      </c>
      <c r="R336" s="480"/>
      <c r="S336" s="484">
        <f t="shared" si="72"/>
        <v>0</v>
      </c>
      <c r="T336" s="48"/>
      <c r="U336" s="48"/>
      <c r="V336" s="48"/>
      <c r="W336" s="48"/>
      <c r="X336" s="48"/>
      <c r="Y336" s="48"/>
      <c r="Z336" s="48"/>
      <c r="AA336" s="48"/>
      <c r="AB336" s="48"/>
      <c r="AC336" s="48"/>
      <c r="AD336" s="48"/>
      <c r="AE336" s="48"/>
      <c r="AF336" s="48"/>
      <c r="AG336" s="48"/>
      <c r="AH336" s="48"/>
      <c r="AI336" s="48"/>
      <c r="AJ336" s="48"/>
      <c r="AK336" s="48"/>
      <c r="AL336" s="48"/>
      <c r="AM336" s="48"/>
      <c r="AN336" s="48"/>
    </row>
    <row r="337" ht="15.75" customHeight="1">
      <c r="A337" s="5" t="str">
        <f t="shared" si="69"/>
        <v>CarrosserieSalaires en absences</v>
      </c>
      <c r="B337" s="48" t="s">
        <v>174</v>
      </c>
      <c r="C337" s="560" t="s">
        <v>123</v>
      </c>
      <c r="D337" s="546"/>
      <c r="E337" s="48"/>
      <c r="F337" s="473" t="str">
        <f t="array" ref="F337">+SUMPRODUCT(('Budget original'!$A$8:$A$501=$A337)*('Budget original'!$C$3:$AO$3=F$2),'Budget original'!$C$8:$AO$501)</f>
        <v>#N/A</v>
      </c>
      <c r="G337" s="547"/>
      <c r="H337" s="48"/>
      <c r="I337" s="473"/>
      <c r="J337" s="480"/>
      <c r="K337" s="48"/>
      <c r="L337" s="484">
        <f>SUMIFS(BV_Data_An_Cour!$AN:$AN,BV_Data_An_Cour!$AP:$AP,$B337,BV_Data_An_Cour!$AQ:$AQ,$C337,BV_Data_An_Cour!$AR:$AR,$L$2)</f>
        <v>39108.64</v>
      </c>
      <c r="M337" s="480"/>
      <c r="N337" s="484" t="str">
        <f t="shared" si="71"/>
        <v>#N/A</v>
      </c>
      <c r="O337" s="480"/>
      <c r="P337" s="48"/>
      <c r="Q337" s="484">
        <f>SUMIFS(BV_Data_An_Prec!$AN:$AN,BV_Data_An_Prec!$AP:$AP,$B337,BV_Data_An_Prec!$AQ:$AQ,$C337,BV_Data_An_Prec!$AR:$AR,$L$2)</f>
        <v>30921.54</v>
      </c>
      <c r="R337" s="480"/>
      <c r="S337" s="484">
        <f t="shared" si="72"/>
        <v>8187.1</v>
      </c>
      <c r="T337" s="48"/>
      <c r="U337" s="48"/>
      <c r="V337" s="48"/>
      <c r="W337" s="48"/>
      <c r="X337" s="48"/>
      <c r="Y337" s="48"/>
      <c r="Z337" s="48"/>
      <c r="AA337" s="48"/>
      <c r="AB337" s="48"/>
      <c r="AC337" s="48"/>
      <c r="AD337" s="48"/>
      <c r="AE337" s="48"/>
      <c r="AF337" s="48"/>
      <c r="AG337" s="48"/>
      <c r="AH337" s="48"/>
      <c r="AI337" s="48"/>
      <c r="AJ337" s="48"/>
      <c r="AK337" s="48"/>
      <c r="AL337" s="48"/>
      <c r="AM337" s="48"/>
      <c r="AN337" s="48"/>
    </row>
    <row r="338" ht="15.75" customHeight="1">
      <c r="A338" s="5" t="str">
        <f t="shared" si="69"/>
        <v>CarrosserieDéduction à la source</v>
      </c>
      <c r="B338" s="48" t="s">
        <v>174</v>
      </c>
      <c r="C338" s="559" t="s">
        <v>124</v>
      </c>
      <c r="D338" s="561"/>
      <c r="E338" s="562"/>
      <c r="F338" s="481" t="str">
        <f t="array" ref="F338">+SUMPRODUCT(('Budget original'!$A$8:$A$501=$A338)*('Budget original'!$C$3:$AO$3=F$2),'Budget original'!$C$8:$AO$501)</f>
        <v>#N/A</v>
      </c>
      <c r="G338" s="563"/>
      <c r="H338" s="562"/>
      <c r="I338" s="481"/>
      <c r="J338" s="466"/>
      <c r="K338" s="562"/>
      <c r="L338" s="523">
        <f>SUMIFS(BV_Data_An_Cour!$AN:$AN,BV_Data_An_Cour!$AP:$AP,$B338,BV_Data_An_Cour!$AQ:$AQ,$C338,BV_Data_An_Cour!$AR:$AR,$L$2)</f>
        <v>50929.01</v>
      </c>
      <c r="M338" s="466"/>
      <c r="N338" s="523" t="str">
        <f t="shared" si="71"/>
        <v>#N/A</v>
      </c>
      <c r="O338" s="466"/>
      <c r="P338" s="562"/>
      <c r="Q338" s="523">
        <f>SUMIFS(BV_Data_An_Prec!$AN:$AN,BV_Data_An_Prec!$AP:$AP,$B338,BV_Data_An_Prec!$AQ:$AQ,$C338,BV_Data_An_Prec!$AR:$AR,$L$2)</f>
        <v>39203.98</v>
      </c>
      <c r="R338" s="466"/>
      <c r="S338" s="523">
        <f t="shared" si="72"/>
        <v>11725.03</v>
      </c>
      <c r="T338" s="48"/>
      <c r="U338" s="48"/>
      <c r="V338" s="48"/>
      <c r="W338" s="48"/>
      <c r="X338" s="48"/>
      <c r="Y338" s="48"/>
      <c r="Z338" s="48"/>
      <c r="AA338" s="48"/>
      <c r="AB338" s="48"/>
      <c r="AC338" s="48"/>
      <c r="AD338" s="48"/>
      <c r="AE338" s="48"/>
      <c r="AF338" s="48"/>
      <c r="AG338" s="48"/>
      <c r="AH338" s="48"/>
      <c r="AI338" s="48"/>
      <c r="AJ338" s="48"/>
      <c r="AK338" s="48"/>
      <c r="AL338" s="48"/>
      <c r="AM338" s="48"/>
      <c r="AN338" s="48"/>
    </row>
    <row r="339" ht="15.75" customHeight="1">
      <c r="A339" s="5" t="str">
        <f t="shared" si="69"/>
        <v>CarrosserieBénéfices marginaux</v>
      </c>
      <c r="B339" s="48" t="s">
        <v>174</v>
      </c>
      <c r="C339" s="559" t="s">
        <v>125</v>
      </c>
      <c r="D339" s="546"/>
      <c r="E339" s="48"/>
      <c r="F339" s="481" t="str">
        <f t="array" ref="F339">+SUMPRODUCT(('Budget original'!$A$8:$A$501=$A339)*('Budget original'!$C$3:$AO$3=F$2),'Budget original'!$C$8:$AO$501)</f>
        <v>#N/A</v>
      </c>
      <c r="G339" s="547"/>
      <c r="H339" s="48"/>
      <c r="I339" s="481"/>
      <c r="J339" s="480"/>
      <c r="K339" s="48"/>
      <c r="L339" s="484">
        <f>SUMIFS(BV_Data_An_Cour!$AN:$AN,BV_Data_An_Cour!$AP:$AP,$B339,BV_Data_An_Cour!$AQ:$AQ,$C339,BV_Data_An_Cour!$AR:$AR,$L$2)</f>
        <v>14685.82</v>
      </c>
      <c r="M339" s="480"/>
      <c r="N339" s="484" t="str">
        <f t="shared" si="71"/>
        <v>#N/A</v>
      </c>
      <c r="O339" s="480"/>
      <c r="P339" s="48"/>
      <c r="Q339" s="484">
        <f>SUMIFS(BV_Data_An_Prec!$AN:$AN,BV_Data_An_Prec!$AP:$AP,$B339,BV_Data_An_Prec!$AQ:$AQ,$C339,BV_Data_An_Prec!$AR:$AR,$L$2)</f>
        <v>23810.55</v>
      </c>
      <c r="R339" s="480"/>
      <c r="S339" s="484">
        <f t="shared" si="72"/>
        <v>-9124.73</v>
      </c>
      <c r="T339" s="48"/>
      <c r="U339" s="48"/>
      <c r="V339" s="48"/>
      <c r="W339" s="48"/>
      <c r="X339" s="48"/>
      <c r="Y339" s="48"/>
      <c r="Z339" s="48"/>
      <c r="AA339" s="48"/>
      <c r="AB339" s="48"/>
      <c r="AC339" s="48"/>
      <c r="AD339" s="48"/>
      <c r="AE339" s="48"/>
      <c r="AF339" s="48"/>
      <c r="AG339" s="48"/>
      <c r="AH339" s="48"/>
      <c r="AI339" s="48"/>
      <c r="AJ339" s="48"/>
      <c r="AK339" s="48"/>
      <c r="AL339" s="48"/>
      <c r="AM339" s="48"/>
      <c r="AN339" s="48"/>
    </row>
    <row r="340" ht="15.75" customHeight="1">
      <c r="A340" s="5" t="str">
        <f t="shared" si="69"/>
        <v>CarrosserieCsst</v>
      </c>
      <c r="B340" s="48" t="s">
        <v>174</v>
      </c>
      <c r="C340" s="559" t="s">
        <v>126</v>
      </c>
      <c r="D340" s="546"/>
      <c r="E340" s="48"/>
      <c r="F340" s="481" t="str">
        <f t="array" ref="F340">+SUMPRODUCT(('Budget original'!$A$8:$A$501=$A340)*('Budget original'!$C$3:$AO$3=F$2),'Budget original'!$C$8:$AO$501)</f>
        <v>#N/A</v>
      </c>
      <c r="G340" s="547"/>
      <c r="H340" s="48"/>
      <c r="I340" s="481"/>
      <c r="J340" s="480"/>
      <c r="K340" s="48"/>
      <c r="L340" s="484">
        <f>SUMIFS(BV_Data_An_Cour!$AN:$AN,BV_Data_An_Cour!$AP:$AP,$B340,BV_Data_An_Cour!$AQ:$AQ,$C340,BV_Data_An_Cour!$AR:$AR,$L$2)</f>
        <v>9657.7</v>
      </c>
      <c r="M340" s="480"/>
      <c r="N340" s="484" t="str">
        <f t="shared" si="71"/>
        <v>#N/A</v>
      </c>
      <c r="O340" s="480"/>
      <c r="P340" s="48"/>
      <c r="Q340" s="484">
        <f>SUMIFS(BV_Data_An_Prec!$AN:$AN,BV_Data_An_Prec!$AP:$AP,$B340,BV_Data_An_Prec!$AQ:$AQ,$C340,BV_Data_An_Prec!$AR:$AR,$L$2)</f>
        <v>340.94</v>
      </c>
      <c r="R340" s="480"/>
      <c r="S340" s="484">
        <f t="shared" si="72"/>
        <v>9316.76</v>
      </c>
      <c r="T340" s="48"/>
      <c r="U340" s="48"/>
      <c r="V340" s="48"/>
      <c r="W340" s="48"/>
      <c r="X340" s="48"/>
      <c r="Y340" s="48"/>
      <c r="Z340" s="48"/>
      <c r="AA340" s="48"/>
      <c r="AB340" s="48"/>
      <c r="AC340" s="48"/>
      <c r="AD340" s="48"/>
      <c r="AE340" s="48"/>
      <c r="AF340" s="48"/>
      <c r="AG340" s="48"/>
      <c r="AH340" s="48"/>
      <c r="AI340" s="48"/>
      <c r="AJ340" s="48"/>
      <c r="AK340" s="48"/>
      <c r="AL340" s="48"/>
      <c r="AM340" s="48"/>
      <c r="AN340" s="48"/>
    </row>
    <row r="341" ht="20.25" hidden="1" customHeight="1">
      <c r="A341" s="5" t="str">
        <f t="shared" si="69"/>
        <v>Carrosserie[...]</v>
      </c>
      <c r="B341" s="48" t="s">
        <v>174</v>
      </c>
      <c r="C341" s="480" t="s">
        <v>56</v>
      </c>
      <c r="D341" s="549"/>
      <c r="E341" s="564"/>
      <c r="F341" s="481" t="str">
        <f t="array" ref="F341">+INDEX('Budget original'!$A$2:$AO$501,MATCH($A341,'Budget original'!$A$2:$A$501,0),MATCH(F$2,'Budget original'!$A$2:$AO$2,0))</f>
        <v/>
      </c>
      <c r="G341" s="550"/>
      <c r="H341" s="564"/>
      <c r="I341" s="481"/>
      <c r="J341" s="471"/>
      <c r="K341" s="564"/>
      <c r="L341" s="484">
        <f>SUMIFS(BV_Data_An_Cour!$AN:$AN,BV_Data_An_Cour!$AP:$AP,$B341,BV_Data_An_Cour!$AQ:$AQ,$C341,BV_Data_An_Cour!$AR:$AR,$L$2)</f>
        <v>0</v>
      </c>
      <c r="M341" s="471"/>
      <c r="N341" s="476">
        <f t="shared" si="71"/>
        <v>0</v>
      </c>
      <c r="O341" s="471"/>
      <c r="P341" s="564"/>
      <c r="Q341" s="484">
        <f>SUMIFS(BV_Data_An_Prec!$AN:$AN,BV_Data_An_Prec!$AP:$AP,$B341,BV_Data_An_Prec!$AQ:$AQ,$C341,BV_Data_An_Prec!$AR:$AR,$L$2)</f>
        <v>0</v>
      </c>
      <c r="R341" s="471"/>
      <c r="S341" s="476">
        <f t="shared" si="72"/>
        <v>0</v>
      </c>
      <c r="T341" s="48"/>
      <c r="U341" s="48"/>
      <c r="V341" s="48"/>
      <c r="W341" s="48"/>
      <c r="X341" s="48"/>
      <c r="Y341" s="48"/>
      <c r="Z341" s="48"/>
      <c r="AA341" s="48"/>
      <c r="AB341" s="48"/>
      <c r="AC341" s="48"/>
      <c r="AD341" s="48"/>
      <c r="AE341" s="48"/>
      <c r="AF341" s="48"/>
      <c r="AG341" s="48"/>
      <c r="AH341" s="48"/>
      <c r="AI341" s="48"/>
      <c r="AJ341" s="48"/>
      <c r="AK341" s="48"/>
      <c r="AL341" s="48"/>
      <c r="AM341" s="48"/>
      <c r="AN341" s="48"/>
    </row>
    <row r="342" ht="18.0" customHeight="1">
      <c r="A342" s="5" t="str">
        <f t="shared" si="69"/>
        <v>CarrosserieTOTAL PERSONNEL</v>
      </c>
      <c r="B342" s="48" t="s">
        <v>174</v>
      </c>
      <c r="C342" s="552" t="s">
        <v>127</v>
      </c>
      <c r="D342" s="553" t="s">
        <v>225</v>
      </c>
      <c r="E342" s="554" t="str">
        <f>F342/F$318</f>
        <v>#N/A</v>
      </c>
      <c r="F342" s="555" t="str">
        <f>+SUM(F330:F341)</f>
        <v>#N/A</v>
      </c>
      <c r="G342" s="556"/>
      <c r="H342" s="554"/>
      <c r="I342" s="555"/>
      <c r="J342" s="556" t="s">
        <v>225</v>
      </c>
      <c r="K342" s="554">
        <f>IF(L318=0,0,L342/L$318)</f>
        <v>9.90793477</v>
      </c>
      <c r="L342" s="555">
        <f>+SUM(L330:L341)</f>
        <v>268431.02</v>
      </c>
      <c r="M342" s="557"/>
      <c r="N342" s="555" t="str">
        <f t="shared" si="71"/>
        <v>#N/A</v>
      </c>
      <c r="O342" s="556" t="s">
        <v>225</v>
      </c>
      <c r="P342" s="554">
        <f>Q342/Q$318</f>
        <v>7.895659203</v>
      </c>
      <c r="Q342" s="555">
        <f>+SUM(Q330:Q341)</f>
        <v>253866.13</v>
      </c>
      <c r="R342" s="558"/>
      <c r="S342" s="555">
        <f t="shared" si="72"/>
        <v>14564.89</v>
      </c>
      <c r="T342" s="48"/>
      <c r="U342" s="48"/>
      <c r="V342" s="48"/>
      <c r="W342" s="48"/>
      <c r="X342" s="48"/>
      <c r="Y342" s="48"/>
      <c r="Z342" s="48"/>
      <c r="AA342" s="48"/>
      <c r="AB342" s="48"/>
      <c r="AC342" s="48"/>
      <c r="AD342" s="48"/>
      <c r="AE342" s="48"/>
      <c r="AF342" s="48"/>
      <c r="AG342" s="48"/>
      <c r="AH342" s="48"/>
      <c r="AI342" s="48"/>
      <c r="AJ342" s="48"/>
      <c r="AK342" s="48"/>
      <c r="AL342" s="48"/>
      <c r="AM342" s="48"/>
      <c r="AN342" s="48"/>
    </row>
    <row r="343" ht="15.75" customHeight="1">
      <c r="A343" s="5" t="str">
        <f t="shared" si="69"/>
        <v>CarrosseriePublicité 2</v>
      </c>
      <c r="B343" s="48" t="s">
        <v>174</v>
      </c>
      <c r="C343" s="654" t="s">
        <v>128</v>
      </c>
      <c r="D343" s="546"/>
      <c r="E343" s="48"/>
      <c r="F343" s="481" t="str">
        <f t="array" ref="F343">+SUMPRODUCT(('Budget original'!$A$8:$A$501=$A343)*('Budget original'!$C$3:$AO$3=F$2),'Budget original'!$C$8:$AO$501)</f>
        <v>#N/A</v>
      </c>
      <c r="G343" s="547"/>
      <c r="H343" s="48"/>
      <c r="I343" s="481"/>
      <c r="J343" s="480"/>
      <c r="K343" s="48"/>
      <c r="L343" s="484">
        <f>SUMIFS(BV_Data_An_Cour!$AN:$AN,BV_Data_An_Cour!$AP:$AP,$B343,BV_Data_An_Cour!$AQ:$AQ,$C343,BV_Data_An_Cour!$AR:$AR,$L$2)</f>
        <v>10806.28</v>
      </c>
      <c r="M343" s="480"/>
      <c r="N343" s="484" t="str">
        <f t="shared" si="71"/>
        <v>#N/A</v>
      </c>
      <c r="O343" s="480"/>
      <c r="P343" s="48"/>
      <c r="Q343" s="484">
        <f>SUMIFS(BV_Data_An_Prec!$AN:$AN,BV_Data_An_Prec!$AP:$AP,$B343,BV_Data_An_Prec!$AQ:$AQ,$C343,BV_Data_An_Prec!$AR:$AR,$L$2)</f>
        <v>3885.65</v>
      </c>
      <c r="R343" s="480"/>
      <c r="S343" s="484">
        <f t="shared" si="72"/>
        <v>6920.63</v>
      </c>
      <c r="T343" s="48"/>
      <c r="U343" s="48"/>
      <c r="V343" s="48"/>
      <c r="W343" s="48"/>
      <c r="X343" s="48"/>
      <c r="Y343" s="48"/>
      <c r="Z343" s="48"/>
      <c r="AA343" s="48"/>
      <c r="AB343" s="48"/>
      <c r="AC343" s="48"/>
      <c r="AD343" s="48"/>
      <c r="AE343" s="48"/>
      <c r="AF343" s="48"/>
      <c r="AG343" s="48"/>
      <c r="AH343" s="48"/>
      <c r="AI343" s="48"/>
      <c r="AJ343" s="48"/>
      <c r="AK343" s="48"/>
      <c r="AL343" s="48"/>
      <c r="AM343" s="48"/>
      <c r="AN343" s="48"/>
    </row>
    <row r="344" ht="15.75" customHeight="1">
      <c r="A344" s="5" t="str">
        <f t="shared" si="69"/>
        <v>CarrosserieService gratuit 2</v>
      </c>
      <c r="B344" s="48" t="s">
        <v>174</v>
      </c>
      <c r="C344" s="559" t="s">
        <v>129</v>
      </c>
      <c r="D344" s="546"/>
      <c r="E344" s="48"/>
      <c r="F344" s="481" t="str">
        <f t="array" ref="F344">+SUMPRODUCT(('Budget original'!$A$8:$A$501=$A344)*('Budget original'!$C$3:$AO$3=F$2),'Budget original'!$C$8:$AO$501)</f>
        <v>#N/A</v>
      </c>
      <c r="G344" s="547"/>
      <c r="H344" s="48"/>
      <c r="I344" s="481"/>
      <c r="J344" s="480"/>
      <c r="K344" s="48"/>
      <c r="L344" s="484">
        <f>SUMIFS(BV_Data_An_Cour!$AN:$AN,BV_Data_An_Cour!$AP:$AP,$B344,BV_Data_An_Cour!$AQ:$AQ,$C344,BV_Data_An_Cour!$AR:$AR,$L$2)</f>
        <v>13197.57</v>
      </c>
      <c r="M344" s="480"/>
      <c r="N344" s="484" t="str">
        <f t="shared" si="71"/>
        <v>#N/A</v>
      </c>
      <c r="O344" s="480"/>
      <c r="P344" s="48"/>
      <c r="Q344" s="484">
        <f>SUMIFS(BV_Data_An_Prec!$AN:$AN,BV_Data_An_Prec!$AP:$AP,$B344,BV_Data_An_Prec!$AQ:$AQ,$C344,BV_Data_An_Prec!$AR:$AR,$L$2)</f>
        <v>13124.4</v>
      </c>
      <c r="R344" s="480"/>
      <c r="S344" s="484">
        <f t="shared" si="72"/>
        <v>73.17</v>
      </c>
      <c r="T344" s="48"/>
      <c r="U344" s="5"/>
      <c r="V344" s="48"/>
      <c r="W344" s="48"/>
      <c r="X344" s="48"/>
      <c r="Y344" s="48"/>
      <c r="Z344" s="48"/>
      <c r="AA344" s="48"/>
      <c r="AB344" s="48"/>
      <c r="AC344" s="48"/>
      <c r="AD344" s="48"/>
      <c r="AE344" s="48"/>
      <c r="AF344" s="48"/>
      <c r="AG344" s="48"/>
      <c r="AH344" s="48"/>
      <c r="AI344" s="48"/>
      <c r="AJ344" s="48"/>
      <c r="AK344" s="48"/>
      <c r="AL344" s="48"/>
      <c r="AM344" s="48"/>
      <c r="AN344" s="48"/>
    </row>
    <row r="345" ht="15.75" customHeight="1">
      <c r="A345" s="5" t="str">
        <f t="shared" si="69"/>
        <v>CarrosserieFrais véhicules de cie</v>
      </c>
      <c r="B345" s="48" t="s">
        <v>174</v>
      </c>
      <c r="C345" s="560" t="s">
        <v>130</v>
      </c>
      <c r="D345" s="549"/>
      <c r="E345" s="564"/>
      <c r="F345" s="473" t="str">
        <f t="array" ref="F345">+SUMPRODUCT(('Budget original'!$A$8:$A$501=$A345)*('Budget original'!$C$3:$AO$3=F$2),'Budget original'!$C$8:$AO$501)</f>
        <v>#N/A</v>
      </c>
      <c r="G345" s="550"/>
      <c r="H345" s="564"/>
      <c r="I345" s="473"/>
      <c r="J345" s="471"/>
      <c r="K345" s="564"/>
      <c r="L345" s="484">
        <f>SUMIFS(BV_Data_An_Cour!$AN:$AN,BV_Data_An_Cour!$AP:$AP,$B345,BV_Data_An_Cour!$AQ:$AQ,$C345,BV_Data_An_Cour!$AR:$AR,$L$2)</f>
        <v>12381.16</v>
      </c>
      <c r="M345" s="471"/>
      <c r="N345" s="476" t="str">
        <f t="shared" si="71"/>
        <v>#N/A</v>
      </c>
      <c r="O345" s="471"/>
      <c r="P345" s="564"/>
      <c r="Q345" s="484">
        <f>SUMIFS(BV_Data_An_Prec!$AN:$AN,BV_Data_An_Prec!$AP:$AP,$B345,BV_Data_An_Prec!$AQ:$AQ,$C345,BV_Data_An_Prec!$AR:$AR,$L$2)</f>
        <v>-2326.72</v>
      </c>
      <c r="R345" s="471"/>
      <c r="S345" s="476">
        <f t="shared" si="72"/>
        <v>14707.88</v>
      </c>
      <c r="T345" s="48"/>
      <c r="U345" s="48"/>
      <c r="V345" s="48"/>
      <c r="W345" s="48"/>
      <c r="X345" s="48"/>
      <c r="Y345" s="48"/>
      <c r="Z345" s="48"/>
      <c r="AA345" s="48"/>
      <c r="AB345" s="48"/>
      <c r="AC345" s="48"/>
      <c r="AD345" s="48"/>
      <c r="AE345" s="48"/>
      <c r="AF345" s="48"/>
      <c r="AG345" s="48"/>
      <c r="AH345" s="48"/>
      <c r="AI345" s="48"/>
      <c r="AJ345" s="48"/>
      <c r="AK345" s="48"/>
      <c r="AL345" s="48"/>
      <c r="AM345" s="48"/>
      <c r="AN345" s="48"/>
    </row>
    <row r="346" ht="15.75" customHeight="1">
      <c r="A346" s="5" t="str">
        <f t="shared" si="69"/>
        <v>CarrosserieInformatique</v>
      </c>
      <c r="B346" s="48" t="s">
        <v>174</v>
      </c>
      <c r="C346" s="559" t="s">
        <v>131</v>
      </c>
      <c r="D346" s="546"/>
      <c r="E346" s="48"/>
      <c r="F346" s="481" t="str">
        <f t="array" ref="F346">+SUMPRODUCT(('Budget original'!$A$8:$A$501=$A346)*('Budget original'!$C$3:$AO$3=F$2),'Budget original'!$C$8:$AO$501)</f>
        <v>#N/A</v>
      </c>
      <c r="G346" s="547"/>
      <c r="H346" s="48"/>
      <c r="I346" s="481"/>
      <c r="J346" s="480"/>
      <c r="K346" s="48"/>
      <c r="L346" s="523">
        <f>SUMIFS(BV_Data_An_Cour!$AN:$AN,BV_Data_An_Cour!$AP:$AP,$B346,BV_Data_An_Cour!$AQ:$AQ,$C346,BV_Data_An_Cour!$AR:$AR,$L$2)</f>
        <v>20329.39</v>
      </c>
      <c r="M346" s="480"/>
      <c r="N346" s="484" t="str">
        <f t="shared" si="71"/>
        <v>#N/A</v>
      </c>
      <c r="O346" s="480"/>
      <c r="P346" s="48"/>
      <c r="Q346" s="523">
        <f>SUMIFS(BV_Data_An_Prec!$AN:$AN,BV_Data_An_Prec!$AP:$AP,$B346,BV_Data_An_Prec!$AQ:$AQ,$C346,BV_Data_An_Prec!$AR:$AR,$L$2)</f>
        <v>15209.96</v>
      </c>
      <c r="R346" s="480"/>
      <c r="S346" s="484">
        <f t="shared" si="72"/>
        <v>5119.43</v>
      </c>
      <c r="T346" s="48"/>
      <c r="U346" s="48"/>
      <c r="V346" s="48"/>
      <c r="W346" s="48"/>
      <c r="X346" s="48"/>
      <c r="Y346" s="48"/>
      <c r="Z346" s="48"/>
      <c r="AA346" s="48"/>
      <c r="AB346" s="48"/>
      <c r="AC346" s="48"/>
      <c r="AD346" s="48"/>
      <c r="AE346" s="48"/>
      <c r="AF346" s="48"/>
      <c r="AG346" s="48"/>
      <c r="AH346" s="48"/>
      <c r="AI346" s="48"/>
      <c r="AJ346" s="48"/>
      <c r="AK346" s="48"/>
      <c r="AL346" s="48"/>
      <c r="AM346" s="48"/>
      <c r="AN346" s="48"/>
    </row>
    <row r="347" ht="15.75" customHeight="1">
      <c r="A347" s="5" t="str">
        <f t="shared" si="69"/>
        <v>CarrosserieFrais de déplacement</v>
      </c>
      <c r="B347" s="48" t="s">
        <v>174</v>
      </c>
      <c r="C347" s="559" t="s">
        <v>132</v>
      </c>
      <c r="D347" s="546"/>
      <c r="E347" s="48"/>
      <c r="F347" s="481" t="str">
        <f t="array" ref="F347">+SUMPRODUCT(('Budget original'!$A$8:$A$501=$A347)*('Budget original'!$C$3:$AO$3=F$2),'Budget original'!$C$8:$AO$501)</f>
        <v>#N/A</v>
      </c>
      <c r="G347" s="547"/>
      <c r="H347" s="48"/>
      <c r="I347" s="481"/>
      <c r="J347" s="480"/>
      <c r="K347" s="48"/>
      <c r="L347" s="484">
        <f>SUMIFS(BV_Data_An_Cour!$AN:$AN,BV_Data_An_Cour!$AP:$AP,$B347,BV_Data_An_Cour!$AQ:$AQ,$C347,BV_Data_An_Cour!$AR:$AR,$L$2)</f>
        <v>7031.62</v>
      </c>
      <c r="M347" s="480"/>
      <c r="N347" s="484" t="str">
        <f t="shared" si="71"/>
        <v>#N/A</v>
      </c>
      <c r="O347" s="480"/>
      <c r="P347" s="48"/>
      <c r="Q347" s="484">
        <f>SUMIFS(BV_Data_An_Prec!$AN:$AN,BV_Data_An_Prec!$AP:$AP,$B347,BV_Data_An_Prec!$AQ:$AQ,$C347,BV_Data_An_Prec!$AR:$AR,$L$2)</f>
        <v>10478.15</v>
      </c>
      <c r="R347" s="480"/>
      <c r="S347" s="484">
        <f t="shared" si="72"/>
        <v>-3446.53</v>
      </c>
      <c r="T347" s="48"/>
      <c r="U347" s="48"/>
      <c r="V347" s="48"/>
      <c r="W347" s="48"/>
      <c r="X347" s="48"/>
      <c r="Y347" s="48"/>
      <c r="Z347" s="48"/>
      <c r="AA347" s="48"/>
      <c r="AB347" s="48"/>
      <c r="AC347" s="48"/>
      <c r="AD347" s="48"/>
      <c r="AE347" s="48"/>
      <c r="AF347" s="48"/>
      <c r="AG347" s="48"/>
      <c r="AH347" s="48"/>
      <c r="AI347" s="48"/>
      <c r="AJ347" s="48"/>
      <c r="AK347" s="48"/>
      <c r="AL347" s="48"/>
      <c r="AM347" s="48"/>
      <c r="AN347" s="48"/>
    </row>
    <row r="348" ht="15.75" customHeight="1">
      <c r="A348" s="5" t="str">
        <f t="shared" si="69"/>
        <v>CarrosserieServices extérieurs</v>
      </c>
      <c r="B348" s="48" t="s">
        <v>174</v>
      </c>
      <c r="C348" s="559" t="s">
        <v>133</v>
      </c>
      <c r="D348" s="549"/>
      <c r="E348" s="564"/>
      <c r="F348" s="473" t="str">
        <f t="array" ref="F348">+SUMPRODUCT(('Budget original'!$A$8:$A$501=$A348)*('Budget original'!$C$3:$AO$3=F$2),'Budget original'!$C$8:$AO$501)</f>
        <v>#N/A</v>
      </c>
      <c r="G348" s="550"/>
      <c r="H348" s="564"/>
      <c r="I348" s="473"/>
      <c r="J348" s="471"/>
      <c r="K348" s="564"/>
      <c r="L348" s="484">
        <f>SUMIFS(BV_Data_An_Cour!$AN:$AN,BV_Data_An_Cour!$AP:$AP,$B348,BV_Data_An_Cour!$AQ:$AQ,$C348,BV_Data_An_Cour!$AR:$AR,$L$2)</f>
        <v>28482.5</v>
      </c>
      <c r="M348" s="471"/>
      <c r="N348" s="476" t="str">
        <f t="shared" si="71"/>
        <v>#N/A</v>
      </c>
      <c r="O348" s="471"/>
      <c r="P348" s="564"/>
      <c r="Q348" s="484">
        <f>SUMIFS(BV_Data_An_Prec!$AN:$AN,BV_Data_An_Prec!$AP:$AP,$B348,BV_Data_An_Prec!$AQ:$AQ,$C348,BV_Data_An_Prec!$AR:$AR,$L$2)</f>
        <v>41712.04</v>
      </c>
      <c r="R348" s="471"/>
      <c r="S348" s="476">
        <f t="shared" si="72"/>
        <v>-13229.54</v>
      </c>
      <c r="T348" s="48"/>
      <c r="U348" s="48"/>
      <c r="V348" s="48"/>
      <c r="W348" s="48"/>
      <c r="X348" s="48"/>
      <c r="Y348" s="48"/>
      <c r="Z348" s="48"/>
      <c r="AA348" s="48"/>
      <c r="AB348" s="48"/>
      <c r="AC348" s="48"/>
      <c r="AD348" s="48"/>
      <c r="AE348" s="48"/>
      <c r="AF348" s="48"/>
      <c r="AG348" s="48"/>
      <c r="AH348" s="48"/>
      <c r="AI348" s="48"/>
      <c r="AJ348" s="48"/>
      <c r="AK348" s="48"/>
      <c r="AL348" s="48"/>
      <c r="AM348" s="48"/>
      <c r="AN348" s="48"/>
    </row>
    <row r="349" ht="15.75" customHeight="1">
      <c r="A349" s="5" t="str">
        <f t="shared" si="69"/>
        <v>CarrosserieFournitures d'atelier</v>
      </c>
      <c r="B349" s="48" t="s">
        <v>174</v>
      </c>
      <c r="C349" s="654" t="s">
        <v>173</v>
      </c>
      <c r="D349" s="546"/>
      <c r="E349" s="48"/>
      <c r="F349" s="481"/>
      <c r="G349" s="547"/>
      <c r="H349" s="48"/>
      <c r="I349" s="481"/>
      <c r="J349" s="480"/>
      <c r="K349" s="48"/>
      <c r="L349" s="523">
        <f>SUMIFS(BV_Data_An_Cour!$AN:$AN,BV_Data_An_Cour!$AP:$AP,$B349,BV_Data_An_Cour!$AQ:$AQ,$C349,BV_Data_An_Cour!$AR:$AR,$L$2)</f>
        <v>0</v>
      </c>
      <c r="M349" s="480"/>
      <c r="N349" s="484">
        <f t="shared" si="71"/>
        <v>0</v>
      </c>
      <c r="O349" s="480"/>
      <c r="P349" s="48"/>
      <c r="Q349" s="523">
        <f>SUMIFS(BV_Data_An_Prec!$AN:$AN,BV_Data_An_Prec!$AP:$AP,$B349,BV_Data_An_Prec!$AQ:$AQ,$C349,BV_Data_An_Prec!$AR:$AR,$L$2)</f>
        <v>0</v>
      </c>
      <c r="R349" s="480"/>
      <c r="S349" s="484">
        <f t="shared" si="72"/>
        <v>0</v>
      </c>
      <c r="T349" s="48"/>
      <c r="U349" s="48"/>
      <c r="V349" s="48"/>
      <c r="W349" s="48"/>
      <c r="X349" s="48"/>
      <c r="Y349" s="48"/>
      <c r="Z349" s="48"/>
      <c r="AA349" s="48"/>
      <c r="AB349" s="48"/>
      <c r="AC349" s="48"/>
      <c r="AD349" s="48"/>
      <c r="AE349" s="48"/>
      <c r="AF349" s="48"/>
      <c r="AG349" s="48"/>
      <c r="AH349" s="48"/>
      <c r="AI349" s="48"/>
      <c r="AJ349" s="48"/>
      <c r="AK349" s="48"/>
      <c r="AL349" s="48"/>
      <c r="AM349" s="48"/>
      <c r="AN349" s="48"/>
    </row>
    <row r="350" ht="15.75" customHeight="1">
      <c r="A350" s="5" t="str">
        <f t="shared" si="69"/>
        <v>CarrosserieFournitures autres</v>
      </c>
      <c r="B350" s="48" t="s">
        <v>174</v>
      </c>
      <c r="C350" s="559" t="s">
        <v>134</v>
      </c>
      <c r="D350" s="546"/>
      <c r="E350" s="48"/>
      <c r="F350" s="481" t="str">
        <f t="array" ref="F350">+SUMPRODUCT(('Budget original'!$A$8:$A$501=$A350)*('Budget original'!$C$3:$AO$3=F$2),'Budget original'!$C$8:$AO$501)</f>
        <v>#N/A</v>
      </c>
      <c r="G350" s="547"/>
      <c r="H350" s="48"/>
      <c r="I350" s="481"/>
      <c r="J350" s="480"/>
      <c r="K350" s="48"/>
      <c r="L350" s="484">
        <f>SUMIFS(BV_Data_An_Cour!$AN:$AN,BV_Data_An_Cour!$AP:$AP,$B350,BV_Data_An_Cour!$AQ:$AQ,$C350,BV_Data_An_Cour!$AR:$AR,$L$2)</f>
        <v>90481.03</v>
      </c>
      <c r="M350" s="480"/>
      <c r="N350" s="484" t="str">
        <f t="shared" si="71"/>
        <v>#N/A</v>
      </c>
      <c r="O350" s="480"/>
      <c r="P350" s="48"/>
      <c r="Q350" s="484">
        <f>SUMIFS(BV_Data_An_Prec!$AN:$AN,BV_Data_An_Prec!$AP:$AP,$B350,BV_Data_An_Prec!$AQ:$AQ,$C350,BV_Data_An_Prec!$AR:$AR,$L$2)</f>
        <v>32506.39</v>
      </c>
      <c r="R350" s="480"/>
      <c r="S350" s="484">
        <f t="shared" si="72"/>
        <v>57974.64</v>
      </c>
      <c r="T350" s="48"/>
      <c r="U350" s="48"/>
      <c r="V350" s="48"/>
      <c r="W350" s="48"/>
      <c r="X350" s="48"/>
      <c r="Y350" s="48"/>
      <c r="Z350" s="48"/>
      <c r="AA350" s="48"/>
      <c r="AB350" s="48"/>
      <c r="AC350" s="48"/>
      <c r="AD350" s="48"/>
      <c r="AE350" s="48"/>
      <c r="AF350" s="48"/>
      <c r="AG350" s="48"/>
      <c r="AH350" s="48"/>
      <c r="AI350" s="48"/>
      <c r="AJ350" s="48"/>
      <c r="AK350" s="48"/>
      <c r="AL350" s="48"/>
      <c r="AM350" s="48"/>
      <c r="AN350" s="48"/>
    </row>
    <row r="351" ht="15.75" customHeight="1">
      <c r="A351" s="5" t="str">
        <f t="shared" si="69"/>
        <v>CarrosserieUniformes</v>
      </c>
      <c r="B351" s="48" t="s">
        <v>174</v>
      </c>
      <c r="C351" s="559" t="s">
        <v>135</v>
      </c>
      <c r="D351" s="546"/>
      <c r="E351" s="48"/>
      <c r="F351" s="481" t="str">
        <f t="array" ref="F351">+SUMPRODUCT(('Budget original'!$A$8:$A$501=$A351)*('Budget original'!$C$3:$AO$3=F$2),'Budget original'!$C$8:$AO$501)</f>
        <v>#N/A</v>
      </c>
      <c r="G351" s="547"/>
      <c r="H351" s="48"/>
      <c r="I351" s="481"/>
      <c r="J351" s="480"/>
      <c r="K351" s="48"/>
      <c r="L351" s="484">
        <f>SUMIFS(BV_Data_An_Cour!$AN:$AN,BV_Data_An_Cour!$AP:$AP,$B351,BV_Data_An_Cour!$AQ:$AQ,$C351,BV_Data_An_Cour!$AR:$AR,$L$2)</f>
        <v>849.36</v>
      </c>
      <c r="M351" s="480"/>
      <c r="N351" s="484" t="str">
        <f t="shared" si="71"/>
        <v>#N/A</v>
      </c>
      <c r="O351" s="480"/>
      <c r="P351" s="48"/>
      <c r="Q351" s="484">
        <f>SUMIFS(BV_Data_An_Prec!$AN:$AN,BV_Data_An_Prec!$AP:$AP,$B351,BV_Data_An_Prec!$AQ:$AQ,$C351,BV_Data_An_Prec!$AR:$AR,$L$2)</f>
        <v>0</v>
      </c>
      <c r="R351" s="480"/>
      <c r="S351" s="484">
        <f t="shared" si="72"/>
        <v>849.36</v>
      </c>
      <c r="T351" s="48"/>
      <c r="U351" s="48"/>
      <c r="V351" s="48"/>
      <c r="W351" s="48"/>
      <c r="X351" s="48"/>
      <c r="Y351" s="48"/>
      <c r="Z351" s="48"/>
      <c r="AA351" s="48"/>
      <c r="AB351" s="48"/>
      <c r="AC351" s="48"/>
      <c r="AD351" s="48"/>
      <c r="AE351" s="48"/>
      <c r="AF351" s="48"/>
      <c r="AG351" s="48"/>
      <c r="AH351" s="48"/>
      <c r="AI351" s="48"/>
      <c r="AJ351" s="48"/>
      <c r="AK351" s="48"/>
      <c r="AL351" s="48"/>
      <c r="AM351" s="48"/>
      <c r="AN351" s="48"/>
    </row>
    <row r="352" ht="15.75" customHeight="1">
      <c r="A352" s="5" t="str">
        <f t="shared" si="69"/>
        <v>CarrosseriePapeterie</v>
      </c>
      <c r="B352" s="48" t="s">
        <v>174</v>
      </c>
      <c r="C352" s="559" t="s">
        <v>136</v>
      </c>
      <c r="D352" s="546"/>
      <c r="E352" s="48"/>
      <c r="F352" s="481" t="str">
        <f t="array" ref="F352">+SUMPRODUCT(('Budget original'!$A$8:$A$501=$A352)*('Budget original'!$C$3:$AO$3=F$2),'Budget original'!$C$8:$AO$501)</f>
        <v>#N/A</v>
      </c>
      <c r="G352" s="547"/>
      <c r="H352" s="48"/>
      <c r="I352" s="481"/>
      <c r="J352" s="480"/>
      <c r="K352" s="48"/>
      <c r="L352" s="484">
        <f>SUMIFS(BV_Data_An_Cour!$AN:$AN,BV_Data_An_Cour!$AP:$AP,$B352,BV_Data_An_Cour!$AQ:$AQ,$C352,BV_Data_An_Cour!$AR:$AR,$L$2)</f>
        <v>3349.93</v>
      </c>
      <c r="M352" s="480"/>
      <c r="N352" s="484" t="str">
        <f t="shared" si="71"/>
        <v>#N/A</v>
      </c>
      <c r="O352" s="480"/>
      <c r="P352" s="48"/>
      <c r="Q352" s="484">
        <f>SUMIFS(BV_Data_An_Prec!$AN:$AN,BV_Data_An_Prec!$AP:$AP,$B352,BV_Data_An_Prec!$AQ:$AQ,$C352,BV_Data_An_Prec!$AR:$AR,$L$2)</f>
        <v>4913.13</v>
      </c>
      <c r="R352" s="480"/>
      <c r="S352" s="484">
        <f t="shared" si="72"/>
        <v>-1563.2</v>
      </c>
      <c r="T352" s="48"/>
      <c r="U352" s="48"/>
      <c r="V352" s="48"/>
      <c r="W352" s="48"/>
      <c r="X352" s="48"/>
      <c r="Y352" s="48"/>
      <c r="Z352" s="48"/>
      <c r="AA352" s="48"/>
      <c r="AB352" s="48"/>
      <c r="AC352" s="48"/>
      <c r="AD352" s="48"/>
      <c r="AE352" s="48"/>
      <c r="AF352" s="48"/>
      <c r="AG352" s="48"/>
      <c r="AH352" s="48"/>
      <c r="AI352" s="48"/>
      <c r="AJ352" s="48"/>
      <c r="AK352" s="48"/>
      <c r="AL352" s="48"/>
      <c r="AM352" s="48"/>
      <c r="AN352" s="48"/>
    </row>
    <row r="353" ht="15.75" customHeight="1">
      <c r="A353" s="5" t="str">
        <f t="shared" si="69"/>
        <v>CarrosserieTéléphone</v>
      </c>
      <c r="B353" s="48" t="s">
        <v>174</v>
      </c>
      <c r="C353" s="559" t="s">
        <v>137</v>
      </c>
      <c r="D353" s="546"/>
      <c r="E353" s="48"/>
      <c r="F353" s="481" t="str">
        <f t="array" ref="F353">+SUMPRODUCT(('Budget original'!$A$8:$A$501=$A353)*('Budget original'!$C$3:$AO$3=F$2),'Budget original'!$C$8:$AO$501)</f>
        <v>#N/A</v>
      </c>
      <c r="G353" s="547"/>
      <c r="H353" s="48"/>
      <c r="I353" s="481"/>
      <c r="J353" s="480"/>
      <c r="K353" s="48"/>
      <c r="L353" s="484">
        <f>SUMIFS(BV_Data_An_Cour!$AN:$AN,BV_Data_An_Cour!$AP:$AP,$B353,BV_Data_An_Cour!$AQ:$AQ,$C353,BV_Data_An_Cour!$AR:$AR,$L$2)</f>
        <v>1891.46</v>
      </c>
      <c r="M353" s="480"/>
      <c r="N353" s="484" t="str">
        <f t="shared" si="71"/>
        <v>#N/A</v>
      </c>
      <c r="O353" s="480"/>
      <c r="P353" s="48"/>
      <c r="Q353" s="484">
        <f>SUMIFS(BV_Data_An_Prec!$AN:$AN,BV_Data_An_Prec!$AP:$AP,$B353,BV_Data_An_Prec!$AQ:$AQ,$C353,BV_Data_An_Prec!$AR:$AR,$L$2)</f>
        <v>2777.89</v>
      </c>
      <c r="R353" s="480"/>
      <c r="S353" s="484">
        <f t="shared" si="72"/>
        <v>-886.43</v>
      </c>
      <c r="T353" s="48"/>
      <c r="U353" s="48"/>
      <c r="V353" s="48"/>
      <c r="W353" s="48"/>
      <c r="X353" s="48"/>
      <c r="Y353" s="48"/>
      <c r="Z353" s="48"/>
      <c r="AA353" s="48"/>
      <c r="AB353" s="48"/>
      <c r="AC353" s="48"/>
      <c r="AD353" s="48"/>
      <c r="AE353" s="48"/>
      <c r="AF353" s="48"/>
      <c r="AG353" s="48"/>
      <c r="AH353" s="48"/>
      <c r="AI353" s="48"/>
      <c r="AJ353" s="48"/>
      <c r="AK353" s="48"/>
      <c r="AL353" s="48"/>
      <c r="AM353" s="48"/>
      <c r="AN353" s="48"/>
    </row>
    <row r="354" ht="15.75" customHeight="1">
      <c r="A354" s="5" t="str">
        <f t="shared" si="69"/>
        <v>CarrosserieFrais postaux</v>
      </c>
      <c r="B354" s="48" t="s">
        <v>174</v>
      </c>
      <c r="C354" s="559" t="s">
        <v>138</v>
      </c>
      <c r="D354" s="546"/>
      <c r="E354" s="48"/>
      <c r="F354" s="481" t="str">
        <f t="array" ref="F354">+SUMPRODUCT(('Budget original'!$A$8:$A$501=$A354)*('Budget original'!$C$3:$AO$3=F$2),'Budget original'!$C$8:$AO$501)</f>
        <v>#N/A</v>
      </c>
      <c r="G354" s="547"/>
      <c r="H354" s="48"/>
      <c r="I354" s="481"/>
      <c r="J354" s="480"/>
      <c r="K354" s="48"/>
      <c r="L354" s="484">
        <f>SUMIFS(BV_Data_An_Cour!$AN:$AN,BV_Data_An_Cour!$AP:$AP,$B354,BV_Data_An_Cour!$AQ:$AQ,$C354,BV_Data_An_Cour!$AR:$AR,$L$2)</f>
        <v>3221.77</v>
      </c>
      <c r="M354" s="480"/>
      <c r="N354" s="484" t="str">
        <f t="shared" si="71"/>
        <v>#N/A</v>
      </c>
      <c r="O354" s="480"/>
      <c r="P354" s="48"/>
      <c r="Q354" s="484">
        <f>SUMIFS(BV_Data_An_Prec!$AN:$AN,BV_Data_An_Prec!$AP:$AP,$B354,BV_Data_An_Prec!$AQ:$AQ,$C354,BV_Data_An_Prec!$AR:$AR,$L$2)</f>
        <v>2261.53</v>
      </c>
      <c r="R354" s="480"/>
      <c r="S354" s="484">
        <f t="shared" si="72"/>
        <v>960.24</v>
      </c>
      <c r="T354" s="48"/>
      <c r="U354" s="48"/>
      <c r="V354" s="48"/>
      <c r="W354" s="48"/>
      <c r="X354" s="48"/>
      <c r="Y354" s="48"/>
      <c r="Z354" s="48"/>
      <c r="AA354" s="48"/>
      <c r="AB354" s="48"/>
      <c r="AC354" s="48"/>
      <c r="AD354" s="48"/>
      <c r="AE354" s="48"/>
      <c r="AF354" s="48"/>
      <c r="AG354" s="48"/>
      <c r="AH354" s="48"/>
      <c r="AI354" s="48"/>
      <c r="AJ354" s="48"/>
      <c r="AK354" s="48"/>
      <c r="AL354" s="48"/>
      <c r="AM354" s="48"/>
      <c r="AN354" s="48"/>
    </row>
    <row r="355" ht="15.75" customHeight="1">
      <c r="A355" s="5" t="str">
        <f t="shared" si="69"/>
        <v>CarrosserieDivers</v>
      </c>
      <c r="B355" s="48" t="s">
        <v>174</v>
      </c>
      <c r="C355" s="559" t="s">
        <v>139</v>
      </c>
      <c r="D355" s="546"/>
      <c r="E355" s="48"/>
      <c r="F355" s="481" t="str">
        <f t="array" ref="F355">+SUMPRODUCT(('Budget original'!$A$8:$A$501=$A355)*('Budget original'!$C$3:$AO$3=F$2),'Budget original'!$C$8:$AO$501)</f>
        <v>#N/A</v>
      </c>
      <c r="G355" s="547"/>
      <c r="H355" s="48"/>
      <c r="I355" s="481"/>
      <c r="J355" s="480"/>
      <c r="K355" s="48"/>
      <c r="L355" s="484">
        <f>SUMIFS(BV_Data_An_Cour!$AN:$AN,BV_Data_An_Cour!$AP:$AP,$B355,BV_Data_An_Cour!$AQ:$AQ,$C355,BV_Data_An_Cour!$AR:$AR,$L$2)</f>
        <v>15789.75</v>
      </c>
      <c r="M355" s="480"/>
      <c r="N355" s="484" t="str">
        <f t="shared" si="71"/>
        <v>#N/A</v>
      </c>
      <c r="O355" s="480"/>
      <c r="P355" s="48"/>
      <c r="Q355" s="484">
        <f>SUMIFS(BV_Data_An_Prec!$AN:$AN,BV_Data_An_Prec!$AP:$AP,$B355,BV_Data_An_Prec!$AQ:$AQ,$C355,BV_Data_An_Prec!$AR:$AR,$L$2)</f>
        <v>17175.04</v>
      </c>
      <c r="R355" s="480"/>
      <c r="S355" s="484">
        <f t="shared" si="72"/>
        <v>-1385.29</v>
      </c>
      <c r="T355" s="48"/>
      <c r="U355" s="48"/>
      <c r="V355" s="48"/>
      <c r="W355" s="48"/>
      <c r="X355" s="48"/>
      <c r="Y355" s="48"/>
      <c r="Z355" s="48"/>
      <c r="AA355" s="48"/>
      <c r="AB355" s="48"/>
      <c r="AC355" s="48"/>
      <c r="AD355" s="48"/>
      <c r="AE355" s="48"/>
      <c r="AF355" s="48"/>
      <c r="AG355" s="48"/>
      <c r="AH355" s="48"/>
      <c r="AI355" s="48"/>
      <c r="AJ355" s="48"/>
      <c r="AK355" s="48"/>
      <c r="AL355" s="48"/>
      <c r="AM355" s="48"/>
      <c r="AN355" s="48"/>
    </row>
    <row r="356" ht="15.75" customHeight="1">
      <c r="A356" s="5" t="str">
        <f t="shared" si="69"/>
        <v>CarrosserieFormation</v>
      </c>
      <c r="B356" s="48" t="s">
        <v>174</v>
      </c>
      <c r="C356" s="559" t="s">
        <v>140</v>
      </c>
      <c r="D356" s="546"/>
      <c r="E356" s="48"/>
      <c r="F356" s="481" t="str">
        <f t="array" ref="F356">+SUMPRODUCT(('Budget original'!$A$8:$A$501=$A356)*('Budget original'!$C$3:$AO$3=F$2),'Budget original'!$C$8:$AO$501)</f>
        <v>#N/A</v>
      </c>
      <c r="G356" s="547"/>
      <c r="H356" s="48"/>
      <c r="I356" s="481"/>
      <c r="J356" s="480"/>
      <c r="K356" s="48"/>
      <c r="L356" s="484">
        <f>SUMIFS(BV_Data_An_Cour!$AN:$AN,BV_Data_An_Cour!$AP:$AP,$B356,BV_Data_An_Cour!$AQ:$AQ,$C356,BV_Data_An_Cour!$AR:$AR,$L$2)</f>
        <v>1417.21</v>
      </c>
      <c r="M356" s="480"/>
      <c r="N356" s="484" t="str">
        <f t="shared" si="71"/>
        <v>#N/A</v>
      </c>
      <c r="O356" s="480"/>
      <c r="P356" s="48"/>
      <c r="Q356" s="484">
        <f>SUMIFS(BV_Data_An_Prec!$AN:$AN,BV_Data_An_Prec!$AP:$AP,$B356,BV_Data_An_Prec!$AQ:$AQ,$C356,BV_Data_An_Prec!$AR:$AR,$L$2)</f>
        <v>3002.4</v>
      </c>
      <c r="R356" s="480"/>
      <c r="S356" s="484">
        <f t="shared" si="72"/>
        <v>-1585.19</v>
      </c>
      <c r="T356" s="48"/>
      <c r="X356" s="48"/>
      <c r="Y356" s="48"/>
      <c r="Z356" s="48"/>
      <c r="AA356" s="48"/>
      <c r="AB356" s="48"/>
      <c r="AC356" s="48"/>
      <c r="AD356" s="48"/>
      <c r="AE356" s="48"/>
      <c r="AF356" s="48"/>
      <c r="AG356" s="48"/>
      <c r="AH356" s="48"/>
      <c r="AI356" s="48"/>
      <c r="AJ356" s="48"/>
      <c r="AK356" s="48"/>
      <c r="AL356" s="48"/>
      <c r="AM356" s="48"/>
      <c r="AN356" s="48"/>
    </row>
    <row r="357" ht="15.75" customHeight="1">
      <c r="A357" s="5" t="str">
        <f t="shared" si="69"/>
        <v>CarrosserieFrais bancaires</v>
      </c>
      <c r="B357" s="48" t="s">
        <v>174</v>
      </c>
      <c r="C357" s="559" t="s">
        <v>141</v>
      </c>
      <c r="D357" s="546"/>
      <c r="E357" s="48"/>
      <c r="F357" s="481" t="str">
        <f t="array" ref="F357">+SUMPRODUCT(('Budget original'!$A$8:$A$501=$A357)*('Budget original'!$C$3:$AO$3=F$2),'Budget original'!$C$8:$AO$501)</f>
        <v>#N/A</v>
      </c>
      <c r="G357" s="547"/>
      <c r="H357" s="48"/>
      <c r="I357" s="481"/>
      <c r="J357" s="480"/>
      <c r="K357" s="48"/>
      <c r="L357" s="484">
        <f>SUMIFS(BV_Data_An_Cour!$AN:$AN,BV_Data_An_Cour!$AP:$AP,$B357,BV_Data_An_Cour!$AQ:$AQ,$C357,BV_Data_An_Cour!$AR:$AR,L$2)</f>
        <v>4532.64</v>
      </c>
      <c r="M357" s="480"/>
      <c r="N357" s="484" t="str">
        <f t="shared" si="71"/>
        <v>#N/A</v>
      </c>
      <c r="O357" s="480"/>
      <c r="P357" s="48"/>
      <c r="Q357" s="484">
        <f>SUMIFS(BV_Data_An_Prec!$AN:$AN,BV_Data_An_Prec!$AP:$AP,$B357,BV_Data_An_Prec!$AQ:$AQ,$C357,BV_Data_An_Prec!$AR:$AR,$L$2)</f>
        <v>1007.87</v>
      </c>
      <c r="R357" s="480"/>
      <c r="S357" s="484">
        <f t="shared" si="72"/>
        <v>3524.77</v>
      </c>
      <c r="T357" s="48"/>
      <c r="X357" s="48"/>
      <c r="Y357" s="48"/>
      <c r="Z357" s="48"/>
      <c r="AA357" s="48"/>
      <c r="AB357" s="48"/>
      <c r="AC357" s="48"/>
      <c r="AD357" s="48"/>
      <c r="AE357" s="48"/>
      <c r="AF357" s="48"/>
      <c r="AG357" s="48"/>
      <c r="AH357" s="48"/>
      <c r="AI357" s="48"/>
      <c r="AJ357" s="48"/>
      <c r="AK357" s="48"/>
      <c r="AL357" s="48"/>
      <c r="AM357" s="48"/>
      <c r="AN357" s="48"/>
    </row>
    <row r="358" ht="20.25" customHeight="1">
      <c r="A358" s="5" t="str">
        <f t="shared" si="69"/>
        <v>CarrosserieFrais assurances</v>
      </c>
      <c r="B358" s="48" t="s">
        <v>174</v>
      </c>
      <c r="C358" s="559" t="s">
        <v>984</v>
      </c>
      <c r="D358" s="546"/>
      <c r="E358" s="48"/>
      <c r="F358" s="481" t="str">
        <f t="array" ref="F358">+SUMPRODUCT(('Budget original'!$A$8:$A$501=$A358)*('Budget original'!$C$3:$AO$3=F$2),'Budget original'!$C$8:$AO$501)</f>
        <v>#N/A</v>
      </c>
      <c r="G358" s="547"/>
      <c r="H358" s="48"/>
      <c r="I358" s="481"/>
      <c r="J358" s="480"/>
      <c r="K358" s="48"/>
      <c r="L358" s="484">
        <f>SUMIFS(BV_Data_An_Cour!$AN:$AN,BV_Data_An_Cour!$AP:$AP,$B358,BV_Data_An_Cour!$AQ:$AQ,$C358,BV_Data_An_Cour!$AR:$AR,$L$2)</f>
        <v>14149.36</v>
      </c>
      <c r="M358" s="480"/>
      <c r="N358" s="484" t="str">
        <f t="shared" si="71"/>
        <v>#N/A</v>
      </c>
      <c r="O358" s="480"/>
      <c r="P358" s="48"/>
      <c r="Q358" s="484">
        <f>SUMIFS(BV_Data_An_Prec!$AN:$AN,BV_Data_An_Prec!$AP:$AP,$B358,BV_Data_An_Prec!$AQ:$AQ,$C358,BV_Data_An_Prec!$AR:$AR,$L$2)</f>
        <v>0</v>
      </c>
      <c r="R358" s="480"/>
      <c r="S358" s="484">
        <f t="shared" si="72"/>
        <v>14149.36</v>
      </c>
      <c r="T358" s="48"/>
      <c r="X358" s="48"/>
      <c r="Y358" s="48"/>
      <c r="Z358" s="48"/>
      <c r="AA358" s="48"/>
      <c r="AB358" s="48"/>
      <c r="AC358" s="48"/>
      <c r="AD358" s="48"/>
      <c r="AE358" s="48"/>
      <c r="AF358" s="48"/>
      <c r="AG358" s="48"/>
      <c r="AH358" s="48"/>
      <c r="AI358" s="48"/>
      <c r="AJ358" s="48"/>
      <c r="AK358" s="48"/>
      <c r="AL358" s="48"/>
      <c r="AM358" s="48"/>
      <c r="AN358" s="48"/>
    </row>
    <row r="359" ht="20.25" hidden="1" customHeight="1">
      <c r="A359" s="5" t="str">
        <f t="shared" si="69"/>
        <v>Carrosserie[...]</v>
      </c>
      <c r="B359" s="48" t="s">
        <v>174</v>
      </c>
      <c r="C359" s="559" t="s">
        <v>56</v>
      </c>
      <c r="D359" s="546"/>
      <c r="E359" s="48"/>
      <c r="F359" s="481" t="str">
        <f t="array" ref="F359">+SUMPRODUCT(('Budget original'!$A$8:$A$501=$A359)*('Budget original'!$C$3:$AO$3=F$2),'Budget original'!$C$8:$AO$501)</f>
        <v>#N/A</v>
      </c>
      <c r="G359" s="547"/>
      <c r="H359" s="48"/>
      <c r="I359" s="481"/>
      <c r="J359" s="480"/>
      <c r="K359" s="48"/>
      <c r="L359" s="484">
        <f>SUMIFS(BV_Data_An_Cour!$AN:$AN,BV_Data_An_Cour!$AP:$AP,$B359,BV_Data_An_Cour!$AQ:$AQ,$C359,BV_Data_An_Cour!$AR:$AR,$L$2)</f>
        <v>0</v>
      </c>
      <c r="M359" s="480"/>
      <c r="N359" s="484" t="str">
        <f t="shared" si="71"/>
        <v>#N/A</v>
      </c>
      <c r="O359" s="480"/>
      <c r="P359" s="48"/>
      <c r="Q359" s="484">
        <f>SUMIFS(BV_Data_An_Prec!$AN:$AN,BV_Data_An_Prec!$AP:$AP,$B359,BV_Data_An_Prec!$AQ:$AQ,$C359,BV_Data_An_Prec!$AR:$AR,$L$2)</f>
        <v>0</v>
      </c>
      <c r="R359" s="480"/>
      <c r="S359" s="484">
        <f t="shared" si="72"/>
        <v>0</v>
      </c>
      <c r="T359" s="48"/>
      <c r="X359" s="48"/>
      <c r="Y359" s="48"/>
      <c r="Z359" s="48"/>
      <c r="AA359" s="48"/>
      <c r="AB359" s="48"/>
      <c r="AC359" s="48"/>
      <c r="AD359" s="48"/>
      <c r="AE359" s="48"/>
      <c r="AF359" s="48"/>
      <c r="AG359" s="48"/>
      <c r="AH359" s="48"/>
      <c r="AI359" s="48"/>
      <c r="AJ359" s="48"/>
      <c r="AK359" s="48"/>
      <c r="AL359" s="48"/>
      <c r="AM359" s="48"/>
      <c r="AN359" s="48"/>
    </row>
    <row r="360" ht="20.25" hidden="1" customHeight="1">
      <c r="A360" s="5" t="str">
        <f t="shared" si="69"/>
        <v>Carrosserie[...]</v>
      </c>
      <c r="B360" s="48" t="s">
        <v>174</v>
      </c>
      <c r="C360" s="559" t="s">
        <v>56</v>
      </c>
      <c r="D360" s="546"/>
      <c r="E360" s="48"/>
      <c r="F360" s="481" t="str">
        <f t="array" ref="F360">+SUMPRODUCT(('Budget original'!$A$8:$A$501=$A360)*('Budget original'!$C$3:$AO$3=F$2),'Budget original'!$C$8:$AO$501)</f>
        <v>#N/A</v>
      </c>
      <c r="G360" s="547"/>
      <c r="H360" s="48"/>
      <c r="I360" s="481"/>
      <c r="J360" s="480"/>
      <c r="K360" s="48"/>
      <c r="L360" s="484">
        <f>SUMIFS(BV_Data_An_Cour!$AN:$AN,BV_Data_An_Cour!$AP:$AP,$B360,BV_Data_An_Cour!$AQ:$AQ,$C360,BV_Data_An_Cour!$AR:$AR,$L$2)</f>
        <v>0</v>
      </c>
      <c r="M360" s="480"/>
      <c r="N360" s="484" t="str">
        <f t="shared" si="71"/>
        <v>#N/A</v>
      </c>
      <c r="O360" s="480"/>
      <c r="P360" s="48"/>
      <c r="Q360" s="484">
        <f>SUMIFS(BV_Data_An_Prec!$AN:$AN,BV_Data_An_Prec!$AP:$AP,$B360,BV_Data_An_Prec!$AQ:$AQ,$C360,BV_Data_An_Prec!$AR:$AR,$L$2)</f>
        <v>0</v>
      </c>
      <c r="R360" s="480"/>
      <c r="S360" s="484">
        <f t="shared" si="72"/>
        <v>0</v>
      </c>
      <c r="T360" s="48"/>
      <c r="X360" s="48"/>
      <c r="Y360" s="48"/>
      <c r="Z360" s="48"/>
      <c r="AA360" s="48"/>
      <c r="AB360" s="48"/>
      <c r="AC360" s="48"/>
      <c r="AD360" s="48"/>
      <c r="AE360" s="48"/>
      <c r="AF360" s="48"/>
      <c r="AG360" s="48"/>
      <c r="AH360" s="48"/>
      <c r="AI360" s="48"/>
      <c r="AJ360" s="48"/>
      <c r="AK360" s="48"/>
      <c r="AL360" s="48"/>
      <c r="AM360" s="48"/>
      <c r="AN360" s="48"/>
    </row>
    <row r="361" ht="18.0" customHeight="1">
      <c r="A361" s="5"/>
      <c r="B361" s="48"/>
      <c r="C361" s="552" t="s">
        <v>142</v>
      </c>
      <c r="D361" s="553" t="s">
        <v>225</v>
      </c>
      <c r="E361" s="554" t="str">
        <f>IF(F326=0,0,F361/F$326)</f>
        <v>#N/A</v>
      </c>
      <c r="F361" s="555" t="str">
        <f>+SUM(F343:F360)</f>
        <v>#N/A</v>
      </c>
      <c r="G361" s="556"/>
      <c r="H361" s="554"/>
      <c r="I361" s="555"/>
      <c r="J361" s="556" t="s">
        <v>225</v>
      </c>
      <c r="K361" s="554">
        <f>IF(L338=0,0,L361/L$315)</f>
        <v>0.4462095375</v>
      </c>
      <c r="L361" s="555">
        <f>+SUM(L343:L360)</f>
        <v>227911.03</v>
      </c>
      <c r="M361" s="557"/>
      <c r="N361" s="555" t="str">
        <f>+SUM(N343:N360)</f>
        <v>#N/A</v>
      </c>
      <c r="O361" s="556" t="s">
        <v>225</v>
      </c>
      <c r="P361" s="554">
        <f>IF(Q326=0,0,Q361/Q$326)</f>
        <v>0.2455051167</v>
      </c>
      <c r="Q361" s="555">
        <f>+SUM(Q343:Q360)</f>
        <v>145727.73</v>
      </c>
      <c r="R361" s="558"/>
      <c r="S361" s="555">
        <f t="shared" si="72"/>
        <v>82183.3</v>
      </c>
      <c r="T361" s="48"/>
      <c r="U361" s="48"/>
      <c r="V361" s="48"/>
      <c r="W361" s="48"/>
      <c r="X361" s="48"/>
      <c r="Y361" s="48"/>
      <c r="Z361" s="48"/>
      <c r="AA361" s="48"/>
      <c r="AB361" s="48"/>
      <c r="AC361" s="48"/>
      <c r="AD361" s="48"/>
      <c r="AE361" s="48"/>
      <c r="AF361" s="48"/>
      <c r="AG361" s="48"/>
      <c r="AH361" s="48"/>
      <c r="AI361" s="48"/>
      <c r="AJ361" s="48"/>
      <c r="AK361" s="48"/>
      <c r="AL361" s="48"/>
      <c r="AM361" s="48"/>
      <c r="AN361" s="48"/>
    </row>
    <row r="362" ht="15.75" customHeight="1">
      <c r="B362" s="48"/>
      <c r="C362" s="471"/>
      <c r="D362" s="549"/>
      <c r="E362" s="564"/>
      <c r="F362" s="484"/>
      <c r="G362" s="550"/>
      <c r="H362" s="564"/>
      <c r="I362" s="484"/>
      <c r="J362" s="471"/>
      <c r="K362" s="564"/>
      <c r="L362" s="476"/>
      <c r="M362" s="471"/>
      <c r="N362" s="476"/>
      <c r="O362" s="471"/>
      <c r="P362" s="564"/>
      <c r="Q362" s="476"/>
      <c r="R362" s="471"/>
      <c r="S362" s="476"/>
      <c r="T362" s="11"/>
      <c r="U362" s="48"/>
      <c r="V362" s="48"/>
      <c r="W362" s="48"/>
      <c r="X362" s="48"/>
      <c r="Y362" s="48"/>
      <c r="Z362" s="48"/>
      <c r="AA362" s="48"/>
      <c r="AB362" s="48"/>
      <c r="AC362" s="48"/>
      <c r="AD362" s="48"/>
      <c r="AE362" s="48"/>
      <c r="AF362" s="48"/>
      <c r="AG362" s="48"/>
      <c r="AH362" s="48"/>
      <c r="AI362" s="48"/>
      <c r="AJ362" s="48"/>
      <c r="AK362" s="48"/>
      <c r="AL362" s="48"/>
      <c r="AM362" s="48"/>
      <c r="AN362" s="48"/>
    </row>
    <row r="363" ht="18.0" customHeight="1">
      <c r="A363" s="5"/>
      <c r="B363" s="48"/>
      <c r="C363" s="552" t="s">
        <v>143</v>
      </c>
      <c r="D363" s="553" t="s">
        <v>225</v>
      </c>
      <c r="E363" s="554" t="str">
        <f>IF(F326=0,0,F363/F$326)</f>
        <v>#N/A</v>
      </c>
      <c r="F363" s="555" t="str">
        <f>F342+F361</f>
        <v>#N/A</v>
      </c>
      <c r="G363" s="556"/>
      <c r="H363" s="554"/>
      <c r="I363" s="555"/>
      <c r="J363" s="556" t="s">
        <v>225</v>
      </c>
      <c r="K363" s="554">
        <f>IF(L340=0,0,L363/L$318)</f>
        <v>18.3202547</v>
      </c>
      <c r="L363" s="555">
        <f>L342+L361</f>
        <v>496342.05</v>
      </c>
      <c r="M363" s="557"/>
      <c r="N363" s="555" t="str">
        <f t="shared" ref="N363:N365" si="73">L363-F363</f>
        <v>#N/A</v>
      </c>
      <c r="O363" s="556" t="s">
        <v>225</v>
      </c>
      <c r="P363" s="554">
        <f>Q363/Q$326</f>
        <v>0.6731892225</v>
      </c>
      <c r="Q363" s="555">
        <f>Q342+Q361</f>
        <v>399593.86</v>
      </c>
      <c r="R363" s="558"/>
      <c r="S363" s="555">
        <f>L363-Q363</f>
        <v>96748.19</v>
      </c>
      <c r="T363" s="48"/>
      <c r="U363" s="48"/>
      <c r="V363" s="48"/>
      <c r="W363" s="48"/>
      <c r="X363" s="48"/>
      <c r="Y363" s="48"/>
      <c r="Z363" s="48"/>
      <c r="AA363" s="48"/>
      <c r="AB363" s="48"/>
      <c r="AC363" s="48"/>
      <c r="AD363" s="48"/>
      <c r="AE363" s="48"/>
      <c r="AF363" s="48"/>
      <c r="AG363" s="48"/>
      <c r="AH363" s="48"/>
      <c r="AI363" s="48"/>
      <c r="AJ363" s="48"/>
      <c r="AK363" s="48"/>
      <c r="AL363" s="48"/>
      <c r="AM363" s="48"/>
      <c r="AN363" s="48"/>
    </row>
    <row r="364" ht="15.75" customHeight="1">
      <c r="B364" s="48"/>
      <c r="C364" s="480"/>
      <c r="D364" s="546"/>
      <c r="E364" s="48"/>
      <c r="F364" s="484"/>
      <c r="G364" s="547"/>
      <c r="H364" s="48"/>
      <c r="I364" s="484"/>
      <c r="J364" s="480"/>
      <c r="K364" s="48"/>
      <c r="L364" s="484"/>
      <c r="M364" s="480"/>
      <c r="N364" s="484">
        <f t="shared" si="73"/>
        <v>0</v>
      </c>
      <c r="O364" s="480"/>
      <c r="P364" s="48"/>
      <c r="Q364" s="484"/>
      <c r="R364" s="480"/>
      <c r="S364" s="484"/>
      <c r="T364" s="48"/>
      <c r="U364" s="48"/>
      <c r="V364" s="48"/>
      <c r="W364" s="48"/>
      <c r="X364" s="48"/>
      <c r="Y364" s="48"/>
      <c r="Z364" s="48"/>
      <c r="AA364" s="48"/>
      <c r="AB364" s="48"/>
      <c r="AC364" s="48"/>
      <c r="AD364" s="48"/>
      <c r="AE364" s="48"/>
      <c r="AF364" s="48"/>
      <c r="AG364" s="48"/>
      <c r="AH364" s="48"/>
      <c r="AI364" s="48"/>
      <c r="AJ364" s="48"/>
      <c r="AK364" s="48"/>
      <c r="AL364" s="48"/>
      <c r="AM364" s="48"/>
      <c r="AN364" s="48"/>
    </row>
    <row r="365" ht="18.0" customHeight="1">
      <c r="A365" s="5"/>
      <c r="B365" s="48"/>
      <c r="C365" s="579" t="s">
        <v>150</v>
      </c>
      <c r="D365" s="580"/>
      <c r="E365" s="581"/>
      <c r="F365" s="582" t="str">
        <f>F326-F363</f>
        <v>#N/A</v>
      </c>
      <c r="G365" s="583"/>
      <c r="H365" s="581"/>
      <c r="I365" s="582"/>
      <c r="J365" s="583"/>
      <c r="K365" s="581"/>
      <c r="L365" s="582">
        <f>L326-L363</f>
        <v>142551.67</v>
      </c>
      <c r="M365" s="584"/>
      <c r="N365" s="582" t="str">
        <f t="shared" si="73"/>
        <v>#N/A</v>
      </c>
      <c r="O365" s="583"/>
      <c r="P365" s="581"/>
      <c r="Q365" s="582">
        <f>Q326-Q363</f>
        <v>193989.41</v>
      </c>
      <c r="R365" s="585"/>
      <c r="S365" s="582">
        <f>L365-Q365</f>
        <v>-51437.74</v>
      </c>
      <c r="T365" s="48"/>
      <c r="U365" s="48"/>
      <c r="V365" s="48"/>
      <c r="W365" s="48"/>
      <c r="X365" s="48"/>
      <c r="Y365" s="48"/>
      <c r="Z365" s="48"/>
      <c r="AA365" s="48"/>
      <c r="AB365" s="48"/>
      <c r="AC365" s="48"/>
      <c r="AD365" s="48"/>
      <c r="AE365" s="48"/>
      <c r="AF365" s="48"/>
      <c r="AG365" s="48"/>
      <c r="AH365" s="48"/>
      <c r="AI365" s="48"/>
      <c r="AJ365" s="48"/>
      <c r="AK365" s="48"/>
      <c r="AL365" s="48"/>
      <c r="AM365" s="48"/>
      <c r="AN365" s="48"/>
    </row>
    <row r="366" ht="15.75" customHeight="1">
      <c r="B366" s="48"/>
      <c r="C366" s="48"/>
      <c r="D366" s="48"/>
      <c r="E366" s="48"/>
      <c r="F366" s="48"/>
      <c r="G366" s="48"/>
      <c r="H366" s="48"/>
      <c r="I366" s="48"/>
      <c r="J366" s="48"/>
      <c r="K366" s="48"/>
      <c r="L366" s="483"/>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row>
    <row r="367" ht="36.0" customHeight="1">
      <c r="B367" s="48"/>
      <c r="C367" s="450" t="str">
        <f>C1</f>
        <v>Ste-Marie Auto</v>
      </c>
      <c r="D367" s="451"/>
      <c r="E367" s="452"/>
      <c r="F367" s="451"/>
      <c r="G367" s="451"/>
      <c r="H367" s="450"/>
      <c r="I367" s="451"/>
      <c r="J367" s="450"/>
      <c r="K367" s="453" t="s">
        <v>178</v>
      </c>
      <c r="L367" s="451"/>
      <c r="M367" s="451"/>
      <c r="N367" s="454"/>
      <c r="O367" s="450"/>
      <c r="P367" s="451"/>
      <c r="Q367" s="450"/>
      <c r="R367" s="451"/>
      <c r="S367" s="455" t="str">
        <f>$S$1</f>
        <v>Réalisé AAD, Septembre 2026</v>
      </c>
      <c r="T367" s="48"/>
      <c r="U367" s="48"/>
      <c r="V367" s="48"/>
      <c r="W367" s="48"/>
      <c r="X367" s="48"/>
      <c r="Y367" s="48"/>
      <c r="Z367" s="48"/>
      <c r="AA367" s="48"/>
      <c r="AB367" s="48"/>
      <c r="AC367" s="48"/>
      <c r="AD367" s="48"/>
      <c r="AE367" s="48"/>
      <c r="AF367" s="48"/>
      <c r="AG367" s="48"/>
      <c r="AH367" s="48"/>
      <c r="AI367" s="48"/>
      <c r="AJ367" s="48"/>
      <c r="AK367" s="48"/>
      <c r="AL367" s="48"/>
      <c r="AM367" s="48"/>
      <c r="AN367" s="48"/>
    </row>
    <row r="368" ht="15.75" customHeight="1">
      <c r="B368" s="48"/>
      <c r="C368" s="39"/>
      <c r="D368" s="40"/>
      <c r="E368" s="40"/>
      <c r="F368" s="40"/>
      <c r="G368" s="40"/>
      <c r="H368" s="40"/>
      <c r="I368" s="40"/>
      <c r="J368" s="40"/>
      <c r="K368" s="40"/>
      <c r="L368" s="40"/>
      <c r="M368" s="40"/>
      <c r="N368" s="40"/>
      <c r="O368" s="40"/>
      <c r="P368" s="40"/>
      <c r="Q368" s="40"/>
      <c r="R368" s="40"/>
      <c r="S368" s="40"/>
      <c r="T368" s="48"/>
      <c r="U368" s="48"/>
      <c r="V368" s="48"/>
      <c r="W368" s="48"/>
      <c r="X368" s="48"/>
      <c r="Y368" s="48"/>
      <c r="Z368" s="48"/>
      <c r="AA368" s="48"/>
      <c r="AB368" s="48"/>
      <c r="AC368" s="48"/>
      <c r="AD368" s="48"/>
      <c r="AE368" s="48"/>
      <c r="AF368" s="48"/>
      <c r="AG368" s="48"/>
      <c r="AH368" s="48"/>
      <c r="AI368" s="48"/>
      <c r="AJ368" s="48"/>
      <c r="AK368" s="48"/>
      <c r="AL368" s="48"/>
      <c r="AM368" s="48"/>
      <c r="AN368" s="48"/>
    </row>
    <row r="369" ht="15.75" customHeight="1">
      <c r="B369" s="48"/>
      <c r="C369" s="461"/>
      <c r="D369" s="462" t="s">
        <v>774</v>
      </c>
      <c r="E369" s="44"/>
      <c r="F369" s="45"/>
      <c r="G369" s="463"/>
      <c r="H369" s="44"/>
      <c r="I369" s="45"/>
      <c r="J369" s="463" t="s">
        <v>775</v>
      </c>
      <c r="K369" s="44"/>
      <c r="L369" s="45"/>
      <c r="M369" s="463" t="s">
        <v>776</v>
      </c>
      <c r="N369" s="45"/>
      <c r="O369" s="462" t="s">
        <v>777</v>
      </c>
      <c r="P369" s="44"/>
      <c r="Q369" s="45"/>
      <c r="R369" s="463" t="s">
        <v>778</v>
      </c>
      <c r="S369" s="45"/>
      <c r="T369" s="48"/>
      <c r="U369" s="48"/>
      <c r="V369" s="48"/>
      <c r="W369" s="48"/>
      <c r="X369" s="48"/>
      <c r="Y369" s="48"/>
      <c r="Z369" s="48"/>
      <c r="AA369" s="48"/>
      <c r="AB369" s="48"/>
      <c r="AC369" s="48"/>
      <c r="AD369" s="48"/>
      <c r="AE369" s="48"/>
      <c r="AF369" s="48"/>
      <c r="AG369" s="48"/>
      <c r="AH369" s="48"/>
      <c r="AI369" s="48"/>
      <c r="AJ369" s="48"/>
      <c r="AK369" s="48"/>
      <c r="AL369" s="48"/>
      <c r="AM369" s="48"/>
      <c r="AN369" s="48"/>
    </row>
    <row r="370" ht="15.75" customHeight="1">
      <c r="A370" s="5" t="str">
        <f t="shared" ref="A370:A424" si="74">+B370&amp;C370</f>
        <v>Pièces</v>
      </c>
      <c r="B370" s="48" t="s">
        <v>178</v>
      </c>
      <c r="C370" s="655"/>
      <c r="D370" s="41" t="s">
        <v>222</v>
      </c>
      <c r="E370" s="41" t="s">
        <v>223</v>
      </c>
      <c r="F370" s="611" t="s">
        <v>95</v>
      </c>
      <c r="G370" s="610"/>
      <c r="H370" s="41"/>
      <c r="I370" s="611"/>
      <c r="J370" s="41" t="s">
        <v>222</v>
      </c>
      <c r="K370" s="41" t="s">
        <v>223</v>
      </c>
      <c r="L370" s="611" t="s">
        <v>95</v>
      </c>
      <c r="M370" s="610" t="s">
        <v>221</v>
      </c>
      <c r="N370" s="611" t="s">
        <v>908</v>
      </c>
      <c r="O370" s="41" t="s">
        <v>222</v>
      </c>
      <c r="P370" s="41" t="s">
        <v>223</v>
      </c>
      <c r="Q370" s="611" t="s">
        <v>95</v>
      </c>
      <c r="R370" s="610" t="s">
        <v>909</v>
      </c>
      <c r="S370" s="611" t="s">
        <v>95</v>
      </c>
      <c r="T370" s="48"/>
      <c r="U370" s="48"/>
      <c r="V370" s="48"/>
      <c r="W370" s="48"/>
      <c r="X370" s="48"/>
      <c r="Y370" s="48"/>
      <c r="Z370" s="48"/>
      <c r="AA370" s="48"/>
      <c r="AB370" s="48"/>
      <c r="AC370" s="48"/>
      <c r="AD370" s="48"/>
      <c r="AE370" s="48"/>
      <c r="AF370" s="48"/>
      <c r="AG370" s="48"/>
      <c r="AH370" s="48"/>
      <c r="AI370" s="48"/>
      <c r="AJ370" s="48"/>
      <c r="AK370" s="48"/>
      <c r="AL370" s="48"/>
      <c r="AM370" s="48"/>
      <c r="AN370" s="48"/>
    </row>
    <row r="371" ht="15.75" customHeight="1">
      <c r="A371" s="5" t="str">
        <f t="shared" si="74"/>
        <v>PiècesPièces Ro Clients</v>
      </c>
      <c r="B371" s="48" t="s">
        <v>178</v>
      </c>
      <c r="C371" s="656" t="s">
        <v>179</v>
      </c>
      <c r="D371" s="483" t="str">
        <f t="array" ref="D371">+SUMPRODUCT(('Budget original'!$A$8:$A$501=$A371)*('Budget original'!$C$3:$AO$3=D$2),'Budget original'!$C$8:$AO$501)</f>
        <v>#N/A</v>
      </c>
      <c r="E371" s="602" t="str">
        <f t="shared" ref="E371:E379" si="75">IF(D371=0,0,F371/D371)</f>
        <v>#N/A</v>
      </c>
      <c r="F371" s="484" t="str">
        <f t="array" ref="F371">+SUMPRODUCT(('Budget original'!$A$8:$A$501=$A371)*('Budget original'!$C$3:$AO$3=F$2),'Budget original'!$C$8:$AO$501)</f>
        <v>#N/A</v>
      </c>
      <c r="G371" s="483"/>
      <c r="H371" s="602"/>
      <c r="I371" s="484"/>
      <c r="J371" s="483">
        <f>-SUMIFS(BV_Data_An_Cour!$AN:$AN,BV_Data_An_Cour!$AS:$AS,"Oui",BV_Data_An_Cour!$AP:$AP,$B371,BV_Data_An_Cour!$AQ:$AQ,$C371)</f>
        <v>443132.08</v>
      </c>
      <c r="K371" s="602">
        <f t="shared" ref="K371:K380" si="76">IF(J371&lt;=0,0,L371/J371)</f>
        <v>0.3150450087</v>
      </c>
      <c r="L371" s="484">
        <f>-SUMIFS(BV_Data_An_Cour!$AN:$AN,BV_Data_An_Cour!$AP:$AP,$B371,BV_Data_An_Cour!$AQ:$AQ,$C371,BV_Data_An_Cour!$AR:$AR,$L$2)</f>
        <v>139606.55</v>
      </c>
      <c r="M371" s="515" t="str">
        <f t="shared" ref="M371:M377" si="77">(+J371-D371)/D371</f>
        <v>#N/A</v>
      </c>
      <c r="N371" s="484" t="str">
        <f t="shared" ref="N371:N380" si="78">L371-F371</f>
        <v>#N/A</v>
      </c>
      <c r="O371" s="483">
        <f>-SUMIFS(BV_Data_An_Prec!$AN:$AN,BV_Data_An_Prec!$AS:$AS,"Oui",BV_Data_An_Prec!$AP:$AP,$B371,BV_Data_An_Prec!$AQ:$AQ,$C371)</f>
        <v>517441.14</v>
      </c>
      <c r="P371" s="602">
        <f t="shared" ref="P371:P380" si="79">IF(O371&lt;=0,0,Q371/O371)</f>
        <v>0.3740069837</v>
      </c>
      <c r="Q371" s="484">
        <f>-SUMIFS(BV_Data_An_Prec!$AN:$AN,BV_Data_An_Prec!$AP:$AP,$B371,BV_Data_An_Prec!$AQ:$AQ,$C371,BV_Data_An_Prec!$AR:$AR,$L$2)</f>
        <v>193526.6</v>
      </c>
      <c r="R371" s="515">
        <f t="shared" ref="R371:R380" si="80">IF(O371=0,0,(J371-O371)/O371)</f>
        <v>-0.1436087204</v>
      </c>
      <c r="S371" s="484">
        <f t="shared" ref="S371:S380" si="81">L371-Q371</f>
        <v>-53920.05</v>
      </c>
      <c r="T371" s="48"/>
      <c r="U371" s="48"/>
      <c r="V371" s="48"/>
      <c r="W371" s="48"/>
      <c r="X371" s="48"/>
      <c r="Y371" s="48"/>
      <c r="Z371" s="48"/>
      <c r="AA371" s="48"/>
      <c r="AB371" s="48"/>
      <c r="AC371" s="48"/>
      <c r="AD371" s="48"/>
      <c r="AE371" s="48"/>
      <c r="AF371" s="48"/>
      <c r="AG371" s="48"/>
      <c r="AH371" s="48"/>
      <c r="AI371" s="48"/>
      <c r="AJ371" s="48"/>
      <c r="AK371" s="48"/>
      <c r="AL371" s="48"/>
      <c r="AM371" s="48"/>
      <c r="AN371" s="48"/>
    </row>
    <row r="372" ht="15.75" customHeight="1">
      <c r="A372" s="5" t="str">
        <f t="shared" si="74"/>
        <v>PiècesPièces Ro Carrosserie</v>
      </c>
      <c r="B372" s="48" t="s">
        <v>178</v>
      </c>
      <c r="C372" s="656" t="s">
        <v>180</v>
      </c>
      <c r="D372" s="483" t="str">
        <f t="array" ref="D372">+SUMPRODUCT(('Budget original'!$A$8:$A$501=$A372)*('Budget original'!$C$3:$AO$3=D$2),'Budget original'!$C$8:$AO$501)</f>
        <v>#N/A</v>
      </c>
      <c r="E372" s="602" t="str">
        <f t="shared" si="75"/>
        <v>#N/A</v>
      </c>
      <c r="F372" s="484" t="str">
        <f t="array" ref="F372">+SUMPRODUCT(('Budget original'!$A$8:$A$501=$A372)*('Budget original'!$C$3:$AO$3=F$2),'Budget original'!$C$8:$AO$501)</f>
        <v>#N/A</v>
      </c>
      <c r="G372" s="483"/>
      <c r="H372" s="602"/>
      <c r="I372" s="484"/>
      <c r="J372" s="483">
        <f>-SUMIFS(BV_Data_An_Cour!$AN:$AN,BV_Data_An_Cour!$AS:$AS,"Oui",BV_Data_An_Cour!$AP:$AP,$B372,BV_Data_An_Cour!$AQ:$AQ,$C372)</f>
        <v>100.64</v>
      </c>
      <c r="K372" s="602">
        <f t="shared" si="76"/>
        <v>0.512817965</v>
      </c>
      <c r="L372" s="484">
        <f>-SUMIFS(BV_Data_An_Cour!$AN:$AN,BV_Data_An_Cour!$AP:$AP,$B372,BV_Data_An_Cour!$AQ:$AQ,$C372,BV_Data_An_Cour!$AR:$AR,$L$2)</f>
        <v>51.61</v>
      </c>
      <c r="M372" s="515" t="str">
        <f t="shared" si="77"/>
        <v>#N/A</v>
      </c>
      <c r="N372" s="484" t="str">
        <f t="shared" si="78"/>
        <v>#N/A</v>
      </c>
      <c r="O372" s="483">
        <f>-SUMIFS(BV_Data_An_Prec!$AN:$AN,BV_Data_An_Prec!$AS:$AS,"Oui",BV_Data_An_Prec!$AP:$AP,$B372,BV_Data_An_Prec!$AQ:$AQ,$C372)</f>
        <v>18.35</v>
      </c>
      <c r="P372" s="602">
        <f t="shared" si="79"/>
        <v>0.3547683924</v>
      </c>
      <c r="Q372" s="484">
        <f>-SUMIFS(BV_Data_An_Prec!$AN:$AN,BV_Data_An_Prec!$AP:$AP,$B372,BV_Data_An_Prec!$AQ:$AQ,$C372,BV_Data_An_Prec!$AR:$AR,$L$2)</f>
        <v>6.51</v>
      </c>
      <c r="R372" s="515">
        <f t="shared" si="80"/>
        <v>4.484468665</v>
      </c>
      <c r="S372" s="484">
        <f t="shared" si="81"/>
        <v>45.1</v>
      </c>
      <c r="T372" s="48"/>
      <c r="U372" s="48"/>
      <c r="V372" s="48"/>
      <c r="W372" s="48"/>
      <c r="X372" s="48"/>
      <c r="Y372" s="48"/>
      <c r="Z372" s="48"/>
      <c r="AA372" s="48"/>
      <c r="AB372" s="48"/>
      <c r="AC372" s="48"/>
      <c r="AD372" s="48"/>
      <c r="AE372" s="48"/>
      <c r="AF372" s="48"/>
      <c r="AG372" s="48"/>
      <c r="AH372" s="48"/>
      <c r="AI372" s="48"/>
      <c r="AJ372" s="48"/>
      <c r="AK372" s="48"/>
      <c r="AL372" s="48"/>
      <c r="AM372" s="48"/>
      <c r="AN372" s="48"/>
    </row>
    <row r="373" ht="15.75" customHeight="1">
      <c r="A373" s="5" t="str">
        <f t="shared" si="74"/>
        <v>PiècesP/A Garantie</v>
      </c>
      <c r="B373" s="48" t="s">
        <v>178</v>
      </c>
      <c r="C373" s="656" t="s">
        <v>181</v>
      </c>
      <c r="D373" s="483" t="str">
        <f t="array" ref="D373">+SUMPRODUCT(('Budget original'!$A$8:$A$501=$A373)*('Budget original'!$C$3:$AO$3=D$2),'Budget original'!$C$8:$AO$501)</f>
        <v>#N/A</v>
      </c>
      <c r="E373" s="602" t="str">
        <f t="shared" si="75"/>
        <v>#N/A</v>
      </c>
      <c r="F373" s="484" t="str">
        <f t="array" ref="F373">+SUMPRODUCT(('Budget original'!$A$8:$A$501=$A373)*('Budget original'!$C$3:$AO$3=F$2),'Budget original'!$C$8:$AO$501)</f>
        <v>#N/A</v>
      </c>
      <c r="G373" s="483"/>
      <c r="H373" s="602"/>
      <c r="I373" s="484"/>
      <c r="J373" s="483">
        <f>-SUMIFS(BV_Data_An_Cour!$AN:$AN,BV_Data_An_Cour!$AS:$AS,"Oui",BV_Data_An_Cour!$AP:$AP,$B373,BV_Data_An_Cour!$AQ:$AQ,$C373)</f>
        <v>542749.89</v>
      </c>
      <c r="K373" s="602">
        <f t="shared" si="76"/>
        <v>0.2876119975</v>
      </c>
      <c r="L373" s="484">
        <f>-SUMIFS(BV_Data_An_Cour!$AN:$AN,BV_Data_An_Cour!$AP:$AP,$B373,BV_Data_An_Cour!$AQ:$AQ,$C373,BV_Data_An_Cour!$AR:$AR,$L$2)</f>
        <v>156101.38</v>
      </c>
      <c r="M373" s="515" t="str">
        <f t="shared" si="77"/>
        <v>#N/A</v>
      </c>
      <c r="N373" s="484" t="str">
        <f t="shared" si="78"/>
        <v>#N/A</v>
      </c>
      <c r="O373" s="483">
        <f>-SUMIFS(BV_Data_An_Prec!$AN:$AN,BV_Data_An_Prec!$AS:$AS,"Oui",BV_Data_An_Prec!$AP:$AP,$B373,BV_Data_An_Prec!$AQ:$AQ,$C373)</f>
        <v>503144.04</v>
      </c>
      <c r="P373" s="602">
        <f t="shared" si="79"/>
        <v>0.2772654328</v>
      </c>
      <c r="Q373" s="484">
        <f>-SUMIFS(BV_Data_An_Prec!$AN:$AN,BV_Data_An_Prec!$AP:$AP,$B373,BV_Data_An_Prec!$AQ:$AQ,$C373,BV_Data_An_Prec!$AR:$AR,$L$2)</f>
        <v>139504.45</v>
      </c>
      <c r="R373" s="515">
        <f t="shared" si="80"/>
        <v>0.07871672295</v>
      </c>
      <c r="S373" s="484">
        <f t="shared" si="81"/>
        <v>16596.93</v>
      </c>
      <c r="T373" s="48"/>
      <c r="U373" s="48"/>
      <c r="V373" s="48"/>
      <c r="W373" s="48"/>
      <c r="X373" s="48"/>
      <c r="Y373" s="48"/>
      <c r="Z373" s="48"/>
      <c r="AA373" s="48"/>
      <c r="AB373" s="48"/>
      <c r="AC373" s="48"/>
      <c r="AD373" s="48"/>
      <c r="AE373" s="48"/>
      <c r="AF373" s="48"/>
      <c r="AG373" s="48"/>
      <c r="AH373" s="48"/>
      <c r="AI373" s="48"/>
      <c r="AJ373" s="48"/>
      <c r="AK373" s="48"/>
      <c r="AL373" s="48"/>
      <c r="AM373" s="48"/>
      <c r="AN373" s="48"/>
    </row>
    <row r="374" ht="15.75" customHeight="1">
      <c r="A374" s="5" t="str">
        <f t="shared" si="74"/>
        <v>PiècesVentes Internes</v>
      </c>
      <c r="B374" s="48" t="s">
        <v>178</v>
      </c>
      <c r="C374" s="656" t="s">
        <v>182</v>
      </c>
      <c r="D374" s="483" t="str">
        <f t="array" ref="D374">+SUMPRODUCT(('Budget original'!$A$8:$A$501=$A374)*('Budget original'!$C$3:$AO$3=D$2),'Budget original'!$C$8:$AO$501)</f>
        <v>#N/A</v>
      </c>
      <c r="E374" s="602" t="str">
        <f t="shared" si="75"/>
        <v>#N/A</v>
      </c>
      <c r="F374" s="484" t="str">
        <f t="array" ref="F374">+SUMPRODUCT(('Budget original'!$A$8:$A$501=$A374)*('Budget original'!$C$3:$AO$3=F$2),'Budget original'!$C$8:$AO$501)</f>
        <v>#N/A</v>
      </c>
      <c r="G374" s="483"/>
      <c r="H374" s="602"/>
      <c r="I374" s="484"/>
      <c r="J374" s="483">
        <f>-SUMIFS(BV_Data_An_Cour!$AN:$AN,BV_Data_An_Cour!$AS:$AS,"Oui",BV_Data_An_Cour!$AP:$AP,$B374,BV_Data_An_Cour!$AQ:$AQ,$C374)</f>
        <v>442767.28</v>
      </c>
      <c r="K374" s="602">
        <f t="shared" si="76"/>
        <v>0.3134789454</v>
      </c>
      <c r="L374" s="484">
        <f>-SUMIFS(BV_Data_An_Cour!$AN:$AN,BV_Data_An_Cour!$AP:$AP,$B374,BV_Data_An_Cour!$AQ:$AQ,$C374,BV_Data_An_Cour!$AR:$AR,$L$2)</f>
        <v>138798.22</v>
      </c>
      <c r="M374" s="515" t="str">
        <f t="shared" si="77"/>
        <v>#N/A</v>
      </c>
      <c r="N374" s="484" t="str">
        <f t="shared" si="78"/>
        <v>#N/A</v>
      </c>
      <c r="O374" s="483">
        <f>-SUMIFS(BV_Data_An_Prec!$AN:$AN,BV_Data_An_Prec!$AS:$AS,"Oui",BV_Data_An_Prec!$AP:$AP,$B374,BV_Data_An_Prec!$AQ:$AQ,$C374)</f>
        <v>554121.39</v>
      </c>
      <c r="P374" s="602">
        <f t="shared" si="79"/>
        <v>0.2900518964</v>
      </c>
      <c r="Q374" s="484">
        <f>-SUMIFS(BV_Data_An_Prec!$AN:$AN,BV_Data_An_Prec!$AP:$AP,$B374,BV_Data_An_Prec!$AQ:$AQ,$C374,BV_Data_An_Prec!$AR:$AR,$L$2)</f>
        <v>160723.96</v>
      </c>
      <c r="R374" s="515">
        <f t="shared" si="80"/>
        <v>-0.2009561659</v>
      </c>
      <c r="S374" s="484">
        <f t="shared" si="81"/>
        <v>-21925.74</v>
      </c>
      <c r="T374" s="48"/>
      <c r="U374" s="48"/>
      <c r="V374" s="48"/>
      <c r="W374" s="48"/>
      <c r="X374" s="48"/>
      <c r="Y374" s="48"/>
      <c r="Z374" s="48"/>
      <c r="AA374" s="48"/>
      <c r="AB374" s="48"/>
      <c r="AC374" s="48"/>
      <c r="AD374" s="48"/>
      <c r="AE374" s="48"/>
      <c r="AF374" s="48"/>
      <c r="AG374" s="48"/>
      <c r="AH374" s="48"/>
      <c r="AI374" s="48"/>
      <c r="AJ374" s="48"/>
      <c r="AK374" s="48"/>
      <c r="AL374" s="48"/>
      <c r="AM374" s="48"/>
      <c r="AN374" s="48"/>
    </row>
    <row r="375" ht="15.75" customHeight="1">
      <c r="A375" s="5" t="str">
        <f t="shared" si="74"/>
        <v>PiècesVentes Détails</v>
      </c>
      <c r="B375" s="48" t="s">
        <v>178</v>
      </c>
      <c r="C375" s="656" t="s">
        <v>183</v>
      </c>
      <c r="D375" s="483" t="str">
        <f t="array" ref="D375">+SUMPRODUCT(('Budget original'!$A$8:$A$501=$A375)*('Budget original'!$C$3:$AO$3=D$2),'Budget original'!$C$8:$AO$501)</f>
        <v>#N/A</v>
      </c>
      <c r="E375" s="602" t="str">
        <f t="shared" si="75"/>
        <v>#N/A</v>
      </c>
      <c r="F375" s="484" t="str">
        <f t="array" ref="F375">+SUMPRODUCT(('Budget original'!$A$8:$A$501=$A375)*('Budget original'!$C$3:$AO$3=F$2),'Budget original'!$C$8:$AO$501)</f>
        <v>#N/A</v>
      </c>
      <c r="G375" s="483"/>
      <c r="H375" s="602"/>
      <c r="I375" s="484"/>
      <c r="J375" s="483">
        <f>-SUMIFS(BV_Data_An_Cour!$AN:$AN,BV_Data_An_Cour!$AS:$AS,"Oui",BV_Data_An_Cour!$AP:$AP,$B375,BV_Data_An_Cour!$AQ:$AQ,$C375)</f>
        <v>336117.52</v>
      </c>
      <c r="K375" s="602">
        <f t="shared" si="76"/>
        <v>0.2190800408</v>
      </c>
      <c r="L375" s="484">
        <f>-SUMIFS(BV_Data_An_Cour!$AN:$AN,BV_Data_An_Cour!$AP:$AP,$B375,BV_Data_An_Cour!$AQ:$AQ,$C375,BV_Data_An_Cour!$AR:$AR,$L$2)</f>
        <v>73636.64</v>
      </c>
      <c r="M375" s="515" t="str">
        <f t="shared" si="77"/>
        <v>#N/A</v>
      </c>
      <c r="N375" s="484" t="str">
        <f t="shared" si="78"/>
        <v>#N/A</v>
      </c>
      <c r="O375" s="483">
        <f>-SUMIFS(BV_Data_An_Prec!$AN:$AN,BV_Data_An_Prec!$AS:$AS,"Oui",BV_Data_An_Prec!$AP:$AP,$B375,BV_Data_An_Prec!$AQ:$AQ,$C375)</f>
        <v>273759.69</v>
      </c>
      <c r="P375" s="602">
        <f t="shared" si="79"/>
        <v>0.2140432728</v>
      </c>
      <c r="Q375" s="484">
        <f>-SUMIFS(BV_Data_An_Prec!$AN:$AN,BV_Data_An_Prec!$AP:$AP,$B375,BV_Data_An_Prec!$AQ:$AQ,$C375,BV_Data_An_Prec!$AR:$AR,$L$2)</f>
        <v>58596.42</v>
      </c>
      <c r="R375" s="515">
        <f t="shared" si="80"/>
        <v>0.2277830969</v>
      </c>
      <c r="S375" s="484">
        <f t="shared" si="81"/>
        <v>15040.22</v>
      </c>
      <c r="T375" s="48"/>
      <c r="U375" s="48"/>
      <c r="V375" s="48"/>
      <c r="W375" s="48"/>
      <c r="X375" s="48"/>
      <c r="Y375" s="48"/>
      <c r="Z375" s="48"/>
      <c r="AA375" s="48"/>
      <c r="AB375" s="48"/>
      <c r="AC375" s="48"/>
      <c r="AD375" s="48"/>
      <c r="AE375" s="48"/>
      <c r="AF375" s="48"/>
      <c r="AG375" s="48"/>
      <c r="AH375" s="48"/>
      <c r="AI375" s="48"/>
      <c r="AJ375" s="48"/>
      <c r="AK375" s="48"/>
      <c r="AL375" s="48"/>
      <c r="AM375" s="48"/>
      <c r="AN375" s="48"/>
    </row>
    <row r="376" ht="15.75" customHeight="1">
      <c r="A376" s="5" t="str">
        <f t="shared" si="74"/>
        <v>PiècesVentes de Gros</v>
      </c>
      <c r="B376" s="48" t="s">
        <v>178</v>
      </c>
      <c r="C376" s="656" t="s">
        <v>184</v>
      </c>
      <c r="D376" s="483" t="str">
        <f t="array" ref="D376">+SUMPRODUCT(('Budget original'!$A$8:$A$501=$A376)*('Budget original'!$C$3:$AO$3=D$2),'Budget original'!$C$8:$AO$501)</f>
        <v>#N/A</v>
      </c>
      <c r="E376" s="602" t="str">
        <f t="shared" si="75"/>
        <v>#N/A</v>
      </c>
      <c r="F376" s="484" t="str">
        <f t="array" ref="F376">+SUMPRODUCT(('Budget original'!$A$8:$A$501=$A376)*('Budget original'!$C$3:$AO$3=F$2),'Budget original'!$C$8:$AO$501)</f>
        <v>#N/A</v>
      </c>
      <c r="G376" s="483"/>
      <c r="H376" s="602"/>
      <c r="I376" s="484"/>
      <c r="J376" s="483">
        <f>-SUMIFS(BV_Data_An_Cour!$AN:$AN,BV_Data_An_Cour!$AS:$AS,"Oui",BV_Data_An_Cour!$AP:$AP,$B376,BV_Data_An_Cour!$AQ:$AQ,$C376)</f>
        <v>1196434.3</v>
      </c>
      <c r="K376" s="602">
        <f t="shared" si="76"/>
        <v>0.1774883669</v>
      </c>
      <c r="L376" s="484">
        <f>-SUMIFS(BV_Data_An_Cour!$AN:$AN,BV_Data_An_Cour!$AP:$AP,$B376,BV_Data_An_Cour!$AQ:$AQ,$C376,BV_Data_An_Cour!$AR:$AR,$L$2)</f>
        <v>212353.17</v>
      </c>
      <c r="M376" s="515" t="str">
        <f t="shared" si="77"/>
        <v>#N/A</v>
      </c>
      <c r="N376" s="484" t="str">
        <f t="shared" si="78"/>
        <v>#N/A</v>
      </c>
      <c r="O376" s="483">
        <f>-SUMIFS(BV_Data_An_Prec!$AN:$AN,BV_Data_An_Prec!$AS:$AS,"Oui",BV_Data_An_Prec!$AP:$AP,$B376,BV_Data_An_Prec!$AQ:$AQ,$C376)</f>
        <v>1337705.26</v>
      </c>
      <c r="P376" s="602">
        <f t="shared" si="79"/>
        <v>0.162974533</v>
      </c>
      <c r="Q376" s="484">
        <f>-SUMIFS(BV_Data_An_Prec!$AN:$AN,BV_Data_An_Prec!$AP:$AP,$B376,BV_Data_An_Prec!$AQ:$AQ,$C376,BV_Data_An_Prec!$AR:$AR,$L$2)</f>
        <v>218011.89</v>
      </c>
      <c r="R376" s="515">
        <f t="shared" si="80"/>
        <v>-0.1056069406</v>
      </c>
      <c r="S376" s="484">
        <f t="shared" si="81"/>
        <v>-5658.72</v>
      </c>
      <c r="T376" s="48"/>
      <c r="U376" s="48"/>
      <c r="V376" s="48"/>
      <c r="W376" s="48"/>
      <c r="X376" s="48"/>
      <c r="Y376" s="48"/>
      <c r="Z376" s="48"/>
      <c r="AA376" s="48"/>
      <c r="AB376" s="48"/>
      <c r="AC376" s="48"/>
      <c r="AD376" s="48"/>
      <c r="AE376" s="48"/>
      <c r="AF376" s="48"/>
      <c r="AG376" s="48"/>
      <c r="AH376" s="48"/>
      <c r="AI376" s="48"/>
      <c r="AJ376" s="48"/>
      <c r="AK376" s="48"/>
      <c r="AL376" s="48"/>
      <c r="AM376" s="48"/>
      <c r="AN376" s="48"/>
    </row>
    <row r="377" ht="20.25" hidden="1" customHeight="1">
      <c r="A377" s="5" t="str">
        <f t="shared" si="74"/>
        <v>Pièces[...]</v>
      </c>
      <c r="B377" s="48" t="s">
        <v>178</v>
      </c>
      <c r="C377" s="656" t="s">
        <v>56</v>
      </c>
      <c r="D377" s="483" t="str">
        <f t="array" ref="D377">+SUMPRODUCT(('Budget original'!$A$8:$A$501=$A377)*('Budget original'!$C$3:$AO$3=D$2),'Budget original'!$C$8:$AO$501)</f>
        <v>#N/A</v>
      </c>
      <c r="E377" s="602" t="str">
        <f t="shared" si="75"/>
        <v>#N/A</v>
      </c>
      <c r="F377" s="484" t="str">
        <f t="array" ref="F377">+SUMPRODUCT(('Budget original'!$A$8:$A$501=$A377)*('Budget original'!$C$3:$AO$3=F$2),'Budget original'!$C$8:$AO$501)</f>
        <v>#N/A</v>
      </c>
      <c r="G377" s="483"/>
      <c r="H377" s="602"/>
      <c r="I377" s="484"/>
      <c r="J377" s="483">
        <f>-SUMIFS(BV_Data_An_Cour!$AN:$AN,BV_Data_An_Cour!$AS:$AS,"Oui",BV_Data_An_Cour!$AP:$AP,$B377,BV_Data_An_Cour!$AQ:$AQ,$C377)</f>
        <v>0</v>
      </c>
      <c r="K377" s="602">
        <f t="shared" si="76"/>
        <v>0</v>
      </c>
      <c r="L377" s="484">
        <f>-SUMIFS(BV_Data_An_Cour!$AN:$AN,BV_Data_An_Cour!$AP:$AP,$B377,BV_Data_An_Cour!$AQ:$AQ,$C377,BV_Data_An_Cour!$AR:$AR,$L$2)</f>
        <v>0</v>
      </c>
      <c r="M377" s="515" t="str">
        <f t="shared" si="77"/>
        <v>#N/A</v>
      </c>
      <c r="N377" s="484" t="str">
        <f t="shared" si="78"/>
        <v>#N/A</v>
      </c>
      <c r="O377" s="483">
        <f>-SUMIFS(BV_Data_An_Prec!$AN:$AN,BV_Data_An_Prec!$AS:$AS,"Oui",BV_Data_An_Prec!$AP:$AP,$B377,BV_Data_An_Prec!$AQ:$AQ,$C377)</f>
        <v>0</v>
      </c>
      <c r="P377" s="602">
        <f t="shared" si="79"/>
        <v>0</v>
      </c>
      <c r="Q377" s="484">
        <f>-SUMIFS(BV_Data_An_Prec!$AN:$AN,BV_Data_An_Prec!$AP:$AP,$B377,BV_Data_An_Prec!$AQ:$AQ,$C377,BV_Data_An_Prec!$AR:$AR,$L$2)</f>
        <v>0</v>
      </c>
      <c r="R377" s="515">
        <f t="shared" si="80"/>
        <v>0</v>
      </c>
      <c r="S377" s="484">
        <f t="shared" si="81"/>
        <v>0</v>
      </c>
      <c r="T377" s="48"/>
      <c r="U377" s="48"/>
      <c r="V377" s="48"/>
      <c r="W377" s="48"/>
      <c r="X377" s="48"/>
      <c r="Y377" s="48"/>
      <c r="Z377" s="48"/>
      <c r="AA377" s="48"/>
      <c r="AB377" s="48"/>
      <c r="AC377" s="48"/>
      <c r="AD377" s="48"/>
      <c r="AE377" s="48"/>
      <c r="AF377" s="48"/>
      <c r="AG377" s="48"/>
      <c r="AH377" s="48"/>
      <c r="AI377" s="48"/>
      <c r="AJ377" s="48"/>
      <c r="AK377" s="48"/>
      <c r="AL377" s="48"/>
      <c r="AM377" s="48"/>
      <c r="AN377" s="48"/>
    </row>
    <row r="378" ht="15.75" customHeight="1">
      <c r="A378" s="5" t="str">
        <f t="shared" si="74"/>
        <v>PiècesEscomptes</v>
      </c>
      <c r="B378" s="48" t="s">
        <v>178</v>
      </c>
      <c r="C378" s="656" t="s">
        <v>185</v>
      </c>
      <c r="D378" s="483" t="str">
        <f t="array" ref="D378">+SUMPRODUCT(('Budget original'!$A$8:$A$501=$A378)*('Budget original'!$C$3:$AO$3=D$2),'Budget original'!$C$8:$AO$501)</f>
        <v>#N/A</v>
      </c>
      <c r="E378" s="602" t="str">
        <f t="shared" si="75"/>
        <v>#N/A</v>
      </c>
      <c r="F378" s="484" t="str">
        <f t="array" ref="F378">+SUMPRODUCT(('Budget original'!$A$8:$A$501=$A378)*('Budget original'!$C$3:$AO$3=F$2),'Budget original'!$C$8:$AO$501)</f>
        <v>#N/A</v>
      </c>
      <c r="G378" s="483"/>
      <c r="H378" s="602"/>
      <c r="I378" s="484"/>
      <c r="J378" s="483">
        <f>-SUMIFS(BV_Data_An_Cour!$AN:$AN,BV_Data_An_Cour!$AS:$AS,"Oui",BV_Data_An_Cour!$AP:$AP,$B378,BV_Data_An_Cour!$AQ:$AQ,$C378)</f>
        <v>0</v>
      </c>
      <c r="K378" s="602">
        <f t="shared" si="76"/>
        <v>0</v>
      </c>
      <c r="L378" s="484">
        <f>-SUMIFS(BV_Data_An_Cour!$AN:$AN,BV_Data_An_Cour!$AP:$AP,$B378,BV_Data_An_Cour!$AQ:$AQ,$C378,BV_Data_An_Cour!$AR:$AR,$L$2)</f>
        <v>88623.16</v>
      </c>
      <c r="M378" s="515"/>
      <c r="N378" s="484" t="str">
        <f t="shared" si="78"/>
        <v>#N/A</v>
      </c>
      <c r="O378" s="483">
        <f>-SUMIFS(BV_Data_An_Prec!$AN:$AN,BV_Data_An_Prec!$AS:$AS,"Oui",BV_Data_An_Prec!$AP:$AP,$B378,BV_Data_An_Prec!$AQ:$AQ,$C378)</f>
        <v>0</v>
      </c>
      <c r="P378" s="602">
        <f t="shared" si="79"/>
        <v>0</v>
      </c>
      <c r="Q378" s="484">
        <f>-SUMIFS(BV_Data_An_Prec!$AN:$AN,BV_Data_An_Prec!$AP:$AP,$B378,BV_Data_An_Prec!$AQ:$AQ,$C378,BV_Data_An_Prec!$AR:$AR,$L$2)</f>
        <v>64362.8</v>
      </c>
      <c r="R378" s="515">
        <f t="shared" si="80"/>
        <v>0</v>
      </c>
      <c r="S378" s="484">
        <f t="shared" si="81"/>
        <v>24260.36</v>
      </c>
      <c r="T378" s="48"/>
      <c r="U378" s="48"/>
      <c r="V378" s="48"/>
      <c r="W378" s="48"/>
      <c r="X378" s="48"/>
      <c r="Y378" s="48"/>
      <c r="Z378" s="48"/>
      <c r="AA378" s="48"/>
      <c r="AB378" s="48"/>
      <c r="AC378" s="48"/>
      <c r="AD378" s="48"/>
      <c r="AE378" s="48"/>
      <c r="AF378" s="48"/>
      <c r="AG378" s="48"/>
      <c r="AH378" s="48"/>
      <c r="AI378" s="48"/>
      <c r="AJ378" s="48"/>
      <c r="AK378" s="48"/>
      <c r="AL378" s="48"/>
      <c r="AM378" s="48"/>
      <c r="AN378" s="48"/>
    </row>
    <row r="379" ht="15.75" customHeight="1">
      <c r="A379" s="5" t="str">
        <f t="shared" si="74"/>
        <v>PiècesRectif. Inventaire</v>
      </c>
      <c r="B379" s="48" t="s">
        <v>178</v>
      </c>
      <c r="C379" s="657" t="s">
        <v>186</v>
      </c>
      <c r="D379" s="483" t="str">
        <f t="array" ref="D379">+SUMPRODUCT(('Budget original'!$A$8:$A$501=$A379)*('Budget original'!$C$3:$AO$3=D$2),'Budget original'!$C$8:$AO$501)</f>
        <v>#N/A</v>
      </c>
      <c r="E379" s="602" t="str">
        <f t="shared" si="75"/>
        <v>#N/A</v>
      </c>
      <c r="F379" s="484" t="str">
        <f t="array" ref="F379">+SUMPRODUCT(('Budget original'!$A$8:$A$501=$A379)*('Budget original'!$C$3:$AO$3=F$2),'Budget original'!$C$8:$AO$501)</f>
        <v>#N/A</v>
      </c>
      <c r="G379" s="483"/>
      <c r="H379" s="602"/>
      <c r="I379" s="484"/>
      <c r="J379" s="483">
        <f>-SUMIFS(BV_Data_An_Cour!$AN:$AN,BV_Data_An_Cour!$AS:$AS,"Oui",BV_Data_An_Cour!$AP:$AP,$B379,BV_Data_An_Cour!$AQ:$AQ,$C379)</f>
        <v>0</v>
      </c>
      <c r="K379" s="602">
        <f t="shared" si="76"/>
        <v>0</v>
      </c>
      <c r="L379" s="484">
        <f>-SUMIFS(BV_Data_An_Cour!$AN:$AN,BV_Data_An_Cour!$AP:$AP,$B379,BV_Data_An_Cour!$AQ:$AQ,$C379,BV_Data_An_Cour!$AR:$AR,$L$2)</f>
        <v>12957.8</v>
      </c>
      <c r="M379" s="515"/>
      <c r="N379" s="484" t="str">
        <f t="shared" si="78"/>
        <v>#N/A</v>
      </c>
      <c r="O379" s="483">
        <f>-SUMIFS(BV_Data_An_Prec!$AN:$AN,BV_Data_An_Prec!$AS:$AS,"Oui",BV_Data_An_Prec!$AP:$AP,$B379,BV_Data_An_Prec!$AQ:$AQ,$C379)</f>
        <v>0</v>
      </c>
      <c r="P379" s="602">
        <f t="shared" si="79"/>
        <v>0</v>
      </c>
      <c r="Q379" s="484">
        <f>-SUMIFS(BV_Data_An_Prec!$AN:$AN,BV_Data_An_Prec!$AP:$AP,$B379,BV_Data_An_Prec!$AQ:$AQ,$C379,BV_Data_An_Prec!$AR:$AR,$L$2)</f>
        <v>24313.48</v>
      </c>
      <c r="R379" s="515">
        <f t="shared" si="80"/>
        <v>0</v>
      </c>
      <c r="S379" s="484">
        <f t="shared" si="81"/>
        <v>-11355.68</v>
      </c>
      <c r="T379" s="48"/>
      <c r="U379" s="48"/>
      <c r="V379" s="48"/>
      <c r="W379" s="48"/>
      <c r="X379" s="48"/>
      <c r="Y379" s="48"/>
      <c r="Z379" s="48"/>
      <c r="AA379" s="48"/>
      <c r="AB379" s="48"/>
      <c r="AC379" s="48"/>
      <c r="AD379" s="48"/>
      <c r="AE379" s="48"/>
      <c r="AF379" s="48"/>
      <c r="AG379" s="48"/>
      <c r="AH379" s="48"/>
      <c r="AI379" s="48"/>
      <c r="AJ379" s="48"/>
      <c r="AK379" s="48"/>
      <c r="AL379" s="48"/>
      <c r="AM379" s="48"/>
      <c r="AN379" s="48"/>
    </row>
    <row r="380" ht="15.75" customHeight="1">
      <c r="A380" s="5" t="str">
        <f t="shared" si="74"/>
        <v>PiècesSous-total Pièces</v>
      </c>
      <c r="B380" s="48" t="s">
        <v>178</v>
      </c>
      <c r="C380" s="658" t="s">
        <v>187</v>
      </c>
      <c r="D380" s="495" t="str">
        <f>SUM(D371:D379)</f>
        <v>#N/A</v>
      </c>
      <c r="E380" s="659" t="str">
        <f>IF(D380&lt;=0,0,F380/D380)</f>
        <v>#N/A</v>
      </c>
      <c r="F380" s="497" t="str">
        <f>SUM(F371:F379)</f>
        <v>#N/A</v>
      </c>
      <c r="G380" s="495"/>
      <c r="H380" s="659"/>
      <c r="I380" s="497"/>
      <c r="J380" s="495">
        <f>SUM(J371:J379)</f>
        <v>2961301.71</v>
      </c>
      <c r="K380" s="659">
        <f t="shared" si="76"/>
        <v>0.2776240351</v>
      </c>
      <c r="L380" s="497">
        <f>SUM(L371:L379)</f>
        <v>822128.53</v>
      </c>
      <c r="M380" s="660" t="str">
        <f>(+J380-D380)/D380</f>
        <v>#N/A</v>
      </c>
      <c r="N380" s="497" t="str">
        <f t="shared" si="78"/>
        <v>#N/A</v>
      </c>
      <c r="O380" s="495">
        <f>SUM(O371:O379)</f>
        <v>3186189.87</v>
      </c>
      <c r="P380" s="659">
        <f t="shared" si="79"/>
        <v>0.2696154796</v>
      </c>
      <c r="Q380" s="497">
        <f>SUM(Q371:Q379)</f>
        <v>859046.11</v>
      </c>
      <c r="R380" s="660">
        <f t="shared" si="80"/>
        <v>-0.070582159</v>
      </c>
      <c r="S380" s="497">
        <f t="shared" si="81"/>
        <v>-36917.58</v>
      </c>
      <c r="T380" s="48"/>
      <c r="U380" s="48"/>
      <c r="V380" s="48"/>
      <c r="W380" s="48"/>
      <c r="X380" s="48"/>
      <c r="Y380" s="48"/>
      <c r="Z380" s="48"/>
      <c r="AA380" s="48"/>
      <c r="AB380" s="48"/>
      <c r="AC380" s="48"/>
      <c r="AD380" s="48"/>
      <c r="AE380" s="48"/>
      <c r="AF380" s="48"/>
      <c r="AG380" s="48"/>
      <c r="AH380" s="48"/>
      <c r="AI380" s="48"/>
      <c r="AJ380" s="48"/>
      <c r="AK380" s="48"/>
      <c r="AL380" s="48"/>
      <c r="AM380" s="48"/>
      <c r="AN380" s="48"/>
    </row>
    <row r="381" ht="15.75" customHeight="1">
      <c r="A381" s="5" t="str">
        <f t="shared" si="74"/>
        <v>Pièces</v>
      </c>
      <c r="B381" s="48" t="s">
        <v>178</v>
      </c>
      <c r="C381" s="656"/>
      <c r="D381" s="48"/>
      <c r="E381" s="48"/>
      <c r="F381" s="514"/>
      <c r="G381" s="480"/>
      <c r="H381" s="48"/>
      <c r="I381" s="514"/>
      <c r="J381" s="486"/>
      <c r="K381" s="48"/>
      <c r="L381" s="484"/>
      <c r="M381" s="480"/>
      <c r="N381" s="507" t="str">
        <f>N380/F380</f>
        <v>#N/A</v>
      </c>
      <c r="O381" s="486"/>
      <c r="P381" s="48"/>
      <c r="Q381" s="484"/>
      <c r="R381" s="480"/>
      <c r="S381" s="507">
        <f>IF(Q380=0,0,S380/Q380)</f>
        <v>-0.04297508547</v>
      </c>
      <c r="T381" s="48"/>
      <c r="U381" s="48"/>
      <c r="V381" s="48"/>
      <c r="W381" s="48"/>
      <c r="X381" s="48"/>
      <c r="Y381" s="48"/>
      <c r="Z381" s="48"/>
      <c r="AA381" s="48"/>
      <c r="AB381" s="48"/>
      <c r="AC381" s="48"/>
      <c r="AD381" s="48"/>
      <c r="AE381" s="48"/>
      <c r="AF381" s="48"/>
      <c r="AG381" s="48"/>
      <c r="AH381" s="48"/>
      <c r="AI381" s="48"/>
      <c r="AJ381" s="48"/>
      <c r="AK381" s="48"/>
      <c r="AL381" s="48"/>
      <c r="AM381" s="48"/>
      <c r="AN381" s="48"/>
    </row>
    <row r="382" ht="15.75" customHeight="1">
      <c r="A382" s="5" t="str">
        <f t="shared" si="74"/>
        <v>Pièces</v>
      </c>
      <c r="B382" s="48" t="s">
        <v>178</v>
      </c>
      <c r="C382" s="657"/>
      <c r="D382" s="564"/>
      <c r="E382" s="564"/>
      <c r="F382" s="661"/>
      <c r="G382" s="471"/>
      <c r="H382" s="564"/>
      <c r="I382" s="661"/>
      <c r="J382" s="622"/>
      <c r="K382" s="564"/>
      <c r="L382" s="476"/>
      <c r="M382" s="471"/>
      <c r="N382" s="642"/>
      <c r="O382" s="622"/>
      <c r="P382" s="564"/>
      <c r="Q382" s="476"/>
      <c r="R382" s="471"/>
      <c r="S382" s="598"/>
      <c r="T382" s="48"/>
      <c r="U382" s="48"/>
      <c r="V382" s="48"/>
      <c r="W382" s="48"/>
      <c r="X382" s="48"/>
      <c r="Y382" s="48"/>
      <c r="Z382" s="48"/>
      <c r="AA382" s="48"/>
      <c r="AB382" s="48"/>
      <c r="AC382" s="48"/>
      <c r="AD382" s="48"/>
      <c r="AE382" s="48"/>
      <c r="AF382" s="48"/>
      <c r="AG382" s="48"/>
      <c r="AH382" s="48"/>
      <c r="AI382" s="48"/>
      <c r="AJ382" s="48"/>
      <c r="AK382" s="48"/>
      <c r="AL382" s="48"/>
      <c r="AM382" s="48"/>
      <c r="AN382" s="48"/>
    </row>
    <row r="383" ht="15.75" customHeight="1">
      <c r="A383" s="5" t="str">
        <f t="shared" si="74"/>
        <v>PiècesVentes Pneus</v>
      </c>
      <c r="B383" s="48" t="s">
        <v>178</v>
      </c>
      <c r="C383" s="656" t="s">
        <v>188</v>
      </c>
      <c r="D383" s="483" t="str">
        <f t="array" ref="D383">+SUMPRODUCT(('Budget original'!$A$8:$A$501=$A383)*('Budget original'!$C$3:$AO$3=D$2),'Budget original'!$C$8:$AO$501)</f>
        <v>#N/A</v>
      </c>
      <c r="E383" s="602" t="str">
        <f t="shared" ref="E383:E384" si="82">IF(D383=0,0,F383/D383)</f>
        <v>#N/A</v>
      </c>
      <c r="F383" s="523" t="str">
        <f t="array" ref="F383">+SUMPRODUCT(('Budget original'!$A$8:$A$501=$A383)*('Budget original'!$C$3:$AO$3=F$2),'Budget original'!$C$8:$AO$501)</f>
        <v>#N/A</v>
      </c>
      <c r="G383" s="483"/>
      <c r="H383" s="602"/>
      <c r="I383" s="523"/>
      <c r="J383" s="483">
        <f>-SUMIFS(BV_Data_An_Cour!$AN:$AN,BV_Data_An_Cour!$AS:$AS,"Oui",BV_Data_An_Cour!$AP:$AP,$B383,BV_Data_An_Cour!$AQ:$AQ,$C383)</f>
        <v>217979.29</v>
      </c>
      <c r="K383" s="602">
        <f t="shared" ref="K383:K385" si="83">IF(J383&lt;=0,0,L383/J383)</f>
        <v>0.1364682856</v>
      </c>
      <c r="L383" s="523">
        <f>-SUMIFS(BV_Data_An_Cour!$AN:$AN,BV_Data_An_Cour!$AP:$AP,$B383,BV_Data_An_Cour!$AQ:$AQ,$C383,BV_Data_An_Cour!$AR:$AR,$L$2)</f>
        <v>29747.26</v>
      </c>
      <c r="M383" s="515" t="str">
        <f t="shared" ref="M383:M385" si="84">(+J383-D383)/D383</f>
        <v>#N/A</v>
      </c>
      <c r="N383" s="484" t="str">
        <f t="shared" ref="N383:N385" si="85">L383-F383</f>
        <v>#N/A</v>
      </c>
      <c r="O383" s="483">
        <f>-SUMIFS(BV_Data_An_Prec!$AN:$AN,BV_Data_An_Prec!$AS:$AS,"Oui",BV_Data_An_Prec!$AP:$AP,$B383,BV_Data_An_Prec!$AQ:$AQ,$C383)</f>
        <v>106518.46</v>
      </c>
      <c r="P383" s="602">
        <f t="shared" ref="P383:P385" si="86">IF(O383&lt;=0,0,Q383/O383)</f>
        <v>0.1726473515</v>
      </c>
      <c r="Q383" s="523">
        <f>-SUMIFS(BV_Data_An_Prec!$AN:$AN,BV_Data_An_Prec!$AP:$AP,$B383,BV_Data_An_Prec!$AQ:$AQ,$C383,BV_Data_An_Prec!$AR:$AR,$L$2)</f>
        <v>18390.13</v>
      </c>
      <c r="R383" s="515">
        <f t="shared" ref="R383:R385" si="87">IF(O383=0,0,(J383-O383)/O383)</f>
        <v>1.046399188</v>
      </c>
      <c r="S383" s="484">
        <f t="shared" ref="S383:S385" si="88">L383-Q383</f>
        <v>11357.13</v>
      </c>
      <c r="T383" s="48"/>
      <c r="U383" s="48"/>
      <c r="V383" s="48"/>
      <c r="W383" s="48"/>
      <c r="X383" s="48"/>
      <c r="Y383" s="48"/>
      <c r="Z383" s="48"/>
      <c r="AA383" s="48"/>
      <c r="AB383" s="48"/>
      <c r="AC383" s="48"/>
      <c r="AD383" s="48"/>
      <c r="AE383" s="48"/>
      <c r="AF383" s="48"/>
      <c r="AG383" s="48"/>
      <c r="AH383" s="48"/>
      <c r="AI383" s="48"/>
      <c r="AJ383" s="48"/>
      <c r="AK383" s="48"/>
      <c r="AL383" s="48"/>
      <c r="AM383" s="48"/>
      <c r="AN383" s="48"/>
    </row>
    <row r="384" ht="15.75" customHeight="1">
      <c r="A384" s="5" t="str">
        <f t="shared" si="74"/>
        <v>PiècesHuiles et Graisse</v>
      </c>
      <c r="B384" s="48" t="s">
        <v>178</v>
      </c>
      <c r="C384" s="657" t="s">
        <v>189</v>
      </c>
      <c r="D384" s="483" t="str">
        <f t="array" ref="D384">+SUMPRODUCT(('Budget original'!$A$8:$A$501=$A384)*('Budget original'!$C$3:$AO$3=D$2),'Budget original'!$C$8:$AO$501)</f>
        <v>#N/A</v>
      </c>
      <c r="E384" s="602" t="str">
        <f t="shared" si="82"/>
        <v>#N/A</v>
      </c>
      <c r="F384" s="476" t="str">
        <f t="array" ref="F384">+SUMPRODUCT(('Budget original'!$A$8:$A$501=$A384)*('Budget original'!$C$3:$AO$3=F$2),'Budget original'!$C$8:$AO$501)</f>
        <v>#N/A</v>
      </c>
      <c r="G384" s="483"/>
      <c r="H384" s="602"/>
      <c r="I384" s="476"/>
      <c r="J384" s="483">
        <f>-SUMIFS(BV_Data_An_Cour!$AN:$AN,BV_Data_An_Cour!$AS:$AS,"Oui",BV_Data_An_Cour!$AP:$AP,$B384,BV_Data_An_Cour!$AQ:$AQ,$C384)</f>
        <v>110623.71</v>
      </c>
      <c r="K384" s="602">
        <f t="shared" si="83"/>
        <v>0.273312656</v>
      </c>
      <c r="L384" s="476">
        <f>-SUMIFS(BV_Data_An_Cour!$AN:$AN,BV_Data_An_Cour!$AP:$AP,$B384,BV_Data_An_Cour!$AQ:$AQ,$C384,BV_Data_An_Cour!$AR:$AR,$L$2)</f>
        <v>30234.86</v>
      </c>
      <c r="M384" s="515" t="str">
        <f t="shared" si="84"/>
        <v>#N/A</v>
      </c>
      <c r="N384" s="484" t="str">
        <f t="shared" si="85"/>
        <v>#N/A</v>
      </c>
      <c r="O384" s="483">
        <f>-SUMIFS(BV_Data_An_Prec!$AN:$AN,BV_Data_An_Prec!$AS:$AS,"Oui",BV_Data_An_Prec!$AP:$AP,$B384,BV_Data_An_Prec!$AQ:$AQ,$C384)</f>
        <v>69069.7</v>
      </c>
      <c r="P384" s="602">
        <f t="shared" si="86"/>
        <v>0.2179389805</v>
      </c>
      <c r="Q384" s="476">
        <f>-SUMIFS(BV_Data_An_Prec!$AN:$AN,BV_Data_An_Prec!$AP:$AP,$B384,BV_Data_An_Prec!$AQ:$AQ,$C384,BV_Data_An_Prec!$AR:$AR,$L$2)</f>
        <v>15052.98</v>
      </c>
      <c r="R384" s="515">
        <f t="shared" si="87"/>
        <v>0.6016243012</v>
      </c>
      <c r="S384" s="484">
        <f t="shared" si="88"/>
        <v>15181.88</v>
      </c>
      <c r="T384" s="48"/>
      <c r="U384" s="48"/>
      <c r="V384" s="48"/>
      <c r="W384" s="48"/>
      <c r="X384" s="48"/>
      <c r="Y384" s="48"/>
      <c r="Z384" s="48"/>
      <c r="AA384" s="48"/>
      <c r="AB384" s="48"/>
      <c r="AC384" s="48"/>
      <c r="AD384" s="48"/>
      <c r="AE384" s="48"/>
      <c r="AF384" s="48"/>
      <c r="AG384" s="48"/>
      <c r="AH384" s="48"/>
      <c r="AI384" s="48"/>
      <c r="AJ384" s="48"/>
      <c r="AK384" s="48"/>
      <c r="AL384" s="48"/>
      <c r="AM384" s="48"/>
      <c r="AN384" s="48"/>
    </row>
    <row r="385" ht="15.75" customHeight="1">
      <c r="A385" s="5" t="str">
        <f t="shared" si="74"/>
        <v>PiècesSous-total Pièces et Acc.</v>
      </c>
      <c r="B385" s="48" t="s">
        <v>178</v>
      </c>
      <c r="C385" s="500" t="s">
        <v>190</v>
      </c>
      <c r="D385" s="495" t="str">
        <f>D380+D383+D384</f>
        <v>#N/A</v>
      </c>
      <c r="E385" s="659" t="str">
        <f>IF(D385&lt;=0,0,F385/D385)</f>
        <v>#N/A</v>
      </c>
      <c r="F385" s="497" t="str">
        <f>F380+F383+F384</f>
        <v>#N/A</v>
      </c>
      <c r="G385" s="489"/>
      <c r="H385" s="659"/>
      <c r="I385" s="497"/>
      <c r="J385" s="489">
        <f>J380+J383+J384</f>
        <v>3289904.71</v>
      </c>
      <c r="K385" s="659">
        <f t="shared" si="83"/>
        <v>0.2681265045</v>
      </c>
      <c r="L385" s="497">
        <f>L380+L383+L384</f>
        <v>882110.65</v>
      </c>
      <c r="M385" s="660" t="str">
        <f t="shared" si="84"/>
        <v>#N/A</v>
      </c>
      <c r="N385" s="497" t="str">
        <f t="shared" si="85"/>
        <v>#N/A</v>
      </c>
      <c r="O385" s="489">
        <f>O380+O383+O384</f>
        <v>3361778.03</v>
      </c>
      <c r="P385" s="659">
        <f t="shared" si="86"/>
        <v>0.2654813054</v>
      </c>
      <c r="Q385" s="497">
        <f>Q380+Q383+Q384</f>
        <v>892489.22</v>
      </c>
      <c r="R385" s="660">
        <f t="shared" si="87"/>
        <v>-0.02137955551</v>
      </c>
      <c r="S385" s="497">
        <f t="shared" si="88"/>
        <v>-10378.57</v>
      </c>
      <c r="T385" s="48"/>
      <c r="U385" s="483"/>
      <c r="V385" s="48"/>
      <c r="W385" s="48"/>
      <c r="X385" s="48"/>
      <c r="Y385" s="48"/>
      <c r="Z385" s="48"/>
      <c r="AA385" s="48"/>
      <c r="AB385" s="48"/>
      <c r="AC385" s="48"/>
      <c r="AD385" s="48"/>
      <c r="AE385" s="48"/>
      <c r="AF385" s="48"/>
      <c r="AG385" s="48"/>
      <c r="AH385" s="48"/>
      <c r="AI385" s="48"/>
      <c r="AJ385" s="48"/>
      <c r="AK385" s="48"/>
      <c r="AL385" s="48"/>
      <c r="AM385" s="48"/>
      <c r="AN385" s="48"/>
    </row>
    <row r="386" ht="21.0" hidden="1" customHeight="1">
      <c r="A386" s="5" t="str">
        <f t="shared" si="74"/>
        <v>Pièces</v>
      </c>
      <c r="B386" s="48" t="s">
        <v>178</v>
      </c>
      <c r="C386" s="480"/>
      <c r="D386" s="48"/>
      <c r="E386" s="48"/>
      <c r="F386" s="514"/>
      <c r="G386" s="480"/>
      <c r="H386" s="48"/>
      <c r="I386" s="514"/>
      <c r="J386" s="486"/>
      <c r="K386" s="48"/>
      <c r="L386" s="484"/>
      <c r="M386" s="480"/>
      <c r="N386" s="507" t="str">
        <f>N385/F385</f>
        <v>#N/A</v>
      </c>
      <c r="O386" s="486"/>
      <c r="P386" s="48"/>
      <c r="Q386" s="484"/>
      <c r="R386" s="480"/>
      <c r="S386" s="504">
        <f>IF(Q385=0,0,S385/Q385)</f>
        <v>-0.01162879032</v>
      </c>
      <c r="T386" s="48"/>
      <c r="U386" s="48"/>
      <c r="V386" s="48"/>
      <c r="W386" s="48"/>
      <c r="X386" s="48"/>
      <c r="Y386" s="48"/>
      <c r="Z386" s="48"/>
      <c r="AA386" s="48"/>
      <c r="AB386" s="48"/>
      <c r="AC386" s="48"/>
      <c r="AD386" s="48"/>
      <c r="AE386" s="48"/>
      <c r="AF386" s="48"/>
      <c r="AG386" s="48"/>
      <c r="AH386" s="48"/>
      <c r="AI386" s="48"/>
      <c r="AJ386" s="48"/>
      <c r="AK386" s="48"/>
      <c r="AL386" s="48"/>
      <c r="AM386" s="48"/>
      <c r="AN386" s="48"/>
    </row>
    <row r="387" ht="21.0" hidden="1" customHeight="1">
      <c r="A387" s="5" t="str">
        <f t="shared" si="74"/>
        <v>Pièces</v>
      </c>
      <c r="B387" s="48" t="s">
        <v>178</v>
      </c>
      <c r="C387" s="480"/>
      <c r="D387" s="48"/>
      <c r="E387" s="48"/>
      <c r="F387" s="514"/>
      <c r="G387" s="480"/>
      <c r="H387" s="48"/>
      <c r="I387" s="514"/>
      <c r="J387" s="486"/>
      <c r="K387" s="48"/>
      <c r="L387" s="484"/>
      <c r="M387" s="480"/>
      <c r="N387" s="507"/>
      <c r="O387" s="486"/>
      <c r="P387" s="48"/>
      <c r="Q387" s="484"/>
      <c r="R387" s="480"/>
      <c r="S387" s="504"/>
      <c r="T387" s="48"/>
      <c r="U387" s="48"/>
      <c r="V387" s="48"/>
      <c r="W387" s="48"/>
      <c r="X387" s="48"/>
      <c r="Y387" s="48"/>
      <c r="Z387" s="48"/>
      <c r="AA387" s="48"/>
      <c r="AB387" s="48"/>
      <c r="AC387" s="48"/>
      <c r="AD387" s="48"/>
      <c r="AE387" s="48"/>
      <c r="AF387" s="48"/>
      <c r="AG387" s="48"/>
      <c r="AH387" s="48"/>
      <c r="AI387" s="48"/>
      <c r="AJ387" s="48"/>
      <c r="AK387" s="48"/>
      <c r="AL387" s="48"/>
      <c r="AM387" s="48"/>
      <c r="AN387" s="48"/>
    </row>
    <row r="388" ht="20.25" hidden="1" customHeight="1">
      <c r="A388" s="5" t="str">
        <f t="shared" si="74"/>
        <v>PiècesAutostock</v>
      </c>
      <c r="B388" s="48" t="s">
        <v>178</v>
      </c>
      <c r="C388" s="471" t="s">
        <v>191</v>
      </c>
      <c r="D388" s="513" t="str">
        <f t="array" ref="D388">+SUMPRODUCT(('Budget original'!$A$8:$A$501=$A388)*('Budget original'!$C$3:$AO$3=D$2),'Budget original'!$C$8:$AO$501)</f>
        <v>#N/A</v>
      </c>
      <c r="E388" s="662" t="str">
        <f>IF(D388=0,0,F388/D388)</f>
        <v>#N/A</v>
      </c>
      <c r="F388" s="476" t="str">
        <f t="array" ref="F388">+SUMPRODUCT(('Budget original'!$A$8:$A$501=$A388)*('Budget original'!$C$3:$AO$3=F$2),'Budget original'!$C$8:$AO$501)</f>
        <v>#N/A</v>
      </c>
      <c r="G388" s="622"/>
      <c r="H388" s="662"/>
      <c r="I388" s="476"/>
      <c r="J388" s="622">
        <f>-SUMIFS(BV_Data_An_Cour!$AN:$AN,BV_Data_An_Cour!$AS:$AS,"Oui",BV_Data_An_Cour!$AP:$AP,$B388,BV_Data_An_Cour!$AQ:$AQ,$C388)</f>
        <v>0</v>
      </c>
      <c r="K388" s="662">
        <f>IF(J388&lt;=0,0,L388/J388)</f>
        <v>0</v>
      </c>
      <c r="L388" s="476">
        <f>-SUMIFS(BV_Data_An_Cour!$AN:$AN,BV_Data_An_Cour!$AP:$AP,$B388,BV_Data_An_Cour!$AQ:$AQ,$C388,BV_Data_An_Cour!$AR:$AR,$L$2)</f>
        <v>0</v>
      </c>
      <c r="M388" s="662" t="str">
        <f>IF(F388=0,0,(+L388-F388)/F388)</f>
        <v>#N/A</v>
      </c>
      <c r="N388" s="476" t="str">
        <f>L388-F388</f>
        <v>#N/A</v>
      </c>
      <c r="O388" s="622">
        <f>-SUMIFS(BV_Data_An_Prec!$AN:$AN,BV_Data_An_Prec!$AS:$AS,"Oui",BV_Data_An_Prec!$AP:$AP,$B388,BV_Data_An_Prec!$AQ:$AQ,$C388)</f>
        <v>0</v>
      </c>
      <c r="P388" s="662">
        <f>IF(O388&lt;=0,0,Q388/O388)</f>
        <v>0</v>
      </c>
      <c r="Q388" s="476">
        <f>-SUMIFS(BV_Data_An_Prec!$AN:$AN,BV_Data_An_Prec!$AP:$AP,$B388,BV_Data_An_Prec!$AQ:$AQ,$C388,BV_Data_An_Prec!$AR:$AR,$L$2)</f>
        <v>0</v>
      </c>
      <c r="R388" s="662">
        <f>IF(S388=0,0,(+O388-K388)/K388)</f>
        <v>0</v>
      </c>
      <c r="S388" s="476">
        <f>L388-Q388</f>
        <v>0</v>
      </c>
      <c r="T388" s="48"/>
      <c r="U388" s="483"/>
      <c r="V388" s="48"/>
      <c r="W388" s="48"/>
      <c r="X388" s="48"/>
      <c r="Y388" s="48"/>
      <c r="Z388" s="48"/>
      <c r="AA388" s="48"/>
      <c r="AB388" s="48"/>
      <c r="AC388" s="48"/>
      <c r="AD388" s="48"/>
      <c r="AE388" s="48"/>
      <c r="AF388" s="48"/>
      <c r="AG388" s="48"/>
      <c r="AH388" s="48"/>
      <c r="AI388" s="48"/>
      <c r="AJ388" s="48"/>
      <c r="AK388" s="48"/>
      <c r="AL388" s="48"/>
      <c r="AM388" s="48"/>
      <c r="AN388" s="48"/>
    </row>
    <row r="389" ht="15.75" customHeight="1">
      <c r="A389" s="5" t="str">
        <f t="shared" si="74"/>
        <v>Pièces</v>
      </c>
      <c r="B389" s="48" t="s">
        <v>178</v>
      </c>
      <c r="C389" s="480"/>
      <c r="D389" s="483"/>
      <c r="E389" s="602"/>
      <c r="F389" s="484"/>
      <c r="G389" s="486"/>
      <c r="H389" s="602"/>
      <c r="I389" s="484"/>
      <c r="J389" s="486"/>
      <c r="K389" s="602"/>
      <c r="L389" s="484"/>
      <c r="M389" s="515"/>
      <c r="N389" s="484"/>
      <c r="O389" s="486"/>
      <c r="P389" s="602"/>
      <c r="Q389" s="484"/>
      <c r="R389" s="515"/>
      <c r="S389" s="484"/>
      <c r="T389" s="48"/>
      <c r="U389" s="48"/>
      <c r="V389" s="48"/>
      <c r="W389" s="48"/>
      <c r="X389" s="48"/>
      <c r="Y389" s="48"/>
      <c r="Z389" s="48"/>
      <c r="AA389" s="48"/>
      <c r="AB389" s="48"/>
      <c r="AC389" s="48"/>
      <c r="AD389" s="48"/>
      <c r="AE389" s="48"/>
      <c r="AF389" s="48"/>
      <c r="AG389" s="48"/>
      <c r="AH389" s="48"/>
      <c r="AI389" s="48"/>
      <c r="AJ389" s="48"/>
      <c r="AK389" s="48"/>
      <c r="AL389" s="48"/>
      <c r="AM389" s="48"/>
      <c r="AN389" s="48"/>
    </row>
    <row r="390" ht="18.0" customHeight="1">
      <c r="A390" s="5" t="str">
        <f t="shared" si="74"/>
        <v>PiècesTotal Dépt. Pièces</v>
      </c>
      <c r="B390" s="48" t="s">
        <v>178</v>
      </c>
      <c r="C390" s="526" t="s">
        <v>192</v>
      </c>
      <c r="D390" s="527" t="str">
        <f>D385+D388</f>
        <v>#N/A</v>
      </c>
      <c r="E390" s="528" t="str">
        <f>IF(D390&lt;=0,0,F390/D390)</f>
        <v>#N/A</v>
      </c>
      <c r="F390" s="529" t="str">
        <f>F385+F388</f>
        <v>#N/A</v>
      </c>
      <c r="G390" s="530"/>
      <c r="H390" s="528"/>
      <c r="I390" s="529"/>
      <c r="J390" s="530">
        <f>J385+J388</f>
        <v>3289904.71</v>
      </c>
      <c r="K390" s="663">
        <f>IF(J390&lt;=0,0,L390/J390)</f>
        <v>0.2681265045</v>
      </c>
      <c r="L390" s="529">
        <f>L385+L388</f>
        <v>882110.65</v>
      </c>
      <c r="M390" s="530" t="str">
        <f>(+J390-D390)/D390</f>
        <v>#N/A</v>
      </c>
      <c r="N390" s="529" t="str">
        <f>L390-F390</f>
        <v>#N/A</v>
      </c>
      <c r="O390" s="530">
        <f>O385+O388</f>
        <v>3361778.03</v>
      </c>
      <c r="P390" s="663">
        <f>IF(O390&lt;=0,0,Q390/O390)</f>
        <v>0.2654813054</v>
      </c>
      <c r="Q390" s="529">
        <f>Q385+Q388</f>
        <v>892489.22</v>
      </c>
      <c r="R390" s="664">
        <f>IF(O390=0,0,(J390-O390)/O390)</f>
        <v>-0.02137955551</v>
      </c>
      <c r="S390" s="529">
        <f>L390-Q390</f>
        <v>-10378.57</v>
      </c>
      <c r="T390" s="48"/>
      <c r="U390" s="48"/>
      <c r="V390" s="48"/>
      <c r="W390" s="48"/>
      <c r="X390" s="48"/>
      <c r="Y390" s="48"/>
      <c r="Z390" s="48"/>
      <c r="AA390" s="48"/>
      <c r="AB390" s="48"/>
      <c r="AC390" s="48"/>
      <c r="AD390" s="48"/>
      <c r="AE390" s="48"/>
      <c r="AF390" s="48"/>
      <c r="AG390" s="48"/>
      <c r="AH390" s="48"/>
      <c r="AI390" s="48"/>
      <c r="AJ390" s="48"/>
      <c r="AK390" s="48"/>
      <c r="AL390" s="48"/>
      <c r="AM390" s="48"/>
      <c r="AN390" s="48"/>
    </row>
    <row r="391" ht="22.5" customHeight="1">
      <c r="A391" s="5" t="str">
        <f t="shared" si="74"/>
        <v>Pièces</v>
      </c>
      <c r="B391" s="48" t="s">
        <v>178</v>
      </c>
      <c r="C391" s="531"/>
      <c r="D391" s="532"/>
      <c r="E391" s="532"/>
      <c r="F391" s="533"/>
      <c r="G391" s="531"/>
      <c r="H391" s="532"/>
      <c r="I391" s="533"/>
      <c r="J391" s="531"/>
      <c r="K391" s="534"/>
      <c r="L391" s="535"/>
      <c r="M391" s="536"/>
      <c r="N391" s="537" t="str">
        <f>N390/F390</f>
        <v>#N/A</v>
      </c>
      <c r="O391" s="531"/>
      <c r="P391" s="534"/>
      <c r="Q391" s="538"/>
      <c r="R391" s="536"/>
      <c r="S391" s="538">
        <f>IF(Q390=0,0,S390/Q390)</f>
        <v>-0.01162879032</v>
      </c>
      <c r="T391" s="48"/>
      <c r="U391" s="48"/>
      <c r="V391" s="48"/>
      <c r="W391" s="48"/>
      <c r="X391" s="48"/>
      <c r="Y391" s="48"/>
      <c r="Z391" s="48"/>
      <c r="AA391" s="48"/>
      <c r="AB391" s="48"/>
      <c r="AC391" s="48"/>
      <c r="AD391" s="48"/>
      <c r="AE391" s="48"/>
      <c r="AF391" s="48"/>
      <c r="AG391" s="48"/>
      <c r="AH391" s="48"/>
      <c r="AI391" s="48"/>
      <c r="AJ391" s="48"/>
      <c r="AK391" s="48"/>
      <c r="AL391" s="48"/>
      <c r="AM391" s="48"/>
      <c r="AN391" s="48"/>
    </row>
    <row r="392" ht="15.75" customHeight="1">
      <c r="A392" s="5" t="str">
        <f t="shared" si="74"/>
        <v>Pièces</v>
      </c>
      <c r="B392" s="48" t="s">
        <v>178</v>
      </c>
      <c r="C392" s="500"/>
      <c r="D392" s="503"/>
      <c r="E392" s="599"/>
      <c r="F392" s="504"/>
      <c r="G392" s="600"/>
      <c r="H392" s="599"/>
      <c r="I392" s="504"/>
      <c r="J392" s="600"/>
      <c r="K392" s="599"/>
      <c r="L392" s="504"/>
      <c r="M392" s="480"/>
      <c r="N392" s="507"/>
      <c r="O392" s="600"/>
      <c r="P392" s="599"/>
      <c r="Q392" s="504"/>
      <c r="R392" s="480"/>
      <c r="S392" s="507"/>
      <c r="T392" s="48"/>
      <c r="U392" s="48"/>
      <c r="V392" s="48"/>
      <c r="W392" s="48"/>
      <c r="X392" s="48"/>
      <c r="Y392" s="48"/>
      <c r="Z392" s="48"/>
      <c r="AA392" s="48"/>
      <c r="AB392" s="48"/>
      <c r="AC392" s="48"/>
      <c r="AD392" s="48"/>
      <c r="AE392" s="48"/>
      <c r="AF392" s="48"/>
      <c r="AG392" s="48"/>
      <c r="AH392" s="48"/>
      <c r="AI392" s="48"/>
      <c r="AJ392" s="48"/>
      <c r="AK392" s="48"/>
      <c r="AL392" s="48"/>
      <c r="AM392" s="48"/>
      <c r="AN392" s="48"/>
    </row>
    <row r="393" ht="15.75" customHeight="1">
      <c r="A393" s="5" t="str">
        <f t="shared" si="74"/>
        <v>PiècesDEPENSES</v>
      </c>
      <c r="B393" s="48" t="s">
        <v>178</v>
      </c>
      <c r="C393" s="541" t="s">
        <v>110</v>
      </c>
      <c r="D393" s="48"/>
      <c r="E393" s="48"/>
      <c r="F393" s="484"/>
      <c r="G393" s="480"/>
      <c r="H393" s="48"/>
      <c r="I393" s="484"/>
      <c r="J393" s="480"/>
      <c r="K393" s="48"/>
      <c r="L393" s="514"/>
      <c r="M393" s="480"/>
      <c r="N393" s="514"/>
      <c r="O393" s="480"/>
      <c r="P393" s="48"/>
      <c r="Q393" s="514"/>
      <c r="R393" s="480"/>
      <c r="S393" s="514"/>
      <c r="T393" s="48"/>
      <c r="U393" s="48"/>
      <c r="V393" s="48"/>
      <c r="W393" s="48"/>
      <c r="X393" s="48"/>
      <c r="Y393" s="48"/>
      <c r="Z393" s="48"/>
      <c r="AA393" s="48"/>
      <c r="AB393" s="48"/>
      <c r="AC393" s="48"/>
      <c r="AD393" s="48"/>
      <c r="AE393" s="48"/>
      <c r="AF393" s="48"/>
      <c r="AG393" s="48"/>
      <c r="AH393" s="48"/>
      <c r="AI393" s="48"/>
      <c r="AJ393" s="48"/>
      <c r="AK393" s="48"/>
      <c r="AL393" s="48"/>
      <c r="AM393" s="48"/>
      <c r="AN393" s="48"/>
    </row>
    <row r="394" ht="15.75" customHeight="1">
      <c r="A394" s="5" t="str">
        <f t="shared" si="74"/>
        <v>PiècesSalaires cadres</v>
      </c>
      <c r="B394" s="48" t="s">
        <v>178</v>
      </c>
      <c r="C394" s="559" t="s">
        <v>119</v>
      </c>
      <c r="D394" s="48"/>
      <c r="E394" s="48"/>
      <c r="F394" s="481" t="str">
        <f t="array" ref="F394">+SUMPRODUCT(('Budget original'!$A$8:$A$501=$A394)*('Budget original'!$C$3:$AO$3=F$2),'Budget original'!$C$8:$AO$501)</f>
        <v>#N/A</v>
      </c>
      <c r="G394" s="480"/>
      <c r="H394" s="48"/>
      <c r="I394" s="481"/>
      <c r="J394" s="480"/>
      <c r="K394" s="48"/>
      <c r="L394" s="484">
        <f>SUMIFS(BV_Data_An_Cour!$AN:$AN,BV_Data_An_Cour!$AP:$AP,$B394,BV_Data_An_Cour!$AQ:$AQ,$C394,BV_Data_An_Cour!$AR:$AR,$L$2)</f>
        <v>31865.73</v>
      </c>
      <c r="M394" s="480"/>
      <c r="N394" s="485" t="str">
        <f t="shared" ref="N394:N424" si="89">L394-F394</f>
        <v>#N/A</v>
      </c>
      <c r="O394" s="480"/>
      <c r="P394" s="48"/>
      <c r="Q394" s="484">
        <f>SUMIFS(BV_Data_An_Prec!$AN:$AN,BV_Data_An_Prec!$AP:$AP,$B394,BV_Data_An_Prec!$AQ:$AQ,$C394,BV_Data_An_Prec!$AR:$AR,$L$2)</f>
        <v>24008.25</v>
      </c>
      <c r="R394" s="480"/>
      <c r="S394" s="484">
        <f t="shared" ref="S394:S424" si="90">L394-Q394</f>
        <v>7857.48</v>
      </c>
      <c r="T394" s="48"/>
      <c r="U394" s="48"/>
      <c r="V394" s="48"/>
      <c r="W394" s="48"/>
      <c r="X394" s="48"/>
      <c r="Y394" s="48"/>
      <c r="Z394" s="48"/>
      <c r="AA394" s="48"/>
      <c r="AB394" s="48"/>
      <c r="AC394" s="48"/>
      <c r="AD394" s="48"/>
      <c r="AE394" s="48"/>
      <c r="AF394" s="48"/>
      <c r="AG394" s="48"/>
      <c r="AH394" s="48"/>
      <c r="AI394" s="48"/>
      <c r="AJ394" s="48"/>
      <c r="AK394" s="48"/>
      <c r="AL394" s="48"/>
      <c r="AM394" s="48"/>
      <c r="AN394" s="48"/>
    </row>
    <row r="395" ht="15.75" customHeight="1">
      <c r="A395" s="5" t="str">
        <f t="shared" si="74"/>
        <v>PiècesSalaires commis</v>
      </c>
      <c r="B395" s="48" t="s">
        <v>178</v>
      </c>
      <c r="C395" s="560" t="s">
        <v>120</v>
      </c>
      <c r="D395" s="546"/>
      <c r="E395" s="48"/>
      <c r="F395" s="473" t="str">
        <f t="array" ref="F395">+SUMPRODUCT(('Budget original'!$A$8:$A$501=$A395)*('Budget original'!$C$3:$AO$3=F$2),'Budget original'!$C$8:$AO$501)</f>
        <v>#N/A</v>
      </c>
      <c r="G395" s="547"/>
      <c r="H395" s="48"/>
      <c r="I395" s="473"/>
      <c r="J395" s="480"/>
      <c r="K395" s="48"/>
      <c r="L395" s="484">
        <f>SUMIFS(BV_Data_An_Cour!$AN:$AN,BV_Data_An_Cour!$AP:$AP,$B395,BV_Data_An_Cour!$AQ:$AQ,$C395,BV_Data_An_Cour!$AR:$AR,$L$2)</f>
        <v>24081</v>
      </c>
      <c r="M395" s="480"/>
      <c r="N395" s="485" t="str">
        <f t="shared" si="89"/>
        <v>#N/A</v>
      </c>
      <c r="O395" s="480"/>
      <c r="P395" s="48"/>
      <c r="Q395" s="484">
        <f>SUMIFS(BV_Data_An_Prec!$AN:$AN,BV_Data_An_Prec!$AP:$AP,$B395,BV_Data_An_Prec!$AQ:$AQ,$C395,BV_Data_An_Prec!$AR:$AR,$L$2)</f>
        <v>22358.87</v>
      </c>
      <c r="R395" s="480"/>
      <c r="S395" s="484">
        <f t="shared" si="90"/>
        <v>1722.13</v>
      </c>
      <c r="T395" s="48"/>
      <c r="U395" s="48"/>
      <c r="V395" s="48"/>
      <c r="W395" s="48"/>
      <c r="X395" s="48"/>
      <c r="Y395" s="48"/>
      <c r="Z395" s="48"/>
      <c r="AA395" s="48"/>
      <c r="AB395" s="48"/>
      <c r="AC395" s="48"/>
      <c r="AD395" s="48"/>
      <c r="AE395" s="48"/>
      <c r="AF395" s="48"/>
      <c r="AG395" s="48"/>
      <c r="AH395" s="48"/>
      <c r="AI395" s="48"/>
      <c r="AJ395" s="48"/>
      <c r="AK395" s="48"/>
      <c r="AL395" s="48"/>
      <c r="AM395" s="48"/>
      <c r="AN395" s="48"/>
    </row>
    <row r="396" ht="15.75" customHeight="1">
      <c r="A396" s="5" t="str">
        <f t="shared" si="74"/>
        <v>PiècesSalaires autres</v>
      </c>
      <c r="B396" s="48" t="s">
        <v>178</v>
      </c>
      <c r="C396" s="559" t="s">
        <v>121</v>
      </c>
      <c r="D396" s="561"/>
      <c r="E396" s="562"/>
      <c r="F396" s="481" t="str">
        <f t="array" ref="F396">+SUMPRODUCT(('Budget original'!$A$8:$A$501=$A396)*('Budget original'!$C$3:$AO$3=F$2),'Budget original'!$C$8:$AO$501)</f>
        <v>#N/A</v>
      </c>
      <c r="G396" s="563"/>
      <c r="H396" s="562"/>
      <c r="I396" s="481"/>
      <c r="J396" s="466"/>
      <c r="K396" s="562"/>
      <c r="L396" s="523">
        <f>SUMIFS(BV_Data_An_Cour!$AN:$AN,BV_Data_An_Cour!$AP:$AP,$B396,BV_Data_An_Cour!$AQ:$AQ,$C396,BV_Data_An_Cour!$AR:$AR,$L$2)</f>
        <v>159943.8</v>
      </c>
      <c r="M396" s="466"/>
      <c r="N396" s="520" t="str">
        <f t="shared" si="89"/>
        <v>#N/A</v>
      </c>
      <c r="O396" s="466"/>
      <c r="P396" s="562"/>
      <c r="Q396" s="523">
        <f>SUMIFS(BV_Data_An_Prec!$AN:$AN,BV_Data_An_Prec!$AP:$AP,$B396,BV_Data_An_Prec!$AQ:$AQ,$C396,BV_Data_An_Prec!$AR:$AR,$L$2)</f>
        <v>154728.47</v>
      </c>
      <c r="R396" s="466"/>
      <c r="S396" s="523">
        <f t="shared" si="90"/>
        <v>5215.33</v>
      </c>
      <c r="T396" s="48"/>
      <c r="U396" s="666"/>
      <c r="V396" s="666"/>
      <c r="W396" s="48"/>
      <c r="X396" s="48"/>
      <c r="Y396" s="48"/>
      <c r="Z396" s="48"/>
      <c r="AA396" s="48"/>
      <c r="AB396" s="48"/>
      <c r="AC396" s="48"/>
      <c r="AD396" s="48"/>
      <c r="AE396" s="48"/>
      <c r="AF396" s="48"/>
      <c r="AG396" s="48"/>
      <c r="AH396" s="48"/>
      <c r="AI396" s="48"/>
      <c r="AJ396" s="48"/>
      <c r="AK396" s="48"/>
      <c r="AL396" s="48"/>
      <c r="AM396" s="48"/>
      <c r="AN396" s="48"/>
    </row>
    <row r="397" ht="20.25" hidden="1" customHeight="1">
      <c r="A397" s="5" t="str">
        <f t="shared" si="74"/>
        <v>PiècesSalaires spécialistes</v>
      </c>
      <c r="B397" s="48" t="s">
        <v>178</v>
      </c>
      <c r="C397" s="559" t="s">
        <v>122</v>
      </c>
      <c r="D397" s="546"/>
      <c r="E397" s="48"/>
      <c r="F397" s="481" t="str">
        <f t="array" ref="F397">+SUMPRODUCT(('Budget original'!$A$8:$A$501=$A397)*('Budget original'!$C$3:$AO$3=F$2),'Budget original'!$C$8:$AO$501)</f>
        <v>#N/A</v>
      </c>
      <c r="G397" s="547"/>
      <c r="H397" s="48"/>
      <c r="I397" s="481"/>
      <c r="J397" s="480"/>
      <c r="K397" s="48"/>
      <c r="L397" s="484">
        <f>SUMIFS(BV_Data_An_Cour!$AN:$AN,BV_Data_An_Cour!$AP:$AP,$B397,BV_Data_An_Cour!$AQ:$AQ,$C397,BV_Data_An_Cour!$AR:$AR,$L$2)</f>
        <v>0</v>
      </c>
      <c r="M397" s="480"/>
      <c r="N397" s="485" t="str">
        <f t="shared" si="89"/>
        <v>#N/A</v>
      </c>
      <c r="O397" s="480"/>
      <c r="P397" s="48"/>
      <c r="Q397" s="484">
        <f>SUMIFS(BV_Data_An_Prec!$AN:$AN,BV_Data_An_Prec!$AP:$AP,$B397,BV_Data_An_Prec!$AQ:$AQ,$C397,BV_Data_An_Prec!$AR:$AR,$L$2)</f>
        <v>0</v>
      </c>
      <c r="R397" s="480"/>
      <c r="S397" s="484">
        <f t="shared" si="90"/>
        <v>0</v>
      </c>
      <c r="T397" s="48"/>
      <c r="U397" s="48"/>
      <c r="V397" s="48"/>
      <c r="W397" s="48"/>
      <c r="X397" s="48"/>
      <c r="Y397" s="48"/>
      <c r="Z397" s="48"/>
      <c r="AA397" s="48"/>
      <c r="AB397" s="48"/>
      <c r="AC397" s="48"/>
      <c r="AD397" s="48"/>
      <c r="AE397" s="48"/>
      <c r="AF397" s="48"/>
      <c r="AG397" s="48"/>
      <c r="AH397" s="48"/>
      <c r="AI397" s="48"/>
      <c r="AJ397" s="48"/>
      <c r="AK397" s="48"/>
      <c r="AL397" s="48"/>
      <c r="AM397" s="48"/>
      <c r="AN397" s="48"/>
    </row>
    <row r="398" ht="20.25" hidden="1" customHeight="1">
      <c r="A398" s="5" t="str">
        <f t="shared" si="74"/>
        <v>Pièces[...]</v>
      </c>
      <c r="B398" s="48" t="s">
        <v>178</v>
      </c>
      <c r="C398" s="480" t="s">
        <v>56</v>
      </c>
      <c r="D398" s="546"/>
      <c r="E398" s="48"/>
      <c r="F398" s="481" t="str">
        <f t="array" ref="F398">+SUMPRODUCT(('Budget original'!$A$8:$A$501=$A398)*('Budget original'!$C$3:$AO$3=F$2),'Budget original'!$C$8:$AO$501)</f>
        <v>#N/A</v>
      </c>
      <c r="G398" s="547"/>
      <c r="H398" s="48"/>
      <c r="I398" s="481"/>
      <c r="J398" s="480"/>
      <c r="K398" s="48"/>
      <c r="L398" s="484">
        <f>SUMIFS(BV_Data_An_Cour!$AN:$AN,BV_Data_An_Cour!$AP:$AP,$B398,BV_Data_An_Cour!$AQ:$AQ,$C398,BV_Data_An_Cour!$AR:$AR,$L$2)</f>
        <v>0</v>
      </c>
      <c r="M398" s="480"/>
      <c r="N398" s="485" t="str">
        <f t="shared" si="89"/>
        <v>#N/A</v>
      </c>
      <c r="O398" s="480"/>
      <c r="P398" s="48"/>
      <c r="Q398" s="484">
        <f>SUMIFS(BV_Data_An_Prec!$AN:$AN,BV_Data_An_Prec!$AP:$AP,$B398,BV_Data_An_Prec!$AQ:$AQ,$C398,BV_Data_An_Prec!$AR:$AR,$L$2)</f>
        <v>0</v>
      </c>
      <c r="R398" s="480"/>
      <c r="S398" s="484">
        <f t="shared" si="90"/>
        <v>0</v>
      </c>
      <c r="T398" s="48"/>
      <c r="U398" s="48"/>
      <c r="V398" s="48"/>
      <c r="W398" s="48"/>
      <c r="X398" s="48"/>
      <c r="Y398" s="48"/>
      <c r="Z398" s="48"/>
      <c r="AA398" s="48"/>
      <c r="AB398" s="48"/>
      <c r="AC398" s="48"/>
      <c r="AD398" s="48"/>
      <c r="AE398" s="48"/>
      <c r="AF398" s="48"/>
      <c r="AG398" s="48"/>
      <c r="AH398" s="48"/>
      <c r="AI398" s="48"/>
      <c r="AJ398" s="48"/>
      <c r="AK398" s="48"/>
      <c r="AL398" s="48"/>
      <c r="AM398" s="48"/>
      <c r="AN398" s="48"/>
    </row>
    <row r="399" ht="20.25" hidden="1" customHeight="1">
      <c r="A399" s="5" t="str">
        <f t="shared" si="74"/>
        <v>Pièces[...]</v>
      </c>
      <c r="B399" s="48" t="s">
        <v>178</v>
      </c>
      <c r="C399" s="480" t="s">
        <v>56</v>
      </c>
      <c r="D399" s="546"/>
      <c r="E399" s="48"/>
      <c r="F399" s="481" t="str">
        <f t="array" ref="F399">+SUMPRODUCT(('Budget original'!$A$8:$A$501=$A399)*('Budget original'!$C$3:$AO$3=F$2),'Budget original'!$C$8:$AO$501)</f>
        <v>#N/A</v>
      </c>
      <c r="G399" s="547"/>
      <c r="H399" s="48"/>
      <c r="I399" s="481"/>
      <c r="J399" s="480"/>
      <c r="K399" s="48"/>
      <c r="L399" s="484">
        <f>SUMIFS(BV_Data_An_Cour!$AN:$AN,BV_Data_An_Cour!$AP:$AP,$B399,BV_Data_An_Cour!$AQ:$AQ,$C399,BV_Data_An_Cour!$AR:$AR,$L$2)</f>
        <v>0</v>
      </c>
      <c r="M399" s="480"/>
      <c r="N399" s="485" t="str">
        <f t="shared" si="89"/>
        <v>#N/A</v>
      </c>
      <c r="O399" s="480"/>
      <c r="P399" s="48"/>
      <c r="Q399" s="484">
        <f>SUMIFS(BV_Data_An_Prec!$AN:$AN,BV_Data_An_Prec!$AP:$AP,$B399,BV_Data_An_Prec!$AQ:$AQ,$C399,BV_Data_An_Prec!$AR:$AR,$L$2)</f>
        <v>0</v>
      </c>
      <c r="R399" s="480"/>
      <c r="S399" s="484">
        <f t="shared" si="90"/>
        <v>0</v>
      </c>
      <c r="T399" s="48"/>
      <c r="U399" s="48"/>
      <c r="V399" s="48"/>
      <c r="W399" s="48"/>
      <c r="X399" s="48"/>
      <c r="Y399" s="48"/>
      <c r="Z399" s="48"/>
      <c r="AA399" s="48"/>
      <c r="AB399" s="48"/>
      <c r="AC399" s="48"/>
      <c r="AD399" s="48"/>
      <c r="AE399" s="48"/>
      <c r="AF399" s="48"/>
      <c r="AG399" s="48"/>
      <c r="AH399" s="48"/>
      <c r="AI399" s="48"/>
      <c r="AJ399" s="48"/>
      <c r="AK399" s="48"/>
      <c r="AL399" s="48"/>
      <c r="AM399" s="48"/>
      <c r="AN399" s="48"/>
    </row>
    <row r="400" ht="20.25" hidden="1" customHeight="1">
      <c r="A400" s="5" t="str">
        <f t="shared" si="74"/>
        <v>Pièces[...]</v>
      </c>
      <c r="B400" s="48" t="s">
        <v>178</v>
      </c>
      <c r="C400" s="480" t="s">
        <v>56</v>
      </c>
      <c r="D400" s="546"/>
      <c r="E400" s="48"/>
      <c r="F400" s="481" t="str">
        <f t="array" ref="F400">+SUMPRODUCT(('Budget original'!$A$8:$A$501=$A400)*('Budget original'!$C$3:$AO$3=F$2),'Budget original'!$C$8:$AO$501)</f>
        <v>#N/A</v>
      </c>
      <c r="G400" s="547"/>
      <c r="H400" s="48"/>
      <c r="I400" s="481"/>
      <c r="J400" s="480"/>
      <c r="K400" s="48"/>
      <c r="L400" s="484">
        <f>SUMIFS(BV_Data_An_Cour!$AN:$AN,BV_Data_An_Cour!$AP:$AP,$B400,BV_Data_An_Cour!$AQ:$AQ,$C400,BV_Data_An_Cour!$AR:$AR,$L$2)</f>
        <v>0</v>
      </c>
      <c r="M400" s="480"/>
      <c r="N400" s="485" t="str">
        <f t="shared" si="89"/>
        <v>#N/A</v>
      </c>
      <c r="O400" s="480"/>
      <c r="P400" s="48"/>
      <c r="Q400" s="484">
        <f>SUMIFS(BV_Data_An_Prec!$AN:$AN,BV_Data_An_Prec!$AP:$AP,$B400,BV_Data_An_Prec!$AQ:$AQ,$C400,BV_Data_An_Prec!$AR:$AR,$L$2)</f>
        <v>0</v>
      </c>
      <c r="R400" s="480"/>
      <c r="S400" s="484">
        <f t="shared" si="90"/>
        <v>0</v>
      </c>
      <c r="T400" s="48"/>
      <c r="U400" s="48"/>
      <c r="V400" s="48"/>
      <c r="W400" s="48"/>
      <c r="X400" s="48"/>
      <c r="Y400" s="48"/>
      <c r="Z400" s="48"/>
      <c r="AA400" s="48"/>
      <c r="AB400" s="48"/>
      <c r="AC400" s="48"/>
      <c r="AD400" s="48"/>
      <c r="AE400" s="48"/>
      <c r="AF400" s="48"/>
      <c r="AG400" s="48"/>
      <c r="AH400" s="48"/>
      <c r="AI400" s="48"/>
      <c r="AJ400" s="48"/>
      <c r="AK400" s="48"/>
      <c r="AL400" s="48"/>
      <c r="AM400" s="48"/>
      <c r="AN400" s="48"/>
    </row>
    <row r="401" ht="15.75" customHeight="1">
      <c r="A401" s="5" t="str">
        <f t="shared" si="74"/>
        <v>PiècesSalaires en absences</v>
      </c>
      <c r="B401" s="48" t="s">
        <v>178</v>
      </c>
      <c r="C401" s="560" t="s">
        <v>123</v>
      </c>
      <c r="D401" s="546"/>
      <c r="E401" s="48"/>
      <c r="F401" s="473" t="str">
        <f t="array" ref="F401">+SUMPRODUCT(('Budget original'!$A$8:$A$501=$A401)*('Budget original'!$C$3:$AO$3=F$2),'Budget original'!$C$8:$AO$501)</f>
        <v>#N/A</v>
      </c>
      <c r="G401" s="547"/>
      <c r="H401" s="48"/>
      <c r="I401" s="473"/>
      <c r="J401" s="480"/>
      <c r="K401" s="48"/>
      <c r="L401" s="484">
        <f>SUMIFS(BV_Data_An_Cour!$AN:$AN,BV_Data_An_Cour!$AP:$AP,$B401,BV_Data_An_Cour!$AQ:$AQ,$C401,BV_Data_An_Cour!$AR:$AR,$L$2)</f>
        <v>23060.54</v>
      </c>
      <c r="M401" s="480"/>
      <c r="N401" s="485" t="str">
        <f t="shared" si="89"/>
        <v>#N/A</v>
      </c>
      <c r="O401" s="480"/>
      <c r="P401" s="48"/>
      <c r="Q401" s="484">
        <f>SUMIFS(BV_Data_An_Prec!$AN:$AN,BV_Data_An_Prec!$AP:$AP,$B401,BV_Data_An_Prec!$AQ:$AQ,$C401,BV_Data_An_Prec!$AR:$AR,$L$2)</f>
        <v>20423.5</v>
      </c>
      <c r="R401" s="480"/>
      <c r="S401" s="484">
        <f t="shared" si="90"/>
        <v>2637.04</v>
      </c>
      <c r="T401" s="48"/>
      <c r="U401" s="48"/>
      <c r="V401" s="48"/>
      <c r="W401" s="48"/>
      <c r="X401" s="48"/>
      <c r="Y401" s="48"/>
      <c r="Z401" s="48"/>
      <c r="AA401" s="48"/>
      <c r="AB401" s="48"/>
      <c r="AC401" s="48"/>
      <c r="AD401" s="48"/>
      <c r="AE401" s="48"/>
      <c r="AF401" s="48"/>
      <c r="AG401" s="48"/>
      <c r="AH401" s="48"/>
      <c r="AI401" s="48"/>
      <c r="AJ401" s="48"/>
      <c r="AK401" s="48"/>
      <c r="AL401" s="48"/>
      <c r="AM401" s="48"/>
      <c r="AN401" s="48"/>
    </row>
    <row r="402" ht="15.75" customHeight="1">
      <c r="A402" s="5" t="str">
        <f t="shared" si="74"/>
        <v>PiècesDéduction à la source</v>
      </c>
      <c r="B402" s="48" t="s">
        <v>178</v>
      </c>
      <c r="C402" s="559" t="s">
        <v>124</v>
      </c>
      <c r="D402" s="561"/>
      <c r="E402" s="562"/>
      <c r="F402" s="481" t="str">
        <f t="array" ref="F402">+SUMPRODUCT(('Budget original'!$A$8:$A$501=$A402)*('Budget original'!$C$3:$AO$3=F$2),'Budget original'!$C$8:$AO$501)</f>
        <v>#N/A</v>
      </c>
      <c r="G402" s="563"/>
      <c r="H402" s="562"/>
      <c r="I402" s="481"/>
      <c r="J402" s="466"/>
      <c r="K402" s="562"/>
      <c r="L402" s="523">
        <f>SUMIFS(BV_Data_An_Cour!$AN:$AN,BV_Data_An_Cour!$AP:$AP,$B402,BV_Data_An_Cour!$AQ:$AQ,$C402,BV_Data_An_Cour!$AR:$AR,$L$2)</f>
        <v>29615.86</v>
      </c>
      <c r="M402" s="466"/>
      <c r="N402" s="520" t="str">
        <f t="shared" si="89"/>
        <v>#N/A</v>
      </c>
      <c r="O402" s="466"/>
      <c r="P402" s="562"/>
      <c r="Q402" s="523">
        <f>SUMIFS(BV_Data_An_Prec!$AN:$AN,BV_Data_An_Prec!$AP:$AP,$B402,BV_Data_An_Prec!$AQ:$AQ,$C402,BV_Data_An_Prec!$AR:$AR,$L$2)</f>
        <v>27638.27</v>
      </c>
      <c r="R402" s="466"/>
      <c r="S402" s="523">
        <f t="shared" si="90"/>
        <v>1977.59</v>
      </c>
      <c r="T402" s="48"/>
      <c r="U402" s="48"/>
      <c r="V402" s="48"/>
      <c r="W402" s="48"/>
      <c r="X402" s="48"/>
      <c r="Y402" s="48"/>
      <c r="Z402" s="48"/>
      <c r="AA402" s="48"/>
      <c r="AB402" s="48"/>
      <c r="AC402" s="48"/>
      <c r="AD402" s="48"/>
      <c r="AE402" s="48"/>
      <c r="AF402" s="48"/>
      <c r="AG402" s="48"/>
      <c r="AH402" s="48"/>
      <c r="AI402" s="48"/>
      <c r="AJ402" s="48"/>
      <c r="AK402" s="48"/>
      <c r="AL402" s="48"/>
      <c r="AM402" s="48"/>
      <c r="AN402" s="48"/>
    </row>
    <row r="403" ht="15.75" customHeight="1">
      <c r="A403" s="5" t="str">
        <f t="shared" si="74"/>
        <v>PiècesBénéfices marginaux</v>
      </c>
      <c r="B403" s="48" t="s">
        <v>178</v>
      </c>
      <c r="C403" s="559" t="s">
        <v>125</v>
      </c>
      <c r="D403" s="546"/>
      <c r="E403" s="48"/>
      <c r="F403" s="481" t="str">
        <f t="array" ref="F403">+SUMPRODUCT(('Budget original'!$A$8:$A$501=$A403)*('Budget original'!$C$3:$AO$3=F$2),'Budget original'!$C$8:$AO$501)</f>
        <v>#N/A</v>
      </c>
      <c r="G403" s="547"/>
      <c r="H403" s="48"/>
      <c r="I403" s="481"/>
      <c r="J403" s="480"/>
      <c r="K403" s="48"/>
      <c r="L403" s="484">
        <f>SUMIFS(BV_Data_An_Cour!$AN:$AN,BV_Data_An_Cour!$AP:$AP,$B403,BV_Data_An_Cour!$AQ:$AQ,$C403,BV_Data_An_Cour!$AR:$AR,$L$2)</f>
        <v>8268.42</v>
      </c>
      <c r="M403" s="480"/>
      <c r="N403" s="485" t="str">
        <f t="shared" si="89"/>
        <v>#N/A</v>
      </c>
      <c r="O403" s="480"/>
      <c r="P403" s="48"/>
      <c r="Q403" s="484">
        <f>SUMIFS(BV_Data_An_Prec!$AN:$AN,BV_Data_An_Prec!$AP:$AP,$B403,BV_Data_An_Prec!$AQ:$AQ,$C403,BV_Data_An_Prec!$AR:$AR,$L$2)</f>
        <v>13255.36</v>
      </c>
      <c r="R403" s="480"/>
      <c r="S403" s="484">
        <f t="shared" si="90"/>
        <v>-4986.94</v>
      </c>
      <c r="T403" s="48"/>
      <c r="U403" s="48"/>
      <c r="V403" s="48"/>
      <c r="W403" s="48"/>
      <c r="X403" s="48"/>
      <c r="Y403" s="48"/>
      <c r="Z403" s="48"/>
      <c r="AA403" s="48"/>
      <c r="AB403" s="48"/>
      <c r="AC403" s="48"/>
      <c r="AD403" s="48"/>
      <c r="AE403" s="48"/>
      <c r="AF403" s="48"/>
      <c r="AG403" s="48"/>
      <c r="AH403" s="48"/>
      <c r="AI403" s="48"/>
      <c r="AJ403" s="48"/>
      <c r="AK403" s="48"/>
      <c r="AL403" s="48"/>
      <c r="AM403" s="48"/>
      <c r="AN403" s="48"/>
    </row>
    <row r="404" ht="15.75" customHeight="1">
      <c r="A404" s="5" t="str">
        <f t="shared" si="74"/>
        <v>PiècesCsst</v>
      </c>
      <c r="B404" s="48" t="s">
        <v>178</v>
      </c>
      <c r="C404" s="559" t="s">
        <v>126</v>
      </c>
      <c r="D404" s="546"/>
      <c r="E404" s="48"/>
      <c r="F404" s="481" t="str">
        <f t="array" ref="F404">+SUMPRODUCT(('Budget original'!$A$8:$A$501=$A404)*('Budget original'!$C$3:$AO$3=F$2),'Budget original'!$C$8:$AO$501)</f>
        <v>#N/A</v>
      </c>
      <c r="G404" s="547"/>
      <c r="H404" s="48"/>
      <c r="I404" s="481"/>
      <c r="J404" s="480"/>
      <c r="K404" s="48"/>
      <c r="L404" s="484">
        <f>SUMIFS(BV_Data_An_Cour!$AN:$AN,BV_Data_An_Cour!$AP:$AP,$B404,BV_Data_An_Cour!$AQ:$AQ,$C404,BV_Data_An_Cour!$AR:$AR,$L$2)</f>
        <v>8879.65</v>
      </c>
      <c r="M404" s="480"/>
      <c r="N404" s="485" t="str">
        <f t="shared" si="89"/>
        <v>#N/A</v>
      </c>
      <c r="O404" s="480"/>
      <c r="P404" s="48"/>
      <c r="Q404" s="484">
        <f>SUMIFS(BV_Data_An_Prec!$AN:$AN,BV_Data_An_Prec!$AP:$AP,$B404,BV_Data_An_Prec!$AQ:$AQ,$C404,BV_Data_An_Prec!$AR:$AR,$L$2)</f>
        <v>1849.29</v>
      </c>
      <c r="R404" s="480"/>
      <c r="S404" s="484">
        <f t="shared" si="90"/>
        <v>7030.36</v>
      </c>
      <c r="T404" s="48"/>
      <c r="U404" s="48"/>
      <c r="V404" s="48"/>
      <c r="W404" s="48"/>
      <c r="X404" s="48"/>
      <c r="Y404" s="48"/>
      <c r="Z404" s="48"/>
      <c r="AA404" s="48"/>
      <c r="AB404" s="48"/>
      <c r="AC404" s="48"/>
      <c r="AD404" s="48"/>
      <c r="AE404" s="48"/>
      <c r="AF404" s="48"/>
      <c r="AG404" s="48"/>
      <c r="AH404" s="48"/>
      <c r="AI404" s="48"/>
      <c r="AJ404" s="48"/>
      <c r="AK404" s="48"/>
      <c r="AL404" s="48"/>
      <c r="AM404" s="48"/>
      <c r="AN404" s="48"/>
    </row>
    <row r="405" ht="20.25" hidden="1" customHeight="1">
      <c r="A405" s="5" t="str">
        <f t="shared" si="74"/>
        <v>Pièces[...]</v>
      </c>
      <c r="B405" s="48" t="s">
        <v>178</v>
      </c>
      <c r="C405" s="480" t="s">
        <v>56</v>
      </c>
      <c r="D405" s="549"/>
      <c r="E405" s="564"/>
      <c r="F405" s="481" t="str">
        <f t="array" ref="F405">+SUMPRODUCT(('Budget original'!$A$8:$A$501=$A405)*('Budget original'!$C$3:$AO$3=F$2),'Budget original'!$C$8:$AO$501)</f>
        <v>#N/A</v>
      </c>
      <c r="G405" s="550"/>
      <c r="H405" s="564"/>
      <c r="I405" s="481"/>
      <c r="J405" s="471"/>
      <c r="K405" s="564"/>
      <c r="L405" s="484">
        <f>SUMIFS(BV_Data_An_Cour!$AN:$AN,BV_Data_An_Cour!$AP:$AP,$B405,BV_Data_An_Cour!$AQ:$AQ,$C405,BV_Data_An_Cour!$AR:$AR,$L$2)</f>
        <v>0</v>
      </c>
      <c r="M405" s="471"/>
      <c r="N405" s="476" t="str">
        <f t="shared" si="89"/>
        <v>#N/A</v>
      </c>
      <c r="O405" s="471"/>
      <c r="P405" s="564"/>
      <c r="Q405" s="484">
        <f>SUMIFS(BV_Data_An_Prec!$AN:$AN,BV_Data_An_Prec!$AP:$AP,$B405,BV_Data_An_Prec!$AQ:$AQ,$C405,BV_Data_An_Prec!$AR:$AR,$L$2)</f>
        <v>0</v>
      </c>
      <c r="R405" s="471"/>
      <c r="S405" s="476">
        <f t="shared" si="90"/>
        <v>0</v>
      </c>
      <c r="T405" s="48"/>
      <c r="U405" s="48"/>
      <c r="V405" s="48"/>
      <c r="W405" s="48"/>
      <c r="X405" s="48"/>
      <c r="Y405" s="48"/>
      <c r="Z405" s="48"/>
      <c r="AA405" s="48"/>
      <c r="AB405" s="48"/>
      <c r="AC405" s="48"/>
      <c r="AD405" s="48"/>
      <c r="AE405" s="48"/>
      <c r="AF405" s="48"/>
      <c r="AG405" s="48"/>
      <c r="AH405" s="48"/>
      <c r="AI405" s="48"/>
      <c r="AJ405" s="48"/>
      <c r="AK405" s="48"/>
      <c r="AL405" s="48"/>
      <c r="AM405" s="48"/>
      <c r="AN405" s="48"/>
    </row>
    <row r="406" ht="18.0" customHeight="1">
      <c r="A406" s="5" t="str">
        <f t="shared" si="74"/>
        <v>PiècesTOTAL PERSONNEL</v>
      </c>
      <c r="B406" s="48" t="s">
        <v>178</v>
      </c>
      <c r="C406" s="552" t="s">
        <v>127</v>
      </c>
      <c r="D406" s="553" t="s">
        <v>225</v>
      </c>
      <c r="E406" s="554" t="str">
        <f>F406/F$390</f>
        <v>#N/A</v>
      </c>
      <c r="F406" s="555" t="str">
        <f>+SUM(F394:F405)</f>
        <v>#N/A</v>
      </c>
      <c r="G406" s="556"/>
      <c r="H406" s="554"/>
      <c r="I406" s="555"/>
      <c r="J406" s="556" t="s">
        <v>225</v>
      </c>
      <c r="K406" s="554">
        <f>L406/L$390</f>
        <v>0.323899275</v>
      </c>
      <c r="L406" s="555">
        <f>+SUM(L394:L405)</f>
        <v>285715</v>
      </c>
      <c r="M406" s="557"/>
      <c r="N406" s="555" t="str">
        <f t="shared" si="89"/>
        <v>#N/A</v>
      </c>
      <c r="O406" s="556" t="s">
        <v>225</v>
      </c>
      <c r="P406" s="554">
        <f>Q406/Q$390</f>
        <v>0.2960954643</v>
      </c>
      <c r="Q406" s="555">
        <f>+SUM(Q394:Q405)</f>
        <v>264262.01</v>
      </c>
      <c r="R406" s="558"/>
      <c r="S406" s="555">
        <f t="shared" si="90"/>
        <v>21452.99</v>
      </c>
      <c r="T406" s="48"/>
      <c r="U406" s="48"/>
      <c r="V406" s="48"/>
      <c r="W406" s="48"/>
      <c r="X406" s="48"/>
      <c r="Y406" s="48"/>
      <c r="Z406" s="48"/>
      <c r="AA406" s="48"/>
      <c r="AB406" s="48"/>
      <c r="AC406" s="48"/>
      <c r="AD406" s="48"/>
      <c r="AE406" s="48"/>
      <c r="AF406" s="48"/>
      <c r="AG406" s="48"/>
      <c r="AH406" s="48"/>
      <c r="AI406" s="48"/>
      <c r="AJ406" s="48"/>
      <c r="AK406" s="48"/>
      <c r="AL406" s="48"/>
      <c r="AM406" s="48"/>
      <c r="AN406" s="48"/>
    </row>
    <row r="407" ht="15.75" customHeight="1">
      <c r="A407" s="5" t="str">
        <f t="shared" si="74"/>
        <v>PiècesPublicité 2</v>
      </c>
      <c r="B407" s="48" t="s">
        <v>178</v>
      </c>
      <c r="C407" s="654" t="s">
        <v>128</v>
      </c>
      <c r="D407" s="546"/>
      <c r="E407" s="48"/>
      <c r="F407" s="481" t="str">
        <f t="array" ref="F407">+SUMPRODUCT(('Budget original'!$A$8:$A$501=$A407)*('Budget original'!$C$3:$AO$3=F$2),'Budget original'!$C$8:$AO$501)</f>
        <v>#N/A</v>
      </c>
      <c r="G407" s="547"/>
      <c r="H407" s="48"/>
      <c r="I407" s="481"/>
      <c r="J407" s="480"/>
      <c r="K407" s="48"/>
      <c r="L407" s="484">
        <f>SUMIFS(BV_Data_An_Cour!$AN:$AN,BV_Data_An_Cour!$AP:$AP,$B407,BV_Data_An_Cour!$AQ:$AQ,$C407,BV_Data_An_Cour!$AR:$AR,$L$2)</f>
        <v>8418.83</v>
      </c>
      <c r="M407" s="480"/>
      <c r="N407" s="484" t="str">
        <f t="shared" si="89"/>
        <v>#N/A</v>
      </c>
      <c r="O407" s="480"/>
      <c r="P407" s="48"/>
      <c r="Q407" s="484">
        <f>SUMIFS(BV_Data_An_Prec!$AN:$AN,BV_Data_An_Prec!$AP:$AP,$B407,BV_Data_An_Prec!$AQ:$AQ,$C407,BV_Data_An_Prec!$AR:$AR,$L$2)</f>
        <v>11148.58</v>
      </c>
      <c r="R407" s="480"/>
      <c r="S407" s="484">
        <f t="shared" si="90"/>
        <v>-2729.75</v>
      </c>
      <c r="T407" s="48"/>
      <c r="U407" s="48"/>
      <c r="V407" s="48"/>
      <c r="W407" s="483"/>
      <c r="X407" s="48"/>
      <c r="Y407" s="48"/>
      <c r="Z407" s="48"/>
      <c r="AA407" s="48"/>
      <c r="AB407" s="48"/>
      <c r="AC407" s="48"/>
      <c r="AD407" s="48"/>
      <c r="AE407" s="48"/>
      <c r="AF407" s="48"/>
      <c r="AG407" s="48"/>
      <c r="AH407" s="48"/>
      <c r="AI407" s="48"/>
      <c r="AJ407" s="48"/>
      <c r="AK407" s="48"/>
      <c r="AL407" s="48"/>
      <c r="AM407" s="48"/>
      <c r="AN407" s="48"/>
    </row>
    <row r="408" ht="15.75" customHeight="1">
      <c r="A408" s="5" t="str">
        <f t="shared" si="74"/>
        <v>PiècesService gratuit 2</v>
      </c>
      <c r="B408" s="48" t="s">
        <v>178</v>
      </c>
      <c r="C408" s="559" t="s">
        <v>129</v>
      </c>
      <c r="D408" s="546"/>
      <c r="E408" s="48"/>
      <c r="F408" s="481" t="str">
        <f t="array" ref="F408">+SUMPRODUCT(('Budget original'!$A$8:$A$501=$A408)*('Budget original'!$C$3:$AO$3=F$2),'Budget original'!$C$8:$AO$501)</f>
        <v>#N/A</v>
      </c>
      <c r="G408" s="547"/>
      <c r="H408" s="48"/>
      <c r="I408" s="481"/>
      <c r="J408" s="480"/>
      <c r="K408" s="48"/>
      <c r="L408" s="484">
        <f>SUMIFS(BV_Data_An_Cour!$AN:$AN,BV_Data_An_Cour!$AP:$AP,$B408,BV_Data_An_Cour!$AQ:$AQ,$C408,BV_Data_An_Cour!$AR:$AR,$L$2)</f>
        <v>53.47</v>
      </c>
      <c r="M408" s="480"/>
      <c r="N408" s="484" t="str">
        <f t="shared" si="89"/>
        <v>#N/A</v>
      </c>
      <c r="O408" s="480"/>
      <c r="P408" s="48"/>
      <c r="Q408" s="484">
        <f>SUMIFS(BV_Data_An_Prec!$AN:$AN,BV_Data_An_Prec!$AP:$AP,$B408,BV_Data_An_Prec!$AQ:$AQ,$C408,BV_Data_An_Prec!$AR:$AR,$L$2)</f>
        <v>2123.53</v>
      </c>
      <c r="R408" s="480"/>
      <c r="S408" s="484">
        <f t="shared" si="90"/>
        <v>-2070.06</v>
      </c>
      <c r="T408" s="48"/>
      <c r="U408" s="48"/>
      <c r="V408" s="48"/>
      <c r="W408" s="48"/>
      <c r="X408" s="48"/>
      <c r="Y408" s="48"/>
      <c r="Z408" s="48"/>
      <c r="AA408" s="48"/>
      <c r="AB408" s="48"/>
      <c r="AC408" s="48"/>
      <c r="AD408" s="48"/>
      <c r="AE408" s="48"/>
      <c r="AF408" s="48"/>
      <c r="AG408" s="48"/>
      <c r="AH408" s="48"/>
      <c r="AI408" s="48"/>
      <c r="AJ408" s="48"/>
      <c r="AK408" s="48"/>
      <c r="AL408" s="48"/>
      <c r="AM408" s="48"/>
      <c r="AN408" s="48"/>
    </row>
    <row r="409" ht="15.75" customHeight="1">
      <c r="A409" s="5" t="str">
        <f t="shared" si="74"/>
        <v>PiècesFrais véhicules de cie</v>
      </c>
      <c r="B409" s="48" t="s">
        <v>178</v>
      </c>
      <c r="C409" s="560" t="s">
        <v>130</v>
      </c>
      <c r="D409" s="549"/>
      <c r="E409" s="564"/>
      <c r="F409" s="473" t="str">
        <f t="array" ref="F409">+SUMPRODUCT(('Budget original'!$A$8:$A$501=$A409)*('Budget original'!$C$3:$AO$3=F$2),'Budget original'!$C$8:$AO$501)</f>
        <v>#N/A</v>
      </c>
      <c r="G409" s="550"/>
      <c r="H409" s="564"/>
      <c r="I409" s="473"/>
      <c r="J409" s="471"/>
      <c r="K409" s="564"/>
      <c r="L409" s="476">
        <f>SUMIFS(BV_Data_An_Cour!$AN:$AN,BV_Data_An_Cour!$AP:$AP,$B409,BV_Data_An_Cour!$AQ:$AQ,$C409,BV_Data_An_Cour!$AR:$AR,$L$2)</f>
        <v>18851.94</v>
      </c>
      <c r="M409" s="471"/>
      <c r="N409" s="476" t="str">
        <f t="shared" si="89"/>
        <v>#N/A</v>
      </c>
      <c r="O409" s="471"/>
      <c r="P409" s="564"/>
      <c r="Q409" s="476">
        <f>SUMIFS(BV_Data_An_Prec!$AN:$AN,BV_Data_An_Prec!$AP:$AP,$B409,BV_Data_An_Prec!$AQ:$AQ,$C409,BV_Data_An_Prec!$AR:$AR,$L$2)</f>
        <v>24811.64</v>
      </c>
      <c r="R409" s="471"/>
      <c r="S409" s="476">
        <f t="shared" si="90"/>
        <v>-5959.7</v>
      </c>
      <c r="T409" s="48"/>
      <c r="U409" s="48"/>
      <c r="V409" s="48"/>
      <c r="W409" s="48"/>
      <c r="X409" s="48"/>
      <c r="Y409" s="48"/>
      <c r="Z409" s="48"/>
      <c r="AA409" s="48"/>
      <c r="AB409" s="48"/>
      <c r="AC409" s="48"/>
      <c r="AD409" s="48"/>
      <c r="AE409" s="48"/>
      <c r="AF409" s="48"/>
      <c r="AG409" s="48"/>
      <c r="AH409" s="48"/>
      <c r="AI409" s="48"/>
      <c r="AJ409" s="48"/>
      <c r="AK409" s="48"/>
      <c r="AL409" s="48"/>
      <c r="AM409" s="48"/>
      <c r="AN409" s="48"/>
    </row>
    <row r="410" ht="15.75" customHeight="1">
      <c r="A410" s="5" t="str">
        <f t="shared" si="74"/>
        <v>PiècesInformatique</v>
      </c>
      <c r="B410" s="48" t="s">
        <v>178</v>
      </c>
      <c r="C410" s="559" t="s">
        <v>131</v>
      </c>
      <c r="D410" s="546"/>
      <c r="E410" s="48"/>
      <c r="F410" s="481" t="str">
        <f t="array" ref="F410">+SUMPRODUCT(('Budget original'!$A$8:$A$501=$A410)*('Budget original'!$C$3:$AO$3=F$2),'Budget original'!$C$8:$AO$501)</f>
        <v>#N/A</v>
      </c>
      <c r="G410" s="547"/>
      <c r="H410" s="48"/>
      <c r="I410" s="481"/>
      <c r="J410" s="480"/>
      <c r="K410" s="48"/>
      <c r="L410" s="484">
        <f>SUMIFS(BV_Data_An_Cour!$AN:$AN,BV_Data_An_Cour!$AP:$AP,$B410,BV_Data_An_Cour!$AQ:$AQ,$C410,BV_Data_An_Cour!$AR:$AR,$L$2)</f>
        <v>18148.96</v>
      </c>
      <c r="M410" s="480"/>
      <c r="N410" s="484" t="str">
        <f t="shared" si="89"/>
        <v>#N/A</v>
      </c>
      <c r="O410" s="480"/>
      <c r="P410" s="48"/>
      <c r="Q410" s="484">
        <f>SUMIFS(BV_Data_An_Prec!$AN:$AN,BV_Data_An_Prec!$AP:$AP,$B410,BV_Data_An_Prec!$AQ:$AQ,$C410,BV_Data_An_Prec!$AR:$AR,$L$2)</f>
        <v>15292.21</v>
      </c>
      <c r="R410" s="480"/>
      <c r="S410" s="484">
        <f t="shared" si="90"/>
        <v>2856.75</v>
      </c>
      <c r="T410" s="48"/>
      <c r="U410" s="48"/>
      <c r="V410" s="48"/>
      <c r="W410" s="48"/>
      <c r="X410" s="48"/>
      <c r="Y410" s="48"/>
      <c r="Z410" s="48"/>
      <c r="AA410" s="48"/>
      <c r="AB410" s="48"/>
      <c r="AC410" s="48"/>
      <c r="AD410" s="48"/>
      <c r="AE410" s="48"/>
      <c r="AF410" s="48"/>
      <c r="AG410" s="48"/>
      <c r="AH410" s="48"/>
      <c r="AI410" s="48"/>
      <c r="AJ410" s="48"/>
      <c r="AK410" s="48"/>
      <c r="AL410" s="48"/>
      <c r="AM410" s="48"/>
      <c r="AN410" s="48"/>
    </row>
    <row r="411" ht="15.75" customHeight="1">
      <c r="A411" s="5" t="str">
        <f t="shared" si="74"/>
        <v>PiècesFrais de déplacement</v>
      </c>
      <c r="B411" s="48" t="s">
        <v>178</v>
      </c>
      <c r="C411" s="559" t="s">
        <v>132</v>
      </c>
      <c r="D411" s="546"/>
      <c r="E411" s="48"/>
      <c r="F411" s="481" t="str">
        <f t="array" ref="F411">+SUMPRODUCT(('Budget original'!$A$8:$A$501=$A411)*('Budget original'!$C$3:$AO$3=F$2),'Budget original'!$C$8:$AO$501)</f>
        <v>#N/A</v>
      </c>
      <c r="G411" s="547"/>
      <c r="H411" s="48"/>
      <c r="I411" s="481"/>
      <c r="J411" s="480"/>
      <c r="K411" s="48"/>
      <c r="L411" s="484">
        <f>SUMIFS(BV_Data_An_Cour!$AN:$AN,BV_Data_An_Cour!$AP:$AP,$B411,BV_Data_An_Cour!$AQ:$AQ,$C411,BV_Data_An_Cour!$AR:$AR,$L$2)</f>
        <v>7156.34</v>
      </c>
      <c r="M411" s="480"/>
      <c r="N411" s="484" t="str">
        <f t="shared" si="89"/>
        <v>#N/A</v>
      </c>
      <c r="O411" s="480"/>
      <c r="P411" s="48"/>
      <c r="Q411" s="484">
        <f>SUMIFS(BV_Data_An_Prec!$AN:$AN,BV_Data_An_Prec!$AP:$AP,$B411,BV_Data_An_Prec!$AQ:$AQ,$C411,BV_Data_An_Prec!$AR:$AR,$L$2)</f>
        <v>11555.93</v>
      </c>
      <c r="R411" s="480"/>
      <c r="S411" s="484">
        <f t="shared" si="90"/>
        <v>-4399.59</v>
      </c>
      <c r="T411" s="48"/>
      <c r="U411" s="48"/>
      <c r="V411" s="48"/>
      <c r="W411" s="48"/>
      <c r="X411" s="48"/>
      <c r="Y411" s="48"/>
      <c r="Z411" s="48"/>
      <c r="AA411" s="48"/>
      <c r="AB411" s="48"/>
      <c r="AC411" s="48"/>
      <c r="AD411" s="48"/>
      <c r="AE411" s="48"/>
      <c r="AF411" s="48"/>
      <c r="AG411" s="48"/>
      <c r="AH411" s="48"/>
      <c r="AI411" s="48"/>
      <c r="AJ411" s="48"/>
      <c r="AK411" s="48"/>
      <c r="AL411" s="48"/>
      <c r="AM411" s="48"/>
      <c r="AN411" s="48"/>
    </row>
    <row r="412" ht="15.75" customHeight="1">
      <c r="A412" s="5" t="str">
        <f t="shared" si="74"/>
        <v>PiècesServices extérieurs</v>
      </c>
      <c r="B412" s="48" t="s">
        <v>178</v>
      </c>
      <c r="C412" s="560" t="s">
        <v>133</v>
      </c>
      <c r="D412" s="549"/>
      <c r="E412" s="564"/>
      <c r="F412" s="473" t="str">
        <f t="array" ref="F412">+SUMPRODUCT(('Budget original'!$A$8:$A$501=$A412)*('Budget original'!$C$3:$AO$3=F$2),'Budget original'!$C$8:$AO$501)</f>
        <v>#N/A</v>
      </c>
      <c r="G412" s="550"/>
      <c r="H412" s="564"/>
      <c r="I412" s="473"/>
      <c r="J412" s="471"/>
      <c r="K412" s="564"/>
      <c r="L412" s="476">
        <f>SUMIFS(BV_Data_An_Cour!$AN:$AN,BV_Data_An_Cour!$AP:$AP,$B412,BV_Data_An_Cour!$AQ:$AQ,$C412,BV_Data_An_Cour!$AR:$AR,$L$2)</f>
        <v>20715.82</v>
      </c>
      <c r="M412" s="471"/>
      <c r="N412" s="476" t="str">
        <f t="shared" si="89"/>
        <v>#N/A</v>
      </c>
      <c r="O412" s="471"/>
      <c r="P412" s="564"/>
      <c r="Q412" s="476">
        <f>SUMIFS(BV_Data_An_Prec!$AN:$AN,BV_Data_An_Prec!$AP:$AP,$B412,BV_Data_An_Prec!$AQ:$AQ,$C412,BV_Data_An_Prec!$AR:$AR,$L$2)</f>
        <v>21916.51</v>
      </c>
      <c r="R412" s="471"/>
      <c r="S412" s="476">
        <f t="shared" si="90"/>
        <v>-1200.69</v>
      </c>
      <c r="T412" s="48"/>
      <c r="U412" s="5"/>
      <c r="V412" s="48"/>
      <c r="W412" s="48"/>
      <c r="X412" s="48"/>
      <c r="Y412" s="48"/>
      <c r="Z412" s="48"/>
      <c r="AA412" s="48"/>
      <c r="AB412" s="48"/>
      <c r="AC412" s="48"/>
      <c r="AD412" s="48"/>
      <c r="AE412" s="48"/>
      <c r="AF412" s="48"/>
      <c r="AG412" s="48"/>
      <c r="AH412" s="48"/>
      <c r="AI412" s="48"/>
      <c r="AJ412" s="48"/>
      <c r="AK412" s="48"/>
      <c r="AL412" s="48"/>
      <c r="AM412" s="48"/>
      <c r="AN412" s="48"/>
    </row>
    <row r="413" ht="15.75" customHeight="1">
      <c r="A413" s="5" t="str">
        <f t="shared" si="74"/>
        <v>PiècesFournitures d'atelier</v>
      </c>
      <c r="B413" s="48" t="s">
        <v>178</v>
      </c>
      <c r="C413" s="559" t="s">
        <v>173</v>
      </c>
      <c r="D413" s="546"/>
      <c r="E413" s="48"/>
      <c r="F413" s="481"/>
      <c r="G413" s="547"/>
      <c r="H413" s="48"/>
      <c r="I413" s="481"/>
      <c r="J413" s="480"/>
      <c r="K413" s="48"/>
      <c r="L413" s="484">
        <f>SUMIFS(BV_Data_An_Cour!$AN:$AN,BV_Data_An_Cour!$AP:$AP,$B413,BV_Data_An_Cour!$AQ:$AQ,$C413,BV_Data_An_Cour!$AR:$AR,$L$2)</f>
        <v>0</v>
      </c>
      <c r="M413" s="480"/>
      <c r="N413" s="484">
        <f t="shared" si="89"/>
        <v>0</v>
      </c>
      <c r="O413" s="480"/>
      <c r="P413" s="48"/>
      <c r="Q413" s="484">
        <f>SUMIFS(BV_Data_An_Prec!$AN:$AN,BV_Data_An_Prec!$AP:$AP,$B413,BV_Data_An_Prec!$AQ:$AQ,$C413,BV_Data_An_Prec!$AR:$AR,$L$2)</f>
        <v>0</v>
      </c>
      <c r="R413" s="480"/>
      <c r="S413" s="484">
        <f t="shared" si="90"/>
        <v>0</v>
      </c>
      <c r="T413" s="48"/>
      <c r="U413" s="48"/>
      <c r="V413" s="48"/>
      <c r="W413" s="48"/>
      <c r="X413" s="48"/>
      <c r="Y413" s="48"/>
      <c r="Z413" s="48"/>
      <c r="AA413" s="48"/>
      <c r="AB413" s="48"/>
      <c r="AC413" s="48"/>
      <c r="AD413" s="48"/>
      <c r="AE413" s="48"/>
      <c r="AF413" s="48"/>
      <c r="AG413" s="48"/>
      <c r="AH413" s="48"/>
      <c r="AI413" s="48"/>
      <c r="AJ413" s="48"/>
      <c r="AK413" s="48"/>
      <c r="AL413" s="48"/>
      <c r="AM413" s="48"/>
      <c r="AN413" s="48"/>
    </row>
    <row r="414" ht="15.75" customHeight="1">
      <c r="A414" s="5" t="str">
        <f t="shared" si="74"/>
        <v>PiècesFournitures autres</v>
      </c>
      <c r="B414" s="48" t="s">
        <v>178</v>
      </c>
      <c r="C414" s="559" t="s">
        <v>134</v>
      </c>
      <c r="D414" s="546"/>
      <c r="E414" s="48"/>
      <c r="F414" s="481" t="str">
        <f t="array" ref="F414">+SUMPRODUCT(('Budget original'!$A$8:$A$501=$A414)*('Budget original'!$C$3:$AO$3=F$2),'Budget original'!$C$8:$AO$501)</f>
        <v>#N/A</v>
      </c>
      <c r="G414" s="547"/>
      <c r="H414" s="48"/>
      <c r="I414" s="481"/>
      <c r="J414" s="480"/>
      <c r="K414" s="48"/>
      <c r="L414" s="484">
        <f>SUMIFS(BV_Data_An_Cour!$AN:$AN,BV_Data_An_Cour!$AP:$AP,$B414,BV_Data_An_Cour!$AQ:$AQ,$C414,BV_Data_An_Cour!$AR:$AR,$L$2)</f>
        <v>1709.55</v>
      </c>
      <c r="M414" s="480"/>
      <c r="N414" s="484" t="str">
        <f t="shared" si="89"/>
        <v>#N/A</v>
      </c>
      <c r="O414" s="480"/>
      <c r="P414" s="48"/>
      <c r="Q414" s="484">
        <f>SUMIFS(BV_Data_An_Prec!$AN:$AN,BV_Data_An_Prec!$AP:$AP,$B414,BV_Data_An_Prec!$AQ:$AQ,$C414,BV_Data_An_Prec!$AR:$AR,$L$2)</f>
        <v>1055.05</v>
      </c>
      <c r="R414" s="480"/>
      <c r="S414" s="484">
        <f t="shared" si="90"/>
        <v>654.5</v>
      </c>
      <c r="T414" s="48"/>
      <c r="U414" s="48"/>
      <c r="V414" s="48"/>
      <c r="W414" s="48"/>
      <c r="X414" s="48"/>
      <c r="Y414" s="48"/>
      <c r="Z414" s="48"/>
      <c r="AA414" s="48"/>
      <c r="AB414" s="48"/>
      <c r="AC414" s="48"/>
      <c r="AD414" s="48"/>
      <c r="AE414" s="48"/>
      <c r="AF414" s="48"/>
      <c r="AG414" s="48"/>
      <c r="AH414" s="48"/>
      <c r="AI414" s="48"/>
      <c r="AJ414" s="48"/>
      <c r="AK414" s="48"/>
      <c r="AL414" s="48"/>
      <c r="AM414" s="48"/>
      <c r="AN414" s="48"/>
    </row>
    <row r="415" ht="15.75" customHeight="1">
      <c r="A415" s="5" t="str">
        <f t="shared" si="74"/>
        <v>PiècesUniformes</v>
      </c>
      <c r="B415" s="48" t="s">
        <v>178</v>
      </c>
      <c r="C415" s="559" t="s">
        <v>135</v>
      </c>
      <c r="D415" s="546"/>
      <c r="E415" s="48"/>
      <c r="F415" s="481" t="str">
        <f t="array" ref="F415">+SUMPRODUCT(('Budget original'!$A$8:$A$501=$A415)*('Budget original'!$C$3:$AO$3=F$2),'Budget original'!$C$8:$AO$501)</f>
        <v>#N/A</v>
      </c>
      <c r="G415" s="547"/>
      <c r="H415" s="48"/>
      <c r="I415" s="481"/>
      <c r="J415" s="480"/>
      <c r="K415" s="48"/>
      <c r="L415" s="484">
        <f>SUMIFS(BV_Data_An_Cour!$AN:$AN,BV_Data_An_Cour!$AP:$AP,$B415,BV_Data_An_Cour!$AQ:$AQ,$C415,BV_Data_An_Cour!$AR:$AR,$L$2)</f>
        <v>0</v>
      </c>
      <c r="M415" s="480"/>
      <c r="N415" s="484" t="str">
        <f t="shared" si="89"/>
        <v>#N/A</v>
      </c>
      <c r="O415" s="480"/>
      <c r="P415" s="48"/>
      <c r="Q415" s="484">
        <f>SUMIFS(BV_Data_An_Prec!$AN:$AN,BV_Data_An_Prec!$AP:$AP,$B415,BV_Data_An_Prec!$AQ:$AQ,$C415,BV_Data_An_Prec!$AR:$AR,$L$2)</f>
        <v>0</v>
      </c>
      <c r="R415" s="480"/>
      <c r="S415" s="484">
        <f t="shared" si="90"/>
        <v>0</v>
      </c>
      <c r="T415" s="48"/>
      <c r="U415" s="48"/>
      <c r="V415" s="48"/>
      <c r="W415" s="48"/>
      <c r="X415" s="48"/>
      <c r="Y415" s="48"/>
      <c r="Z415" s="48"/>
      <c r="AA415" s="48"/>
      <c r="AB415" s="48"/>
      <c r="AC415" s="48"/>
      <c r="AD415" s="48"/>
      <c r="AE415" s="48"/>
      <c r="AF415" s="48"/>
      <c r="AG415" s="48"/>
      <c r="AH415" s="48"/>
      <c r="AI415" s="48"/>
      <c r="AJ415" s="48"/>
      <c r="AK415" s="48"/>
      <c r="AL415" s="48"/>
      <c r="AM415" s="48"/>
      <c r="AN415" s="48"/>
    </row>
    <row r="416" ht="15.75" customHeight="1">
      <c r="A416" s="5" t="str">
        <f t="shared" si="74"/>
        <v>PiècesPapeterie</v>
      </c>
      <c r="B416" s="48" t="s">
        <v>178</v>
      </c>
      <c r="C416" s="559" t="s">
        <v>136</v>
      </c>
      <c r="D416" s="546"/>
      <c r="E416" s="48"/>
      <c r="F416" s="481" t="str">
        <f t="array" ref="F416">+SUMPRODUCT(('Budget original'!$A$8:$A$501=$A416)*('Budget original'!$C$3:$AO$3=F$2),'Budget original'!$C$8:$AO$501)</f>
        <v>#N/A</v>
      </c>
      <c r="G416" s="547"/>
      <c r="H416" s="48"/>
      <c r="I416" s="481"/>
      <c r="J416" s="480"/>
      <c r="K416" s="48"/>
      <c r="L416" s="484">
        <f>SUMIFS(BV_Data_An_Cour!$AN:$AN,BV_Data_An_Cour!$AP:$AP,$B416,BV_Data_An_Cour!$AQ:$AQ,$C416,BV_Data_An_Cour!$AR:$AR,$L$2)</f>
        <v>3584.18</v>
      </c>
      <c r="M416" s="480"/>
      <c r="N416" s="484" t="str">
        <f t="shared" si="89"/>
        <v>#N/A</v>
      </c>
      <c r="O416" s="480"/>
      <c r="P416" s="48"/>
      <c r="Q416" s="484">
        <f>SUMIFS(BV_Data_An_Prec!$AN:$AN,BV_Data_An_Prec!$AP:$AP,$B416,BV_Data_An_Prec!$AQ:$AQ,$C416,BV_Data_An_Prec!$AR:$AR,$L$2)</f>
        <v>4283.19</v>
      </c>
      <c r="R416" s="480"/>
      <c r="S416" s="484">
        <f t="shared" si="90"/>
        <v>-699.01</v>
      </c>
      <c r="T416" s="48"/>
      <c r="U416" s="48"/>
      <c r="V416" s="48"/>
      <c r="W416" s="48"/>
      <c r="X416" s="48"/>
      <c r="Y416" s="48"/>
      <c r="Z416" s="48"/>
      <c r="AA416" s="48"/>
      <c r="AB416" s="48"/>
      <c r="AC416" s="48"/>
      <c r="AD416" s="48"/>
      <c r="AE416" s="48"/>
      <c r="AF416" s="48"/>
      <c r="AG416" s="48"/>
      <c r="AH416" s="48"/>
      <c r="AI416" s="48"/>
      <c r="AJ416" s="48"/>
      <c r="AK416" s="48"/>
      <c r="AL416" s="48"/>
      <c r="AM416" s="48"/>
      <c r="AN416" s="48"/>
    </row>
    <row r="417" ht="15.75" customHeight="1">
      <c r="A417" s="5" t="str">
        <f t="shared" si="74"/>
        <v>PiècesTéléphone</v>
      </c>
      <c r="B417" s="48" t="s">
        <v>178</v>
      </c>
      <c r="C417" s="559" t="s">
        <v>137</v>
      </c>
      <c r="D417" s="546"/>
      <c r="E417" s="48"/>
      <c r="F417" s="481" t="str">
        <f t="array" ref="F417">+SUMPRODUCT(('Budget original'!$A$8:$A$501=$A417)*('Budget original'!$C$3:$AO$3=F$2),'Budget original'!$C$8:$AO$501)</f>
        <v>#N/A</v>
      </c>
      <c r="G417" s="547"/>
      <c r="H417" s="48"/>
      <c r="I417" s="481"/>
      <c r="J417" s="480"/>
      <c r="K417" s="48"/>
      <c r="L417" s="484">
        <f>SUMIFS(BV_Data_An_Cour!$AN:$AN,BV_Data_An_Cour!$AP:$AP,$B417,BV_Data_An_Cour!$AQ:$AQ,$C417,BV_Data_An_Cour!$AR:$AR,$L$2)</f>
        <v>1533.36</v>
      </c>
      <c r="M417" s="480"/>
      <c r="N417" s="484" t="str">
        <f t="shared" si="89"/>
        <v>#N/A</v>
      </c>
      <c r="O417" s="480"/>
      <c r="P417" s="48"/>
      <c r="Q417" s="484">
        <f>SUMIFS(BV_Data_An_Prec!$AN:$AN,BV_Data_An_Prec!$AP:$AP,$B417,BV_Data_An_Prec!$AQ:$AQ,$C417,BV_Data_An_Prec!$AR:$AR,$L$2)</f>
        <v>2847.81</v>
      </c>
      <c r="R417" s="480"/>
      <c r="S417" s="484">
        <f t="shared" si="90"/>
        <v>-1314.45</v>
      </c>
      <c r="T417" s="48"/>
      <c r="U417" s="48"/>
      <c r="V417" s="48"/>
      <c r="W417" s="48"/>
      <c r="X417" s="48"/>
      <c r="Y417" s="48"/>
      <c r="Z417" s="48"/>
      <c r="AA417" s="48"/>
      <c r="AB417" s="48"/>
      <c r="AC417" s="48"/>
      <c r="AD417" s="48"/>
      <c r="AE417" s="48"/>
      <c r="AF417" s="48"/>
      <c r="AG417" s="48"/>
      <c r="AH417" s="48"/>
      <c r="AI417" s="48"/>
      <c r="AJ417" s="48"/>
      <c r="AK417" s="48"/>
      <c r="AL417" s="48"/>
      <c r="AM417" s="48"/>
      <c r="AN417" s="48"/>
    </row>
    <row r="418" ht="15.75" customHeight="1">
      <c r="A418" s="5" t="str">
        <f t="shared" si="74"/>
        <v>PiècesFrais postaux</v>
      </c>
      <c r="B418" s="48" t="s">
        <v>178</v>
      </c>
      <c r="C418" s="559" t="s">
        <v>138</v>
      </c>
      <c r="D418" s="546"/>
      <c r="E418" s="48"/>
      <c r="F418" s="481" t="str">
        <f t="array" ref="F418">+SUMPRODUCT(('Budget original'!$A$8:$A$501=$A418)*('Budget original'!$C$3:$AO$3=F$2),'Budget original'!$C$8:$AO$501)</f>
        <v>#N/A</v>
      </c>
      <c r="G418" s="547"/>
      <c r="H418" s="48"/>
      <c r="I418" s="481"/>
      <c r="J418" s="480"/>
      <c r="K418" s="48"/>
      <c r="L418" s="484">
        <f>SUMIFS(BV_Data_An_Cour!$AN:$AN,BV_Data_An_Cour!$AP:$AP,$B418,BV_Data_An_Cour!$AQ:$AQ,$C418,BV_Data_An_Cour!$AR:$AR,$L$2)</f>
        <v>9439.5</v>
      </c>
      <c r="M418" s="480"/>
      <c r="N418" s="484" t="str">
        <f t="shared" si="89"/>
        <v>#N/A</v>
      </c>
      <c r="O418" s="480"/>
      <c r="P418" s="48"/>
      <c r="Q418" s="484">
        <f>SUMIFS(BV_Data_An_Prec!$AN:$AN,BV_Data_An_Prec!$AP:$AP,$B418,BV_Data_An_Prec!$AQ:$AQ,$C418,BV_Data_An_Prec!$AR:$AR,$L$2)</f>
        <v>6105.21</v>
      </c>
      <c r="R418" s="480"/>
      <c r="S418" s="484">
        <f t="shared" si="90"/>
        <v>3334.29</v>
      </c>
      <c r="T418" s="48"/>
      <c r="U418" s="48"/>
      <c r="V418" s="48"/>
      <c r="W418" s="48"/>
      <c r="X418" s="48"/>
      <c r="Y418" s="48"/>
      <c r="Z418" s="48"/>
      <c r="AA418" s="48"/>
      <c r="AB418" s="48"/>
      <c r="AC418" s="48"/>
      <c r="AD418" s="48"/>
      <c r="AE418" s="48"/>
      <c r="AF418" s="48"/>
      <c r="AG418" s="48"/>
      <c r="AH418" s="48"/>
      <c r="AI418" s="48"/>
      <c r="AJ418" s="48"/>
      <c r="AK418" s="48"/>
      <c r="AL418" s="48"/>
      <c r="AM418" s="48"/>
      <c r="AN418" s="48"/>
    </row>
    <row r="419" ht="15.75" customHeight="1">
      <c r="A419" s="5" t="str">
        <f t="shared" si="74"/>
        <v>PiècesDivers</v>
      </c>
      <c r="B419" s="48" t="s">
        <v>178</v>
      </c>
      <c r="C419" s="559" t="s">
        <v>139</v>
      </c>
      <c r="D419" s="546"/>
      <c r="E419" s="48"/>
      <c r="F419" s="481" t="str">
        <f t="array" ref="F419">+SUMPRODUCT(('Budget original'!$A$8:$A$501=$A419)*('Budget original'!$C$3:$AO$3=F$2),'Budget original'!$C$8:$AO$501)</f>
        <v>#N/A</v>
      </c>
      <c r="G419" s="547"/>
      <c r="H419" s="48"/>
      <c r="I419" s="481"/>
      <c r="J419" s="480"/>
      <c r="K419" s="48"/>
      <c r="L419" s="484">
        <f>SUMIFS(BV_Data_An_Cour!$AN:$AN,BV_Data_An_Cour!$AP:$AP,$B419,BV_Data_An_Cour!$AQ:$AQ,$C419,BV_Data_An_Cour!$AR:$AR,$L$2)</f>
        <v>15467.74</v>
      </c>
      <c r="M419" s="480"/>
      <c r="N419" s="484" t="str">
        <f t="shared" si="89"/>
        <v>#N/A</v>
      </c>
      <c r="O419" s="480"/>
      <c r="P419" s="48"/>
      <c r="Q419" s="484">
        <f>SUMIFS(BV_Data_An_Prec!$AN:$AN,BV_Data_An_Prec!$AP:$AP,$B419,BV_Data_An_Prec!$AQ:$AQ,$C419,BV_Data_An_Prec!$AR:$AR,$L$2)</f>
        <v>12112.12</v>
      </c>
      <c r="R419" s="480"/>
      <c r="S419" s="484">
        <f t="shared" si="90"/>
        <v>3355.62</v>
      </c>
      <c r="T419" s="48"/>
      <c r="U419" s="48"/>
      <c r="V419" s="48"/>
      <c r="W419" s="48"/>
      <c r="X419" s="48"/>
      <c r="Y419" s="48"/>
      <c r="Z419" s="48"/>
      <c r="AA419" s="48"/>
      <c r="AB419" s="48"/>
      <c r="AC419" s="48"/>
      <c r="AD419" s="48"/>
      <c r="AE419" s="48"/>
      <c r="AF419" s="48"/>
      <c r="AG419" s="48"/>
      <c r="AH419" s="48"/>
      <c r="AI419" s="48"/>
      <c r="AJ419" s="48"/>
      <c r="AK419" s="48"/>
      <c r="AL419" s="48"/>
      <c r="AM419" s="48"/>
      <c r="AN419" s="48"/>
    </row>
    <row r="420" ht="15.75" customHeight="1">
      <c r="A420" s="5" t="str">
        <f t="shared" si="74"/>
        <v>PiècesFormation</v>
      </c>
      <c r="B420" s="48" t="s">
        <v>178</v>
      </c>
      <c r="C420" s="559" t="s">
        <v>140</v>
      </c>
      <c r="D420" s="546"/>
      <c r="E420" s="48"/>
      <c r="F420" s="481" t="str">
        <f t="array" ref="F420">+SUMPRODUCT(('Budget original'!$A$8:$A$501=$A420)*('Budget original'!$C$3:$AO$3=F$2),'Budget original'!$C$8:$AO$501)</f>
        <v>#N/A</v>
      </c>
      <c r="G420" s="547"/>
      <c r="H420" s="48"/>
      <c r="I420" s="481"/>
      <c r="J420" s="480"/>
      <c r="K420" s="48"/>
      <c r="L420" s="484">
        <f>SUMIFS(BV_Data_An_Cour!$AN:$AN,BV_Data_An_Cour!$AP:$AP,$B420,BV_Data_An_Cour!$AQ:$AQ,$C420,BV_Data_An_Cour!$AR:$AR,$L$2)</f>
        <v>764.33</v>
      </c>
      <c r="M420" s="480"/>
      <c r="N420" s="484" t="str">
        <f t="shared" si="89"/>
        <v>#N/A</v>
      </c>
      <c r="O420" s="480"/>
      <c r="P420" s="48"/>
      <c r="Q420" s="484">
        <f>SUMIFS(BV_Data_An_Prec!$AN:$AN,BV_Data_An_Prec!$AP:$AP,$B420,BV_Data_An_Prec!$AQ:$AQ,$C420,BV_Data_An_Prec!$AR:$AR,$L$2)</f>
        <v>7350</v>
      </c>
      <c r="R420" s="480"/>
      <c r="S420" s="484">
        <f t="shared" si="90"/>
        <v>-6585.67</v>
      </c>
      <c r="T420" s="48"/>
      <c r="X420" s="48"/>
      <c r="Y420" s="48"/>
      <c r="Z420" s="48"/>
      <c r="AA420" s="48"/>
      <c r="AB420" s="48"/>
      <c r="AC420" s="48"/>
      <c r="AD420" s="48"/>
      <c r="AE420" s="48"/>
      <c r="AF420" s="48"/>
      <c r="AG420" s="48"/>
      <c r="AH420" s="48"/>
      <c r="AI420" s="48"/>
      <c r="AJ420" s="48"/>
      <c r="AK420" s="48"/>
      <c r="AL420" s="48"/>
      <c r="AM420" s="48"/>
      <c r="AN420" s="48"/>
    </row>
    <row r="421" ht="15.75" customHeight="1">
      <c r="A421" s="5" t="str">
        <f t="shared" si="74"/>
        <v>PiècesFrais bancaires</v>
      </c>
      <c r="B421" s="48" t="s">
        <v>178</v>
      </c>
      <c r="C421" s="559" t="s">
        <v>141</v>
      </c>
      <c r="D421" s="546"/>
      <c r="E421" s="48"/>
      <c r="F421" s="481" t="str">
        <f t="array" ref="F421">+SUMPRODUCT(('Budget original'!$A$8:$A$501=$A421)*('Budget original'!$C$3:$AO$3=F$2),'Budget original'!$C$8:$AO$501)</f>
        <v>#N/A</v>
      </c>
      <c r="G421" s="547"/>
      <c r="H421" s="48"/>
      <c r="I421" s="481"/>
      <c r="J421" s="480"/>
      <c r="K421" s="48"/>
      <c r="L421" s="484">
        <f>SUMIFS(BV_Data_An_Cour!$AN:$AN,BV_Data_An_Cour!$AP:$AP,$B421,BV_Data_An_Cour!$AQ:$AQ,$C421,BV_Data_An_Cour!$AR:$AR,L$2)</f>
        <v>4532.53</v>
      </c>
      <c r="M421" s="480"/>
      <c r="N421" s="484" t="str">
        <f t="shared" si="89"/>
        <v>#N/A</v>
      </c>
      <c r="O421" s="480"/>
      <c r="P421" s="48"/>
      <c r="Q421" s="484">
        <f>SUMIFS(BV_Data_An_Prec!$AN:$AN,BV_Data_An_Prec!$AP:$AP,$B421,BV_Data_An_Prec!$AQ:$AQ,$C421,BV_Data_An_Prec!$AR:$AR,Q$2)</f>
        <v>1007.85</v>
      </c>
      <c r="R421" s="480"/>
      <c r="S421" s="484">
        <f t="shared" si="90"/>
        <v>3524.68</v>
      </c>
      <c r="T421" s="48"/>
      <c r="X421" s="48"/>
      <c r="Y421" s="48"/>
      <c r="Z421" s="48"/>
      <c r="AA421" s="48"/>
      <c r="AB421" s="48"/>
      <c r="AC421" s="48"/>
      <c r="AD421" s="48"/>
      <c r="AE421" s="48"/>
      <c r="AF421" s="48"/>
      <c r="AG421" s="48"/>
      <c r="AH421" s="48"/>
      <c r="AI421" s="48"/>
      <c r="AJ421" s="48"/>
      <c r="AK421" s="48"/>
      <c r="AL421" s="48"/>
      <c r="AM421" s="48"/>
      <c r="AN421" s="48"/>
    </row>
    <row r="422" ht="20.25" hidden="1" customHeight="1">
      <c r="A422" s="5" t="str">
        <f t="shared" si="74"/>
        <v>Pièces[...]</v>
      </c>
      <c r="B422" s="48" t="s">
        <v>178</v>
      </c>
      <c r="C422" s="559" t="s">
        <v>56</v>
      </c>
      <c r="D422" s="546"/>
      <c r="E422" s="48"/>
      <c r="F422" s="481" t="str">
        <f t="array" ref="F422">+SUMPRODUCT(('Budget original'!$A$8:$A$501=$A422)*('Budget original'!$C$3:$AO$3=F$2),'Budget original'!$C$8:$AO$501)</f>
        <v>#N/A</v>
      </c>
      <c r="G422" s="547"/>
      <c r="H422" s="48"/>
      <c r="I422" s="481"/>
      <c r="J422" s="480"/>
      <c r="K422" s="48"/>
      <c r="L422" s="484">
        <f>SUMIFS(BV_Data_An_Cour!$AN:$AN,BV_Data_An_Cour!$AP:$AP,$B422,BV_Data_An_Cour!$AQ:$AQ,$C422,BV_Data_An_Cour!$AR:$AR,$L$2)</f>
        <v>0</v>
      </c>
      <c r="M422" s="480"/>
      <c r="N422" s="484" t="str">
        <f t="shared" si="89"/>
        <v>#N/A</v>
      </c>
      <c r="O422" s="480"/>
      <c r="P422" s="48"/>
      <c r="Q422" s="484">
        <f>SUMIFS(BV_Data_An_Prec!$AN:$AN,BV_Data_An_Prec!$AP:$AP,$B422,BV_Data_An_Prec!$AQ:$AQ,$C422,BV_Data_An_Prec!$AR:$AR,$L$2)</f>
        <v>0</v>
      </c>
      <c r="R422" s="480"/>
      <c r="S422" s="484">
        <f t="shared" si="90"/>
        <v>0</v>
      </c>
      <c r="T422" s="48"/>
      <c r="X422" s="48"/>
      <c r="Y422" s="48"/>
      <c r="Z422" s="48"/>
      <c r="AA422" s="48"/>
      <c r="AB422" s="48"/>
      <c r="AC422" s="48"/>
      <c r="AD422" s="48"/>
      <c r="AE422" s="48"/>
      <c r="AF422" s="48"/>
      <c r="AG422" s="48"/>
      <c r="AH422" s="48"/>
      <c r="AI422" s="48"/>
      <c r="AJ422" s="48"/>
      <c r="AK422" s="48"/>
      <c r="AL422" s="48"/>
      <c r="AM422" s="48"/>
      <c r="AN422" s="48"/>
    </row>
    <row r="423" ht="20.25" hidden="1" customHeight="1">
      <c r="A423" s="5" t="str">
        <f t="shared" si="74"/>
        <v>Pièces[...]</v>
      </c>
      <c r="B423" s="48" t="s">
        <v>178</v>
      </c>
      <c r="C423" s="559" t="s">
        <v>56</v>
      </c>
      <c r="D423" s="546"/>
      <c r="E423" s="48"/>
      <c r="F423" s="481" t="str">
        <f t="array" ref="F423">+SUMPRODUCT(('Budget original'!$A$8:$A$501=$A423)*('Budget original'!$C$3:$AO$3=F$2),'Budget original'!$C$8:$AO$501)</f>
        <v>#N/A</v>
      </c>
      <c r="G423" s="547"/>
      <c r="H423" s="48"/>
      <c r="I423" s="481"/>
      <c r="J423" s="480"/>
      <c r="K423" s="48"/>
      <c r="L423" s="484">
        <f>SUMIFS(BV_Data_An_Cour!$AN:$AN,BV_Data_An_Cour!$AP:$AP,$B423,BV_Data_An_Cour!$AQ:$AQ,$C423,BV_Data_An_Cour!$AR:$AR,$L$2)</f>
        <v>0</v>
      </c>
      <c r="M423" s="480"/>
      <c r="N423" s="484" t="str">
        <f t="shared" si="89"/>
        <v>#N/A</v>
      </c>
      <c r="O423" s="480"/>
      <c r="P423" s="48"/>
      <c r="Q423" s="484">
        <f>SUMIFS(BV_Data_An_Prec!$AN:$AN,BV_Data_An_Prec!$AP:$AP,$B423,BV_Data_An_Prec!$AQ:$AQ,$C423,BV_Data_An_Prec!$AR:$AR,$L$2)</f>
        <v>0</v>
      </c>
      <c r="R423" s="480"/>
      <c r="S423" s="484">
        <f t="shared" si="90"/>
        <v>0</v>
      </c>
      <c r="T423" s="48"/>
      <c r="X423" s="48"/>
      <c r="Y423" s="48"/>
      <c r="Z423" s="48"/>
      <c r="AA423" s="48"/>
      <c r="AB423" s="48"/>
      <c r="AC423" s="48"/>
      <c r="AD423" s="48"/>
      <c r="AE423" s="48"/>
      <c r="AF423" s="48"/>
      <c r="AG423" s="48"/>
      <c r="AH423" s="48"/>
      <c r="AI423" s="48"/>
      <c r="AJ423" s="48"/>
      <c r="AK423" s="48"/>
      <c r="AL423" s="48"/>
      <c r="AM423" s="48"/>
      <c r="AN423" s="48"/>
    </row>
    <row r="424" ht="20.25" hidden="1" customHeight="1">
      <c r="A424" s="5" t="str">
        <f t="shared" si="74"/>
        <v>Pièces[...]</v>
      </c>
      <c r="B424" s="48" t="s">
        <v>178</v>
      </c>
      <c r="C424" s="559" t="s">
        <v>56</v>
      </c>
      <c r="D424" s="546"/>
      <c r="E424" s="48"/>
      <c r="F424" s="481" t="str">
        <f t="array" ref="F424">+SUMPRODUCT(('Budget original'!$A$8:$A$501=$A424)*('Budget original'!$C$3:$AO$3=F$2),'Budget original'!$C$8:$AO$501)</f>
        <v>#N/A</v>
      </c>
      <c r="G424" s="547"/>
      <c r="H424" s="48"/>
      <c r="I424" s="481"/>
      <c r="J424" s="480"/>
      <c r="K424" s="48"/>
      <c r="L424" s="484">
        <f>SUMIFS(BV_Data_An_Cour!$AN:$AN,BV_Data_An_Cour!$AP:$AP,$B424,BV_Data_An_Cour!$AQ:$AQ,$C424,BV_Data_An_Cour!$AR:$AR,$L$2)</f>
        <v>0</v>
      </c>
      <c r="M424" s="480"/>
      <c r="N424" s="484" t="str">
        <f t="shared" si="89"/>
        <v>#N/A</v>
      </c>
      <c r="O424" s="480"/>
      <c r="P424" s="48"/>
      <c r="Q424" s="484">
        <f>SUMIFS(BV_Data_An_Prec!$AN:$AN,BV_Data_An_Prec!$AP:$AP,$B424,BV_Data_An_Prec!$AQ:$AQ,$C424,BV_Data_An_Prec!$AR:$AR,$L$2)</f>
        <v>0</v>
      </c>
      <c r="R424" s="480"/>
      <c r="S424" s="484">
        <f t="shared" si="90"/>
        <v>0</v>
      </c>
      <c r="T424" s="48"/>
      <c r="X424" s="48"/>
      <c r="Y424" s="48"/>
      <c r="Z424" s="48"/>
      <c r="AA424" s="48"/>
      <c r="AB424" s="48"/>
      <c r="AC424" s="48"/>
      <c r="AD424" s="48"/>
      <c r="AE424" s="48"/>
      <c r="AF424" s="48"/>
      <c r="AG424" s="48"/>
      <c r="AH424" s="48"/>
      <c r="AI424" s="48"/>
      <c r="AJ424" s="48"/>
      <c r="AK424" s="48"/>
      <c r="AL424" s="48"/>
      <c r="AM424" s="48"/>
      <c r="AN424" s="48"/>
    </row>
    <row r="425" ht="18.0" customHeight="1">
      <c r="A425" s="5"/>
      <c r="B425" s="48"/>
      <c r="C425" s="552" t="s">
        <v>142</v>
      </c>
      <c r="D425" s="553" t="s">
        <v>225</v>
      </c>
      <c r="E425" s="554" t="str">
        <f>F425/F$390</f>
        <v>#N/A</v>
      </c>
      <c r="F425" s="555" t="str">
        <f>+SUM(F407:F424)</f>
        <v>#N/A</v>
      </c>
      <c r="G425" s="556"/>
      <c r="H425" s="554"/>
      <c r="I425" s="555"/>
      <c r="J425" s="556" t="s">
        <v>225</v>
      </c>
      <c r="K425" s="554">
        <f>L425/L$390</f>
        <v>0.125127783</v>
      </c>
      <c r="L425" s="555">
        <f>+SUM(L407:L424)</f>
        <v>110376.55</v>
      </c>
      <c r="M425" s="557"/>
      <c r="N425" s="555" t="str">
        <f>+SUM(N407:N424)</f>
        <v>#N/A</v>
      </c>
      <c r="O425" s="556" t="s">
        <v>225</v>
      </c>
      <c r="P425" s="554">
        <f>Q425/Q$390</f>
        <v>0.1362589343</v>
      </c>
      <c r="Q425" s="555">
        <f>+SUM(Q407:Q424)</f>
        <v>121609.63</v>
      </c>
      <c r="R425" s="558"/>
      <c r="S425" s="555">
        <f>+SUM(S407:S424)</f>
        <v>-11233.08</v>
      </c>
      <c r="T425" s="48"/>
      <c r="U425" s="48"/>
      <c r="V425" s="48"/>
      <c r="W425" s="48"/>
      <c r="X425" s="48"/>
      <c r="Y425" s="48"/>
      <c r="Z425" s="48"/>
      <c r="AA425" s="48"/>
      <c r="AB425" s="48"/>
      <c r="AC425" s="48"/>
      <c r="AD425" s="48"/>
      <c r="AE425" s="48"/>
      <c r="AF425" s="48"/>
      <c r="AG425" s="48"/>
      <c r="AH425" s="48"/>
      <c r="AI425" s="48"/>
      <c r="AJ425" s="48"/>
      <c r="AK425" s="48"/>
      <c r="AL425" s="48"/>
      <c r="AM425" s="48"/>
      <c r="AN425" s="48"/>
    </row>
    <row r="426" ht="15.75" customHeight="1">
      <c r="B426" s="3"/>
      <c r="C426" s="471"/>
      <c r="D426" s="549"/>
      <c r="E426" s="564"/>
      <c r="F426" s="484"/>
      <c r="G426" s="550"/>
      <c r="H426" s="564"/>
      <c r="I426" s="484"/>
      <c r="J426" s="471"/>
      <c r="K426" s="564"/>
      <c r="L426" s="476"/>
      <c r="M426" s="471"/>
      <c r="N426" s="476"/>
      <c r="O426" s="471"/>
      <c r="P426" s="564"/>
      <c r="Q426" s="476"/>
      <c r="R426" s="471"/>
      <c r="S426" s="476"/>
      <c r="T426" s="48"/>
      <c r="U426" s="48"/>
      <c r="V426" s="48"/>
      <c r="W426" s="48"/>
      <c r="X426" s="48"/>
      <c r="Y426" s="48"/>
      <c r="Z426" s="48"/>
      <c r="AA426" s="48"/>
      <c r="AB426" s="48"/>
      <c r="AC426" s="48"/>
      <c r="AD426" s="48"/>
      <c r="AE426" s="48"/>
      <c r="AF426" s="48"/>
      <c r="AG426" s="48"/>
      <c r="AH426" s="48"/>
      <c r="AI426" s="48"/>
      <c r="AJ426" s="48"/>
      <c r="AK426" s="48"/>
      <c r="AL426" s="48"/>
      <c r="AM426" s="48"/>
      <c r="AN426" s="48"/>
    </row>
    <row r="427" ht="18.0" customHeight="1">
      <c r="A427" s="5"/>
      <c r="B427" s="48"/>
      <c r="C427" s="552" t="s">
        <v>143</v>
      </c>
      <c r="D427" s="553" t="s">
        <v>225</v>
      </c>
      <c r="E427" s="554" t="str">
        <f>F427/F$390</f>
        <v>#N/A</v>
      </c>
      <c r="F427" s="555" t="str">
        <f>F406+F425</f>
        <v>#N/A</v>
      </c>
      <c r="G427" s="556"/>
      <c r="H427" s="554"/>
      <c r="I427" s="555"/>
      <c r="J427" s="556" t="s">
        <v>225</v>
      </c>
      <c r="K427" s="554">
        <f>L427/L$390</f>
        <v>0.449027058</v>
      </c>
      <c r="L427" s="555">
        <f>L406+L425</f>
        <v>396091.55</v>
      </c>
      <c r="M427" s="557"/>
      <c r="N427" s="555" t="str">
        <f t="shared" ref="N427:N429" si="91">L427-F427</f>
        <v>#N/A</v>
      </c>
      <c r="O427" s="556" t="s">
        <v>225</v>
      </c>
      <c r="P427" s="554">
        <f>Q427/Q$390</f>
        <v>0.4323543986</v>
      </c>
      <c r="Q427" s="555">
        <f>Q406+Q425</f>
        <v>385871.64</v>
      </c>
      <c r="R427" s="558"/>
      <c r="S427" s="555">
        <f>L427-Q427</f>
        <v>10219.91</v>
      </c>
      <c r="T427" s="48"/>
      <c r="U427" s="48"/>
      <c r="V427" s="48"/>
      <c r="W427" s="48"/>
      <c r="X427" s="48"/>
      <c r="Y427" s="48"/>
      <c r="Z427" s="48"/>
      <c r="AA427" s="48"/>
      <c r="AB427" s="48"/>
      <c r="AC427" s="48"/>
      <c r="AD427" s="48"/>
      <c r="AE427" s="48"/>
      <c r="AF427" s="48"/>
      <c r="AG427" s="48"/>
      <c r="AH427" s="48"/>
      <c r="AI427" s="48"/>
      <c r="AJ427" s="48"/>
      <c r="AK427" s="48"/>
      <c r="AL427" s="48"/>
      <c r="AM427" s="48"/>
      <c r="AN427" s="48"/>
    </row>
    <row r="428" ht="15.75" customHeight="1">
      <c r="B428" s="3"/>
      <c r="C428" s="480"/>
      <c r="D428" s="546"/>
      <c r="E428" s="48"/>
      <c r="F428" s="484"/>
      <c r="G428" s="547"/>
      <c r="H428" s="48"/>
      <c r="I428" s="484"/>
      <c r="J428" s="480"/>
      <c r="K428" s="48"/>
      <c r="L428" s="484"/>
      <c r="M428" s="480"/>
      <c r="N428" s="484">
        <f t="shared" si="91"/>
        <v>0</v>
      </c>
      <c r="O428" s="480"/>
      <c r="P428" s="48"/>
      <c r="Q428" s="484"/>
      <c r="R428" s="480"/>
      <c r="S428" s="484"/>
      <c r="T428" s="48"/>
      <c r="U428" s="48"/>
      <c r="V428" s="48"/>
      <c r="W428" s="48"/>
      <c r="X428" s="48"/>
      <c r="Y428" s="48"/>
      <c r="Z428" s="48"/>
      <c r="AA428" s="48"/>
      <c r="AB428" s="48"/>
      <c r="AC428" s="48"/>
      <c r="AD428" s="48"/>
      <c r="AE428" s="48"/>
      <c r="AF428" s="48"/>
      <c r="AG428" s="48"/>
      <c r="AH428" s="48"/>
      <c r="AI428" s="48"/>
      <c r="AJ428" s="48"/>
      <c r="AK428" s="48"/>
      <c r="AL428" s="48"/>
      <c r="AM428" s="48"/>
      <c r="AN428" s="48"/>
    </row>
    <row r="429" ht="18.0" customHeight="1">
      <c r="A429" s="5"/>
      <c r="B429" s="48"/>
      <c r="C429" s="579" t="s">
        <v>150</v>
      </c>
      <c r="D429" s="580"/>
      <c r="E429" s="581"/>
      <c r="F429" s="582" t="str">
        <f>F390-F427</f>
        <v>#N/A</v>
      </c>
      <c r="G429" s="583"/>
      <c r="H429" s="581"/>
      <c r="I429" s="582"/>
      <c r="J429" s="583"/>
      <c r="K429" s="581"/>
      <c r="L429" s="582">
        <f>L390-L427</f>
        <v>486019.1</v>
      </c>
      <c r="M429" s="584"/>
      <c r="N429" s="582" t="str">
        <f t="shared" si="91"/>
        <v>#N/A</v>
      </c>
      <c r="O429" s="583"/>
      <c r="P429" s="581"/>
      <c r="Q429" s="582">
        <f>Q390-Q427</f>
        <v>506617.58</v>
      </c>
      <c r="R429" s="585"/>
      <c r="S429" s="582">
        <f>L429-Q429</f>
        <v>-20598.48</v>
      </c>
      <c r="T429" s="48"/>
      <c r="U429" s="48"/>
      <c r="V429" s="48"/>
      <c r="W429" s="48"/>
      <c r="X429" s="48"/>
      <c r="Y429" s="48"/>
      <c r="Z429" s="48"/>
      <c r="AA429" s="48"/>
      <c r="AB429" s="48"/>
      <c r="AC429" s="48"/>
      <c r="AD429" s="48"/>
      <c r="AE429" s="48"/>
      <c r="AF429" s="48"/>
      <c r="AG429" s="48"/>
      <c r="AH429" s="48"/>
      <c r="AI429" s="48"/>
      <c r="AJ429" s="48"/>
      <c r="AK429" s="48"/>
      <c r="AL429" s="48"/>
      <c r="AM429" s="48"/>
      <c r="AN429" s="48"/>
    </row>
    <row r="430" ht="15.75" customHeight="1">
      <c r="B430" s="3"/>
      <c r="C430" s="11"/>
      <c r="D430" s="546"/>
      <c r="E430" s="48"/>
      <c r="F430" s="503"/>
      <c r="G430" s="546"/>
      <c r="H430" s="48"/>
      <c r="I430" s="503"/>
      <c r="J430" s="11"/>
      <c r="K430" s="11"/>
      <c r="L430" s="503"/>
      <c r="M430" s="11"/>
      <c r="N430" s="503"/>
      <c r="O430" s="11"/>
      <c r="P430" s="11"/>
      <c r="Q430" s="503"/>
      <c r="R430" s="11"/>
      <c r="S430" s="503"/>
      <c r="T430" s="48"/>
      <c r="U430" s="48"/>
      <c r="V430" s="48"/>
      <c r="W430" s="48"/>
      <c r="X430" s="48"/>
      <c r="Y430" s="48"/>
      <c r="Z430" s="48"/>
      <c r="AA430" s="48"/>
      <c r="AB430" s="48"/>
      <c r="AC430" s="48"/>
      <c r="AD430" s="48"/>
      <c r="AE430" s="48"/>
      <c r="AF430" s="48"/>
      <c r="AG430" s="48"/>
      <c r="AH430" s="48"/>
      <c r="AI430" s="48"/>
      <c r="AJ430" s="48"/>
      <c r="AK430" s="48"/>
      <c r="AL430" s="48"/>
      <c r="AM430" s="48"/>
      <c r="AN430" s="48"/>
    </row>
    <row r="431" ht="15.75" customHeight="1">
      <c r="B431" s="3"/>
      <c r="C431" s="11"/>
      <c r="D431" s="546"/>
      <c r="E431" s="48"/>
      <c r="F431" s="503"/>
      <c r="G431" s="546"/>
      <c r="H431" s="48"/>
      <c r="I431" s="503"/>
      <c r="J431" s="11"/>
      <c r="K431" s="11"/>
      <c r="L431" s="503"/>
      <c r="M431" s="11"/>
      <c r="N431" s="503"/>
      <c r="O431" s="11"/>
      <c r="P431" s="11"/>
      <c r="Q431" s="503"/>
      <c r="R431" s="11"/>
      <c r="S431" s="503"/>
      <c r="T431" s="48"/>
      <c r="U431" s="48"/>
      <c r="V431" s="48"/>
      <c r="W431" s="48"/>
      <c r="X431" s="48"/>
      <c r="Y431" s="48"/>
      <c r="Z431" s="48"/>
      <c r="AA431" s="48"/>
      <c r="AB431" s="48"/>
      <c r="AC431" s="48"/>
      <c r="AD431" s="48"/>
      <c r="AE431" s="48"/>
      <c r="AF431" s="48"/>
      <c r="AG431" s="48"/>
      <c r="AH431" s="48"/>
      <c r="AI431" s="48"/>
      <c r="AJ431" s="48"/>
      <c r="AK431" s="48"/>
      <c r="AL431" s="48"/>
      <c r="AM431" s="48"/>
      <c r="AN431" s="48"/>
    </row>
    <row r="432" ht="34.5" customHeight="1">
      <c r="B432" s="3"/>
      <c r="C432" s="450" t="str">
        <f>+C367</f>
        <v>Ste-Marie Auto</v>
      </c>
      <c r="D432" s="451"/>
      <c r="E432" s="452"/>
      <c r="F432" s="451"/>
      <c r="G432" s="451"/>
      <c r="H432" s="450"/>
      <c r="I432" s="451"/>
      <c r="J432" s="450"/>
      <c r="K432" s="453" t="s">
        <v>1025</v>
      </c>
      <c r="L432" s="451"/>
      <c r="M432" s="451"/>
      <c r="N432" s="454"/>
      <c r="O432" s="450"/>
      <c r="P432" s="451"/>
      <c r="Q432" s="450"/>
      <c r="R432" s="451"/>
      <c r="S432" s="455" t="str">
        <f>$S$1</f>
        <v>Réalisé AAD, Septembre 2026</v>
      </c>
      <c r="T432" s="40"/>
      <c r="U432" s="40"/>
      <c r="V432" s="48"/>
      <c r="W432" s="40"/>
      <c r="X432" s="40"/>
      <c r="Y432" s="40"/>
      <c r="Z432" s="40"/>
      <c r="AA432" s="40"/>
      <c r="AB432" s="40"/>
      <c r="AC432" s="40"/>
      <c r="AD432" s="40"/>
      <c r="AE432" s="40"/>
      <c r="AF432" s="40"/>
      <c r="AG432" s="40"/>
      <c r="AH432" s="40"/>
      <c r="AI432" s="40"/>
      <c r="AJ432" s="40"/>
      <c r="AK432" s="40"/>
      <c r="AL432" s="40"/>
      <c r="AM432" s="40"/>
      <c r="AN432" s="40"/>
    </row>
    <row r="433" ht="15.75" customHeight="1">
      <c r="B433" s="3"/>
      <c r="C433" s="39"/>
      <c r="D433" s="40"/>
      <c r="E433" s="40"/>
      <c r="F433" s="40"/>
      <c r="G433" s="40"/>
      <c r="H433" s="40"/>
      <c r="I433" s="40"/>
      <c r="J433" s="40"/>
      <c r="K433" s="40"/>
      <c r="L433" s="40"/>
      <c r="M433" s="40"/>
      <c r="N433" s="40"/>
      <c r="O433" s="40"/>
      <c r="P433" s="40"/>
      <c r="Q433" s="40"/>
      <c r="R433" s="40"/>
      <c r="S433" s="40"/>
      <c r="T433" s="40"/>
      <c r="U433" s="40"/>
      <c r="V433" s="48"/>
      <c r="W433" s="40"/>
      <c r="X433" s="40"/>
      <c r="Y433" s="40"/>
      <c r="Z433" s="40"/>
      <c r="AA433" s="40"/>
      <c r="AB433" s="40"/>
      <c r="AC433" s="40"/>
      <c r="AD433" s="40"/>
      <c r="AE433" s="40"/>
      <c r="AF433" s="40"/>
      <c r="AG433" s="40"/>
      <c r="AH433" s="40"/>
      <c r="AI433" s="40"/>
      <c r="AJ433" s="40"/>
      <c r="AK433" s="40"/>
      <c r="AL433" s="40"/>
      <c r="AM433" s="40"/>
      <c r="AN433" s="40"/>
    </row>
    <row r="434" ht="15.75" customHeight="1">
      <c r="B434" s="3"/>
      <c r="C434" s="461"/>
      <c r="D434" s="462" t="s">
        <v>774</v>
      </c>
      <c r="E434" s="44"/>
      <c r="F434" s="45"/>
      <c r="G434" s="463"/>
      <c r="H434" s="44"/>
      <c r="I434" s="45"/>
      <c r="J434" s="463" t="s">
        <v>775</v>
      </c>
      <c r="K434" s="44"/>
      <c r="L434" s="45"/>
      <c r="M434" s="463"/>
      <c r="N434" s="45"/>
      <c r="O434" s="462" t="s">
        <v>777</v>
      </c>
      <c r="P434" s="44"/>
      <c r="Q434" s="45"/>
      <c r="R434" s="463" t="s">
        <v>1026</v>
      </c>
      <c r="S434" s="45"/>
      <c r="T434" s="40"/>
      <c r="U434" s="40"/>
      <c r="V434" s="48"/>
      <c r="W434" s="40"/>
      <c r="X434" s="40"/>
      <c r="Y434" s="40"/>
      <c r="Z434" s="40"/>
      <c r="AA434" s="40"/>
      <c r="AB434" s="40"/>
      <c r="AC434" s="40"/>
      <c r="AD434" s="40"/>
      <c r="AE434" s="40"/>
      <c r="AF434" s="40"/>
      <c r="AG434" s="40"/>
      <c r="AH434" s="40"/>
      <c r="AI434" s="40"/>
      <c r="AJ434" s="40"/>
      <c r="AK434" s="40"/>
      <c r="AL434" s="40"/>
      <c r="AM434" s="40"/>
      <c r="AN434" s="40"/>
    </row>
    <row r="435" ht="15.75" customHeight="1">
      <c r="A435" s="5" t="str">
        <f>+B435&amp;C435</f>
        <v>SAAQ</v>
      </c>
      <c r="B435" s="48" t="s">
        <v>1025</v>
      </c>
      <c r="C435" s="655"/>
      <c r="D435" s="41" t="s">
        <v>222</v>
      </c>
      <c r="E435" s="41" t="s">
        <v>223</v>
      </c>
      <c r="F435" s="611" t="s">
        <v>95</v>
      </c>
      <c r="G435" s="610"/>
      <c r="H435" s="41"/>
      <c r="I435" s="611"/>
      <c r="J435" s="610" t="s">
        <v>221</v>
      </c>
      <c r="K435" s="41" t="s">
        <v>222</v>
      </c>
      <c r="L435" s="611" t="s">
        <v>95</v>
      </c>
      <c r="M435" s="610" t="s">
        <v>221</v>
      </c>
      <c r="N435" s="611" t="s">
        <v>908</v>
      </c>
      <c r="O435" s="41" t="s">
        <v>221</v>
      </c>
      <c r="P435" s="41" t="s">
        <v>222</v>
      </c>
      <c r="Q435" s="611" t="s">
        <v>95</v>
      </c>
      <c r="R435" s="610" t="s">
        <v>909</v>
      </c>
      <c r="S435" s="611" t="s">
        <v>95</v>
      </c>
      <c r="T435" s="40"/>
      <c r="U435" s="40"/>
      <c r="V435" s="48"/>
      <c r="W435" s="40"/>
      <c r="X435" s="40"/>
      <c r="Y435" s="40"/>
      <c r="Z435" s="40"/>
      <c r="AA435" s="40"/>
      <c r="AB435" s="40"/>
      <c r="AC435" s="40"/>
      <c r="AD435" s="40"/>
      <c r="AE435" s="40"/>
      <c r="AF435" s="40"/>
      <c r="AG435" s="40"/>
      <c r="AH435" s="40"/>
      <c r="AI435" s="40"/>
      <c r="AJ435" s="40"/>
      <c r="AK435" s="40"/>
      <c r="AL435" s="40"/>
      <c r="AM435" s="40"/>
      <c r="AN435" s="40"/>
    </row>
    <row r="436" ht="15.75" customHeight="1">
      <c r="A436" s="5"/>
      <c r="B436" s="48" t="s">
        <v>1025</v>
      </c>
      <c r="C436" s="480"/>
      <c r="D436" s="41"/>
      <c r="E436" s="41"/>
      <c r="F436" s="611"/>
      <c r="G436" s="41"/>
      <c r="H436" s="41"/>
      <c r="I436" s="41"/>
      <c r="J436" s="610"/>
      <c r="K436" s="41"/>
      <c r="L436" s="611"/>
      <c r="M436" s="610"/>
      <c r="N436" s="611"/>
      <c r="O436" s="610"/>
      <c r="P436" s="41"/>
      <c r="Q436" s="611"/>
      <c r="R436" s="610"/>
      <c r="S436" s="611"/>
      <c r="T436" s="40"/>
      <c r="U436" s="40"/>
      <c r="V436" s="48"/>
      <c r="W436" s="40"/>
      <c r="X436" s="40"/>
      <c r="Y436" s="40"/>
      <c r="Z436" s="40"/>
      <c r="AA436" s="40"/>
      <c r="AB436" s="40"/>
      <c r="AC436" s="40"/>
      <c r="AD436" s="40"/>
      <c r="AE436" s="40"/>
      <c r="AF436" s="40"/>
      <c r="AG436" s="40"/>
      <c r="AH436" s="40"/>
      <c r="AI436" s="40"/>
      <c r="AJ436" s="40"/>
      <c r="AK436" s="40"/>
      <c r="AL436" s="40"/>
      <c r="AM436" s="40"/>
      <c r="AN436" s="40"/>
    </row>
    <row r="437" ht="15.75" customHeight="1">
      <c r="A437" s="5"/>
      <c r="B437" s="48" t="s">
        <v>1025</v>
      </c>
      <c r="C437" s="480" t="s">
        <v>1027</v>
      </c>
      <c r="D437" s="483" t="str">
        <f t="array" ref="D437">+SUMPRODUCT(('Budget original'!$A$8:$A$501=$A437)*('Budget original'!$C$3:$AO$3=D$2),'Budget original'!$C$8:$AO$501)</f>
        <v>#N/A</v>
      </c>
      <c r="E437" s="483" t="str">
        <f t="array" ref="E437">+SUMPRODUCT(('Budget original'!$A$8:$A$501=$A437)*('Budget original'!$C$3:$AO$3=E$2),'Budget original'!$C$8:$AO$501)</f>
        <v>#N/A</v>
      </c>
      <c r="F437" s="483" t="str">
        <f t="array" ref="F437">+SUMPRODUCT(('Budget original'!$A$8:$A$501=$A437)*('Budget original'!$C$3:$AO$3=F$2),'Budget original'!$C$8:$AO$501)</f>
        <v>#N/A</v>
      </c>
      <c r="G437" s="649"/>
      <c r="H437" s="483"/>
      <c r="I437" s="483"/>
      <c r="J437" s="486">
        <f>-SUMIFS(BV_Data_An_Cour!$AN:$AN,BV_Data_An_Cour!$AP:$AP,$B437,BV_Data_An_Cour!$AQ:$AQ,$C437,BV_Data_An_Cour!$AR:$AR,J$2)</f>
        <v>0</v>
      </c>
      <c r="K437" s="483">
        <f>-SUMIFS(BV_Data_An_Cour!$AN:$AN,BV_Data_An_Cour!$AS:$AS,"Oui",BV_Data_An_Cour!$AP:$AP,$B437,BV_Data_An_Cour!$AQ:$AQ,$C437)</f>
        <v>288285</v>
      </c>
      <c r="L437" s="484">
        <f>-SUMIFS(BV_Data_An_Cour!$AN:$AN,BV_Data_An_Cour!$AP:$AP,$B437,BV_Data_An_Cour!$AQ:$AQ,$C437,BV_Data_An_Cour!$AR:$AR,$L$2)</f>
        <v>215086.56</v>
      </c>
      <c r="M437" s="515">
        <f>IFERROR((K437-E437)/E437,0)</f>
        <v>0</v>
      </c>
      <c r="N437" s="484" t="str">
        <f>L437-F437</f>
        <v>#N/A</v>
      </c>
      <c r="O437" s="486" t="str">
        <f t="array" ref="O437">+SUMPRODUCT(('Réel 2024'!$A$8:$A$501=$A437)*('Réel 2024'!$C$3:$AO$3=O$2),'Réel 2024'!$C$8:$AO$501)</f>
        <v>#N/A</v>
      </c>
      <c r="P437" s="483">
        <f>-SUMIFS(BV_Data_An_Prec!$AN:$AN,BV_Data_An_Prec!$AS:$AS,"Oui",BV_Data_An_Prec!$AP:$AP,$B437,BV_Data_An_Prec!$AQ:$AQ,$C437)</f>
        <v>0</v>
      </c>
      <c r="Q437" s="484">
        <f>-SUMIFS(BV_Data_An_Prec!$AN:$AN,BV_Data_An_Prec!$AP:$AP,$B437,BV_Data_An_Prec!$AQ:$AQ,$C437,BV_Data_An_Prec!$AR:$AR,$L$2)</f>
        <v>0</v>
      </c>
      <c r="R437" s="515" t="str">
        <f>IF(O437=0,0,J437/O437)</f>
        <v>#N/A</v>
      </c>
      <c r="S437" s="484">
        <f>L437-Q437</f>
        <v>215086.56</v>
      </c>
      <c r="T437" s="40"/>
      <c r="U437" s="40"/>
      <c r="V437" s="48"/>
      <c r="W437" s="40"/>
      <c r="X437" s="40"/>
      <c r="Y437" s="40"/>
      <c r="Z437" s="40"/>
      <c r="AA437" s="40"/>
      <c r="AB437" s="40"/>
      <c r="AC437" s="40"/>
      <c r="AD437" s="40"/>
      <c r="AE437" s="40"/>
      <c r="AF437" s="40"/>
      <c r="AG437" s="40"/>
      <c r="AH437" s="40"/>
      <c r="AI437" s="40"/>
      <c r="AJ437" s="40"/>
      <c r="AK437" s="40"/>
      <c r="AL437" s="40"/>
      <c r="AM437" s="40"/>
      <c r="AN437" s="40"/>
    </row>
    <row r="438" ht="15.75" customHeight="1">
      <c r="A438" s="5"/>
      <c r="B438" s="48" t="s">
        <v>1025</v>
      </c>
      <c r="C438" s="480" t="s">
        <v>163</v>
      </c>
      <c r="D438" s="41"/>
      <c r="E438" s="601"/>
      <c r="F438" s="516">
        <f>IFERROR(F437/E437,0)</f>
        <v>0</v>
      </c>
      <c r="G438" s="480"/>
      <c r="H438" s="601"/>
      <c r="I438" s="516"/>
      <c r="J438" s="486"/>
      <c r="K438" s="48"/>
      <c r="L438" s="516">
        <f>IFERROR(L437/K437,0)</f>
        <v>0.7460900151</v>
      </c>
      <c r="M438" s="515"/>
      <c r="N438" s="484">
        <f>IFERROR(N437/M437,0)</f>
        <v>0</v>
      </c>
      <c r="O438" s="486"/>
      <c r="P438" s="48"/>
      <c r="Q438" s="516">
        <f>IFERROR(Q437/P437,0)</f>
        <v>0</v>
      </c>
      <c r="R438" s="486"/>
      <c r="S438" s="484"/>
      <c r="T438" s="40"/>
      <c r="U438" s="40"/>
      <c r="V438" s="48"/>
      <c r="W438" s="40"/>
      <c r="X438" s="40"/>
      <c r="Y438" s="40"/>
      <c r="Z438" s="40"/>
      <c r="AA438" s="40"/>
      <c r="AB438" s="40"/>
      <c r="AC438" s="40"/>
      <c r="AD438" s="40"/>
      <c r="AE438" s="40"/>
      <c r="AF438" s="40"/>
      <c r="AG438" s="40"/>
      <c r="AH438" s="40"/>
      <c r="AI438" s="40"/>
      <c r="AJ438" s="40"/>
      <c r="AK438" s="40"/>
      <c r="AL438" s="40"/>
      <c r="AM438" s="40"/>
      <c r="AN438" s="40"/>
    </row>
    <row r="439" ht="15.75" customHeight="1">
      <c r="A439" s="5"/>
      <c r="B439" s="48" t="s">
        <v>1025</v>
      </c>
      <c r="C439" s="480"/>
      <c r="D439" s="41"/>
      <c r="E439" s="650"/>
      <c r="F439" s="590"/>
      <c r="G439" s="610"/>
      <c r="H439" s="650"/>
      <c r="I439" s="590"/>
      <c r="J439" s="610"/>
      <c r="K439" s="41"/>
      <c r="L439" s="611"/>
      <c r="M439" s="610"/>
      <c r="N439" s="611"/>
      <c r="O439" s="610"/>
      <c r="P439" s="41"/>
      <c r="Q439" s="611"/>
      <c r="R439" s="589"/>
      <c r="S439" s="590"/>
      <c r="T439" s="40"/>
      <c r="U439" s="40"/>
      <c r="V439" s="48"/>
      <c r="W439" s="40"/>
      <c r="X439" s="40"/>
      <c r="Y439" s="40"/>
      <c r="Z439" s="40"/>
      <c r="AA439" s="40"/>
      <c r="AB439" s="40"/>
      <c r="AC439" s="40"/>
      <c r="AD439" s="40"/>
      <c r="AE439" s="40"/>
      <c r="AF439" s="40"/>
      <c r="AG439" s="40"/>
      <c r="AH439" s="40"/>
      <c r="AI439" s="40"/>
      <c r="AJ439" s="40"/>
      <c r="AK439" s="40"/>
      <c r="AL439" s="40"/>
      <c r="AM439" s="40"/>
      <c r="AN439" s="40"/>
    </row>
    <row r="440" ht="15.75" customHeight="1">
      <c r="A440" s="5"/>
      <c r="B440" s="48" t="s">
        <v>1025</v>
      </c>
      <c r="C440" s="466" t="s">
        <v>1028</v>
      </c>
      <c r="D440" s="522" t="str">
        <f t="array" ref="D440">+SUMPRODUCT(('Budget original'!$A$8:$A$501=$A440)*('Budget original'!$C$3:$AO$3=D$2),'Budget original'!$C$8:$AO$501)</f>
        <v>#N/A</v>
      </c>
      <c r="E440" s="483" t="str">
        <f t="array" ref="E440">+SUMPRODUCT(('Budget original'!$A$8:$A$501=$A440)*('Budget original'!$C$3:$AO$3=E$2),'Budget original'!$C$8:$AO$501)</f>
        <v>#N/A</v>
      </c>
      <c r="F440" s="483" t="str">
        <f t="array" ref="F440">+SUMPRODUCT(('Budget original'!$A$8:$A$501=$A440)*('Budget original'!$C$3:$AO$3=F$2),'Budget original'!$C$8:$AO$501)</f>
        <v>#N/A</v>
      </c>
      <c r="G440" s="651"/>
      <c r="H440" s="483"/>
      <c r="I440" s="483"/>
      <c r="J440" s="252">
        <f>-SUMIFS(BV_Data_An_Cour!$AN:$AN,BV_Data_An_Cour!$AP:$AP,$B440,BV_Data_An_Cour!$AQ:$AQ,$C440,BV_Data_An_Cour!$AR:$AR,J$2)</f>
        <v>0</v>
      </c>
      <c r="K440" s="522">
        <f>-SUMIFS(BV_Data_An_Cour!$AN:$AN,BV_Data_An_Cour!$AS:$AS,"Oui",BV_Data_An_Cour!$AP:$AP,$B440,BV_Data_An_Cour!$AQ:$AQ,$C440)</f>
        <v>533640.42</v>
      </c>
      <c r="L440" s="523">
        <f>-SUMIFS(BV_Data_An_Cour!$AN:$AN,BV_Data_An_Cour!$AP:$AP,$B440,BV_Data_An_Cour!$AQ:$AQ,$C440,BV_Data_An_Cour!$AR:$AR,$L$2)</f>
        <v>402013.68</v>
      </c>
      <c r="M440" s="624">
        <f>IFERROR((K440-E440)/E440,0)</f>
        <v>0</v>
      </c>
      <c r="N440" s="523" t="str">
        <f>L440-F440</f>
        <v>#N/A</v>
      </c>
      <c r="O440" s="252" t="str">
        <f t="array" ref="O440">+SUMPRODUCT(('Réel 2024'!$A$8:$A$501=$A440)*('Réel 2024'!$C$3:$AO$3=O$2),'Réel 2024'!$C$8:$AO$501)</f>
        <v>#N/A</v>
      </c>
      <c r="P440" s="522">
        <f>-SUMIFS(BV_Data_An_Prec!$AN:$AN,BV_Data_An_Prec!$AS:$AS,"Oui",BV_Data_An_Prec!$AP:$AP,$B440,BV_Data_An_Prec!$AQ:$AQ,$C440)</f>
        <v>744770.88</v>
      </c>
      <c r="Q440" s="523">
        <f>-SUMIFS(BV_Data_An_Prec!$AN:$AN,BV_Data_An_Prec!$AP:$AP,$B440,BV_Data_An_Prec!$AQ:$AQ,$C440,BV_Data_An_Prec!$AR:$AR,$L$2)</f>
        <v>559345.85</v>
      </c>
      <c r="R440" s="515" t="str">
        <f>IF(O440=0,0,J440/O440)</f>
        <v>#N/A</v>
      </c>
      <c r="S440" s="484">
        <f>L440-Q440</f>
        <v>-157332.17</v>
      </c>
      <c r="T440" s="40"/>
      <c r="U440" s="40"/>
      <c r="V440" s="48"/>
      <c r="W440" s="40"/>
      <c r="X440" s="40"/>
      <c r="Y440" s="40"/>
      <c r="Z440" s="40"/>
      <c r="AA440" s="40"/>
      <c r="AB440" s="40"/>
      <c r="AC440" s="40"/>
      <c r="AD440" s="40"/>
      <c r="AE440" s="40"/>
      <c r="AF440" s="40"/>
      <c r="AG440" s="40"/>
      <c r="AH440" s="40"/>
      <c r="AI440" s="40"/>
      <c r="AJ440" s="40"/>
      <c r="AK440" s="40"/>
      <c r="AL440" s="40"/>
      <c r="AM440" s="40"/>
      <c r="AN440" s="40"/>
    </row>
    <row r="441" ht="15.75" customHeight="1">
      <c r="A441" s="5"/>
      <c r="B441" s="48" t="s">
        <v>1025</v>
      </c>
      <c r="C441" s="480" t="s">
        <v>163</v>
      </c>
      <c r="D441" s="48"/>
      <c r="E441" s="601"/>
      <c r="F441" s="516">
        <f>IFERROR(F440/E440,0)</f>
        <v>0</v>
      </c>
      <c r="G441" s="480"/>
      <c r="H441" s="601"/>
      <c r="I441" s="516"/>
      <c r="J441" s="486"/>
      <c r="K441" s="48"/>
      <c r="L441" s="516">
        <f>IFERROR(L440/K440,0)</f>
        <v>0.7533418852</v>
      </c>
      <c r="M441" s="515"/>
      <c r="N441" s="484">
        <f>IFERROR(N440/M440,0)</f>
        <v>0</v>
      </c>
      <c r="O441" s="486"/>
      <c r="P441" s="48"/>
      <c r="Q441" s="516">
        <f>IFERROR(Q440/P440,0)</f>
        <v>0.7510307734</v>
      </c>
      <c r="R441" s="486"/>
      <c r="S441" s="484"/>
      <c r="T441" s="40"/>
      <c r="U441" s="40"/>
      <c r="V441" s="48"/>
      <c r="W441" s="40"/>
      <c r="X441" s="40"/>
      <c r="Y441" s="40"/>
      <c r="Z441" s="40"/>
      <c r="AA441" s="40"/>
      <c r="AB441" s="40"/>
      <c r="AC441" s="40"/>
      <c r="AD441" s="40"/>
      <c r="AE441" s="40"/>
      <c r="AF441" s="40"/>
      <c r="AG441" s="40"/>
      <c r="AH441" s="40"/>
      <c r="AI441" s="40"/>
      <c r="AJ441" s="40"/>
      <c r="AK441" s="40"/>
      <c r="AL441" s="40"/>
      <c r="AM441" s="40"/>
      <c r="AN441" s="40"/>
    </row>
    <row r="442" ht="15.75" customHeight="1">
      <c r="A442" s="5"/>
      <c r="B442" s="48" t="s">
        <v>1025</v>
      </c>
      <c r="C442" s="471"/>
      <c r="D442" s="564"/>
      <c r="E442" s="625"/>
      <c r="F442" s="614"/>
      <c r="G442" s="471"/>
      <c r="H442" s="625"/>
      <c r="I442" s="614"/>
      <c r="J442" s="622"/>
      <c r="K442" s="652"/>
      <c r="L442" s="614"/>
      <c r="M442" s="545"/>
      <c r="N442" s="476"/>
      <c r="O442" s="622"/>
      <c r="P442" s="652"/>
      <c r="Q442" s="614"/>
      <c r="R442" s="622"/>
      <c r="S442" s="476"/>
      <c r="T442" s="40"/>
      <c r="U442" s="40"/>
      <c r="V442" s="48"/>
      <c r="W442" s="40"/>
      <c r="X442" s="40"/>
      <c r="Y442" s="40"/>
      <c r="Z442" s="40"/>
      <c r="AA442" s="40"/>
      <c r="AB442" s="40"/>
      <c r="AC442" s="40"/>
      <c r="AD442" s="40"/>
      <c r="AE442" s="40"/>
      <c r="AF442" s="40"/>
      <c r="AG442" s="40"/>
      <c r="AH442" s="40"/>
      <c r="AI442" s="40"/>
      <c r="AJ442" s="40"/>
      <c r="AK442" s="40"/>
      <c r="AL442" s="40"/>
      <c r="AM442" s="40"/>
      <c r="AN442" s="40"/>
    </row>
    <row r="443" ht="15.75" customHeight="1">
      <c r="A443" s="5"/>
      <c r="B443" s="48" t="s">
        <v>1025</v>
      </c>
      <c r="C443" s="466" t="s">
        <v>1029</v>
      </c>
      <c r="D443" s="522" t="str">
        <f t="array" ref="D443">+SUMPRODUCT(('Budget original'!$A$8:$A$501=$A443)*('Budget original'!$C$3:$AO$3=D$2),'Budget original'!$C$8:$AO$501)</f>
        <v>#N/A</v>
      </c>
      <c r="E443" s="483" t="str">
        <f t="array" ref="E443">+SUMPRODUCT(('Budget original'!$A$8:$A$501=$A443)*('Budget original'!$C$3:$AO$3=E$2),'Budget original'!$C$8:$AO$501)</f>
        <v>#N/A</v>
      </c>
      <c r="F443" s="483" t="str">
        <f t="array" ref="F443">+SUMPRODUCT(('Budget original'!$A$8:$A$501=$A443)*('Budget original'!$C$3:$AO$3=F$2),'Budget original'!$C$8:$AO$501)</f>
        <v>#N/A</v>
      </c>
      <c r="G443" s="252"/>
      <c r="H443" s="483"/>
      <c r="I443" s="483"/>
      <c r="J443" s="252">
        <f>-SUMIFS(BV_Data_An_Cour!$AN:$AN,BV_Data_An_Cour!$AP:$AP,$B443,BV_Data_An_Cour!$AQ:$AQ,$C443,BV_Data_An_Cour!$AR:$AR,J$2)</f>
        <v>0</v>
      </c>
      <c r="K443" s="483">
        <f>-SUMIFS(BV_Data_An_Cour!$AN:$AN,BV_Data_An_Cour!$AS:$AS,"Oui",BV_Data_An_Cour!$AP:$AP,$B443,BV_Data_An_Cour!$AQ:$AQ,$C443)</f>
        <v>4470.5</v>
      </c>
      <c r="L443" s="484">
        <f>-SUMIFS(BV_Data_An_Cour!$AN:$AN,BV_Data_An_Cour!$AP:$AP,$B443,BV_Data_An_Cour!$AQ:$AQ,$C443,BV_Data_An_Cour!$AR:$AR,$L$2)</f>
        <v>3249.71</v>
      </c>
      <c r="M443" s="515">
        <f>IFERROR((K443-E443)/E443,0)</f>
        <v>0</v>
      </c>
      <c r="N443" s="523" t="str">
        <f>L443-F443</f>
        <v>#N/A</v>
      </c>
      <c r="O443" s="252" t="str">
        <f t="array" ref="O443">+SUMPRODUCT(('Réel 2024'!$A$8:$A$501=$A443)*('Réel 2024'!$C$3:$AO$3=O$2),'Réel 2024'!$C$8:$AO$501)</f>
        <v>#N/A</v>
      </c>
      <c r="P443" s="483">
        <f>-SUMIFS(BV_Data_An_Prec!$AN:$AN,BV_Data_An_Prec!$AS:$AS,"Oui",BV_Data_An_Prec!$AP:$AP,$B443,BV_Data_An_Prec!$AQ:$AQ,$C443)</f>
        <v>9155</v>
      </c>
      <c r="Q443" s="484">
        <f>-SUMIFS(BV_Data_An_Prec!$AN:$AN,BV_Data_An_Prec!$AP:$AP,$B443,BV_Data_An_Prec!$AQ:$AQ,$C443,BV_Data_An_Prec!$AR:$AR,$L$2)</f>
        <v>6635.45</v>
      </c>
      <c r="R443" s="515" t="str">
        <f>IF(O443=0,0,J443/O443)</f>
        <v>#N/A</v>
      </c>
      <c r="S443" s="484">
        <f>L443-Q443</f>
        <v>-3385.74</v>
      </c>
      <c r="T443" s="40"/>
      <c r="U443" s="40"/>
      <c r="V443" s="48"/>
      <c r="W443" s="40"/>
      <c r="X443" s="40"/>
      <c r="Y443" s="40"/>
      <c r="Z443" s="40"/>
      <c r="AA443" s="40"/>
      <c r="AB443" s="40"/>
      <c r="AC443" s="40"/>
      <c r="AD443" s="40"/>
      <c r="AE443" s="40"/>
      <c r="AF443" s="40"/>
      <c r="AG443" s="40"/>
      <c r="AH443" s="40"/>
      <c r="AI443" s="40"/>
      <c r="AJ443" s="40"/>
      <c r="AK443" s="40"/>
      <c r="AL443" s="40"/>
      <c r="AM443" s="40"/>
      <c r="AN443" s="40"/>
    </row>
    <row r="444" ht="15.75" customHeight="1">
      <c r="A444" s="5"/>
      <c r="B444" s="48" t="s">
        <v>1025</v>
      </c>
      <c r="C444" s="480" t="s">
        <v>163</v>
      </c>
      <c r="D444" s="48"/>
      <c r="E444" s="48"/>
      <c r="F444" s="516">
        <f>IFERROR(F443/E443,0)</f>
        <v>0</v>
      </c>
      <c r="G444" s="480"/>
      <c r="H444" s="601"/>
      <c r="I444" s="516"/>
      <c r="J444" s="486"/>
      <c r="K444" s="48"/>
      <c r="L444" s="516">
        <f>IFERROR(L443/K443,0)</f>
        <v>0.726923163</v>
      </c>
      <c r="M444" s="515"/>
      <c r="N444" s="484">
        <f>IFERROR(N443/M443,0)</f>
        <v>0</v>
      </c>
      <c r="O444" s="486"/>
      <c r="P444" s="48"/>
      <c r="Q444" s="516">
        <f>IFERROR(Q443/P443,0)</f>
        <v>0.7247897324</v>
      </c>
      <c r="R444" s="486"/>
      <c r="S444" s="484"/>
      <c r="T444" s="40"/>
      <c r="U444" s="40"/>
      <c r="V444" s="48"/>
      <c r="W444" s="40"/>
      <c r="X444" s="40"/>
      <c r="Y444" s="40"/>
      <c r="Z444" s="40"/>
      <c r="AA444" s="40"/>
      <c r="AB444" s="40"/>
      <c r="AC444" s="40"/>
      <c r="AD444" s="40"/>
      <c r="AE444" s="40"/>
      <c r="AF444" s="40"/>
      <c r="AG444" s="40"/>
      <c r="AH444" s="40"/>
      <c r="AI444" s="40"/>
      <c r="AJ444" s="40"/>
      <c r="AK444" s="40"/>
      <c r="AL444" s="40"/>
      <c r="AM444" s="40"/>
      <c r="AN444" s="40"/>
    </row>
    <row r="445" ht="15.75" customHeight="1">
      <c r="A445" s="5"/>
      <c r="B445" s="48" t="s">
        <v>1025</v>
      </c>
      <c r="C445" s="480"/>
      <c r="D445" s="48"/>
      <c r="E445" s="48"/>
      <c r="F445" s="516"/>
      <c r="G445" s="48"/>
      <c r="H445" s="601"/>
      <c r="I445" s="602"/>
      <c r="J445" s="486"/>
      <c r="K445" s="48"/>
      <c r="L445" s="516"/>
      <c r="M445" s="515"/>
      <c r="N445" s="484"/>
      <c r="O445" s="486"/>
      <c r="P445" s="48"/>
      <c r="Q445" s="516"/>
      <c r="R445" s="486"/>
      <c r="S445" s="484"/>
      <c r="T445" s="40"/>
      <c r="U445" s="40"/>
      <c r="V445" s="48"/>
      <c r="W445" s="40"/>
      <c r="X445" s="40"/>
      <c r="Y445" s="40"/>
      <c r="Z445" s="40"/>
      <c r="AA445" s="40"/>
      <c r="AB445" s="40"/>
      <c r="AC445" s="40"/>
      <c r="AD445" s="40"/>
      <c r="AE445" s="40"/>
      <c r="AF445" s="40"/>
      <c r="AG445" s="40"/>
      <c r="AH445" s="40"/>
      <c r="AI445" s="40"/>
      <c r="AJ445" s="40"/>
      <c r="AK445" s="40"/>
      <c r="AL445" s="40"/>
      <c r="AM445" s="40"/>
      <c r="AN445" s="40"/>
    </row>
    <row r="446" ht="15.75" customHeight="1">
      <c r="A446" s="5"/>
      <c r="B446" s="48" t="s">
        <v>1025</v>
      </c>
      <c r="C446" s="480" t="s">
        <v>1030</v>
      </c>
      <c r="D446" s="48"/>
      <c r="E446" s="48"/>
      <c r="F446" s="516"/>
      <c r="G446" s="48"/>
      <c r="H446" s="601"/>
      <c r="I446" s="602"/>
      <c r="J446" s="486"/>
      <c r="K446" s="48"/>
      <c r="L446" s="484">
        <f>-SUMIFS(BV_Data_An_Cour!$AN:$AN,BV_Data_An_Cour!$AP:$AP,$B446,BV_Data_An_Cour!$AQ:$AQ,$C446,BV_Data_An_Cour!$AR:$AR,$L$2)</f>
        <v>-3440.71</v>
      </c>
      <c r="M446" s="515"/>
      <c r="N446" s="484"/>
      <c r="O446" s="486"/>
      <c r="P446" s="48"/>
      <c r="Q446" s="484">
        <f>-SUMIFS(BV_Data_An_Prec!$AN:$AN,BV_Data_An_Prec!$AP:$AP,$B446,BV_Data_An_Prec!$AQ:$AQ,$C446,BV_Data_An_Prec!$AR:$AR,$L$2)</f>
        <v>0</v>
      </c>
      <c r="R446" s="486"/>
      <c r="S446" s="484">
        <f>L446-Q446</f>
        <v>-3440.71</v>
      </c>
      <c r="T446" s="40"/>
      <c r="U446" s="40"/>
      <c r="V446" s="48"/>
      <c r="W446" s="40"/>
      <c r="X446" s="40"/>
      <c r="Y446" s="40"/>
      <c r="Z446" s="40"/>
      <c r="AA446" s="40"/>
      <c r="AB446" s="40"/>
      <c r="AC446" s="40"/>
      <c r="AD446" s="40"/>
      <c r="AE446" s="40"/>
      <c r="AF446" s="40"/>
      <c r="AG446" s="40"/>
      <c r="AH446" s="40"/>
      <c r="AI446" s="40"/>
      <c r="AJ446" s="40"/>
      <c r="AK446" s="40"/>
      <c r="AL446" s="40"/>
      <c r="AM446" s="40"/>
      <c r="AN446" s="40"/>
    </row>
    <row r="447" ht="15.75" customHeight="1">
      <c r="A447" s="5"/>
      <c r="B447" s="48" t="s">
        <v>1025</v>
      </c>
      <c r="C447" s="480"/>
      <c r="D447" s="41"/>
      <c r="E447" s="41"/>
      <c r="F447" s="611"/>
      <c r="G447" s="41"/>
      <c r="H447" s="41"/>
      <c r="I447" s="41"/>
      <c r="J447" s="610"/>
      <c r="K447" s="41"/>
      <c r="L447" s="611"/>
      <c r="M447" s="610"/>
      <c r="N447" s="611"/>
      <c r="O447" s="610"/>
      <c r="P447" s="41"/>
      <c r="Q447" s="611"/>
      <c r="R447" s="610"/>
      <c r="S447" s="611"/>
      <c r="T447" s="40"/>
      <c r="U447" s="40"/>
      <c r="V447" s="48"/>
      <c r="W447" s="40"/>
      <c r="X447" s="40"/>
      <c r="Y447" s="40"/>
      <c r="Z447" s="40"/>
      <c r="AA447" s="40"/>
      <c r="AB447" s="40"/>
      <c r="AC447" s="40"/>
      <c r="AD447" s="40"/>
      <c r="AE447" s="40"/>
      <c r="AF447" s="40"/>
      <c r="AG447" s="40"/>
      <c r="AH447" s="40"/>
      <c r="AI447" s="40"/>
      <c r="AJ447" s="40"/>
      <c r="AK447" s="40"/>
      <c r="AL447" s="40"/>
      <c r="AM447" s="40"/>
      <c r="AN447" s="40"/>
    </row>
    <row r="448" ht="18.0" customHeight="1">
      <c r="A448" s="5" t="str">
        <f t="shared" ref="A448:A481" si="92">+B448&amp;C448</f>
        <v>SAAQTotal Dépt. SAAQ</v>
      </c>
      <c r="B448" s="48" t="s">
        <v>1025</v>
      </c>
      <c r="C448" s="526" t="s">
        <v>1032</v>
      </c>
      <c r="D448" s="527" t="str">
        <f t="array" ref="D448">+INDEX('Budget original'!$A$2:$AO$501,MATCH($A448,'Budget original'!$A$2:$A$501,0),MATCH(D$2,'Budget original'!$A$2:$AO$2,0))</f>
        <v>#N/A</v>
      </c>
      <c r="E448" s="528">
        <f>IFERROR(F448/D448,0)</f>
        <v>0</v>
      </c>
      <c r="F448" s="529" t="str">
        <f t="array" ref="F448">+INDEX('Budget original'!$A$2:$AO$501,MATCH($A448,'Budget original'!$A$2:$A$501,0),MATCH(F$2,'Budget original'!$A$2:$AO$2,0))</f>
        <v>#N/A</v>
      </c>
      <c r="G448" s="530"/>
      <c r="H448" s="528"/>
      <c r="I448" s="529"/>
      <c r="J448" s="530"/>
      <c r="K448" s="527">
        <f>K437+K440+K443</f>
        <v>826395.92</v>
      </c>
      <c r="L448" s="529">
        <f>L437+L440+L443+L446</f>
        <v>616909.24</v>
      </c>
      <c r="M448" s="530"/>
      <c r="N448" s="529"/>
      <c r="O448" s="530"/>
      <c r="P448" s="527">
        <f>P437+P440+P443</f>
        <v>753925.88</v>
      </c>
      <c r="Q448" s="529">
        <f>Q437+Q440+Q443+Q446</f>
        <v>565981.3</v>
      </c>
      <c r="R448" s="530">
        <f>IF(O448=0,0,(J448-O448)/O448)</f>
        <v>0</v>
      </c>
      <c r="S448" s="529">
        <f>S437+S440+S443+S446</f>
        <v>50927.94</v>
      </c>
      <c r="T448" s="48"/>
      <c r="U448" s="48"/>
      <c r="V448" s="48"/>
      <c r="W448" s="48"/>
      <c r="X448" s="48"/>
      <c r="Y448" s="48"/>
      <c r="Z448" s="48"/>
      <c r="AA448" s="48"/>
      <c r="AB448" s="48"/>
      <c r="AC448" s="48"/>
      <c r="AD448" s="48"/>
      <c r="AE448" s="48"/>
      <c r="AF448" s="48"/>
      <c r="AG448" s="48"/>
      <c r="AH448" s="48"/>
      <c r="AI448" s="48"/>
      <c r="AJ448" s="48"/>
      <c r="AK448" s="48"/>
      <c r="AL448" s="48"/>
      <c r="AM448" s="48"/>
      <c r="AN448" s="48"/>
    </row>
    <row r="449" ht="22.5" customHeight="1">
      <c r="A449" s="5" t="str">
        <f t="shared" si="92"/>
        <v>SAAQ</v>
      </c>
      <c r="B449" s="48" t="s">
        <v>1025</v>
      </c>
      <c r="C449" s="531"/>
      <c r="D449" s="532"/>
      <c r="E449" s="532"/>
      <c r="F449" s="533"/>
      <c r="G449" s="531"/>
      <c r="H449" s="532"/>
      <c r="I449" s="533"/>
      <c r="J449" s="531"/>
      <c r="K449" s="534"/>
      <c r="L449" s="538">
        <f>L448/K448</f>
        <v>0.7465056701</v>
      </c>
      <c r="M449" s="536"/>
      <c r="N449" s="537"/>
      <c r="O449" s="531"/>
      <c r="P449" s="534"/>
      <c r="Q449" s="538">
        <f>Q448/P448</f>
        <v>0.7507121257</v>
      </c>
      <c r="R449" s="536"/>
      <c r="S449" s="538">
        <f>IF(Q448=0,0,S448/Q448)</f>
        <v>0.08998166547</v>
      </c>
      <c r="T449" s="48"/>
      <c r="U449" s="48"/>
      <c r="V449" s="48"/>
      <c r="W449" s="48"/>
      <c r="X449" s="48"/>
      <c r="Y449" s="48"/>
      <c r="Z449" s="48"/>
      <c r="AA449" s="48"/>
      <c r="AB449" s="48"/>
      <c r="AC449" s="48"/>
      <c r="AD449" s="48"/>
      <c r="AE449" s="48"/>
      <c r="AF449" s="48"/>
      <c r="AG449" s="48"/>
      <c r="AH449" s="48"/>
      <c r="AI449" s="48"/>
      <c r="AJ449" s="48"/>
      <c r="AK449" s="48"/>
      <c r="AL449" s="48"/>
      <c r="AM449" s="48"/>
      <c r="AN449" s="48"/>
    </row>
    <row r="450" ht="15.75" customHeight="1">
      <c r="A450" s="5" t="str">
        <f t="shared" si="92"/>
        <v>SAAQ</v>
      </c>
      <c r="B450" s="48" t="s">
        <v>1025</v>
      </c>
      <c r="C450" s="541"/>
      <c r="D450" s="48"/>
      <c r="E450" s="48"/>
      <c r="F450" s="484"/>
      <c r="G450" s="480"/>
      <c r="H450" s="48"/>
      <c r="I450" s="484"/>
      <c r="J450" s="480"/>
      <c r="K450" s="48"/>
      <c r="L450" s="514"/>
      <c r="M450" s="480"/>
      <c r="N450" s="516"/>
      <c r="O450" s="480"/>
      <c r="P450" s="48"/>
      <c r="Q450" s="514"/>
      <c r="R450" s="480"/>
      <c r="S450" s="514"/>
      <c r="T450" s="40"/>
      <c r="U450" s="40"/>
      <c r="V450" s="48"/>
      <c r="W450" s="40"/>
      <c r="X450" s="40"/>
      <c r="Y450" s="40"/>
      <c r="Z450" s="40"/>
      <c r="AA450" s="40"/>
      <c r="AB450" s="40"/>
      <c r="AC450" s="40"/>
      <c r="AD450" s="40"/>
      <c r="AE450" s="40"/>
      <c r="AF450" s="40"/>
      <c r="AG450" s="40"/>
      <c r="AH450" s="40"/>
      <c r="AI450" s="40"/>
      <c r="AJ450" s="40"/>
      <c r="AK450" s="40"/>
      <c r="AL450" s="40"/>
      <c r="AM450" s="40"/>
      <c r="AN450" s="40"/>
    </row>
    <row r="451" ht="15.75" customHeight="1">
      <c r="A451" s="5" t="str">
        <f t="shared" si="92"/>
        <v>SAAQDEPENSES</v>
      </c>
      <c r="B451" s="48" t="s">
        <v>1025</v>
      </c>
      <c r="C451" s="541" t="s">
        <v>110</v>
      </c>
      <c r="D451" s="48"/>
      <c r="E451" s="48"/>
      <c r="F451" s="484"/>
      <c r="G451" s="480"/>
      <c r="H451" s="48"/>
      <c r="I451" s="484"/>
      <c r="J451" s="480"/>
      <c r="K451" s="48"/>
      <c r="L451" s="514"/>
      <c r="M451" s="480"/>
      <c r="N451" s="514"/>
      <c r="O451" s="480"/>
      <c r="P451" s="48"/>
      <c r="Q451" s="514"/>
      <c r="R451" s="480"/>
      <c r="S451" s="514"/>
      <c r="T451" s="40"/>
      <c r="U451" s="40"/>
      <c r="V451" s="48"/>
      <c r="W451" s="40"/>
      <c r="X451" s="40"/>
      <c r="Y451" s="40"/>
      <c r="Z451" s="40"/>
      <c r="AA451" s="40"/>
      <c r="AB451" s="40"/>
      <c r="AC451" s="40"/>
      <c r="AD451" s="40"/>
      <c r="AE451" s="40"/>
      <c r="AF451" s="40"/>
      <c r="AG451" s="40"/>
      <c r="AH451" s="40"/>
      <c r="AI451" s="40"/>
      <c r="AJ451" s="40"/>
      <c r="AK451" s="40"/>
      <c r="AL451" s="40"/>
      <c r="AM451" s="40"/>
      <c r="AN451" s="40"/>
    </row>
    <row r="452" ht="15.75" customHeight="1">
      <c r="A452" s="5" t="str">
        <f t="shared" si="92"/>
        <v>SAAQSalaires cadres</v>
      </c>
      <c r="B452" s="48" t="s">
        <v>1025</v>
      </c>
      <c r="C452" s="559" t="s">
        <v>119</v>
      </c>
      <c r="D452" s="48"/>
      <c r="E452" s="48"/>
      <c r="F452" s="481" t="str">
        <f t="array" ref="F452">+SUMPRODUCT(('Budget original'!$A$8:$A$501=$A452)*('Budget original'!$C$3:$AO$3=F$2),'Budget original'!$C$8:$AO$501)</f>
        <v>#N/A</v>
      </c>
      <c r="G452" s="480"/>
      <c r="H452" s="48"/>
      <c r="I452" s="481"/>
      <c r="J452" s="480"/>
      <c r="K452" s="48"/>
      <c r="L452" s="484">
        <f>SUMIFS(BV_Data_An_Cour!$AN:$AN,BV_Data_An_Cour!$AP:$AP,$B452,BV_Data_An_Cour!$AQ:$AQ,$C452,BV_Data_An_Cour!$AR:$AR,$L$2)</f>
        <v>2100</v>
      </c>
      <c r="M452" s="480"/>
      <c r="N452" s="514"/>
      <c r="O452" s="480"/>
      <c r="P452" s="48"/>
      <c r="Q452" s="484">
        <f>SUMIFS(BV_Data_An_Prec!$AN:$AN,BV_Data_An_Prec!$AP:$AP,$B452,BV_Data_An_Prec!$AQ:$AQ,$C452,BV_Data_An_Prec!$AR:$AR,$L$2)</f>
        <v>0</v>
      </c>
      <c r="R452" s="480"/>
      <c r="S452" s="484">
        <f t="shared" ref="S452:S481" si="93">L452-Q452</f>
        <v>2100</v>
      </c>
      <c r="T452" s="40"/>
      <c r="U452" s="40"/>
      <c r="V452" s="48"/>
      <c r="W452" s="40"/>
      <c r="X452" s="40"/>
      <c r="Y452" s="40"/>
      <c r="Z452" s="40"/>
      <c r="AA452" s="40"/>
      <c r="AB452" s="40"/>
      <c r="AC452" s="40"/>
      <c r="AD452" s="40"/>
      <c r="AE452" s="40"/>
      <c r="AF452" s="40"/>
      <c r="AG452" s="40"/>
      <c r="AH452" s="40"/>
      <c r="AI452" s="40"/>
      <c r="AJ452" s="40"/>
      <c r="AK452" s="40"/>
      <c r="AL452" s="40"/>
      <c r="AM452" s="40"/>
      <c r="AN452" s="40"/>
    </row>
    <row r="453" ht="15.75" customHeight="1">
      <c r="A453" s="5" t="str">
        <f t="shared" si="92"/>
        <v>SAAQSalaires commis</v>
      </c>
      <c r="B453" s="48" t="s">
        <v>1025</v>
      </c>
      <c r="C453" s="560" t="s">
        <v>120</v>
      </c>
      <c r="D453" s="546"/>
      <c r="E453" s="48"/>
      <c r="F453" s="473" t="str">
        <f t="array" ref="F453">+SUMPRODUCT(('Budget original'!$A$8:$A$501=$A453)*('Budget original'!$C$3:$AO$3=F$2),'Budget original'!$C$8:$AO$501)</f>
        <v>#N/A</v>
      </c>
      <c r="G453" s="547"/>
      <c r="H453" s="48"/>
      <c r="I453" s="473"/>
      <c r="J453" s="480"/>
      <c r="K453" s="48"/>
      <c r="L453" s="476">
        <f>SUMIFS(BV_Data_An_Cour!$AN:$AN,BV_Data_An_Cour!$AP:$AP,$B453,BV_Data_An_Cour!$AQ:$AQ,$C453,BV_Data_An_Cour!$AR:$AR,$L$2)</f>
        <v>37260.37</v>
      </c>
      <c r="M453" s="480"/>
      <c r="N453" s="484"/>
      <c r="O453" s="480"/>
      <c r="P453" s="48"/>
      <c r="Q453" s="476">
        <f>SUMIFS(BV_Data_An_Prec!$AN:$AN,BV_Data_An_Prec!$AP:$AP,$B453,BV_Data_An_Prec!$AQ:$AQ,$C453,BV_Data_An_Prec!$AR:$AR,$L$2)</f>
        <v>0</v>
      </c>
      <c r="R453" s="480"/>
      <c r="S453" s="484">
        <f t="shared" si="93"/>
        <v>37260.37</v>
      </c>
      <c r="T453" s="40"/>
      <c r="U453" s="40"/>
      <c r="V453" s="48"/>
      <c r="W453" s="40"/>
      <c r="X453" s="40"/>
      <c r="Y453" s="40"/>
      <c r="Z453" s="40"/>
      <c r="AA453" s="40"/>
      <c r="AB453" s="40"/>
      <c r="AC453" s="40"/>
      <c r="AD453" s="40"/>
      <c r="AE453" s="40"/>
      <c r="AF453" s="40"/>
      <c r="AG453" s="40"/>
      <c r="AH453" s="40"/>
      <c r="AI453" s="40"/>
      <c r="AJ453" s="40"/>
      <c r="AK453" s="40"/>
      <c r="AL453" s="40"/>
      <c r="AM453" s="40"/>
      <c r="AN453" s="40"/>
    </row>
    <row r="454" ht="15.75" customHeight="1">
      <c r="A454" s="5" t="str">
        <f t="shared" si="92"/>
        <v>SAAQSalaires autres</v>
      </c>
      <c r="B454" s="48" t="s">
        <v>1025</v>
      </c>
      <c r="C454" s="559" t="s">
        <v>121</v>
      </c>
      <c r="D454" s="561"/>
      <c r="E454" s="562"/>
      <c r="F454" s="481" t="str">
        <f t="array" ref="F454">+SUMPRODUCT(('Budget original'!$A$8:$A$501=$A454)*('Budget original'!$C$3:$AO$3=F$2),'Budget original'!$C$8:$AO$501)</f>
        <v>#N/A</v>
      </c>
      <c r="G454" s="563"/>
      <c r="H454" s="562"/>
      <c r="I454" s="481"/>
      <c r="J454" s="466"/>
      <c r="K454" s="562"/>
      <c r="L454" s="484">
        <f>SUMIFS(BV_Data_An_Cour!$AN:$AN,BV_Data_An_Cour!$AP:$AP,$B454,BV_Data_An_Cour!$AQ:$AQ,$C454,BV_Data_An_Cour!$AR:$AR,$L$2)</f>
        <v>4046.34</v>
      </c>
      <c r="M454" s="466"/>
      <c r="N454" s="523"/>
      <c r="O454" s="466"/>
      <c r="P454" s="562"/>
      <c r="Q454" s="484">
        <f>SUMIFS(BV_Data_An_Prec!$AN:$AN,BV_Data_An_Prec!$AP:$AP,$B454,BV_Data_An_Prec!$AQ:$AQ,$C454,BV_Data_An_Prec!$AR:$AR,$L$2)</f>
        <v>0</v>
      </c>
      <c r="R454" s="466"/>
      <c r="S454" s="523">
        <f t="shared" si="93"/>
        <v>4046.34</v>
      </c>
      <c r="T454" s="40"/>
      <c r="U454" s="40"/>
      <c r="V454" s="48"/>
      <c r="W454" s="40"/>
      <c r="X454" s="40"/>
      <c r="Y454" s="40"/>
      <c r="Z454" s="40"/>
      <c r="AA454" s="40"/>
      <c r="AB454" s="40"/>
      <c r="AC454" s="40"/>
      <c r="AD454" s="40"/>
      <c r="AE454" s="40"/>
      <c r="AF454" s="40"/>
      <c r="AG454" s="40"/>
      <c r="AH454" s="40"/>
      <c r="AI454" s="40"/>
      <c r="AJ454" s="40"/>
      <c r="AK454" s="40"/>
      <c r="AL454" s="40"/>
      <c r="AM454" s="40"/>
      <c r="AN454" s="40"/>
    </row>
    <row r="455" ht="15.75" customHeight="1">
      <c r="A455" s="5" t="str">
        <f t="shared" si="92"/>
        <v>SAAQSalaires spécialistes</v>
      </c>
      <c r="B455" s="48" t="s">
        <v>1025</v>
      </c>
      <c r="C455" s="559" t="s">
        <v>122</v>
      </c>
      <c r="D455" s="546"/>
      <c r="E455" s="48"/>
      <c r="F455" s="481" t="str">
        <f t="array" ref="F455">+SUMPRODUCT(('Budget original'!$A$8:$A$501=$A455)*('Budget original'!$C$3:$AO$3=F$2),'Budget original'!$C$8:$AO$501)</f>
        <v>#N/A</v>
      </c>
      <c r="G455" s="547"/>
      <c r="H455" s="48"/>
      <c r="I455" s="481"/>
      <c r="J455" s="480"/>
      <c r="K455" s="48"/>
      <c r="L455" s="484">
        <f>SUMIFS(BV_Data_An_Cour!$AN:$AN,BV_Data_An_Cour!$AP:$AP,$B455,BV_Data_An_Cour!$AQ:$AQ,$C455,BV_Data_An_Cour!$AR:$AR,$L$2)</f>
        <v>0</v>
      </c>
      <c r="M455" s="480"/>
      <c r="N455" s="484"/>
      <c r="O455" s="480"/>
      <c r="P455" s="48"/>
      <c r="Q455" s="484">
        <f>SUMIFS(BV_Data_An_Prec!$AN:$AN,BV_Data_An_Prec!$AP:$AP,$B455,BV_Data_An_Prec!$AQ:$AQ,$C455,BV_Data_An_Prec!$AR:$AR,$L$2)</f>
        <v>0</v>
      </c>
      <c r="R455" s="480"/>
      <c r="S455" s="484">
        <f t="shared" si="93"/>
        <v>0</v>
      </c>
      <c r="T455" s="40"/>
      <c r="U455" s="40"/>
      <c r="V455" s="48"/>
      <c r="W455" s="40"/>
      <c r="X455" s="40"/>
      <c r="Y455" s="40"/>
      <c r="Z455" s="40"/>
      <c r="AA455" s="40"/>
      <c r="AB455" s="40"/>
      <c r="AC455" s="40"/>
      <c r="AD455" s="40"/>
      <c r="AE455" s="40"/>
      <c r="AF455" s="40"/>
      <c r="AG455" s="40"/>
      <c r="AH455" s="40"/>
      <c r="AI455" s="40"/>
      <c r="AJ455" s="40"/>
      <c r="AK455" s="40"/>
      <c r="AL455" s="40"/>
      <c r="AM455" s="40"/>
      <c r="AN455" s="40"/>
    </row>
    <row r="456" ht="20.25" hidden="1" customHeight="1">
      <c r="A456" s="5" t="str">
        <f t="shared" si="92"/>
        <v>SAAQ[...]</v>
      </c>
      <c r="B456" s="48" t="s">
        <v>1025</v>
      </c>
      <c r="C456" s="480" t="s">
        <v>56</v>
      </c>
      <c r="D456" s="546"/>
      <c r="E456" s="48"/>
      <c r="F456" s="481" t="str">
        <f t="array" ref="F456">+SUMPRODUCT(('Budget original'!$A$8:$A$501=$A456)*('Budget original'!$C$3:$AO$3=F$2),'Budget original'!$C$8:$AO$501)</f>
        <v>#N/A</v>
      </c>
      <c r="G456" s="547"/>
      <c r="H456" s="48"/>
      <c r="I456" s="481"/>
      <c r="J456" s="480"/>
      <c r="K456" s="48"/>
      <c r="L456" s="484">
        <f>SUMIFS(BV_Data_An_Cour!$AN:$AN,BV_Data_An_Cour!$AP:$AP,$B456,BV_Data_An_Cour!$AQ:$AQ,$C456,BV_Data_An_Cour!$AR:$AR,$L$2)</f>
        <v>0</v>
      </c>
      <c r="M456" s="480"/>
      <c r="N456" s="484"/>
      <c r="O456" s="480"/>
      <c r="P456" s="48"/>
      <c r="Q456" s="484">
        <f>SUMIFS(BV_Data_An_Prec!$AN:$AN,BV_Data_An_Prec!$AP:$AP,$B456,BV_Data_An_Prec!$AQ:$AQ,$C456,BV_Data_An_Prec!$AR:$AR,$L$2)</f>
        <v>0</v>
      </c>
      <c r="R456" s="480"/>
      <c r="S456" s="484">
        <f t="shared" si="93"/>
        <v>0</v>
      </c>
      <c r="T456" s="40"/>
      <c r="U456" s="40"/>
      <c r="V456" s="48"/>
      <c r="W456" s="40"/>
      <c r="X456" s="40"/>
      <c r="Y456" s="40"/>
      <c r="Z456" s="40"/>
      <c r="AA456" s="40"/>
      <c r="AB456" s="40"/>
      <c r="AC456" s="40"/>
      <c r="AD456" s="40"/>
      <c r="AE456" s="40"/>
      <c r="AF456" s="40"/>
      <c r="AG456" s="40"/>
      <c r="AH456" s="40"/>
      <c r="AI456" s="40"/>
      <c r="AJ456" s="40"/>
      <c r="AK456" s="40"/>
      <c r="AL456" s="40"/>
      <c r="AM456" s="40"/>
      <c r="AN456" s="40"/>
    </row>
    <row r="457" ht="20.25" hidden="1" customHeight="1">
      <c r="A457" s="5" t="str">
        <f t="shared" si="92"/>
        <v>SAAQ[...]</v>
      </c>
      <c r="B457" s="48" t="s">
        <v>1025</v>
      </c>
      <c r="C457" s="480" t="s">
        <v>56</v>
      </c>
      <c r="D457" s="546"/>
      <c r="E457" s="48"/>
      <c r="F457" s="481" t="str">
        <f t="array" ref="F457">+SUMPRODUCT(('Budget original'!$A$8:$A$501=$A457)*('Budget original'!$C$3:$AO$3=F$2),'Budget original'!$C$8:$AO$501)</f>
        <v>#N/A</v>
      </c>
      <c r="G457" s="547"/>
      <c r="H457" s="48"/>
      <c r="I457" s="481"/>
      <c r="J457" s="480"/>
      <c r="K457" s="48"/>
      <c r="L457" s="484">
        <f>SUMIFS(BV_Data_An_Cour!$AN:$AN,BV_Data_An_Cour!$AP:$AP,$B457,BV_Data_An_Cour!$AQ:$AQ,$C457,BV_Data_An_Cour!$AR:$AR,$L$2)</f>
        <v>0</v>
      </c>
      <c r="M457" s="480"/>
      <c r="N457" s="484"/>
      <c r="O457" s="480"/>
      <c r="P457" s="48"/>
      <c r="Q457" s="484">
        <f>SUMIFS(BV_Data_An_Prec!$AN:$AN,BV_Data_An_Prec!$AP:$AP,$B457,BV_Data_An_Prec!$AQ:$AQ,$C457,BV_Data_An_Prec!$AR:$AR,$L$2)</f>
        <v>0</v>
      </c>
      <c r="R457" s="480"/>
      <c r="S457" s="484">
        <f t="shared" si="93"/>
        <v>0</v>
      </c>
      <c r="T457" s="40"/>
      <c r="U457" s="40"/>
      <c r="V457" s="48"/>
      <c r="W457" s="40"/>
      <c r="X457" s="40"/>
      <c r="Y457" s="40"/>
      <c r="Z457" s="40"/>
      <c r="AA457" s="40"/>
      <c r="AB457" s="40"/>
      <c r="AC457" s="40"/>
      <c r="AD457" s="40"/>
      <c r="AE457" s="40"/>
      <c r="AF457" s="40"/>
      <c r="AG457" s="40"/>
      <c r="AH457" s="40"/>
      <c r="AI457" s="40"/>
      <c r="AJ457" s="40"/>
      <c r="AK457" s="40"/>
      <c r="AL457" s="40"/>
      <c r="AM457" s="40"/>
      <c r="AN457" s="40"/>
    </row>
    <row r="458" ht="20.25" hidden="1" customHeight="1">
      <c r="A458" s="5" t="str">
        <f t="shared" si="92"/>
        <v>SAAQ[...]</v>
      </c>
      <c r="B458" s="48" t="s">
        <v>1025</v>
      </c>
      <c r="C458" s="480" t="s">
        <v>56</v>
      </c>
      <c r="D458" s="546"/>
      <c r="E458" s="48"/>
      <c r="F458" s="481" t="str">
        <f t="array" ref="F458">+SUMPRODUCT(('Budget original'!$A$8:$A$501=$A458)*('Budget original'!$C$3:$AO$3=F$2),'Budget original'!$C$8:$AO$501)</f>
        <v>#N/A</v>
      </c>
      <c r="G458" s="547"/>
      <c r="H458" s="48"/>
      <c r="I458" s="481"/>
      <c r="J458" s="480"/>
      <c r="K458" s="48"/>
      <c r="L458" s="484">
        <f>SUMIFS(BV_Data_An_Cour!$AN:$AN,BV_Data_An_Cour!$AP:$AP,$B458,BV_Data_An_Cour!$AQ:$AQ,$C458,BV_Data_An_Cour!$AR:$AR,$L$2)</f>
        <v>0</v>
      </c>
      <c r="M458" s="480"/>
      <c r="N458" s="484"/>
      <c r="O458" s="480"/>
      <c r="P458" s="48"/>
      <c r="Q458" s="484">
        <f>SUMIFS(BV_Data_An_Prec!$AN:$AN,BV_Data_An_Prec!$AP:$AP,$B458,BV_Data_An_Prec!$AQ:$AQ,$C458,BV_Data_An_Prec!$AR:$AR,$L$2)</f>
        <v>0</v>
      </c>
      <c r="R458" s="480"/>
      <c r="S458" s="484">
        <f t="shared" si="93"/>
        <v>0</v>
      </c>
      <c r="T458" s="40"/>
      <c r="U458" s="40"/>
      <c r="V458" s="48"/>
      <c r="W458" s="40"/>
      <c r="X458" s="40"/>
      <c r="Y458" s="40"/>
      <c r="Z458" s="40"/>
      <c r="AA458" s="40"/>
      <c r="AB458" s="40"/>
      <c r="AC458" s="40"/>
      <c r="AD458" s="40"/>
      <c r="AE458" s="40"/>
      <c r="AF458" s="40"/>
      <c r="AG458" s="40"/>
      <c r="AH458" s="40"/>
      <c r="AI458" s="40"/>
      <c r="AJ458" s="40"/>
      <c r="AK458" s="40"/>
      <c r="AL458" s="40"/>
      <c r="AM458" s="40"/>
      <c r="AN458" s="40"/>
    </row>
    <row r="459" ht="15.75" customHeight="1">
      <c r="A459" s="5" t="str">
        <f t="shared" si="92"/>
        <v>SAAQSalaires en absences</v>
      </c>
      <c r="B459" s="48" t="s">
        <v>1025</v>
      </c>
      <c r="C459" s="560" t="s">
        <v>123</v>
      </c>
      <c r="D459" s="546"/>
      <c r="E459" s="48"/>
      <c r="F459" s="473" t="str">
        <f t="array" ref="F459">+SUMPRODUCT(('Budget original'!$A$8:$A$501=$A459)*('Budget original'!$C$3:$AO$3=F$2),'Budget original'!$C$8:$AO$501)</f>
        <v>#N/A</v>
      </c>
      <c r="G459" s="547"/>
      <c r="H459" s="48"/>
      <c r="I459" s="473"/>
      <c r="J459" s="480"/>
      <c r="K459" s="48"/>
      <c r="L459" s="476">
        <f>SUMIFS(BV_Data_An_Cour!$AN:$AN,BV_Data_An_Cour!$AP:$AP,$B459,BV_Data_An_Cour!$AQ:$AQ,$C459,BV_Data_An_Cour!$AR:$AR,$L$2)</f>
        <v>19461.45</v>
      </c>
      <c r="M459" s="480"/>
      <c r="N459" s="484"/>
      <c r="O459" s="480"/>
      <c r="P459" s="48"/>
      <c r="Q459" s="476">
        <f>SUMIFS(BV_Data_An_Prec!$AN:$AN,BV_Data_An_Prec!$AP:$AP,$B459,BV_Data_An_Prec!$AQ:$AQ,$C459,BV_Data_An_Prec!$AR:$AR,$L$2)</f>
        <v>0</v>
      </c>
      <c r="R459" s="480"/>
      <c r="S459" s="484">
        <f t="shared" si="93"/>
        <v>19461.45</v>
      </c>
      <c r="T459" s="40"/>
      <c r="U459" s="40"/>
      <c r="V459" s="48"/>
      <c r="W459" s="40"/>
      <c r="X459" s="40"/>
      <c r="Y459" s="40"/>
      <c r="Z459" s="40"/>
      <c r="AA459" s="40"/>
      <c r="AB459" s="40"/>
      <c r="AC459" s="40"/>
      <c r="AD459" s="40"/>
      <c r="AE459" s="40"/>
      <c r="AF459" s="40"/>
      <c r="AG459" s="40"/>
      <c r="AH459" s="40"/>
      <c r="AI459" s="40"/>
      <c r="AJ459" s="40"/>
      <c r="AK459" s="40"/>
      <c r="AL459" s="40"/>
      <c r="AM459" s="40"/>
      <c r="AN459" s="40"/>
    </row>
    <row r="460" ht="15.75" customHeight="1">
      <c r="A460" s="5" t="str">
        <f t="shared" si="92"/>
        <v>SAAQDéduction à la source</v>
      </c>
      <c r="B460" s="48" t="s">
        <v>1025</v>
      </c>
      <c r="C460" s="559" t="s">
        <v>124</v>
      </c>
      <c r="D460" s="561"/>
      <c r="E460" s="562"/>
      <c r="F460" s="481" t="str">
        <f t="array" ref="F460">+SUMPRODUCT(('Budget original'!$A$8:$A$501=$A460)*('Budget original'!$C$3:$AO$3=F$2),'Budget original'!$C$8:$AO$501)</f>
        <v>#N/A</v>
      </c>
      <c r="G460" s="563"/>
      <c r="H460" s="562"/>
      <c r="I460" s="481"/>
      <c r="J460" s="466"/>
      <c r="K460" s="562"/>
      <c r="L460" s="484">
        <f>SUMIFS(BV_Data_An_Cour!$AN:$AN,BV_Data_An_Cour!$AP:$AP,$B460,BV_Data_An_Cour!$AQ:$AQ,$C460,BV_Data_An_Cour!$AR:$AR,$L$2)</f>
        <v>20606.87</v>
      </c>
      <c r="M460" s="466"/>
      <c r="N460" s="523"/>
      <c r="O460" s="466"/>
      <c r="P460" s="562"/>
      <c r="Q460" s="484">
        <f>SUMIFS(BV_Data_An_Prec!$AN:$AN,BV_Data_An_Prec!$AP:$AP,$B460,BV_Data_An_Prec!$AQ:$AQ,$C460,BV_Data_An_Prec!$AR:$AR,$L$2)</f>
        <v>0</v>
      </c>
      <c r="R460" s="466"/>
      <c r="S460" s="523">
        <f t="shared" si="93"/>
        <v>20606.87</v>
      </c>
      <c r="T460" s="40"/>
      <c r="U460" s="40"/>
      <c r="V460" s="48"/>
      <c r="W460" s="40"/>
      <c r="X460" s="40"/>
      <c r="Y460" s="40"/>
      <c r="Z460" s="40"/>
      <c r="AA460" s="40"/>
      <c r="AB460" s="40"/>
      <c r="AC460" s="40"/>
      <c r="AD460" s="40"/>
      <c r="AE460" s="40"/>
      <c r="AF460" s="40"/>
      <c r="AG460" s="40"/>
      <c r="AH460" s="40"/>
      <c r="AI460" s="40"/>
      <c r="AJ460" s="40"/>
      <c r="AK460" s="40"/>
      <c r="AL460" s="40"/>
      <c r="AM460" s="40"/>
      <c r="AN460" s="40"/>
    </row>
    <row r="461" ht="15.75" customHeight="1">
      <c r="A461" s="5" t="str">
        <f t="shared" si="92"/>
        <v>SAAQBénéfices marginaux</v>
      </c>
      <c r="B461" s="48" t="s">
        <v>1025</v>
      </c>
      <c r="C461" s="559" t="s">
        <v>125</v>
      </c>
      <c r="D461" s="546"/>
      <c r="E461" s="48"/>
      <c r="F461" s="481" t="str">
        <f t="array" ref="F461">+SUMPRODUCT(('Budget original'!$A$8:$A$501=$A461)*('Budget original'!$C$3:$AO$3=F$2),'Budget original'!$C$8:$AO$501)</f>
        <v>#N/A</v>
      </c>
      <c r="G461" s="547"/>
      <c r="H461" s="48"/>
      <c r="I461" s="481"/>
      <c r="J461" s="480"/>
      <c r="K461" s="48"/>
      <c r="L461" s="484">
        <f>SUMIFS(BV_Data_An_Cour!$AN:$AN,BV_Data_An_Cour!$AP:$AP,$B461,BV_Data_An_Cour!$AQ:$AQ,$C461,BV_Data_An_Cour!$AR:$AR,$L$2)</f>
        <v>4499.59</v>
      </c>
      <c r="M461" s="480"/>
      <c r="N461" s="484"/>
      <c r="O461" s="480"/>
      <c r="P461" s="48"/>
      <c r="Q461" s="484">
        <f>SUMIFS(BV_Data_An_Prec!$AN:$AN,BV_Data_An_Prec!$AP:$AP,$B461,BV_Data_An_Prec!$AQ:$AQ,$C461,BV_Data_An_Prec!$AR:$AR,$L$2)</f>
        <v>0</v>
      </c>
      <c r="R461" s="480"/>
      <c r="S461" s="484">
        <f t="shared" si="93"/>
        <v>4499.59</v>
      </c>
      <c r="T461" s="40"/>
      <c r="U461" s="40"/>
      <c r="V461" s="48"/>
      <c r="W461" s="40"/>
      <c r="X461" s="40"/>
      <c r="Y461" s="40"/>
      <c r="Z461" s="40"/>
      <c r="AA461" s="40"/>
      <c r="AB461" s="40"/>
      <c r="AC461" s="40"/>
      <c r="AD461" s="40"/>
      <c r="AE461" s="40"/>
      <c r="AF461" s="40"/>
      <c r="AG461" s="40"/>
      <c r="AH461" s="40"/>
      <c r="AI461" s="40"/>
      <c r="AJ461" s="40"/>
      <c r="AK461" s="40"/>
      <c r="AL461" s="40"/>
      <c r="AM461" s="40"/>
      <c r="AN461" s="40"/>
    </row>
    <row r="462" ht="15.75" customHeight="1">
      <c r="A462" s="5" t="str">
        <f t="shared" si="92"/>
        <v>SAAQCsst</v>
      </c>
      <c r="B462" s="48" t="s">
        <v>1025</v>
      </c>
      <c r="C462" s="559" t="s">
        <v>126</v>
      </c>
      <c r="D462" s="546"/>
      <c r="E462" s="48"/>
      <c r="F462" s="481" t="str">
        <f t="array" ref="F462">+SUMPRODUCT(('Budget original'!$A$8:$A$501=$A462)*('Budget original'!$C$3:$AO$3=F$2),'Budget original'!$C$8:$AO$501)</f>
        <v>#N/A</v>
      </c>
      <c r="G462" s="547"/>
      <c r="H462" s="48"/>
      <c r="I462" s="481"/>
      <c r="J462" s="480"/>
      <c r="K462" s="48"/>
      <c r="L462" s="484">
        <f>SUMIFS(BV_Data_An_Cour!$AN:$AN,BV_Data_An_Cour!$AP:$AP,$B462,BV_Data_An_Cour!$AQ:$AQ,$C462,BV_Data_An_Cour!$AR:$AR,$L$2)</f>
        <v>2723.83</v>
      </c>
      <c r="M462" s="480"/>
      <c r="N462" s="484"/>
      <c r="O462" s="480"/>
      <c r="P462" s="48"/>
      <c r="Q462" s="484">
        <f>SUMIFS(BV_Data_An_Prec!$AN:$AN,BV_Data_An_Prec!$AP:$AP,$B462,BV_Data_An_Prec!$AQ:$AQ,$C462,BV_Data_An_Prec!$AR:$AR,$L$2)</f>
        <v>0</v>
      </c>
      <c r="R462" s="480"/>
      <c r="S462" s="484">
        <f t="shared" si="93"/>
        <v>2723.83</v>
      </c>
      <c r="T462" s="40"/>
      <c r="U462" s="40"/>
      <c r="V462" s="48"/>
      <c r="W462" s="40"/>
      <c r="X462" s="40"/>
      <c r="Y462" s="40"/>
      <c r="Z462" s="40"/>
      <c r="AA462" s="40"/>
      <c r="AB462" s="40"/>
      <c r="AC462" s="40"/>
      <c r="AD462" s="40"/>
      <c r="AE462" s="40"/>
      <c r="AF462" s="40"/>
      <c r="AG462" s="40"/>
      <c r="AH462" s="40"/>
      <c r="AI462" s="40"/>
      <c r="AJ462" s="40"/>
      <c r="AK462" s="40"/>
      <c r="AL462" s="40"/>
      <c r="AM462" s="40"/>
      <c r="AN462" s="40"/>
    </row>
    <row r="463" ht="20.25" hidden="1" customHeight="1">
      <c r="A463" s="5" t="str">
        <f t="shared" si="92"/>
        <v>SAAQ[...]</v>
      </c>
      <c r="B463" s="48" t="s">
        <v>1025</v>
      </c>
      <c r="C463" s="480" t="s">
        <v>56</v>
      </c>
      <c r="D463" s="549"/>
      <c r="E463" s="564"/>
      <c r="F463" s="481" t="str">
        <f t="array" ref="F463">+SUMPRODUCT(('Budget original'!$A$8:$A$501=$A463)*('Budget original'!$C$3:$AO$3=F$2),'Budget original'!$C$8:$AO$501)</f>
        <v>#N/A</v>
      </c>
      <c r="G463" s="550"/>
      <c r="H463" s="564"/>
      <c r="I463" s="481"/>
      <c r="J463" s="471"/>
      <c r="K463" s="564"/>
      <c r="L463" s="484">
        <f>SUMIFS(BV_Data_An_Cour!$AN:$AN,BV_Data_An_Cour!$AP:$AP,$B463,BV_Data_An_Cour!$AQ:$AQ,$C463,BV_Data_An_Cour!$AR:$AR,$L$2)</f>
        <v>0</v>
      </c>
      <c r="M463" s="471"/>
      <c r="N463" s="476"/>
      <c r="O463" s="471"/>
      <c r="P463" s="564"/>
      <c r="Q463" s="484">
        <f>SUMIFS(BV_Data_An_Prec!$AN:$AN,BV_Data_An_Prec!$AP:$AP,$B463,BV_Data_An_Prec!$AQ:$AQ,$C463,BV_Data_An_Prec!$AR:$AR,$L$2)</f>
        <v>0</v>
      </c>
      <c r="R463" s="471"/>
      <c r="S463" s="476">
        <f t="shared" si="93"/>
        <v>0</v>
      </c>
      <c r="T463" s="40"/>
      <c r="U463" s="40"/>
      <c r="V463" s="48"/>
      <c r="W463" s="40"/>
      <c r="X463" s="40"/>
      <c r="Y463" s="40"/>
      <c r="Z463" s="40"/>
      <c r="AA463" s="40"/>
      <c r="AB463" s="40"/>
      <c r="AC463" s="40"/>
      <c r="AD463" s="40"/>
      <c r="AE463" s="40"/>
      <c r="AF463" s="40"/>
      <c r="AG463" s="40"/>
      <c r="AH463" s="40"/>
      <c r="AI463" s="40"/>
      <c r="AJ463" s="40"/>
      <c r="AK463" s="40"/>
      <c r="AL463" s="40"/>
      <c r="AM463" s="40"/>
      <c r="AN463" s="40"/>
    </row>
    <row r="464" ht="18.0" customHeight="1">
      <c r="A464" s="5" t="str">
        <f t="shared" si="92"/>
        <v>SAAQTOTAL PERSONNEL</v>
      </c>
      <c r="B464" s="48" t="s">
        <v>1025</v>
      </c>
      <c r="C464" s="552" t="s">
        <v>127</v>
      </c>
      <c r="D464" s="553" t="s">
        <v>225</v>
      </c>
      <c r="E464" s="554">
        <f>IFERROR(F464/F$448,0)</f>
        <v>0</v>
      </c>
      <c r="F464" s="555" t="str">
        <f>+SUM(F452:F463)</f>
        <v>#N/A</v>
      </c>
      <c r="G464" s="556"/>
      <c r="H464" s="554"/>
      <c r="I464" s="555"/>
      <c r="J464" s="556" t="s">
        <v>225</v>
      </c>
      <c r="K464" s="554">
        <f>IFERROR(L464/L$448,0)</f>
        <v>0.1470207352</v>
      </c>
      <c r="L464" s="555">
        <f>+SUM(L452:L463)</f>
        <v>90698.45</v>
      </c>
      <c r="M464" s="557"/>
      <c r="N464" s="555"/>
      <c r="O464" s="556" t="s">
        <v>225</v>
      </c>
      <c r="P464" s="554">
        <f>IFERROR(Q464/Q$448,0)</f>
        <v>0</v>
      </c>
      <c r="Q464" s="555">
        <f>+SUM(Q452:Q463)</f>
        <v>0</v>
      </c>
      <c r="R464" s="558"/>
      <c r="S464" s="555">
        <f t="shared" si="93"/>
        <v>90698.45</v>
      </c>
      <c r="T464" s="48"/>
      <c r="U464" s="48"/>
      <c r="V464" s="48"/>
      <c r="W464" s="48"/>
      <c r="X464" s="48"/>
      <c r="Y464" s="48"/>
      <c r="Z464" s="48"/>
      <c r="AA464" s="48"/>
      <c r="AB464" s="48"/>
      <c r="AC464" s="48"/>
      <c r="AD464" s="48"/>
      <c r="AE464" s="48"/>
      <c r="AF464" s="48"/>
      <c r="AG464" s="48"/>
      <c r="AH464" s="48"/>
      <c r="AI464" s="48"/>
      <c r="AJ464" s="48"/>
      <c r="AK464" s="48"/>
      <c r="AL464" s="48"/>
      <c r="AM464" s="48"/>
      <c r="AN464" s="48"/>
    </row>
    <row r="465" ht="15.75" customHeight="1">
      <c r="A465" s="5" t="str">
        <f t="shared" si="92"/>
        <v>SAAQPublicité 2</v>
      </c>
      <c r="B465" s="48" t="s">
        <v>1025</v>
      </c>
      <c r="C465" s="654" t="s">
        <v>128</v>
      </c>
      <c r="D465" s="546"/>
      <c r="E465" s="48"/>
      <c r="F465" s="481" t="str">
        <f t="array" ref="F465">+SUMPRODUCT(('Budget original'!$A$8:$A$501=$A465)*('Budget original'!$C$3:$AO$3=F$2),'Budget original'!$C$8:$AO$501)</f>
        <v>#N/A</v>
      </c>
      <c r="G465" s="547"/>
      <c r="H465" s="48"/>
      <c r="I465" s="481"/>
      <c r="J465" s="480"/>
      <c r="K465" s="48"/>
      <c r="L465" s="484">
        <f>SUMIFS(BV_Data_An_Cour!$AN:$AN,BV_Data_An_Cour!$AP:$AP,$B465,BV_Data_An_Cour!$AQ:$AQ,$C465,BV_Data_An_Cour!$AR:$AR,$L$2)</f>
        <v>0</v>
      </c>
      <c r="M465" s="480"/>
      <c r="N465" s="484"/>
      <c r="O465" s="480"/>
      <c r="P465" s="48"/>
      <c r="Q465" s="484">
        <f>SUMIFS(BV_Data_An_Prec!$AN:$AN,BV_Data_An_Prec!$AP:$AP,$B465,BV_Data_An_Prec!$AQ:$AQ,$C465,BV_Data_An_Prec!$AR:$AR,$L$2)</f>
        <v>0</v>
      </c>
      <c r="R465" s="480"/>
      <c r="S465" s="484">
        <f t="shared" si="93"/>
        <v>0</v>
      </c>
      <c r="T465" s="40"/>
      <c r="U465" s="40"/>
      <c r="V465" s="48"/>
      <c r="W465" s="40"/>
      <c r="X465" s="40"/>
      <c r="Y465" s="40"/>
      <c r="Z465" s="40"/>
      <c r="AA465" s="40"/>
      <c r="AB465" s="40"/>
      <c r="AC465" s="40"/>
      <c r="AD465" s="40"/>
      <c r="AE465" s="40"/>
      <c r="AF465" s="40"/>
      <c r="AG465" s="40"/>
      <c r="AH465" s="40"/>
      <c r="AI465" s="40"/>
      <c r="AJ465" s="40"/>
      <c r="AK465" s="40"/>
      <c r="AL465" s="40"/>
      <c r="AM465" s="40"/>
      <c r="AN465" s="40"/>
    </row>
    <row r="466" ht="15.75" customHeight="1">
      <c r="A466" s="5" t="str">
        <f t="shared" si="92"/>
        <v>SAAQService gratuit 2</v>
      </c>
      <c r="B466" s="48" t="s">
        <v>1025</v>
      </c>
      <c r="C466" s="559" t="s">
        <v>129</v>
      </c>
      <c r="D466" s="546"/>
      <c r="E466" s="48"/>
      <c r="F466" s="481" t="str">
        <f t="array" ref="F466">+SUMPRODUCT(('Budget original'!$A$8:$A$501=$A466)*('Budget original'!$C$3:$AO$3=F$2),'Budget original'!$C$8:$AO$501)</f>
        <v>#N/A</v>
      </c>
      <c r="G466" s="547"/>
      <c r="H466" s="48"/>
      <c r="I466" s="481"/>
      <c r="J466" s="480"/>
      <c r="K466" s="48"/>
      <c r="L466" s="484">
        <f>SUMIFS(BV_Data_An_Cour!$AN:$AN,BV_Data_An_Cour!$AP:$AP,$B466,BV_Data_An_Cour!$AQ:$AQ,$C466,BV_Data_An_Cour!$AR:$AR,$L$2)</f>
        <v>80.48</v>
      </c>
      <c r="M466" s="480"/>
      <c r="N466" s="484"/>
      <c r="O466" s="480"/>
      <c r="P466" s="48"/>
      <c r="Q466" s="484">
        <f>SUMIFS(BV_Data_An_Prec!$AN:$AN,BV_Data_An_Prec!$AP:$AP,$B466,BV_Data_An_Prec!$AQ:$AQ,$C466,BV_Data_An_Prec!$AR:$AR,$L$2)</f>
        <v>0</v>
      </c>
      <c r="R466" s="480"/>
      <c r="S466" s="484">
        <f t="shared" si="93"/>
        <v>80.48</v>
      </c>
      <c r="T466" s="40"/>
      <c r="U466" s="40"/>
      <c r="V466" s="48"/>
      <c r="W466" s="40"/>
      <c r="X466" s="40"/>
      <c r="Y466" s="40"/>
      <c r="Z466" s="40"/>
      <c r="AA466" s="40"/>
      <c r="AB466" s="40"/>
      <c r="AC466" s="40"/>
      <c r="AD466" s="40"/>
      <c r="AE466" s="40"/>
      <c r="AF466" s="40"/>
      <c r="AG466" s="40"/>
      <c r="AH466" s="40"/>
      <c r="AI466" s="40"/>
      <c r="AJ466" s="40"/>
      <c r="AK466" s="40"/>
      <c r="AL466" s="40"/>
      <c r="AM466" s="40"/>
      <c r="AN466" s="40"/>
    </row>
    <row r="467" ht="15.75" customHeight="1">
      <c r="A467" s="5" t="str">
        <f t="shared" si="92"/>
        <v>SAAQFrais véhicules de cie</v>
      </c>
      <c r="B467" s="48" t="s">
        <v>1025</v>
      </c>
      <c r="C467" s="560" t="s">
        <v>130</v>
      </c>
      <c r="D467" s="549"/>
      <c r="E467" s="564"/>
      <c r="F467" s="473" t="str">
        <f t="array" ref="F467">+SUMPRODUCT(('Budget original'!$A$8:$A$501=$A467)*('Budget original'!$C$3:$AO$3=F$2),'Budget original'!$C$8:$AO$501)</f>
        <v>#N/A</v>
      </c>
      <c r="G467" s="550"/>
      <c r="H467" s="564"/>
      <c r="I467" s="473"/>
      <c r="J467" s="471"/>
      <c r="K467" s="564"/>
      <c r="L467" s="476">
        <f>SUMIFS(BV_Data_An_Cour!$AN:$AN,BV_Data_An_Cour!$AP:$AP,$B467,BV_Data_An_Cour!$AQ:$AQ,$C467,BV_Data_An_Cour!$AR:$AR,$L$2)</f>
        <v>0</v>
      </c>
      <c r="M467" s="471"/>
      <c r="N467" s="476"/>
      <c r="O467" s="471"/>
      <c r="P467" s="564"/>
      <c r="Q467" s="476">
        <f>SUMIFS(BV_Data_An_Prec!$AN:$AN,BV_Data_An_Prec!$AP:$AP,$B467,BV_Data_An_Prec!$AQ:$AQ,$C467,BV_Data_An_Prec!$AR:$AR,$L$2)</f>
        <v>0</v>
      </c>
      <c r="R467" s="471"/>
      <c r="S467" s="476">
        <f t="shared" si="93"/>
        <v>0</v>
      </c>
      <c r="T467" s="40"/>
      <c r="U467" s="40"/>
      <c r="V467" s="48"/>
      <c r="W467" s="40"/>
      <c r="X467" s="40"/>
      <c r="Y467" s="40"/>
      <c r="Z467" s="40"/>
      <c r="AA467" s="40"/>
      <c r="AB467" s="40"/>
      <c r="AC467" s="40"/>
      <c r="AD467" s="40"/>
      <c r="AE467" s="40"/>
      <c r="AF467" s="40"/>
      <c r="AG467" s="40"/>
      <c r="AH467" s="40"/>
      <c r="AI467" s="40"/>
      <c r="AJ467" s="40"/>
      <c r="AK467" s="40"/>
      <c r="AL467" s="40"/>
      <c r="AM467" s="40"/>
      <c r="AN467" s="40"/>
    </row>
    <row r="468" ht="15.75" customHeight="1">
      <c r="A468" s="5" t="str">
        <f t="shared" si="92"/>
        <v>SAAQInformatique</v>
      </c>
      <c r="B468" s="48" t="s">
        <v>1025</v>
      </c>
      <c r="C468" s="559" t="s">
        <v>131</v>
      </c>
      <c r="D468" s="546"/>
      <c r="E468" s="48"/>
      <c r="F468" s="481" t="str">
        <f t="array" ref="F468">+SUMPRODUCT(('Budget original'!$A$8:$A$501=$A468)*('Budget original'!$C$3:$AO$3=F$2),'Budget original'!$C$8:$AO$501)</f>
        <v>#N/A</v>
      </c>
      <c r="G468" s="547"/>
      <c r="H468" s="48"/>
      <c r="I468" s="481"/>
      <c r="J468" s="480"/>
      <c r="K468" s="48"/>
      <c r="L468" s="484">
        <f>SUMIFS(BV_Data_An_Cour!$AN:$AN,BV_Data_An_Cour!$AP:$AP,$B468,BV_Data_An_Cour!$AQ:$AQ,$C468,BV_Data_An_Cour!$AR:$AR,$L$2)</f>
        <v>0</v>
      </c>
      <c r="M468" s="480"/>
      <c r="N468" s="484"/>
      <c r="O468" s="480"/>
      <c r="P468" s="48"/>
      <c r="Q468" s="484">
        <f>SUMIFS(BV_Data_An_Prec!$AN:$AN,BV_Data_An_Prec!$AP:$AP,$B468,BV_Data_An_Prec!$AQ:$AQ,$C468,BV_Data_An_Prec!$AR:$AR,$L$2)</f>
        <v>0</v>
      </c>
      <c r="R468" s="480"/>
      <c r="S468" s="484">
        <f t="shared" si="93"/>
        <v>0</v>
      </c>
      <c r="T468" s="40"/>
      <c r="U468" s="40"/>
      <c r="V468" s="48"/>
      <c r="W468" s="40"/>
      <c r="X468" s="40"/>
      <c r="Y468" s="40"/>
      <c r="Z468" s="40"/>
      <c r="AA468" s="40"/>
      <c r="AB468" s="40"/>
      <c r="AC468" s="40"/>
      <c r="AD468" s="40"/>
      <c r="AE468" s="40"/>
      <c r="AF468" s="40"/>
      <c r="AG468" s="40"/>
      <c r="AH468" s="40"/>
      <c r="AI468" s="40"/>
      <c r="AJ468" s="40"/>
      <c r="AK468" s="40"/>
      <c r="AL468" s="40"/>
      <c r="AM468" s="40"/>
      <c r="AN468" s="40"/>
    </row>
    <row r="469" ht="15.75" customHeight="1">
      <c r="A469" s="5" t="str">
        <f t="shared" si="92"/>
        <v>SAAQFrais de déplacement</v>
      </c>
      <c r="B469" s="48" t="s">
        <v>1025</v>
      </c>
      <c r="C469" s="559" t="s">
        <v>132</v>
      </c>
      <c r="D469" s="546"/>
      <c r="E469" s="48"/>
      <c r="F469" s="481" t="str">
        <f t="array" ref="F469">+SUMPRODUCT(('Budget original'!$A$8:$A$501=$A469)*('Budget original'!$C$3:$AO$3=F$2),'Budget original'!$C$8:$AO$501)</f>
        <v>#N/A</v>
      </c>
      <c r="G469" s="547"/>
      <c r="H469" s="48"/>
      <c r="I469" s="481"/>
      <c r="J469" s="480"/>
      <c r="K469" s="48"/>
      <c r="L469" s="484">
        <f>SUMIFS(BV_Data_An_Cour!$AN:$AN,BV_Data_An_Cour!$AP:$AP,$B469,BV_Data_An_Cour!$AQ:$AQ,$C469,BV_Data_An_Cour!$AR:$AR,$L$2)</f>
        <v>0</v>
      </c>
      <c r="M469" s="480"/>
      <c r="N469" s="484"/>
      <c r="O469" s="480"/>
      <c r="P469" s="48"/>
      <c r="Q469" s="484">
        <f>SUMIFS(BV_Data_An_Prec!$AN:$AN,BV_Data_An_Prec!$AP:$AP,$B469,BV_Data_An_Prec!$AQ:$AQ,$C469,BV_Data_An_Prec!$AR:$AR,$L$2)</f>
        <v>0</v>
      </c>
      <c r="R469" s="480"/>
      <c r="S469" s="484">
        <f t="shared" si="93"/>
        <v>0</v>
      </c>
      <c r="T469" s="40"/>
      <c r="U469" s="40"/>
      <c r="V469" s="48"/>
      <c r="W469" s="40"/>
      <c r="X469" s="40"/>
      <c r="Y469" s="40"/>
      <c r="Z469" s="40"/>
      <c r="AA469" s="40"/>
      <c r="AB469" s="40"/>
      <c r="AC469" s="40"/>
      <c r="AD469" s="40"/>
      <c r="AE469" s="40"/>
      <c r="AF469" s="40"/>
      <c r="AG469" s="40"/>
      <c r="AH469" s="40"/>
      <c r="AI469" s="40"/>
      <c r="AJ469" s="40"/>
      <c r="AK469" s="40"/>
      <c r="AL469" s="40"/>
      <c r="AM469" s="40"/>
      <c r="AN469" s="40"/>
    </row>
    <row r="470" ht="15.75" customHeight="1">
      <c r="A470" s="5" t="str">
        <f t="shared" si="92"/>
        <v>SAAQServices extérieurs</v>
      </c>
      <c r="B470" s="48" t="s">
        <v>1025</v>
      </c>
      <c r="C470" s="559" t="s">
        <v>133</v>
      </c>
      <c r="D470" s="549"/>
      <c r="E470" s="564"/>
      <c r="F470" s="473" t="str">
        <f t="array" ref="F470">+SUMPRODUCT(('Budget original'!$A$8:$A$501=$A470)*('Budget original'!$C$3:$AO$3=F$2),'Budget original'!$C$8:$AO$501)</f>
        <v>#N/A</v>
      </c>
      <c r="G470" s="550"/>
      <c r="H470" s="564"/>
      <c r="I470" s="473"/>
      <c r="J470" s="471"/>
      <c r="K470" s="564"/>
      <c r="L470" s="476">
        <f>SUMIFS(BV_Data_An_Cour!$AN:$AN,BV_Data_An_Cour!$AP:$AP,$B470,BV_Data_An_Cour!$AQ:$AQ,$C470,BV_Data_An_Cour!$AR:$AR,$L$2)</f>
        <v>567.63</v>
      </c>
      <c r="M470" s="471"/>
      <c r="N470" s="476"/>
      <c r="O470" s="471"/>
      <c r="P470" s="564"/>
      <c r="Q470" s="476">
        <f>SUMIFS(BV_Data_An_Prec!$AN:$AN,BV_Data_An_Prec!$AP:$AP,$B470,BV_Data_An_Prec!$AQ:$AQ,$C470,BV_Data_An_Prec!$AR:$AR,$L$2)</f>
        <v>0</v>
      </c>
      <c r="R470" s="471"/>
      <c r="S470" s="476">
        <f t="shared" si="93"/>
        <v>567.63</v>
      </c>
      <c r="T470" s="40"/>
      <c r="U470" s="40"/>
      <c r="V470" s="48"/>
      <c r="W470" s="40"/>
      <c r="X470" s="40"/>
      <c r="Y470" s="40"/>
      <c r="Z470" s="40"/>
      <c r="AA470" s="40"/>
      <c r="AB470" s="40"/>
      <c r="AC470" s="40"/>
      <c r="AD470" s="40"/>
      <c r="AE470" s="40"/>
      <c r="AF470" s="40"/>
      <c r="AG470" s="40"/>
      <c r="AH470" s="40"/>
      <c r="AI470" s="40"/>
      <c r="AJ470" s="40"/>
      <c r="AK470" s="40"/>
      <c r="AL470" s="40"/>
      <c r="AM470" s="40"/>
      <c r="AN470" s="40"/>
    </row>
    <row r="471" ht="20.25" customHeight="1">
      <c r="A471" s="5" t="str">
        <f t="shared" si="92"/>
        <v>SAAQFournitures autres</v>
      </c>
      <c r="B471" s="48" t="s">
        <v>1025</v>
      </c>
      <c r="C471" s="654" t="s">
        <v>134</v>
      </c>
      <c r="D471" s="546"/>
      <c r="E471" s="48"/>
      <c r="F471" s="481" t="str">
        <f t="array" ref="F471">+SUMPRODUCT(('Budget original'!$A$8:$A$501=$A471)*('Budget original'!$C$3:$AO$3=F$2),'Budget original'!$C$8:$AO$501)</f>
        <v>#N/A</v>
      </c>
      <c r="G471" s="547"/>
      <c r="H471" s="48"/>
      <c r="I471" s="481"/>
      <c r="J471" s="480"/>
      <c r="K471" s="48"/>
      <c r="L471" s="484">
        <f>SUMIFS(BV_Data_An_Cour!$AN:$AN,BV_Data_An_Cour!$AP:$AP,$B471,BV_Data_An_Cour!$AQ:$AQ,$C471,BV_Data_An_Cour!$AR:$AR,$L$2)</f>
        <v>0</v>
      </c>
      <c r="M471" s="480"/>
      <c r="N471" s="484"/>
      <c r="O471" s="480"/>
      <c r="P471" s="48"/>
      <c r="Q471" s="484">
        <f>SUMIFS(BV_Data_An_Prec!$AN:$AN,BV_Data_An_Prec!$AP:$AP,$B471,BV_Data_An_Prec!$AQ:$AQ,$C471,BV_Data_An_Prec!$AR:$AR,$L$2)</f>
        <v>0</v>
      </c>
      <c r="R471" s="480"/>
      <c r="S471" s="484">
        <f t="shared" si="93"/>
        <v>0</v>
      </c>
      <c r="T471" s="40"/>
      <c r="U471" s="40"/>
      <c r="V471" s="48"/>
      <c r="W471" s="40"/>
      <c r="X471" s="40"/>
      <c r="Y471" s="40"/>
      <c r="Z471" s="40"/>
      <c r="AA471" s="40"/>
      <c r="AB471" s="40"/>
      <c r="AC471" s="40"/>
      <c r="AD471" s="40"/>
      <c r="AE471" s="40"/>
      <c r="AF471" s="40"/>
      <c r="AG471" s="40"/>
      <c r="AH471" s="40"/>
      <c r="AI471" s="40"/>
      <c r="AJ471" s="40"/>
      <c r="AK471" s="40"/>
      <c r="AL471" s="40"/>
      <c r="AM471" s="40"/>
      <c r="AN471" s="40"/>
    </row>
    <row r="472" ht="20.25" customHeight="1">
      <c r="A472" s="5" t="str">
        <f t="shared" si="92"/>
        <v>SAAQUniformes</v>
      </c>
      <c r="B472" s="48" t="s">
        <v>1025</v>
      </c>
      <c r="C472" s="559" t="s">
        <v>135</v>
      </c>
      <c r="D472" s="546"/>
      <c r="E472" s="48"/>
      <c r="F472" s="481" t="str">
        <f t="array" ref="F472">+SUMPRODUCT(('Budget original'!$A$8:$A$501=$A472)*('Budget original'!$C$3:$AO$3=F$2),'Budget original'!$C$8:$AO$501)</f>
        <v>#N/A</v>
      </c>
      <c r="G472" s="547"/>
      <c r="H472" s="48"/>
      <c r="I472" s="481"/>
      <c r="J472" s="480"/>
      <c r="K472" s="48"/>
      <c r="L472" s="484">
        <f>SUMIFS(BV_Data_An_Cour!$AN:$AN,BV_Data_An_Cour!$AP:$AP,$B472,BV_Data_An_Cour!$AQ:$AQ,$C472,BV_Data_An_Cour!$AR:$AR,$L$2)</f>
        <v>980.04</v>
      </c>
      <c r="M472" s="480"/>
      <c r="N472" s="484"/>
      <c r="O472" s="480"/>
      <c r="P472" s="48"/>
      <c r="Q472" s="484">
        <f>SUMIFS(BV_Data_An_Prec!$AN:$AN,BV_Data_An_Prec!$AP:$AP,$B472,BV_Data_An_Prec!$AQ:$AQ,$C472,BV_Data_An_Prec!$AR:$AR,$L$2)</f>
        <v>0</v>
      </c>
      <c r="R472" s="480"/>
      <c r="S472" s="484">
        <f t="shared" si="93"/>
        <v>980.04</v>
      </c>
      <c r="T472" s="40"/>
      <c r="U472" s="40"/>
      <c r="V472" s="48"/>
      <c r="W472" s="40"/>
      <c r="X472" s="40"/>
      <c r="Y472" s="40"/>
      <c r="Z472" s="40"/>
      <c r="AA472" s="40"/>
      <c r="AB472" s="40"/>
      <c r="AC472" s="40"/>
      <c r="AD472" s="40"/>
      <c r="AE472" s="40"/>
      <c r="AF472" s="40"/>
      <c r="AG472" s="40"/>
      <c r="AH472" s="40"/>
      <c r="AI472" s="40"/>
      <c r="AJ472" s="40"/>
      <c r="AK472" s="40"/>
      <c r="AL472" s="40"/>
      <c r="AM472" s="40"/>
      <c r="AN472" s="40"/>
    </row>
    <row r="473" ht="20.25" customHeight="1">
      <c r="A473" s="5" t="str">
        <f t="shared" si="92"/>
        <v>SAAQPapeterie</v>
      </c>
      <c r="B473" s="48" t="s">
        <v>1025</v>
      </c>
      <c r="C473" s="559" t="s">
        <v>136</v>
      </c>
      <c r="D473" s="546"/>
      <c r="E473" s="48"/>
      <c r="F473" s="481" t="str">
        <f t="array" ref="F473">+SUMPRODUCT(('Budget original'!$A$8:$A$501=$A473)*('Budget original'!$C$3:$AO$3=F$2),'Budget original'!$C$8:$AO$501)</f>
        <v>#N/A</v>
      </c>
      <c r="G473" s="547"/>
      <c r="H473" s="48"/>
      <c r="I473" s="481"/>
      <c r="J473" s="480"/>
      <c r="K473" s="48"/>
      <c r="L473" s="484">
        <f>SUMIFS(BV_Data_An_Cour!$AN:$AN,BV_Data_An_Cour!$AP:$AP,$B473,BV_Data_An_Cour!$AQ:$AQ,$C473,BV_Data_An_Cour!$AR:$AR,$L$2)</f>
        <v>0</v>
      </c>
      <c r="M473" s="480"/>
      <c r="N473" s="484"/>
      <c r="O473" s="480"/>
      <c r="P473" s="48"/>
      <c r="Q473" s="484">
        <f>SUMIFS(BV_Data_An_Prec!$AN:$AN,BV_Data_An_Prec!$AP:$AP,$B473,BV_Data_An_Prec!$AQ:$AQ,$C473,BV_Data_An_Prec!$AR:$AR,$L$2)</f>
        <v>0</v>
      </c>
      <c r="R473" s="480"/>
      <c r="S473" s="484">
        <f t="shared" si="93"/>
        <v>0</v>
      </c>
      <c r="T473" s="40"/>
      <c r="U473" s="40"/>
      <c r="V473" s="48"/>
      <c r="W473" s="40"/>
      <c r="X473" s="40"/>
      <c r="Y473" s="40"/>
      <c r="Z473" s="40"/>
      <c r="AA473" s="40"/>
      <c r="AB473" s="40"/>
      <c r="AC473" s="40"/>
      <c r="AD473" s="40"/>
      <c r="AE473" s="40"/>
      <c r="AF473" s="40"/>
      <c r="AG473" s="40"/>
      <c r="AH473" s="40"/>
      <c r="AI473" s="40"/>
      <c r="AJ473" s="40"/>
      <c r="AK473" s="40"/>
      <c r="AL473" s="40"/>
      <c r="AM473" s="40"/>
      <c r="AN473" s="40"/>
    </row>
    <row r="474" ht="20.25" customHeight="1">
      <c r="A474" s="5" t="str">
        <f t="shared" si="92"/>
        <v>SAAQTéléphone</v>
      </c>
      <c r="B474" s="48" t="s">
        <v>1025</v>
      </c>
      <c r="C474" s="559" t="s">
        <v>137</v>
      </c>
      <c r="D474" s="546"/>
      <c r="E474" s="48"/>
      <c r="F474" s="481" t="str">
        <f t="array" ref="F474">+SUMPRODUCT(('Budget original'!$A$8:$A$501=$A474)*('Budget original'!$C$3:$AO$3=F$2),'Budget original'!$C$8:$AO$501)</f>
        <v>#N/A</v>
      </c>
      <c r="G474" s="547"/>
      <c r="H474" s="48"/>
      <c r="I474" s="481"/>
      <c r="J474" s="480"/>
      <c r="K474" s="48"/>
      <c r="L474" s="484">
        <f>SUMIFS(BV_Data_An_Cour!$AN:$AN,BV_Data_An_Cour!$AP:$AP,$B474,BV_Data_An_Cour!$AQ:$AQ,$C474,BV_Data_An_Cour!$AR:$AR,$L$2)</f>
        <v>0</v>
      </c>
      <c r="M474" s="480"/>
      <c r="N474" s="484"/>
      <c r="O474" s="480"/>
      <c r="P474" s="48"/>
      <c r="Q474" s="484">
        <f>SUMIFS(BV_Data_An_Prec!$AN:$AN,BV_Data_An_Prec!$AP:$AP,$B474,BV_Data_An_Prec!$AQ:$AQ,$C474,BV_Data_An_Prec!$AR:$AR,$L$2)</f>
        <v>0</v>
      </c>
      <c r="R474" s="480"/>
      <c r="S474" s="484">
        <f t="shared" si="93"/>
        <v>0</v>
      </c>
      <c r="T474" s="40"/>
      <c r="U474" s="40"/>
      <c r="V474" s="48"/>
      <c r="W474" s="40"/>
      <c r="X474" s="40"/>
      <c r="Y474" s="40"/>
      <c r="Z474" s="40"/>
      <c r="AA474" s="40"/>
      <c r="AB474" s="40"/>
      <c r="AC474" s="40"/>
      <c r="AD474" s="40"/>
      <c r="AE474" s="40"/>
      <c r="AF474" s="40"/>
      <c r="AG474" s="40"/>
      <c r="AH474" s="40"/>
      <c r="AI474" s="40"/>
      <c r="AJ474" s="40"/>
      <c r="AK474" s="40"/>
      <c r="AL474" s="40"/>
      <c r="AM474" s="40"/>
      <c r="AN474" s="40"/>
    </row>
    <row r="475" ht="20.25" customHeight="1">
      <c r="A475" s="5" t="str">
        <f t="shared" si="92"/>
        <v>SAAQFrais postaux</v>
      </c>
      <c r="B475" s="48" t="s">
        <v>1025</v>
      </c>
      <c r="C475" s="559" t="s">
        <v>138</v>
      </c>
      <c r="D475" s="546"/>
      <c r="E475" s="48"/>
      <c r="F475" s="481" t="str">
        <f t="array" ref="F475">+SUMPRODUCT(('Budget original'!$A$8:$A$501=$A475)*('Budget original'!$C$3:$AO$3=F$2),'Budget original'!$C$8:$AO$501)</f>
        <v>#N/A</v>
      </c>
      <c r="G475" s="547"/>
      <c r="H475" s="48"/>
      <c r="I475" s="481"/>
      <c r="J475" s="480"/>
      <c r="K475" s="48"/>
      <c r="L475" s="484">
        <f>SUMIFS(BV_Data_An_Cour!$AN:$AN,BV_Data_An_Cour!$AP:$AP,$B475,BV_Data_An_Cour!$AQ:$AQ,$C475,BV_Data_An_Cour!$AR:$AR,$L$2)</f>
        <v>0</v>
      </c>
      <c r="M475" s="480"/>
      <c r="N475" s="484"/>
      <c r="O475" s="480"/>
      <c r="P475" s="48"/>
      <c r="Q475" s="484">
        <f>SUMIFS(BV_Data_An_Prec!$AN:$AN,BV_Data_An_Prec!$AP:$AP,$B475,BV_Data_An_Prec!$AQ:$AQ,$C475,BV_Data_An_Prec!$AR:$AR,$L$2)</f>
        <v>0</v>
      </c>
      <c r="R475" s="480"/>
      <c r="S475" s="484">
        <f t="shared" si="93"/>
        <v>0</v>
      </c>
      <c r="T475" s="40"/>
      <c r="U475" s="40"/>
      <c r="V475" s="48"/>
      <c r="W475" s="40"/>
      <c r="X475" s="40"/>
      <c r="Y475" s="40"/>
      <c r="Z475" s="40"/>
      <c r="AA475" s="40"/>
      <c r="AB475" s="40"/>
      <c r="AC475" s="40"/>
      <c r="AD475" s="40"/>
      <c r="AE475" s="40"/>
      <c r="AF475" s="40"/>
      <c r="AG475" s="40"/>
      <c r="AH475" s="40"/>
      <c r="AI475" s="40"/>
      <c r="AJ475" s="40"/>
      <c r="AK475" s="40"/>
      <c r="AL475" s="40"/>
      <c r="AM475" s="40"/>
      <c r="AN475" s="40"/>
    </row>
    <row r="476" ht="20.25" customHeight="1">
      <c r="A476" s="5" t="str">
        <f t="shared" si="92"/>
        <v>SAAQDivers</v>
      </c>
      <c r="B476" s="48" t="s">
        <v>1025</v>
      </c>
      <c r="C476" s="559" t="s">
        <v>139</v>
      </c>
      <c r="D476" s="546"/>
      <c r="E476" s="48"/>
      <c r="F476" s="481" t="str">
        <f t="array" ref="F476">+SUMPRODUCT(('Budget original'!$A$8:$A$501=$A476)*('Budget original'!$C$3:$AO$3=F$2),'Budget original'!$C$8:$AO$501)</f>
        <v>#N/A</v>
      </c>
      <c r="G476" s="547"/>
      <c r="H476" s="48"/>
      <c r="I476" s="481"/>
      <c r="J476" s="480"/>
      <c r="K476" s="48"/>
      <c r="L476" s="484">
        <f>SUMIFS(BV_Data_An_Cour!$AN:$AN,BV_Data_An_Cour!$AP:$AP,$B476,BV_Data_An_Cour!$AQ:$AQ,$C476,BV_Data_An_Cour!$AR:$AR,$L$2)</f>
        <v>75</v>
      </c>
      <c r="M476" s="480"/>
      <c r="N476" s="484"/>
      <c r="O476" s="480"/>
      <c r="P476" s="48"/>
      <c r="Q476" s="484">
        <f>SUMIFS(BV_Data_An_Prec!$AN:$AN,BV_Data_An_Prec!$AP:$AP,$B476,BV_Data_An_Prec!$AQ:$AQ,$C476,BV_Data_An_Prec!$AR:$AR,$L$2)</f>
        <v>0</v>
      </c>
      <c r="R476" s="480"/>
      <c r="S476" s="484">
        <f t="shared" si="93"/>
        <v>75</v>
      </c>
      <c r="T476" s="40"/>
      <c r="U476" s="40"/>
      <c r="V476" s="48"/>
      <c r="W476" s="40"/>
      <c r="X476" s="40"/>
      <c r="Y476" s="40"/>
      <c r="Z476" s="40"/>
      <c r="AA476" s="40"/>
      <c r="AB476" s="40"/>
      <c r="AC476" s="40"/>
      <c r="AD476" s="40"/>
      <c r="AE476" s="40"/>
      <c r="AF476" s="40"/>
      <c r="AG476" s="40"/>
      <c r="AH476" s="40"/>
      <c r="AI476" s="40"/>
      <c r="AJ476" s="40"/>
      <c r="AK476" s="40"/>
      <c r="AL476" s="40"/>
      <c r="AM476" s="40"/>
      <c r="AN476" s="40"/>
    </row>
    <row r="477" ht="20.25" customHeight="1">
      <c r="A477" s="5" t="str">
        <f t="shared" si="92"/>
        <v>SAAQFormation</v>
      </c>
      <c r="B477" s="48" t="s">
        <v>1025</v>
      </c>
      <c r="C477" s="559" t="s">
        <v>140</v>
      </c>
      <c r="D477" s="546"/>
      <c r="E477" s="48"/>
      <c r="F477" s="481" t="str">
        <f t="array" ref="F477">+SUMPRODUCT(('Budget original'!$A$8:$A$501=$A477)*('Budget original'!$C$3:$AO$3=F$2),'Budget original'!$C$8:$AO$501)</f>
        <v>#N/A</v>
      </c>
      <c r="G477" s="547"/>
      <c r="H477" s="48"/>
      <c r="I477" s="481"/>
      <c r="J477" s="480"/>
      <c r="K477" s="48"/>
      <c r="L477" s="484">
        <f>SUMIFS(BV_Data_An_Cour!$AN:$AN,BV_Data_An_Cour!$AP:$AP,$B477,BV_Data_An_Cour!$AQ:$AQ,$C477,BV_Data_An_Cour!$AR:$AR,$L$2)</f>
        <v>3833.52</v>
      </c>
      <c r="M477" s="480"/>
      <c r="N477" s="484"/>
      <c r="O477" s="480"/>
      <c r="P477" s="48"/>
      <c r="Q477" s="484">
        <f>SUMIFS(BV_Data_An_Prec!$AN:$AN,BV_Data_An_Prec!$AP:$AP,$B477,BV_Data_An_Prec!$AQ:$AQ,$C477,BV_Data_An_Prec!$AR:$AR,$L$2)</f>
        <v>0</v>
      </c>
      <c r="R477" s="480"/>
      <c r="S477" s="484">
        <f t="shared" si="93"/>
        <v>3833.52</v>
      </c>
      <c r="T477" s="40"/>
      <c r="U477" s="40"/>
      <c r="V477" s="48"/>
      <c r="W477" s="40"/>
      <c r="X477" s="40"/>
      <c r="Y477" s="40"/>
      <c r="Z477" s="40"/>
      <c r="AA477" s="40"/>
      <c r="AB477" s="40"/>
      <c r="AC477" s="40"/>
      <c r="AD477" s="40"/>
      <c r="AE477" s="40"/>
      <c r="AF477" s="40"/>
      <c r="AG477" s="40"/>
      <c r="AH477" s="40"/>
      <c r="AI477" s="40"/>
      <c r="AJ477" s="40"/>
      <c r="AK477" s="40"/>
      <c r="AL477" s="40"/>
      <c r="AM477" s="40"/>
      <c r="AN477" s="40"/>
    </row>
    <row r="478" ht="19.5" customHeight="1">
      <c r="A478" s="5" t="str">
        <f t="shared" si="92"/>
        <v>SAAQFrais bancaires</v>
      </c>
      <c r="B478" s="48" t="s">
        <v>1025</v>
      </c>
      <c r="C478" s="559" t="s">
        <v>141</v>
      </c>
      <c r="D478" s="546"/>
      <c r="E478" s="48"/>
      <c r="F478" s="481" t="str">
        <f t="array" ref="F478">+SUMPRODUCT(('Budget original'!$A$8:$A$501=$A478)*('Budget original'!$C$3:$AO$3=F$2),'Budget original'!$C$8:$AO$501)</f>
        <v>#N/A</v>
      </c>
      <c r="G478" s="547"/>
      <c r="H478" s="48"/>
      <c r="I478" s="481"/>
      <c r="J478" s="480"/>
      <c r="K478" s="48"/>
      <c r="L478" s="484">
        <f>SUMIFS(BV_Data_An_Cour!$AN:$AN,BV_Data_An_Cour!$AP:$AP,$B478,BV_Data_An_Cour!$AQ:$AQ,$C478,BV_Data_An_Cour!$AR:$AR,$L$2)</f>
        <v>0</v>
      </c>
      <c r="M478" s="480"/>
      <c r="N478" s="484"/>
      <c r="O478" s="480"/>
      <c r="P478" s="48"/>
      <c r="Q478" s="484">
        <f>SUMIFS(BV_Data_An_Prec!$AN:$AN,BV_Data_An_Prec!$AP:$AP,$B478,BV_Data_An_Prec!$AQ:$AQ,$C478,BV_Data_An_Prec!$AR:$AR,$L$2)</f>
        <v>0</v>
      </c>
      <c r="R478" s="480"/>
      <c r="S478" s="484">
        <f t="shared" si="93"/>
        <v>0</v>
      </c>
      <c r="T478" s="40"/>
      <c r="U478" s="40"/>
      <c r="V478" s="48"/>
      <c r="W478" s="40"/>
      <c r="X478" s="40"/>
      <c r="Y478" s="40"/>
      <c r="Z478" s="40"/>
      <c r="AA478" s="40"/>
      <c r="AB478" s="40"/>
      <c r="AC478" s="40"/>
      <c r="AD478" s="40"/>
      <c r="AE478" s="40"/>
      <c r="AF478" s="40"/>
      <c r="AG478" s="40"/>
      <c r="AH478" s="40"/>
      <c r="AI478" s="40"/>
      <c r="AJ478" s="40"/>
      <c r="AK478" s="40"/>
      <c r="AL478" s="40"/>
      <c r="AM478" s="40"/>
      <c r="AN478" s="40"/>
    </row>
    <row r="479" ht="20.25" hidden="1" customHeight="1">
      <c r="A479" s="5" t="str">
        <f t="shared" si="92"/>
        <v>SAAQ[...]</v>
      </c>
      <c r="B479" s="48" t="s">
        <v>1025</v>
      </c>
      <c r="C479" s="559" t="s">
        <v>56</v>
      </c>
      <c r="D479" s="546"/>
      <c r="E479" s="48"/>
      <c r="F479" s="481" t="str">
        <f t="array" ref="F479">+SUMPRODUCT(('Budget original'!$A$8:$A$501=$A479)*('Budget original'!$C$3:$AO$3=F$2),'Budget original'!$C$8:$AO$501)</f>
        <v>#N/A</v>
      </c>
      <c r="G479" s="547"/>
      <c r="H479" s="48"/>
      <c r="I479" s="481"/>
      <c r="J479" s="480"/>
      <c r="K479" s="48"/>
      <c r="L479" s="484">
        <f>SUMIFS(BV_Data_An_Cour!$AN:$AN,BV_Data_An_Cour!$AP:$AP,$B479,BV_Data_An_Cour!$AQ:$AQ,$C479,BV_Data_An_Cour!$AR:$AR,$L$2)</f>
        <v>0</v>
      </c>
      <c r="M479" s="480"/>
      <c r="N479" s="484"/>
      <c r="O479" s="480"/>
      <c r="P479" s="48"/>
      <c r="Q479" s="484">
        <f>SUMIFS(BV_Data_An_Prec!$AN:$AN,BV_Data_An_Prec!$AP:$AP,$B479,BV_Data_An_Prec!$AQ:$AQ,$C479,BV_Data_An_Prec!$AR:$AR,$L$2)</f>
        <v>0</v>
      </c>
      <c r="R479" s="480"/>
      <c r="S479" s="484">
        <f t="shared" si="93"/>
        <v>0</v>
      </c>
      <c r="T479" s="40"/>
      <c r="U479" s="40"/>
      <c r="V479" s="48"/>
      <c r="W479" s="40"/>
      <c r="X479" s="40"/>
      <c r="Y479" s="40"/>
      <c r="Z479" s="40"/>
      <c r="AA479" s="40"/>
      <c r="AB479" s="40"/>
      <c r="AC479" s="40"/>
      <c r="AD479" s="40"/>
      <c r="AE479" s="40"/>
      <c r="AF479" s="40"/>
      <c r="AG479" s="40"/>
      <c r="AH479" s="40"/>
      <c r="AI479" s="40"/>
      <c r="AJ479" s="40"/>
      <c r="AK479" s="40"/>
      <c r="AL479" s="40"/>
      <c r="AM479" s="40"/>
      <c r="AN479" s="40"/>
    </row>
    <row r="480" ht="20.25" hidden="1" customHeight="1">
      <c r="A480" s="5" t="str">
        <f t="shared" si="92"/>
        <v>SAAQ[...]</v>
      </c>
      <c r="B480" s="48" t="s">
        <v>1025</v>
      </c>
      <c r="C480" s="559" t="s">
        <v>56</v>
      </c>
      <c r="D480" s="546"/>
      <c r="E480" s="48"/>
      <c r="F480" s="481" t="str">
        <f t="array" ref="F480">+SUMPRODUCT(('Budget original'!$A$8:$A$501=$A480)*('Budget original'!$C$3:$AO$3=F$2),'Budget original'!$C$8:$AO$501)</f>
        <v>#N/A</v>
      </c>
      <c r="G480" s="547"/>
      <c r="H480" s="48"/>
      <c r="I480" s="481"/>
      <c r="J480" s="480"/>
      <c r="K480" s="48"/>
      <c r="L480" s="484">
        <f>SUMIFS(BV_Data_An_Cour!$AN:$AN,BV_Data_An_Cour!$AP:$AP,$B480,BV_Data_An_Cour!$AQ:$AQ,$C480,BV_Data_An_Cour!$AR:$AR,$L$2)</f>
        <v>0</v>
      </c>
      <c r="M480" s="480"/>
      <c r="N480" s="484"/>
      <c r="O480" s="480"/>
      <c r="P480" s="48"/>
      <c r="Q480" s="484">
        <f>SUMIFS(BV_Data_An_Prec!$AN:$AN,BV_Data_An_Prec!$AP:$AP,$B480,BV_Data_An_Prec!$AQ:$AQ,$C480,BV_Data_An_Prec!$AR:$AR,$L$2)</f>
        <v>0</v>
      </c>
      <c r="R480" s="480"/>
      <c r="S480" s="484">
        <f t="shared" si="93"/>
        <v>0</v>
      </c>
      <c r="T480" s="40"/>
      <c r="U480" s="40"/>
      <c r="V480" s="48"/>
      <c r="W480" s="40"/>
      <c r="X480" s="40"/>
      <c r="Y480" s="40"/>
      <c r="Z480" s="40"/>
      <c r="AA480" s="40"/>
      <c r="AB480" s="40"/>
      <c r="AC480" s="40"/>
      <c r="AD480" s="40"/>
      <c r="AE480" s="40"/>
      <c r="AF480" s="40"/>
      <c r="AG480" s="40"/>
      <c r="AH480" s="40"/>
      <c r="AI480" s="40"/>
      <c r="AJ480" s="40"/>
      <c r="AK480" s="40"/>
      <c r="AL480" s="40"/>
      <c r="AM480" s="40"/>
      <c r="AN480" s="40"/>
    </row>
    <row r="481" ht="20.25" hidden="1" customHeight="1">
      <c r="A481" s="5" t="str">
        <f t="shared" si="92"/>
        <v>SAAQ[...]</v>
      </c>
      <c r="B481" s="48" t="s">
        <v>1025</v>
      </c>
      <c r="C481" s="559" t="s">
        <v>56</v>
      </c>
      <c r="D481" s="549"/>
      <c r="E481" s="564"/>
      <c r="F481" s="481" t="str">
        <f t="array" ref="F481">+SUMPRODUCT(('Budget original'!$A$8:$A$501=$A481)*('Budget original'!$C$3:$AO$3=F$2),'Budget original'!$C$8:$AO$501)</f>
        <v>#N/A</v>
      </c>
      <c r="G481" s="550"/>
      <c r="H481" s="564"/>
      <c r="I481" s="481"/>
      <c r="J481" s="471"/>
      <c r="K481" s="564"/>
      <c r="L481" s="484">
        <f>SUMIFS(BV_Data_An_Cour!$AN:$AN,BV_Data_An_Cour!$AP:$AP,$B481,BV_Data_An_Cour!$AQ:$AQ,$C481,BV_Data_An_Cour!$AR:$AR,$L$2)</f>
        <v>0</v>
      </c>
      <c r="M481" s="471"/>
      <c r="N481" s="476"/>
      <c r="O481" s="471"/>
      <c r="P481" s="564"/>
      <c r="Q481" s="484">
        <f>SUMIFS(BV_Data_An_Prec!$AN:$AN,BV_Data_An_Prec!$AP:$AP,$B481,BV_Data_An_Prec!$AQ:$AQ,$C481,BV_Data_An_Prec!$AR:$AR,$L$2)</f>
        <v>0</v>
      </c>
      <c r="R481" s="471"/>
      <c r="S481" s="476">
        <f t="shared" si="93"/>
        <v>0</v>
      </c>
      <c r="T481" s="40"/>
      <c r="U481" s="40"/>
      <c r="V481" s="48"/>
      <c r="W481" s="40"/>
      <c r="X481" s="40"/>
      <c r="Y481" s="40"/>
      <c r="Z481" s="40"/>
      <c r="AA481" s="40"/>
      <c r="AB481" s="40"/>
      <c r="AC481" s="40"/>
      <c r="AD481" s="40"/>
      <c r="AE481" s="40"/>
      <c r="AF481" s="40"/>
      <c r="AG481" s="40"/>
      <c r="AH481" s="40"/>
      <c r="AI481" s="40"/>
      <c r="AJ481" s="40"/>
      <c r="AK481" s="40"/>
      <c r="AL481" s="40"/>
      <c r="AM481" s="40"/>
      <c r="AN481" s="40"/>
    </row>
    <row r="482" ht="18.0" customHeight="1">
      <c r="A482" s="5"/>
      <c r="B482" s="48"/>
      <c r="C482" s="552" t="s">
        <v>142</v>
      </c>
      <c r="D482" s="553" t="s">
        <v>225</v>
      </c>
      <c r="E482" s="554">
        <f>IFERROR(F482/F$448,0)</f>
        <v>0</v>
      </c>
      <c r="F482" s="555" t="str">
        <f>+SUM(F465:F481)</f>
        <v>#N/A</v>
      </c>
      <c r="G482" s="556"/>
      <c r="H482" s="554"/>
      <c r="I482" s="555"/>
      <c r="J482" s="556" t="s">
        <v>225</v>
      </c>
      <c r="K482" s="554">
        <f>IFERROR(L482/L$448,0)</f>
        <v>0.008974853416</v>
      </c>
      <c r="L482" s="555">
        <f>+SUM(L465:L481)</f>
        <v>5536.67</v>
      </c>
      <c r="M482" s="557"/>
      <c r="N482" s="555"/>
      <c r="O482" s="556" t="s">
        <v>225</v>
      </c>
      <c r="P482" s="554">
        <f>IFERROR(Q482/Q$448,0)</f>
        <v>0</v>
      </c>
      <c r="Q482" s="555">
        <f>+SUM(Q465:Q481)</f>
        <v>0</v>
      </c>
      <c r="R482" s="558"/>
      <c r="S482" s="555">
        <f>+SUM(S465:S481)</f>
        <v>5536.67</v>
      </c>
      <c r="T482" s="48"/>
      <c r="U482" s="48"/>
      <c r="V482" s="48"/>
      <c r="W482" s="48"/>
      <c r="X482" s="48"/>
      <c r="Y482" s="48"/>
      <c r="Z482" s="48"/>
      <c r="AA482" s="48"/>
      <c r="AB482" s="48"/>
      <c r="AC482" s="48"/>
      <c r="AD482" s="48"/>
      <c r="AE482" s="48"/>
      <c r="AF482" s="48"/>
      <c r="AG482" s="48"/>
      <c r="AH482" s="48"/>
      <c r="AI482" s="48"/>
      <c r="AJ482" s="48"/>
      <c r="AK482" s="48"/>
      <c r="AL482" s="48"/>
      <c r="AM482" s="48"/>
      <c r="AN482" s="48"/>
    </row>
    <row r="483" ht="15.75" customHeight="1">
      <c r="B483" s="3"/>
      <c r="C483" s="480"/>
      <c r="D483" s="48"/>
      <c r="E483" s="48"/>
      <c r="F483" s="514"/>
      <c r="G483" s="480"/>
      <c r="H483" s="48"/>
      <c r="I483" s="514"/>
      <c r="J483" s="480"/>
      <c r="K483" s="48"/>
      <c r="L483" s="484"/>
      <c r="M483" s="500"/>
      <c r="N483" s="502"/>
      <c r="O483" s="480"/>
      <c r="P483" s="48"/>
      <c r="Q483" s="484"/>
      <c r="R483" s="480"/>
      <c r="S483" s="504"/>
      <c r="T483" s="40"/>
      <c r="U483" s="40"/>
      <c r="V483" s="48"/>
      <c r="W483" s="40"/>
      <c r="X483" s="40"/>
      <c r="Y483" s="40"/>
      <c r="Z483" s="40"/>
      <c r="AA483" s="40"/>
      <c r="AB483" s="40"/>
      <c r="AC483" s="40"/>
      <c r="AD483" s="40"/>
      <c r="AE483" s="40"/>
      <c r="AF483" s="40"/>
      <c r="AG483" s="40"/>
      <c r="AH483" s="40"/>
      <c r="AI483" s="40"/>
      <c r="AJ483" s="40"/>
      <c r="AK483" s="40"/>
      <c r="AL483" s="40"/>
      <c r="AM483" s="40"/>
      <c r="AN483" s="40"/>
    </row>
    <row r="484" ht="18.0" customHeight="1">
      <c r="A484" s="5"/>
      <c r="B484" s="48"/>
      <c r="C484" s="552" t="s">
        <v>143</v>
      </c>
      <c r="D484" s="553" t="s">
        <v>225</v>
      </c>
      <c r="E484" s="554">
        <f>IFERROR(F484/F$448,0)</f>
        <v>0</v>
      </c>
      <c r="F484" s="555" t="str">
        <f>F464+F482</f>
        <v>#N/A</v>
      </c>
      <c r="G484" s="556"/>
      <c r="H484" s="554"/>
      <c r="I484" s="555"/>
      <c r="J484" s="556" t="s">
        <v>225</v>
      </c>
      <c r="K484" s="554">
        <f>IFERROR(L484/L$448,0)</f>
        <v>0.1559955886</v>
      </c>
      <c r="L484" s="555">
        <f>L464+L482</f>
        <v>96235.12</v>
      </c>
      <c r="M484" s="557"/>
      <c r="N484" s="555"/>
      <c r="O484" s="556" t="s">
        <v>225</v>
      </c>
      <c r="P484" s="554">
        <f>IFERROR(Q484/Q$448,0)</f>
        <v>0</v>
      </c>
      <c r="Q484" s="555">
        <f>Q464+Q482</f>
        <v>0</v>
      </c>
      <c r="R484" s="558"/>
      <c r="S484" s="555">
        <f>L484-Q484</f>
        <v>96235.12</v>
      </c>
      <c r="T484" s="48"/>
      <c r="U484" s="48"/>
      <c r="V484" s="48"/>
      <c r="W484" s="48"/>
      <c r="X484" s="48"/>
      <c r="Y484" s="48"/>
      <c r="Z484" s="48"/>
      <c r="AA484" s="48"/>
      <c r="AB484" s="48"/>
      <c r="AC484" s="48"/>
      <c r="AD484" s="48"/>
      <c r="AE484" s="48"/>
      <c r="AF484" s="48"/>
      <c r="AG484" s="48"/>
      <c r="AH484" s="48"/>
      <c r="AI484" s="48"/>
      <c r="AJ484" s="48"/>
      <c r="AK484" s="48"/>
      <c r="AL484" s="48"/>
      <c r="AM484" s="48"/>
      <c r="AN484" s="48"/>
    </row>
    <row r="485" ht="15.75" customHeight="1">
      <c r="B485" s="3"/>
      <c r="C485" s="480"/>
      <c r="D485" s="48"/>
      <c r="E485" s="48"/>
      <c r="F485" s="484"/>
      <c r="G485" s="480"/>
      <c r="H485" s="48"/>
      <c r="I485" s="484"/>
      <c r="J485" s="480"/>
      <c r="K485" s="48"/>
      <c r="L485" s="484"/>
      <c r="M485" s="500"/>
      <c r="N485" s="502"/>
      <c r="O485" s="480"/>
      <c r="P485" s="48"/>
      <c r="Q485" s="484"/>
      <c r="R485" s="480"/>
      <c r="S485" s="504"/>
      <c r="T485" s="40"/>
      <c r="U485" s="40"/>
      <c r="V485" s="48"/>
      <c r="W485" s="40"/>
      <c r="X485" s="40"/>
      <c r="Y485" s="40"/>
      <c r="Z485" s="40"/>
      <c r="AA485" s="40"/>
      <c r="AB485" s="40"/>
      <c r="AC485" s="40"/>
      <c r="AD485" s="40"/>
      <c r="AE485" s="40"/>
      <c r="AF485" s="40"/>
      <c r="AG485" s="40"/>
      <c r="AH485" s="40"/>
      <c r="AI485" s="40"/>
      <c r="AJ485" s="40"/>
      <c r="AK485" s="40"/>
      <c r="AL485" s="40"/>
      <c r="AM485" s="40"/>
      <c r="AN485" s="40"/>
    </row>
    <row r="486" ht="18.0" customHeight="1">
      <c r="A486" s="5"/>
      <c r="B486" s="48"/>
      <c r="C486" s="579" t="s">
        <v>150</v>
      </c>
      <c r="D486" s="580"/>
      <c r="E486" s="581"/>
      <c r="F486" s="582" t="str">
        <f>#REF!-F484</f>
        <v>#REF!</v>
      </c>
      <c r="G486" s="583"/>
      <c r="H486" s="581"/>
      <c r="I486" s="582"/>
      <c r="J486" s="583"/>
      <c r="K486" s="581"/>
      <c r="L486" s="582">
        <f>L448-L484</f>
        <v>520674.12</v>
      </c>
      <c r="M486" s="584"/>
      <c r="N486" s="582"/>
      <c r="O486" s="583"/>
      <c r="P486" s="581"/>
      <c r="Q486" s="582">
        <f>Q448-Q484</f>
        <v>565981.3</v>
      </c>
      <c r="R486" s="585"/>
      <c r="S486" s="582">
        <f>L486-Q486</f>
        <v>-45307.18</v>
      </c>
      <c r="T486" s="48"/>
      <c r="U486" s="48"/>
      <c r="V486" s="48"/>
      <c r="W486" s="48"/>
      <c r="X486" s="48"/>
      <c r="Y486" s="48"/>
      <c r="Z486" s="48"/>
      <c r="AA486" s="48"/>
      <c r="AB486" s="48"/>
      <c r="AC486" s="48"/>
      <c r="AD486" s="48"/>
      <c r="AE486" s="48"/>
      <c r="AF486" s="483"/>
      <c r="AG486" s="48"/>
      <c r="AH486" s="48"/>
      <c r="AI486" s="48"/>
      <c r="AJ486" s="483"/>
      <c r="AK486" s="48"/>
      <c r="AL486" s="48"/>
      <c r="AM486" s="48"/>
      <c r="AN486" s="48"/>
    </row>
    <row r="487" ht="15.75" customHeight="1">
      <c r="B487" s="3"/>
      <c r="C487" s="11"/>
      <c r="D487" s="501"/>
      <c r="E487" s="48"/>
      <c r="F487" s="503"/>
      <c r="G487" s="546"/>
      <c r="H487" s="48"/>
      <c r="I487" s="503"/>
      <c r="J487" s="501"/>
      <c r="K487" s="11"/>
      <c r="L487" s="503"/>
      <c r="M487" s="11"/>
      <c r="N487" s="503"/>
      <c r="O487" s="11"/>
      <c r="P487" s="11"/>
      <c r="Q487" s="503"/>
      <c r="R487" s="11"/>
      <c r="S487" s="503"/>
      <c r="T487" s="48"/>
      <c r="U487" s="48"/>
      <c r="V487" s="48"/>
      <c r="W487" s="48"/>
      <c r="X487" s="48"/>
      <c r="Y487" s="48"/>
      <c r="Z487" s="48"/>
      <c r="AA487" s="48"/>
      <c r="AB487" s="48"/>
      <c r="AC487" s="48"/>
      <c r="AD487" s="48"/>
      <c r="AE487" s="48"/>
      <c r="AF487" s="483"/>
      <c r="AG487" s="48"/>
      <c r="AH487" s="48"/>
      <c r="AI487" s="48"/>
      <c r="AJ487" s="48"/>
      <c r="AK487" s="48"/>
      <c r="AL487" s="48"/>
      <c r="AM487" s="48"/>
      <c r="AN487" s="48"/>
    </row>
    <row r="488" ht="15.75" customHeight="1">
      <c r="B488" s="3"/>
      <c r="F488" s="503"/>
      <c r="L488" s="503"/>
      <c r="V488" s="48"/>
      <c r="W488" s="40"/>
      <c r="X488" s="40"/>
      <c r="Y488" s="40"/>
      <c r="Z488" s="40"/>
      <c r="AA488" s="40"/>
      <c r="AB488" s="40"/>
      <c r="AC488" s="40"/>
      <c r="AD488" s="40"/>
      <c r="AE488" s="40"/>
      <c r="AF488" s="40"/>
      <c r="AG488" s="40"/>
      <c r="AH488" s="40"/>
      <c r="AI488" s="40"/>
      <c r="AJ488" s="40"/>
      <c r="AK488" s="40"/>
      <c r="AL488" s="40"/>
      <c r="AM488" s="40"/>
      <c r="AN488" s="40"/>
    </row>
    <row r="489" ht="15.75" customHeight="1">
      <c r="B489" s="3"/>
      <c r="C489" s="668"/>
      <c r="F489" s="669"/>
      <c r="L489" s="669"/>
      <c r="V489" s="670" t="str">
        <f>C1</f>
        <v>Ste-Marie Auto</v>
      </c>
      <c r="W489" s="450"/>
      <c r="X489" s="450"/>
      <c r="Y489" s="450"/>
      <c r="Z489" s="450"/>
      <c r="AA489" s="450"/>
      <c r="AB489" s="450"/>
      <c r="AC489" s="450"/>
      <c r="AD489" s="450"/>
      <c r="AE489" s="671"/>
      <c r="AF489" s="671" t="s">
        <v>1059</v>
      </c>
      <c r="AG489" s="450"/>
      <c r="AH489" s="450"/>
      <c r="AI489" s="450"/>
      <c r="AJ489" s="672"/>
      <c r="AK489" s="451"/>
      <c r="AL489" s="450"/>
      <c r="AM489" s="450"/>
      <c r="AN489" s="450"/>
      <c r="AO489" s="672"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ht="15.75" customHeight="1">
      <c r="B490" s="3"/>
      <c r="C490" s="668"/>
      <c r="V490" s="673"/>
      <c r="W490" s="458"/>
      <c r="X490" s="458"/>
      <c r="Y490" s="458"/>
      <c r="Z490" s="458"/>
      <c r="AA490" s="458"/>
      <c r="AB490" s="458"/>
      <c r="AC490" s="458"/>
      <c r="AD490" s="458"/>
      <c r="AE490" s="458"/>
      <c r="AF490" s="458"/>
      <c r="AG490" s="458"/>
      <c r="AH490" s="458"/>
      <c r="AI490" s="458"/>
      <c r="AJ490" s="458"/>
      <c r="AK490" s="458"/>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ht="15.75" customHeight="1">
      <c r="A491" s="5" t="str">
        <f t="shared" ref="A491:A526" si="94">+U491&amp;V491</f>
        <v/>
      </c>
      <c r="B491" s="3"/>
      <c r="C491" s="668"/>
      <c r="V491" s="674"/>
      <c r="W491" s="675"/>
      <c r="X491" s="675" t="s">
        <v>1061</v>
      </c>
      <c r="Y491" s="676"/>
      <c r="Z491" s="677"/>
      <c r="AA491" s="678"/>
      <c r="AB491" s="676"/>
      <c r="AC491" s="677"/>
      <c r="AD491" s="678" t="s">
        <v>775</v>
      </c>
      <c r="AE491" s="676"/>
      <c r="AF491" s="677"/>
      <c r="AG491" s="678" t="s">
        <v>776</v>
      </c>
      <c r="AH491" s="676"/>
      <c r="AI491" s="677"/>
      <c r="AJ491" s="678" t="s">
        <v>1062</v>
      </c>
      <c r="AK491" s="676"/>
      <c r="AL491" s="676"/>
      <c r="AM491" s="678" t="s">
        <v>1063</v>
      </c>
      <c r="AN491" s="676"/>
      <c r="AO491" s="679"/>
      <c r="AP491" s="40"/>
      <c r="AQ491" s="40"/>
      <c r="AR491" s="40"/>
      <c r="AS491" s="40"/>
      <c r="AT491" s="40"/>
      <c r="AU491" s="40"/>
      <c r="AV491" s="40"/>
      <c r="AW491" s="40"/>
      <c r="AX491" s="40"/>
      <c r="AY491" s="40"/>
      <c r="AZ491" s="40"/>
      <c r="BA491" s="40"/>
      <c r="BB491" s="40"/>
      <c r="BC491" s="40"/>
      <c r="BD491" s="40"/>
      <c r="BE491" s="40"/>
      <c r="BF491" s="40"/>
      <c r="BG491" s="40"/>
      <c r="BH491" s="40"/>
      <c r="BI491" s="40"/>
    </row>
    <row r="492" ht="15.75" customHeight="1">
      <c r="A492" s="5" t="str">
        <f t="shared" si="94"/>
        <v/>
      </c>
      <c r="B492" s="3"/>
      <c r="C492" s="668"/>
      <c r="V492" s="471"/>
      <c r="W492" s="650" t="s">
        <v>1064</v>
      </c>
      <c r="X492" s="650" t="s">
        <v>226</v>
      </c>
      <c r="Y492" s="650" t="s">
        <v>227</v>
      </c>
      <c r="Z492" s="680" t="s">
        <v>228</v>
      </c>
      <c r="AA492" s="650"/>
      <c r="AB492" s="650"/>
      <c r="AC492" s="680"/>
      <c r="AD492" s="681" t="s">
        <v>226</v>
      </c>
      <c r="AE492" s="650" t="s">
        <v>227</v>
      </c>
      <c r="AF492" s="650" t="s">
        <v>228</v>
      </c>
      <c r="AG492" s="681" t="s">
        <v>1065</v>
      </c>
      <c r="AH492" s="650" t="s">
        <v>1066</v>
      </c>
      <c r="AI492" s="650" t="s">
        <v>1067</v>
      </c>
      <c r="AJ492" s="681" t="s">
        <v>226</v>
      </c>
      <c r="AK492" s="650" t="s">
        <v>227</v>
      </c>
      <c r="AL492" s="650" t="s">
        <v>228</v>
      </c>
      <c r="AM492" s="682" t="s">
        <v>1065</v>
      </c>
      <c r="AN492" s="650" t="s">
        <v>1066</v>
      </c>
      <c r="AO492" s="590"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ht="15.75" customHeight="1">
      <c r="A493" s="5" t="str">
        <f t="shared" si="94"/>
        <v>Ventes nettes</v>
      </c>
      <c r="B493" s="3"/>
      <c r="C493" s="668"/>
      <c r="V493" s="560" t="s">
        <v>96</v>
      </c>
      <c r="W493" s="683"/>
      <c r="X493" s="683"/>
      <c r="Y493" s="683"/>
      <c r="Z493" s="684" t="str">
        <f>F5+F93+E268+E326+D390+#REF!</f>
        <v>#N/A</v>
      </c>
      <c r="AA493" s="683"/>
      <c r="AB493" s="683"/>
      <c r="AC493" s="684"/>
      <c r="AD493" s="685"/>
      <c r="AE493" s="686"/>
      <c r="AF493" s="684">
        <f>L5+L93+L173+K268+K326+J390+K448</f>
        <v>176771244.4</v>
      </c>
      <c r="AG493" s="685"/>
      <c r="AH493" s="686"/>
      <c r="AI493" s="687"/>
      <c r="AJ493" s="685"/>
      <c r="AK493" s="686"/>
      <c r="AL493" s="684">
        <f>Q5+Q93+Q173+P268+P326+O390+P448</f>
        <v>193759376.3</v>
      </c>
      <c r="AM493" s="688"/>
      <c r="AN493" s="686"/>
      <c r="AO493" s="689"/>
      <c r="AP493" s="40"/>
      <c r="AQ493" s="40"/>
      <c r="AR493" s="40"/>
      <c r="AS493" s="40"/>
      <c r="AT493" s="40"/>
      <c r="AU493" s="40"/>
      <c r="AV493" s="40"/>
      <c r="AW493" s="40"/>
      <c r="AX493" s="40"/>
      <c r="AY493" s="40"/>
      <c r="AZ493" s="40"/>
      <c r="BA493" s="40"/>
      <c r="BB493" s="40"/>
      <c r="BC493" s="40"/>
      <c r="BD493" s="40"/>
      <c r="BE493" s="40"/>
      <c r="BF493" s="40"/>
      <c r="BG493" s="40"/>
      <c r="BH493" s="40"/>
      <c r="BI493" s="40"/>
    </row>
    <row r="494" ht="21.0" customHeight="1">
      <c r="A494" s="5" t="str">
        <f t="shared" si="94"/>
        <v>Profit brut</v>
      </c>
      <c r="B494" s="3"/>
      <c r="C494" s="668"/>
      <c r="V494" s="690" t="s">
        <v>196</v>
      </c>
      <c r="W494" s="691"/>
      <c r="X494" s="692"/>
      <c r="Y494" s="691"/>
      <c r="Z494" s="693" t="str">
        <f>F27+F109+F268+F326+F390+#REF!</f>
        <v>#N/A</v>
      </c>
      <c r="AA494" s="691"/>
      <c r="AB494" s="691"/>
      <c r="AC494" s="693"/>
      <c r="AD494" s="692">
        <f>AF494/AF$493</f>
        <v>0.03839958656</v>
      </c>
      <c r="AE494" s="694"/>
      <c r="AF494" s="693">
        <f>L27+L109+L182+L268+L326+L390+L448</f>
        <v>6787942.7</v>
      </c>
      <c r="AG494" s="695"/>
      <c r="AH494" s="694" t="str">
        <f>AF494-Z494</f>
        <v>#N/A</v>
      </c>
      <c r="AI494" s="696" t="str">
        <f>AH494/Z494</f>
        <v>#N/A</v>
      </c>
      <c r="AJ494" s="692">
        <f>+AL494/AL493</f>
        <v>0.04150941019</v>
      </c>
      <c r="AK494" s="694"/>
      <c r="AL494" s="693">
        <f>Q27+Q109+Q182+Q268+Q326+Q390+Q448</f>
        <v>8042837.43</v>
      </c>
      <c r="AM494" s="697"/>
      <c r="AN494" s="694">
        <f>AF494-AL494</f>
        <v>-1254894.73</v>
      </c>
      <c r="AO494" s="698">
        <f>IF(AL494=0,0,AN494/AL494)</f>
        <v>-0.1560263702</v>
      </c>
      <c r="AP494" s="40"/>
      <c r="AQ494" s="40"/>
      <c r="AR494" s="40"/>
      <c r="AS494" s="40"/>
      <c r="AT494" s="40"/>
      <c r="AU494" s="40"/>
      <c r="AV494" s="40"/>
      <c r="AW494" s="40"/>
      <c r="AX494" s="40"/>
      <c r="AY494" s="40"/>
      <c r="AZ494" s="40"/>
      <c r="BA494" s="40"/>
      <c r="BB494" s="40"/>
      <c r="BC494" s="40"/>
      <c r="BD494" s="40"/>
      <c r="BE494" s="40"/>
      <c r="BF494" s="40"/>
      <c r="BG494" s="40"/>
      <c r="BH494" s="40"/>
      <c r="BI494" s="40"/>
    </row>
    <row r="495" ht="15.75" customHeight="1">
      <c r="A495" s="5" t="str">
        <f t="shared" si="94"/>
        <v>DÉPENSES</v>
      </c>
      <c r="B495" s="3"/>
      <c r="C495" s="668"/>
      <c r="V495" s="699" t="s">
        <v>197</v>
      </c>
      <c r="W495" s="700"/>
      <c r="X495" s="700"/>
      <c r="Y495" s="700"/>
      <c r="Z495" s="701"/>
      <c r="AA495" s="700"/>
      <c r="AB495" s="700"/>
      <c r="AC495" s="701"/>
      <c r="AD495" s="702"/>
      <c r="AE495" s="703"/>
      <c r="AF495" s="701"/>
      <c r="AG495" s="702"/>
      <c r="AH495" s="703"/>
      <c r="AI495" s="704"/>
      <c r="AJ495" s="702"/>
      <c r="AK495" s="703"/>
      <c r="AL495" s="701"/>
      <c r="AM495" s="705"/>
      <c r="AN495" s="703"/>
      <c r="AO495" s="706"/>
      <c r="AP495" s="40"/>
      <c r="AQ495" s="40"/>
      <c r="AR495" s="40"/>
      <c r="AS495" s="40"/>
      <c r="AT495" s="40"/>
      <c r="AU495" s="40"/>
      <c r="AV495" s="40"/>
      <c r="AW495" s="40"/>
      <c r="AX495" s="40"/>
      <c r="AY495" s="40"/>
      <c r="AZ495" s="40"/>
      <c r="BA495" s="40"/>
      <c r="BB495" s="40"/>
      <c r="BC495" s="40"/>
      <c r="BD495" s="40"/>
      <c r="BE495" s="40"/>
      <c r="BF495" s="40"/>
      <c r="BG495" s="40"/>
      <c r="BH495" s="40"/>
      <c r="BI495" s="40"/>
    </row>
    <row r="496" ht="15.75" customHeight="1">
      <c r="A496" s="5" t="str">
        <f t="shared" si="94"/>
        <v>Comm. vendeurs</v>
      </c>
      <c r="B496" s="3"/>
      <c r="C496" s="668"/>
      <c r="V496" s="559" t="s">
        <v>111</v>
      </c>
      <c r="W496" s="707" t="s">
        <v>1068</v>
      </c>
      <c r="X496" s="700"/>
      <c r="Y496" s="708" t="str">
        <f t="shared" ref="Y496:Y505" si="97">Z496/(D$13+D$97)</f>
        <v>#N/A</v>
      </c>
      <c r="Z496" s="701" t="str">
        <f t="shared" ref="Z496:Z505" si="98">+SUMIF($C:$C,$V496,F:F)</f>
        <v>#N/A</v>
      </c>
      <c r="AA496" s="700"/>
      <c r="AB496" s="708"/>
      <c r="AC496" s="701"/>
      <c r="AD496" s="709"/>
      <c r="AE496" s="703">
        <f t="shared" ref="AE496:AE504" si="99">IF(AF496=0,0,AF496/(J$13+J$97))</f>
        <v>1084.510191</v>
      </c>
      <c r="AF496" s="701">
        <f t="shared" ref="AF496:AF505" si="100">+SUMIF($C:$C,$V496,L:L)</f>
        <v>681072.4</v>
      </c>
      <c r="AG496" s="702" t="str">
        <f t="shared" ref="AG496:AH496" si="95">AE496-Y496</f>
        <v>#N/A</v>
      </c>
      <c r="AH496" s="703" t="str">
        <f t="shared" si="95"/>
        <v>#N/A</v>
      </c>
      <c r="AI496" s="704" t="str">
        <f t="shared" ref="AI496:AI505" si="102">IF(Z496=0,0,AH496/Z496)</f>
        <v>#N/A</v>
      </c>
      <c r="AJ496" s="709"/>
      <c r="AK496" s="703">
        <f t="shared" ref="AK496:AK504" si="103">IF(AL496=0,0,AL496/(O$13+O$97))</f>
        <v>924.9072768</v>
      </c>
      <c r="AL496" s="701">
        <f>SUMIFS(BV_Data_An_Prec!$AN:$AN,BV_Data_An_Prec!$AQ:$AQ,$V496)</f>
        <v>621537.69</v>
      </c>
      <c r="AM496" s="705">
        <f t="shared" ref="AM496:AN496" si="96">AE496-AK496</f>
        <v>159.6029143</v>
      </c>
      <c r="AN496" s="703">
        <f t="shared" si="96"/>
        <v>59534.71</v>
      </c>
      <c r="AO496" s="710">
        <f t="shared" ref="AO496:AO553" si="105">IF(AL496=0,0,AN496/AL496)</f>
        <v>0.09578616222</v>
      </c>
      <c r="AP496" s="40"/>
      <c r="AQ496" s="40"/>
      <c r="AR496" s="3"/>
      <c r="AS496" s="40"/>
      <c r="AT496" s="40"/>
      <c r="AU496" s="40"/>
      <c r="AV496" s="40"/>
      <c r="AW496" s="40"/>
      <c r="AX496" s="40"/>
      <c r="AY496" s="40"/>
      <c r="AZ496" s="40"/>
      <c r="BA496" s="40"/>
      <c r="BB496" s="40"/>
      <c r="BC496" s="40"/>
      <c r="BD496" s="40"/>
      <c r="BE496" s="40"/>
      <c r="BF496" s="40"/>
      <c r="BG496" s="40"/>
      <c r="BH496" s="40"/>
      <c r="BI496" s="40"/>
    </row>
    <row r="497" ht="15.75" customHeight="1">
      <c r="A497" s="5" t="str">
        <f t="shared" si="94"/>
        <v>Comm. F&amp;I</v>
      </c>
      <c r="B497" s="3"/>
      <c r="C497" s="668"/>
      <c r="V497" s="560" t="s">
        <v>112</v>
      </c>
      <c r="W497" s="711" t="s">
        <v>1069</v>
      </c>
      <c r="X497" s="683"/>
      <c r="Y497" s="712" t="str">
        <f t="shared" si="97"/>
        <v>#N/A</v>
      </c>
      <c r="Z497" s="684" t="str">
        <f t="shared" si="98"/>
        <v>#N/A</v>
      </c>
      <c r="AA497" s="683"/>
      <c r="AB497" s="712"/>
      <c r="AC497" s="684"/>
      <c r="AD497" s="713"/>
      <c r="AE497" s="686">
        <f t="shared" si="99"/>
        <v>261.6516242</v>
      </c>
      <c r="AF497" s="684">
        <f t="shared" si="100"/>
        <v>164317.22</v>
      </c>
      <c r="AG497" s="685" t="str">
        <f t="shared" ref="AG497:AH497" si="101">AE497-Y497</f>
        <v>#N/A</v>
      </c>
      <c r="AH497" s="686" t="str">
        <f t="shared" si="101"/>
        <v>#N/A</v>
      </c>
      <c r="AI497" s="714" t="str">
        <f t="shared" si="102"/>
        <v>#N/A</v>
      </c>
      <c r="AJ497" s="713"/>
      <c r="AK497" s="686">
        <f t="shared" si="103"/>
        <v>215.2768155</v>
      </c>
      <c r="AL497" s="684">
        <f>SUMIFS(BV_Data_An_Prec!$AN:$AN,BV_Data_An_Prec!$AQ:$AQ,$V497)</f>
        <v>144666.02</v>
      </c>
      <c r="AM497" s="688">
        <f t="shared" ref="AM497:AN497" si="104">AE497-AK497</f>
        <v>46.37480873</v>
      </c>
      <c r="AN497" s="686">
        <f t="shared" si="104"/>
        <v>19651.2</v>
      </c>
      <c r="AO497" s="689">
        <f t="shared" si="105"/>
        <v>0.1358383952</v>
      </c>
      <c r="AP497" s="40"/>
      <c r="AQ497" s="40"/>
      <c r="AR497" s="48"/>
      <c r="AS497" s="40"/>
      <c r="AT497" s="40"/>
      <c r="AU497" s="40"/>
      <c r="AV497" s="40"/>
      <c r="AW497" s="40"/>
      <c r="AX497" s="40"/>
      <c r="AY497" s="40"/>
      <c r="AZ497" s="40"/>
      <c r="BA497" s="40"/>
      <c r="BB497" s="40"/>
      <c r="BC497" s="40"/>
      <c r="BD497" s="40"/>
      <c r="BE497" s="40"/>
      <c r="BF497" s="40"/>
      <c r="BG497" s="40"/>
      <c r="BH497" s="40"/>
      <c r="BI497" s="40"/>
    </row>
    <row r="498" ht="15.75" customHeight="1">
      <c r="A498" s="5" t="str">
        <f t="shared" si="94"/>
        <v>Frais de livraison</v>
      </c>
      <c r="B498" s="3"/>
      <c r="C498" s="668"/>
      <c r="V498" s="559" t="s">
        <v>113</v>
      </c>
      <c r="W498" s="707" t="s">
        <v>1070</v>
      </c>
      <c r="X498" s="700"/>
      <c r="Y498" s="708" t="str">
        <f t="shared" si="97"/>
        <v>#N/A</v>
      </c>
      <c r="Z498" s="701" t="str">
        <f t="shared" si="98"/>
        <v>#N/A</v>
      </c>
      <c r="AA498" s="700"/>
      <c r="AB498" s="708"/>
      <c r="AC498" s="701"/>
      <c r="AD498" s="709"/>
      <c r="AE498" s="703">
        <f t="shared" si="99"/>
        <v>425.2427707</v>
      </c>
      <c r="AF498" s="701">
        <f t="shared" si="100"/>
        <v>267052.46</v>
      </c>
      <c r="AG498" s="702" t="str">
        <f t="shared" ref="AG498:AH498" si="106">AE498-Y498</f>
        <v>#N/A</v>
      </c>
      <c r="AH498" s="703" t="str">
        <f t="shared" si="106"/>
        <v>#N/A</v>
      </c>
      <c r="AI498" s="704" t="str">
        <f t="shared" si="102"/>
        <v>#N/A</v>
      </c>
      <c r="AJ498" s="709"/>
      <c r="AK498" s="703">
        <f t="shared" si="103"/>
        <v>-58.10995536</v>
      </c>
      <c r="AL498" s="701">
        <f>SUMIFS(BV_Data_An_Prec!$AN:$AN,BV_Data_An_Prec!$AQ:$AQ,$V498)</f>
        <v>-39049.89</v>
      </c>
      <c r="AM498" s="705">
        <f t="shared" ref="AM498:AN498" si="107">AE498-AK498</f>
        <v>483.3527261</v>
      </c>
      <c r="AN498" s="703">
        <f t="shared" si="107"/>
        <v>306102.35</v>
      </c>
      <c r="AO498" s="710">
        <f t="shared" si="105"/>
        <v>-7.838750634</v>
      </c>
      <c r="AP498" s="40"/>
      <c r="AQ498" s="40"/>
      <c r="AR498" s="48"/>
      <c r="AS498" s="40"/>
      <c r="AT498" s="40"/>
      <c r="AU498" s="40"/>
      <c r="AV498" s="40"/>
      <c r="AW498" s="40"/>
      <c r="AX498" s="40"/>
      <c r="AY498" s="40"/>
      <c r="AZ498" s="40"/>
      <c r="BA498" s="40"/>
      <c r="BB498" s="40"/>
      <c r="BC498" s="40"/>
      <c r="BD498" s="40"/>
      <c r="BE498" s="40"/>
      <c r="BF498" s="40"/>
      <c r="BG498" s="40"/>
      <c r="BH498" s="40"/>
      <c r="BI498" s="40"/>
    </row>
    <row r="499" ht="15.75" customHeight="1">
      <c r="A499" s="5" t="str">
        <f t="shared" si="94"/>
        <v>Service gratuit 1</v>
      </c>
      <c r="B499" s="3"/>
      <c r="C499" s="668"/>
      <c r="V499" s="559" t="s">
        <v>114</v>
      </c>
      <c r="W499" s="707" t="s">
        <v>1071</v>
      </c>
      <c r="X499" s="700"/>
      <c r="Y499" s="708" t="str">
        <f t="shared" si="97"/>
        <v>#N/A</v>
      </c>
      <c r="Z499" s="701" t="str">
        <f t="shared" si="98"/>
        <v>#N/A</v>
      </c>
      <c r="AA499" s="700"/>
      <c r="AB499" s="708"/>
      <c r="AC499" s="701"/>
      <c r="AD499" s="709"/>
      <c r="AE499" s="703">
        <f t="shared" si="99"/>
        <v>34.95721338</v>
      </c>
      <c r="AF499" s="701">
        <f t="shared" si="100"/>
        <v>21953.13</v>
      </c>
      <c r="AG499" s="702" t="str">
        <f t="shared" ref="AG499:AH499" si="108">AE499-Y499</f>
        <v>#N/A</v>
      </c>
      <c r="AH499" s="703" t="str">
        <f t="shared" si="108"/>
        <v>#N/A</v>
      </c>
      <c r="AI499" s="704" t="str">
        <f t="shared" si="102"/>
        <v>#N/A</v>
      </c>
      <c r="AJ499" s="709"/>
      <c r="AK499" s="703">
        <f t="shared" si="103"/>
        <v>7.8525</v>
      </c>
      <c r="AL499" s="701">
        <f>SUMIFS(BV_Data_An_Prec!$AN:$AN,BV_Data_An_Prec!$AQ:$AQ,$V499)</f>
        <v>5276.88</v>
      </c>
      <c r="AM499" s="705">
        <f t="shared" ref="AM499:AN499" si="109">AE499-AK499</f>
        <v>27.10471338</v>
      </c>
      <c r="AN499" s="703">
        <f t="shared" si="109"/>
        <v>16676.25</v>
      </c>
      <c r="AO499" s="710">
        <f t="shared" si="105"/>
        <v>3.160248101</v>
      </c>
      <c r="AP499" s="40"/>
      <c r="AQ499" s="40"/>
      <c r="AR499" s="48"/>
      <c r="AS499" s="40"/>
      <c r="AT499" s="40"/>
      <c r="AU499" s="40"/>
      <c r="AV499" s="40"/>
      <c r="AW499" s="40"/>
      <c r="AX499" s="40"/>
      <c r="AY499" s="40"/>
      <c r="AZ499" s="40"/>
      <c r="BA499" s="40"/>
      <c r="BB499" s="40"/>
      <c r="BC499" s="40"/>
      <c r="BD499" s="40"/>
      <c r="BE499" s="40"/>
      <c r="BF499" s="40"/>
      <c r="BG499" s="40"/>
      <c r="BH499" s="40"/>
      <c r="BI499" s="40"/>
    </row>
    <row r="500" ht="15.75" customHeight="1">
      <c r="A500" s="5" t="str">
        <f t="shared" si="94"/>
        <v>Entretien stock</v>
      </c>
      <c r="B500" s="3"/>
      <c r="C500" s="668"/>
      <c r="V500" s="560" t="s">
        <v>115</v>
      </c>
      <c r="W500" s="711"/>
      <c r="X500" s="683"/>
      <c r="Y500" s="712" t="str">
        <f t="shared" si="97"/>
        <v>#N/A</v>
      </c>
      <c r="Z500" s="684" t="str">
        <f t="shared" si="98"/>
        <v>#N/A</v>
      </c>
      <c r="AA500" s="683"/>
      <c r="AB500" s="712"/>
      <c r="AC500" s="684"/>
      <c r="AD500" s="713"/>
      <c r="AE500" s="686">
        <f t="shared" si="99"/>
        <v>22.02</v>
      </c>
      <c r="AF500" s="684">
        <f t="shared" si="100"/>
        <v>13828.56</v>
      </c>
      <c r="AG500" s="685" t="str">
        <f t="shared" ref="AG500:AH500" si="110">AE500-Y500</f>
        <v>#N/A</v>
      </c>
      <c r="AH500" s="686" t="str">
        <f t="shared" si="110"/>
        <v>#N/A</v>
      </c>
      <c r="AI500" s="714" t="str">
        <f t="shared" si="102"/>
        <v>#N/A</v>
      </c>
      <c r="AJ500" s="713"/>
      <c r="AK500" s="686">
        <f t="shared" si="103"/>
        <v>0</v>
      </c>
      <c r="AL500" s="684">
        <f>SUMIFS(BV_Data_An_Prec!$AN:$AN,BV_Data_An_Prec!$AQ:$AQ,$V500)</f>
        <v>0</v>
      </c>
      <c r="AM500" s="688">
        <f t="shared" ref="AM500:AN500" si="111">AE500-AK500</f>
        <v>22.02</v>
      </c>
      <c r="AN500" s="686">
        <f t="shared" si="111"/>
        <v>13828.56</v>
      </c>
      <c r="AO500" s="689">
        <f t="shared" si="105"/>
        <v>0</v>
      </c>
      <c r="AP500" s="40"/>
      <c r="AQ500" s="40"/>
      <c r="AR500" s="48"/>
      <c r="AS500" s="40"/>
      <c r="AT500" s="40"/>
      <c r="AU500" s="40"/>
      <c r="AV500" s="40"/>
      <c r="AW500" s="40"/>
      <c r="AX500" s="40"/>
      <c r="AY500" s="40"/>
      <c r="AZ500" s="40"/>
      <c r="BA500" s="40"/>
      <c r="BB500" s="40"/>
      <c r="BC500" s="40"/>
      <c r="BD500" s="40"/>
      <c r="BE500" s="40"/>
      <c r="BF500" s="40"/>
      <c r="BG500" s="40"/>
      <c r="BH500" s="40"/>
      <c r="BI500" s="40"/>
    </row>
    <row r="501" ht="15.75" customHeight="1">
      <c r="A501" s="5" t="str">
        <f t="shared" si="94"/>
        <v>Publicité 1</v>
      </c>
      <c r="B501" s="3"/>
      <c r="C501" s="668"/>
      <c r="V501" s="559" t="s">
        <v>116</v>
      </c>
      <c r="W501" s="707" t="s">
        <v>1072</v>
      </c>
      <c r="X501" s="704"/>
      <c r="Y501" s="708" t="str">
        <f t="shared" si="97"/>
        <v>#N/A</v>
      </c>
      <c r="Z501" s="701" t="str">
        <f t="shared" si="98"/>
        <v>#N/A</v>
      </c>
      <c r="AA501" s="704"/>
      <c r="AB501" s="708"/>
      <c r="AC501" s="701"/>
      <c r="AD501" s="709"/>
      <c r="AE501" s="703">
        <f t="shared" si="99"/>
        <v>-91.1233121</v>
      </c>
      <c r="AF501" s="701">
        <f t="shared" si="100"/>
        <v>-57225.44</v>
      </c>
      <c r="AG501" s="702" t="str">
        <f t="shared" ref="AG501:AH501" si="112">AE501-Y501</f>
        <v>#N/A</v>
      </c>
      <c r="AH501" s="703" t="str">
        <f t="shared" si="112"/>
        <v>#N/A</v>
      </c>
      <c r="AI501" s="704" t="str">
        <f t="shared" si="102"/>
        <v>#N/A</v>
      </c>
      <c r="AJ501" s="709"/>
      <c r="AK501" s="703">
        <f t="shared" si="103"/>
        <v>-310.6723512</v>
      </c>
      <c r="AL501" s="701">
        <f>SUMIFS(BV_Data_An_Prec!$AN:$AN,BV_Data_An_Prec!$AQ:$AQ,$V501)</f>
        <v>-208771.82</v>
      </c>
      <c r="AM501" s="705">
        <f t="shared" ref="AM501:AN501" si="113">AE501-AK501</f>
        <v>219.5490391</v>
      </c>
      <c r="AN501" s="703">
        <f t="shared" si="113"/>
        <v>151546.38</v>
      </c>
      <c r="AO501" s="710">
        <f t="shared" si="105"/>
        <v>-0.7258948071</v>
      </c>
      <c r="AP501" s="40"/>
      <c r="AQ501" s="40"/>
      <c r="AR501" s="48"/>
      <c r="AS501" s="40"/>
      <c r="AT501" s="40"/>
      <c r="AU501" s="40"/>
      <c r="AV501" s="40"/>
      <c r="AW501" s="40"/>
      <c r="AX501" s="40"/>
      <c r="AY501" s="40"/>
      <c r="AZ501" s="40"/>
      <c r="BA501" s="40"/>
      <c r="BB501" s="40"/>
      <c r="BC501" s="40"/>
      <c r="BD501" s="40"/>
      <c r="BE501" s="40"/>
      <c r="BF501" s="40"/>
      <c r="BG501" s="40"/>
      <c r="BH501" s="40"/>
      <c r="BI501" s="40"/>
    </row>
    <row r="502" ht="15.75" customHeight="1">
      <c r="A502" s="5" t="str">
        <f t="shared" si="94"/>
        <v>Intérêt de gros</v>
      </c>
      <c r="B502" s="3"/>
      <c r="C502" s="668"/>
      <c r="V502" s="559" t="s">
        <v>117</v>
      </c>
      <c r="W502" s="707" t="s">
        <v>1073</v>
      </c>
      <c r="X502" s="700"/>
      <c r="Y502" s="708" t="str">
        <f t="shared" si="97"/>
        <v>#N/A</v>
      </c>
      <c r="Z502" s="701" t="str">
        <f t="shared" si="98"/>
        <v>#N/A</v>
      </c>
      <c r="AA502" s="700"/>
      <c r="AB502" s="708"/>
      <c r="AC502" s="701"/>
      <c r="AD502" s="709"/>
      <c r="AE502" s="703">
        <f t="shared" si="99"/>
        <v>1408.79328</v>
      </c>
      <c r="AF502" s="701">
        <f t="shared" si="100"/>
        <v>884722.18</v>
      </c>
      <c r="AG502" s="702" t="str">
        <f t="shared" ref="AG502:AH502" si="114">AE502-Y502</f>
        <v>#N/A</v>
      </c>
      <c r="AH502" s="703" t="str">
        <f t="shared" si="114"/>
        <v>#N/A</v>
      </c>
      <c r="AI502" s="704" t="str">
        <f t="shared" si="102"/>
        <v>#N/A</v>
      </c>
      <c r="AJ502" s="709"/>
      <c r="AK502" s="703">
        <f t="shared" si="103"/>
        <v>1729.771979</v>
      </c>
      <c r="AL502" s="701">
        <f>SUMIFS(BV_Data_An_Prec!$AN:$AN,BV_Data_An_Prec!$AQ:$AQ,$V502)</f>
        <v>1162406.77</v>
      </c>
      <c r="AM502" s="705">
        <f t="shared" ref="AM502:AN502" si="115">AE502-AK502</f>
        <v>-320.9786989</v>
      </c>
      <c r="AN502" s="703">
        <f t="shared" si="115"/>
        <v>-277684.59</v>
      </c>
      <c r="AO502" s="710">
        <f t="shared" si="105"/>
        <v>-0.2388876228</v>
      </c>
      <c r="AP502" s="40"/>
      <c r="AQ502" s="40"/>
      <c r="AR502" s="48"/>
      <c r="AS502" s="40"/>
      <c r="AT502" s="40"/>
      <c r="AU502" s="40"/>
      <c r="AV502" s="40"/>
      <c r="AW502" s="40"/>
      <c r="AX502" s="40"/>
      <c r="AY502" s="40"/>
      <c r="AZ502" s="40"/>
      <c r="BA502" s="40"/>
      <c r="BB502" s="40"/>
      <c r="BC502" s="40"/>
      <c r="BD502" s="40"/>
      <c r="BE502" s="40"/>
      <c r="BF502" s="40"/>
      <c r="BG502" s="40"/>
      <c r="BH502" s="40"/>
      <c r="BI502" s="40"/>
    </row>
    <row r="503" ht="15.75" customHeight="1">
      <c r="A503" s="5" t="str">
        <f t="shared" si="94"/>
        <v>Crédit Intérêts Floor Plan</v>
      </c>
      <c r="B503" s="3"/>
      <c r="C503" s="668"/>
      <c r="V503" s="559" t="s">
        <v>813</v>
      </c>
      <c r="W503" s="707"/>
      <c r="X503" s="704"/>
      <c r="Y503" s="708" t="str">
        <f t="shared" si="97"/>
        <v>#N/A</v>
      </c>
      <c r="Z503" s="701" t="str">
        <f t="shared" si="98"/>
        <v>#N/A</v>
      </c>
      <c r="AA503" s="700"/>
      <c r="AB503" s="708"/>
      <c r="AC503" s="701"/>
      <c r="AD503" s="709"/>
      <c r="AE503" s="703">
        <f t="shared" si="99"/>
        <v>-2560.845573</v>
      </c>
      <c r="AF503" s="701">
        <f t="shared" si="100"/>
        <v>-1608211.02</v>
      </c>
      <c r="AG503" s="702" t="str">
        <f t="shared" ref="AG503:AH503" si="116">AE503-Y503</f>
        <v>#N/A</v>
      </c>
      <c r="AH503" s="703" t="str">
        <f t="shared" si="116"/>
        <v>#N/A</v>
      </c>
      <c r="AI503" s="704" t="str">
        <f t="shared" si="102"/>
        <v>#N/A</v>
      </c>
      <c r="AJ503" s="709"/>
      <c r="AK503" s="703">
        <f t="shared" si="103"/>
        <v>-3330.366071</v>
      </c>
      <c r="AL503" s="701">
        <f>SUMIFS(BV_Data_An_Prec!$AN:$AN,BV_Data_An_Prec!$AQ:$AQ,$V503)</f>
        <v>-2238006</v>
      </c>
      <c r="AM503" s="705">
        <f t="shared" ref="AM503:AN503" si="117">AE503-AK503</f>
        <v>769.5204982</v>
      </c>
      <c r="AN503" s="703">
        <f t="shared" si="117"/>
        <v>629794.98</v>
      </c>
      <c r="AO503" s="710">
        <f t="shared" si="105"/>
        <v>-0.2814089775</v>
      </c>
      <c r="AP503" s="40"/>
      <c r="AQ503" s="40"/>
      <c r="AR503" s="48"/>
      <c r="AS503" s="40"/>
      <c r="AT503" s="40"/>
      <c r="AU503" s="40"/>
      <c r="AV503" s="40"/>
      <c r="AW503" s="40"/>
      <c r="AX503" s="40"/>
      <c r="AY503" s="40"/>
      <c r="AZ503" s="40"/>
      <c r="BA503" s="40"/>
      <c r="BB503" s="40"/>
      <c r="BC503" s="40"/>
      <c r="BD503" s="40"/>
      <c r="BE503" s="40"/>
      <c r="BF503" s="40"/>
      <c r="BG503" s="40"/>
      <c r="BH503" s="40"/>
      <c r="BI503" s="40"/>
    </row>
    <row r="504" ht="15.75" customHeight="1">
      <c r="A504" s="5" t="str">
        <f t="shared" si="94"/>
        <v>Crédit Boni TD</v>
      </c>
      <c r="B504" s="3"/>
      <c r="C504" s="668"/>
      <c r="V504" s="559" t="s">
        <v>814</v>
      </c>
      <c r="W504" s="707"/>
      <c r="X504" s="704"/>
      <c r="Y504" s="708" t="str">
        <f t="shared" si="97"/>
        <v>#N/A</v>
      </c>
      <c r="Z504" s="701" t="str">
        <f t="shared" si="98"/>
        <v>#N/A</v>
      </c>
      <c r="AA504" s="700"/>
      <c r="AB504" s="708"/>
      <c r="AC504" s="701"/>
      <c r="AD504" s="709"/>
      <c r="AE504" s="703">
        <f t="shared" si="99"/>
        <v>-210.1103981</v>
      </c>
      <c r="AF504" s="701">
        <f t="shared" si="100"/>
        <v>-131949.33</v>
      </c>
      <c r="AG504" s="702" t="str">
        <f t="shared" ref="AG504:AH504" si="118">AE504-Y504</f>
        <v>#N/A</v>
      </c>
      <c r="AH504" s="703" t="str">
        <f t="shared" si="118"/>
        <v>#N/A</v>
      </c>
      <c r="AI504" s="704" t="str">
        <f t="shared" si="102"/>
        <v>#N/A</v>
      </c>
      <c r="AJ504" s="709"/>
      <c r="AK504" s="703">
        <f t="shared" si="103"/>
        <v>0</v>
      </c>
      <c r="AL504" s="701">
        <f>SUMIFS(BV_Data_An_Prec!$AN:$AN,BV_Data_An_Prec!$AQ:$AQ,$V504)</f>
        <v>0</v>
      </c>
      <c r="AM504" s="705">
        <f t="shared" ref="AM504:AN504" si="119">AE504-AK504</f>
        <v>-210.1103981</v>
      </c>
      <c r="AN504" s="703">
        <f t="shared" si="119"/>
        <v>-131949.33</v>
      </c>
      <c r="AO504" s="710">
        <f t="shared" si="105"/>
        <v>0</v>
      </c>
      <c r="AP504" s="40"/>
      <c r="AQ504" s="40"/>
      <c r="AR504" s="48"/>
      <c r="AS504" s="40"/>
      <c r="AT504" s="40"/>
      <c r="AU504" s="40"/>
      <c r="AV504" s="40"/>
      <c r="AW504" s="40"/>
      <c r="AX504" s="40"/>
      <c r="AY504" s="40"/>
      <c r="AZ504" s="40"/>
      <c r="BA504" s="40"/>
      <c r="BB504" s="40"/>
      <c r="BC504" s="40"/>
      <c r="BD504" s="40"/>
      <c r="BE504" s="40"/>
      <c r="BF504" s="40"/>
      <c r="BG504" s="40"/>
      <c r="BH504" s="40"/>
      <c r="BI504" s="40"/>
    </row>
    <row r="505" ht="20.25" hidden="1" customHeight="1">
      <c r="A505" s="5" t="str">
        <f t="shared" si="94"/>
        <v>[...]</v>
      </c>
      <c r="B505" s="3"/>
      <c r="C505" s="668"/>
      <c r="V505" s="559" t="s">
        <v>56</v>
      </c>
      <c r="W505" s="707" t="s">
        <v>1073</v>
      </c>
      <c r="X505" s="700"/>
      <c r="Y505" s="708" t="str">
        <f t="shared" si="97"/>
        <v>#N/A</v>
      </c>
      <c r="Z505" s="701" t="str">
        <f t="shared" si="98"/>
        <v>#N/A</v>
      </c>
      <c r="AA505" s="700"/>
      <c r="AB505" s="708"/>
      <c r="AC505" s="701"/>
      <c r="AD505" s="709"/>
      <c r="AE505" s="703">
        <f>IF(AF505=0,0,AF505/(J$13+J$13))</f>
        <v>0</v>
      </c>
      <c r="AF505" s="701">
        <f t="shared" si="100"/>
        <v>0</v>
      </c>
      <c r="AG505" s="702" t="str">
        <f t="shared" ref="AG505:AH505" si="120">AE505-Y505</f>
        <v>#N/A</v>
      </c>
      <c r="AH505" s="703" t="str">
        <f t="shared" si="120"/>
        <v>#N/A</v>
      </c>
      <c r="AI505" s="704" t="str">
        <f t="shared" si="102"/>
        <v>#N/A</v>
      </c>
      <c r="AJ505" s="709"/>
      <c r="AK505" s="703">
        <f>AL505/(O$13+O$97)</f>
        <v>0</v>
      </c>
      <c r="AL505" s="701"/>
      <c r="AM505" s="705" t="str">
        <f>AE505-Y505</f>
        <v>#N/A</v>
      </c>
      <c r="AN505" s="703">
        <f t="shared" ref="AN505:AN553" si="121">AF505-AL505</f>
        <v>0</v>
      </c>
      <c r="AO505" s="710">
        <f t="shared" si="105"/>
        <v>0</v>
      </c>
      <c r="AP505" s="40"/>
      <c r="AQ505" s="40"/>
      <c r="AR505" s="48"/>
      <c r="AS505" s="40"/>
      <c r="AT505" s="40"/>
      <c r="AU505" s="40"/>
      <c r="AV505" s="40"/>
      <c r="AW505" s="40"/>
      <c r="AX505" s="40"/>
      <c r="AY505" s="40"/>
      <c r="AZ505" s="40"/>
      <c r="BA505" s="40"/>
      <c r="BB505" s="40"/>
      <c r="BC505" s="40"/>
      <c r="BD505" s="40"/>
      <c r="BE505" s="40"/>
      <c r="BF505" s="40"/>
      <c r="BG505" s="40"/>
      <c r="BH505" s="40"/>
      <c r="BI505" s="40"/>
    </row>
    <row r="506" ht="21.0" customHeight="1">
      <c r="A506" s="5" t="str">
        <f t="shared" si="94"/>
        <v>TOTAL VARIABLES</v>
      </c>
      <c r="B506" s="3"/>
      <c r="C506" s="668"/>
      <c r="V506" s="715" t="s">
        <v>118</v>
      </c>
      <c r="W506" s="716"/>
      <c r="X506" s="717" t="str">
        <f>Z506/Z494</f>
        <v>#N/A</v>
      </c>
      <c r="Y506" s="716"/>
      <c r="Z506" s="718" t="str">
        <f>SUM(Z496:Z505)</f>
        <v>#N/A</v>
      </c>
      <c r="AA506" s="717"/>
      <c r="AB506" s="716"/>
      <c r="AC506" s="718"/>
      <c r="AD506" s="719">
        <f>AF506/AF$494</f>
        <v>0.03470273254</v>
      </c>
      <c r="AE506" s="720"/>
      <c r="AF506" s="718">
        <f>SUM(AF496:AF505)</f>
        <v>235560.16</v>
      </c>
      <c r="AG506" s="721"/>
      <c r="AH506" s="720" t="str">
        <f t="shared" ref="AH506:AH538" si="122">AF506-Z506</f>
        <v>#N/A</v>
      </c>
      <c r="AI506" s="717" t="str">
        <f>AH506/Z506</f>
        <v>#N/A</v>
      </c>
      <c r="AJ506" s="719">
        <f>IF($AL$494=0,0,AL506/$AL$494)</f>
        <v>-0.0686250785</v>
      </c>
      <c r="AK506" s="720"/>
      <c r="AL506" s="718">
        <f>SUM(AL496:AL505)</f>
        <v>-551940.35</v>
      </c>
      <c r="AM506" s="722"/>
      <c r="AN506" s="720">
        <f t="shared" si="121"/>
        <v>787500.51</v>
      </c>
      <c r="AO506" s="698">
        <f t="shared" si="105"/>
        <v>-1.426785539</v>
      </c>
      <c r="AP506" s="40"/>
      <c r="AQ506" s="40"/>
      <c r="AR506" s="48"/>
      <c r="AS506" s="40"/>
      <c r="AT506" s="40"/>
      <c r="AU506" s="40"/>
      <c r="AV506" s="40"/>
      <c r="AW506" s="40"/>
      <c r="AX506" s="40"/>
      <c r="AY506" s="40"/>
      <c r="AZ506" s="40"/>
      <c r="BA506" s="40"/>
      <c r="BB506" s="40"/>
      <c r="BC506" s="40"/>
      <c r="BD506" s="40"/>
      <c r="BE506" s="40"/>
      <c r="BF506" s="40"/>
      <c r="BG506" s="40"/>
      <c r="BH506" s="40"/>
      <c r="BI506" s="40"/>
    </row>
    <row r="507" ht="15.75" customHeight="1">
      <c r="A507" s="5" t="str">
        <f t="shared" si="94"/>
        <v>Salaires propriétaire</v>
      </c>
      <c r="B507" s="3"/>
      <c r="C507" s="668"/>
      <c r="V507" s="559" t="s">
        <v>198</v>
      </c>
      <c r="W507" s="707" t="s">
        <v>1074</v>
      </c>
      <c r="X507" s="700"/>
      <c r="Y507" s="700"/>
      <c r="Z507" s="701" t="str">
        <f t="array" ref="Z507">+SUMPRODUCT(('Budget original'!$A$8:$A$501=$A507)*('Budget original'!$C$3:$AO$3=Z$2),'Budget original'!$C$8:$AO$501)</f>
        <v>#N/A</v>
      </c>
      <c r="AA507" s="700"/>
      <c r="AB507" s="700"/>
      <c r="AC507" s="701"/>
      <c r="AD507" s="709"/>
      <c r="AE507" s="708"/>
      <c r="AF507" s="701">
        <f>SUMIFS(BV_Data_An_Cour!$AN:$AN,BV_Data_An_Cour!$AQ:$AQ,$V507)</f>
        <v>115357.51</v>
      </c>
      <c r="AG507" s="702"/>
      <c r="AH507" s="703" t="str">
        <f t="shared" si="122"/>
        <v>#N/A</v>
      </c>
      <c r="AI507" s="704" t="str">
        <f t="shared" ref="AI507:AI519" si="123">IF(Z507=0,0,AH507/Z507)</f>
        <v>#N/A</v>
      </c>
      <c r="AJ507" s="709"/>
      <c r="AK507" s="708"/>
      <c r="AL507" s="701">
        <f>SUMIFS(BV_Data_An_Prec!$AN:$AN,BV_Data_An_Prec!$AQ:$AQ,$V507)</f>
        <v>296318.27</v>
      </c>
      <c r="AM507" s="705"/>
      <c r="AN507" s="703">
        <f t="shared" si="121"/>
        <v>-180960.76</v>
      </c>
      <c r="AO507" s="710">
        <f t="shared" si="105"/>
        <v>-0.6106972749</v>
      </c>
      <c r="AP507" s="40"/>
      <c r="AQ507" s="40"/>
      <c r="AR507" s="40"/>
      <c r="AS507" s="40"/>
      <c r="AT507" s="40"/>
      <c r="AU507" s="40"/>
      <c r="AV507" s="40"/>
      <c r="AW507" s="40"/>
      <c r="AX507" s="40"/>
      <c r="AY507" s="40"/>
      <c r="AZ507" s="40"/>
      <c r="BA507" s="40"/>
      <c r="BB507" s="40"/>
      <c r="BC507" s="40"/>
      <c r="BD507" s="40"/>
      <c r="BE507" s="40"/>
      <c r="BF507" s="40"/>
      <c r="BG507" s="40"/>
      <c r="BH507" s="40"/>
      <c r="BI507" s="40"/>
    </row>
    <row r="508" ht="15.75" customHeight="1">
      <c r="A508" s="5" t="str">
        <f t="shared" si="94"/>
        <v>Salaires cadres</v>
      </c>
      <c r="B508" s="3"/>
      <c r="C508" s="668"/>
      <c r="V508" s="559" t="s">
        <v>119</v>
      </c>
      <c r="W508" s="707" t="s">
        <v>1075</v>
      </c>
      <c r="X508" s="700"/>
      <c r="Y508" s="700"/>
      <c r="Z508" s="701" t="str">
        <f t="shared" ref="Z508:Z519" si="124">+SUMIF($C:$C,$V508,F:F)</f>
        <v>#N/A</v>
      </c>
      <c r="AA508" s="700"/>
      <c r="AB508" s="700"/>
      <c r="AC508" s="701"/>
      <c r="AD508" s="709"/>
      <c r="AE508" s="708"/>
      <c r="AF508" s="701">
        <f t="shared" ref="AF508:AF519" si="125">+SUMIF($C:$C,$V508,L:L)</f>
        <v>456245.38</v>
      </c>
      <c r="AG508" s="702"/>
      <c r="AH508" s="703" t="str">
        <f t="shared" si="122"/>
        <v>#N/A</v>
      </c>
      <c r="AI508" s="704" t="str">
        <f t="shared" si="123"/>
        <v>#N/A</v>
      </c>
      <c r="AJ508" s="709"/>
      <c r="AK508" s="708"/>
      <c r="AL508" s="701">
        <f>SUMIFS(BV_Data_An_Prec!$AN:$AN,BV_Data_An_Prec!$AQ:$AQ,$V508)</f>
        <v>779660.48</v>
      </c>
      <c r="AM508" s="705"/>
      <c r="AN508" s="703">
        <f t="shared" si="121"/>
        <v>-323415.1</v>
      </c>
      <c r="AO508" s="710">
        <f t="shared" si="105"/>
        <v>-0.4148153052</v>
      </c>
      <c r="AP508" s="40"/>
      <c r="AQ508" s="40"/>
      <c r="AR508" s="40"/>
      <c r="AS508" s="40"/>
      <c r="AT508" s="40"/>
      <c r="AU508" s="40"/>
      <c r="AV508" s="40"/>
      <c r="AW508" s="40"/>
      <c r="AX508" s="40"/>
      <c r="AY508" s="40"/>
      <c r="AZ508" s="40"/>
      <c r="BA508" s="40"/>
      <c r="BB508" s="40"/>
      <c r="BC508" s="40"/>
      <c r="BD508" s="40"/>
      <c r="BE508" s="40"/>
      <c r="BF508" s="40"/>
      <c r="BG508" s="40"/>
      <c r="BH508" s="40"/>
      <c r="BI508" s="40"/>
    </row>
    <row r="509" ht="15.75" customHeight="1">
      <c r="A509" s="5" t="str">
        <f t="shared" si="94"/>
        <v>Salaires commis</v>
      </c>
      <c r="B509" s="3"/>
      <c r="C509" s="668"/>
      <c r="V509" s="560" t="s">
        <v>120</v>
      </c>
      <c r="W509" s="711" t="s">
        <v>1076</v>
      </c>
      <c r="X509" s="683"/>
      <c r="Y509" s="683"/>
      <c r="Z509" s="684" t="str">
        <f t="shared" si="124"/>
        <v>#N/A</v>
      </c>
      <c r="AA509" s="683"/>
      <c r="AB509" s="683"/>
      <c r="AC509" s="684"/>
      <c r="AD509" s="713"/>
      <c r="AE509" s="712"/>
      <c r="AF509" s="684">
        <f t="shared" si="125"/>
        <v>550033.2</v>
      </c>
      <c r="AG509" s="685"/>
      <c r="AH509" s="686" t="str">
        <f t="shared" si="122"/>
        <v>#N/A</v>
      </c>
      <c r="AI509" s="714" t="str">
        <f t="shared" si="123"/>
        <v>#N/A</v>
      </c>
      <c r="AJ509" s="713"/>
      <c r="AK509" s="712"/>
      <c r="AL509" s="684">
        <f>SUMIFS(BV_Data_An_Prec!$AN:$AN,BV_Data_An_Prec!$AQ:$AQ,$V509)</f>
        <v>696046.43</v>
      </c>
      <c r="AM509" s="688"/>
      <c r="AN509" s="686">
        <f t="shared" si="121"/>
        <v>-146013.23</v>
      </c>
      <c r="AO509" s="689">
        <f t="shared" si="105"/>
        <v>-0.2097751295</v>
      </c>
      <c r="AP509" s="40"/>
      <c r="AQ509" s="40"/>
      <c r="AR509" s="40"/>
      <c r="AS509" s="40"/>
      <c r="AT509" s="40"/>
      <c r="AU509" s="40"/>
      <c r="AV509" s="40"/>
      <c r="AW509" s="40"/>
      <c r="AX509" s="40"/>
      <c r="AY509" s="40"/>
      <c r="AZ509" s="40"/>
      <c r="BA509" s="40"/>
      <c r="BB509" s="40"/>
      <c r="BC509" s="40"/>
      <c r="BD509" s="40"/>
      <c r="BE509" s="40"/>
      <c r="BF509" s="40"/>
      <c r="BG509" s="40"/>
      <c r="BH509" s="40"/>
      <c r="BI509" s="40"/>
    </row>
    <row r="510" ht="15.75" customHeight="1">
      <c r="A510" s="5" t="str">
        <f t="shared" si="94"/>
        <v>Salaires autres</v>
      </c>
      <c r="B510" s="3"/>
      <c r="C510" s="668"/>
      <c r="V510" s="559" t="s">
        <v>121</v>
      </c>
      <c r="W510" s="707" t="s">
        <v>1077</v>
      </c>
      <c r="X510" s="700"/>
      <c r="Y510" s="700"/>
      <c r="Z510" s="701" t="str">
        <f t="shared" si="124"/>
        <v>#N/A</v>
      </c>
      <c r="AA510" s="700"/>
      <c r="AB510" s="700"/>
      <c r="AC510" s="701"/>
      <c r="AD510" s="709"/>
      <c r="AE510" s="708"/>
      <c r="AF510" s="701">
        <f t="shared" si="125"/>
        <v>343768.51</v>
      </c>
      <c r="AG510" s="702"/>
      <c r="AH510" s="703" t="str">
        <f t="shared" si="122"/>
        <v>#N/A</v>
      </c>
      <c r="AI510" s="704" t="str">
        <f t="shared" si="123"/>
        <v>#N/A</v>
      </c>
      <c r="AJ510" s="709"/>
      <c r="AK510" s="708"/>
      <c r="AL510" s="701">
        <f>SUMIFS(BV_Data_An_Prec!$AN:$AN,BV_Data_An_Prec!$AQ:$AQ,$V510)</f>
        <v>802814.48</v>
      </c>
      <c r="AM510" s="705"/>
      <c r="AN510" s="703">
        <f t="shared" si="121"/>
        <v>-459045.97</v>
      </c>
      <c r="AO510" s="710">
        <f t="shared" si="105"/>
        <v>-0.5717958276</v>
      </c>
      <c r="AP510" s="40"/>
      <c r="AQ510" s="40"/>
      <c r="AR510" s="40"/>
      <c r="AS510" s="40"/>
      <c r="AT510" s="40"/>
      <c r="AU510" s="40"/>
      <c r="AV510" s="40"/>
      <c r="AW510" s="40"/>
      <c r="AX510" s="40"/>
      <c r="AY510" s="40"/>
      <c r="AZ510" s="40"/>
      <c r="BA510" s="40"/>
      <c r="BB510" s="40"/>
      <c r="BC510" s="40"/>
      <c r="BD510" s="40"/>
      <c r="BE510" s="40"/>
      <c r="BF510" s="40"/>
      <c r="BG510" s="40"/>
      <c r="BH510" s="40"/>
      <c r="BI510" s="40"/>
    </row>
    <row r="511" ht="15.75" customHeight="1">
      <c r="A511" s="5" t="str">
        <f t="shared" si="94"/>
        <v>Salaires spécialistes</v>
      </c>
      <c r="B511" s="3"/>
      <c r="C511" s="668"/>
      <c r="V511" s="559" t="s">
        <v>122</v>
      </c>
      <c r="W511" s="707" t="s">
        <v>1078</v>
      </c>
      <c r="X511" s="700"/>
      <c r="Y511" s="700"/>
      <c r="Z511" s="701" t="str">
        <f t="shared" si="124"/>
        <v>#N/A</v>
      </c>
      <c r="AA511" s="700"/>
      <c r="AB511" s="700"/>
      <c r="AC511" s="701"/>
      <c r="AD511" s="709"/>
      <c r="AE511" s="708"/>
      <c r="AF511" s="701">
        <f t="shared" si="125"/>
        <v>50389.74</v>
      </c>
      <c r="AG511" s="702"/>
      <c r="AH511" s="703" t="str">
        <f t="shared" si="122"/>
        <v>#N/A</v>
      </c>
      <c r="AI511" s="704" t="str">
        <f t="shared" si="123"/>
        <v>#N/A</v>
      </c>
      <c r="AJ511" s="709"/>
      <c r="AK511" s="708"/>
      <c r="AL511" s="701">
        <f>SUMIFS(BV_Data_An_Prec!$AN:$AN,BV_Data_An_Prec!$AQ:$AQ,$V511)</f>
        <v>0</v>
      </c>
      <c r="AM511" s="705"/>
      <c r="AN511" s="703">
        <f t="shared" si="121"/>
        <v>50389.74</v>
      </c>
      <c r="AO511" s="710">
        <f t="shared" si="105"/>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ht="17.25" hidden="1" customHeight="1">
      <c r="A512" s="5" t="str">
        <f t="shared" si="94"/>
        <v>[...]</v>
      </c>
      <c r="B512" s="3"/>
      <c r="C512" s="668"/>
      <c r="V512" s="559" t="s">
        <v>56</v>
      </c>
      <c r="W512" s="707"/>
      <c r="X512" s="700"/>
      <c r="Y512" s="700"/>
      <c r="Z512" s="701" t="str">
        <f t="shared" si="124"/>
        <v>#N/A</v>
      </c>
      <c r="AA512" s="700"/>
      <c r="AB512" s="700"/>
      <c r="AC512" s="701"/>
      <c r="AD512" s="709"/>
      <c r="AE512" s="708"/>
      <c r="AF512" s="701">
        <f t="shared" si="125"/>
        <v>0</v>
      </c>
      <c r="AG512" s="702"/>
      <c r="AH512" s="703" t="str">
        <f t="shared" si="122"/>
        <v>#N/A</v>
      </c>
      <c r="AI512" s="704" t="str">
        <f t="shared" si="123"/>
        <v>#N/A</v>
      </c>
      <c r="AJ512" s="709"/>
      <c r="AK512" s="708"/>
      <c r="AL512" s="701">
        <f>SUMIFS(BV_Data_An_Prec!$AN:$AN,BV_Data_An_Prec!$AQ:$AQ,$V512)</f>
        <v>0</v>
      </c>
      <c r="AM512" s="705"/>
      <c r="AN512" s="703">
        <f t="shared" si="121"/>
        <v>0</v>
      </c>
      <c r="AO512" s="710">
        <f t="shared" si="105"/>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ht="17.25" hidden="1" customHeight="1">
      <c r="A513" s="5" t="str">
        <f t="shared" si="94"/>
        <v>[...]</v>
      </c>
      <c r="B513" s="3"/>
      <c r="C513" s="668"/>
      <c r="V513" s="559" t="s">
        <v>56</v>
      </c>
      <c r="W513" s="707"/>
      <c r="X513" s="700"/>
      <c r="Y513" s="700"/>
      <c r="Z513" s="701" t="str">
        <f t="shared" si="124"/>
        <v>#N/A</v>
      </c>
      <c r="AA513" s="700"/>
      <c r="AB513" s="700"/>
      <c r="AC513" s="701"/>
      <c r="AD513" s="709"/>
      <c r="AE513" s="708"/>
      <c r="AF513" s="701">
        <f t="shared" si="125"/>
        <v>0</v>
      </c>
      <c r="AG513" s="702"/>
      <c r="AH513" s="703" t="str">
        <f t="shared" si="122"/>
        <v>#N/A</v>
      </c>
      <c r="AI513" s="704" t="str">
        <f t="shared" si="123"/>
        <v>#N/A</v>
      </c>
      <c r="AJ513" s="709"/>
      <c r="AK513" s="708"/>
      <c r="AL513" s="701">
        <f>SUMIFS(BV_Data_An_Prec!$AN:$AN,BV_Data_An_Prec!$AQ:$AQ,$V513)</f>
        <v>0</v>
      </c>
      <c r="AM513" s="705"/>
      <c r="AN513" s="703">
        <f t="shared" si="121"/>
        <v>0</v>
      </c>
      <c r="AO513" s="710">
        <f t="shared" si="105"/>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ht="17.25" hidden="1" customHeight="1">
      <c r="A514" s="5" t="str">
        <f t="shared" si="94"/>
        <v>[...]</v>
      </c>
      <c r="B514" s="3"/>
      <c r="C514" s="668"/>
      <c r="V514" s="559" t="s">
        <v>56</v>
      </c>
      <c r="W514" s="707"/>
      <c r="X514" s="700"/>
      <c r="Y514" s="700"/>
      <c r="Z514" s="701" t="str">
        <f t="shared" si="124"/>
        <v>#N/A</v>
      </c>
      <c r="AA514" s="700"/>
      <c r="AB514" s="700"/>
      <c r="AC514" s="701"/>
      <c r="AD514" s="709"/>
      <c r="AE514" s="708"/>
      <c r="AF514" s="701">
        <f t="shared" si="125"/>
        <v>0</v>
      </c>
      <c r="AG514" s="702"/>
      <c r="AH514" s="703" t="str">
        <f t="shared" si="122"/>
        <v>#N/A</v>
      </c>
      <c r="AI514" s="704" t="str">
        <f t="shared" si="123"/>
        <v>#N/A</v>
      </c>
      <c r="AJ514" s="709"/>
      <c r="AK514" s="708"/>
      <c r="AL514" s="701">
        <f>SUMIFS(BV_Data_An_Prec!$AN:$AN,BV_Data_An_Prec!$AQ:$AQ,$V514)</f>
        <v>0</v>
      </c>
      <c r="AM514" s="705"/>
      <c r="AN514" s="703">
        <f t="shared" si="121"/>
        <v>0</v>
      </c>
      <c r="AO514" s="710">
        <f t="shared" si="105"/>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ht="15.75" customHeight="1">
      <c r="A515" s="5" t="str">
        <f t="shared" si="94"/>
        <v>Salaires en absences</v>
      </c>
      <c r="B515" s="3"/>
      <c r="C515" s="668"/>
      <c r="V515" s="560" t="s">
        <v>123</v>
      </c>
      <c r="W515" s="711" t="s">
        <v>1079</v>
      </c>
      <c r="X515" s="683"/>
      <c r="Y515" s="687"/>
      <c r="Z515" s="684" t="str">
        <f t="shared" si="124"/>
        <v>#N/A</v>
      </c>
      <c r="AA515" s="683"/>
      <c r="AB515" s="683"/>
      <c r="AC515" s="684"/>
      <c r="AD515" s="713"/>
      <c r="AE515" s="712"/>
      <c r="AF515" s="684">
        <f t="shared" si="125"/>
        <v>310947.83</v>
      </c>
      <c r="AG515" s="685"/>
      <c r="AH515" s="686" t="str">
        <f t="shared" si="122"/>
        <v>#N/A</v>
      </c>
      <c r="AI515" s="714" t="str">
        <f t="shared" si="123"/>
        <v>#N/A</v>
      </c>
      <c r="AJ515" s="713"/>
      <c r="AK515" s="712"/>
      <c r="AL515" s="684">
        <f>SUMIFS(BV_Data_An_Prec!$AN:$AN,BV_Data_An_Prec!$AQ:$AQ,$V515)</f>
        <v>339135.72</v>
      </c>
      <c r="AM515" s="688"/>
      <c r="AN515" s="686">
        <f t="shared" si="121"/>
        <v>-28187.89</v>
      </c>
      <c r="AO515" s="689">
        <f t="shared" si="105"/>
        <v>-0.08311684184</v>
      </c>
      <c r="AP515" s="40"/>
      <c r="AQ515" s="40"/>
      <c r="AR515" s="40"/>
      <c r="AS515" s="40"/>
      <c r="AT515" s="40"/>
      <c r="AU515" s="40"/>
      <c r="AV515" s="40"/>
      <c r="AW515" s="40"/>
      <c r="AX515" s="40"/>
      <c r="AY515" s="40"/>
      <c r="AZ515" s="40"/>
      <c r="BA515" s="40"/>
      <c r="BB515" s="40"/>
      <c r="BC515" s="40"/>
      <c r="BD515" s="40"/>
      <c r="BE515" s="40"/>
      <c r="BF515" s="40"/>
      <c r="BG515" s="40"/>
      <c r="BH515" s="40"/>
      <c r="BI515" s="40"/>
    </row>
    <row r="516" ht="15.75" customHeight="1">
      <c r="A516" s="5" t="str">
        <f t="shared" si="94"/>
        <v>Déduction à la source</v>
      </c>
      <c r="B516" s="3"/>
      <c r="C516" s="668"/>
      <c r="V516" s="559" t="s">
        <v>124</v>
      </c>
      <c r="W516" s="707" t="s">
        <v>1080</v>
      </c>
      <c r="X516" s="700"/>
      <c r="Y516" s="704"/>
      <c r="Z516" s="701" t="str">
        <f t="shared" si="124"/>
        <v>#N/A</v>
      </c>
      <c r="AA516" s="700"/>
      <c r="AB516" s="700"/>
      <c r="AC516" s="701"/>
      <c r="AD516" s="709"/>
      <c r="AE516" s="708"/>
      <c r="AF516" s="701">
        <f t="shared" si="125"/>
        <v>466269.91</v>
      </c>
      <c r="AG516" s="702"/>
      <c r="AH516" s="703" t="str">
        <f t="shared" si="122"/>
        <v>#N/A</v>
      </c>
      <c r="AI516" s="704" t="str">
        <f t="shared" si="123"/>
        <v>#N/A</v>
      </c>
      <c r="AJ516" s="709"/>
      <c r="AK516" s="708"/>
      <c r="AL516" s="701">
        <f>SUMIFS(BV_Data_An_Prec!$AN:$AN,BV_Data_An_Prec!$AQ:$AQ,$V516)</f>
        <v>447220.73</v>
      </c>
      <c r="AM516" s="705"/>
      <c r="AN516" s="703">
        <f t="shared" si="121"/>
        <v>19049.18</v>
      </c>
      <c r="AO516" s="710">
        <f t="shared" si="105"/>
        <v>0.04259458187</v>
      </c>
      <c r="AP516" s="40"/>
      <c r="AQ516" s="40"/>
      <c r="AR516" s="40"/>
      <c r="AS516" s="40"/>
      <c r="AT516" s="40"/>
      <c r="AU516" s="40"/>
      <c r="AV516" s="40"/>
      <c r="AW516" s="40"/>
      <c r="AX516" s="40"/>
      <c r="AY516" s="40"/>
      <c r="AZ516" s="40"/>
      <c r="BA516" s="40"/>
      <c r="BB516" s="40"/>
      <c r="BC516" s="40"/>
      <c r="BD516" s="40"/>
      <c r="BE516" s="40"/>
      <c r="BF516" s="40"/>
      <c r="BG516" s="40"/>
      <c r="BH516" s="40"/>
      <c r="BI516" s="40"/>
    </row>
    <row r="517" ht="15.75" customHeight="1">
      <c r="A517" s="5" t="str">
        <f t="shared" si="94"/>
        <v>Bénéfices marginaux</v>
      </c>
      <c r="B517" s="3"/>
      <c r="C517" s="668"/>
      <c r="V517" s="559" t="s">
        <v>125</v>
      </c>
      <c r="W517" s="707" t="s">
        <v>1081</v>
      </c>
      <c r="X517" s="700"/>
      <c r="Y517" s="704"/>
      <c r="Z517" s="701" t="str">
        <f t="shared" si="124"/>
        <v>#N/A</v>
      </c>
      <c r="AA517" s="700"/>
      <c r="AB517" s="700"/>
      <c r="AC517" s="701"/>
      <c r="AD517" s="709"/>
      <c r="AE517" s="708"/>
      <c r="AF517" s="701">
        <f t="shared" si="125"/>
        <v>141429.18</v>
      </c>
      <c r="AG517" s="702"/>
      <c r="AH517" s="703" t="str">
        <f t="shared" si="122"/>
        <v>#N/A</v>
      </c>
      <c r="AI517" s="704" t="str">
        <f t="shared" si="123"/>
        <v>#N/A</v>
      </c>
      <c r="AJ517" s="709"/>
      <c r="AK517" s="708"/>
      <c r="AL517" s="701">
        <f>SUMIFS(BV_Data_An_Prec!$AN:$AN,BV_Data_An_Prec!$AQ:$AQ,$V517)</f>
        <v>214406.85</v>
      </c>
      <c r="AM517" s="705"/>
      <c r="AN517" s="703">
        <f t="shared" si="121"/>
        <v>-72977.67</v>
      </c>
      <c r="AO517" s="710">
        <f t="shared" si="105"/>
        <v>-0.3403700488</v>
      </c>
      <c r="AP517" s="40"/>
      <c r="AQ517" s="40"/>
      <c r="AR517" s="40"/>
      <c r="AS517" s="40"/>
      <c r="AT517" s="40"/>
      <c r="AU517" s="40"/>
      <c r="AV517" s="40"/>
      <c r="AW517" s="40"/>
      <c r="AX517" s="40"/>
      <c r="AY517" s="40"/>
      <c r="AZ517" s="40"/>
      <c r="BA517" s="40"/>
      <c r="BB517" s="40"/>
      <c r="BC517" s="40"/>
      <c r="BD517" s="40"/>
      <c r="BE517" s="40"/>
      <c r="BF517" s="40"/>
      <c r="BG517" s="40"/>
      <c r="BH517" s="40"/>
      <c r="BI517" s="40"/>
    </row>
    <row r="518" ht="15.75" customHeight="1">
      <c r="A518" s="5" t="str">
        <f t="shared" si="94"/>
        <v>Csst</v>
      </c>
      <c r="B518" s="3"/>
      <c r="C518" s="668"/>
      <c r="V518" s="559" t="s">
        <v>126</v>
      </c>
      <c r="W518" s="707"/>
      <c r="X518" s="700"/>
      <c r="Y518" s="700"/>
      <c r="Z518" s="701" t="str">
        <f t="shared" si="124"/>
        <v>#N/A</v>
      </c>
      <c r="AA518" s="700"/>
      <c r="AB518" s="700"/>
      <c r="AC518" s="701"/>
      <c r="AD518" s="709"/>
      <c r="AE518" s="708"/>
      <c r="AF518" s="701">
        <f t="shared" si="125"/>
        <v>95018.57</v>
      </c>
      <c r="AG518" s="702"/>
      <c r="AH518" s="703" t="str">
        <f t="shared" si="122"/>
        <v>#N/A</v>
      </c>
      <c r="AI518" s="723" t="str">
        <f t="shared" si="123"/>
        <v>#N/A</v>
      </c>
      <c r="AJ518" s="709"/>
      <c r="AK518" s="708"/>
      <c r="AL518" s="701">
        <f>SUMIFS(BV_Data_An_Prec!$AN:$AN,BV_Data_An_Prec!$AQ:$AQ,$V518)</f>
        <v>12326.74</v>
      </c>
      <c r="AM518" s="705"/>
      <c r="AN518" s="703">
        <f t="shared" si="121"/>
        <v>82691.83</v>
      </c>
      <c r="AO518" s="710">
        <f t="shared" si="105"/>
        <v>6.70832921</v>
      </c>
      <c r="AP518" s="40"/>
      <c r="AQ518" s="40"/>
      <c r="AR518" s="40"/>
      <c r="AS518" s="40"/>
      <c r="AT518" s="40"/>
      <c r="AU518" s="40"/>
      <c r="AV518" s="40"/>
      <c r="AW518" s="40"/>
      <c r="AX518" s="40"/>
      <c r="AY518" s="40"/>
      <c r="AZ518" s="40"/>
      <c r="BA518" s="40"/>
      <c r="BB518" s="40"/>
      <c r="BC518" s="40"/>
      <c r="BD518" s="40"/>
      <c r="BE518" s="40"/>
      <c r="BF518" s="40"/>
      <c r="BG518" s="40"/>
      <c r="BH518" s="40"/>
      <c r="BI518" s="40"/>
    </row>
    <row r="519" ht="20.25" hidden="1" customHeight="1">
      <c r="A519" s="5" t="str">
        <f t="shared" si="94"/>
        <v>[...]</v>
      </c>
      <c r="B519" s="3"/>
      <c r="C519" s="668"/>
      <c r="V519" s="480" t="s">
        <v>56</v>
      </c>
      <c r="W519" s="707"/>
      <c r="X519" s="700"/>
      <c r="Y519" s="708"/>
      <c r="Z519" s="701" t="str">
        <f t="shared" si="124"/>
        <v>#N/A</v>
      </c>
      <c r="AA519" s="700"/>
      <c r="AB519" s="700"/>
      <c r="AC519" s="701"/>
      <c r="AD519" s="709"/>
      <c r="AE519" s="708"/>
      <c r="AF519" s="701">
        <f t="shared" si="125"/>
        <v>0</v>
      </c>
      <c r="AG519" s="702"/>
      <c r="AH519" s="703" t="str">
        <f t="shared" si="122"/>
        <v>#N/A</v>
      </c>
      <c r="AI519" s="704" t="str">
        <f t="shared" si="123"/>
        <v>#N/A</v>
      </c>
      <c r="AJ519" s="709"/>
      <c r="AK519" s="708"/>
      <c r="AL519" s="701"/>
      <c r="AM519" s="705"/>
      <c r="AN519" s="703">
        <f t="shared" si="121"/>
        <v>0</v>
      </c>
      <c r="AO519" s="689">
        <f t="shared" si="105"/>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ht="21.0" customHeight="1">
      <c r="A520" s="5" t="str">
        <f t="shared" si="94"/>
        <v>TOTAL PERSONNEL</v>
      </c>
      <c r="B520" s="3"/>
      <c r="C520" s="668"/>
      <c r="V520" s="715" t="s">
        <v>127</v>
      </c>
      <c r="W520" s="716"/>
      <c r="X520" s="717" t="str">
        <f>Z520/Z494</f>
        <v>#N/A</v>
      </c>
      <c r="Y520" s="716"/>
      <c r="Z520" s="718" t="str">
        <f>SUM(Z507:Z519)</f>
        <v>#N/A</v>
      </c>
      <c r="AA520" s="717"/>
      <c r="AB520" s="716"/>
      <c r="AC520" s="718"/>
      <c r="AD520" s="719">
        <f>AF520/AF494</f>
        <v>0.372640127</v>
      </c>
      <c r="AE520" s="724"/>
      <c r="AF520" s="718">
        <f>SUM(AF507:AF519)</f>
        <v>2529459.83</v>
      </c>
      <c r="AG520" s="721"/>
      <c r="AH520" s="720" t="str">
        <f t="shared" si="122"/>
        <v>#N/A</v>
      </c>
      <c r="AI520" s="717" t="str">
        <f>AH520/Z520</f>
        <v>#N/A</v>
      </c>
      <c r="AJ520" s="719">
        <f>IF($AL$494=0,0,AL520/$AL$494)</f>
        <v>0.446102477</v>
      </c>
      <c r="AK520" s="724"/>
      <c r="AL520" s="718">
        <f>SUM(AL507:AL519)</f>
        <v>3587929.7</v>
      </c>
      <c r="AM520" s="722"/>
      <c r="AN520" s="720">
        <f t="shared" si="121"/>
        <v>-1058469.87</v>
      </c>
      <c r="AO520" s="698">
        <f t="shared" si="105"/>
        <v>-0.295008531</v>
      </c>
      <c r="AP520" s="40"/>
      <c r="AQ520" s="40"/>
      <c r="AR520" s="40"/>
      <c r="AS520" s="40"/>
      <c r="AT520" s="40"/>
      <c r="AU520" s="40"/>
      <c r="AV520" s="40"/>
      <c r="AW520" s="40"/>
      <c r="AX520" s="40"/>
      <c r="AY520" s="40"/>
      <c r="AZ520" s="40"/>
      <c r="BA520" s="40"/>
      <c r="BB520" s="40"/>
      <c r="BC520" s="40"/>
      <c r="BD520" s="40"/>
      <c r="BE520" s="40"/>
      <c r="BF520" s="40"/>
      <c r="BG520" s="40"/>
      <c r="BH520" s="40"/>
      <c r="BI520" s="40"/>
    </row>
    <row r="521" ht="15.75" customHeight="1">
      <c r="A521" s="5" t="str">
        <f t="shared" si="94"/>
        <v>Publicité 2</v>
      </c>
      <c r="B521" s="3"/>
      <c r="C521" s="668"/>
      <c r="V521" s="654" t="s">
        <v>128</v>
      </c>
      <c r="W521" s="725" t="s">
        <v>1072</v>
      </c>
      <c r="X521" s="726"/>
      <c r="Y521" s="726"/>
      <c r="Z521" s="727" t="str">
        <f t="shared" ref="Z521:Z538" si="126">+SUMIF($C:$C,$V521,F:F)</f>
        <v>#N/A</v>
      </c>
      <c r="AA521" s="726"/>
      <c r="AB521" s="726"/>
      <c r="AC521" s="727"/>
      <c r="AD521" s="728"/>
      <c r="AE521" s="729"/>
      <c r="AF521" s="727">
        <f t="shared" ref="AF521:AF525" si="127">+SUMIF($C:$C,$V521,L:L)</f>
        <v>40862.75</v>
      </c>
      <c r="AG521" s="728"/>
      <c r="AH521" s="730" t="str">
        <f t="shared" si="122"/>
        <v>#N/A</v>
      </c>
      <c r="AI521" s="731" t="str">
        <f t="shared" ref="AI521:AI538" si="128">IF(Z521=0,0,AH521/Z521)</f>
        <v>#N/A</v>
      </c>
      <c r="AJ521" s="728"/>
      <c r="AK521" s="729"/>
      <c r="AL521" s="727">
        <f>SUMIFS(BV_Data_An_Prec!$AN:$AN,BV_Data_An_Prec!$AQ:$AQ,$V521)</f>
        <v>33290.09</v>
      </c>
      <c r="AM521" s="732"/>
      <c r="AN521" s="730">
        <f t="shared" si="121"/>
        <v>7572.66</v>
      </c>
      <c r="AO521" s="706">
        <f t="shared" si="105"/>
        <v>0.2274749032</v>
      </c>
      <c r="AP521" s="40"/>
      <c r="AQ521" s="40"/>
      <c r="AR521" s="40"/>
      <c r="AS521" s="40"/>
      <c r="AT521" s="40"/>
      <c r="AU521" s="40"/>
      <c r="AV521" s="40"/>
      <c r="AW521" s="40"/>
      <c r="AX521" s="40"/>
      <c r="AY521" s="40"/>
      <c r="AZ521" s="40"/>
      <c r="BA521" s="40"/>
      <c r="BB521" s="40"/>
      <c r="BC521" s="40"/>
      <c r="BD521" s="40"/>
      <c r="BE521" s="40"/>
      <c r="BF521" s="40"/>
      <c r="BG521" s="40"/>
      <c r="BH521" s="40"/>
      <c r="BI521" s="40"/>
    </row>
    <row r="522" ht="15.75" customHeight="1">
      <c r="A522" s="5" t="str">
        <f t="shared" si="94"/>
        <v>Service gratuit 2</v>
      </c>
      <c r="B522" s="3"/>
      <c r="C522" s="668"/>
      <c r="V522" s="559" t="s">
        <v>129</v>
      </c>
      <c r="W522" s="707" t="s">
        <v>1082</v>
      </c>
      <c r="X522" s="700"/>
      <c r="Y522" s="700"/>
      <c r="Z522" s="701" t="str">
        <f t="shared" si="126"/>
        <v>#N/A</v>
      </c>
      <c r="AA522" s="700"/>
      <c r="AB522" s="700"/>
      <c r="AC522" s="701"/>
      <c r="AD522" s="709"/>
      <c r="AE522" s="708"/>
      <c r="AF522" s="701">
        <f t="shared" si="127"/>
        <v>42507.29</v>
      </c>
      <c r="AG522" s="702"/>
      <c r="AH522" s="703" t="str">
        <f t="shared" si="122"/>
        <v>#N/A</v>
      </c>
      <c r="AI522" s="704" t="str">
        <f t="shared" si="128"/>
        <v>#N/A</v>
      </c>
      <c r="AJ522" s="709"/>
      <c r="AK522" s="708"/>
      <c r="AL522" s="701">
        <f>SUMIFS(BV_Data_An_Prec!$AN:$AN,BV_Data_An_Prec!$AQ:$AQ,$V522)</f>
        <v>34240.81</v>
      </c>
      <c r="AM522" s="705"/>
      <c r="AN522" s="703">
        <f t="shared" si="121"/>
        <v>8266.48</v>
      </c>
      <c r="AO522" s="710">
        <f t="shared" si="105"/>
        <v>0.2414218589</v>
      </c>
      <c r="AP522" s="40"/>
      <c r="AQ522" s="40"/>
      <c r="AR522" s="40"/>
      <c r="AS522" s="40"/>
      <c r="AT522" s="40"/>
      <c r="AU522" s="40"/>
      <c r="AV522" s="40"/>
      <c r="AW522" s="40"/>
      <c r="AX522" s="40"/>
      <c r="AY522" s="40"/>
      <c r="AZ522" s="40"/>
      <c r="BA522" s="40"/>
      <c r="BB522" s="40"/>
      <c r="BC522" s="40"/>
      <c r="BD522" s="40"/>
      <c r="BE522" s="40"/>
      <c r="BF522" s="40"/>
      <c r="BG522" s="40"/>
      <c r="BH522" s="40"/>
      <c r="BI522" s="40"/>
    </row>
    <row r="523" ht="15.75" customHeight="1">
      <c r="A523" s="5" t="str">
        <f t="shared" si="94"/>
        <v>Frais véhicules de cie</v>
      </c>
      <c r="B523" s="3"/>
      <c r="C523" s="668"/>
      <c r="U523" s="799"/>
      <c r="V523" s="560" t="s">
        <v>130</v>
      </c>
      <c r="W523" s="711" t="s">
        <v>1083</v>
      </c>
      <c r="X523" s="683"/>
      <c r="Y523" s="683"/>
      <c r="Z523" s="684" t="str">
        <f t="shared" si="126"/>
        <v>#N/A</v>
      </c>
      <c r="AA523" s="683"/>
      <c r="AB523" s="683"/>
      <c r="AC523" s="684"/>
      <c r="AD523" s="713"/>
      <c r="AE523" s="712"/>
      <c r="AF523" s="684">
        <f t="shared" si="127"/>
        <v>211146.6</v>
      </c>
      <c r="AG523" s="685"/>
      <c r="AH523" s="686" t="str">
        <f t="shared" si="122"/>
        <v>#N/A</v>
      </c>
      <c r="AI523" s="714" t="str">
        <f t="shared" si="128"/>
        <v>#N/A</v>
      </c>
      <c r="AJ523" s="713"/>
      <c r="AK523" s="712"/>
      <c r="AL523" s="684">
        <f>SUMIFS(BV_Data_An_Prec!$AN:$AN,BV_Data_An_Prec!$AQ:$AQ,$V523)</f>
        <v>92659.84</v>
      </c>
      <c r="AM523" s="688"/>
      <c r="AN523" s="686">
        <f t="shared" si="121"/>
        <v>118486.76</v>
      </c>
      <c r="AO523" s="689">
        <f t="shared" si="105"/>
        <v>1.278728303</v>
      </c>
      <c r="AP523" s="40"/>
      <c r="AQ523" s="40"/>
      <c r="AR523" s="40"/>
      <c r="AS523" s="40"/>
      <c r="AT523" s="40"/>
      <c r="AU523" s="40"/>
      <c r="AV523" s="40"/>
      <c r="AW523" s="40"/>
      <c r="AX523" s="40"/>
      <c r="AY523" s="40"/>
      <c r="AZ523" s="40"/>
      <c r="BA523" s="40"/>
      <c r="BB523" s="40"/>
      <c r="BC523" s="40"/>
      <c r="BD523" s="40"/>
      <c r="BE523" s="40"/>
      <c r="BF523" s="40"/>
      <c r="BG523" s="40"/>
      <c r="BH523" s="40"/>
      <c r="BI523" s="40"/>
    </row>
    <row r="524" ht="15.75" customHeight="1">
      <c r="A524" s="5" t="str">
        <f t="shared" si="94"/>
        <v>Informatique</v>
      </c>
      <c r="B524" s="3"/>
      <c r="C524" s="668"/>
      <c r="U524" s="799"/>
      <c r="V524" s="559" t="s">
        <v>131</v>
      </c>
      <c r="W524" s="707" t="s">
        <v>1084</v>
      </c>
      <c r="X524" s="700"/>
      <c r="Y524" s="700"/>
      <c r="Z524" s="701" t="str">
        <f t="shared" si="126"/>
        <v>#N/A</v>
      </c>
      <c r="AA524" s="700"/>
      <c r="AB524" s="700"/>
      <c r="AC524" s="701"/>
      <c r="AD524" s="709"/>
      <c r="AE524" s="708"/>
      <c r="AF524" s="701">
        <f t="shared" si="127"/>
        <v>110705.99</v>
      </c>
      <c r="AG524" s="702"/>
      <c r="AH524" s="703" t="str">
        <f t="shared" si="122"/>
        <v>#N/A</v>
      </c>
      <c r="AI524" s="704" t="str">
        <f t="shared" si="128"/>
        <v>#N/A</v>
      </c>
      <c r="AJ524" s="709"/>
      <c r="AK524" s="708"/>
      <c r="AL524" s="701">
        <f>SUMIFS(BV_Data_An_Prec!$AN:$AN,BV_Data_An_Prec!$AQ:$AQ,$V524)</f>
        <v>108807.36</v>
      </c>
      <c r="AM524" s="705"/>
      <c r="AN524" s="703">
        <f t="shared" si="121"/>
        <v>1898.63</v>
      </c>
      <c r="AO524" s="710">
        <f t="shared" si="105"/>
        <v>0.01744946298</v>
      </c>
      <c r="AP524" s="40"/>
      <c r="AQ524" s="40"/>
      <c r="AR524" s="40"/>
      <c r="AS524" s="40"/>
      <c r="AT524" s="40"/>
      <c r="AU524" s="40"/>
      <c r="AV524" s="40"/>
      <c r="AW524" s="40"/>
      <c r="AX524" s="40"/>
      <c r="AY524" s="40"/>
      <c r="AZ524" s="40"/>
      <c r="BA524" s="40"/>
      <c r="BB524" s="40"/>
      <c r="BC524" s="40"/>
      <c r="BD524" s="40"/>
      <c r="BE524" s="40"/>
      <c r="BF524" s="40"/>
      <c r="BG524" s="40"/>
      <c r="BH524" s="40"/>
      <c r="BI524" s="40"/>
    </row>
    <row r="525" ht="15.75" customHeight="1">
      <c r="A525" s="5" t="str">
        <f t="shared" si="94"/>
        <v>Frais de déplacement</v>
      </c>
      <c r="B525" s="3"/>
      <c r="C525" s="668"/>
      <c r="U525" s="799"/>
      <c r="V525" s="559" t="s">
        <v>132</v>
      </c>
      <c r="W525" s="707" t="s">
        <v>1085</v>
      </c>
      <c r="X525" s="700"/>
      <c r="Y525" s="700"/>
      <c r="Z525" s="701" t="str">
        <f t="shared" si="126"/>
        <v>#N/A</v>
      </c>
      <c r="AA525" s="700"/>
      <c r="AB525" s="700"/>
      <c r="AC525" s="701"/>
      <c r="AD525" s="709"/>
      <c r="AE525" s="708"/>
      <c r="AF525" s="701">
        <f t="shared" si="127"/>
        <v>77126.28</v>
      </c>
      <c r="AG525" s="702"/>
      <c r="AH525" s="703" t="str">
        <f t="shared" si="122"/>
        <v>#N/A</v>
      </c>
      <c r="AI525" s="704" t="str">
        <f t="shared" si="128"/>
        <v>#N/A</v>
      </c>
      <c r="AJ525" s="709"/>
      <c r="AK525" s="708"/>
      <c r="AL525" s="701">
        <f>SUMIFS(BV_Data_An_Prec!$AN:$AN,BV_Data_An_Prec!$AQ:$AQ,$V525)</f>
        <v>118664.27</v>
      </c>
      <c r="AM525" s="705"/>
      <c r="AN525" s="703">
        <f t="shared" si="121"/>
        <v>-41537.99</v>
      </c>
      <c r="AO525" s="710">
        <f t="shared" si="105"/>
        <v>-0.3500463113</v>
      </c>
      <c r="AP525" s="40"/>
      <c r="AQ525" s="40"/>
      <c r="AR525" s="40"/>
      <c r="AS525" s="40"/>
      <c r="AT525" s="40"/>
      <c r="AU525" s="40"/>
      <c r="AV525" s="40"/>
      <c r="AW525" s="40"/>
      <c r="AX525" s="40"/>
      <c r="AY525" s="40"/>
      <c r="AZ525" s="40"/>
      <c r="BA525" s="40"/>
      <c r="BB525" s="40"/>
      <c r="BC525" s="40"/>
      <c r="BD525" s="40"/>
      <c r="BE525" s="40"/>
      <c r="BF525" s="40"/>
      <c r="BG525" s="40"/>
      <c r="BH525" s="40"/>
      <c r="BI525" s="40"/>
    </row>
    <row r="526" ht="15.75" customHeight="1">
      <c r="A526" s="5" t="str">
        <f t="shared" si="94"/>
        <v>Services extérieurs</v>
      </c>
      <c r="B526" s="3"/>
      <c r="C526" s="668"/>
      <c r="V526" s="559" t="s">
        <v>133</v>
      </c>
      <c r="W526" s="707" t="s">
        <v>1086</v>
      </c>
      <c r="X526" s="700"/>
      <c r="Y526" s="700"/>
      <c r="Z526" s="701" t="str">
        <f t="shared" si="126"/>
        <v>#N/A</v>
      </c>
      <c r="AA526" s="700"/>
      <c r="AB526" s="700"/>
      <c r="AC526" s="701"/>
      <c r="AD526" s="709"/>
      <c r="AE526" s="708"/>
      <c r="AF526" s="701">
        <f>SUMIFS(BV_Data_An_Cour!$AN:$AN,BV_Data_An_Cour!$AQ:$AQ,$V526)</f>
        <v>250100.19</v>
      </c>
      <c r="AG526" s="702"/>
      <c r="AH526" s="703" t="str">
        <f t="shared" si="122"/>
        <v>#N/A</v>
      </c>
      <c r="AI526" s="704" t="str">
        <f t="shared" si="128"/>
        <v>#N/A</v>
      </c>
      <c r="AJ526" s="709"/>
      <c r="AK526" s="708"/>
      <c r="AL526" s="701">
        <f>SUMIFS(BV_Data_An_Prec!$AN:$AN,BV_Data_An_Prec!$AQ:$AQ,$V526)</f>
        <v>279042.25</v>
      </c>
      <c r="AM526" s="705"/>
      <c r="AN526" s="703">
        <f t="shared" si="121"/>
        <v>-28942.06</v>
      </c>
      <c r="AO526" s="710">
        <f t="shared" si="105"/>
        <v>-0.1037192755</v>
      </c>
      <c r="AP526" s="40"/>
      <c r="AQ526" s="40"/>
      <c r="AR526" s="40"/>
      <c r="AS526" s="40"/>
      <c r="AT526" s="40"/>
      <c r="AU526" s="40"/>
      <c r="AV526" s="40"/>
      <c r="AW526" s="40"/>
      <c r="AX526" s="40"/>
      <c r="AY526" s="40"/>
      <c r="AZ526" s="40"/>
      <c r="BA526" s="40"/>
      <c r="BB526" s="40"/>
      <c r="BC526" s="40"/>
      <c r="BD526" s="40"/>
      <c r="BE526" s="40"/>
      <c r="BF526" s="40"/>
      <c r="BG526" s="40"/>
      <c r="BH526" s="40"/>
      <c r="BI526" s="40"/>
    </row>
    <row r="527" ht="15.75" customHeight="1">
      <c r="A527" s="284" t="s">
        <v>173</v>
      </c>
      <c r="B527" s="3"/>
      <c r="C527" s="668"/>
      <c r="V527" s="654" t="s">
        <v>173</v>
      </c>
      <c r="W527" s="725"/>
      <c r="X527" s="726"/>
      <c r="Y527" s="726"/>
      <c r="Z527" s="727" t="str">
        <f t="shared" si="126"/>
        <v>#N/A</v>
      </c>
      <c r="AA527" s="726"/>
      <c r="AB527" s="726"/>
      <c r="AC527" s="727"/>
      <c r="AD527" s="728"/>
      <c r="AE527" s="729"/>
      <c r="AF527" s="727">
        <f t="shared" ref="AF527:AF532" si="129">+SUMIF($C:$C,$V527,L:L)</f>
        <v>0</v>
      </c>
      <c r="AG527" s="734"/>
      <c r="AH527" s="730" t="str">
        <f t="shared" si="122"/>
        <v>#N/A</v>
      </c>
      <c r="AI527" s="731" t="str">
        <f t="shared" si="128"/>
        <v>#N/A</v>
      </c>
      <c r="AJ527" s="728"/>
      <c r="AK527" s="729"/>
      <c r="AL527" s="727">
        <f>SUMIFS(BV_Data_An_Prec!$AN:$AN,BV_Data_An_Prec!$AQ:$AQ,$V527)</f>
        <v>0</v>
      </c>
      <c r="AM527" s="732"/>
      <c r="AN527" s="730">
        <f t="shared" si="121"/>
        <v>0</v>
      </c>
      <c r="AO527" s="706">
        <f t="shared" si="105"/>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ht="15.75" customHeight="1">
      <c r="A528" s="5" t="str">
        <f t="shared" ref="A528:A574" si="130">+U528&amp;V528</f>
        <v>Fournitures autres</v>
      </c>
      <c r="B528" s="3"/>
      <c r="C528" s="668"/>
      <c r="V528" s="559" t="s">
        <v>134</v>
      </c>
      <c r="W528" s="707" t="s">
        <v>1087</v>
      </c>
      <c r="X528" s="700"/>
      <c r="Y528" s="708"/>
      <c r="Z528" s="701" t="str">
        <f t="shared" si="126"/>
        <v>#N/A</v>
      </c>
      <c r="AA528" s="700"/>
      <c r="AB528" s="708"/>
      <c r="AC528" s="701"/>
      <c r="AD528" s="709"/>
      <c r="AE528" s="708"/>
      <c r="AF528" s="701">
        <f t="shared" si="129"/>
        <v>143655.32</v>
      </c>
      <c r="AG528" s="702"/>
      <c r="AH528" s="703" t="str">
        <f t="shared" si="122"/>
        <v>#N/A</v>
      </c>
      <c r="AI528" s="704" t="str">
        <f t="shared" si="128"/>
        <v>#N/A</v>
      </c>
      <c r="AJ528" s="709"/>
      <c r="AK528" s="708"/>
      <c r="AL528" s="701">
        <f>SUMIFS(BV_Data_An_Prec!$AN:$AN,BV_Data_An_Prec!$AQ:$AQ,$V528)</f>
        <v>79462.27</v>
      </c>
      <c r="AM528" s="705"/>
      <c r="AN528" s="703">
        <f t="shared" si="121"/>
        <v>64193.05</v>
      </c>
      <c r="AO528" s="710">
        <f t="shared" si="105"/>
        <v>0.8078431437</v>
      </c>
      <c r="AP528" s="40"/>
      <c r="AQ528" s="40"/>
      <c r="AR528" s="40"/>
      <c r="AS528" s="40"/>
      <c r="AT528" s="40"/>
      <c r="AU528" s="40"/>
      <c r="AV528" s="40"/>
      <c r="AW528" s="40"/>
      <c r="AX528" s="40"/>
      <c r="AY528" s="40"/>
      <c r="AZ528" s="40"/>
      <c r="BA528" s="40"/>
      <c r="BB528" s="40"/>
      <c r="BC528" s="40"/>
      <c r="BD528" s="40"/>
      <c r="BE528" s="40"/>
      <c r="BF528" s="40"/>
      <c r="BG528" s="40"/>
      <c r="BH528" s="40"/>
      <c r="BI528" s="40"/>
    </row>
    <row r="529" ht="15.75" customHeight="1">
      <c r="A529" s="5" t="str">
        <f t="shared" si="130"/>
        <v>Uniformes</v>
      </c>
      <c r="B529" s="3"/>
      <c r="C529" s="668"/>
      <c r="U529" s="40"/>
      <c r="V529" s="559" t="s">
        <v>135</v>
      </c>
      <c r="W529" s="707" t="s">
        <v>1088</v>
      </c>
      <c r="X529" s="700"/>
      <c r="Y529" s="700"/>
      <c r="Z529" s="701" t="str">
        <f t="shared" si="126"/>
        <v>#N/A</v>
      </c>
      <c r="AA529" s="700"/>
      <c r="AB529" s="700"/>
      <c r="AC529" s="701"/>
      <c r="AD529" s="709"/>
      <c r="AE529" s="708"/>
      <c r="AF529" s="701">
        <f t="shared" si="129"/>
        <v>4869.74</v>
      </c>
      <c r="AG529" s="702"/>
      <c r="AH529" s="703" t="str">
        <f t="shared" si="122"/>
        <v>#N/A</v>
      </c>
      <c r="AI529" s="723" t="str">
        <f t="shared" si="128"/>
        <v>#N/A</v>
      </c>
      <c r="AJ529" s="709"/>
      <c r="AK529" s="708"/>
      <c r="AL529" s="701">
        <f>SUMIFS(BV_Data_An_Prec!$AN:$AN,BV_Data_An_Prec!$AQ:$AQ,$V529)</f>
        <v>0</v>
      </c>
      <c r="AM529" s="705"/>
      <c r="AN529" s="703">
        <f t="shared" si="121"/>
        <v>4869.74</v>
      </c>
      <c r="AO529" s="710">
        <f t="shared" si="105"/>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ht="15.75" customHeight="1">
      <c r="A530" s="5" t="str">
        <f t="shared" si="130"/>
        <v>Papeterie</v>
      </c>
      <c r="B530" s="3"/>
      <c r="C530" s="668"/>
      <c r="T530" s="40"/>
      <c r="U530" s="40"/>
      <c r="V530" s="559" t="s">
        <v>136</v>
      </c>
      <c r="W530" s="707" t="s">
        <v>1089</v>
      </c>
      <c r="X530" s="700"/>
      <c r="Y530" s="700"/>
      <c r="Z530" s="701" t="str">
        <f t="shared" si="126"/>
        <v>#N/A</v>
      </c>
      <c r="AA530" s="700"/>
      <c r="AB530" s="700"/>
      <c r="AC530" s="701"/>
      <c r="AD530" s="709"/>
      <c r="AE530" s="708"/>
      <c r="AF530" s="701">
        <f t="shared" si="129"/>
        <v>43542.24</v>
      </c>
      <c r="AG530" s="702"/>
      <c r="AH530" s="703" t="str">
        <f t="shared" si="122"/>
        <v>#N/A</v>
      </c>
      <c r="AI530" s="704" t="str">
        <f t="shared" si="128"/>
        <v>#N/A</v>
      </c>
      <c r="AJ530" s="709"/>
      <c r="AK530" s="708"/>
      <c r="AL530" s="701">
        <f>SUMIFS(BV_Data_An_Prec!$AN:$AN,BV_Data_An_Prec!$AQ:$AQ,$V530)</f>
        <v>48402.64</v>
      </c>
      <c r="AM530" s="705"/>
      <c r="AN530" s="703">
        <f t="shared" si="121"/>
        <v>-4860.4</v>
      </c>
      <c r="AO530" s="710">
        <f t="shared" si="105"/>
        <v>-0.1004160104</v>
      </c>
      <c r="AP530" s="40"/>
      <c r="AQ530" s="40"/>
      <c r="AR530" s="40"/>
      <c r="AS530" s="40"/>
      <c r="AT530" s="40"/>
      <c r="AU530" s="40"/>
      <c r="AV530" s="40"/>
      <c r="AW530" s="40"/>
      <c r="AX530" s="40"/>
      <c r="AY530" s="40"/>
      <c r="AZ530" s="40"/>
      <c r="BA530" s="40"/>
      <c r="BB530" s="40"/>
      <c r="BC530" s="40"/>
      <c r="BD530" s="40"/>
      <c r="BE530" s="40"/>
      <c r="BF530" s="40"/>
      <c r="BG530" s="40"/>
      <c r="BH530" s="40"/>
      <c r="BI530" s="40"/>
    </row>
    <row r="531" ht="15.75" customHeight="1">
      <c r="A531" s="5" t="str">
        <f t="shared" si="130"/>
        <v>Téléphone</v>
      </c>
      <c r="B531" s="3"/>
      <c r="C531" s="668"/>
      <c r="T531" s="40"/>
      <c r="U531" s="40"/>
      <c r="V531" s="559" t="s">
        <v>137</v>
      </c>
      <c r="W531" s="707" t="s">
        <v>1090</v>
      </c>
      <c r="X531" s="700"/>
      <c r="Y531" s="700"/>
      <c r="Z531" s="701" t="str">
        <f t="shared" si="126"/>
        <v>#N/A</v>
      </c>
      <c r="AA531" s="700"/>
      <c r="AB531" s="700"/>
      <c r="AC531" s="701"/>
      <c r="AD531" s="709"/>
      <c r="AE531" s="708"/>
      <c r="AF531" s="701">
        <f t="shared" si="129"/>
        <v>17365.68</v>
      </c>
      <c r="AG531" s="702"/>
      <c r="AH531" s="703" t="str">
        <f t="shared" si="122"/>
        <v>#N/A</v>
      </c>
      <c r="AI531" s="723" t="str">
        <f t="shared" si="128"/>
        <v>#N/A</v>
      </c>
      <c r="AJ531" s="709"/>
      <c r="AK531" s="708"/>
      <c r="AL531" s="701">
        <f>SUMIFS(BV_Data_An_Prec!$AN:$AN,BV_Data_An_Prec!$AQ:$AQ,$V531)</f>
        <v>29802.04</v>
      </c>
      <c r="AM531" s="705"/>
      <c r="AN531" s="703">
        <f t="shared" si="121"/>
        <v>-12436.36</v>
      </c>
      <c r="AO531" s="710">
        <f t="shared" si="105"/>
        <v>-0.41729895</v>
      </c>
      <c r="AP531" s="40"/>
      <c r="AQ531" s="40"/>
      <c r="AR531" s="40"/>
      <c r="AS531" s="40"/>
      <c r="AT531" s="40"/>
      <c r="AU531" s="40"/>
      <c r="AV531" s="40"/>
      <c r="AW531" s="40"/>
      <c r="AX531" s="40"/>
      <c r="AY531" s="40"/>
      <c r="AZ531" s="40"/>
      <c r="BA531" s="40"/>
      <c r="BB531" s="40"/>
      <c r="BC531" s="40"/>
      <c r="BD531" s="40"/>
      <c r="BE531" s="40"/>
      <c r="BF531" s="40"/>
      <c r="BG531" s="40"/>
      <c r="BH531" s="40"/>
      <c r="BI531" s="40"/>
    </row>
    <row r="532" ht="15.75" customHeight="1">
      <c r="A532" s="5" t="str">
        <f t="shared" si="130"/>
        <v>Frais postaux</v>
      </c>
      <c r="B532" s="3"/>
      <c r="C532" s="668"/>
      <c r="T532" s="40"/>
      <c r="U532" s="40"/>
      <c r="V532" s="559" t="s">
        <v>138</v>
      </c>
      <c r="W532" s="707" t="s">
        <v>1091</v>
      </c>
      <c r="X532" s="700"/>
      <c r="Y532" s="700"/>
      <c r="Z532" s="701" t="str">
        <f t="shared" si="126"/>
        <v>#N/A</v>
      </c>
      <c r="AA532" s="700"/>
      <c r="AB532" s="700"/>
      <c r="AC532" s="701"/>
      <c r="AD532" s="709"/>
      <c r="AE532" s="708"/>
      <c r="AF532" s="701">
        <f t="shared" si="129"/>
        <v>52072</v>
      </c>
      <c r="AG532" s="702"/>
      <c r="AH532" s="703" t="str">
        <f t="shared" si="122"/>
        <v>#N/A</v>
      </c>
      <c r="AI532" s="704" t="str">
        <f t="shared" si="128"/>
        <v>#N/A</v>
      </c>
      <c r="AJ532" s="709"/>
      <c r="AK532" s="708"/>
      <c r="AL532" s="701">
        <f>SUMIFS(BV_Data_An_Prec!$AN:$AN,BV_Data_An_Prec!$AQ:$AQ,$V532)</f>
        <v>37990.26</v>
      </c>
      <c r="AM532" s="705"/>
      <c r="AN532" s="703">
        <f t="shared" si="121"/>
        <v>14081.74</v>
      </c>
      <c r="AO532" s="710">
        <f t="shared" si="105"/>
        <v>0.3706671131</v>
      </c>
      <c r="AP532" s="40"/>
      <c r="AQ532" s="40"/>
      <c r="AR532" s="40"/>
      <c r="AS532" s="40"/>
      <c r="AT532" s="40"/>
      <c r="AU532" s="40"/>
      <c r="AV532" s="40"/>
      <c r="AW532" s="40"/>
      <c r="AX532" s="40"/>
      <c r="AY532" s="40"/>
      <c r="AZ532" s="40"/>
      <c r="BA532" s="40"/>
      <c r="BB532" s="40"/>
      <c r="BC532" s="40"/>
      <c r="BD532" s="40"/>
      <c r="BE532" s="40"/>
      <c r="BF532" s="40"/>
      <c r="BG532" s="40"/>
      <c r="BH532" s="40"/>
      <c r="BI532" s="40"/>
    </row>
    <row r="533" ht="15.75" customHeight="1">
      <c r="A533" s="5" t="str">
        <f t="shared" si="130"/>
        <v>Divers</v>
      </c>
      <c r="B533" s="3"/>
      <c r="C533" s="668"/>
      <c r="T533" s="40"/>
      <c r="U533" s="40"/>
      <c r="V533" s="559" t="s">
        <v>139</v>
      </c>
      <c r="W533" s="707" t="s">
        <v>1092</v>
      </c>
      <c r="X533" s="700"/>
      <c r="Y533" s="708"/>
      <c r="Z533" s="701" t="str">
        <f t="shared" si="126"/>
        <v>#N/A</v>
      </c>
      <c r="AA533" s="700"/>
      <c r="AB533" s="708"/>
      <c r="AC533" s="701"/>
      <c r="AD533" s="709"/>
      <c r="AE533" s="708"/>
      <c r="AF533" s="701">
        <f>SUMIFS(BV_Data_An_Cour!$AN:$AN,BV_Data_An_Cour!$AQ:$AQ,$V533)</f>
        <v>90555.26</v>
      </c>
      <c r="AG533" s="702"/>
      <c r="AH533" s="703" t="str">
        <f t="shared" si="122"/>
        <v>#N/A</v>
      </c>
      <c r="AI533" s="723" t="str">
        <f t="shared" si="128"/>
        <v>#N/A</v>
      </c>
      <c r="AJ533" s="709"/>
      <c r="AK533" s="708"/>
      <c r="AL533" s="701">
        <f>SUMIFS(BV_Data_An_Prec!$AN:$AN,BV_Data_An_Prec!$AQ:$AQ,$V533)</f>
        <v>92180.34</v>
      </c>
      <c r="AM533" s="705"/>
      <c r="AN533" s="703">
        <f t="shared" si="121"/>
        <v>-1625.08</v>
      </c>
      <c r="AO533" s="710">
        <f t="shared" si="105"/>
        <v>-0.01762935567</v>
      </c>
      <c r="AP533" s="40"/>
      <c r="AQ533" s="40"/>
      <c r="AR533" s="40"/>
      <c r="AS533" s="40"/>
      <c r="AT533" s="40"/>
      <c r="AU533" s="40"/>
      <c r="AV533" s="40"/>
      <c r="AW533" s="40"/>
      <c r="AX533" s="40"/>
      <c r="AY533" s="40"/>
      <c r="AZ533" s="40"/>
      <c r="BA533" s="40"/>
      <c r="BB533" s="40"/>
      <c r="BC533" s="40"/>
      <c r="BD533" s="40"/>
      <c r="BE533" s="40"/>
      <c r="BF533" s="40"/>
      <c r="BG533" s="40"/>
      <c r="BH533" s="40"/>
      <c r="BI533" s="40"/>
    </row>
    <row r="534" ht="15.75" customHeight="1">
      <c r="A534" s="5" t="str">
        <f t="shared" si="130"/>
        <v>Formation</v>
      </c>
      <c r="B534" s="3"/>
      <c r="C534" s="668"/>
      <c r="T534" s="40"/>
      <c r="U534" s="40"/>
      <c r="V534" s="559" t="s">
        <v>140</v>
      </c>
      <c r="W534" s="707" t="s">
        <v>1093</v>
      </c>
      <c r="X534" s="700"/>
      <c r="Y534" s="708"/>
      <c r="Z534" s="701" t="str">
        <f t="shared" si="126"/>
        <v>#N/A</v>
      </c>
      <c r="AA534" s="700"/>
      <c r="AB534" s="708"/>
      <c r="AC534" s="701"/>
      <c r="AD534" s="709"/>
      <c r="AE534" s="708"/>
      <c r="AF534" s="701">
        <f>+SUMIF($C:$C,$V534,L:L)</f>
        <v>40177.6</v>
      </c>
      <c r="AG534" s="702"/>
      <c r="AH534" s="703" t="str">
        <f t="shared" si="122"/>
        <v>#N/A</v>
      </c>
      <c r="AI534" s="704" t="str">
        <f t="shared" si="128"/>
        <v>#N/A</v>
      </c>
      <c r="AJ534" s="709"/>
      <c r="AK534" s="708"/>
      <c r="AL534" s="701">
        <f>SUMIFS(BV_Data_An_Prec!$AN:$AN,BV_Data_An_Prec!$AQ:$AQ,$V534)</f>
        <v>38859.51</v>
      </c>
      <c r="AM534" s="705"/>
      <c r="AN534" s="703">
        <f t="shared" si="121"/>
        <v>1318.09</v>
      </c>
      <c r="AO534" s="710">
        <f t="shared" si="105"/>
        <v>0.03391936749</v>
      </c>
      <c r="AQ534" s="40"/>
      <c r="AR534" s="40"/>
      <c r="AS534" s="40"/>
      <c r="AT534" s="40"/>
      <c r="AU534" s="40"/>
      <c r="AV534" s="40"/>
      <c r="AW534" s="40"/>
      <c r="AX534" s="40"/>
      <c r="AY534" s="40"/>
      <c r="AZ534" s="40"/>
      <c r="BA534" s="40"/>
      <c r="BB534" s="40"/>
      <c r="BC534" s="40"/>
      <c r="BD534" s="40"/>
      <c r="BE534" s="40"/>
      <c r="BF534" s="40"/>
      <c r="BG534" s="40"/>
      <c r="BH534" s="40"/>
      <c r="BI534" s="40"/>
    </row>
    <row r="535" ht="15.75" customHeight="1">
      <c r="A535" s="5" t="str">
        <f t="shared" si="130"/>
        <v>Frais bancaires</v>
      </c>
      <c r="B535" s="3"/>
      <c r="C535" s="668"/>
      <c r="T535" s="40"/>
      <c r="U535" s="40"/>
      <c r="V535" s="559" t="s">
        <v>141</v>
      </c>
      <c r="W535" s="707" t="s">
        <v>1094</v>
      </c>
      <c r="X535" s="700"/>
      <c r="Y535" s="704"/>
      <c r="Z535" s="701" t="str">
        <f t="shared" si="126"/>
        <v>#N/A</v>
      </c>
      <c r="AA535" s="700"/>
      <c r="AB535" s="708"/>
      <c r="AC535" s="701"/>
      <c r="AD535" s="709"/>
      <c r="AE535" s="708"/>
      <c r="AF535" s="701">
        <f>SUMIFS(BV_Data_An_Cour!$AN:$AN,BV_Data_An_Cour!$AQ:$AQ,$V535)</f>
        <v>46350.05</v>
      </c>
      <c r="AG535" s="702"/>
      <c r="AH535" s="703" t="str">
        <f t="shared" si="122"/>
        <v>#N/A</v>
      </c>
      <c r="AI535" s="704" t="str">
        <f t="shared" si="128"/>
        <v>#N/A</v>
      </c>
      <c r="AJ535" s="709"/>
      <c r="AK535" s="708"/>
      <c r="AL535" s="701">
        <f>SUMIFS(BV_Data_An_Prec!$AN:$AN,BV_Data_An_Prec!$AQ:$AQ,$V535)</f>
        <v>12754.82</v>
      </c>
      <c r="AM535" s="705"/>
      <c r="AN535" s="703">
        <f t="shared" si="121"/>
        <v>33595.23</v>
      </c>
      <c r="AO535" s="710">
        <f t="shared" si="105"/>
        <v>2.633924273</v>
      </c>
      <c r="AQ535" s="40"/>
      <c r="AR535" s="40"/>
      <c r="AS535" s="40"/>
      <c r="AT535" s="40"/>
      <c r="AU535" s="40"/>
      <c r="AV535" s="40"/>
      <c r="AW535" s="40"/>
      <c r="AX535" s="40"/>
      <c r="AY535" s="40"/>
      <c r="AZ535" s="40"/>
      <c r="BA535" s="40"/>
      <c r="BB535" s="40"/>
      <c r="BC535" s="40"/>
      <c r="BD535" s="40"/>
      <c r="BE535" s="40"/>
      <c r="BF535" s="40"/>
      <c r="BG535" s="40"/>
      <c r="BH535" s="40"/>
      <c r="BI535" s="40"/>
    </row>
    <row r="536" ht="17.25" customHeight="1">
      <c r="A536" s="5" t="str">
        <f t="shared" si="130"/>
        <v>Frais assurances</v>
      </c>
      <c r="B536" s="3"/>
      <c r="C536" s="668"/>
      <c r="T536" s="40"/>
      <c r="U536" s="40"/>
      <c r="V536" s="559" t="s">
        <v>984</v>
      </c>
      <c r="W536" s="707"/>
      <c r="X536" s="700"/>
      <c r="Y536" s="708"/>
      <c r="Z536" s="701" t="str">
        <f t="shared" si="126"/>
        <v>#N/A</v>
      </c>
      <c r="AA536" s="700"/>
      <c r="AB536" s="700"/>
      <c r="AC536" s="701"/>
      <c r="AD536" s="709"/>
      <c r="AE536" s="708"/>
      <c r="AF536" s="701">
        <f t="shared" ref="AF536:AF538" si="131">+SUMIF($C:$C,$V536,L:L)</f>
        <v>14149.36</v>
      </c>
      <c r="AG536" s="702"/>
      <c r="AH536" s="703" t="str">
        <f t="shared" si="122"/>
        <v>#N/A</v>
      </c>
      <c r="AI536" s="704" t="str">
        <f t="shared" si="128"/>
        <v>#N/A</v>
      </c>
      <c r="AJ536" s="709"/>
      <c r="AK536" s="708"/>
      <c r="AL536" s="701"/>
      <c r="AM536" s="705"/>
      <c r="AN536" s="703">
        <f t="shared" si="121"/>
        <v>14149.36</v>
      </c>
      <c r="AO536" s="710">
        <f t="shared" si="105"/>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ht="17.25" hidden="1" customHeight="1">
      <c r="A537" s="5" t="str">
        <f t="shared" si="130"/>
        <v>[...]</v>
      </c>
      <c r="B537" s="3"/>
      <c r="C537" s="668"/>
      <c r="T537" s="40"/>
      <c r="U537" s="40"/>
      <c r="V537" s="559" t="s">
        <v>56</v>
      </c>
      <c r="W537" s="707"/>
      <c r="X537" s="700"/>
      <c r="Y537" s="708"/>
      <c r="Z537" s="701" t="str">
        <f t="shared" si="126"/>
        <v>#N/A</v>
      </c>
      <c r="AA537" s="700"/>
      <c r="AB537" s="700"/>
      <c r="AC537" s="701"/>
      <c r="AD537" s="709"/>
      <c r="AE537" s="708"/>
      <c r="AF537" s="701">
        <f t="shared" si="131"/>
        <v>0</v>
      </c>
      <c r="AG537" s="702"/>
      <c r="AH537" s="703" t="str">
        <f t="shared" si="122"/>
        <v>#N/A</v>
      </c>
      <c r="AI537" s="704" t="str">
        <f t="shared" si="128"/>
        <v>#N/A</v>
      </c>
      <c r="AJ537" s="709"/>
      <c r="AK537" s="708"/>
      <c r="AL537" s="701"/>
      <c r="AM537" s="705"/>
      <c r="AN537" s="703">
        <f t="shared" si="121"/>
        <v>0</v>
      </c>
      <c r="AO537" s="710">
        <f t="shared" si="105"/>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ht="17.25" hidden="1" customHeight="1">
      <c r="A538" s="5" t="str">
        <f t="shared" si="130"/>
        <v>[...]</v>
      </c>
      <c r="B538" s="3"/>
      <c r="C538" s="668"/>
      <c r="T538" s="40"/>
      <c r="U538" s="40"/>
      <c r="V538" s="559" t="s">
        <v>56</v>
      </c>
      <c r="W538" s="707"/>
      <c r="X538" s="700"/>
      <c r="Y538" s="708"/>
      <c r="Z538" s="701" t="str">
        <f t="shared" si="126"/>
        <v>#N/A</v>
      </c>
      <c r="AA538" s="700"/>
      <c r="AB538" s="700"/>
      <c r="AC538" s="701"/>
      <c r="AD538" s="709"/>
      <c r="AE538" s="708"/>
      <c r="AF538" s="701">
        <f t="shared" si="131"/>
        <v>0</v>
      </c>
      <c r="AG538" s="702"/>
      <c r="AH538" s="703" t="str">
        <f t="shared" si="122"/>
        <v>#N/A</v>
      </c>
      <c r="AI538" s="704" t="str">
        <f t="shared" si="128"/>
        <v>#N/A</v>
      </c>
      <c r="AJ538" s="709"/>
      <c r="AK538" s="708"/>
      <c r="AL538" s="701"/>
      <c r="AM538" s="705"/>
      <c r="AN538" s="703">
        <f t="shared" si="121"/>
        <v>0</v>
      </c>
      <c r="AO538" s="710">
        <f t="shared" si="105"/>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ht="21.0" customHeight="1">
      <c r="A539" s="5" t="str">
        <f t="shared" si="130"/>
        <v>TOTAL SEMI-FIXES</v>
      </c>
      <c r="B539" s="3"/>
      <c r="C539" s="668"/>
      <c r="T539" s="40"/>
      <c r="U539" s="40"/>
      <c r="V539" s="715" t="s">
        <v>142</v>
      </c>
      <c r="W539" s="735"/>
      <c r="X539" s="717" t="str">
        <f>Z539/+Z494</f>
        <v>#N/A</v>
      </c>
      <c r="Y539" s="716"/>
      <c r="Z539" s="718" t="str">
        <f>+SUM(Z521:Z538)</f>
        <v>#N/A</v>
      </c>
      <c r="AA539" s="717"/>
      <c r="AB539" s="716"/>
      <c r="AC539" s="718"/>
      <c r="AD539" s="719">
        <f>AF539/AF494</f>
        <v>0.1746017022</v>
      </c>
      <c r="AE539" s="716"/>
      <c r="AF539" s="718">
        <f>+SUM(AF521:AF538)</f>
        <v>1185186.35</v>
      </c>
      <c r="AG539" s="736"/>
      <c r="AH539" s="737" t="str">
        <f>+SUM(AH521:AH538)</f>
        <v>#N/A</v>
      </c>
      <c r="AI539" s="717" t="str">
        <f>AH539/Z539</f>
        <v>#N/A</v>
      </c>
      <c r="AJ539" s="719">
        <f>IF($AL$494=0,0,AL539/$AL$494)</f>
        <v>0.1250996938</v>
      </c>
      <c r="AK539" s="716"/>
      <c r="AL539" s="718">
        <f>+SUM(AL521:AL538)</f>
        <v>1006156.5</v>
      </c>
      <c r="AM539" s="722"/>
      <c r="AN539" s="720">
        <f t="shared" si="121"/>
        <v>179029.85</v>
      </c>
      <c r="AO539" s="738">
        <f t="shared" si="105"/>
        <v>0.1779343969</v>
      </c>
      <c r="AP539" s="40"/>
      <c r="AQ539" s="40"/>
      <c r="AR539" s="40"/>
      <c r="AS539" s="40"/>
      <c r="AT539" s="40"/>
      <c r="AU539" s="40"/>
      <c r="AV539" s="40"/>
      <c r="AW539" s="40"/>
      <c r="AX539" s="40"/>
      <c r="AY539" s="40"/>
      <c r="AZ539" s="40"/>
      <c r="BA539" s="40"/>
      <c r="BB539" s="40"/>
      <c r="BC539" s="40"/>
      <c r="BD539" s="40"/>
      <c r="BE539" s="40"/>
      <c r="BF539" s="40"/>
      <c r="BG539" s="40"/>
      <c r="BH539" s="40"/>
      <c r="BI539" s="40"/>
    </row>
    <row r="540" ht="15.75" customHeight="1">
      <c r="A540" s="5" t="str">
        <f t="shared" si="130"/>
        <v>Loyer</v>
      </c>
      <c r="B540" s="3"/>
      <c r="C540" s="668"/>
      <c r="D540" s="40"/>
      <c r="E540" s="40"/>
      <c r="F540" s="40"/>
      <c r="G540" s="40"/>
      <c r="H540" s="40"/>
      <c r="I540" s="40"/>
      <c r="J540" s="40"/>
      <c r="K540" s="40"/>
      <c r="L540" s="40"/>
      <c r="M540" s="40"/>
      <c r="N540" s="40"/>
      <c r="O540" s="40"/>
      <c r="P540" s="40"/>
      <c r="Q540" s="40"/>
      <c r="R540" s="40"/>
      <c r="S540" s="40"/>
      <c r="T540" s="40"/>
      <c r="U540" s="40"/>
      <c r="V540" s="559" t="s">
        <v>199</v>
      </c>
      <c r="W540" s="707" t="s">
        <v>1095</v>
      </c>
      <c r="X540" s="700"/>
      <c r="Y540" s="708"/>
      <c r="Z540" s="701" t="str">
        <f t="array" ref="Z540">+SUMPRODUCT(('Budget original'!$A$8:$A$501=$A540)*('Budget original'!$C$3:$AO$3=Z$2),'Budget original'!$C$8:$AO$501)</f>
        <v>#N/A</v>
      </c>
      <c r="AA540" s="700"/>
      <c r="AB540" s="708"/>
      <c r="AC540" s="701"/>
      <c r="AD540" s="709"/>
      <c r="AE540" s="708"/>
      <c r="AF540" s="701">
        <f>SUMIFS(BV_Data_An_Cour!$AN:$AN,BV_Data_An_Cour!$AQ:$AQ,$V540)</f>
        <v>764611.67</v>
      </c>
      <c r="AG540" s="702"/>
      <c r="AH540" s="703" t="str">
        <f t="shared" ref="AH540:AH548" si="132">AF540-Z540</f>
        <v>#N/A</v>
      </c>
      <c r="AI540" s="704" t="str">
        <f t="shared" ref="AI540:AI548" si="133">IF(Z540=0,0,AH540/Z540)</f>
        <v>#N/A</v>
      </c>
      <c r="AJ540" s="709"/>
      <c r="AK540" s="708"/>
      <c r="AL540" s="701">
        <f>SUMIFS(BV_Data_An_Prec!$AN:$AN,BV_Data_An_Prec!$AQ:$AQ,$V540)</f>
        <v>988573.14</v>
      </c>
      <c r="AM540" s="705"/>
      <c r="AN540" s="703">
        <f t="shared" si="121"/>
        <v>-223961.47</v>
      </c>
      <c r="AO540" s="710">
        <f t="shared" si="105"/>
        <v>-0.2265502277</v>
      </c>
      <c r="AP540" s="40"/>
      <c r="AQ540" s="40"/>
      <c r="AR540" s="40"/>
      <c r="AS540" s="40"/>
      <c r="AT540" s="40"/>
      <c r="AU540" s="40"/>
      <c r="AV540" s="40"/>
      <c r="AW540" s="40"/>
      <c r="AX540" s="40"/>
      <c r="AY540" s="40"/>
      <c r="AZ540" s="40"/>
      <c r="BA540" s="40"/>
      <c r="BB540" s="40"/>
      <c r="BC540" s="40"/>
      <c r="BD540" s="40"/>
      <c r="BE540" s="40"/>
      <c r="BF540" s="40"/>
      <c r="BG540" s="40"/>
      <c r="BH540" s="40"/>
      <c r="BI540" s="40"/>
    </row>
    <row r="541" ht="15.75" customHeight="1">
      <c r="A541" s="5" t="str">
        <f t="shared" si="130"/>
        <v>Taxes foncières</v>
      </c>
      <c r="B541" s="3"/>
      <c r="C541" s="668"/>
      <c r="D541" s="40"/>
      <c r="E541" s="40"/>
      <c r="F541" s="40"/>
      <c r="G541" s="40"/>
      <c r="H541" s="40"/>
      <c r="I541" s="40"/>
      <c r="J541" s="40"/>
      <c r="K541" s="40"/>
      <c r="L541" s="40"/>
      <c r="M541" s="40"/>
      <c r="N541" s="40"/>
      <c r="O541" s="40"/>
      <c r="P541" s="40"/>
      <c r="Q541" s="40"/>
      <c r="R541" s="40"/>
      <c r="S541" s="40"/>
      <c r="T541" s="40"/>
      <c r="U541" s="40"/>
      <c r="V541" s="559" t="s">
        <v>200</v>
      </c>
      <c r="W541" s="707" t="s">
        <v>1096</v>
      </c>
      <c r="X541" s="700"/>
      <c r="Y541" s="708"/>
      <c r="Z541" s="701" t="str">
        <f t="array" ref="Z541">+SUMPRODUCT(('Budget original'!$A$8:$A$501=$A541)*('Budget original'!$C$3:$AO$3=Z$2),'Budget original'!$C$8:$AO$501)</f>
        <v>#N/A</v>
      </c>
      <c r="AA541" s="700"/>
      <c r="AB541" s="708"/>
      <c r="AC541" s="701"/>
      <c r="AD541" s="709"/>
      <c r="AE541" s="708"/>
      <c r="AF541" s="701">
        <f>SUMIFS(BV_Data_An_Cour!$AN:$AN,BV_Data_An_Cour!$AQ:$AQ,$V541)</f>
        <v>75161.67</v>
      </c>
      <c r="AG541" s="702"/>
      <c r="AH541" s="703" t="str">
        <f t="shared" si="132"/>
        <v>#N/A</v>
      </c>
      <c r="AI541" s="704" t="str">
        <f t="shared" si="133"/>
        <v>#N/A</v>
      </c>
      <c r="AJ541" s="709"/>
      <c r="AK541" s="708"/>
      <c r="AL541" s="701">
        <f>SUMIFS(BV_Data_An_Prec!$AN:$AN,BV_Data_An_Prec!$AQ:$AQ,$V541)</f>
        <v>83982</v>
      </c>
      <c r="AM541" s="705"/>
      <c r="AN541" s="703">
        <f t="shared" si="121"/>
        <v>-8820.33</v>
      </c>
      <c r="AO541" s="710">
        <f t="shared" si="105"/>
        <v>-0.1050264342</v>
      </c>
      <c r="AP541" s="40"/>
      <c r="AQ541" s="40"/>
      <c r="AR541" s="40"/>
      <c r="AS541" s="40"/>
      <c r="AT541" s="40"/>
      <c r="AU541" s="40"/>
      <c r="AV541" s="40"/>
      <c r="AW541" s="40"/>
      <c r="AX541" s="40"/>
      <c r="AY541" s="40"/>
      <c r="AZ541" s="40"/>
      <c r="BA541" s="40"/>
      <c r="BB541" s="40"/>
      <c r="BC541" s="40"/>
      <c r="BD541" s="40"/>
      <c r="BE541" s="40"/>
      <c r="BF541" s="40"/>
      <c r="BG541" s="40"/>
      <c r="BH541" s="40"/>
      <c r="BI541" s="40"/>
    </row>
    <row r="542" ht="15.75" customHeight="1">
      <c r="A542" s="5" t="str">
        <f t="shared" si="130"/>
        <v>Taxes d`affaires</v>
      </c>
      <c r="B542" s="3"/>
      <c r="C542" s="668"/>
      <c r="D542" s="40"/>
      <c r="E542" s="40"/>
      <c r="F542" s="40"/>
      <c r="G542" s="40"/>
      <c r="H542" s="40"/>
      <c r="I542" s="40"/>
      <c r="J542" s="40"/>
      <c r="K542" s="40"/>
      <c r="L542" s="40"/>
      <c r="M542" s="40"/>
      <c r="N542" s="40"/>
      <c r="O542" s="40"/>
      <c r="P542" s="40"/>
      <c r="Q542" s="40"/>
      <c r="R542" s="40"/>
      <c r="S542" s="40"/>
      <c r="T542" s="40"/>
      <c r="U542" s="40"/>
      <c r="V542" s="560" t="s">
        <v>201</v>
      </c>
      <c r="W542" s="711" t="s">
        <v>1097</v>
      </c>
      <c r="X542" s="683"/>
      <c r="Y542" s="712"/>
      <c r="Z542" s="684" t="str">
        <f t="array" ref="Z542">+SUMPRODUCT(('Budget original'!$A$8:$A$501=$A542)*('Budget original'!$C$3:$AO$3=Z$2),'Budget original'!$C$8:$AO$501)</f>
        <v>#N/A</v>
      </c>
      <c r="AA542" s="683"/>
      <c r="AB542" s="712"/>
      <c r="AC542" s="684"/>
      <c r="AD542" s="713"/>
      <c r="AE542" s="712"/>
      <c r="AF542" s="684">
        <f>SUMIFS(BV_Data_An_Cour!$AN:$AN,BV_Data_An_Cour!$AQ:$AQ,$V542)</f>
        <v>118365.66</v>
      </c>
      <c r="AG542" s="685"/>
      <c r="AH542" s="686" t="str">
        <f t="shared" si="132"/>
        <v>#N/A</v>
      </c>
      <c r="AI542" s="714" t="str">
        <f t="shared" si="133"/>
        <v>#N/A</v>
      </c>
      <c r="AJ542" s="713"/>
      <c r="AK542" s="712"/>
      <c r="AL542" s="684">
        <f>SUMIFS(BV_Data_An_Prec!$AN:$AN,BV_Data_An_Prec!$AQ:$AQ,$V542)</f>
        <v>99907.52</v>
      </c>
      <c r="AM542" s="688"/>
      <c r="AN542" s="686">
        <f t="shared" si="121"/>
        <v>18458.14</v>
      </c>
      <c r="AO542" s="689">
        <f t="shared" si="105"/>
        <v>0.1847522589</v>
      </c>
      <c r="AP542" s="40"/>
      <c r="AQ542" s="40"/>
      <c r="AR542" s="40"/>
      <c r="AS542" s="40"/>
      <c r="AT542" s="40"/>
      <c r="AU542" s="40"/>
      <c r="AV542" s="40"/>
      <c r="AW542" s="40"/>
      <c r="AX542" s="40"/>
      <c r="AY542" s="40"/>
      <c r="AZ542" s="40"/>
      <c r="BA542" s="40"/>
      <c r="BB542" s="40"/>
      <c r="BC542" s="40"/>
      <c r="BD542" s="40"/>
      <c r="BE542" s="40"/>
      <c r="BF542" s="40"/>
      <c r="BG542" s="40"/>
      <c r="BH542" s="40"/>
      <c r="BI542" s="40"/>
    </row>
    <row r="543" ht="17.25" hidden="1" customHeight="1">
      <c r="A543" s="5" t="str">
        <f t="shared" si="130"/>
        <v>Taxe sur le capital</v>
      </c>
      <c r="B543" s="3"/>
      <c r="C543" s="668"/>
      <c r="D543" s="40"/>
      <c r="E543" s="40"/>
      <c r="F543" s="40"/>
      <c r="G543" s="40"/>
      <c r="H543" s="40"/>
      <c r="I543" s="40"/>
      <c r="J543" s="40"/>
      <c r="K543" s="40"/>
      <c r="L543" s="40"/>
      <c r="M543" s="40"/>
      <c r="N543" s="40"/>
      <c r="O543" s="40"/>
      <c r="P543" s="40"/>
      <c r="Q543" s="40"/>
      <c r="R543" s="40"/>
      <c r="S543" s="40"/>
      <c r="T543" s="40"/>
      <c r="U543" s="40"/>
      <c r="V543" s="559" t="s">
        <v>202</v>
      </c>
      <c r="W543" s="707"/>
      <c r="X543" s="700"/>
      <c r="Y543" s="708"/>
      <c r="Z543" s="701" t="str">
        <f t="array" ref="Z543">+SUMPRODUCT(('Budget original'!$A$8:$A$501=$A543)*('Budget original'!$C$3:$AO$3=Z$2),'Budget original'!$C$8:$AO$501)</f>
        <v>#N/A</v>
      </c>
      <c r="AA543" s="700"/>
      <c r="AB543" s="708"/>
      <c r="AC543" s="701"/>
      <c r="AD543" s="709"/>
      <c r="AE543" s="708"/>
      <c r="AF543" s="701">
        <f>SUMIFS(BV_Data_An_Cour!$AN:$AN,BV_Data_An_Cour!$AQ:$AQ,$V543)</f>
        <v>0</v>
      </c>
      <c r="AG543" s="702"/>
      <c r="AH543" s="703" t="str">
        <f t="shared" si="132"/>
        <v>#N/A</v>
      </c>
      <c r="AI543" s="704" t="str">
        <f t="shared" si="133"/>
        <v>#N/A</v>
      </c>
      <c r="AJ543" s="709"/>
      <c r="AK543" s="708"/>
      <c r="AL543" s="701">
        <f>SUMIFS(BV_Data_An_Prec!$AN:$AN,BV_Data_An_Prec!$AQ:$AQ,$V543)</f>
        <v>0</v>
      </c>
      <c r="AM543" s="705"/>
      <c r="AN543" s="703">
        <f t="shared" si="121"/>
        <v>0</v>
      </c>
      <c r="AO543" s="710">
        <f t="shared" si="105"/>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ht="15.75" customHeight="1">
      <c r="A544" s="5" t="str">
        <f t="shared" si="130"/>
        <v>Assurances</v>
      </c>
      <c r="B544" s="3"/>
      <c r="C544" s="668"/>
      <c r="D544" s="40"/>
      <c r="E544" s="40"/>
      <c r="F544" s="40"/>
      <c r="G544" s="40"/>
      <c r="H544" s="40"/>
      <c r="I544" s="40"/>
      <c r="J544" s="40"/>
      <c r="K544" s="40"/>
      <c r="L544" s="40"/>
      <c r="M544" s="40"/>
      <c r="N544" s="40"/>
      <c r="O544" s="40"/>
      <c r="P544" s="40"/>
      <c r="Q544" s="40"/>
      <c r="R544" s="40"/>
      <c r="S544" s="40"/>
      <c r="T544" s="40"/>
      <c r="U544" s="40"/>
      <c r="V544" s="560" t="s">
        <v>203</v>
      </c>
      <c r="W544" s="711" t="s">
        <v>1098</v>
      </c>
      <c r="X544" s="683"/>
      <c r="Y544" s="712"/>
      <c r="Z544" s="684" t="str">
        <f t="array" ref="Z544">+SUMPRODUCT(('Budget original'!$A$8:$A$501=$A544)*('Budget original'!$C$3:$AO$3=Z$2),'Budget original'!$C$8:$AO$501)</f>
        <v>#N/A</v>
      </c>
      <c r="AA544" s="683"/>
      <c r="AB544" s="712"/>
      <c r="AC544" s="684"/>
      <c r="AD544" s="713"/>
      <c r="AE544" s="712"/>
      <c r="AF544" s="684">
        <f>SUMIF(BV_Data_An_Cour!$AQ:$AQ,Print_AAD!$V544,BV_Data_An_Cour!$AN:$AN)</f>
        <v>63885.51</v>
      </c>
      <c r="AG544" s="685"/>
      <c r="AH544" s="686" t="str">
        <f t="shared" si="132"/>
        <v>#N/A</v>
      </c>
      <c r="AI544" s="714" t="str">
        <f t="shared" si="133"/>
        <v>#N/A</v>
      </c>
      <c r="AJ544" s="713"/>
      <c r="AK544" s="712"/>
      <c r="AL544" s="684">
        <f>SUMIFS(BV_Data_An_Prec!$AN:$AN,BV_Data_An_Prec!$AQ:$AQ,$V544)</f>
        <v>117662.49</v>
      </c>
      <c r="AM544" s="688"/>
      <c r="AN544" s="686">
        <f t="shared" si="121"/>
        <v>-53776.98</v>
      </c>
      <c r="AO544" s="689">
        <f t="shared" si="105"/>
        <v>-0.4570443818</v>
      </c>
      <c r="AP544" s="40"/>
      <c r="AQ544" s="40"/>
      <c r="AR544" s="40"/>
      <c r="AS544" s="40"/>
      <c r="AT544" s="40"/>
      <c r="AU544" s="40"/>
      <c r="AV544" s="40"/>
      <c r="AW544" s="40"/>
      <c r="AX544" s="40"/>
      <c r="AY544" s="40"/>
      <c r="AZ544" s="40"/>
      <c r="BA544" s="40"/>
      <c r="BB544" s="40"/>
      <c r="BC544" s="40"/>
      <c r="BD544" s="40"/>
      <c r="BE544" s="40"/>
      <c r="BF544" s="40"/>
      <c r="BG544" s="40"/>
      <c r="BH544" s="40"/>
      <c r="BI544" s="40"/>
    </row>
    <row r="545" ht="15.75" customHeight="1">
      <c r="A545" s="5" t="str">
        <f t="shared" si="130"/>
        <v>Chauffage, éclairage</v>
      </c>
      <c r="B545" s="3"/>
      <c r="C545" s="668"/>
      <c r="D545" s="40"/>
      <c r="E545" s="40"/>
      <c r="F545" s="40"/>
      <c r="G545" s="40"/>
      <c r="H545" s="40"/>
      <c r="I545" s="40"/>
      <c r="J545" s="40"/>
      <c r="K545" s="40"/>
      <c r="L545" s="40"/>
      <c r="M545" s="40"/>
      <c r="N545" s="40"/>
      <c r="O545" s="40"/>
      <c r="P545" s="40"/>
      <c r="Q545" s="40"/>
      <c r="R545" s="40"/>
      <c r="S545" s="40"/>
      <c r="T545" s="40"/>
      <c r="U545" s="40"/>
      <c r="V545" s="559" t="s">
        <v>204</v>
      </c>
      <c r="W545" s="707" t="s">
        <v>1099</v>
      </c>
      <c r="X545" s="740"/>
      <c r="Y545" s="741"/>
      <c r="Z545" s="701" t="str">
        <f t="array" ref="Z545">+SUMPRODUCT(('Budget original'!$A$8:$A$501=$A545)*('Budget original'!$C$3:$AO$3=Z$2),'Budget original'!$C$8:$AO$501)</f>
        <v>#N/A</v>
      </c>
      <c r="AA545" s="740"/>
      <c r="AB545" s="741"/>
      <c r="AC545" s="701"/>
      <c r="AD545" s="709"/>
      <c r="AE545" s="708"/>
      <c r="AF545" s="701">
        <f>SUMIFS(BV_Data_An_Cour!$AN:$AN,BV_Data_An_Cour!$AQ:$AQ,$V545)</f>
        <v>99900</v>
      </c>
      <c r="AG545" s="702"/>
      <c r="AH545" s="703" t="str">
        <f t="shared" si="132"/>
        <v>#N/A</v>
      </c>
      <c r="AI545" s="704" t="str">
        <f t="shared" si="133"/>
        <v>#N/A</v>
      </c>
      <c r="AJ545" s="709"/>
      <c r="AK545" s="708"/>
      <c r="AL545" s="701">
        <f>SUMIFS(BV_Data_An_Prec!$AN:$AN,BV_Data_An_Prec!$AQ:$AQ,$V545)</f>
        <v>80027.17</v>
      </c>
      <c r="AM545" s="705"/>
      <c r="AN545" s="703">
        <f t="shared" si="121"/>
        <v>19872.83</v>
      </c>
      <c r="AO545" s="710">
        <f t="shared" si="105"/>
        <v>0.2483260373</v>
      </c>
      <c r="AP545" s="40"/>
      <c r="AQ545" s="40"/>
      <c r="AR545" s="40"/>
      <c r="AS545" s="40"/>
      <c r="AT545" s="40"/>
      <c r="AU545" s="40"/>
      <c r="AV545" s="40"/>
      <c r="AW545" s="40"/>
      <c r="AX545" s="40"/>
      <c r="AY545" s="40"/>
      <c r="AZ545" s="40"/>
      <c r="BA545" s="40"/>
      <c r="BB545" s="40"/>
      <c r="BC545" s="40"/>
      <c r="BD545" s="40"/>
      <c r="BE545" s="40"/>
      <c r="BF545" s="40"/>
      <c r="BG545" s="40"/>
      <c r="BH545" s="40"/>
      <c r="BI545" s="40"/>
    </row>
    <row r="546" ht="15.75" customHeight="1">
      <c r="A546" s="5" t="str">
        <f t="shared" si="130"/>
        <v>Honoraires</v>
      </c>
      <c r="B546" s="3"/>
      <c r="C546" s="668"/>
      <c r="D546" s="40"/>
      <c r="E546" s="40"/>
      <c r="F546" s="40"/>
      <c r="G546" s="40"/>
      <c r="H546" s="40"/>
      <c r="I546" s="40"/>
      <c r="J546" s="40"/>
      <c r="K546" s="40"/>
      <c r="L546" s="40"/>
      <c r="M546" s="40"/>
      <c r="N546" s="40"/>
      <c r="O546" s="40"/>
      <c r="P546" s="40"/>
      <c r="Q546" s="40"/>
      <c r="R546" s="40"/>
      <c r="S546" s="40"/>
      <c r="T546" s="40"/>
      <c r="U546" s="40"/>
      <c r="V546" s="559" t="s">
        <v>205</v>
      </c>
      <c r="W546" s="707" t="s">
        <v>1100</v>
      </c>
      <c r="X546" s="700"/>
      <c r="Y546" s="708"/>
      <c r="Z546" s="701" t="str">
        <f t="array" ref="Z546">+SUMPRODUCT(('Budget original'!$A$8:$A$501=$A546)*('Budget original'!$C$3:$AO$3=Z$2),'Budget original'!$C$8:$AO$501)</f>
        <v>#N/A</v>
      </c>
      <c r="AA546" s="700"/>
      <c r="AB546" s="708"/>
      <c r="AC546" s="701"/>
      <c r="AD546" s="709"/>
      <c r="AE546" s="708"/>
      <c r="AF546" s="701">
        <f>SUMIFS(BV_Data_An_Cour!$AN:$AN,BV_Data_An_Cour!$AQ:$AQ,$V546)</f>
        <v>46168.38</v>
      </c>
      <c r="AG546" s="702"/>
      <c r="AH546" s="703" t="str">
        <f t="shared" si="132"/>
        <v>#N/A</v>
      </c>
      <c r="AI546" s="704" t="str">
        <f t="shared" si="133"/>
        <v>#N/A</v>
      </c>
      <c r="AJ546" s="709"/>
      <c r="AK546" s="708"/>
      <c r="AL546" s="701">
        <f>SUMIFS(BV_Data_An_Prec!$AN:$AN,BV_Data_An_Prec!$AQ:$AQ,$V546)</f>
        <v>28397.3</v>
      </c>
      <c r="AM546" s="705"/>
      <c r="AN546" s="703">
        <f t="shared" si="121"/>
        <v>17771.08</v>
      </c>
      <c r="AO546" s="710">
        <f t="shared" si="105"/>
        <v>0.6258017488</v>
      </c>
      <c r="AP546" s="40"/>
      <c r="AQ546" s="40"/>
      <c r="AR546" s="40"/>
      <c r="AS546" s="40"/>
      <c r="AT546" s="40"/>
      <c r="AU546" s="40"/>
      <c r="AV546" s="40"/>
      <c r="AW546" s="40"/>
      <c r="AX546" s="40"/>
      <c r="AY546" s="40"/>
      <c r="AZ546" s="40"/>
      <c r="BA546" s="40"/>
      <c r="BB546" s="40"/>
      <c r="BC546" s="40"/>
      <c r="BD546" s="40"/>
      <c r="BE546" s="40"/>
      <c r="BF546" s="40"/>
      <c r="BG546" s="40"/>
      <c r="BH546" s="40"/>
      <c r="BI546" s="40"/>
    </row>
    <row r="547" ht="15.75" customHeight="1">
      <c r="A547" s="5" t="str">
        <f t="shared" si="130"/>
        <v>Réparation équipement</v>
      </c>
      <c r="B547" s="3"/>
      <c r="C547" s="668"/>
      <c r="D547" s="40"/>
      <c r="E547" s="40"/>
      <c r="F547" s="40"/>
      <c r="G547" s="40"/>
      <c r="H547" s="40"/>
      <c r="I547" s="40"/>
      <c r="J547" s="40"/>
      <c r="K547" s="40"/>
      <c r="L547" s="40"/>
      <c r="M547" s="40"/>
      <c r="N547" s="40"/>
      <c r="O547" s="40"/>
      <c r="P547" s="40"/>
      <c r="Q547" s="40"/>
      <c r="R547" s="40"/>
      <c r="S547" s="40"/>
      <c r="T547" s="40"/>
      <c r="U547" s="40"/>
      <c r="V547" s="560" t="s">
        <v>206</v>
      </c>
      <c r="W547" s="711" t="s">
        <v>1101</v>
      </c>
      <c r="X547" s="683"/>
      <c r="Y547" s="712"/>
      <c r="Z547" s="684" t="str">
        <f t="array" ref="Z547">+SUMPRODUCT(('Budget original'!$A$8:$A$501=$A547)*('Budget original'!$C$3:$AO$3=Z$2),'Budget original'!$C$8:$AO$501)</f>
        <v>#N/A</v>
      </c>
      <c r="AA547" s="683"/>
      <c r="AB547" s="712"/>
      <c r="AC547" s="684"/>
      <c r="AD547" s="713"/>
      <c r="AE547" s="712"/>
      <c r="AF547" s="684">
        <f>SUMIFS(BV_Data_An_Cour!$AN:$AN,BV_Data_An_Cour!$AQ:$AQ,$V547)</f>
        <v>36322.15</v>
      </c>
      <c r="AG547" s="685"/>
      <c r="AH547" s="686" t="str">
        <f t="shared" si="132"/>
        <v>#N/A</v>
      </c>
      <c r="AI547" s="714" t="str">
        <f t="shared" si="133"/>
        <v>#N/A</v>
      </c>
      <c r="AJ547" s="713"/>
      <c r="AK547" s="712"/>
      <c r="AL547" s="684">
        <f>SUMIFS(BV_Data_An_Prec!$AN:$AN,BV_Data_An_Prec!$AQ:$AQ,$V547)</f>
        <v>53223.01</v>
      </c>
      <c r="AM547" s="688"/>
      <c r="AN547" s="686">
        <f t="shared" si="121"/>
        <v>-16900.86</v>
      </c>
      <c r="AO547" s="689">
        <f t="shared" si="105"/>
        <v>-0.3175479929</v>
      </c>
      <c r="AP547" s="40"/>
      <c r="AQ547" s="40"/>
      <c r="AR547" s="40"/>
      <c r="AS547" s="40"/>
      <c r="AT547" s="40"/>
      <c r="AU547" s="40"/>
      <c r="AV547" s="40"/>
      <c r="AW547" s="40"/>
      <c r="AX547" s="40"/>
      <c r="AY547" s="40"/>
      <c r="AZ547" s="40"/>
      <c r="BA547" s="40"/>
      <c r="BB547" s="40"/>
      <c r="BC547" s="40"/>
      <c r="BD547" s="40"/>
      <c r="BE547" s="40"/>
      <c r="BF547" s="40"/>
      <c r="BG547" s="40"/>
      <c r="BH547" s="40"/>
      <c r="BI547" s="40"/>
    </row>
    <row r="548" ht="15.75" customHeight="1">
      <c r="A548" s="5" t="str">
        <f t="shared" si="130"/>
        <v>Location équipement</v>
      </c>
      <c r="B548" s="3"/>
      <c r="C548" s="668"/>
      <c r="D548" s="40"/>
      <c r="E548" s="40"/>
      <c r="F548" s="40"/>
      <c r="G548" s="40"/>
      <c r="H548" s="40"/>
      <c r="I548" s="40"/>
      <c r="J548" s="40"/>
      <c r="K548" s="40"/>
      <c r="L548" s="40"/>
      <c r="M548" s="40"/>
      <c r="N548" s="40"/>
      <c r="O548" s="40"/>
      <c r="P548" s="40"/>
      <c r="Q548" s="40"/>
      <c r="R548" s="40"/>
      <c r="S548" s="40"/>
      <c r="T548" s="40"/>
      <c r="U548" s="228"/>
      <c r="V548" s="559" t="s">
        <v>207</v>
      </c>
      <c r="W548" s="707" t="s">
        <v>1102</v>
      </c>
      <c r="X548" s="700"/>
      <c r="Y548" s="708"/>
      <c r="Z548" s="701" t="str">
        <f t="array" ref="Z548">+SUMPRODUCT(('Budget original'!$A$8:$A$501=$A548)*('Budget original'!$C$3:$AO$3=Z$2),'Budget original'!$C$8:$AO$501)</f>
        <v>#N/A</v>
      </c>
      <c r="AA548" s="700"/>
      <c r="AB548" s="708"/>
      <c r="AC548" s="701"/>
      <c r="AD548" s="709"/>
      <c r="AE548" s="708"/>
      <c r="AF548" s="701">
        <f>SUMIFS(BV_Data_An_Cour!$AN:$AN,BV_Data_An_Cour!$AQ:$AQ,$V548)</f>
        <v>9058.59</v>
      </c>
      <c r="AG548" s="702"/>
      <c r="AH548" s="703" t="str">
        <f t="shared" si="132"/>
        <v>#N/A</v>
      </c>
      <c r="AI548" s="742" t="str">
        <f t="shared" si="133"/>
        <v>#N/A</v>
      </c>
      <c r="AJ548" s="709"/>
      <c r="AK548" s="708"/>
      <c r="AL548" s="701">
        <f>SUMIFS(BV_Data_An_Prec!$AN:$AN,BV_Data_An_Prec!$AQ:$AQ,$V548)</f>
        <v>7573.68</v>
      </c>
      <c r="AM548" s="705"/>
      <c r="AN548" s="703">
        <f t="shared" si="121"/>
        <v>1484.91</v>
      </c>
      <c r="AO548" s="710">
        <f t="shared" si="105"/>
        <v>0.196061888</v>
      </c>
      <c r="AP548" s="40"/>
      <c r="AQ548" s="40"/>
      <c r="AR548" s="40"/>
      <c r="AS548" s="40"/>
      <c r="AT548" s="40"/>
      <c r="AU548" s="40"/>
      <c r="AV548" s="40"/>
      <c r="AW548" s="40"/>
      <c r="AX548" s="40"/>
      <c r="AY548" s="40"/>
      <c r="AZ548" s="40"/>
      <c r="BA548" s="40"/>
      <c r="BB548" s="40"/>
      <c r="BC548" s="40"/>
      <c r="BD548" s="40"/>
      <c r="BE548" s="40"/>
      <c r="BF548" s="40"/>
      <c r="BG548" s="40"/>
      <c r="BH548" s="40"/>
      <c r="BI548" s="40"/>
    </row>
    <row r="549" ht="17.25" hidden="1" customHeight="1">
      <c r="A549" s="5" t="str">
        <f t="shared" si="130"/>
        <v>Dons</v>
      </c>
      <c r="B549" s="3"/>
      <c r="C549" s="668"/>
      <c r="D549" s="40"/>
      <c r="E549" s="40"/>
      <c r="F549" s="40"/>
      <c r="G549" s="40"/>
      <c r="H549" s="40"/>
      <c r="I549" s="40"/>
      <c r="J549" s="40"/>
      <c r="K549" s="40"/>
      <c r="L549" s="40"/>
      <c r="M549" s="40"/>
      <c r="N549" s="40"/>
      <c r="O549" s="40"/>
      <c r="P549" s="40"/>
      <c r="Q549" s="40"/>
      <c r="R549" s="40"/>
      <c r="S549" s="40"/>
      <c r="T549" s="40"/>
      <c r="U549" s="228"/>
      <c r="V549" s="559" t="s">
        <v>208</v>
      </c>
      <c r="W549" s="707" t="s">
        <v>1103</v>
      </c>
      <c r="X549" s="700"/>
      <c r="Y549" s="708"/>
      <c r="Z549" s="701" t="str">
        <f t="array" ref="Z549">+SUMPRODUCT(('Budget original'!$A$8:$A$501=$A549)*('Budget original'!$C$3:$AO$3=Z$2),'Budget original'!$C$8:$AO$501)</f>
        <v>#N/A</v>
      </c>
      <c r="AA549" s="700"/>
      <c r="AB549" s="708"/>
      <c r="AC549" s="701"/>
      <c r="AD549" s="709"/>
      <c r="AE549" s="708"/>
      <c r="AF549" s="701">
        <f>SUMIFS(BV_Data_An_Cour!$AN:$AN,BV_Data_An_Cour!$AQ:$AQ,$V549)</f>
        <v>0</v>
      </c>
      <c r="AG549" s="702"/>
      <c r="AH549" s="703">
        <v>0.0</v>
      </c>
      <c r="AI549" s="723">
        <v>0.0</v>
      </c>
      <c r="AJ549" s="709"/>
      <c r="AK549" s="708"/>
      <c r="AL549" s="701">
        <f>SUMIFS(BV_Data_An_Prec!$AN:$AN,BV_Data_An_Prec!$AQ:$AQ,$V549)</f>
        <v>0</v>
      </c>
      <c r="AM549" s="705"/>
      <c r="AN549" s="703">
        <f t="shared" si="121"/>
        <v>0</v>
      </c>
      <c r="AO549" s="710">
        <f t="shared" si="10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ht="17.25" hidden="1" customHeight="1">
      <c r="A550" s="5" t="str">
        <f t="shared" si="130"/>
        <v>[...]</v>
      </c>
      <c r="B550" s="3"/>
      <c r="C550" s="668"/>
      <c r="D550" s="40"/>
      <c r="E550" s="40"/>
      <c r="F550" s="40"/>
      <c r="G550" s="40"/>
      <c r="H550" s="40"/>
      <c r="I550" s="40"/>
      <c r="J550" s="40"/>
      <c r="K550" s="40"/>
      <c r="L550" s="40"/>
      <c r="M550" s="40"/>
      <c r="N550" s="40"/>
      <c r="O550" s="40"/>
      <c r="P550" s="40"/>
      <c r="Q550" s="40"/>
      <c r="R550" s="40"/>
      <c r="S550" s="40"/>
      <c r="T550" s="40"/>
      <c r="U550" s="228"/>
      <c r="V550" s="559" t="s">
        <v>56</v>
      </c>
      <c r="W550" s="707"/>
      <c r="X550" s="700"/>
      <c r="Y550" s="708"/>
      <c r="Z550" s="701">
        <v>0.0</v>
      </c>
      <c r="AA550" s="700"/>
      <c r="AB550" s="700"/>
      <c r="AC550" s="701"/>
      <c r="AD550" s="709"/>
      <c r="AE550" s="708"/>
      <c r="AF550" s="701">
        <v>0.0</v>
      </c>
      <c r="AG550" s="702"/>
      <c r="AH550" s="703">
        <f t="shared" ref="AH550:AH552" si="134">AF550-Z550</f>
        <v>0</v>
      </c>
      <c r="AI550" s="704">
        <f t="shared" ref="AI550:AI553" si="135">IF(Z550=0,0,AH550/Z550)</f>
        <v>0</v>
      </c>
      <c r="AJ550" s="709"/>
      <c r="AK550" s="708"/>
      <c r="AL550" s="701">
        <v>0.0</v>
      </c>
      <c r="AM550" s="705"/>
      <c r="AN550" s="703">
        <f t="shared" si="121"/>
        <v>0</v>
      </c>
      <c r="AO550" s="710">
        <f t="shared" si="105"/>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ht="17.25" hidden="1" customHeight="1">
      <c r="A551" s="5" t="str">
        <f t="shared" si="130"/>
        <v>[...]</v>
      </c>
      <c r="B551" s="3"/>
      <c r="C551" s="668"/>
      <c r="D551" s="40"/>
      <c r="E551" s="40"/>
      <c r="F551" s="40"/>
      <c r="G551" s="40"/>
      <c r="H551" s="40"/>
      <c r="I551" s="40"/>
      <c r="J551" s="40"/>
      <c r="K551" s="40"/>
      <c r="L551" s="40"/>
      <c r="M551" s="40"/>
      <c r="N551" s="40"/>
      <c r="O551" s="40"/>
      <c r="P551" s="40"/>
      <c r="Q551" s="40"/>
      <c r="R551" s="40"/>
      <c r="S551" s="40"/>
      <c r="T551" s="40"/>
      <c r="U551" s="228"/>
      <c r="V551" s="559" t="s">
        <v>56</v>
      </c>
      <c r="W551" s="707"/>
      <c r="X551" s="700"/>
      <c r="Y551" s="708"/>
      <c r="Z551" s="701">
        <v>0.0</v>
      </c>
      <c r="AA551" s="700"/>
      <c r="AB551" s="700"/>
      <c r="AC551" s="701"/>
      <c r="AD551" s="709"/>
      <c r="AE551" s="708"/>
      <c r="AF551" s="701">
        <v>0.0</v>
      </c>
      <c r="AG551" s="702"/>
      <c r="AH551" s="703">
        <f t="shared" si="134"/>
        <v>0</v>
      </c>
      <c r="AI551" s="704">
        <f t="shared" si="135"/>
        <v>0</v>
      </c>
      <c r="AJ551" s="709"/>
      <c r="AK551" s="708"/>
      <c r="AL551" s="701">
        <v>0.0</v>
      </c>
      <c r="AM551" s="705"/>
      <c r="AN551" s="703">
        <f t="shared" si="121"/>
        <v>0</v>
      </c>
      <c r="AO551" s="710">
        <f t="shared" si="105"/>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ht="17.25" hidden="1" customHeight="1">
      <c r="A552" s="5" t="str">
        <f t="shared" si="130"/>
        <v>[...]</v>
      </c>
      <c r="B552" s="3"/>
      <c r="C552" s="668"/>
      <c r="D552" s="40"/>
      <c r="E552" s="40"/>
      <c r="F552" s="40"/>
      <c r="G552" s="40"/>
      <c r="H552" s="40"/>
      <c r="I552" s="40"/>
      <c r="J552" s="40"/>
      <c r="K552" s="40"/>
      <c r="L552" s="40"/>
      <c r="M552" s="40"/>
      <c r="N552" s="40"/>
      <c r="O552" s="40"/>
      <c r="P552" s="40"/>
      <c r="Q552" s="40"/>
      <c r="R552" s="40"/>
      <c r="S552" s="40"/>
      <c r="T552" s="40"/>
      <c r="U552" s="40"/>
      <c r="V552" s="559" t="s">
        <v>56</v>
      </c>
      <c r="W552" s="707"/>
      <c r="X552" s="700"/>
      <c r="Y552" s="708"/>
      <c r="Z552" s="701">
        <v>0.0</v>
      </c>
      <c r="AA552" s="700"/>
      <c r="AB552" s="700"/>
      <c r="AC552" s="701"/>
      <c r="AD552" s="709"/>
      <c r="AE552" s="708"/>
      <c r="AF552" s="701">
        <v>0.0</v>
      </c>
      <c r="AG552" s="702"/>
      <c r="AH552" s="703">
        <f t="shared" si="134"/>
        <v>0</v>
      </c>
      <c r="AI552" s="704">
        <f t="shared" si="135"/>
        <v>0</v>
      </c>
      <c r="AJ552" s="709"/>
      <c r="AK552" s="708"/>
      <c r="AL552" s="701">
        <v>0.0</v>
      </c>
      <c r="AM552" s="705"/>
      <c r="AN552" s="703">
        <f t="shared" si="121"/>
        <v>0</v>
      </c>
      <c r="AO552" s="710">
        <f t="shared" si="105"/>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ht="21.0" customHeight="1">
      <c r="A553" s="5" t="str">
        <f t="shared" si="130"/>
        <v>TOTAL DÉPENSES FIXES</v>
      </c>
      <c r="B553" s="3"/>
      <c r="C553" s="668"/>
      <c r="D553" s="40"/>
      <c r="E553" s="40"/>
      <c r="F553" s="40"/>
      <c r="G553" s="40"/>
      <c r="H553" s="40"/>
      <c r="I553" s="40"/>
      <c r="J553" s="40"/>
      <c r="K553" s="40"/>
      <c r="L553" s="40"/>
      <c r="M553" s="40"/>
      <c r="N553" s="40"/>
      <c r="O553" s="40"/>
      <c r="P553" s="40"/>
      <c r="Q553" s="40"/>
      <c r="R553" s="40"/>
      <c r="S553" s="40"/>
      <c r="T553" s="40"/>
      <c r="U553" s="40"/>
      <c r="V553" s="715" t="s">
        <v>209</v>
      </c>
      <c r="W553" s="716"/>
      <c r="X553" s="717" t="str">
        <f>Z553/+Z494</f>
        <v>#N/A</v>
      </c>
      <c r="Y553" s="716"/>
      <c r="Z553" s="718" t="str">
        <f>SUM(Z540:Z552)</f>
        <v>#N/A</v>
      </c>
      <c r="AA553" s="717"/>
      <c r="AB553" s="716"/>
      <c r="AC553" s="718"/>
      <c r="AD553" s="719">
        <f>AF553/AF494</f>
        <v>0.1787689855</v>
      </c>
      <c r="AE553" s="716"/>
      <c r="AF553" s="718">
        <f>SUM(AF540:AF552)</f>
        <v>1213473.63</v>
      </c>
      <c r="AG553" s="736"/>
      <c r="AH553" s="737" t="str">
        <f>SUM(AH540:AH552)</f>
        <v>#N/A</v>
      </c>
      <c r="AI553" s="717" t="str">
        <f t="shared" si="135"/>
        <v>#N/A</v>
      </c>
      <c r="AJ553" s="719">
        <f>IF($AL$494=0,0,AL553/$AL$494)</f>
        <v>0.1814467</v>
      </c>
      <c r="AK553" s="716"/>
      <c r="AL553" s="718">
        <f>SUM(AL540:AL552)</f>
        <v>1459346.31</v>
      </c>
      <c r="AM553" s="722"/>
      <c r="AN553" s="720">
        <f t="shared" si="121"/>
        <v>-245872.68</v>
      </c>
      <c r="AO553" s="738">
        <f t="shared" si="105"/>
        <v>-0.1684813799</v>
      </c>
      <c r="AP553" s="40"/>
      <c r="AQ553" s="40"/>
      <c r="AR553" s="40"/>
      <c r="AS553" s="40"/>
      <c r="AT553" s="40"/>
      <c r="AU553" s="40"/>
      <c r="AV553" s="40"/>
      <c r="AW553" s="40"/>
      <c r="AX553" s="40"/>
      <c r="AY553" s="40"/>
      <c r="AZ553" s="40"/>
      <c r="BA553" s="40"/>
      <c r="BB553" s="40"/>
      <c r="BC553" s="40"/>
      <c r="BD553" s="40"/>
      <c r="BE553" s="40"/>
      <c r="BF553" s="40"/>
      <c r="BG553" s="40"/>
      <c r="BH553" s="40"/>
      <c r="BI553" s="40"/>
    </row>
    <row r="554" ht="15.75" customHeight="1">
      <c r="A554" s="5" t="str">
        <f t="shared" si="130"/>
        <v/>
      </c>
      <c r="B554" s="3"/>
      <c r="C554" s="668"/>
      <c r="D554" s="40"/>
      <c r="E554" s="40"/>
      <c r="F554" s="40"/>
      <c r="G554" s="40"/>
      <c r="H554" s="40"/>
      <c r="I554" s="40"/>
      <c r="J554" s="40"/>
      <c r="K554" s="40"/>
      <c r="L554" s="40"/>
      <c r="M554" s="40"/>
      <c r="N554" s="40"/>
      <c r="O554" s="40"/>
      <c r="P554" s="40"/>
      <c r="Q554" s="40"/>
      <c r="R554" s="40"/>
      <c r="S554" s="40"/>
      <c r="T554" s="40"/>
      <c r="U554" s="40"/>
      <c r="V554" s="559"/>
      <c r="W554" s="700"/>
      <c r="X554" s="700"/>
      <c r="Y554" s="700"/>
      <c r="Z554" s="743"/>
      <c r="AA554" s="700"/>
      <c r="AB554" s="700"/>
      <c r="AC554" s="743"/>
      <c r="AD554" s="709"/>
      <c r="AE554" s="700"/>
      <c r="AF554" s="701"/>
      <c r="AG554" s="709"/>
      <c r="AH554" s="703">
        <f t="shared" ref="AH554:AH568" si="136">AF554-Z554</f>
        <v>0</v>
      </c>
      <c r="AI554" s="704"/>
      <c r="AJ554" s="709"/>
      <c r="AK554" s="700"/>
      <c r="AL554" s="701"/>
      <c r="AM554" s="744"/>
      <c r="AN554" s="703"/>
      <c r="AO554" s="745"/>
      <c r="AP554" s="40"/>
      <c r="AQ554" s="40"/>
      <c r="AR554" s="40"/>
      <c r="AS554" s="40"/>
      <c r="AT554" s="40"/>
      <c r="AU554" s="40"/>
      <c r="AV554" s="40"/>
      <c r="AW554" s="40"/>
      <c r="AX554" s="40"/>
      <c r="AY554" s="40"/>
      <c r="AZ554" s="40"/>
      <c r="BA554" s="40"/>
      <c r="BB554" s="40"/>
      <c r="BC554" s="40"/>
      <c r="BD554" s="40"/>
      <c r="BE554" s="40"/>
      <c r="BF554" s="40"/>
      <c r="BG554" s="40"/>
      <c r="BH554" s="40"/>
      <c r="BI554" s="40"/>
    </row>
    <row r="555" ht="21.0" customHeight="1">
      <c r="A555" s="5" t="str">
        <f t="shared" si="130"/>
        <v>TOTAL DES DÉPENSES</v>
      </c>
      <c r="B555" s="3"/>
      <c r="C555" s="668"/>
      <c r="D555" s="40"/>
      <c r="E555" s="40"/>
      <c r="F555" s="40"/>
      <c r="G555" s="40"/>
      <c r="H555" s="40"/>
      <c r="I555" s="40"/>
      <c r="J555" s="40"/>
      <c r="K555" s="40"/>
      <c r="L555" s="40"/>
      <c r="M555" s="40"/>
      <c r="N555" s="40"/>
      <c r="O555" s="40"/>
      <c r="P555" s="40"/>
      <c r="Q555" s="40"/>
      <c r="R555" s="40"/>
      <c r="S555" s="40"/>
      <c r="T555" s="40"/>
      <c r="U555" s="40"/>
      <c r="V555" s="715" t="s">
        <v>143</v>
      </c>
      <c r="W555" s="716"/>
      <c r="X555" s="717" t="str">
        <f>Z555/+Z494</f>
        <v>#N/A</v>
      </c>
      <c r="Y555" s="716"/>
      <c r="Z555" s="718" t="str">
        <f>Z506+Z520+Z539+Z553</f>
        <v>#N/A</v>
      </c>
      <c r="AA555" s="717"/>
      <c r="AB555" s="716"/>
      <c r="AC555" s="718"/>
      <c r="AD555" s="719">
        <f>AF555/AF494</f>
        <v>0.7607135473</v>
      </c>
      <c r="AE555" s="716"/>
      <c r="AF555" s="718">
        <f>AF506+AF520+AF539+AF553</f>
        <v>5163679.97</v>
      </c>
      <c r="AG555" s="736"/>
      <c r="AH555" s="737" t="str">
        <f t="shared" si="136"/>
        <v>#N/A</v>
      </c>
      <c r="AI555" s="717" t="str">
        <f>AH555/Z555</f>
        <v>#N/A</v>
      </c>
      <c r="AJ555" s="719">
        <f>IF($AL$494=0,0,AL555/$AL$494)</f>
        <v>0.6840237923</v>
      </c>
      <c r="AK555" s="716"/>
      <c r="AL555" s="718">
        <f>AL506+AL520+AL539+AL553</f>
        <v>5501492.16</v>
      </c>
      <c r="AM555" s="722"/>
      <c r="AN555" s="720">
        <f t="shared" ref="AN555:AN568" si="137">AF555-AL555</f>
        <v>-337812.19</v>
      </c>
      <c r="AO555" s="698">
        <f t="shared" ref="AO555:AO568" si="138">IF(AL555=0,0,AN555/AL555)</f>
        <v>-0.06140373924</v>
      </c>
      <c r="AP555" s="40"/>
      <c r="AQ555" s="40"/>
      <c r="AR555" s="40"/>
      <c r="AS555" s="40"/>
      <c r="AT555" s="40"/>
      <c r="AU555" s="40"/>
      <c r="AV555" s="40"/>
      <c r="AW555" s="40"/>
      <c r="AX555" s="40"/>
      <c r="AY555" s="40"/>
      <c r="AZ555" s="40"/>
      <c r="BA555" s="40"/>
      <c r="BB555" s="40"/>
      <c r="BC555" s="40"/>
      <c r="BD555" s="40"/>
      <c r="BE555" s="40"/>
      <c r="BF555" s="40"/>
      <c r="BG555" s="40"/>
      <c r="BH555" s="40"/>
      <c r="BI555" s="40"/>
    </row>
    <row r="556" ht="15.75" customHeight="1">
      <c r="A556" s="5" t="str">
        <f t="shared" si="130"/>
        <v>Revenus autres</v>
      </c>
      <c r="B556" s="3"/>
      <c r="C556" s="668"/>
      <c r="D556" s="40"/>
      <c r="E556" s="40"/>
      <c r="F556" s="40"/>
      <c r="G556" s="40"/>
      <c r="H556" s="40"/>
      <c r="I556" s="40"/>
      <c r="J556" s="40"/>
      <c r="K556" s="40"/>
      <c r="L556" s="40"/>
      <c r="M556" s="40"/>
      <c r="N556" s="40"/>
      <c r="O556" s="40"/>
      <c r="P556" s="40"/>
      <c r="Q556" s="40"/>
      <c r="R556" s="40"/>
      <c r="S556" s="40"/>
      <c r="T556" s="40"/>
      <c r="U556" s="40"/>
      <c r="V556" s="559" t="s">
        <v>210</v>
      </c>
      <c r="W556" s="741"/>
      <c r="X556" s="741"/>
      <c r="Y556" s="700"/>
      <c r="Z556" s="727" t="str">
        <f t="array" ref="Z556">+SUMPRODUCT(('Budget original'!$A$8:$A$501=$A556)*('Budget original'!$C$3:$AO$3=Z$2),'Budget original'!$C$8:$AO$501)</f>
        <v>#N/A</v>
      </c>
      <c r="AA556" s="746"/>
      <c r="AB556" s="747"/>
      <c r="AC556" s="727"/>
      <c r="AD556" s="748"/>
      <c r="AE556" s="747"/>
      <c r="AF556" s="727">
        <f>-SUMIFS(BV_Data_An_Cour!$AN:$AN,BV_Data_An_Cour!$AQ:$AQ,$V556)</f>
        <v>2960.05</v>
      </c>
      <c r="AG556" s="749"/>
      <c r="AH556" s="703" t="str">
        <f t="shared" si="136"/>
        <v>#N/A</v>
      </c>
      <c r="AI556" s="742" t="str">
        <f>IF(AH556=0,0,AH556/Z556)</f>
        <v>#N/A</v>
      </c>
      <c r="AJ556" s="748"/>
      <c r="AK556" s="747"/>
      <c r="AL556" s="727">
        <f>-SUMIFS(BV_Data_An_Prec!$AN:$AN,BV_Data_An_Prec!$AQ:$AQ,$V556)</f>
        <v>399461.84</v>
      </c>
      <c r="AM556" s="750"/>
      <c r="AN556" s="703">
        <f t="shared" si="137"/>
        <v>-396501.79</v>
      </c>
      <c r="AO556" s="710">
        <f t="shared" si="138"/>
        <v>-0.9925899055</v>
      </c>
      <c r="AP556" s="40"/>
      <c r="AQ556" s="40"/>
      <c r="AR556" s="40"/>
      <c r="AS556" s="40"/>
      <c r="AT556" s="40"/>
      <c r="AU556" s="40"/>
      <c r="AV556" s="40"/>
      <c r="AW556" s="40"/>
      <c r="AX556" s="40"/>
      <c r="AY556" s="40"/>
      <c r="AZ556" s="40"/>
      <c r="BA556" s="40"/>
      <c r="BB556" s="40"/>
      <c r="BC556" s="40"/>
      <c r="BD556" s="40"/>
      <c r="BE556" s="40"/>
      <c r="BF556" s="40"/>
      <c r="BG556" s="40"/>
      <c r="BH556" s="40"/>
      <c r="BI556" s="40"/>
    </row>
    <row r="557" ht="17.25" hidden="1" customHeight="1">
      <c r="A557" s="5" t="str">
        <f t="shared" si="130"/>
        <v>Holdbacks</v>
      </c>
      <c r="B557" s="3"/>
      <c r="C557" s="668"/>
      <c r="D557" s="40"/>
      <c r="E557" s="40"/>
      <c r="F557" s="40"/>
      <c r="G557" s="40"/>
      <c r="H557" s="40"/>
      <c r="I557" s="40"/>
      <c r="J557" s="40"/>
      <c r="K557" s="40"/>
      <c r="L557" s="40"/>
      <c r="M557" s="40"/>
      <c r="N557" s="40"/>
      <c r="O557" s="40"/>
      <c r="P557" s="40"/>
      <c r="Q557" s="40"/>
      <c r="R557" s="40"/>
      <c r="S557" s="40"/>
      <c r="T557" s="40"/>
      <c r="U557" s="40"/>
      <c r="V557" s="559" t="s">
        <v>147</v>
      </c>
      <c r="W557" s="700"/>
      <c r="X557" s="700"/>
      <c r="Y557" s="700"/>
      <c r="Z557" s="701" t="str">
        <f t="shared" ref="Z557:Z563" si="139">+SUMIF($C:$C,$V557,F:F)</f>
        <v>#N/A</v>
      </c>
      <c r="AA557" s="740"/>
      <c r="AB557" s="703"/>
      <c r="AC557" s="701"/>
      <c r="AD557" s="751"/>
      <c r="AE557" s="752"/>
      <c r="AF557" s="701">
        <f t="shared" ref="AF557:AF567" si="140">+SUMIF($C:$C,$V557,L:L)</f>
        <v>0</v>
      </c>
      <c r="AG557" s="753"/>
      <c r="AH557" s="703" t="str">
        <f t="shared" si="136"/>
        <v>#N/A</v>
      </c>
      <c r="AI557" s="723" t="str">
        <f>IF(Z557=0,0,AH557/Z557)</f>
        <v>#N/A</v>
      </c>
      <c r="AJ557" s="751"/>
      <c r="AK557" s="752"/>
      <c r="AL557" s="701">
        <f>-SUMIFS(BV_Data_An_Prec!$AN:$AN,BV_Data_An_Prec!$AQ:$AQ,$V557)</f>
        <v>0</v>
      </c>
      <c r="AM557" s="751"/>
      <c r="AN557" s="703">
        <f t="shared" si="137"/>
        <v>0</v>
      </c>
      <c r="AO557" s="710">
        <f t="shared" si="13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ht="15.75" customHeight="1">
      <c r="A558" s="5" t="str">
        <f t="shared" si="130"/>
        <v>Programme Excellence</v>
      </c>
      <c r="B558" s="3"/>
      <c r="C558" s="668"/>
      <c r="D558" s="40"/>
      <c r="E558" s="40"/>
      <c r="F558" s="40"/>
      <c r="G558" s="40"/>
      <c r="H558" s="40"/>
      <c r="I558" s="40"/>
      <c r="J558" s="40"/>
      <c r="K558" s="40"/>
      <c r="L558" s="40"/>
      <c r="M558" s="40"/>
      <c r="N558" s="40"/>
      <c r="O558" s="40"/>
      <c r="P558" s="40"/>
      <c r="Q558" s="40"/>
      <c r="R558" s="40"/>
      <c r="S558" s="40"/>
      <c r="T558" s="40"/>
      <c r="U558" s="40"/>
      <c r="V558" s="559" t="s">
        <v>842</v>
      </c>
      <c r="W558" s="700"/>
      <c r="X558" s="700"/>
      <c r="Y558" s="700"/>
      <c r="Z558" s="701" t="str">
        <f t="shared" si="139"/>
        <v>#N/A</v>
      </c>
      <c r="AA558" s="740"/>
      <c r="AB558" s="741"/>
      <c r="AC558" s="701"/>
      <c r="AD558" s="754"/>
      <c r="AF558" s="701">
        <f t="shared" si="140"/>
        <v>176893.77</v>
      </c>
      <c r="AG558" s="753"/>
      <c r="AH558" s="703" t="str">
        <f t="shared" si="136"/>
        <v>#N/A</v>
      </c>
      <c r="AI558" s="723" t="str">
        <f t="shared" ref="AI558:AI567" si="141">IF(AH558=0,0,AH558/Z558)</f>
        <v>#N/A</v>
      </c>
      <c r="AJ558" s="754"/>
      <c r="AL558" s="701">
        <f>-SUMIFS(BV_Data_An_Prec!$AN:$AN,BV_Data_An_Prec!$AQ:$AQ,$V558)</f>
        <v>230561.58</v>
      </c>
      <c r="AM558" s="751"/>
      <c r="AN558" s="703">
        <f t="shared" si="137"/>
        <v>-53667.81</v>
      </c>
      <c r="AO558" s="710">
        <f t="shared" si="138"/>
        <v>-0.2327699611</v>
      </c>
      <c r="AP558" s="40"/>
      <c r="AQ558" s="40"/>
      <c r="AR558" s="40"/>
      <c r="AS558" s="40"/>
      <c r="AT558" s="40"/>
      <c r="AU558" s="40"/>
      <c r="AV558" s="40"/>
      <c r="AW558" s="40"/>
      <c r="AX558" s="40"/>
      <c r="AY558" s="40"/>
      <c r="AZ558" s="40"/>
      <c r="BA558" s="40"/>
      <c r="BB558" s="40"/>
      <c r="BC558" s="40"/>
      <c r="BD558" s="40"/>
      <c r="BE558" s="40"/>
      <c r="BF558" s="40"/>
      <c r="BG558" s="40"/>
      <c r="BH558" s="40"/>
      <c r="BI558" s="40"/>
    </row>
    <row r="559" ht="17.25" hidden="1" customHeight="1">
      <c r="A559" s="5" t="str">
        <f t="shared" si="130"/>
        <v>Programme neuf 2</v>
      </c>
      <c r="B559" s="3"/>
      <c r="C559" s="668"/>
      <c r="D559" s="40"/>
      <c r="E559" s="40"/>
      <c r="F559" s="40"/>
      <c r="G559" s="40"/>
      <c r="H559" s="40"/>
      <c r="I559" s="40"/>
      <c r="J559" s="40"/>
      <c r="K559" s="40"/>
      <c r="L559" s="40"/>
      <c r="M559" s="40"/>
      <c r="N559" s="40"/>
      <c r="O559" s="40"/>
      <c r="P559" s="40"/>
      <c r="Q559" s="40"/>
      <c r="R559" s="40"/>
      <c r="S559" s="40"/>
      <c r="T559" s="40"/>
      <c r="U559" s="40"/>
      <c r="V559" s="559" t="s">
        <v>145</v>
      </c>
      <c r="W559" s="700"/>
      <c r="X559" s="700"/>
      <c r="Y559" s="700"/>
      <c r="Z559" s="701" t="str">
        <f t="shared" si="139"/>
        <v>#N/A</v>
      </c>
      <c r="AA559" s="740"/>
      <c r="AB559" s="741"/>
      <c r="AC559" s="701"/>
      <c r="AD559" s="754"/>
      <c r="AE559" s="741"/>
      <c r="AF559" s="701">
        <f t="shared" si="140"/>
        <v>0</v>
      </c>
      <c r="AG559" s="753"/>
      <c r="AH559" s="703" t="str">
        <f t="shared" si="136"/>
        <v>#N/A</v>
      </c>
      <c r="AI559" s="723" t="str">
        <f t="shared" si="141"/>
        <v>#N/A</v>
      </c>
      <c r="AJ559" s="754"/>
      <c r="AK559" s="741"/>
      <c r="AL559" s="701">
        <f>-SUMIFS(BV_Data_An_Prec!$AN:$AN,BV_Data_An_Prec!$AQ:$AQ,$V559)</f>
        <v>0</v>
      </c>
      <c r="AM559" s="751"/>
      <c r="AN559" s="703">
        <f t="shared" si="137"/>
        <v>0</v>
      </c>
      <c r="AO559" s="710">
        <f t="shared" si="13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ht="17.25" hidden="1" customHeight="1">
      <c r="A560" s="5" t="str">
        <f t="shared" si="130"/>
        <v>Programme neuf 3</v>
      </c>
      <c r="B560" s="3"/>
      <c r="C560" s="668"/>
      <c r="D560" s="40"/>
      <c r="E560" s="40"/>
      <c r="F560" s="40"/>
      <c r="G560" s="40"/>
      <c r="H560" s="40"/>
      <c r="I560" s="40"/>
      <c r="J560" s="40"/>
      <c r="K560" s="40"/>
      <c r="L560" s="40"/>
      <c r="M560" s="40"/>
      <c r="N560" s="40"/>
      <c r="O560" s="40"/>
      <c r="P560" s="40"/>
      <c r="Q560" s="40"/>
      <c r="R560" s="40"/>
      <c r="S560" s="40"/>
      <c r="T560" s="40"/>
      <c r="U560" s="40"/>
      <c r="V560" s="559" t="s">
        <v>146</v>
      </c>
      <c r="W560" s="700"/>
      <c r="X560" s="700"/>
      <c r="Y560" s="700"/>
      <c r="Z560" s="701" t="str">
        <f t="shared" si="139"/>
        <v>#N/A</v>
      </c>
      <c r="AA560" s="740"/>
      <c r="AB560" s="741"/>
      <c r="AC560" s="701"/>
      <c r="AD560" s="754"/>
      <c r="AE560" s="741"/>
      <c r="AF560" s="701">
        <f t="shared" si="140"/>
        <v>0</v>
      </c>
      <c r="AG560" s="753"/>
      <c r="AH560" s="703" t="str">
        <f t="shared" si="136"/>
        <v>#N/A</v>
      </c>
      <c r="AI560" s="723" t="str">
        <f t="shared" si="141"/>
        <v>#N/A</v>
      </c>
      <c r="AJ560" s="754"/>
      <c r="AK560" s="741"/>
      <c r="AL560" s="701">
        <f>-SUMIFS(BV_Data_An_Prec!$AN:$AN,BV_Data_An_Prec!$AQ:$AQ,$V560)</f>
        <v>0</v>
      </c>
      <c r="AM560" s="751"/>
      <c r="AN560" s="703">
        <f t="shared" si="137"/>
        <v>0</v>
      </c>
      <c r="AO560" s="710">
        <f t="shared" si="13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ht="17.25" hidden="1" customHeight="1">
      <c r="A561" s="5" t="str">
        <f t="shared" si="130"/>
        <v>Programme used 1</v>
      </c>
      <c r="B561" s="3"/>
      <c r="C561" s="668"/>
      <c r="D561" s="40"/>
      <c r="E561" s="40"/>
      <c r="F561" s="40"/>
      <c r="G561" s="40"/>
      <c r="H561" s="40"/>
      <c r="I561" s="40"/>
      <c r="J561" s="40"/>
      <c r="K561" s="40"/>
      <c r="L561" s="40"/>
      <c r="M561" s="40"/>
      <c r="N561" s="40"/>
      <c r="O561" s="40"/>
      <c r="P561" s="40"/>
      <c r="Q561" s="40"/>
      <c r="R561" s="40"/>
      <c r="S561" s="40"/>
      <c r="T561" s="40"/>
      <c r="U561" s="40"/>
      <c r="V561" s="559" t="s">
        <v>158</v>
      </c>
      <c r="W561" s="700"/>
      <c r="X561" s="700"/>
      <c r="Y561" s="700"/>
      <c r="Z561" s="701" t="str">
        <f t="shared" si="139"/>
        <v>#N/A</v>
      </c>
      <c r="AA561" s="740"/>
      <c r="AB561" s="741"/>
      <c r="AC561" s="701"/>
      <c r="AD561" s="754"/>
      <c r="AE561" s="741"/>
      <c r="AF561" s="701">
        <f t="shared" si="140"/>
        <v>0</v>
      </c>
      <c r="AG561" s="753"/>
      <c r="AH561" s="703" t="str">
        <f t="shared" si="136"/>
        <v>#N/A</v>
      </c>
      <c r="AI561" s="723" t="str">
        <f t="shared" si="141"/>
        <v>#N/A</v>
      </c>
      <c r="AJ561" s="754"/>
      <c r="AK561" s="741"/>
      <c r="AL561" s="701">
        <f>-SUMIFS(BV_Data_An_Prec!$AN:$AN,BV_Data_An_Prec!$AQ:$AQ,$V561)</f>
        <v>0</v>
      </c>
      <c r="AM561" s="751"/>
      <c r="AN561" s="703">
        <f t="shared" si="137"/>
        <v>0</v>
      </c>
      <c r="AO561" s="710">
        <f t="shared" si="13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ht="17.25" hidden="1" customHeight="1">
      <c r="A562" s="5" t="str">
        <f t="shared" si="130"/>
        <v>Programme used 2</v>
      </c>
      <c r="B562" s="3"/>
      <c r="C562" s="668"/>
      <c r="D562" s="40"/>
      <c r="E562" s="40"/>
      <c r="F562" s="40"/>
      <c r="G562" s="40"/>
      <c r="H562" s="40"/>
      <c r="I562" s="40"/>
      <c r="J562" s="40"/>
      <c r="K562" s="40"/>
      <c r="L562" s="40"/>
      <c r="M562" s="40"/>
      <c r="N562" s="40"/>
      <c r="O562" s="40"/>
      <c r="P562" s="40"/>
      <c r="Q562" s="40"/>
      <c r="R562" s="40"/>
      <c r="S562" s="40"/>
      <c r="T562" s="40"/>
      <c r="U562" s="40"/>
      <c r="V562" s="559" t="s">
        <v>159</v>
      </c>
      <c r="W562" s="700"/>
      <c r="X562" s="700"/>
      <c r="Y562" s="700"/>
      <c r="Z562" s="701" t="str">
        <f t="shared" si="139"/>
        <v>#N/A</v>
      </c>
      <c r="AA562" s="740"/>
      <c r="AB562" s="741"/>
      <c r="AC562" s="701"/>
      <c r="AD562" s="754"/>
      <c r="AE562" s="741"/>
      <c r="AF562" s="701">
        <f t="shared" si="140"/>
        <v>0</v>
      </c>
      <c r="AG562" s="753"/>
      <c r="AH562" s="703" t="str">
        <f t="shared" si="136"/>
        <v>#N/A</v>
      </c>
      <c r="AI562" s="723" t="str">
        <f t="shared" si="141"/>
        <v>#N/A</v>
      </c>
      <c r="AJ562" s="754"/>
      <c r="AK562" s="741"/>
      <c r="AL562" s="701">
        <f>-SUMIFS(BV_Data_An_Prec!$AN:$AN,BV_Data_An_Prec!$AQ:$AQ,$V562)</f>
        <v>0</v>
      </c>
      <c r="AM562" s="751"/>
      <c r="AN562" s="703">
        <f t="shared" si="137"/>
        <v>0</v>
      </c>
      <c r="AO562" s="710">
        <f t="shared" si="13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ht="17.25" hidden="1" customHeight="1">
      <c r="A563" s="5" t="str">
        <f t="shared" si="130"/>
        <v>Programme used 3</v>
      </c>
      <c r="B563" s="3"/>
      <c r="C563" s="668"/>
      <c r="D563" s="40"/>
      <c r="E563" s="40"/>
      <c r="F563" s="40"/>
      <c r="G563" s="40"/>
      <c r="H563" s="40"/>
      <c r="I563" s="40"/>
      <c r="J563" s="40"/>
      <c r="K563" s="40"/>
      <c r="L563" s="40"/>
      <c r="M563" s="40"/>
      <c r="N563" s="40"/>
      <c r="O563" s="40"/>
      <c r="P563" s="40"/>
      <c r="Q563" s="40"/>
      <c r="R563" s="40"/>
      <c r="S563" s="40"/>
      <c r="T563" s="40"/>
      <c r="U563" s="40"/>
      <c r="V563" s="559" t="s">
        <v>160</v>
      </c>
      <c r="W563" s="700"/>
      <c r="X563" s="700"/>
      <c r="Y563" s="700"/>
      <c r="Z563" s="701" t="str">
        <f t="shared" si="139"/>
        <v>#N/A</v>
      </c>
      <c r="AA563" s="740"/>
      <c r="AB563" s="741"/>
      <c r="AC563" s="701"/>
      <c r="AD563" s="754"/>
      <c r="AE563" s="741"/>
      <c r="AF563" s="701">
        <f t="shared" si="140"/>
        <v>0</v>
      </c>
      <c r="AG563" s="753"/>
      <c r="AH563" s="703" t="str">
        <f t="shared" si="136"/>
        <v>#N/A</v>
      </c>
      <c r="AI563" s="723" t="str">
        <f t="shared" si="141"/>
        <v>#N/A</v>
      </c>
      <c r="AJ563" s="754"/>
      <c r="AK563" s="741"/>
      <c r="AL563" s="701">
        <f>-SUMIFS(BV_Data_An_Prec!$AN:$AN,BV_Data_An_Prec!$AQ:$AQ,$V563)</f>
        <v>0</v>
      </c>
      <c r="AM563" s="751"/>
      <c r="AN563" s="703">
        <f t="shared" si="137"/>
        <v>0</v>
      </c>
      <c r="AO563" s="710">
        <f t="shared" si="13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ht="17.25" hidden="1" customHeight="1">
      <c r="A564" s="5" t="str">
        <f t="shared" si="130"/>
        <v>[...]</v>
      </c>
      <c r="B564" s="3"/>
      <c r="C564" s="668"/>
      <c r="D564" s="40"/>
      <c r="E564" s="40"/>
      <c r="F564" s="40"/>
      <c r="G564" s="40"/>
      <c r="H564" s="40"/>
      <c r="I564" s="40"/>
      <c r="J564" s="40"/>
      <c r="K564" s="40"/>
      <c r="L564" s="40"/>
      <c r="M564" s="40"/>
      <c r="N564" s="40"/>
      <c r="O564" s="40"/>
      <c r="P564" s="40"/>
      <c r="Q564" s="40"/>
      <c r="R564" s="40"/>
      <c r="S564" s="40"/>
      <c r="T564" s="40"/>
      <c r="U564" s="40"/>
      <c r="V564" s="559" t="s">
        <v>56</v>
      </c>
      <c r="W564" s="700"/>
      <c r="X564" s="700"/>
      <c r="Y564" s="700"/>
      <c r="Z564" s="701" t="str">
        <f t="array" ref="Z564">+SUMPRODUCT(('Budget original'!$A$8:$A$501=$A564)*('Budget original'!$C$3:$AO$3=Z$2),'Budget original'!$C$8:$AO$501)</f>
        <v>#N/A</v>
      </c>
      <c r="AA564" s="700"/>
      <c r="AB564" s="700"/>
      <c r="AC564" s="701"/>
      <c r="AD564" s="709"/>
      <c r="AE564" s="708"/>
      <c r="AF564" s="701">
        <f t="shared" si="140"/>
        <v>0</v>
      </c>
      <c r="AG564" s="702"/>
      <c r="AH564" s="703" t="str">
        <f t="shared" si="136"/>
        <v>#N/A</v>
      </c>
      <c r="AI564" s="704" t="str">
        <f t="shared" si="141"/>
        <v>#N/A</v>
      </c>
      <c r="AJ564" s="709"/>
      <c r="AK564" s="708"/>
      <c r="AL564" s="701">
        <f>-SUMIFS(BV_Data_An_Prec!$AN:$AN,BV_Data_An_Prec!$AQ:$AQ,$V564)</f>
        <v>0</v>
      </c>
      <c r="AM564" s="751"/>
      <c r="AN564" s="703">
        <f t="shared" si="137"/>
        <v>0</v>
      </c>
      <c r="AO564" s="710">
        <f t="shared" si="13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ht="17.25" hidden="1" customHeight="1">
      <c r="A565" s="5" t="str">
        <f t="shared" si="130"/>
        <v>[...]</v>
      </c>
      <c r="B565" s="3"/>
      <c r="C565" s="668"/>
      <c r="D565" s="40"/>
      <c r="E565" s="40"/>
      <c r="F565" s="40"/>
      <c r="G565" s="40"/>
      <c r="H565" s="40"/>
      <c r="I565" s="40"/>
      <c r="J565" s="40"/>
      <c r="K565" s="40"/>
      <c r="L565" s="40"/>
      <c r="M565" s="40"/>
      <c r="N565" s="40"/>
      <c r="O565" s="40"/>
      <c r="P565" s="40"/>
      <c r="Q565" s="40"/>
      <c r="R565" s="40"/>
      <c r="S565" s="40"/>
      <c r="T565" s="40"/>
      <c r="U565" s="40"/>
      <c r="V565" s="559" t="s">
        <v>56</v>
      </c>
      <c r="W565" s="700"/>
      <c r="X565" s="700"/>
      <c r="Y565" s="700"/>
      <c r="Z565" s="701" t="str">
        <f t="shared" ref="Z565:Z567" si="142">+SUMIF($C:$C,$V565,F:F)</f>
        <v>#N/A</v>
      </c>
      <c r="AA565" s="700"/>
      <c r="AB565" s="700"/>
      <c r="AC565" s="701"/>
      <c r="AD565" s="709"/>
      <c r="AE565" s="708"/>
      <c r="AF565" s="701">
        <f t="shared" si="140"/>
        <v>0</v>
      </c>
      <c r="AG565" s="702"/>
      <c r="AH565" s="703" t="str">
        <f t="shared" si="136"/>
        <v>#N/A</v>
      </c>
      <c r="AI565" s="704" t="str">
        <f t="shared" si="141"/>
        <v>#N/A</v>
      </c>
      <c r="AJ565" s="709"/>
      <c r="AK565" s="708"/>
      <c r="AL565" s="701">
        <f>-SUMIFS(BV_Data_An_Prec!$AN:$AN,BV_Data_An_Prec!$AQ:$AQ,$V565)</f>
        <v>0</v>
      </c>
      <c r="AM565" s="751"/>
      <c r="AN565" s="703">
        <f t="shared" si="137"/>
        <v>0</v>
      </c>
      <c r="AO565" s="710">
        <f t="shared" si="13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ht="17.25" hidden="1" customHeight="1">
      <c r="A566" s="5" t="str">
        <f t="shared" si="130"/>
        <v>[...]</v>
      </c>
      <c r="B566" s="3"/>
      <c r="C566" s="668"/>
      <c r="D566" s="40"/>
      <c r="E566" s="40"/>
      <c r="F566" s="40"/>
      <c r="G566" s="40"/>
      <c r="H566" s="40"/>
      <c r="I566" s="40"/>
      <c r="J566" s="40"/>
      <c r="K566" s="40"/>
      <c r="L566" s="40"/>
      <c r="M566" s="40"/>
      <c r="N566" s="40"/>
      <c r="O566" s="40"/>
      <c r="P566" s="40"/>
      <c r="Q566" s="40"/>
      <c r="R566" s="40"/>
      <c r="S566" s="40"/>
      <c r="T566" s="40"/>
      <c r="U566" s="40"/>
      <c r="V566" s="559" t="s">
        <v>56</v>
      </c>
      <c r="W566" s="700"/>
      <c r="X566" s="700"/>
      <c r="Y566" s="700"/>
      <c r="Z566" s="701" t="str">
        <f t="shared" si="142"/>
        <v>#N/A</v>
      </c>
      <c r="AA566" s="700"/>
      <c r="AB566" s="700"/>
      <c r="AC566" s="701"/>
      <c r="AD566" s="709"/>
      <c r="AE566" s="708"/>
      <c r="AF566" s="701">
        <f t="shared" si="140"/>
        <v>0</v>
      </c>
      <c r="AG566" s="702"/>
      <c r="AH566" s="703" t="str">
        <f t="shared" si="136"/>
        <v>#N/A</v>
      </c>
      <c r="AI566" s="704" t="str">
        <f t="shared" si="141"/>
        <v>#N/A</v>
      </c>
      <c r="AJ566" s="709"/>
      <c r="AK566" s="708"/>
      <c r="AL566" s="701">
        <f>-SUMIFS(BV_Data_An_Prec!$AN:$AN,BV_Data_An_Prec!$AQ:$AQ,$V566)</f>
        <v>0</v>
      </c>
      <c r="AM566" s="751"/>
      <c r="AN566" s="703">
        <f t="shared" si="137"/>
        <v>0</v>
      </c>
      <c r="AO566" s="710">
        <f t="shared" si="13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ht="15.75" customHeight="1">
      <c r="A567" s="5" t="str">
        <f t="shared" si="130"/>
        <v>Frais administration</v>
      </c>
      <c r="B567" s="3"/>
      <c r="C567" s="668"/>
      <c r="D567" s="40"/>
      <c r="E567" s="40"/>
      <c r="F567" s="40"/>
      <c r="G567" s="40"/>
      <c r="H567" s="40"/>
      <c r="I567" s="40"/>
      <c r="J567" s="40"/>
      <c r="K567" s="40"/>
      <c r="L567" s="40"/>
      <c r="M567" s="40"/>
      <c r="N567" s="40"/>
      <c r="O567" s="40"/>
      <c r="P567" s="40"/>
      <c r="Q567" s="40"/>
      <c r="R567" s="40"/>
      <c r="S567" s="40"/>
      <c r="T567" s="40"/>
      <c r="U567" s="40"/>
      <c r="V567" s="560" t="s">
        <v>148</v>
      </c>
      <c r="W567" s="700"/>
      <c r="X567" s="700"/>
      <c r="Y567" s="700"/>
      <c r="Z567" s="701" t="str">
        <f t="shared" si="142"/>
        <v>#N/A</v>
      </c>
      <c r="AA567" s="740"/>
      <c r="AB567" s="741"/>
      <c r="AC567" s="701"/>
      <c r="AD567" s="755"/>
      <c r="AE567" s="740"/>
      <c r="AF567" s="701">
        <f t="shared" si="140"/>
        <v>329367.34</v>
      </c>
      <c r="AG567" s="753"/>
      <c r="AH567" s="703" t="str">
        <f t="shared" si="136"/>
        <v>#N/A</v>
      </c>
      <c r="AI567" s="723" t="str">
        <f t="shared" si="141"/>
        <v>#N/A</v>
      </c>
      <c r="AJ567" s="755"/>
      <c r="AK567" s="740"/>
      <c r="AL567" s="701">
        <f>-SUMIFS(BV_Data_An_Prec!$AN:$AN,BV_Data_An_Prec!$AQ:$AQ,$V567)</f>
        <v>0</v>
      </c>
      <c r="AM567" s="751"/>
      <c r="AN567" s="703">
        <f t="shared" si="137"/>
        <v>329367.34</v>
      </c>
      <c r="AO567" s="710">
        <f t="shared" si="13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ht="21.0" customHeight="1">
      <c r="A568" s="5" t="str">
        <f t="shared" si="130"/>
        <v>TOTAL AUTRES REVENUS</v>
      </c>
      <c r="B568" s="3"/>
      <c r="C568" s="668"/>
      <c r="D568" s="40"/>
      <c r="E568" s="40"/>
      <c r="F568" s="40"/>
      <c r="G568" s="40"/>
      <c r="H568" s="40"/>
      <c r="I568" s="40"/>
      <c r="J568" s="40"/>
      <c r="K568" s="40"/>
      <c r="L568" s="40"/>
      <c r="M568" s="40"/>
      <c r="N568" s="40"/>
      <c r="O568" s="40"/>
      <c r="P568" s="40"/>
      <c r="Q568" s="40"/>
      <c r="R568" s="40"/>
      <c r="S568" s="40"/>
      <c r="T568" s="40"/>
      <c r="U568" s="40"/>
      <c r="V568" s="715" t="s">
        <v>211</v>
      </c>
      <c r="W568" s="716"/>
      <c r="X568" s="717" t="str">
        <f>Z568/+Z494</f>
        <v>#N/A</v>
      </c>
      <c r="Y568" s="735"/>
      <c r="Z568" s="718" t="str">
        <f>SUM(Z556:Z567)</f>
        <v>#N/A</v>
      </c>
      <c r="AA568" s="717"/>
      <c r="AB568" s="735"/>
      <c r="AC568" s="718"/>
      <c r="AD568" s="717">
        <f>AF568/+AF494</f>
        <v>0.0750184824</v>
      </c>
      <c r="AE568" s="735"/>
      <c r="AF568" s="718">
        <f>SUM(AF556:AF567)</f>
        <v>509221.16</v>
      </c>
      <c r="AG568" s="736"/>
      <c r="AH568" s="720" t="str">
        <f t="shared" si="136"/>
        <v>#N/A</v>
      </c>
      <c r="AI568" s="717" t="str">
        <f>AH568/Z568</f>
        <v>#N/A</v>
      </c>
      <c r="AJ568" s="717"/>
      <c r="AK568" s="735"/>
      <c r="AL568" s="718">
        <f>SUM(AL556:AL567)</f>
        <v>630023.42</v>
      </c>
      <c r="AM568" s="756"/>
      <c r="AN568" s="720">
        <f t="shared" si="137"/>
        <v>-120802.26</v>
      </c>
      <c r="AO568" s="738">
        <f t="shared" si="138"/>
        <v>-0.1917424911</v>
      </c>
      <c r="AP568" s="40"/>
      <c r="AQ568" s="40"/>
      <c r="AR568" s="40"/>
      <c r="AS568" s="40"/>
      <c r="AT568" s="40"/>
      <c r="AU568" s="40"/>
      <c r="AV568" s="40"/>
      <c r="AW568" s="40"/>
      <c r="AX568" s="40"/>
      <c r="AY568" s="40"/>
      <c r="AZ568" s="40"/>
      <c r="BA568" s="40"/>
      <c r="BB568" s="40"/>
      <c r="BC568" s="40"/>
      <c r="BD568" s="40"/>
      <c r="BE568" s="40"/>
      <c r="BF568" s="40"/>
      <c r="BG568" s="40"/>
      <c r="BH568" s="40"/>
      <c r="BI568" s="40"/>
    </row>
    <row r="569" ht="6.0" customHeight="1">
      <c r="A569" s="5" t="str">
        <f t="shared" si="130"/>
        <v/>
      </c>
      <c r="B569" s="3"/>
      <c r="C569" s="668"/>
      <c r="D569" s="40"/>
      <c r="E569" s="40"/>
      <c r="F569" s="40"/>
      <c r="G569" s="40"/>
      <c r="H569" s="40"/>
      <c r="I569" s="40"/>
      <c r="J569" s="40"/>
      <c r="K569" s="40"/>
      <c r="L569" s="40"/>
      <c r="M569" s="40"/>
      <c r="N569" s="40"/>
      <c r="O569" s="40"/>
      <c r="P569" s="40"/>
      <c r="Q569" s="40"/>
      <c r="R569" s="40"/>
      <c r="S569" s="40"/>
      <c r="T569" s="40"/>
      <c r="U569" s="40"/>
      <c r="V569" s="757"/>
      <c r="W569" s="758"/>
      <c r="X569" s="758"/>
      <c r="Y569" s="759"/>
      <c r="Z569" s="760"/>
      <c r="AA569" s="758"/>
      <c r="AB569" s="761"/>
      <c r="AC569" s="760"/>
      <c r="AD569" s="758"/>
      <c r="AE569" s="761"/>
      <c r="AF569" s="760"/>
      <c r="AG569" s="762"/>
      <c r="AH569" s="763"/>
      <c r="AI569" s="764"/>
      <c r="AJ569" s="758"/>
      <c r="AK569" s="761"/>
      <c r="AL569" s="760"/>
      <c r="AM569" s="765"/>
      <c r="AN569" s="763"/>
      <c r="AO569" s="766"/>
      <c r="AP569" s="40"/>
      <c r="AQ569" s="40"/>
      <c r="AR569" s="40"/>
      <c r="AS569" s="40"/>
      <c r="AT569" s="40"/>
      <c r="AU569" s="40"/>
      <c r="AV569" s="40"/>
      <c r="AW569" s="40"/>
      <c r="AX569" s="40"/>
      <c r="AY569" s="40"/>
      <c r="AZ569" s="40"/>
      <c r="BA569" s="40"/>
      <c r="BB569" s="40"/>
      <c r="BC569" s="40"/>
      <c r="BD569" s="40"/>
      <c r="BE569" s="40"/>
      <c r="BF569" s="40"/>
      <c r="BG569" s="40"/>
      <c r="BH569" s="40"/>
      <c r="BI569" s="40"/>
    </row>
    <row r="570" ht="21.75" customHeight="1">
      <c r="A570" s="5" t="str">
        <f t="shared" si="130"/>
        <v>BAIIA OPÉRATIONNEL</v>
      </c>
      <c r="B570" s="3"/>
      <c r="C570" s="668"/>
      <c r="D570" s="40"/>
      <c r="E570" s="40"/>
      <c r="F570" s="40"/>
      <c r="G570" s="40"/>
      <c r="H570" s="40"/>
      <c r="I570" s="40"/>
      <c r="J570" s="40"/>
      <c r="K570" s="40"/>
      <c r="L570" s="40"/>
      <c r="M570" s="40"/>
      <c r="N570" s="40"/>
      <c r="O570" s="40"/>
      <c r="P570" s="40"/>
      <c r="Q570" s="40"/>
      <c r="R570" s="40"/>
      <c r="S570" s="40"/>
      <c r="T570" s="40"/>
      <c r="U570" s="40"/>
      <c r="V570" s="767" t="s">
        <v>212</v>
      </c>
      <c r="W570" s="768"/>
      <c r="X570" s="769" t="s">
        <v>1104</v>
      </c>
      <c r="Y570" s="770" t="str">
        <f>Z570/Z493</f>
        <v>#N/A</v>
      </c>
      <c r="Z570" s="771" t="str">
        <f>Z494-Z555+Z568</f>
        <v>#N/A</v>
      </c>
      <c r="AA570" s="769"/>
      <c r="AB570" s="770"/>
      <c r="AC570" s="771"/>
      <c r="AD570" s="769" t="s">
        <v>1104</v>
      </c>
      <c r="AE570" s="770">
        <f>AF570/AF493</f>
        <v>0.01206917956</v>
      </c>
      <c r="AF570" s="771">
        <f>AF494-AF555+AF568</f>
        <v>2133483.89</v>
      </c>
      <c r="AG570" s="772"/>
      <c r="AH570" s="772" t="str">
        <f>AF570-Z570</f>
        <v>#N/A</v>
      </c>
      <c r="AI570" s="773" t="str">
        <f>AH570/Z570</f>
        <v>#N/A</v>
      </c>
      <c r="AJ570" s="769" t="s">
        <v>1104</v>
      </c>
      <c r="AK570" s="770">
        <f>IF($AL$493=0,0,AL570/$AL$493)</f>
        <v>0.01636756244</v>
      </c>
      <c r="AL570" s="771">
        <f>AL494-AL555+AL568</f>
        <v>3171368.69</v>
      </c>
      <c r="AM570" s="774"/>
      <c r="AN570" s="775">
        <f>AF570-AL570</f>
        <v>-1037884.8</v>
      </c>
      <c r="AO570" s="776">
        <f>IF(AL570=0,0,AN570/AL570)</f>
        <v>-0.3272671523</v>
      </c>
      <c r="AP570" s="40"/>
      <c r="AQ570" s="40"/>
      <c r="AR570" s="40"/>
      <c r="AS570" s="40"/>
      <c r="AT570" s="40"/>
      <c r="AU570" s="40"/>
      <c r="AV570" s="40"/>
      <c r="AW570" s="40"/>
      <c r="AX570" s="40"/>
      <c r="AY570" s="40"/>
      <c r="AZ570" s="40"/>
      <c r="BA570" s="40"/>
      <c r="BB570" s="40"/>
      <c r="BC570" s="40"/>
      <c r="BD570" s="40"/>
      <c r="BE570" s="40"/>
      <c r="BF570" s="40"/>
      <c r="BG570" s="40"/>
      <c r="BH570" s="40"/>
      <c r="BI570" s="40"/>
    </row>
    <row r="571" ht="8.25" customHeight="1">
      <c r="A571" s="5" t="str">
        <f t="shared" si="130"/>
        <v/>
      </c>
      <c r="B571" s="3"/>
      <c r="C571" s="668"/>
      <c r="D571" s="40"/>
      <c r="E571" s="40"/>
      <c r="F571" s="40"/>
      <c r="G571" s="40"/>
      <c r="H571" s="40"/>
      <c r="I571" s="40"/>
      <c r="J571" s="40"/>
      <c r="K571" s="40"/>
      <c r="L571" s="40"/>
      <c r="M571" s="40"/>
      <c r="N571" s="40"/>
      <c r="O571" s="40"/>
      <c r="P571" s="40"/>
      <c r="Q571" s="40"/>
      <c r="R571" s="40"/>
      <c r="S571" s="40"/>
      <c r="T571" s="40"/>
      <c r="U571" s="40"/>
      <c r="V571" s="38"/>
      <c r="W571" s="38"/>
      <c r="X571" s="38"/>
      <c r="Y571" s="38"/>
      <c r="Z571" s="483"/>
      <c r="AA571" s="48"/>
      <c r="AB571" s="48"/>
      <c r="AC571" s="483"/>
      <c r="AD571" s="48"/>
      <c r="AE571" s="48"/>
      <c r="AF571" s="483"/>
      <c r="AG571" s="48"/>
      <c r="AH571" s="48"/>
      <c r="AI571" s="48"/>
      <c r="AJ571" s="48"/>
      <c r="AK571" s="48"/>
      <c r="AL571" s="483"/>
      <c r="AM571" s="48"/>
      <c r="AN571" s="48"/>
      <c r="AO571" s="48"/>
      <c r="AP571" s="40"/>
      <c r="AQ571" s="40"/>
      <c r="AR571" s="40"/>
      <c r="AS571" s="40"/>
      <c r="AT571" s="40"/>
      <c r="AU571" s="40"/>
      <c r="AV571" s="40"/>
      <c r="AW571" s="40"/>
      <c r="AX571" s="40"/>
      <c r="AY571" s="40"/>
      <c r="AZ571" s="40"/>
      <c r="BA571" s="40"/>
      <c r="BB571" s="40"/>
      <c r="BC571" s="40"/>
      <c r="BD571" s="40"/>
      <c r="BE571" s="40"/>
      <c r="BF571" s="40"/>
      <c r="BG571" s="40"/>
      <c r="BH571" s="40"/>
      <c r="BI571" s="40"/>
    </row>
    <row r="572" ht="15.75" customHeight="1">
      <c r="A572" s="5" t="str">
        <f t="shared" si="130"/>
        <v>Ste-Marie Auto</v>
      </c>
      <c r="B572" s="3"/>
      <c r="C572" s="668"/>
      <c r="D572" s="40"/>
      <c r="E572" s="40"/>
      <c r="F572" s="40"/>
      <c r="G572" s="40"/>
      <c r="H572" s="40"/>
      <c r="I572" s="40"/>
      <c r="J572" s="40"/>
      <c r="K572" s="40"/>
      <c r="L572" s="40"/>
      <c r="M572" s="40"/>
      <c r="N572" s="40"/>
      <c r="O572" s="40"/>
      <c r="P572" s="40"/>
      <c r="Q572" s="40"/>
      <c r="R572" s="40"/>
      <c r="S572" s="40"/>
      <c r="T572" s="40"/>
      <c r="U572" s="40"/>
      <c r="V572" s="777" t="str">
        <f>C1</f>
        <v>Ste-Marie Auto</v>
      </c>
      <c r="W572" s="777"/>
      <c r="X572" s="777"/>
      <c r="Y572" s="777"/>
      <c r="Z572" s="777"/>
      <c r="AA572" s="777"/>
      <c r="AB572" s="777"/>
      <c r="AC572" s="777"/>
      <c r="AD572" s="777"/>
      <c r="AE572" s="778" t="s">
        <v>213</v>
      </c>
      <c r="AF572" s="777"/>
      <c r="AG572" s="777"/>
      <c r="AH572" s="777"/>
      <c r="AI572" s="777"/>
      <c r="AJ572" s="777"/>
      <c r="AK572" s="778"/>
      <c r="AL572" s="777"/>
      <c r="AM572" s="777"/>
      <c r="AN572" s="777"/>
      <c r="AO572" s="779"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ht="19.5" customHeight="1">
      <c r="A573" s="5" t="str">
        <f t="shared" si="130"/>
        <v/>
      </c>
      <c r="B573" s="3"/>
      <c r="C573" s="668"/>
      <c r="D573" s="40"/>
      <c r="E573" s="40"/>
      <c r="F573" s="40"/>
      <c r="G573" s="40"/>
      <c r="H573" s="40"/>
      <c r="I573" s="40"/>
      <c r="J573" s="40"/>
      <c r="K573" s="40"/>
      <c r="L573" s="40"/>
      <c r="M573" s="40"/>
      <c r="N573" s="40"/>
      <c r="O573" s="40"/>
      <c r="P573" s="40"/>
      <c r="Q573" s="40"/>
      <c r="R573" s="40"/>
      <c r="S573" s="40"/>
      <c r="T573" s="40"/>
      <c r="U573" s="40"/>
      <c r="V573" s="38"/>
      <c r="W573" s="38"/>
      <c r="X573" s="38"/>
      <c r="Y573" s="38"/>
      <c r="Z573" s="483"/>
      <c r="AA573" s="48"/>
      <c r="AB573" s="48"/>
      <c r="AC573" s="483"/>
      <c r="AD573" s="48"/>
      <c r="AE573" s="48"/>
      <c r="AF573" s="483"/>
      <c r="AG573" s="48"/>
      <c r="AH573" s="48"/>
      <c r="AI573" s="48"/>
      <c r="AJ573" s="48"/>
      <c r="AK573" s="48"/>
      <c r="AL573" s="483"/>
      <c r="AM573" s="48"/>
      <c r="AN573" s="48"/>
      <c r="AO573" s="48"/>
      <c r="AP573" s="40"/>
      <c r="AQ573" s="40"/>
      <c r="AR573" s="40"/>
      <c r="AS573" s="40"/>
      <c r="AT573" s="40"/>
      <c r="AU573" s="40"/>
      <c r="AV573" s="40"/>
      <c r="AW573" s="40"/>
      <c r="AX573" s="40"/>
      <c r="AY573" s="40"/>
      <c r="AZ573" s="40"/>
      <c r="BA573" s="40"/>
      <c r="BB573" s="40"/>
      <c r="BC573" s="40"/>
      <c r="BD573" s="40"/>
      <c r="BE573" s="40"/>
      <c r="BF573" s="40"/>
      <c r="BG573" s="40"/>
      <c r="BH573" s="40"/>
      <c r="BI573" s="40"/>
    </row>
    <row r="574" ht="19.5" customHeight="1">
      <c r="A574" s="5" t="str">
        <f t="shared" si="130"/>
        <v/>
      </c>
      <c r="B574" s="3"/>
      <c r="C574" s="668"/>
      <c r="D574" s="40"/>
      <c r="E574" s="40"/>
      <c r="F574" s="40"/>
      <c r="G574" s="40"/>
      <c r="H574" s="40"/>
      <c r="I574" s="40"/>
      <c r="J574" s="40"/>
      <c r="K574" s="40"/>
      <c r="L574" s="40"/>
      <c r="M574" s="40"/>
      <c r="N574" s="40"/>
      <c r="O574" s="40"/>
      <c r="P574" s="40"/>
      <c r="Q574" s="40"/>
      <c r="R574" s="40"/>
      <c r="S574" s="40"/>
      <c r="T574" s="40"/>
      <c r="U574" s="40"/>
      <c r="V574" s="38"/>
      <c r="W574" s="38"/>
      <c r="X574" s="38"/>
      <c r="Y574" s="38"/>
      <c r="Z574" s="483"/>
      <c r="AA574" s="48"/>
      <c r="AB574" s="48"/>
      <c r="AC574" s="483"/>
      <c r="AD574" s="48"/>
      <c r="AE574" s="48"/>
      <c r="AF574" s="483"/>
      <c r="AG574" s="48"/>
      <c r="AH574" s="48"/>
      <c r="AI574" s="48"/>
      <c r="AJ574" s="48"/>
      <c r="AK574" s="48"/>
      <c r="AL574" s="483"/>
      <c r="AM574" s="48"/>
      <c r="AN574" s="48"/>
      <c r="AO574" s="48"/>
      <c r="AP574" s="40"/>
      <c r="AQ574" s="40"/>
      <c r="AR574" s="40"/>
      <c r="AS574" s="40"/>
      <c r="AT574" s="40"/>
      <c r="AU574" s="40"/>
      <c r="AV574" s="40"/>
      <c r="AW574" s="40"/>
      <c r="AX574" s="40"/>
      <c r="AY574" s="40"/>
      <c r="AZ574" s="40"/>
      <c r="BA574" s="40"/>
      <c r="BB574" s="40"/>
      <c r="BC574" s="40"/>
      <c r="BD574" s="40"/>
      <c r="BE574" s="40"/>
      <c r="BF574" s="40"/>
      <c r="BG574" s="40"/>
      <c r="BH574" s="40"/>
      <c r="BI574" s="40"/>
    </row>
    <row r="575" ht="18.75" hidden="1" customHeight="1">
      <c r="A575" s="5" t="str">
        <f>+U575&amp;#REF!</f>
        <v>#REF!</v>
      </c>
      <c r="B575" s="3"/>
      <c r="C575" s="668"/>
      <c r="D575" s="40"/>
      <c r="E575" s="40"/>
      <c r="F575" s="40"/>
      <c r="G575" s="40"/>
      <c r="H575" s="40"/>
      <c r="I575" s="40"/>
      <c r="J575" s="40"/>
      <c r="K575" s="40"/>
      <c r="L575" s="40"/>
      <c r="M575" s="40"/>
      <c r="N575" s="40"/>
      <c r="O575" s="40"/>
      <c r="P575" s="40"/>
      <c r="Q575" s="40"/>
      <c r="R575" s="40"/>
      <c r="S575" s="40"/>
      <c r="T575" s="40"/>
      <c r="U575" s="40"/>
      <c r="V575" s="767" t="s">
        <v>229</v>
      </c>
      <c r="W575" s="768"/>
      <c r="X575" s="769" t="s">
        <v>1104</v>
      </c>
      <c r="Y575" s="770" t="str">
        <f>Z575/Z493</f>
        <v>#N/A</v>
      </c>
      <c r="Z575" s="775" t="str">
        <f>Z576+Z502</f>
        <v>#N/A</v>
      </c>
      <c r="AA575" s="769"/>
      <c r="AB575" s="770"/>
      <c r="AC575" s="771"/>
      <c r="AD575" s="769" t="s">
        <v>1104</v>
      </c>
      <c r="AE575" s="770">
        <f>AF575/AF493</f>
        <v>0.01707407831</v>
      </c>
      <c r="AF575" s="775">
        <f>AF576+AF502</f>
        <v>3018206.07</v>
      </c>
      <c r="AG575" s="772"/>
      <c r="AH575" s="772" t="str">
        <f t="shared" ref="AH575:AH576" si="143">AF575-Z575</f>
        <v>#N/A</v>
      </c>
      <c r="AI575" s="773" t="str">
        <f t="shared" ref="AI575:AI576" si="144">AH575/Z575</f>
        <v>#N/A</v>
      </c>
      <c r="AJ575" s="769" t="s">
        <v>1104</v>
      </c>
      <c r="AK575" s="770">
        <f t="shared" ref="AK575:AK576" si="145">IF($AL$493=0,0,AL575/$AL$493)</f>
        <v>0.02236679092</v>
      </c>
      <c r="AL575" s="775">
        <f>AL576+AL502</f>
        <v>4333775.46</v>
      </c>
      <c r="AM575" s="774"/>
      <c r="AN575" s="775">
        <f t="shared" ref="AN575:AN576" si="146">AF575-AL575</f>
        <v>-1315569.39</v>
      </c>
      <c r="AO575" s="780">
        <f t="shared" ref="AO575:AO576" si="147">IF(AL575=0,0,AN575/AL575)</f>
        <v>-0.303561964</v>
      </c>
      <c r="AP575" s="40"/>
      <c r="AQ575" s="40"/>
      <c r="AR575" s="40"/>
      <c r="AS575" s="40"/>
      <c r="AT575" s="40"/>
      <c r="AU575" s="40"/>
      <c r="AV575" s="40"/>
      <c r="AW575" s="40"/>
      <c r="AX575" s="40"/>
      <c r="AY575" s="40"/>
      <c r="AZ575" s="40"/>
      <c r="BA575" s="40"/>
      <c r="BB575" s="40"/>
      <c r="BC575" s="40"/>
      <c r="BD575" s="40"/>
      <c r="BE575" s="40"/>
      <c r="BF575" s="40"/>
      <c r="BG575" s="40"/>
      <c r="BH575" s="40"/>
      <c r="BI575" s="40"/>
    </row>
    <row r="576" ht="21.0" customHeight="1">
      <c r="A576" s="5" t="str">
        <f t="shared" ref="A576:A585" si="148">+U576&amp;V576</f>
        <v>BAIIA OPÉRATIONNEL</v>
      </c>
      <c r="B576" s="3"/>
      <c r="C576" s="668"/>
      <c r="D576" s="40"/>
      <c r="E576" s="40"/>
      <c r="F576" s="40"/>
      <c r="G576" s="40"/>
      <c r="H576" s="40"/>
      <c r="I576" s="40"/>
      <c r="J576" s="40"/>
      <c r="K576" s="40"/>
      <c r="L576" s="40"/>
      <c r="M576" s="40"/>
      <c r="N576" s="40"/>
      <c r="O576" s="40"/>
      <c r="P576" s="40"/>
      <c r="Q576" s="40"/>
      <c r="R576" s="40"/>
      <c r="S576" s="40"/>
      <c r="T576" s="40"/>
      <c r="U576" s="40"/>
      <c r="V576" s="767" t="s">
        <v>212</v>
      </c>
      <c r="W576" s="768"/>
      <c r="X576" s="769" t="s">
        <v>1104</v>
      </c>
      <c r="Y576" s="770" t="str">
        <f>Z576/Z493</f>
        <v>#N/A</v>
      </c>
      <c r="Z576" s="771" t="str">
        <f>Z570</f>
        <v>#N/A</v>
      </c>
      <c r="AA576" s="769"/>
      <c r="AB576" s="770"/>
      <c r="AC576" s="771"/>
      <c r="AD576" s="769" t="s">
        <v>1104</v>
      </c>
      <c r="AE576" s="770">
        <f>AF576/AF493</f>
        <v>0.01206917956</v>
      </c>
      <c r="AF576" s="771">
        <f>AF570</f>
        <v>2133483.89</v>
      </c>
      <c r="AG576" s="775"/>
      <c r="AH576" s="772" t="str">
        <f t="shared" si="143"/>
        <v>#N/A</v>
      </c>
      <c r="AI576" s="773" t="str">
        <f t="shared" si="144"/>
        <v>#N/A</v>
      </c>
      <c r="AJ576" s="769" t="s">
        <v>1104</v>
      </c>
      <c r="AK576" s="770">
        <f t="shared" si="145"/>
        <v>0.01636756244</v>
      </c>
      <c r="AL576" s="771">
        <f>AL570</f>
        <v>3171368.69</v>
      </c>
      <c r="AM576" s="781"/>
      <c r="AN576" s="782">
        <f t="shared" si="146"/>
        <v>-1037884.8</v>
      </c>
      <c r="AO576" s="783">
        <f t="shared" si="147"/>
        <v>-0.3272671523</v>
      </c>
      <c r="AP576" s="40"/>
      <c r="AQ576" s="40"/>
      <c r="AR576" s="40"/>
      <c r="AS576" s="40"/>
      <c r="AT576" s="40"/>
      <c r="AU576" s="40"/>
      <c r="AV576" s="40"/>
      <c r="AW576" s="40"/>
      <c r="AX576" s="40"/>
      <c r="AY576" s="40"/>
      <c r="AZ576" s="40"/>
      <c r="BA576" s="40"/>
      <c r="BB576" s="40"/>
      <c r="BC576" s="40"/>
      <c r="BD576" s="40"/>
      <c r="BE576" s="40"/>
      <c r="BF576" s="40"/>
      <c r="BG576" s="40"/>
      <c r="BH576" s="40"/>
      <c r="BI576" s="40"/>
    </row>
    <row r="577" ht="15.75" customHeight="1">
      <c r="A577" s="5" t="str">
        <f t="shared" si="148"/>
        <v/>
      </c>
      <c r="B577" s="3"/>
      <c r="C577" s="668"/>
      <c r="D577" s="40"/>
      <c r="E577" s="40"/>
      <c r="F577" s="540"/>
      <c r="G577" s="40"/>
      <c r="H577" s="40"/>
      <c r="I577" s="540"/>
      <c r="J577" s="40"/>
      <c r="K577" s="40"/>
      <c r="L577" s="40"/>
      <c r="M577" s="540"/>
      <c r="N577" s="40"/>
      <c r="O577" s="40"/>
      <c r="P577" s="40"/>
      <c r="Q577" s="540"/>
      <c r="R577" s="540"/>
      <c r="S577" s="540"/>
      <c r="T577" s="228"/>
      <c r="U577" s="228"/>
      <c r="V577" s="784"/>
      <c r="W577" s="40"/>
      <c r="X577" s="40"/>
      <c r="Y577" s="40"/>
      <c r="Z577" s="785"/>
      <c r="AA577" s="40"/>
      <c r="AB577" s="40"/>
      <c r="AC577" s="787"/>
      <c r="AD577" s="40"/>
      <c r="AE577" s="40"/>
      <c r="AF577" s="785"/>
      <c r="AG577" s="40"/>
      <c r="AH577" s="40"/>
      <c r="AI577" s="787"/>
      <c r="AJ577" s="40"/>
      <c r="AK577" s="40"/>
      <c r="AL577" s="785"/>
      <c r="AM577" s="788"/>
      <c r="AN577" s="540"/>
      <c r="AO577" s="789"/>
      <c r="AP577" s="40"/>
      <c r="AQ577" s="40"/>
      <c r="AR577" s="40"/>
      <c r="AS577" s="40"/>
      <c r="AT577" s="40"/>
      <c r="AU577" s="40"/>
      <c r="AV577" s="40"/>
      <c r="AW577" s="40"/>
      <c r="AX577" s="40"/>
      <c r="AY577" s="40"/>
      <c r="AZ577" s="40"/>
      <c r="BA577" s="40"/>
      <c r="BB577" s="40"/>
      <c r="BC577" s="40"/>
      <c r="BD577" s="40"/>
      <c r="BE577" s="40"/>
      <c r="BF577" s="40"/>
      <c r="BG577" s="40"/>
      <c r="BH577" s="40"/>
      <c r="BI577" s="40"/>
    </row>
    <row r="578" ht="15.75" customHeight="1">
      <c r="A578" s="5" t="str">
        <f t="shared" si="148"/>
        <v>Amortissement</v>
      </c>
      <c r="B578" s="3"/>
      <c r="C578" s="668"/>
      <c r="D578" s="40"/>
      <c r="E578" s="40"/>
      <c r="F578" s="40"/>
      <c r="G578" s="40"/>
      <c r="H578" s="40"/>
      <c r="I578" s="40"/>
      <c r="J578" s="40"/>
      <c r="K578" s="40"/>
      <c r="L578" s="40"/>
      <c r="M578" s="40"/>
      <c r="N578" s="40"/>
      <c r="O578" s="40"/>
      <c r="P578" s="40"/>
      <c r="Q578" s="40"/>
      <c r="R578" s="40"/>
      <c r="S578" s="40"/>
      <c r="T578" s="40"/>
      <c r="U578" s="40"/>
      <c r="V578" s="559" t="s">
        <v>214</v>
      </c>
      <c r="W578" s="707"/>
      <c r="X578" s="700"/>
      <c r="Y578" s="708"/>
      <c r="Z578" s="701" t="str">
        <f t="array" ref="Z578">+SUMPRODUCT(('Budget original'!$A$8:$A$501=$A578)*('Budget original'!$C$3:$AO$3=Z$2),'Budget original'!$C$8:$AO$501)</f>
        <v>#N/A</v>
      </c>
      <c r="AA578" s="700"/>
      <c r="AB578" s="708"/>
      <c r="AC578" s="701"/>
      <c r="AD578" s="700"/>
      <c r="AE578" s="708"/>
      <c r="AF578" s="701">
        <f>SUMIFS(BV_Data_An_Cour!$AN:$AN,BV_Data_An_Cour!$AQ:$AQ,$V578)</f>
        <v>97290</v>
      </c>
      <c r="AG578" s="700"/>
      <c r="AH578" s="703" t="str">
        <f t="shared" ref="AH578:AH585" si="149">AF578-Z578</f>
        <v>#N/A</v>
      </c>
      <c r="AI578" s="723" t="str">
        <f t="shared" ref="AI578:AI584" si="150">IF(Z578=0,0,AH578/Z578)</f>
        <v>#N/A</v>
      </c>
      <c r="AJ578" s="700"/>
      <c r="AK578" s="708"/>
      <c r="AL578" s="701">
        <f>SUMIFS(BV_Data_An_Prec!$AN:$AN,BV_Data_An_Prec!$AQ:$AQ,$V578)</f>
        <v>101488.8</v>
      </c>
      <c r="AM578" s="705"/>
      <c r="AN578" s="703">
        <f t="shared" ref="AN578:AN585" si="151">AF578-AL578</f>
        <v>-4198.8</v>
      </c>
      <c r="AO578" s="710">
        <f t="shared" ref="AO578:AO585" si="152">IF(AL578=0,0,AN578/AL578)</f>
        <v>-0.04137205288</v>
      </c>
      <c r="AP578" s="40"/>
      <c r="AQ578" s="40"/>
      <c r="AR578" s="40"/>
      <c r="AS578" s="40"/>
      <c r="AT578" s="40"/>
      <c r="AU578" s="40"/>
      <c r="AV578" s="40"/>
      <c r="AW578" s="40"/>
      <c r="AX578" s="40"/>
      <c r="AY578" s="40"/>
      <c r="AZ578" s="40"/>
      <c r="BA578" s="40"/>
      <c r="BB578" s="40"/>
      <c r="BC578" s="40"/>
      <c r="BD578" s="40"/>
      <c r="BE578" s="40"/>
      <c r="BF578" s="40"/>
      <c r="BG578" s="40"/>
      <c r="BH578" s="40"/>
      <c r="BI578" s="40"/>
    </row>
    <row r="579" ht="15.75" customHeight="1">
      <c r="A579" s="5" t="str">
        <f t="shared" si="148"/>
        <v>Intérêts sur marge</v>
      </c>
      <c r="B579" s="3"/>
      <c r="C579" s="668"/>
      <c r="D579" s="40"/>
      <c r="E579" s="40"/>
      <c r="F579" s="540"/>
      <c r="G579" s="40"/>
      <c r="H579" s="40"/>
      <c r="I579" s="540"/>
      <c r="J579" s="40"/>
      <c r="K579" s="40"/>
      <c r="L579" s="40"/>
      <c r="M579" s="540"/>
      <c r="N579" s="40"/>
      <c r="O579" s="40"/>
      <c r="P579" s="40"/>
      <c r="Q579" s="540"/>
      <c r="R579" s="540"/>
      <c r="S579" s="540"/>
      <c r="T579" s="40"/>
      <c r="U579" s="40"/>
      <c r="V579" s="559" t="s">
        <v>215</v>
      </c>
      <c r="W579" s="40"/>
      <c r="X579" s="40"/>
      <c r="Y579" s="40"/>
      <c r="Z579" s="701" t="str">
        <f t="array" ref="Z579">+SUMPRODUCT(('Budget original'!$A$8:$A$501=$A579)*('Budget original'!$C$3:$AO$3=Z$2),'Budget original'!$C$8:$AO$501)</f>
        <v>#N/A</v>
      </c>
      <c r="AA579" s="40"/>
      <c r="AB579" s="40"/>
      <c r="AC579" s="701"/>
      <c r="AD579" s="40"/>
      <c r="AE579" s="48"/>
      <c r="AF579" s="701">
        <f>SUMIFS(BV_Data_An_Cour!$AN:$AN,BV_Data_An_Cour!$AQ:$AQ,$V579)</f>
        <v>-178.07</v>
      </c>
      <c r="AG579" s="40"/>
      <c r="AH579" s="703" t="str">
        <f t="shared" si="149"/>
        <v>#N/A</v>
      </c>
      <c r="AI579" s="723" t="str">
        <f t="shared" si="150"/>
        <v>#N/A</v>
      </c>
      <c r="AJ579" s="40"/>
      <c r="AK579" s="48"/>
      <c r="AL579" s="701">
        <f>SUMIFS(BV_Data_An_Prec!$AN:$AN,BV_Data_An_Prec!$AQ:$AQ,$V579)</f>
        <v>0</v>
      </c>
      <c r="AM579" s="788"/>
      <c r="AN579" s="703">
        <f t="shared" si="151"/>
        <v>-178.07</v>
      </c>
      <c r="AO579" s="710">
        <f t="shared" si="152"/>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ht="15.75" customHeight="1">
      <c r="A580" s="5" t="str">
        <f t="shared" si="148"/>
        <v>Intérêts sur prêt</v>
      </c>
      <c r="B580" s="3"/>
      <c r="C580" s="668"/>
      <c r="D580" s="40"/>
      <c r="E580" s="40"/>
      <c r="F580" s="540"/>
      <c r="G580" s="40"/>
      <c r="H580" s="40"/>
      <c r="I580" s="540"/>
      <c r="J580" s="40"/>
      <c r="K580" s="40"/>
      <c r="L580" s="40"/>
      <c r="M580" s="540"/>
      <c r="N580" s="40"/>
      <c r="O580" s="40"/>
      <c r="P580" s="40"/>
      <c r="Q580" s="540"/>
      <c r="R580" s="540"/>
      <c r="S580" s="540"/>
      <c r="T580" s="40"/>
      <c r="U580" s="40"/>
      <c r="V580" s="559" t="s">
        <v>216</v>
      </c>
      <c r="W580" s="48"/>
      <c r="X580" s="48"/>
      <c r="Y580" s="48"/>
      <c r="Z580" s="701" t="str">
        <f t="array" ref="Z580">+SUMPRODUCT(('Budget original'!$A$8:$A$501=$A580)*('Budget original'!$C$3:$AO$3=Z$2),'Budget original'!$C$8:$AO$501)</f>
        <v>#N/A</v>
      </c>
      <c r="AA580" s="40"/>
      <c r="AB580" s="40"/>
      <c r="AC580" s="701"/>
      <c r="AD580" s="40"/>
      <c r="AE580" s="48"/>
      <c r="AF580" s="701">
        <f>SUMIFS(BV_Data_An_Cour!$AN:$AN,BV_Data_An_Cour!$AQ:$AQ,$V580)</f>
        <v>48128.79</v>
      </c>
      <c r="AG580" s="40"/>
      <c r="AH580" s="703" t="str">
        <f t="shared" si="149"/>
        <v>#N/A</v>
      </c>
      <c r="AI580" s="723" t="str">
        <f t="shared" si="150"/>
        <v>#N/A</v>
      </c>
      <c r="AJ580" s="40"/>
      <c r="AK580" s="48"/>
      <c r="AL580" s="701">
        <f>SUMIFS(BV_Data_An_Prec!$AN:$AN,BV_Data_An_Prec!$AQ:$AQ,$V580)</f>
        <v>0</v>
      </c>
      <c r="AM580" s="788"/>
      <c r="AN580" s="703">
        <f t="shared" si="151"/>
        <v>48128.79</v>
      </c>
      <c r="AO580" s="710">
        <f t="shared" si="152"/>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ht="15.75" customHeight="1">
      <c r="A581" s="5" t="str">
        <f t="shared" si="148"/>
        <v>Intérêts sur avance</v>
      </c>
      <c r="B581" s="3"/>
      <c r="C581" s="668"/>
      <c r="D581" s="40"/>
      <c r="E581" s="40"/>
      <c r="F581" s="540"/>
      <c r="G581" s="40"/>
      <c r="H581" s="40"/>
      <c r="I581" s="540"/>
      <c r="J581" s="40"/>
      <c r="K581" s="40"/>
      <c r="L581" s="40"/>
      <c r="M581" s="540"/>
      <c r="N581" s="40"/>
      <c r="O581" s="40"/>
      <c r="P581" s="40"/>
      <c r="Q581" s="540"/>
      <c r="R581" s="540"/>
      <c r="S581" s="540"/>
      <c r="T581" s="40"/>
      <c r="U581" s="40"/>
      <c r="V581" s="559" t="s">
        <v>217</v>
      </c>
      <c r="W581" s="48"/>
      <c r="X581" s="48"/>
      <c r="Y581" s="48"/>
      <c r="Z581" s="701" t="str">
        <f t="array" ref="Z581">+SUMPRODUCT(('Budget original'!$A$8:$A$501=$A581)*('Budget original'!$C$3:$AO$3=Z$2),'Budget original'!$C$8:$AO$501)</f>
        <v>#N/A</v>
      </c>
      <c r="AA581" s="40"/>
      <c r="AB581" s="40"/>
      <c r="AC581" s="701"/>
      <c r="AD581" s="40"/>
      <c r="AE581" s="48"/>
      <c r="AF581" s="701">
        <f>SUMIFS(BV_Data_An_Cour!$AN:$AN,BV_Data_An_Cour!$AQ:$AQ,$V581)</f>
        <v>0</v>
      </c>
      <c r="AG581" s="40"/>
      <c r="AH581" s="703" t="str">
        <f t="shared" si="149"/>
        <v>#N/A</v>
      </c>
      <c r="AI581" s="723" t="str">
        <f t="shared" si="150"/>
        <v>#N/A</v>
      </c>
      <c r="AJ581" s="40"/>
      <c r="AK581" s="48"/>
      <c r="AL581" s="701">
        <f>SUMIFS(BV_Data_An_Prec!$AN:$AN,BV_Data_An_Prec!$AQ:$AQ,$V581)</f>
        <v>0</v>
      </c>
      <c r="AM581" s="788"/>
      <c r="AN581" s="703">
        <f t="shared" si="151"/>
        <v>0</v>
      </c>
      <c r="AO581" s="710">
        <f t="shared" si="152"/>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ht="20.25" hidden="1" customHeight="1">
      <c r="A582" s="5" t="str">
        <f t="shared" si="148"/>
        <v>[...]</v>
      </c>
      <c r="B582" s="3"/>
      <c r="C582" s="668"/>
      <c r="D582" s="40"/>
      <c r="E582" s="40"/>
      <c r="F582" s="540"/>
      <c r="G582" s="40"/>
      <c r="H582" s="40"/>
      <c r="I582" s="540"/>
      <c r="J582" s="40"/>
      <c r="K582" s="40"/>
      <c r="L582" s="40"/>
      <c r="M582" s="540"/>
      <c r="N582" s="40"/>
      <c r="O582" s="40"/>
      <c r="P582" s="40"/>
      <c r="Q582" s="540"/>
      <c r="R582" s="540"/>
      <c r="S582" s="540"/>
      <c r="T582" s="40"/>
      <c r="U582" s="40"/>
      <c r="V582" s="559" t="s">
        <v>56</v>
      </c>
      <c r="W582" s="48"/>
      <c r="X582" s="48"/>
      <c r="Y582" s="48"/>
      <c r="Z582" s="701" t="str">
        <f t="array" ref="Z582">+SUMPRODUCT(('Budget original'!$A$8:$A$501=$A582)*('Budget original'!$C$3:$AO$3=Z$2),'Budget original'!$C$8:$AO$501)</f>
        <v>#N/A</v>
      </c>
      <c r="AA582" s="700"/>
      <c r="AB582" s="700"/>
      <c r="AC582" s="701"/>
      <c r="AD582" s="709"/>
      <c r="AE582" s="708"/>
      <c r="AF582" s="701">
        <f>SUMIFS(BV_Data_An_Cour!$AN:$AN,BV_Data_An_Cour!$AQ:$AQ,$V582)</f>
        <v>0</v>
      </c>
      <c r="AG582" s="702"/>
      <c r="AH582" s="703" t="str">
        <f t="shared" si="149"/>
        <v>#N/A</v>
      </c>
      <c r="AI582" s="704" t="str">
        <f t="shared" si="150"/>
        <v>#N/A</v>
      </c>
      <c r="AJ582" s="709"/>
      <c r="AK582" s="708"/>
      <c r="AL582" s="701">
        <f>SUMIFS(BV_Data_An_Prec!$AN:$AN,BV_Data_An_Prec!$AQ:$AQ,$V582)</f>
        <v>0</v>
      </c>
      <c r="AM582" s="788"/>
      <c r="AN582" s="703">
        <f t="shared" si="151"/>
        <v>0</v>
      </c>
      <c r="AO582" s="710">
        <f t="shared" si="152"/>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ht="15.75" customHeight="1">
      <c r="A583" s="559" t="str">
        <f t="shared" si="148"/>
        <v>Revenus d'intérêts floor plan</v>
      </c>
      <c r="B583" s="3"/>
      <c r="C583" s="668"/>
      <c r="D583" s="40"/>
      <c r="E583" s="40"/>
      <c r="F583" s="540"/>
      <c r="G583" s="40"/>
      <c r="H583" s="40"/>
      <c r="I583" s="540"/>
      <c r="J583" s="40"/>
      <c r="K583" s="40"/>
      <c r="L583" s="40"/>
      <c r="M583" s="540"/>
      <c r="N583" s="40"/>
      <c r="O583" s="40"/>
      <c r="P583" s="40"/>
      <c r="Q583" s="540"/>
      <c r="R583" s="540"/>
      <c r="S583" s="540"/>
      <c r="T583" s="40"/>
      <c r="U583" s="40"/>
      <c r="V583" s="559" t="s">
        <v>218</v>
      </c>
      <c r="W583" s="48"/>
      <c r="X583" s="48"/>
      <c r="Y583" s="48"/>
      <c r="Z583" s="701" t="str">
        <f t="array" ref="Z583">+SUMPRODUCT(('Budget original'!$A$8:$A$501=$A583)*('Budget original'!$C$3:$AO$3=Z$2),'Budget original'!$C$8:$AO$501)</f>
        <v>#N/A</v>
      </c>
      <c r="AA583" s="700"/>
      <c r="AB583" s="700"/>
      <c r="AC583" s="701"/>
      <c r="AD583" s="709"/>
      <c r="AE583" s="708"/>
      <c r="AF583" s="701">
        <f>SUMIFS(BV_Data_An_Cour!$AN:$AN,BV_Data_An_Cour!$AQ:$AQ,$V583)</f>
        <v>-5980.82</v>
      </c>
      <c r="AG583" s="702"/>
      <c r="AH583" s="703" t="str">
        <f t="shared" si="149"/>
        <v>#N/A</v>
      </c>
      <c r="AI583" s="704" t="str">
        <f t="shared" si="150"/>
        <v>#N/A</v>
      </c>
      <c r="AJ583" s="709"/>
      <c r="AK583" s="708"/>
      <c r="AL583" s="701">
        <f>SUMIFS(BV_Data_An_Prec!$AN:$AN,BV_Data_An_Prec!$AQ:$AQ,$V583)</f>
        <v>0</v>
      </c>
      <c r="AM583" s="788"/>
      <c r="AN583" s="703">
        <f t="shared" si="151"/>
        <v>-5980.82</v>
      </c>
      <c r="AO583" s="710">
        <f t="shared" si="152"/>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ht="21.0" hidden="1" customHeight="1">
      <c r="A584" s="5" t="str">
        <f t="shared" si="148"/>
        <v>[...]</v>
      </c>
      <c r="B584" s="3"/>
      <c r="C584" s="668"/>
      <c r="D584" s="40"/>
      <c r="E584" s="40"/>
      <c r="F584" s="540"/>
      <c r="G584" s="40"/>
      <c r="H584" s="40"/>
      <c r="I584" s="540"/>
      <c r="J584" s="40"/>
      <c r="K584" s="40"/>
      <c r="L584" s="40"/>
      <c r="M584" s="540"/>
      <c r="N584" s="40"/>
      <c r="O584" s="40"/>
      <c r="P584" s="40"/>
      <c r="Q584" s="540"/>
      <c r="R584" s="540"/>
      <c r="S584" s="540"/>
      <c r="T584" s="40"/>
      <c r="U584" s="40"/>
      <c r="V584" s="559" t="s">
        <v>56</v>
      </c>
      <c r="W584" s="48"/>
      <c r="X584" s="40"/>
      <c r="Y584" s="48"/>
      <c r="Z584" s="701" t="str">
        <f t="array" ref="Z584">+INDEX('Budget original'!$A$2:$AO$501,MATCH($A584,'Budget original'!$A$2:$A$501,0),MATCH(F$2,'Budget original'!$A$2:$AO$2,0))</f>
        <v/>
      </c>
      <c r="AA584" s="700"/>
      <c r="AB584" s="700"/>
      <c r="AC584" s="701"/>
      <c r="AD584" s="709"/>
      <c r="AE584" s="708"/>
      <c r="AF584" s="701">
        <f>SUMIFS(BV_Data_An_Cour!$AN:$AN,BV_Data_An_Cour!$AQ:$AQ,$V584)</f>
        <v>0</v>
      </c>
      <c r="AG584" s="702"/>
      <c r="AH584" s="703">
        <f t="shared" si="149"/>
        <v>0</v>
      </c>
      <c r="AI584" s="704">
        <f t="shared" si="150"/>
        <v>0</v>
      </c>
      <c r="AJ584" s="709"/>
      <c r="AK584" s="708"/>
      <c r="AL584" s="701"/>
      <c r="AM584" s="788"/>
      <c r="AN584" s="703">
        <f t="shared" si="151"/>
        <v>0</v>
      </c>
      <c r="AO584" s="710">
        <f t="shared" si="152"/>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ht="21.0" customHeight="1">
      <c r="A585" s="5" t="str">
        <f t="shared" si="148"/>
        <v>Profit Net</v>
      </c>
      <c r="B585" s="3"/>
      <c r="C585" s="668"/>
      <c r="D585" s="40"/>
      <c r="E585" s="40"/>
      <c r="F585" s="540"/>
      <c r="G585" s="40"/>
      <c r="H585" s="40"/>
      <c r="I585" s="540"/>
      <c r="J585" s="40"/>
      <c r="K585" s="40"/>
      <c r="L585" s="40"/>
      <c r="M585" s="540"/>
      <c r="N585" s="40"/>
      <c r="O585" s="40"/>
      <c r="P585" s="40"/>
      <c r="Q585" s="540"/>
      <c r="R585" s="540"/>
      <c r="S585" s="540"/>
      <c r="T585" s="40"/>
      <c r="U585" s="40"/>
      <c r="V585" s="767" t="s">
        <v>219</v>
      </c>
      <c r="W585" s="768"/>
      <c r="X585" s="769" t="s">
        <v>1104</v>
      </c>
      <c r="Y585" s="770" t="str">
        <f>Z585/Z493</f>
        <v>#N/A</v>
      </c>
      <c r="Z585" s="771" t="str">
        <f>Z576-Z578-Z579-Z580-Z584-Z583</f>
        <v>#N/A</v>
      </c>
      <c r="AA585" s="769"/>
      <c r="AB585" s="770"/>
      <c r="AC585" s="771"/>
      <c r="AD585" s="769" t="s">
        <v>1104</v>
      </c>
      <c r="AE585" s="770">
        <f>AF585/AF493</f>
        <v>0.01128138232</v>
      </c>
      <c r="AF585" s="771">
        <f>AF576-AF578-AF579-AF580-AF584-AF583</f>
        <v>1994223.99</v>
      </c>
      <c r="AG585" s="772"/>
      <c r="AH585" s="772" t="str">
        <f t="shared" si="149"/>
        <v>#N/A</v>
      </c>
      <c r="AI585" s="773" t="str">
        <f>AH585/Z585</f>
        <v>#N/A</v>
      </c>
      <c r="AJ585" s="769" t="s">
        <v>1104</v>
      </c>
      <c r="AK585" s="770">
        <f>IF($AL$493=0,0,AL585/$AL$493)</f>
        <v>0.01584377462</v>
      </c>
      <c r="AL585" s="771">
        <f>AL576-AL578-AL579-AL580-AL584-AL583</f>
        <v>3069879.89</v>
      </c>
      <c r="AM585" s="774"/>
      <c r="AN585" s="775">
        <f t="shared" si="151"/>
        <v>-1075655.9</v>
      </c>
      <c r="AO585" s="780">
        <f t="shared" si="152"/>
        <v>-0.3503902232</v>
      </c>
      <c r="AP585" s="40"/>
      <c r="AQ585" s="40"/>
      <c r="AR585" s="40"/>
      <c r="AS585" s="40"/>
      <c r="AT585" s="40"/>
      <c r="AU585" s="40"/>
      <c r="AV585" s="40"/>
      <c r="AW585" s="40"/>
      <c r="AX585" s="40"/>
      <c r="AY585" s="40"/>
      <c r="AZ585" s="40"/>
      <c r="BA585" s="40"/>
      <c r="BB585" s="40"/>
      <c r="BC585" s="40"/>
      <c r="BD585" s="40"/>
      <c r="BE585" s="40"/>
      <c r="BF585" s="40"/>
      <c r="BG585" s="40"/>
      <c r="BH585" s="40"/>
      <c r="BI585" s="40"/>
    </row>
    <row r="586" ht="15.75" customHeight="1">
      <c r="A586" s="5" t="str">
        <f>+U586&amp;V575</f>
        <v>BAIIA Corpo</v>
      </c>
      <c r="B586" s="3"/>
      <c r="C586" s="40"/>
      <c r="D586" s="40"/>
      <c r="E586" s="40"/>
      <c r="F586" s="540"/>
      <c r="G586" s="40"/>
      <c r="H586" s="40"/>
      <c r="I586" s="540"/>
      <c r="J586" s="40"/>
      <c r="K586" s="40"/>
      <c r="L586" s="40"/>
      <c r="M586" s="540"/>
      <c r="N586" s="40"/>
      <c r="O586" s="40"/>
      <c r="P586" s="40"/>
      <c r="Q586" s="540"/>
      <c r="R586" s="540"/>
      <c r="S586" s="540"/>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ht="15.75" customHeight="1">
      <c r="B587" s="3"/>
      <c r="T587" s="40"/>
      <c r="U587" s="40"/>
      <c r="V587" s="40"/>
      <c r="W587" s="40"/>
      <c r="X587" s="40"/>
      <c r="Y587" s="40"/>
      <c r="Z587" s="540"/>
      <c r="AA587" s="40"/>
      <c r="AB587" s="40"/>
      <c r="AC587" s="540"/>
      <c r="AE587" s="791"/>
      <c r="AF587" s="791"/>
      <c r="AG587" s="40"/>
      <c r="AH587" s="40"/>
      <c r="AI587" s="40"/>
      <c r="AJ587" s="792"/>
      <c r="AK587" s="793"/>
      <c r="AL587" s="791"/>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ht="15.75" customHeight="1">
      <c r="B588" s="3"/>
      <c r="C588" s="40"/>
      <c r="S588" s="540"/>
      <c r="W588" s="40"/>
      <c r="X588" s="40"/>
      <c r="Y588" s="40"/>
      <c r="Z588" s="540"/>
      <c r="AA588" s="40"/>
      <c r="AB588" s="40"/>
      <c r="AC588" s="540"/>
      <c r="AD588" s="40"/>
      <c r="AE588" s="40"/>
      <c r="AF588" s="791"/>
      <c r="AG588" s="40"/>
      <c r="AH588" s="40"/>
      <c r="AI588" s="40"/>
      <c r="AJ588" s="40"/>
      <c r="AL588" s="791"/>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ht="15.75" customHeight="1">
      <c r="B589" s="3"/>
      <c r="C589" s="700"/>
      <c r="V589" s="40" t="s">
        <v>1107</v>
      </c>
      <c r="W589" s="40"/>
      <c r="X589" s="40"/>
      <c r="Y589" s="40"/>
      <c r="AE589" s="40"/>
      <c r="AF589" s="794">
        <v>1879770.53</v>
      </c>
      <c r="AL589" s="794">
        <v>3069882.0</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ht="15.75" customHeight="1">
      <c r="B590" s="3"/>
      <c r="C590" s="700"/>
      <c r="W590" s="40"/>
      <c r="X590" s="40"/>
      <c r="Y590" s="40"/>
      <c r="Z590" s="40"/>
      <c r="AA590" s="40"/>
      <c r="AB590" s="40"/>
      <c r="AC590" s="40"/>
      <c r="AD590" s="40"/>
      <c r="AE590" s="540"/>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ht="15.75" customHeight="1">
      <c r="B591" s="3"/>
      <c r="C591" s="700"/>
      <c r="W591" s="40"/>
      <c r="X591" s="40"/>
      <c r="Y591" s="40"/>
      <c r="Z591" s="40"/>
      <c r="AA591" s="40"/>
      <c r="AB591" s="40"/>
      <c r="AC591" s="40"/>
      <c r="AD591" s="40"/>
      <c r="AE591" s="40"/>
      <c r="AF591" s="794">
        <f>AF585-AF589</f>
        <v>114453.46</v>
      </c>
      <c r="AG591" s="40"/>
      <c r="AH591" s="40"/>
      <c r="AI591" s="40"/>
      <c r="AJ591" s="800"/>
      <c r="AK591" s="793"/>
      <c r="AL591" s="791">
        <f>AL585-AL589</f>
        <v>-2.109999993</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ht="15.75" customHeight="1">
      <c r="B592" s="3"/>
      <c r="C592" s="70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ht="15.75" customHeight="1">
      <c r="B593" s="3"/>
      <c r="C593" s="70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ht="15.75" customHeight="1">
      <c r="B594" s="3"/>
      <c r="C594" s="70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ht="15.75" customHeight="1">
      <c r="B595" s="3"/>
      <c r="C595" s="700"/>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ht="15.75" customHeight="1">
      <c r="B596" s="3"/>
      <c r="C596" s="70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ht="15.75" customHeight="1">
      <c r="B597" s="3"/>
      <c r="C597" s="700"/>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ht="15.75" customHeight="1">
      <c r="B598" s="3"/>
      <c r="C598" s="700"/>
      <c r="W598" s="40"/>
      <c r="X598" s="40"/>
      <c r="Y598" s="40"/>
      <c r="Z598" s="40"/>
      <c r="AA598" s="40"/>
      <c r="AB598" s="40"/>
      <c r="AC598" s="40"/>
      <c r="AD598" s="40"/>
      <c r="AE598" s="40"/>
      <c r="AF598" s="791"/>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ht="15.75" customHeight="1">
      <c r="B599" s="3"/>
      <c r="C599" s="700"/>
      <c r="W599" s="40"/>
      <c r="X599" s="40"/>
      <c r="Y599" s="40"/>
      <c r="Z599" s="40"/>
      <c r="AA599" s="40"/>
      <c r="AB599" s="40"/>
      <c r="AC599" s="40"/>
      <c r="AD599" s="40"/>
      <c r="AE599" s="40"/>
      <c r="AF599" s="795"/>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ht="15.75" customHeight="1">
      <c r="B600" s="3"/>
      <c r="C600" s="700"/>
      <c r="W600" s="40"/>
      <c r="X600" s="40"/>
      <c r="Y600" s="40"/>
      <c r="Z600" s="40"/>
      <c r="AA600" s="40"/>
      <c r="AB600" s="40"/>
      <c r="AC600" s="40"/>
      <c r="AD600" s="40"/>
      <c r="AE600" s="40"/>
      <c r="AF600" s="795"/>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ht="15.75" customHeight="1">
      <c r="B601" s="3"/>
      <c r="C601" s="700"/>
      <c r="W601" s="40"/>
      <c r="X601" s="40"/>
      <c r="Y601" s="40"/>
      <c r="Z601" s="40"/>
      <c r="AA601" s="40"/>
      <c r="AB601" s="40"/>
      <c r="AC601" s="40"/>
      <c r="AD601" s="40"/>
      <c r="AE601" s="40"/>
      <c r="AF601" s="795"/>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ht="15.75" customHeight="1">
      <c r="B602" s="3"/>
      <c r="C602" s="70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ht="15.75" customHeight="1">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ht="15.75" customHeight="1">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ht="15.75" customHeight="1">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ht="15.75" customHeight="1">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ht="15.75" customHeight="1">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ht="15.75" customHeight="1">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ht="15.75" customHeight="1">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ht="15.75" customHeight="1">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ht="15.75" customHeight="1">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ht="15.75" customHeight="1">
      <c r="B612" s="3"/>
      <c r="C612" s="70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ht="15.75" customHeight="1">
      <c r="B613" s="3"/>
      <c r="C613" s="70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ht="15.75" customHeight="1">
      <c r="B614" s="3"/>
      <c r="C614" s="70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ht="15.75" customHeight="1">
      <c r="B615" s="3"/>
      <c r="C615" s="70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ht="15.75" customHeight="1">
      <c r="B616" s="3"/>
      <c r="C616" s="70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ht="15.75" customHeight="1">
      <c r="B617" s="3"/>
      <c r="C617" s="70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ht="15.75" customHeight="1">
      <c r="B618" s="3"/>
      <c r="C618" s="70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ht="15.75" customHeight="1">
      <c r="B619" s="3"/>
      <c r="C619" s="70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ht="15.75" customHeight="1">
      <c r="B620" s="3"/>
      <c r="C620" s="70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ht="15.75" customHeight="1">
      <c r="B621" s="3"/>
      <c r="C621" s="70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ht="15.75" customHeight="1">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ht="15.75" customHeight="1">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ht="15.75" customHeight="1">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ht="15.75" customHeight="1">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M91:N91"/>
    <mergeCell ref="O91:Q91"/>
    <mergeCell ref="D3:F3"/>
    <mergeCell ref="G3:I3"/>
    <mergeCell ref="J3:L3"/>
    <mergeCell ref="M3:N3"/>
    <mergeCell ref="O3:Q3"/>
    <mergeCell ref="R3:S3"/>
    <mergeCell ref="D91:F91"/>
    <mergeCell ref="R91:S91"/>
    <mergeCell ref="G91:I91"/>
    <mergeCell ref="J91:L91"/>
    <mergeCell ref="G171:I171"/>
    <mergeCell ref="J171:L171"/>
    <mergeCell ref="M171:N171"/>
    <mergeCell ref="O171:Q171"/>
    <mergeCell ref="R171:S171"/>
    <mergeCell ref="D171:F171"/>
    <mergeCell ref="D244:F244"/>
    <mergeCell ref="G244:I244"/>
    <mergeCell ref="J244:L244"/>
    <mergeCell ref="M244:N244"/>
    <mergeCell ref="O244:Q244"/>
    <mergeCell ref="R244:S244"/>
    <mergeCell ref="G369:I369"/>
    <mergeCell ref="J369:L369"/>
    <mergeCell ref="D434:F434"/>
    <mergeCell ref="G434:I434"/>
    <mergeCell ref="J434:L434"/>
    <mergeCell ref="M434:N434"/>
    <mergeCell ref="O434:Q434"/>
    <mergeCell ref="R434:S434"/>
    <mergeCell ref="M369:N369"/>
    <mergeCell ref="O369:Q369"/>
    <mergeCell ref="X491:Z491"/>
    <mergeCell ref="AA491:AC491"/>
    <mergeCell ref="AD491:AF491"/>
    <mergeCell ref="AG491:AI491"/>
    <mergeCell ref="AJ491:AL491"/>
    <mergeCell ref="AM491:AO491"/>
    <mergeCell ref="D312:F312"/>
    <mergeCell ref="G312:I312"/>
    <mergeCell ref="J312:L312"/>
    <mergeCell ref="M312:N312"/>
    <mergeCell ref="O312:Q312"/>
    <mergeCell ref="R312:S312"/>
    <mergeCell ref="D369:F369"/>
    <mergeCell ref="R369:S369"/>
  </mergeCells>
  <conditionalFormatting sqref="D113 H180:L181 I184:L185">
    <cfRule type="expression" dxfId="0" priority="1" stopIfTrue="1">
      <formula>"esterreur(reference)"</formula>
    </cfRule>
  </conditionalFormatting>
  <conditionalFormatting sqref="D246:D255">
    <cfRule type="expression" dxfId="0" priority="2" stopIfTrue="1">
      <formula>"esterreur(reference)"</formula>
    </cfRule>
  </conditionalFormatting>
  <conditionalFormatting sqref="D487">
    <cfRule type="expression" dxfId="0" priority="3" stopIfTrue="1">
      <formula>"esterreur(reference)"</formula>
    </cfRule>
  </conditionalFormatting>
  <conditionalFormatting sqref="D186:E192">
    <cfRule type="expression" dxfId="0" priority="4" stopIfTrue="1">
      <formula>"esterreur(reference)"</formula>
    </cfRule>
  </conditionalFormatting>
  <conditionalFormatting sqref="E260">
    <cfRule type="expression" dxfId="0" priority="5" stopIfTrue="1">
      <formula>"esterreur(reference)"</formula>
    </cfRule>
  </conditionalFormatting>
  <conditionalFormatting sqref="F5">
    <cfRule type="expression" dxfId="0" priority="6" stopIfTrue="1">
      <formula>"esterreur(reference)"</formula>
    </cfRule>
  </conditionalFormatting>
  <conditionalFormatting sqref="F84">
    <cfRule type="expression" dxfId="0" priority="7" stopIfTrue="1">
      <formula>"esterreur(reference)"</formula>
    </cfRule>
  </conditionalFormatting>
  <conditionalFormatting sqref="F102">
    <cfRule type="expression" dxfId="0" priority="8" stopIfTrue="1">
      <formula>"esterreur(reference)"</formula>
    </cfRule>
  </conditionalFormatting>
  <conditionalFormatting sqref="F258">
    <cfRule type="expression" dxfId="0" priority="9" stopIfTrue="1">
      <formula>"esterreur(reference)"</formula>
    </cfRule>
  </conditionalFormatting>
  <conditionalFormatting sqref="G31:G32">
    <cfRule type="expression" dxfId="0" priority="10" stopIfTrue="1">
      <formula>"esterreur(reference)"</formula>
    </cfRule>
  </conditionalFormatting>
  <conditionalFormatting sqref="G113:G114">
    <cfRule type="expression" dxfId="0" priority="11" stopIfTrue="1">
      <formula>"esterreur(reference)"</formula>
    </cfRule>
  </conditionalFormatting>
  <conditionalFormatting sqref="G186:G187">
    <cfRule type="expression" dxfId="0" priority="12" stopIfTrue="1">
      <formula>"esterreur(reference)"</formula>
    </cfRule>
  </conditionalFormatting>
  <conditionalFormatting sqref="G246:G255">
    <cfRule type="expression" dxfId="0" priority="13" stopIfTrue="1">
      <formula>"esterreur(reference)"</formula>
    </cfRule>
  </conditionalFormatting>
  <conditionalFormatting sqref="H25:H26 H28:H72">
    <cfRule type="expression" dxfId="0" priority="14" stopIfTrue="1">
      <formula>"esterreur(reference)"</formula>
    </cfRule>
  </conditionalFormatting>
  <conditionalFormatting sqref="H74">
    <cfRule type="expression" dxfId="0" priority="15" stopIfTrue="1">
      <formula>"esterreur(reference)"</formula>
    </cfRule>
  </conditionalFormatting>
  <conditionalFormatting sqref="H83">
    <cfRule type="expression" dxfId="0" priority="16" stopIfTrue="1">
      <formula>"esterreur(reference)"</formula>
    </cfRule>
  </conditionalFormatting>
  <conditionalFormatting sqref="H85">
    <cfRule type="expression" dxfId="0" priority="17" stopIfTrue="1">
      <formula>"esterreur(reference)"</formula>
    </cfRule>
  </conditionalFormatting>
  <conditionalFormatting sqref="H110:H154">
    <cfRule type="expression" dxfId="0" priority="18" stopIfTrue="1">
      <formula>"esterreur(reference)"</formula>
    </cfRule>
  </conditionalFormatting>
  <conditionalFormatting sqref="H156:H158">
    <cfRule type="expression" dxfId="0" priority="19" stopIfTrue="1">
      <formula>"esterreur(reference)"</formula>
    </cfRule>
  </conditionalFormatting>
  <conditionalFormatting sqref="H164">
    <cfRule type="expression" dxfId="0" priority="20" stopIfTrue="1">
      <formula>"esterreur(reference)"</formula>
    </cfRule>
  </conditionalFormatting>
  <conditionalFormatting sqref="H166">
    <cfRule type="expression" dxfId="0" priority="21" stopIfTrue="1">
      <formula>"esterreur(reference)"</formula>
    </cfRule>
  </conditionalFormatting>
  <conditionalFormatting sqref="H183:H227">
    <cfRule type="expression" dxfId="0" priority="22" stopIfTrue="1">
      <formula>"esterreur(reference)"</formula>
    </cfRule>
  </conditionalFormatting>
  <conditionalFormatting sqref="H229:H231">
    <cfRule type="expression" dxfId="0" priority="23" stopIfTrue="1">
      <formula>"esterreur(reference)"</formula>
    </cfRule>
  </conditionalFormatting>
  <conditionalFormatting sqref="H237">
    <cfRule type="expression" dxfId="0" priority="24" stopIfTrue="1">
      <formula>"esterreur(reference)"</formula>
    </cfRule>
  </conditionalFormatting>
  <conditionalFormatting sqref="H239">
    <cfRule type="expression" dxfId="0" priority="25" stopIfTrue="1">
      <formula>"esterreur(reference)"</formula>
    </cfRule>
  </conditionalFormatting>
  <conditionalFormatting sqref="H269">
    <cfRule type="expression" dxfId="0" priority="26" stopIfTrue="1">
      <formula>"esterreur(reference)"</formula>
    </cfRule>
  </conditionalFormatting>
  <conditionalFormatting sqref="H272:H303">
    <cfRule type="expression" dxfId="0" priority="27" stopIfTrue="1">
      <formula>"esterreur(reference)"</formula>
    </cfRule>
  </conditionalFormatting>
  <conditionalFormatting sqref="H305">
    <cfRule type="expression" dxfId="0" priority="28" stopIfTrue="1">
      <formula>"esterreur(reference)"</formula>
    </cfRule>
  </conditionalFormatting>
  <conditionalFormatting sqref="H307">
    <cfRule type="expression" dxfId="0" priority="29" stopIfTrue="1">
      <formula>"esterreur(reference)"</formula>
    </cfRule>
  </conditionalFormatting>
  <conditionalFormatting sqref="H327">
    <cfRule type="expression" dxfId="0" priority="30" stopIfTrue="1">
      <formula>"esterreur(reference)"</formula>
    </cfRule>
  </conditionalFormatting>
  <conditionalFormatting sqref="H330:H361">
    <cfRule type="expression" dxfId="0" priority="31" stopIfTrue="1">
      <formula>"esterreur(reference)"</formula>
    </cfRule>
  </conditionalFormatting>
  <conditionalFormatting sqref="H363">
    <cfRule type="expression" dxfId="0" priority="32" stopIfTrue="1">
      <formula>"esterreur(reference)"</formula>
    </cfRule>
  </conditionalFormatting>
  <conditionalFormatting sqref="H365">
    <cfRule type="expression" dxfId="0" priority="33" stopIfTrue="1">
      <formula>"esterreur(reference)"</formula>
    </cfRule>
  </conditionalFormatting>
  <conditionalFormatting sqref="H391">
    <cfRule type="expression" dxfId="0" priority="34" stopIfTrue="1">
      <formula>"esterreur(reference)"</formula>
    </cfRule>
  </conditionalFormatting>
  <conditionalFormatting sqref="H394:H425">
    <cfRule type="expression" dxfId="0" priority="35" stopIfTrue="1">
      <formula>"esterreur(reference)"</formula>
    </cfRule>
  </conditionalFormatting>
  <conditionalFormatting sqref="H427">
    <cfRule type="expression" dxfId="0" priority="36" stopIfTrue="1">
      <formula>"esterreur(reference)"</formula>
    </cfRule>
  </conditionalFormatting>
  <conditionalFormatting sqref="H429:H431">
    <cfRule type="expression" dxfId="0" priority="37" stopIfTrue="1">
      <formula>"esterreur(reference)"</formula>
    </cfRule>
  </conditionalFormatting>
  <conditionalFormatting sqref="H449">
    <cfRule type="expression" dxfId="0" priority="38" stopIfTrue="1">
      <formula>"esterreur(reference)"</formula>
    </cfRule>
  </conditionalFormatting>
  <conditionalFormatting sqref="H452:H482">
    <cfRule type="expression" dxfId="0" priority="39" stopIfTrue="1">
      <formula>"esterreur(reference)"</formula>
    </cfRule>
  </conditionalFormatting>
  <conditionalFormatting sqref="H484">
    <cfRule type="expression" dxfId="0" priority="40" stopIfTrue="1">
      <formula>"esterreur(reference)"</formula>
    </cfRule>
  </conditionalFormatting>
  <conditionalFormatting sqref="H486:H487">
    <cfRule type="expression" dxfId="0" priority="41" stopIfTrue="1">
      <formula>"esterreur(reference)"</formula>
    </cfRule>
  </conditionalFormatting>
  <conditionalFormatting sqref="H433:I433 J433:J434 K433:L433">
    <cfRule type="expression" dxfId="0" priority="42" stopIfTrue="1">
      <formula>"esterreur(reference)"</formula>
    </cfRule>
  </conditionalFormatting>
  <conditionalFormatting sqref="H317:J317">
    <cfRule type="expression" dxfId="0" priority="43" stopIfTrue="1">
      <formula>"esterreur(reference)"</formula>
    </cfRule>
  </conditionalFormatting>
  <conditionalFormatting sqref="H439:J439">
    <cfRule type="expression" dxfId="0" priority="44" stopIfTrue="1">
      <formula>"esterreur(reference)"</formula>
    </cfRule>
  </conditionalFormatting>
  <conditionalFormatting sqref="H435:L436">
    <cfRule type="expression" dxfId="0" priority="45" stopIfTrue="1">
      <formula>"esterreur(reference)"</formula>
    </cfRule>
  </conditionalFormatting>
  <conditionalFormatting sqref="H447:L447 H450:L451">
    <cfRule type="expression" dxfId="0" priority="46" stopIfTrue="1">
      <formula>"esterreur(reference)"</formula>
    </cfRule>
  </conditionalFormatting>
  <conditionalFormatting sqref="H483:L483 H485:L485">
    <cfRule type="expression" dxfId="0" priority="47" stopIfTrue="1">
      <formula>"esterreur(reference)"</formula>
    </cfRule>
  </conditionalFormatting>
  <conditionalFormatting sqref="I16:I18 I20 I24:I30">
    <cfRule type="expression" dxfId="0" priority="48" stopIfTrue="1">
      <formula>"esterreur(reference)"</formula>
    </cfRule>
  </conditionalFormatting>
  <conditionalFormatting sqref="I109:I110">
    <cfRule type="expression" dxfId="0" priority="49" stopIfTrue="1">
      <formula>"esterreur(reference)"</formula>
    </cfRule>
  </conditionalFormatting>
  <conditionalFormatting sqref="I182:I183">
    <cfRule type="expression" dxfId="0" priority="50" stopIfTrue="1">
      <formula>"esterreur(reference)"</formula>
    </cfRule>
  </conditionalFormatting>
  <conditionalFormatting sqref="I268:I269">
    <cfRule type="expression" dxfId="0" priority="51" stopIfTrue="1">
      <formula>"esterreur(reference)"</formula>
    </cfRule>
  </conditionalFormatting>
  <conditionalFormatting sqref="I326:I327">
    <cfRule type="expression" dxfId="0" priority="52" stopIfTrue="1">
      <formula>"esterreur(reference)"</formula>
    </cfRule>
  </conditionalFormatting>
  <conditionalFormatting sqref="I390:I391">
    <cfRule type="expression" dxfId="0" priority="53" stopIfTrue="1">
      <formula>"esterreur(reference)"</formula>
    </cfRule>
  </conditionalFormatting>
  <conditionalFormatting sqref="I448:I449">
    <cfRule type="expression" dxfId="0" priority="54" stopIfTrue="1">
      <formula>"esterreur(reference)"</formula>
    </cfRule>
  </conditionalFormatting>
  <conditionalFormatting sqref="H84:L84 H86:L88 H90:I90 H97:I97 H98:L98 H102:H105 H107:H108 H165:L165 H167:K168 H170:I170 H238:L238 H240:K240 H241:L241 H243:I243 H245:I245 H247:I247 H250:J250 H253:L253 H256:I257 H259:I261 H263:J264 H266:J267 H270:L271 H306:L306 H308:L309 H311:I311 H313:I314 H328:L329 H364:L364 H366:L366 H368:I368 H370:I370 H380:I382 H385:I387 H389:I389 H392:L393 H428:L428 I13:J14 I102:L102 I106:L108 I111:L112 I248 I251:J251 I254:J254 J3 J18:J24 J25:L26 J27 J28:L30 J31:K36 J37 J38:K52 J83:K83 J90:J91 J103:L105 J109 J110:L110 J113:L122 J123:K133 J134:L135 J136:K136 J137:L153 J154:K154 J170:J171 J186:L195 J196:K206 J207:L208 J209:K209 J210:L226 J227:K227 J243:J245 J247:J248 J256:J261 J268 J269:K269 J272:K274 J275 J276:K303 J311:J314 J330:K361 J368:J369 J391:L391 J394:L405 J406:K425 J452:L463 K90:L90 K93:L95 K99:L101 K170:L170 K173:L179 K243:L243 K245:L247 K249:L250 K252:L252 K255:L256 K258 K259:L267 K311:L311 K313:L315 K317:L318 K368:L368 K370:L370 K371:K379 K380:L382 K383:K384 K385:L387 K388:M388 K389:L389 L96 L248 L251 L254 L257 L343:L360 O98:Q98 O102:Q108 O134:Q135 O137:Q153 O165:Q165 O207:Q208 O210:Q226 O238:Q238 P93:Q95 P99:Q101 P173:Q179 Q96">
    <cfRule type="expression" dxfId="0" priority="55" stopIfTrue="1">
      <formula>"esterreur(reference)"</formula>
    </cfRule>
  </conditionalFormatting>
  <conditionalFormatting sqref="J16 L16:L24">
    <cfRule type="expression" dxfId="0" priority="56" stopIfTrue="1">
      <formula>"esterreur(reference)"</formula>
    </cfRule>
  </conditionalFormatting>
  <conditionalFormatting sqref="J182 J183:L183">
    <cfRule type="expression" dxfId="0" priority="57" stopIfTrue="1">
      <formula>"esterreur(reference)"</formula>
    </cfRule>
  </conditionalFormatting>
  <conditionalFormatting sqref="J326 J327:K327">
    <cfRule type="expression" dxfId="0" priority="58" stopIfTrue="1">
      <formula>"esterreur(reference)"</formula>
    </cfRule>
  </conditionalFormatting>
  <conditionalFormatting sqref="J371:J390">
    <cfRule type="expression" dxfId="0" priority="59" stopIfTrue="1">
      <formula>"esterreur(reference)"</formula>
    </cfRule>
  </conditionalFormatting>
  <conditionalFormatting sqref="J448 J449:K449">
    <cfRule type="expression" dxfId="0" priority="60" stopIfTrue="1">
      <formula>"esterreur(reference)"</formula>
    </cfRule>
  </conditionalFormatting>
  <conditionalFormatting sqref="J54:K54">
    <cfRule type="expression" dxfId="0" priority="61" stopIfTrue="1">
      <formula>"esterreur(reference)"</formula>
    </cfRule>
  </conditionalFormatting>
  <conditionalFormatting sqref="J72:K72">
    <cfRule type="expression" dxfId="0" priority="62" stopIfTrue="1">
      <formula>"esterreur(reference)"</formula>
    </cfRule>
  </conditionalFormatting>
  <conditionalFormatting sqref="J74:K74">
    <cfRule type="expression" dxfId="0" priority="63" stopIfTrue="1">
      <formula>"esterreur(reference)"</formula>
    </cfRule>
  </conditionalFormatting>
  <conditionalFormatting sqref="J85:K85">
    <cfRule type="expression" dxfId="0" priority="64" stopIfTrue="1">
      <formula>"esterreur(reference)"</formula>
    </cfRule>
  </conditionalFormatting>
  <conditionalFormatting sqref="J156:K158">
    <cfRule type="expression" dxfId="0" priority="65" stopIfTrue="1">
      <formula>"esterreur(reference)"</formula>
    </cfRule>
  </conditionalFormatting>
  <conditionalFormatting sqref="J164:K164">
    <cfRule type="expression" dxfId="0" priority="66" stopIfTrue="1">
      <formula>"esterreur(reference)"</formula>
    </cfRule>
  </conditionalFormatting>
  <conditionalFormatting sqref="J166:K166">
    <cfRule type="expression" dxfId="0" priority="67" stopIfTrue="1">
      <formula>"esterreur(reference)"</formula>
    </cfRule>
  </conditionalFormatting>
  <conditionalFormatting sqref="J229:K231">
    <cfRule type="expression" dxfId="0" priority="68" stopIfTrue="1">
      <formula>"esterreur(reference)"</formula>
    </cfRule>
  </conditionalFormatting>
  <conditionalFormatting sqref="J237:K237">
    <cfRule type="expression" dxfId="0" priority="69" stopIfTrue="1">
      <formula>"esterreur(reference)"</formula>
    </cfRule>
  </conditionalFormatting>
  <conditionalFormatting sqref="J239:K239">
    <cfRule type="expression" dxfId="0" priority="70" stopIfTrue="1">
      <formula>"esterreur(reference)"</formula>
    </cfRule>
  </conditionalFormatting>
  <conditionalFormatting sqref="J305:K305">
    <cfRule type="expression" dxfId="0" priority="71" stopIfTrue="1">
      <formula>"esterreur(reference)"</formula>
    </cfRule>
  </conditionalFormatting>
  <conditionalFormatting sqref="J307:K307">
    <cfRule type="expression" dxfId="0" priority="72" stopIfTrue="1">
      <formula>"esterreur(reference)"</formula>
    </cfRule>
  </conditionalFormatting>
  <conditionalFormatting sqref="J363:K363">
    <cfRule type="expression" dxfId="0" priority="73" stopIfTrue="1">
      <formula>"esterreur(reference)"</formula>
    </cfRule>
  </conditionalFormatting>
  <conditionalFormatting sqref="J365:K365">
    <cfRule type="expression" dxfId="0" priority="74" stopIfTrue="1">
      <formula>"esterreur(reference)"</formula>
    </cfRule>
  </conditionalFormatting>
  <conditionalFormatting sqref="J427:K427">
    <cfRule type="expression" dxfId="0" priority="75" stopIfTrue="1">
      <formula>"esterreur(reference)"</formula>
    </cfRule>
  </conditionalFormatting>
  <conditionalFormatting sqref="J429:K431">
    <cfRule type="expression" dxfId="0" priority="76" stopIfTrue="1">
      <formula>"esterreur(reference)"</formula>
    </cfRule>
  </conditionalFormatting>
  <conditionalFormatting sqref="J464:K464">
    <cfRule type="expression" dxfId="0" priority="77" stopIfTrue="1">
      <formula>"esterreur(reference)"</formula>
    </cfRule>
  </conditionalFormatting>
  <conditionalFormatting sqref="J482:K482">
    <cfRule type="expression" dxfId="0" priority="78" stopIfTrue="1">
      <formula>"esterreur(reference)"</formula>
    </cfRule>
  </conditionalFormatting>
  <conditionalFormatting sqref="J484:K484">
    <cfRule type="expression" dxfId="0" priority="79" stopIfTrue="1">
      <formula>"esterreur(reference)"</formula>
    </cfRule>
  </conditionalFormatting>
  <conditionalFormatting sqref="J486:K487">
    <cfRule type="expression" dxfId="0" priority="80" stopIfTrue="1">
      <formula>"esterreur(reference)"</formula>
    </cfRule>
  </conditionalFormatting>
  <conditionalFormatting sqref="J53:L53 J55:L71">
    <cfRule type="expression" dxfId="0" priority="81" stopIfTrue="1">
      <formula>"esterreur(reference)"</formula>
    </cfRule>
  </conditionalFormatting>
  <conditionalFormatting sqref="J465:L481">
    <cfRule type="expression" dxfId="0" priority="82" stopIfTrue="1">
      <formula>"esterreur(reference)"</formula>
    </cfRule>
  </conditionalFormatting>
  <conditionalFormatting sqref="K5">
    <cfRule type="expression" dxfId="0" priority="83" stopIfTrue="1">
      <formula>"esterreur(reference)"</formula>
    </cfRule>
  </conditionalFormatting>
  <conditionalFormatting sqref="K321:L321">
    <cfRule type="expression" dxfId="0" priority="84" stopIfTrue="1">
      <formula>"esterreur(reference)"</formula>
    </cfRule>
  </conditionalFormatting>
  <conditionalFormatting sqref="K437:L437 K439:L440">
    <cfRule type="expression" dxfId="0" priority="85" stopIfTrue="1">
      <formula>"esterreur(reference)"</formula>
    </cfRule>
  </conditionalFormatting>
  <conditionalFormatting sqref="K443:L443">
    <cfRule type="expression" dxfId="0" priority="86" stopIfTrue="1">
      <formula>"esterreur(reference)"</formula>
    </cfRule>
  </conditionalFormatting>
  <conditionalFormatting sqref="L5:L14">
    <cfRule type="expression" dxfId="0" priority="87" stopIfTrue="1">
      <formula>"esterreur(reference)"</formula>
    </cfRule>
  </conditionalFormatting>
  <conditionalFormatting sqref="L75:L82">
    <cfRule type="expression" dxfId="0" priority="88" stopIfTrue="1">
      <formula>"esterreur(reference)"</formula>
    </cfRule>
  </conditionalFormatting>
  <conditionalFormatting sqref="L157:L163">
    <cfRule type="expression" dxfId="0" priority="89" stopIfTrue="1">
      <formula>"esterreur(reference)"</formula>
    </cfRule>
  </conditionalFormatting>
  <conditionalFormatting sqref="L230:L236">
    <cfRule type="expression" dxfId="0" priority="90" stopIfTrue="1">
      <formula>"esterreur(reference)"</formula>
    </cfRule>
  </conditionalFormatting>
  <conditionalFormatting sqref="L272:L283">
    <cfRule type="expression" dxfId="0" priority="91" stopIfTrue="1">
      <formula>"esterreur(reference)"</formula>
    </cfRule>
  </conditionalFormatting>
  <conditionalFormatting sqref="L285:L302">
    <cfRule type="expression" dxfId="0" priority="92" stopIfTrue="1">
      <formula>"esterreur(reference)"</formula>
    </cfRule>
  </conditionalFormatting>
  <conditionalFormatting sqref="L324">
    <cfRule type="expression" dxfId="0" priority="93" stopIfTrue="1">
      <formula>"esterreur(reference)"</formula>
    </cfRule>
  </conditionalFormatting>
  <conditionalFormatting sqref="L330:L341">
    <cfRule type="expression" dxfId="0" priority="94" stopIfTrue="1">
      <formula>"esterreur(reference)"</formula>
    </cfRule>
  </conditionalFormatting>
  <conditionalFormatting sqref="L422:L424">
    <cfRule type="expression" dxfId="0" priority="95" stopIfTrue="1">
      <formula>"esterreur(reference)"</formula>
    </cfRule>
  </conditionalFormatting>
  <conditionalFormatting sqref="L446">
    <cfRule type="expression" dxfId="0" priority="96" stopIfTrue="1">
      <formula>"esterreur(reference)"</formula>
    </cfRule>
  </conditionalFormatting>
  <conditionalFormatting sqref="M95:M97">
    <cfRule type="expression" dxfId="0" priority="97" stopIfTrue="1">
      <formula>"esterreur(reference)"</formula>
    </cfRule>
  </conditionalFormatting>
  <conditionalFormatting sqref="M177:M179">
    <cfRule type="expression" dxfId="0" priority="98" stopIfTrue="1">
      <formula>"esterreur(reference)"</formula>
    </cfRule>
  </conditionalFormatting>
  <conditionalFormatting sqref="N283">
    <cfRule type="expression" dxfId="0" priority="99" stopIfTrue="1">
      <formula>"esterreur(reference)"</formula>
    </cfRule>
  </conditionalFormatting>
  <conditionalFormatting sqref="N394:N404">
    <cfRule type="expression" dxfId="0" priority="100" stopIfTrue="1">
      <formula>"esterreur(reference)"</formula>
    </cfRule>
  </conditionalFormatting>
  <conditionalFormatting sqref="N271:Q271">
    <cfRule type="expression" dxfId="0" priority="101" stopIfTrue="1">
      <formula>"esterreur(reference)"</formula>
    </cfRule>
  </conditionalFormatting>
  <conditionalFormatting sqref="O16 Q16:Q24">
    <cfRule type="expression" dxfId="0" priority="102" stopIfTrue="1">
      <formula>"esterreur(reference)"</formula>
    </cfRule>
  </conditionalFormatting>
  <conditionalFormatting sqref="O109 O110:Q122">
    <cfRule type="expression" dxfId="0" priority="103" stopIfTrue="1">
      <formula>"esterreur(reference)"</formula>
    </cfRule>
  </conditionalFormatting>
  <conditionalFormatting sqref="O182 O183:Q195">
    <cfRule type="expression" dxfId="0" priority="104" stopIfTrue="1">
      <formula>"esterreur(reference)"</formula>
    </cfRule>
  </conditionalFormatting>
  <conditionalFormatting sqref="O245 O247:O248 O250:O251 O253:Q253 O254 O256:O261 O263:O264 O270:Q270 O272:P274 O275 O306:Q306 P245:Q247 P249:Q250 P252:Q252 P255:Q256 P258:P259 P260:Q267 Q248 Q251 Q254 Q257">
    <cfRule type="expression" dxfId="0" priority="105" stopIfTrue="1">
      <formula>"esterreur(reference)"</formula>
    </cfRule>
  </conditionalFormatting>
  <conditionalFormatting sqref="O266:O268 O269:P269">
    <cfRule type="expression" dxfId="0" priority="106" stopIfTrue="1">
      <formula>"esterreur(reference)"</formula>
    </cfRule>
  </conditionalFormatting>
  <conditionalFormatting sqref="O317">
    <cfRule type="expression" dxfId="0" priority="107" stopIfTrue="1">
      <formula>"esterreur(reference)"</formula>
    </cfRule>
  </conditionalFormatting>
  <conditionalFormatting sqref="O326">
    <cfRule type="expression" dxfId="0" priority="108" stopIfTrue="1">
      <formula>"esterreur(reference)"</formula>
    </cfRule>
  </conditionalFormatting>
  <conditionalFormatting sqref="O390 O391:P391">
    <cfRule type="expression" dxfId="0" priority="109" stopIfTrue="1">
      <formula>"esterreur(reference)"</formula>
    </cfRule>
  </conditionalFormatting>
  <conditionalFormatting sqref="O439">
    <cfRule type="expression" dxfId="0" priority="110" stopIfTrue="1">
      <formula>"esterreur(reference)"</formula>
    </cfRule>
  </conditionalFormatting>
  <conditionalFormatting sqref="O448 O449:P449">
    <cfRule type="expression" dxfId="0" priority="111" stopIfTrue="1">
      <formula>"esterreur(reference)"</formula>
    </cfRule>
  </conditionalFormatting>
  <conditionalFormatting sqref="O54:P54">
    <cfRule type="expression" dxfId="0" priority="112" stopIfTrue="1">
      <formula>"esterreur(reference)"</formula>
    </cfRule>
  </conditionalFormatting>
  <conditionalFormatting sqref="O72:P72">
    <cfRule type="expression" dxfId="0" priority="113" stopIfTrue="1">
      <formula>"esterreur(reference)"</formula>
    </cfRule>
  </conditionalFormatting>
  <conditionalFormatting sqref="O74:P74">
    <cfRule type="expression" dxfId="0" priority="114" stopIfTrue="1">
      <formula>"esterreur(reference)"</formula>
    </cfRule>
  </conditionalFormatting>
  <conditionalFormatting sqref="O85:P85">
    <cfRule type="expression" dxfId="0" priority="115" stopIfTrue="1">
      <formula>"esterreur(reference)"</formula>
    </cfRule>
  </conditionalFormatting>
  <conditionalFormatting sqref="O123:P133">
    <cfRule type="expression" dxfId="0" priority="116" stopIfTrue="1">
      <formula>"esterreur(reference)"</formula>
    </cfRule>
  </conditionalFormatting>
  <conditionalFormatting sqref="O136:P136">
    <cfRule type="expression" dxfId="0" priority="117" stopIfTrue="1">
      <formula>"esterreur(reference)"</formula>
    </cfRule>
  </conditionalFormatting>
  <conditionalFormatting sqref="O154:P154">
    <cfRule type="expression" dxfId="0" priority="118" stopIfTrue="1">
      <formula>"esterreur(reference)"</formula>
    </cfRule>
  </conditionalFormatting>
  <conditionalFormatting sqref="O156:P158">
    <cfRule type="expression" dxfId="0" priority="119" stopIfTrue="1">
      <formula>"esterreur(reference)"</formula>
    </cfRule>
  </conditionalFormatting>
  <conditionalFormatting sqref="O164:P164">
    <cfRule type="expression" dxfId="0" priority="120" stopIfTrue="1">
      <formula>"esterreur(reference)"</formula>
    </cfRule>
  </conditionalFormatting>
  <conditionalFormatting sqref="O166:P166">
    <cfRule type="expression" dxfId="0" priority="121" stopIfTrue="1">
      <formula>"esterreur(reference)"</formula>
    </cfRule>
  </conditionalFormatting>
  <conditionalFormatting sqref="O196:P206">
    <cfRule type="expression" dxfId="0" priority="122" stopIfTrue="1">
      <formula>"esterreur(reference)"</formula>
    </cfRule>
  </conditionalFormatting>
  <conditionalFormatting sqref="O209:P209">
    <cfRule type="expression" dxfId="0" priority="123" stopIfTrue="1">
      <formula>"esterreur(reference)"</formula>
    </cfRule>
  </conditionalFormatting>
  <conditionalFormatting sqref="O227:P227">
    <cfRule type="expression" dxfId="0" priority="124" stopIfTrue="1">
      <formula>"esterreur(reference)"</formula>
    </cfRule>
  </conditionalFormatting>
  <conditionalFormatting sqref="O229:P231">
    <cfRule type="expression" dxfId="0" priority="125" stopIfTrue="1">
      <formula>"esterreur(reference)"</formula>
    </cfRule>
  </conditionalFormatting>
  <conditionalFormatting sqref="O237:P237">
    <cfRule type="expression" dxfId="0" priority="126" stopIfTrue="1">
      <formula>"esterreur(reference)"</formula>
    </cfRule>
  </conditionalFormatting>
  <conditionalFormatting sqref="O239:P239">
    <cfRule type="expression" dxfId="0" priority="127" stopIfTrue="1">
      <formula>"esterreur(reference)"</formula>
    </cfRule>
  </conditionalFormatting>
  <conditionalFormatting sqref="O276:P303">
    <cfRule type="expression" dxfId="0" priority="128" stopIfTrue="1">
      <formula>"esterreur(reference)"</formula>
    </cfRule>
  </conditionalFormatting>
  <conditionalFormatting sqref="O305:P305">
    <cfRule type="expression" dxfId="0" priority="129" stopIfTrue="1">
      <formula>"esterreur(reference)"</formula>
    </cfRule>
  </conditionalFormatting>
  <conditionalFormatting sqref="O307:P307">
    <cfRule type="expression" dxfId="0" priority="130" stopIfTrue="1">
      <formula>"esterreur(reference)"</formula>
    </cfRule>
  </conditionalFormatting>
  <conditionalFormatting sqref="O327:P327">
    <cfRule type="expression" dxfId="0" priority="131" stopIfTrue="1">
      <formula>"esterreur(reference)"</formula>
    </cfRule>
  </conditionalFormatting>
  <conditionalFormatting sqref="O330:P342">
    <cfRule type="expression" dxfId="0" priority="132" stopIfTrue="1">
      <formula>"esterreur(reference)"</formula>
    </cfRule>
  </conditionalFormatting>
  <conditionalFormatting sqref="O361:P361">
    <cfRule type="expression" dxfId="0" priority="133" stopIfTrue="1">
      <formula>"esterreur(reference)"</formula>
    </cfRule>
  </conditionalFormatting>
  <conditionalFormatting sqref="O363:P363">
    <cfRule type="expression" dxfId="0" priority="134" stopIfTrue="1">
      <formula>"esterreur(reference)"</formula>
    </cfRule>
  </conditionalFormatting>
  <conditionalFormatting sqref="O365:P365">
    <cfRule type="expression" dxfId="0" priority="135" stopIfTrue="1">
      <formula>"esterreur(reference)"</formula>
    </cfRule>
  </conditionalFormatting>
  <conditionalFormatting sqref="O371:P379 O380:Q382 O383:P384 O385:Q389 O392:Q405 O428:Q428">
    <cfRule type="expression" dxfId="0" priority="136" stopIfTrue="1">
      <formula>"esterreur(reference)"</formula>
    </cfRule>
  </conditionalFormatting>
  <conditionalFormatting sqref="O406:P425">
    <cfRule type="expression" dxfId="0" priority="137" stopIfTrue="1">
      <formula>"esterreur(reference)"</formula>
    </cfRule>
  </conditionalFormatting>
  <conditionalFormatting sqref="O427:P427">
    <cfRule type="expression" dxfId="0" priority="138" stopIfTrue="1">
      <formula>"esterreur(reference)"</formula>
    </cfRule>
  </conditionalFormatting>
  <conditionalFormatting sqref="O429:P429">
    <cfRule type="expression" dxfId="0" priority="139" stopIfTrue="1">
      <formula>"esterreur(reference)"</formula>
    </cfRule>
  </conditionalFormatting>
  <conditionalFormatting sqref="O464:P464">
    <cfRule type="expression" dxfId="0" priority="140" stopIfTrue="1">
      <formula>"esterreur(reference)"</formula>
    </cfRule>
  </conditionalFormatting>
  <conditionalFormatting sqref="O482:P482">
    <cfRule type="expression" dxfId="0" priority="141" stopIfTrue="1">
      <formula>"esterreur(reference)"</formula>
    </cfRule>
  </conditionalFormatting>
  <conditionalFormatting sqref="O484:P484">
    <cfRule type="expression" dxfId="0" priority="142" stopIfTrue="1">
      <formula>"esterreur(reference)"</formula>
    </cfRule>
  </conditionalFormatting>
  <conditionalFormatting sqref="O486:P486">
    <cfRule type="expression" dxfId="0" priority="143" stopIfTrue="1">
      <formula>"esterreur(reference)"</formula>
    </cfRule>
  </conditionalFormatting>
  <conditionalFormatting sqref="O53:Q53 O55:Q71">
    <cfRule type="expression" dxfId="0" priority="144" stopIfTrue="1">
      <formula>"esterreur(reference)"</formula>
    </cfRule>
  </conditionalFormatting>
  <conditionalFormatting sqref="O180:Q181">
    <cfRule type="expression" dxfId="0" priority="145" stopIfTrue="1">
      <formula>"esterreur(reference)"</formula>
    </cfRule>
  </conditionalFormatting>
  <conditionalFormatting sqref="O436:Q436">
    <cfRule type="expression" dxfId="0" priority="146" stopIfTrue="1">
      <formula>"esterreur(reference)"</formula>
    </cfRule>
  </conditionalFormatting>
  <conditionalFormatting sqref="O447:Q447 O450:Q463 O465:Q481">
    <cfRule type="expression" dxfId="0" priority="147" stopIfTrue="1">
      <formula>"esterreur(reference)"</formula>
    </cfRule>
  </conditionalFormatting>
  <conditionalFormatting sqref="O483:Q483 O485:Q485">
    <cfRule type="expression" dxfId="0" priority="148" stopIfTrue="1">
      <formula>"esterreur(reference)"</formula>
    </cfRule>
  </conditionalFormatting>
  <conditionalFormatting sqref="P5:Q5">
    <cfRule type="expression" dxfId="0" priority="149" stopIfTrue="1">
      <formula>"esterreur(reference)"</formula>
    </cfRule>
  </conditionalFormatting>
  <conditionalFormatting sqref="O328:Q329 O343:Q360 O364:Q364 P315:Q315 P317:Q318">
    <cfRule type="expression" dxfId="0" priority="150" stopIfTrue="1">
      <formula>"esterreur(reference)"</formula>
    </cfRule>
  </conditionalFormatting>
  <conditionalFormatting sqref="P321:Q321">
    <cfRule type="expression" dxfId="0" priority="151" stopIfTrue="1">
      <formula>"esterreur(reference)"</formula>
    </cfRule>
  </conditionalFormatting>
  <conditionalFormatting sqref="P437:Q437 P439:Q440">
    <cfRule type="expression" dxfId="0" priority="152" stopIfTrue="1">
      <formula>"esterreur(reference)"</formula>
    </cfRule>
  </conditionalFormatting>
  <conditionalFormatting sqref="P443:Q443">
    <cfRule type="expression" dxfId="0" priority="153" stopIfTrue="1">
      <formula>"esterreur(reference)"</formula>
    </cfRule>
  </conditionalFormatting>
  <conditionalFormatting sqref="O13:O14 O18:O24 O25:Q26 O27 O28:Q30 O31:P36 O37 O38:P52 O83:P83 O84:Q84 Q6:Q14">
    <cfRule type="expression" dxfId="0" priority="154" stopIfTrue="1">
      <formula>"esterreur(reference)"</formula>
    </cfRule>
  </conditionalFormatting>
  <conditionalFormatting sqref="Q75:Q82">
    <cfRule type="expression" dxfId="0" priority="155" stopIfTrue="1">
      <formula>"esterreur(reference)"</formula>
    </cfRule>
  </conditionalFormatting>
  <conditionalFormatting sqref="Q157:Q163">
    <cfRule type="expression" dxfId="0" priority="156" stopIfTrue="1">
      <formula>"esterreur(reference)"</formula>
    </cfRule>
  </conditionalFormatting>
  <conditionalFormatting sqref="Q230:Q236">
    <cfRule type="expression" dxfId="0" priority="157" stopIfTrue="1">
      <formula>"esterreur(reference)"</formula>
    </cfRule>
  </conditionalFormatting>
  <conditionalFormatting sqref="Q259">
    <cfRule type="expression" dxfId="0" priority="158" stopIfTrue="1">
      <formula>"esterreur(reference)"</formula>
    </cfRule>
  </conditionalFormatting>
  <conditionalFormatting sqref="Q272:Q283">
    <cfRule type="expression" dxfId="0" priority="159" stopIfTrue="1">
      <formula>"esterreur(reference)"</formula>
    </cfRule>
  </conditionalFormatting>
  <conditionalFormatting sqref="Q285:Q302">
    <cfRule type="expression" dxfId="0" priority="160" stopIfTrue="1">
      <formula>"esterreur(reference)"</formula>
    </cfRule>
  </conditionalFormatting>
  <conditionalFormatting sqref="Q324">
    <cfRule type="expression" dxfId="0" priority="161" stopIfTrue="1">
      <formula>"esterreur(reference)"</formula>
    </cfRule>
  </conditionalFormatting>
  <conditionalFormatting sqref="Q330:Q341">
    <cfRule type="expression" dxfId="0" priority="162" stopIfTrue="1">
      <formula>"esterreur(reference)"</formula>
    </cfRule>
  </conditionalFormatting>
  <conditionalFormatting sqref="Q422:Q424">
    <cfRule type="expression" dxfId="0" priority="163" stopIfTrue="1">
      <formula>"esterreur(reference)"</formula>
    </cfRule>
  </conditionalFormatting>
  <conditionalFormatting sqref="Q446">
    <cfRule type="expression" dxfId="0" priority="164" stopIfTrue="1">
      <formula>"esterreur(reference)"</formula>
    </cfRule>
  </conditionalFormatting>
  <conditionalFormatting sqref="R388">
    <cfRule type="expression" dxfId="0" priority="165" stopIfTrue="1">
      <formula>"esterreur(reference)"</formula>
    </cfRule>
  </conditionalFormatting>
  <conditionalFormatting sqref="S260">
    <cfRule type="expression" dxfId="0" priority="166" stopIfTrue="1">
      <formula>"esterreur(reference)"</formula>
    </cfRule>
  </conditionalFormatting>
  <conditionalFormatting sqref="AG496:AI505 AH507:AI519 AH521:AI538 AH540:AI547 AH548:AH549 AH550:AI552 AH554:AI554 AH578:AI584">
    <cfRule type="cellIs" dxfId="1" priority="167" operator="greaterThan">
      <formula>0</formula>
    </cfRule>
  </conditionalFormatting>
  <conditionalFormatting sqref="AH556:AI563 AH567:AI567">
    <cfRule type="cellIs" dxfId="1" priority="168" operator="lessThan">
      <formula>0</formula>
    </cfRule>
  </conditionalFormatting>
  <conditionalFormatting sqref="AH564:AI566">
    <cfRule type="cellIs" dxfId="1" priority="169" operator="greaterThan">
      <formula>0</formula>
    </cfRule>
  </conditionalFormatting>
  <conditionalFormatting sqref="AO496:AO505">
    <cfRule type="cellIs" dxfId="1" priority="170" operator="greaterThan">
      <formula>0</formula>
    </cfRule>
  </conditionalFormatting>
  <printOptions horizontalCentered="1"/>
  <pageMargins bottom="0.31496062992125984" footer="0.0" header="0.0" left="0.2362204724409449" right="0.2362204724409449" top="0.2362204724409449"/>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sheetViews>
  <sheetFormatPr customHeight="1" defaultColWidth="12.63" defaultRowHeight="15.0"/>
  <cols>
    <col customWidth="1" min="1" max="1" width="5.38"/>
    <col customWidth="1" min="2" max="2" width="22.63"/>
    <col customWidth="1" min="3" max="3" width="39.38"/>
    <col customWidth="1" hidden="1" min="4" max="5" width="11.63"/>
    <col customWidth="1" hidden="1" min="6" max="6" width="13.88"/>
    <col customWidth="1" hidden="1" min="7" max="9" width="11.63"/>
    <col customWidth="1" min="10" max="12" width="17.25"/>
    <col customWidth="1" hidden="1" min="13" max="13" width="18.25"/>
    <col customWidth="1" hidden="1" min="14" max="14" width="13.38"/>
    <col customWidth="1" min="15" max="19" width="17.25"/>
    <col customWidth="1" min="20" max="21" width="11.63"/>
    <col customWidth="1" min="22" max="22" width="42.38"/>
    <col customWidth="1" hidden="1" min="23" max="29" width="11.63"/>
    <col customWidth="1" min="30" max="30" width="14.5"/>
    <col customWidth="1" min="31" max="31" width="14.88"/>
    <col customWidth="1" min="32" max="32" width="15.0"/>
    <col customWidth="1" hidden="1" min="33" max="35" width="11.63"/>
    <col customWidth="1" min="36" max="36" width="13.5"/>
    <col customWidth="1" min="37" max="37" width="13.38"/>
    <col customWidth="1" min="38" max="38" width="15.38"/>
    <col customWidth="1" min="39" max="39" width="13.5"/>
    <col customWidth="1" min="40" max="40" width="13.88"/>
    <col customWidth="1" min="41" max="41" width="14.13"/>
    <col customWidth="1" min="42" max="61" width="11.63"/>
  </cols>
  <sheetData>
    <row r="1" ht="14.25" customHeight="1">
      <c r="B1" s="38"/>
      <c r="C1" s="450" t="s">
        <v>1</v>
      </c>
      <c r="D1" s="451"/>
      <c r="E1" s="452"/>
      <c r="F1" s="451"/>
      <c r="G1" s="451"/>
      <c r="H1" s="450"/>
      <c r="I1" s="451"/>
      <c r="J1" s="450"/>
      <c r="K1" s="453" t="s">
        <v>90</v>
      </c>
      <c r="L1" s="451"/>
      <c r="M1" s="451"/>
      <c r="N1" s="454"/>
      <c r="O1" s="450"/>
      <c r="P1" s="451"/>
      <c r="Q1" s="450"/>
      <c r="R1" s="451"/>
      <c r="S1" s="455" t="s">
        <v>1110</v>
      </c>
      <c r="T1" s="796" t="s">
        <v>768</v>
      </c>
      <c r="U1" s="38"/>
      <c r="V1" s="38"/>
      <c r="W1" s="38"/>
      <c r="X1" s="38"/>
      <c r="Y1" s="38"/>
      <c r="Z1" s="38"/>
      <c r="AA1" s="38"/>
      <c r="AB1" s="38"/>
      <c r="AC1" s="38"/>
      <c r="AD1" s="38"/>
      <c r="AE1" s="38"/>
      <c r="AF1" s="38"/>
      <c r="AG1" s="38"/>
      <c r="AH1" s="38"/>
      <c r="AI1" s="38"/>
      <c r="AJ1" s="38"/>
      <c r="AK1" s="38"/>
      <c r="AL1" s="38"/>
      <c r="AM1" s="38"/>
      <c r="AN1" s="38"/>
    </row>
    <row r="2" ht="15.0" customHeight="1">
      <c r="B2" s="3"/>
      <c r="C2" s="39"/>
      <c r="D2" s="458" t="s">
        <v>769</v>
      </c>
      <c r="E2" s="458" t="s">
        <v>770</v>
      </c>
      <c r="F2" s="458" t="s">
        <v>771</v>
      </c>
      <c r="G2" s="458" t="s">
        <v>769</v>
      </c>
      <c r="H2" s="458" t="s">
        <v>770</v>
      </c>
      <c r="I2" s="458" t="s">
        <v>771</v>
      </c>
      <c r="J2" s="458"/>
      <c r="K2" s="458"/>
      <c r="L2" s="458"/>
      <c r="M2" s="40"/>
      <c r="N2" s="40"/>
      <c r="O2" s="458"/>
      <c r="P2" s="458"/>
      <c r="Q2" s="458"/>
      <c r="R2" s="40"/>
      <c r="S2" s="40"/>
      <c r="T2" s="40"/>
      <c r="U2" s="40"/>
      <c r="V2" s="801"/>
      <c r="W2" s="460"/>
    </row>
    <row r="3" ht="14.25" customHeight="1">
      <c r="B3" s="48"/>
      <c r="C3" s="461"/>
      <c r="D3" s="462" t="s">
        <v>774</v>
      </c>
      <c r="E3" s="44"/>
      <c r="F3" s="45"/>
      <c r="G3" s="463" t="s">
        <v>1111</v>
      </c>
      <c r="H3" s="44"/>
      <c r="I3" s="45"/>
      <c r="J3" s="463" t="s">
        <v>775</v>
      </c>
      <c r="K3" s="44"/>
      <c r="L3" s="45"/>
      <c r="M3" s="463" t="s">
        <v>776</v>
      </c>
      <c r="N3" s="45"/>
      <c r="O3" s="462" t="s">
        <v>777</v>
      </c>
      <c r="P3" s="44"/>
      <c r="Q3" s="45"/>
      <c r="R3" s="463" t="s">
        <v>778</v>
      </c>
      <c r="S3" s="45"/>
      <c r="T3" s="48"/>
      <c r="U3" s="48"/>
      <c r="V3" s="802"/>
      <c r="W3" s="465"/>
      <c r="X3" s="48"/>
      <c r="Y3" s="48"/>
      <c r="Z3" s="48"/>
      <c r="AA3" s="48"/>
      <c r="AB3" s="48"/>
      <c r="AC3" s="48"/>
      <c r="AD3" s="48"/>
      <c r="AE3" s="48"/>
      <c r="AF3" s="48"/>
      <c r="AG3" s="48"/>
      <c r="AH3" s="48"/>
      <c r="AI3" s="48"/>
      <c r="AJ3" s="48"/>
      <c r="AK3" s="48"/>
      <c r="AL3" s="48"/>
      <c r="AM3" s="48"/>
      <c r="AN3" s="48"/>
    </row>
    <row r="4" ht="14.25" customHeight="1">
      <c r="B4" s="48"/>
      <c r="C4" s="466"/>
      <c r="D4" s="467" t="s">
        <v>93</v>
      </c>
      <c r="E4" s="468" t="s">
        <v>780</v>
      </c>
      <c r="F4" s="469" t="s">
        <v>95</v>
      </c>
      <c r="G4" s="470" t="s">
        <v>93</v>
      </c>
      <c r="H4" s="468" t="s">
        <v>780</v>
      </c>
      <c r="I4" s="469" t="s">
        <v>95</v>
      </c>
      <c r="J4" s="470" t="s">
        <v>93</v>
      </c>
      <c r="K4" s="468" t="s">
        <v>94</v>
      </c>
      <c r="L4" s="469" t="s">
        <v>95</v>
      </c>
      <c r="M4" s="470" t="s">
        <v>1112</v>
      </c>
      <c r="N4" s="469" t="s">
        <v>95</v>
      </c>
      <c r="O4" s="470" t="s">
        <v>93</v>
      </c>
      <c r="P4" s="468" t="s">
        <v>94</v>
      </c>
      <c r="Q4" s="469" t="s">
        <v>95</v>
      </c>
      <c r="R4" s="470" t="s">
        <v>93</v>
      </c>
      <c r="S4" s="469" t="s">
        <v>95</v>
      </c>
      <c r="T4" s="48"/>
      <c r="U4" s="48"/>
      <c r="V4" s="802"/>
      <c r="W4" s="465"/>
      <c r="X4" s="48"/>
      <c r="Y4" s="48"/>
      <c r="Z4" s="48"/>
      <c r="AA4" s="48"/>
      <c r="AB4" s="48"/>
      <c r="AC4" s="48"/>
      <c r="AD4" s="48"/>
      <c r="AE4" s="48"/>
      <c r="AF4" s="48"/>
      <c r="AG4" s="48"/>
      <c r="AH4" s="48"/>
      <c r="AI4" s="48"/>
      <c r="AJ4" s="48"/>
      <c r="AK4" s="48"/>
      <c r="AL4" s="48"/>
      <c r="AM4" s="48"/>
      <c r="AN4" s="48"/>
    </row>
    <row r="5" ht="14.25" customHeight="1">
      <c r="A5" s="5" t="str">
        <f t="shared" ref="A5:A85" si="1">+B5&amp;C5</f>
        <v>Véhicules neufsVentes nettes</v>
      </c>
      <c r="B5" s="48" t="str">
        <f t="shared" ref="B5:B85" si="2">+$K$1</f>
        <v>Véhicules neufs</v>
      </c>
      <c r="C5" s="471" t="s">
        <v>96</v>
      </c>
      <c r="D5" s="472"/>
      <c r="E5" s="472"/>
      <c r="F5" s="473">
        <v>0.0</v>
      </c>
      <c r="G5" s="472"/>
      <c r="H5" s="472"/>
      <c r="I5" s="474">
        <v>0.0</v>
      </c>
      <c r="J5" s="471"/>
      <c r="K5" s="475"/>
      <c r="L5" s="476">
        <v>4.14230286E7</v>
      </c>
      <c r="M5" s="477"/>
      <c r="N5" s="478"/>
      <c r="O5" s="471"/>
      <c r="P5" s="475"/>
      <c r="Q5" s="476">
        <v>5.382340241E7</v>
      </c>
      <c r="R5" s="477"/>
      <c r="S5" s="479"/>
      <c r="T5" s="48"/>
      <c r="U5" s="48"/>
      <c r="V5" s="802"/>
      <c r="W5" s="465"/>
      <c r="X5" s="48"/>
      <c r="Y5" s="48"/>
      <c r="Z5" s="48"/>
      <c r="AA5" s="48"/>
      <c r="AB5" s="48"/>
      <c r="AC5" s="48"/>
      <c r="AD5" s="48"/>
      <c r="AE5" s="48"/>
      <c r="AF5" s="48"/>
      <c r="AG5" s="48"/>
      <c r="AH5" s="48"/>
      <c r="AI5" s="48"/>
      <c r="AJ5" s="48"/>
      <c r="AK5" s="48"/>
      <c r="AL5" s="48"/>
      <c r="AM5" s="48"/>
      <c r="AN5" s="48"/>
    </row>
    <row r="6" ht="14.25" customHeight="1">
      <c r="A6" s="5" t="str">
        <f t="shared" si="1"/>
        <v>Véhicules neufsAutos détail</v>
      </c>
      <c r="B6" s="48" t="str">
        <f t="shared" si="2"/>
        <v>Véhicules neufs</v>
      </c>
      <c r="C6" s="480" t="s">
        <v>97</v>
      </c>
      <c r="D6" s="481">
        <v>0.0</v>
      </c>
      <c r="E6" s="481">
        <f t="shared" ref="E6:E12" si="3">IF(D6=0,0,F6/D6)</f>
        <v>0</v>
      </c>
      <c r="F6" s="481">
        <v>0.0</v>
      </c>
      <c r="G6" s="482">
        <v>0.0</v>
      </c>
      <c r="H6" s="481">
        <f t="shared" ref="H6:H12" si="4">IF(G6=0,0,I6/G6)</f>
        <v>0</v>
      </c>
      <c r="I6" s="481">
        <v>0.0</v>
      </c>
      <c r="J6" s="482">
        <v>3.0</v>
      </c>
      <c r="K6" s="483">
        <f t="shared" ref="K6:K12" si="5">IF(J6=0,0,L6/J6)</f>
        <v>3529.17</v>
      </c>
      <c r="L6" s="484">
        <v>10587.51000000001</v>
      </c>
      <c r="M6" s="482">
        <f t="shared" ref="M6:M12" si="6">J6-D6</f>
        <v>3</v>
      </c>
      <c r="N6" s="485">
        <f t="shared" ref="N6:N12" si="7">L6-F6</f>
        <v>10587.51</v>
      </c>
      <c r="O6" s="482">
        <v>4.0</v>
      </c>
      <c r="P6" s="483">
        <f t="shared" ref="P6:P12" si="8">IF(O6=0,0,Q6/O6)</f>
        <v>4234.675</v>
      </c>
      <c r="Q6" s="484">
        <v>16938.70000000001</v>
      </c>
      <c r="R6" s="482">
        <f t="shared" ref="R6:R12" si="9">J6-O6</f>
        <v>-1</v>
      </c>
      <c r="S6" s="484">
        <f t="shared" ref="S6:S12" si="10">L6-Q6</f>
        <v>-6351.19</v>
      </c>
      <c r="T6" s="48"/>
      <c r="U6" s="48"/>
      <c r="V6" s="802"/>
      <c r="W6" s="465"/>
      <c r="X6" s="48"/>
      <c r="Y6" s="48"/>
      <c r="Z6" s="48"/>
      <c r="AA6" s="48"/>
      <c r="AB6" s="48"/>
      <c r="AC6" s="48"/>
      <c r="AD6" s="48"/>
      <c r="AE6" s="48"/>
      <c r="AF6" s="48"/>
      <c r="AG6" s="48"/>
      <c r="AH6" s="48"/>
      <c r="AI6" s="48"/>
      <c r="AJ6" s="48"/>
      <c r="AK6" s="48"/>
      <c r="AL6" s="48"/>
      <c r="AM6" s="48"/>
      <c r="AN6" s="48"/>
    </row>
    <row r="7" ht="14.25" customHeight="1">
      <c r="A7" s="5" t="str">
        <f t="shared" si="1"/>
        <v>Véhicules neufsCamions détail</v>
      </c>
      <c r="B7" s="48" t="str">
        <f t="shared" si="2"/>
        <v>Véhicules neufs</v>
      </c>
      <c r="C7" s="480" t="s">
        <v>98</v>
      </c>
      <c r="D7" s="481">
        <v>0.0</v>
      </c>
      <c r="E7" s="481">
        <f t="shared" si="3"/>
        <v>0</v>
      </c>
      <c r="F7" s="481">
        <v>0.0</v>
      </c>
      <c r="G7" s="482">
        <v>0.0</v>
      </c>
      <c r="H7" s="481">
        <f t="shared" si="4"/>
        <v>0</v>
      </c>
      <c r="I7" s="481">
        <v>0.0</v>
      </c>
      <c r="J7" s="482">
        <v>96.0</v>
      </c>
      <c r="K7" s="483">
        <f t="shared" si="5"/>
        <v>2226.670104</v>
      </c>
      <c r="L7" s="484">
        <v>213760.32999999987</v>
      </c>
      <c r="M7" s="482">
        <f t="shared" si="6"/>
        <v>96</v>
      </c>
      <c r="N7" s="485">
        <f t="shared" si="7"/>
        <v>213760.33</v>
      </c>
      <c r="O7" s="482">
        <v>140.0</v>
      </c>
      <c r="P7" s="483">
        <f t="shared" si="8"/>
        <v>3036.789214</v>
      </c>
      <c r="Q7" s="484">
        <v>425150.4900000002</v>
      </c>
      <c r="R7" s="482">
        <f t="shared" si="9"/>
        <v>-44</v>
      </c>
      <c r="S7" s="484">
        <f t="shared" si="10"/>
        <v>-211390.16</v>
      </c>
      <c r="T7" s="48"/>
      <c r="U7" s="48"/>
      <c r="V7" s="802"/>
      <c r="W7" s="465"/>
      <c r="X7" s="48"/>
      <c r="Y7" s="48"/>
      <c r="Z7" s="48"/>
      <c r="AA7" s="48"/>
      <c r="AB7" s="48"/>
      <c r="AC7" s="48"/>
      <c r="AD7" s="48"/>
      <c r="AE7" s="48"/>
      <c r="AF7" s="48"/>
      <c r="AG7" s="48"/>
      <c r="AH7" s="48"/>
      <c r="AI7" s="48"/>
      <c r="AJ7" s="48"/>
      <c r="AK7" s="48"/>
      <c r="AL7" s="48"/>
      <c r="AM7" s="48"/>
      <c r="AN7" s="48"/>
    </row>
    <row r="8" ht="14.25" customHeight="1">
      <c r="A8" s="5" t="str">
        <f t="shared" si="1"/>
        <v>Véhicules neufsSprinter</v>
      </c>
      <c r="B8" s="48" t="str">
        <f t="shared" si="2"/>
        <v>Véhicules neufs</v>
      </c>
      <c r="C8" s="480" t="s">
        <v>99</v>
      </c>
      <c r="D8" s="481">
        <v>0.0</v>
      </c>
      <c r="E8" s="481">
        <f t="shared" si="3"/>
        <v>0</v>
      </c>
      <c r="F8" s="481">
        <v>0.0</v>
      </c>
      <c r="G8" s="482">
        <v>0.0</v>
      </c>
      <c r="H8" s="481">
        <f t="shared" si="4"/>
        <v>0</v>
      </c>
      <c r="I8" s="481">
        <v>0.0</v>
      </c>
      <c r="J8" s="482">
        <v>0.0</v>
      </c>
      <c r="K8" s="483">
        <f t="shared" si="5"/>
        <v>0</v>
      </c>
      <c r="L8" s="484">
        <v>0.0</v>
      </c>
      <c r="M8" s="482">
        <f t="shared" si="6"/>
        <v>0</v>
      </c>
      <c r="N8" s="485">
        <f t="shared" si="7"/>
        <v>0</v>
      </c>
      <c r="O8" s="482">
        <v>0.0</v>
      </c>
      <c r="P8" s="483">
        <f t="shared" si="8"/>
        <v>0</v>
      </c>
      <c r="Q8" s="484">
        <v>0.0</v>
      </c>
      <c r="R8" s="482">
        <f t="shared" si="9"/>
        <v>0</v>
      </c>
      <c r="S8" s="484">
        <f t="shared" si="10"/>
        <v>0</v>
      </c>
      <c r="T8" s="48"/>
      <c r="U8" s="48"/>
      <c r="V8" s="803"/>
      <c r="W8" s="488"/>
      <c r="X8" s="48"/>
      <c r="Y8" s="48"/>
      <c r="Z8" s="48"/>
      <c r="AA8" s="48"/>
      <c r="AB8" s="48"/>
      <c r="AC8" s="48"/>
      <c r="AD8" s="48"/>
      <c r="AE8" s="48"/>
      <c r="AF8" s="48"/>
      <c r="AG8" s="48"/>
      <c r="AH8" s="48"/>
      <c r="AI8" s="48"/>
      <c r="AJ8" s="48"/>
      <c r="AK8" s="48"/>
      <c r="AL8" s="48"/>
      <c r="AM8" s="48"/>
      <c r="AN8" s="48"/>
    </row>
    <row r="9" ht="14.25" customHeight="1">
      <c r="A9" s="5" t="str">
        <f t="shared" si="1"/>
        <v>Véhicules neufsMoto détail</v>
      </c>
      <c r="B9" s="48" t="str">
        <f t="shared" si="2"/>
        <v>Véhicules neufs</v>
      </c>
      <c r="C9" s="480" t="s">
        <v>100</v>
      </c>
      <c r="D9" s="481">
        <v>0.0</v>
      </c>
      <c r="E9" s="481">
        <f t="shared" si="3"/>
        <v>0</v>
      </c>
      <c r="F9" s="481">
        <v>0.0</v>
      </c>
      <c r="G9" s="482">
        <v>0.0</v>
      </c>
      <c r="H9" s="481">
        <f t="shared" si="4"/>
        <v>0</v>
      </c>
      <c r="I9" s="481">
        <v>0.0</v>
      </c>
      <c r="J9" s="482">
        <v>52.0</v>
      </c>
      <c r="K9" s="483">
        <f t="shared" si="5"/>
        <v>1347.059808</v>
      </c>
      <c r="L9" s="484">
        <v>70047.10999999987</v>
      </c>
      <c r="M9" s="482">
        <f t="shared" si="6"/>
        <v>52</v>
      </c>
      <c r="N9" s="485">
        <f t="shared" si="7"/>
        <v>70047.11</v>
      </c>
      <c r="O9" s="482">
        <v>77.0</v>
      </c>
      <c r="P9" s="483">
        <f t="shared" si="8"/>
        <v>950.0002597</v>
      </c>
      <c r="Q9" s="484">
        <v>73150.0200000002</v>
      </c>
      <c r="R9" s="482">
        <f t="shared" si="9"/>
        <v>-25</v>
      </c>
      <c r="S9" s="484">
        <f t="shared" si="10"/>
        <v>-3102.91</v>
      </c>
      <c r="T9" s="48"/>
      <c r="U9" s="48"/>
      <c r="V9" s="48"/>
      <c r="W9" s="48"/>
      <c r="X9" s="48"/>
      <c r="Y9" s="48"/>
      <c r="Z9" s="48"/>
      <c r="AA9" s="48"/>
      <c r="AB9" s="48"/>
      <c r="AC9" s="48"/>
      <c r="AD9" s="48"/>
      <c r="AE9" s="48"/>
      <c r="AF9" s="48"/>
      <c r="AG9" s="48"/>
      <c r="AH9" s="48"/>
      <c r="AI9" s="48"/>
      <c r="AJ9" s="48"/>
      <c r="AK9" s="48"/>
      <c r="AL9" s="48"/>
      <c r="AM9" s="48"/>
      <c r="AN9" s="48"/>
    </row>
    <row r="10" ht="20.25" hidden="1" customHeight="1">
      <c r="A10" s="5" t="str">
        <f t="shared" si="1"/>
        <v>Véhicules neufs[...]</v>
      </c>
      <c r="B10" s="48" t="str">
        <f t="shared" si="2"/>
        <v>Véhicules neufs</v>
      </c>
      <c r="C10" s="480" t="s">
        <v>56</v>
      </c>
      <c r="D10" s="481">
        <v>0.0</v>
      </c>
      <c r="E10" s="481">
        <f t="shared" si="3"/>
        <v>0</v>
      </c>
      <c r="F10" s="481">
        <v>0.0</v>
      </c>
      <c r="G10" s="482">
        <v>0.0</v>
      </c>
      <c r="H10" s="481">
        <f t="shared" si="4"/>
        <v>0</v>
      </c>
      <c r="I10" s="481">
        <v>0.0</v>
      </c>
      <c r="J10" s="482">
        <v>0.0</v>
      </c>
      <c r="K10" s="483">
        <f t="shared" si="5"/>
        <v>0</v>
      </c>
      <c r="L10" s="484">
        <v>0.0</v>
      </c>
      <c r="M10" s="482">
        <f t="shared" si="6"/>
        <v>0</v>
      </c>
      <c r="N10" s="485">
        <f t="shared" si="7"/>
        <v>0</v>
      </c>
      <c r="O10" s="482">
        <v>0.0</v>
      </c>
      <c r="P10" s="483">
        <f t="shared" si="8"/>
        <v>0</v>
      </c>
      <c r="Q10" s="484">
        <v>0.0</v>
      </c>
      <c r="R10" s="482">
        <f t="shared" si="9"/>
        <v>0</v>
      </c>
      <c r="S10" s="484">
        <f t="shared" si="10"/>
        <v>0</v>
      </c>
      <c r="T10" s="48"/>
      <c r="U10" s="48"/>
      <c r="V10" s="48"/>
      <c r="W10" s="48"/>
      <c r="X10" s="48"/>
      <c r="Y10" s="48"/>
      <c r="Z10" s="48"/>
      <c r="AA10" s="48"/>
      <c r="AB10" s="48"/>
      <c r="AC10" s="48"/>
      <c r="AD10" s="48"/>
      <c r="AE10" s="48"/>
      <c r="AF10" s="48"/>
      <c r="AG10" s="48"/>
      <c r="AH10" s="48"/>
      <c r="AI10" s="48"/>
      <c r="AJ10" s="48"/>
      <c r="AK10" s="48"/>
      <c r="AL10" s="48"/>
      <c r="AM10" s="48"/>
      <c r="AN10" s="48"/>
    </row>
    <row r="11" ht="20.25" hidden="1" customHeight="1">
      <c r="A11" s="5" t="str">
        <f t="shared" si="1"/>
        <v>Véhicules neufs[...]</v>
      </c>
      <c r="B11" s="48" t="str">
        <f t="shared" si="2"/>
        <v>Véhicules neufs</v>
      </c>
      <c r="C11" s="480" t="s">
        <v>56</v>
      </c>
      <c r="D11" s="481">
        <v>0.0</v>
      </c>
      <c r="E11" s="481">
        <f t="shared" si="3"/>
        <v>0</v>
      </c>
      <c r="F11" s="481">
        <v>0.0</v>
      </c>
      <c r="G11" s="482">
        <v>0.0</v>
      </c>
      <c r="H11" s="481">
        <f t="shared" si="4"/>
        <v>0</v>
      </c>
      <c r="I11" s="481">
        <v>0.0</v>
      </c>
      <c r="J11" s="482">
        <v>0.0</v>
      </c>
      <c r="K11" s="483">
        <f t="shared" si="5"/>
        <v>0</v>
      </c>
      <c r="L11" s="484">
        <v>0.0</v>
      </c>
      <c r="M11" s="482">
        <f t="shared" si="6"/>
        <v>0</v>
      </c>
      <c r="N11" s="485">
        <f t="shared" si="7"/>
        <v>0</v>
      </c>
      <c r="O11" s="482">
        <v>0.0</v>
      </c>
      <c r="P11" s="483">
        <f t="shared" si="8"/>
        <v>0</v>
      </c>
      <c r="Q11" s="484">
        <v>0.0</v>
      </c>
      <c r="R11" s="482">
        <f t="shared" si="9"/>
        <v>0</v>
      </c>
      <c r="S11" s="484">
        <f t="shared" si="10"/>
        <v>0</v>
      </c>
      <c r="T11" s="48"/>
      <c r="U11" s="48"/>
      <c r="V11" s="48"/>
      <c r="W11" s="48"/>
      <c r="X11" s="48"/>
      <c r="Y11" s="48"/>
      <c r="Z11" s="48"/>
      <c r="AA11" s="48"/>
      <c r="AB11" s="48"/>
      <c r="AC11" s="48"/>
      <c r="AD11" s="48"/>
      <c r="AE11" s="48"/>
      <c r="AF11" s="48"/>
      <c r="AG11" s="48"/>
      <c r="AH11" s="48"/>
      <c r="AI11" s="48"/>
      <c r="AJ11" s="48"/>
      <c r="AK11" s="48"/>
      <c r="AL11" s="48"/>
      <c r="AM11" s="48"/>
      <c r="AN11" s="48"/>
    </row>
    <row r="12" ht="20.25" hidden="1" customHeight="1">
      <c r="A12" s="5" t="str">
        <f t="shared" si="1"/>
        <v>Véhicules neufs[...]</v>
      </c>
      <c r="B12" s="48" t="str">
        <f t="shared" si="2"/>
        <v>Véhicules neufs</v>
      </c>
      <c r="C12" s="480" t="s">
        <v>56</v>
      </c>
      <c r="D12" s="481">
        <v>0.0</v>
      </c>
      <c r="E12" s="481">
        <f t="shared" si="3"/>
        <v>0</v>
      </c>
      <c r="F12" s="481">
        <v>0.0</v>
      </c>
      <c r="G12" s="482">
        <v>0.0</v>
      </c>
      <c r="H12" s="481">
        <f t="shared" si="4"/>
        <v>0</v>
      </c>
      <c r="I12" s="481">
        <v>0.0</v>
      </c>
      <c r="J12" s="482">
        <v>0.0</v>
      </c>
      <c r="K12" s="483">
        <f t="shared" si="5"/>
        <v>0</v>
      </c>
      <c r="L12" s="484">
        <v>0.0</v>
      </c>
      <c r="M12" s="482">
        <f t="shared" si="6"/>
        <v>0</v>
      </c>
      <c r="N12" s="485">
        <f t="shared" si="7"/>
        <v>0</v>
      </c>
      <c r="O12" s="482">
        <v>0.0</v>
      </c>
      <c r="P12" s="483">
        <f t="shared" si="8"/>
        <v>0</v>
      </c>
      <c r="Q12" s="484">
        <v>0.0</v>
      </c>
      <c r="R12" s="482">
        <f t="shared" si="9"/>
        <v>0</v>
      </c>
      <c r="S12" s="484">
        <f t="shared" si="10"/>
        <v>0</v>
      </c>
      <c r="T12" s="48"/>
      <c r="U12" s="48"/>
      <c r="V12" s="48"/>
      <c r="W12" s="48"/>
      <c r="X12" s="48"/>
      <c r="Y12" s="48"/>
      <c r="Z12" s="48"/>
      <c r="AA12" s="48"/>
      <c r="AB12" s="48"/>
      <c r="AC12" s="48"/>
      <c r="AD12" s="48"/>
      <c r="AE12" s="48"/>
      <c r="AF12" s="48"/>
      <c r="AG12" s="48"/>
      <c r="AH12" s="48"/>
      <c r="AI12" s="48"/>
      <c r="AJ12" s="48"/>
      <c r="AK12" s="48"/>
      <c r="AL12" s="48"/>
      <c r="AM12" s="48"/>
      <c r="AN12" s="48"/>
    </row>
    <row r="13" ht="14.25" customHeight="1">
      <c r="A13" s="5" t="str">
        <f t="shared" si="1"/>
        <v>Véhicules neufsTotal Neufs</v>
      </c>
      <c r="B13" s="48" t="str">
        <f t="shared" si="2"/>
        <v>Véhicules neufs</v>
      </c>
      <c r="C13" s="490" t="s">
        <v>101</v>
      </c>
      <c r="D13" s="491">
        <f>+SUM(D6:D12)</f>
        <v>0</v>
      </c>
      <c r="E13" s="491">
        <f>IF(D13&lt;=0,0,F13/D13)</f>
        <v>0</v>
      </c>
      <c r="F13" s="492">
        <f t="shared" ref="F13:G13" si="11">+SUM(F6:F12)</f>
        <v>0</v>
      </c>
      <c r="G13" s="493">
        <f t="shared" si="11"/>
        <v>0</v>
      </c>
      <c r="H13" s="491">
        <f>IF(G13&lt;=0,0,I13/G13)</f>
        <v>0</v>
      </c>
      <c r="I13" s="492">
        <f t="shared" ref="I13:J13" si="12">+SUM(I6:I12)</f>
        <v>0</v>
      </c>
      <c r="J13" s="493">
        <f t="shared" si="12"/>
        <v>151</v>
      </c>
      <c r="K13" s="495">
        <f>IF(J13&lt;=0,0,L13/J13)</f>
        <v>1949.63543</v>
      </c>
      <c r="L13" s="497">
        <f t="shared" ref="L13:O13" si="13">+SUM(L6:L12)</f>
        <v>294394.95</v>
      </c>
      <c r="M13" s="493">
        <f t="shared" si="13"/>
        <v>151</v>
      </c>
      <c r="N13" s="492">
        <f t="shared" si="13"/>
        <v>294394.95</v>
      </c>
      <c r="O13" s="493">
        <f t="shared" si="13"/>
        <v>221</v>
      </c>
      <c r="P13" s="495">
        <f>IF(O13&lt;=0,0,Q13/O13)</f>
        <v>2331.39914</v>
      </c>
      <c r="Q13" s="497">
        <f t="shared" ref="Q13:S13" si="14">+SUM(Q6:Q12)</f>
        <v>515239.21</v>
      </c>
      <c r="R13" s="493">
        <f t="shared" si="14"/>
        <v>-70</v>
      </c>
      <c r="S13" s="497">
        <f t="shared" si="14"/>
        <v>-220844.26</v>
      </c>
      <c r="T13" s="48"/>
      <c r="U13" s="48"/>
      <c r="V13" s="48"/>
      <c r="W13" s="48"/>
      <c r="X13" s="48"/>
      <c r="Y13" s="48"/>
      <c r="Z13" s="48"/>
      <c r="AA13" s="48"/>
      <c r="AB13" s="48"/>
      <c r="AC13" s="48"/>
      <c r="AD13" s="48"/>
      <c r="AE13" s="48"/>
      <c r="AF13" s="48"/>
      <c r="AG13" s="48"/>
      <c r="AH13" s="48"/>
      <c r="AI13" s="48"/>
      <c r="AJ13" s="48"/>
      <c r="AK13" s="48"/>
      <c r="AL13" s="48"/>
      <c r="AM13" s="48"/>
      <c r="AN13" s="48"/>
    </row>
    <row r="14" ht="14.25" customHeight="1">
      <c r="A14" s="5" t="str">
        <f t="shared" si="1"/>
        <v>Véhicules neufs</v>
      </c>
      <c r="B14" s="48" t="str">
        <f t="shared" si="2"/>
        <v>Véhicules neufs</v>
      </c>
      <c r="C14" s="500"/>
      <c r="D14" s="11"/>
      <c r="E14" s="501"/>
      <c r="F14" s="502"/>
      <c r="G14" s="500"/>
      <c r="H14" s="501"/>
      <c r="I14" s="502"/>
      <c r="J14" s="500"/>
      <c r="K14" s="503"/>
      <c r="L14" s="504"/>
      <c r="M14" s="505">
        <f>IF(D13=0,0,M13/D13)</f>
        <v>0</v>
      </c>
      <c r="N14" s="506">
        <f>IF(F13=0,0,N13/F13)</f>
        <v>0</v>
      </c>
      <c r="O14" s="500"/>
      <c r="P14" s="503"/>
      <c r="Q14" s="504"/>
      <c r="R14" s="505">
        <f>R13/O13</f>
        <v>-0.3167420814</v>
      </c>
      <c r="S14" s="507">
        <f>IF(Q13=0,0,(S13/Q13))</f>
        <v>-0.4286247159</v>
      </c>
      <c r="T14" s="48"/>
      <c r="U14" s="48"/>
      <c r="V14" s="48"/>
      <c r="W14" s="481"/>
      <c r="X14" s="481"/>
      <c r="Y14" s="48"/>
      <c r="Z14" s="48"/>
      <c r="AA14" s="48"/>
      <c r="AB14" s="48"/>
      <c r="AC14" s="48"/>
      <c r="AD14" s="48"/>
      <c r="AE14" s="48"/>
      <c r="AF14" s="48"/>
      <c r="AG14" s="48"/>
      <c r="AH14" s="48"/>
      <c r="AI14" s="48"/>
      <c r="AJ14" s="48"/>
      <c r="AK14" s="48"/>
      <c r="AL14" s="48"/>
      <c r="AM14" s="48"/>
      <c r="AN14" s="48"/>
    </row>
    <row r="15" ht="14.25" customHeight="1">
      <c r="A15" s="5" t="str">
        <f t="shared" si="1"/>
        <v>Véhicules neufsEx-Démos et courtoisies</v>
      </c>
      <c r="B15" s="48" t="str">
        <f t="shared" si="2"/>
        <v>Véhicules neufs</v>
      </c>
      <c r="C15" s="508" t="s">
        <v>102</v>
      </c>
      <c r="D15" s="509">
        <v>0.0</v>
      </c>
      <c r="E15" s="509">
        <f>IF(D15=0,0,F15/D15)</f>
        <v>0</v>
      </c>
      <c r="F15" s="510">
        <v>0.0</v>
      </c>
      <c r="G15" s="511">
        <v>0.0</v>
      </c>
      <c r="H15" s="509">
        <f>IF(G15=0,0,I15/G15)</f>
        <v>0</v>
      </c>
      <c r="I15" s="510">
        <v>0.0</v>
      </c>
      <c r="J15" s="512">
        <v>0.0</v>
      </c>
      <c r="K15" s="513">
        <f>IF(J15=0,0,L15/J15)</f>
        <v>0</v>
      </c>
      <c r="L15" s="513">
        <v>0.0</v>
      </c>
      <c r="M15" s="512">
        <f>J15-D15</f>
        <v>0</v>
      </c>
      <c r="N15" s="473">
        <f>L15-F15</f>
        <v>0</v>
      </c>
      <c r="O15" s="512">
        <v>0.0</v>
      </c>
      <c r="P15" s="513">
        <f>IF(O15=0,0,Q15/O15)</f>
        <v>0</v>
      </c>
      <c r="Q15" s="513">
        <v>0.0</v>
      </c>
      <c r="R15" s="512">
        <f>J15-O15</f>
        <v>0</v>
      </c>
      <c r="S15" s="476">
        <f>L15-Q15</f>
        <v>0</v>
      </c>
      <c r="T15" s="48"/>
      <c r="U15" s="5"/>
      <c r="V15" s="481"/>
      <c r="W15" s="48"/>
      <c r="X15" s="48"/>
      <c r="Y15" s="48"/>
      <c r="Z15" s="48"/>
      <c r="AA15" s="48"/>
      <c r="AB15" s="48"/>
      <c r="AC15" s="48"/>
      <c r="AD15" s="48"/>
      <c r="AE15" s="48"/>
      <c r="AF15" s="48"/>
      <c r="AG15" s="48"/>
      <c r="AH15" s="48"/>
      <c r="AI15" s="48"/>
      <c r="AJ15" s="48"/>
      <c r="AK15" s="48"/>
      <c r="AL15" s="48"/>
      <c r="AM15" s="48"/>
      <c r="AN15" s="48"/>
    </row>
    <row r="16" ht="14.25" customHeight="1">
      <c r="A16" s="5" t="str">
        <f t="shared" si="1"/>
        <v>Véhicules neufs</v>
      </c>
      <c r="B16" s="48" t="str">
        <f t="shared" si="2"/>
        <v>Véhicules neufs</v>
      </c>
      <c r="C16" s="480"/>
      <c r="D16" s="48"/>
      <c r="E16" s="481"/>
      <c r="F16" s="514"/>
      <c r="G16" s="480"/>
      <c r="H16" s="481"/>
      <c r="I16" s="514"/>
      <c r="J16" s="480"/>
      <c r="K16" s="483"/>
      <c r="L16" s="484"/>
      <c r="M16" s="515"/>
      <c r="N16" s="516"/>
      <c r="O16" s="480"/>
      <c r="P16" s="483"/>
      <c r="Q16" s="484"/>
      <c r="R16" s="515"/>
      <c r="S16" s="484"/>
      <c r="T16" s="48"/>
      <c r="U16" s="48"/>
      <c r="V16" s="48"/>
      <c r="W16" s="48"/>
      <c r="X16" s="48"/>
      <c r="Y16" s="48"/>
      <c r="Z16" s="48"/>
      <c r="AA16" s="48"/>
      <c r="AB16" s="48"/>
      <c r="AC16" s="48"/>
      <c r="AD16" s="48"/>
      <c r="AE16" s="48"/>
      <c r="AF16" s="48"/>
      <c r="AG16" s="48"/>
      <c r="AH16" s="48"/>
      <c r="AI16" s="48"/>
      <c r="AJ16" s="48"/>
      <c r="AK16" s="48"/>
      <c r="AL16" s="48"/>
      <c r="AM16" s="48"/>
      <c r="AN16" s="48"/>
    </row>
    <row r="17" ht="14.25" customHeight="1">
      <c r="A17" s="5" t="str">
        <f t="shared" si="1"/>
        <v>Véhicules neufsFlottes</v>
      </c>
      <c r="B17" s="48" t="str">
        <f t="shared" si="2"/>
        <v>Véhicules neufs</v>
      </c>
      <c r="C17" s="500" t="s">
        <v>103</v>
      </c>
      <c r="D17" s="501">
        <v>0.0</v>
      </c>
      <c r="E17" s="501">
        <f>IF(D17=0,0,F17/D17)</f>
        <v>0</v>
      </c>
      <c r="F17" s="501">
        <v>0.0</v>
      </c>
      <c r="G17" s="517">
        <v>0.0</v>
      </c>
      <c r="H17" s="501">
        <f>IF(G17=0,0,I17/G17)</f>
        <v>0</v>
      </c>
      <c r="I17" s="501">
        <v>0.0</v>
      </c>
      <c r="J17" s="512">
        <v>453.0</v>
      </c>
      <c r="K17" s="483">
        <f>IF(J17=0,0,L17/J17)</f>
        <v>514.8513907</v>
      </c>
      <c r="L17" s="484">
        <v>233227.6799999997</v>
      </c>
      <c r="M17" s="512">
        <f>J17-D17</f>
        <v>453</v>
      </c>
      <c r="N17" s="485">
        <f>L17-F17</f>
        <v>233227.68</v>
      </c>
      <c r="O17" s="512">
        <v>665.0</v>
      </c>
      <c r="P17" s="483">
        <f>IF(O17=0,0,Q17/O17)</f>
        <v>626.9436842</v>
      </c>
      <c r="Q17" s="484">
        <v>416917.549999997</v>
      </c>
      <c r="R17" s="482">
        <f>J17-O17</f>
        <v>-212</v>
      </c>
      <c r="S17" s="484">
        <f>L17-Q17</f>
        <v>-183689.87</v>
      </c>
      <c r="T17" s="48"/>
      <c r="U17" s="40"/>
      <c r="V17" s="797"/>
      <c r="W17" s="48"/>
      <c r="X17" s="48"/>
      <c r="Y17" s="48"/>
      <c r="Z17" s="48"/>
      <c r="AA17" s="481"/>
      <c r="AB17" s="48"/>
      <c r="AC17" s="48"/>
      <c r="AD17" s="48"/>
      <c r="AE17" s="48"/>
      <c r="AF17" s="48"/>
      <c r="AG17" s="48"/>
      <c r="AH17" s="48"/>
      <c r="AI17" s="48"/>
      <c r="AJ17" s="48"/>
      <c r="AK17" s="48"/>
      <c r="AL17" s="48"/>
      <c r="AM17" s="48"/>
      <c r="AN17" s="48"/>
    </row>
    <row r="18" ht="14.25" hidden="1" customHeight="1">
      <c r="A18" s="5" t="str">
        <f t="shared" si="1"/>
        <v>Véhicules neufs</v>
      </c>
      <c r="B18" s="48" t="str">
        <f t="shared" si="2"/>
        <v>Véhicules neufs</v>
      </c>
      <c r="C18" s="490"/>
      <c r="D18" s="519"/>
      <c r="E18" s="519"/>
      <c r="F18" s="520"/>
      <c r="G18" s="521"/>
      <c r="H18" s="519"/>
      <c r="I18" s="520"/>
      <c r="J18" s="482"/>
      <c r="K18" s="522"/>
      <c r="L18" s="523"/>
      <c r="M18" s="482"/>
      <c r="N18" s="520"/>
      <c r="O18" s="482"/>
      <c r="P18" s="522"/>
      <c r="Q18" s="523"/>
      <c r="R18" s="521"/>
      <c r="S18" s="523"/>
      <c r="T18" s="48"/>
      <c r="U18" s="48"/>
      <c r="W18" s="48"/>
      <c r="X18" s="48"/>
      <c r="Y18" s="48"/>
      <c r="Z18" s="48"/>
      <c r="AA18" s="48"/>
      <c r="AB18" s="48"/>
      <c r="AC18" s="48"/>
      <c r="AD18" s="48"/>
      <c r="AE18" s="48"/>
      <c r="AF18" s="48"/>
      <c r="AG18" s="48"/>
      <c r="AH18" s="48"/>
      <c r="AI18" s="48"/>
      <c r="AJ18" s="48"/>
      <c r="AK18" s="48"/>
      <c r="AL18" s="48"/>
      <c r="AM18" s="48"/>
      <c r="AN18" s="48"/>
    </row>
    <row r="19" ht="14.25" hidden="1" customHeight="1">
      <c r="A19" s="5" t="str">
        <f t="shared" si="1"/>
        <v>Véhicules neufsRachat bail</v>
      </c>
      <c r="B19" s="48" t="str">
        <f t="shared" si="2"/>
        <v>Véhicules neufs</v>
      </c>
      <c r="C19" s="508" t="s">
        <v>104</v>
      </c>
      <c r="D19" s="481"/>
      <c r="E19" s="481"/>
      <c r="F19" s="481">
        <v>0.0</v>
      </c>
      <c r="G19" s="482"/>
      <c r="H19" s="481"/>
      <c r="I19" s="481">
        <v>0.0</v>
      </c>
      <c r="J19" s="512"/>
      <c r="K19" s="483"/>
      <c r="L19" s="484">
        <v>0.0</v>
      </c>
      <c r="M19" s="482"/>
      <c r="N19" s="485">
        <f>L19-F19</f>
        <v>0</v>
      </c>
      <c r="O19" s="512"/>
      <c r="P19" s="483"/>
      <c r="Q19" s="484">
        <v>0.0</v>
      </c>
      <c r="R19" s="482">
        <f>O19-K19</f>
        <v>0</v>
      </c>
      <c r="S19" s="484">
        <f>L19-Q19</f>
        <v>0</v>
      </c>
      <c r="T19" s="48"/>
      <c r="W19" s="481"/>
      <c r="X19" s="524"/>
      <c r="Y19" s="48"/>
      <c r="Z19" s="48"/>
      <c r="AA19" s="48"/>
      <c r="AB19" s="48"/>
      <c r="AC19" s="48"/>
      <c r="AD19" s="48"/>
      <c r="AE19" s="48"/>
      <c r="AF19" s="48"/>
      <c r="AG19" s="48"/>
      <c r="AH19" s="48"/>
      <c r="AI19" s="48"/>
      <c r="AJ19" s="48"/>
      <c r="AK19" s="48"/>
      <c r="AL19" s="48"/>
      <c r="AM19" s="48"/>
      <c r="AN19" s="48"/>
    </row>
    <row r="20" ht="14.25" customHeight="1">
      <c r="A20" s="5" t="str">
        <f t="shared" si="1"/>
        <v>Véhicules neufs</v>
      </c>
      <c r="B20" s="48" t="str">
        <f t="shared" si="2"/>
        <v>Véhicules neufs</v>
      </c>
      <c r="C20" s="490"/>
      <c r="D20" s="519"/>
      <c r="E20" s="519"/>
      <c r="F20" s="520"/>
      <c r="G20" s="521"/>
      <c r="H20" s="519"/>
      <c r="I20" s="520"/>
      <c r="J20" s="482"/>
      <c r="K20" s="522"/>
      <c r="L20" s="523"/>
      <c r="M20" s="521"/>
      <c r="N20" s="520"/>
      <c r="O20" s="482"/>
      <c r="P20" s="522"/>
      <c r="Q20" s="523"/>
      <c r="R20" s="521"/>
      <c r="S20" s="523"/>
      <c r="T20" s="48"/>
      <c r="U20" s="48"/>
      <c r="W20" s="481"/>
      <c r="X20" s="524"/>
      <c r="Y20" s="48"/>
      <c r="Z20" s="48"/>
      <c r="AA20" s="48"/>
      <c r="AB20" s="48"/>
      <c r="AC20" s="48"/>
      <c r="AD20" s="48"/>
      <c r="AE20" s="48"/>
      <c r="AF20" s="48"/>
      <c r="AG20" s="48"/>
      <c r="AH20" s="48"/>
      <c r="AI20" s="48"/>
      <c r="AJ20" s="48"/>
      <c r="AK20" s="48"/>
      <c r="AL20" s="48"/>
      <c r="AM20" s="48"/>
      <c r="AN20" s="48"/>
    </row>
    <row r="21" ht="15.75" customHeight="1">
      <c r="A21" s="5" t="str">
        <f t="shared" si="1"/>
        <v>Véhicules neufsRev. Finances</v>
      </c>
      <c r="B21" s="48" t="str">
        <f t="shared" si="2"/>
        <v>Véhicules neufs</v>
      </c>
      <c r="C21" s="480" t="s">
        <v>105</v>
      </c>
      <c r="D21" s="481">
        <v>0.0</v>
      </c>
      <c r="E21" s="481">
        <f t="shared" ref="E21:E23" si="15">IF(D21=0,0,F21/D21)</f>
        <v>0</v>
      </c>
      <c r="F21" s="481">
        <v>0.0</v>
      </c>
      <c r="G21" s="482">
        <v>0.0</v>
      </c>
      <c r="H21" s="481">
        <f t="shared" ref="H21:H23" si="16">IF(G21=0,0,I21/G21)</f>
        <v>0</v>
      </c>
      <c r="I21" s="481">
        <v>0.0</v>
      </c>
      <c r="J21" s="482"/>
      <c r="K21" s="483">
        <f>IF(J13=0,0,L21/(J13+J15))</f>
        <v>65.9986755</v>
      </c>
      <c r="L21" s="484">
        <v>9965.800000000001</v>
      </c>
      <c r="M21" s="482"/>
      <c r="N21" s="485">
        <f t="shared" ref="N21:N24" si="17">L21-F21</f>
        <v>9965.8</v>
      </c>
      <c r="O21" s="482"/>
      <c r="P21" s="483">
        <f>IF(O13=0,0,Q21/(O13+O15))</f>
        <v>6.437285068</v>
      </c>
      <c r="Q21" s="484">
        <v>1422.6399999999999</v>
      </c>
      <c r="R21" s="486">
        <f t="shared" ref="R21:R23" si="18">O21-K21</f>
        <v>-65.9986755</v>
      </c>
      <c r="S21" s="484">
        <f t="shared" ref="S21:S24" si="19">L21-Q21</f>
        <v>8543.16</v>
      </c>
      <c r="T21" s="48"/>
      <c r="U21" s="48"/>
      <c r="W21" s="48"/>
      <c r="X21" s="524"/>
      <c r="Y21" s="48"/>
      <c r="Z21" s="48"/>
      <c r="AA21" s="48"/>
      <c r="AB21" s="48"/>
      <c r="AC21" s="48"/>
      <c r="AD21" s="48"/>
      <c r="AE21" s="48"/>
      <c r="AF21" s="48"/>
      <c r="AG21" s="48"/>
      <c r="AH21" s="48"/>
      <c r="AI21" s="48"/>
      <c r="AJ21" s="48"/>
      <c r="AK21" s="48"/>
      <c r="AL21" s="48"/>
      <c r="AM21" s="48"/>
      <c r="AN21" s="48"/>
    </row>
    <row r="22" ht="18.0" customHeight="1">
      <c r="A22" s="5" t="str">
        <f t="shared" si="1"/>
        <v>Véhicules neufsRev. Protections</v>
      </c>
      <c r="B22" s="48" t="str">
        <f t="shared" si="2"/>
        <v>Véhicules neufs</v>
      </c>
      <c r="C22" s="480" t="s">
        <v>106</v>
      </c>
      <c r="D22" s="481">
        <v>0.0</v>
      </c>
      <c r="E22" s="481">
        <f t="shared" si="15"/>
        <v>0</v>
      </c>
      <c r="F22" s="481">
        <v>0.0</v>
      </c>
      <c r="G22" s="482">
        <v>0.0</v>
      </c>
      <c r="H22" s="481">
        <f t="shared" si="16"/>
        <v>0</v>
      </c>
      <c r="I22" s="481">
        <v>0.0</v>
      </c>
      <c r="J22" s="482"/>
      <c r="K22" s="483">
        <f>IF(J13=0,0,L22/(J13+J15))</f>
        <v>892.1294702</v>
      </c>
      <c r="L22" s="484">
        <v>134711.55</v>
      </c>
      <c r="M22" s="482"/>
      <c r="N22" s="485">
        <f t="shared" si="17"/>
        <v>134711.55</v>
      </c>
      <c r="O22" s="482"/>
      <c r="P22" s="483">
        <f>IF(O13=0,0,Q22/(O13+O15))</f>
        <v>507.3541629</v>
      </c>
      <c r="Q22" s="484">
        <v>112125.27</v>
      </c>
      <c r="R22" s="486">
        <f t="shared" si="18"/>
        <v>-892.1294702</v>
      </c>
      <c r="S22" s="484">
        <f t="shared" si="19"/>
        <v>22586.28</v>
      </c>
      <c r="T22" s="48"/>
      <c r="U22" s="48"/>
      <c r="V22" s="48"/>
      <c r="W22" s="48"/>
      <c r="X22" s="48"/>
      <c r="Y22" s="48"/>
      <c r="Z22" s="48"/>
      <c r="AA22" s="48"/>
      <c r="AB22" s="48"/>
      <c r="AC22" s="48"/>
      <c r="AD22" s="48"/>
      <c r="AE22" s="48"/>
      <c r="AF22" s="48"/>
      <c r="AG22" s="48"/>
      <c r="AH22" s="48"/>
      <c r="AI22" s="48"/>
      <c r="AJ22" s="48"/>
      <c r="AK22" s="48"/>
      <c r="AL22" s="48"/>
      <c r="AM22" s="48"/>
      <c r="AN22" s="48"/>
    </row>
    <row r="23" ht="19.5" customHeight="1">
      <c r="A23" s="5" t="str">
        <f t="shared" si="1"/>
        <v>Véhicules neufsRev. Autres</v>
      </c>
      <c r="B23" s="48" t="str">
        <f t="shared" si="2"/>
        <v>Véhicules neufs</v>
      </c>
      <c r="C23" s="480" t="s">
        <v>107</v>
      </c>
      <c r="D23" s="481">
        <v>0.0</v>
      </c>
      <c r="E23" s="481">
        <f t="shared" si="15"/>
        <v>0</v>
      </c>
      <c r="F23" s="481">
        <v>0.0</v>
      </c>
      <c r="G23" s="482">
        <v>0.0</v>
      </c>
      <c r="H23" s="481">
        <f t="shared" si="16"/>
        <v>0</v>
      </c>
      <c r="I23" s="481">
        <v>0.0</v>
      </c>
      <c r="J23" s="482"/>
      <c r="K23" s="483">
        <f>IF(J13=0,0,L23/(J13+J15))</f>
        <v>115.7421854</v>
      </c>
      <c r="L23" s="484">
        <v>17477.07</v>
      </c>
      <c r="M23" s="512"/>
      <c r="N23" s="485">
        <f t="shared" si="17"/>
        <v>17477.07</v>
      </c>
      <c r="O23" s="482"/>
      <c r="P23" s="483">
        <f>IF(O13=0,0,Q23/(O13+O15))</f>
        <v>31.7678733</v>
      </c>
      <c r="Q23" s="484">
        <v>7020.7</v>
      </c>
      <c r="R23" s="486">
        <f t="shared" si="18"/>
        <v>-115.7421854</v>
      </c>
      <c r="S23" s="484">
        <f t="shared" si="19"/>
        <v>10456.37</v>
      </c>
      <c r="T23" s="48"/>
      <c r="U23" s="48"/>
      <c r="V23" s="48"/>
      <c r="W23" s="48"/>
      <c r="X23" s="48"/>
      <c r="Y23" s="48"/>
      <c r="Z23" s="48"/>
      <c r="AA23" s="48"/>
      <c r="AB23" s="48"/>
      <c r="AC23" s="48"/>
      <c r="AD23" s="48"/>
      <c r="AE23" s="48"/>
      <c r="AF23" s="48"/>
      <c r="AG23" s="48"/>
      <c r="AH23" s="48"/>
      <c r="AI23" s="48"/>
      <c r="AJ23" s="48"/>
      <c r="AK23" s="48"/>
      <c r="AL23" s="48"/>
      <c r="AM23" s="48"/>
      <c r="AN23" s="48"/>
    </row>
    <row r="24" ht="18.0" customHeight="1">
      <c r="A24" s="5" t="str">
        <f t="shared" si="1"/>
        <v>Véhicules neufsTotal F&amp;I</v>
      </c>
      <c r="B24" s="48" t="str">
        <f t="shared" si="2"/>
        <v>Véhicules neufs</v>
      </c>
      <c r="C24" s="490" t="s">
        <v>108</v>
      </c>
      <c r="D24" s="491">
        <f>+D15+D13</f>
        <v>0</v>
      </c>
      <c r="E24" s="491">
        <f>IF(D24&lt;=0,0,F24/D24)</f>
        <v>0</v>
      </c>
      <c r="F24" s="492">
        <f>F21+F22+F23</f>
        <v>0</v>
      </c>
      <c r="G24" s="493">
        <f>+G15+G13</f>
        <v>0</v>
      </c>
      <c r="H24" s="491">
        <f>IF(G24&lt;=0,0,I24/G24)</f>
        <v>0</v>
      </c>
      <c r="I24" s="492">
        <f>I21+I22+I23</f>
        <v>0</v>
      </c>
      <c r="J24" s="493">
        <f>+J15+J13</f>
        <v>151</v>
      </c>
      <c r="K24" s="495">
        <f>IF(J24&lt;=0,0,L24/J24)</f>
        <v>1073.870331</v>
      </c>
      <c r="L24" s="497">
        <f>L21+L22+L23</f>
        <v>162154.42</v>
      </c>
      <c r="M24" s="517">
        <f>J24-D24</f>
        <v>151</v>
      </c>
      <c r="N24" s="492">
        <f t="shared" si="17"/>
        <v>162154.42</v>
      </c>
      <c r="O24" s="493">
        <f>+O15+O13</f>
        <v>221</v>
      </c>
      <c r="P24" s="495">
        <f>IF(O24&lt;=0,0,Q24/O24)</f>
        <v>545.5593213</v>
      </c>
      <c r="Q24" s="497">
        <f>Q21+Q22+Q23</f>
        <v>120568.61</v>
      </c>
      <c r="R24" s="252"/>
      <c r="S24" s="497">
        <f t="shared" si="19"/>
        <v>41585.81</v>
      </c>
      <c r="T24" s="48"/>
      <c r="U24" s="481"/>
      <c r="V24" s="48"/>
      <c r="W24" s="48"/>
      <c r="X24" s="48"/>
      <c r="Y24" s="48"/>
      <c r="Z24" s="48"/>
      <c r="AA24" s="48"/>
      <c r="AB24" s="48"/>
      <c r="AC24" s="48"/>
      <c r="AD24" s="48"/>
      <c r="AE24" s="48"/>
      <c r="AF24" s="48"/>
      <c r="AG24" s="48"/>
      <c r="AH24" s="48"/>
      <c r="AI24" s="48"/>
      <c r="AJ24" s="48"/>
      <c r="AK24" s="48"/>
      <c r="AL24" s="48"/>
      <c r="AM24" s="48"/>
      <c r="AN24" s="48"/>
    </row>
    <row r="25" ht="15.75" customHeight="1">
      <c r="A25" s="5" t="str">
        <f t="shared" si="1"/>
        <v>Véhicules neufs</v>
      </c>
      <c r="B25" s="48" t="str">
        <f t="shared" si="2"/>
        <v>Véhicules neufs</v>
      </c>
      <c r="C25" s="480"/>
      <c r="D25" s="48"/>
      <c r="E25" s="48"/>
      <c r="F25" s="484"/>
      <c r="G25" s="480"/>
      <c r="H25" s="48"/>
      <c r="I25" s="484"/>
      <c r="J25" s="480"/>
      <c r="K25" s="483"/>
      <c r="L25" s="484"/>
      <c r="M25" s="525"/>
      <c r="N25" s="507" t="str">
        <f>IF(N24=0,0,N24/F24)</f>
        <v>#DIV/0!</v>
      </c>
      <c r="O25" s="480"/>
      <c r="P25" s="483"/>
      <c r="Q25" s="484"/>
      <c r="R25" s="486"/>
      <c r="S25" s="507">
        <f>IF(Q24=0,0,(S24/Q24))</f>
        <v>0.3449140701</v>
      </c>
      <c r="T25" s="48"/>
      <c r="U25" s="48"/>
      <c r="V25" s="48"/>
      <c r="W25" s="48"/>
      <c r="X25" s="48"/>
      <c r="Y25" s="48"/>
      <c r="Z25" s="48"/>
      <c r="AA25" s="48"/>
      <c r="AB25" s="48"/>
      <c r="AC25" s="48"/>
      <c r="AD25" s="48"/>
      <c r="AE25" s="48"/>
      <c r="AF25" s="48"/>
      <c r="AG25" s="48"/>
      <c r="AH25" s="48"/>
      <c r="AI25" s="48"/>
      <c r="AJ25" s="48"/>
      <c r="AK25" s="48"/>
      <c r="AL25" s="48"/>
      <c r="AM25" s="48"/>
      <c r="AN25" s="48"/>
    </row>
    <row r="26" ht="15.75" customHeight="1">
      <c r="A26" s="5" t="str">
        <f t="shared" si="1"/>
        <v>Véhicules neufs</v>
      </c>
      <c r="B26" s="48" t="str">
        <f t="shared" si="2"/>
        <v>Véhicules neufs</v>
      </c>
      <c r="C26" s="480"/>
      <c r="D26" s="48"/>
      <c r="E26" s="48"/>
      <c r="F26" s="514"/>
      <c r="G26" s="480"/>
      <c r="H26" s="48"/>
      <c r="I26" s="514"/>
      <c r="J26" s="480"/>
      <c r="K26" s="483"/>
      <c r="L26" s="484"/>
      <c r="M26" s="480"/>
      <c r="N26" s="514"/>
      <c r="O26" s="480"/>
      <c r="P26" s="483"/>
      <c r="Q26" s="484"/>
      <c r="R26" s="486"/>
      <c r="S26" s="484"/>
      <c r="T26" s="48"/>
      <c r="U26" s="48"/>
      <c r="V26" s="48"/>
      <c r="W26" s="48"/>
      <c r="X26" s="48"/>
      <c r="Y26" s="48"/>
      <c r="Z26" s="48"/>
      <c r="AA26" s="48"/>
      <c r="AB26" s="48"/>
      <c r="AC26" s="48"/>
      <c r="AD26" s="48"/>
      <c r="AE26" s="48"/>
      <c r="AF26" s="48"/>
      <c r="AG26" s="48"/>
      <c r="AH26" s="48"/>
      <c r="AI26" s="48"/>
      <c r="AJ26" s="48"/>
      <c r="AK26" s="48"/>
      <c r="AL26" s="48"/>
      <c r="AM26" s="48"/>
      <c r="AN26" s="48"/>
    </row>
    <row r="27" ht="18.0" customHeight="1">
      <c r="A27" s="5" t="str">
        <f t="shared" si="1"/>
        <v>Véhicules neufsTotal Dépt. Neufs</v>
      </c>
      <c r="B27" s="48" t="str">
        <f t="shared" si="2"/>
        <v>Véhicules neufs</v>
      </c>
      <c r="C27" s="526" t="s">
        <v>109</v>
      </c>
      <c r="D27" s="527">
        <f>+D13+D15+D17</f>
        <v>0</v>
      </c>
      <c r="E27" s="528">
        <f>IF(D27&lt;=0,0,F27/D27)</f>
        <v>0</v>
      </c>
      <c r="F27" s="529">
        <f>F13+F17+F24+F19+F15</f>
        <v>0</v>
      </c>
      <c r="G27" s="530">
        <f>+G13+G15+G17</f>
        <v>0</v>
      </c>
      <c r="H27" s="528">
        <f>IF(G27&lt;=0,0,I27/G27)</f>
        <v>0</v>
      </c>
      <c r="I27" s="529">
        <f>I13+I17+I24+I19+I15</f>
        <v>0</v>
      </c>
      <c r="J27" s="530">
        <f>+J13+J15+J17</f>
        <v>604</v>
      </c>
      <c r="K27" s="527">
        <f>IF(J27&lt;=0,0,L27/J27)</f>
        <v>1142.014983</v>
      </c>
      <c r="L27" s="529">
        <f>L13+L17+L24+L19+L15</f>
        <v>689777.05</v>
      </c>
      <c r="M27" s="530">
        <f>J27-D27</f>
        <v>604</v>
      </c>
      <c r="N27" s="529">
        <f>L27-F27</f>
        <v>689777.05</v>
      </c>
      <c r="O27" s="530">
        <f>+O13+O15+O17</f>
        <v>886</v>
      </c>
      <c r="P27" s="527">
        <f>IF(O27&lt;=0,0,Q27/O27)</f>
        <v>1188.177619</v>
      </c>
      <c r="Q27" s="529">
        <f>Q13+Q17+Q24+Q19+Q15</f>
        <v>1052725.37</v>
      </c>
      <c r="R27" s="530">
        <f>J27-O27</f>
        <v>-282</v>
      </c>
      <c r="S27" s="529">
        <f>L27-Q27</f>
        <v>-362948.32</v>
      </c>
      <c r="T27" s="48"/>
      <c r="U27" s="48"/>
      <c r="V27" s="48"/>
      <c r="W27" s="48"/>
      <c r="X27" s="48"/>
      <c r="Y27" s="48"/>
      <c r="Z27" s="48"/>
      <c r="AA27" s="48"/>
      <c r="AB27" s="48"/>
      <c r="AC27" s="48"/>
      <c r="AD27" s="48"/>
      <c r="AE27" s="48"/>
      <c r="AF27" s="48"/>
      <c r="AG27" s="48"/>
      <c r="AH27" s="48"/>
      <c r="AI27" s="48"/>
      <c r="AJ27" s="48"/>
      <c r="AK27" s="48"/>
      <c r="AL27" s="48"/>
      <c r="AM27" s="48"/>
      <c r="AN27" s="48"/>
    </row>
    <row r="28" ht="22.5" customHeight="1">
      <c r="A28" s="5" t="str">
        <f t="shared" si="1"/>
        <v>Véhicules neufs</v>
      </c>
      <c r="B28" s="48" t="str">
        <f t="shared" si="2"/>
        <v>Véhicules neufs</v>
      </c>
      <c r="C28" s="531"/>
      <c r="D28" s="532"/>
      <c r="E28" s="532"/>
      <c r="F28" s="533"/>
      <c r="G28" s="531"/>
      <c r="H28" s="532"/>
      <c r="I28" s="533"/>
      <c r="J28" s="531"/>
      <c r="K28" s="534"/>
      <c r="L28" s="535"/>
      <c r="M28" s="536" t="str">
        <f>M27/D27</f>
        <v>#DIV/0!</v>
      </c>
      <c r="N28" s="537" t="str">
        <f>N27/F27</f>
        <v>#DIV/0!</v>
      </c>
      <c r="O28" s="531"/>
      <c r="P28" s="534"/>
      <c r="Q28" s="535"/>
      <c r="R28" s="536">
        <f>R27/O27</f>
        <v>-0.3182844244</v>
      </c>
      <c r="S28" s="538">
        <f>IF(Q27=0,0,S27/Q27)</f>
        <v>-0.3447701845</v>
      </c>
      <c r="T28" s="48"/>
      <c r="U28" s="48"/>
      <c r="V28" s="48"/>
      <c r="W28" s="48"/>
      <c r="X28" s="48"/>
      <c r="Y28" s="48"/>
      <c r="Z28" s="48"/>
      <c r="AA28" s="48"/>
      <c r="AB28" s="48"/>
      <c r="AC28" s="48"/>
      <c r="AD28" s="48"/>
      <c r="AE28" s="48"/>
      <c r="AF28" s="48"/>
      <c r="AG28" s="48"/>
      <c r="AH28" s="48"/>
      <c r="AI28" s="48"/>
      <c r="AJ28" s="48"/>
      <c r="AK28" s="48"/>
      <c r="AL28" s="48"/>
      <c r="AM28" s="48"/>
      <c r="AN28" s="48"/>
    </row>
    <row r="29" ht="15.75" customHeight="1">
      <c r="A29" s="5" t="str">
        <f t="shared" si="1"/>
        <v>Véhicules neufs</v>
      </c>
      <c r="B29" s="48" t="str">
        <f t="shared" si="2"/>
        <v>Véhicules neufs</v>
      </c>
      <c r="C29" s="500"/>
      <c r="D29" s="11"/>
      <c r="E29" s="11"/>
      <c r="F29" s="502"/>
      <c r="G29" s="500"/>
      <c r="H29" s="11"/>
      <c r="I29" s="502"/>
      <c r="J29" s="500"/>
      <c r="K29" s="503"/>
      <c r="L29" s="504"/>
      <c r="M29" s="525"/>
      <c r="N29" s="507"/>
      <c r="O29" s="500"/>
      <c r="P29" s="503"/>
      <c r="Q29" s="504"/>
      <c r="R29" s="525"/>
      <c r="S29" s="504"/>
      <c r="T29" s="48"/>
      <c r="U29" s="483"/>
      <c r="V29" s="48"/>
      <c r="W29" s="48"/>
      <c r="X29" s="48"/>
      <c r="Y29" s="48"/>
      <c r="Z29" s="48"/>
      <c r="AA29" s="48"/>
      <c r="AB29" s="48"/>
      <c r="AC29" s="48"/>
      <c r="AD29" s="48"/>
      <c r="AE29" s="48"/>
      <c r="AF29" s="48"/>
      <c r="AG29" s="48"/>
      <c r="AH29" s="48"/>
      <c r="AI29" s="48"/>
      <c r="AJ29" s="48"/>
      <c r="AK29" s="48"/>
      <c r="AL29" s="48"/>
      <c r="AM29" s="48"/>
      <c r="AN29" s="48"/>
    </row>
    <row r="30" ht="15.75" customHeight="1">
      <c r="A30" s="5" t="str">
        <f t="shared" si="1"/>
        <v>Véhicules neufsDEPENSES</v>
      </c>
      <c r="B30" s="48" t="str">
        <f t="shared" si="2"/>
        <v>Véhicules neufs</v>
      </c>
      <c r="C30" s="541" t="s">
        <v>110</v>
      </c>
      <c r="D30" s="48"/>
      <c r="E30" s="41"/>
      <c r="F30" s="484"/>
      <c r="G30" s="480"/>
      <c r="H30" s="41"/>
      <c r="I30" s="484"/>
      <c r="J30" s="480"/>
      <c r="K30" s="542"/>
      <c r="L30" s="484"/>
      <c r="M30" s="480"/>
      <c r="N30" s="514"/>
      <c r="O30" s="480"/>
      <c r="P30" s="542"/>
      <c r="Q30" s="484"/>
      <c r="R30" s="480"/>
      <c r="S30" s="484"/>
      <c r="T30" s="48"/>
      <c r="U30" s="48"/>
      <c r="V30" s="48"/>
      <c r="W30" s="48"/>
      <c r="X30" s="48"/>
      <c r="Y30" s="48"/>
      <c r="Z30" s="48"/>
      <c r="AA30" s="48"/>
      <c r="AB30" s="48"/>
      <c r="AC30" s="48"/>
      <c r="AD30" s="48"/>
      <c r="AE30" s="48"/>
      <c r="AF30" s="48"/>
      <c r="AG30" s="48"/>
      <c r="AH30" s="48"/>
      <c r="AI30" s="48"/>
      <c r="AJ30" s="48"/>
      <c r="AK30" s="48"/>
      <c r="AL30" s="48"/>
      <c r="AM30" s="48"/>
      <c r="AN30" s="48"/>
    </row>
    <row r="31" ht="14.25" customHeight="1">
      <c r="A31" s="5" t="str">
        <f t="shared" si="1"/>
        <v>Véhicules neufsComm. vendeurs</v>
      </c>
      <c r="B31" s="48" t="str">
        <f t="shared" si="2"/>
        <v>Véhicules neufs</v>
      </c>
      <c r="C31" s="480" t="s">
        <v>111</v>
      </c>
      <c r="D31" s="543" t="str">
        <f>F31/(F13+F15)</f>
        <v>#DIV/0!</v>
      </c>
      <c r="E31" s="483" t="str">
        <f t="shared" ref="E31:E40" si="20">F31/D$24</f>
        <v>#DIV/0!</v>
      </c>
      <c r="F31" s="481">
        <v>0.0</v>
      </c>
      <c r="G31" s="515"/>
      <c r="H31" s="483" t="str">
        <f t="shared" ref="H31:H40" si="21">I31/G$24</f>
        <v>#DIV/0!</v>
      </c>
      <c r="I31" s="481">
        <v>0.0</v>
      </c>
      <c r="J31" s="515">
        <f>L31/(L13+L15)</f>
        <v>0.4104969532</v>
      </c>
      <c r="K31" s="483">
        <f t="shared" ref="K31:K40" si="22">IF(L31=0,0,L31/J$24)</f>
        <v>800.319404</v>
      </c>
      <c r="L31" s="484">
        <v>120848.22999999998</v>
      </c>
      <c r="M31" s="480"/>
      <c r="N31" s="484">
        <f t="shared" ref="N31:N53" si="23">L31-F31</f>
        <v>120848.23</v>
      </c>
      <c r="O31" s="515">
        <f>Q31/(Q13+Q15+Q17)</f>
        <v>0.2044924933</v>
      </c>
      <c r="P31" s="483">
        <f t="shared" ref="P31:P40" si="24">IF(Q31=0,0,Q31/O$24)</f>
        <v>862.5296833</v>
      </c>
      <c r="Q31" s="484">
        <v>190619.06</v>
      </c>
      <c r="R31" s="480"/>
      <c r="S31" s="484">
        <f t="shared" ref="S31:S53" si="25">L31-Q31</f>
        <v>-69770.83</v>
      </c>
      <c r="T31" s="48"/>
      <c r="U31" s="48"/>
      <c r="V31" s="48"/>
      <c r="W31" s="48"/>
      <c r="X31" s="48"/>
      <c r="Y31" s="48"/>
      <c r="Z31" s="48"/>
      <c r="AA31" s="48"/>
      <c r="AB31" s="48"/>
      <c r="AC31" s="48"/>
      <c r="AD31" s="48"/>
      <c r="AE31" s="48"/>
      <c r="AF31" s="48"/>
      <c r="AG31" s="48"/>
      <c r="AH31" s="48"/>
      <c r="AI31" s="48"/>
      <c r="AJ31" s="48"/>
      <c r="AK31" s="48"/>
      <c r="AL31" s="48"/>
      <c r="AM31" s="48"/>
      <c r="AN31" s="48"/>
    </row>
    <row r="32" ht="15.75" customHeight="1">
      <c r="A32" s="5" t="str">
        <f t="shared" si="1"/>
        <v>Véhicules neufsComm. F&amp;I</v>
      </c>
      <c r="B32" s="48" t="str">
        <f t="shared" si="2"/>
        <v>Véhicules neufs</v>
      </c>
      <c r="C32" s="471" t="s">
        <v>112</v>
      </c>
      <c r="D32" s="544" t="str">
        <f>F32/F24</f>
        <v>#DIV/0!</v>
      </c>
      <c r="E32" s="513" t="str">
        <f t="shared" si="20"/>
        <v>#DIV/0!</v>
      </c>
      <c r="F32" s="473">
        <v>0.0</v>
      </c>
      <c r="G32" s="545"/>
      <c r="H32" s="513" t="str">
        <f t="shared" si="21"/>
        <v>#DIV/0!</v>
      </c>
      <c r="I32" s="473">
        <v>0.0</v>
      </c>
      <c r="J32" s="545">
        <f>L32/L24</f>
        <v>0.3138783389</v>
      </c>
      <c r="K32" s="513">
        <f t="shared" si="22"/>
        <v>337.0646358</v>
      </c>
      <c r="L32" s="484">
        <v>50896.76</v>
      </c>
      <c r="M32" s="471"/>
      <c r="N32" s="476">
        <f t="shared" si="23"/>
        <v>50896.76</v>
      </c>
      <c r="O32" s="545">
        <f>Q32/Q24</f>
        <v>0.2838757949</v>
      </c>
      <c r="P32" s="513">
        <f t="shared" si="24"/>
        <v>154.871086</v>
      </c>
      <c r="Q32" s="476">
        <v>34226.509999999995</v>
      </c>
      <c r="R32" s="471"/>
      <c r="S32" s="476">
        <f t="shared" si="25"/>
        <v>16670.25</v>
      </c>
      <c r="T32" s="48"/>
      <c r="Z32" s="48"/>
      <c r="AA32" s="48"/>
      <c r="AB32" s="48"/>
      <c r="AC32" s="48"/>
      <c r="AD32" s="48"/>
      <c r="AE32" s="48"/>
      <c r="AF32" s="48"/>
      <c r="AG32" s="48"/>
      <c r="AH32" s="48"/>
      <c r="AI32" s="48"/>
      <c r="AJ32" s="48"/>
      <c r="AK32" s="48"/>
      <c r="AL32" s="48"/>
      <c r="AM32" s="48"/>
      <c r="AN32" s="48"/>
    </row>
    <row r="33" ht="15.75" customHeight="1">
      <c r="A33" s="5" t="str">
        <f t="shared" si="1"/>
        <v>Véhicules neufsFrais de livraison</v>
      </c>
      <c r="B33" s="48" t="str">
        <f t="shared" si="2"/>
        <v>Véhicules neufs</v>
      </c>
      <c r="C33" s="480" t="s">
        <v>113</v>
      </c>
      <c r="D33" s="546"/>
      <c r="E33" s="483" t="str">
        <f t="shared" si="20"/>
        <v>#DIV/0!</v>
      </c>
      <c r="F33" s="481">
        <v>0.0</v>
      </c>
      <c r="G33" s="547"/>
      <c r="H33" s="483" t="str">
        <f t="shared" si="21"/>
        <v>#DIV/0!</v>
      </c>
      <c r="I33" s="481">
        <v>0.0</v>
      </c>
      <c r="J33" s="480"/>
      <c r="K33" s="483">
        <f t="shared" si="22"/>
        <v>426.0480795</v>
      </c>
      <c r="L33" s="523">
        <v>64333.25999999998</v>
      </c>
      <c r="M33" s="480"/>
      <c r="N33" s="484">
        <f t="shared" si="23"/>
        <v>64333.26</v>
      </c>
      <c r="O33" s="480"/>
      <c r="P33" s="483">
        <f t="shared" si="24"/>
        <v>-69.21764706</v>
      </c>
      <c r="Q33" s="484">
        <v>-15297.099999999999</v>
      </c>
      <c r="R33" s="480"/>
      <c r="S33" s="484">
        <f t="shared" si="25"/>
        <v>79630.36</v>
      </c>
      <c r="T33" s="48"/>
      <c r="U33" s="797"/>
      <c r="Z33" s="48"/>
      <c r="AA33" s="48"/>
      <c r="AB33" s="48"/>
      <c r="AC33" s="48"/>
      <c r="AD33" s="48"/>
      <c r="AE33" s="48"/>
      <c r="AF33" s="48"/>
      <c r="AG33" s="48"/>
      <c r="AH33" s="48"/>
      <c r="AI33" s="48"/>
      <c r="AJ33" s="48"/>
      <c r="AK33" s="48"/>
      <c r="AL33" s="48"/>
      <c r="AM33" s="48"/>
      <c r="AN33" s="48"/>
    </row>
    <row r="34" ht="15.75" customHeight="1">
      <c r="A34" s="5" t="str">
        <f t="shared" si="1"/>
        <v>Véhicules neufsService gratuit 1</v>
      </c>
      <c r="B34" s="48" t="str">
        <f t="shared" si="2"/>
        <v>Véhicules neufs</v>
      </c>
      <c r="C34" s="480" t="s">
        <v>114</v>
      </c>
      <c r="D34" s="546"/>
      <c r="E34" s="483" t="str">
        <f t="shared" si="20"/>
        <v>#DIV/0!</v>
      </c>
      <c r="F34" s="481">
        <v>0.0</v>
      </c>
      <c r="G34" s="547"/>
      <c r="H34" s="483" t="str">
        <f t="shared" si="21"/>
        <v>#DIV/0!</v>
      </c>
      <c r="I34" s="481">
        <v>0.0</v>
      </c>
      <c r="J34" s="480"/>
      <c r="K34" s="483">
        <f t="shared" si="22"/>
        <v>46.86463576</v>
      </c>
      <c r="L34" s="484">
        <v>7076.56</v>
      </c>
      <c r="M34" s="480"/>
      <c r="N34" s="484">
        <f t="shared" si="23"/>
        <v>7076.56</v>
      </c>
      <c r="O34" s="480"/>
      <c r="P34" s="483">
        <f t="shared" si="24"/>
        <v>10.22135747</v>
      </c>
      <c r="Q34" s="484">
        <v>2258.92</v>
      </c>
      <c r="R34" s="480"/>
      <c r="S34" s="484">
        <f t="shared" si="25"/>
        <v>4817.64</v>
      </c>
      <c r="T34" s="48"/>
      <c r="Z34" s="48"/>
      <c r="AA34" s="48"/>
      <c r="AB34" s="48"/>
      <c r="AC34" s="48"/>
      <c r="AD34" s="48"/>
      <c r="AE34" s="48"/>
      <c r="AF34" s="48"/>
      <c r="AG34" s="48"/>
      <c r="AH34" s="48"/>
      <c r="AI34" s="48"/>
      <c r="AJ34" s="48"/>
      <c r="AK34" s="48"/>
      <c r="AL34" s="48"/>
      <c r="AM34" s="48"/>
      <c r="AN34" s="48"/>
    </row>
    <row r="35" ht="15.75" customHeight="1">
      <c r="A35" s="5" t="str">
        <f t="shared" si="1"/>
        <v>Véhicules neufsEntretien stock</v>
      </c>
      <c r="B35" s="48" t="str">
        <f t="shared" si="2"/>
        <v>Véhicules neufs</v>
      </c>
      <c r="C35" s="471" t="s">
        <v>115</v>
      </c>
      <c r="D35" s="549"/>
      <c r="E35" s="513" t="str">
        <f t="shared" si="20"/>
        <v>#DIV/0!</v>
      </c>
      <c r="F35" s="473">
        <v>0.0</v>
      </c>
      <c r="G35" s="550"/>
      <c r="H35" s="513" t="str">
        <f t="shared" si="21"/>
        <v>#DIV/0!</v>
      </c>
      <c r="I35" s="473">
        <v>0.0</v>
      </c>
      <c r="J35" s="471"/>
      <c r="K35" s="513">
        <f t="shared" si="22"/>
        <v>15.26238411</v>
      </c>
      <c r="L35" s="484">
        <v>2304.62</v>
      </c>
      <c r="M35" s="471"/>
      <c r="N35" s="476">
        <f t="shared" si="23"/>
        <v>2304.62</v>
      </c>
      <c r="O35" s="471"/>
      <c r="P35" s="513">
        <f t="shared" si="24"/>
        <v>0</v>
      </c>
      <c r="Q35" s="476">
        <v>0.0</v>
      </c>
      <c r="R35" s="471"/>
      <c r="S35" s="476">
        <f t="shared" si="25"/>
        <v>2304.62</v>
      </c>
      <c r="T35" s="48"/>
      <c r="Z35" s="48"/>
      <c r="AA35" s="48"/>
      <c r="AB35" s="48"/>
      <c r="AC35" s="48"/>
      <c r="AD35" s="48"/>
      <c r="AE35" s="48"/>
      <c r="AF35" s="48"/>
      <c r="AG35" s="48"/>
      <c r="AH35" s="48"/>
      <c r="AI35" s="48"/>
      <c r="AJ35" s="48"/>
      <c r="AK35" s="48"/>
      <c r="AL35" s="48"/>
      <c r="AM35" s="48"/>
      <c r="AN35" s="48"/>
    </row>
    <row r="36" ht="15.75" customHeight="1">
      <c r="A36" s="5" t="str">
        <f t="shared" si="1"/>
        <v>Véhicules neufsPublicité 1</v>
      </c>
      <c r="B36" s="48" t="str">
        <f t="shared" si="2"/>
        <v>Véhicules neufs</v>
      </c>
      <c r="C36" s="480" t="s">
        <v>116</v>
      </c>
      <c r="D36" s="546"/>
      <c r="E36" s="483" t="str">
        <f t="shared" si="20"/>
        <v>#DIV/0!</v>
      </c>
      <c r="F36" s="481">
        <v>0.0</v>
      </c>
      <c r="G36" s="547"/>
      <c r="H36" s="483" t="str">
        <f t="shared" si="21"/>
        <v>#DIV/0!</v>
      </c>
      <c r="I36" s="481">
        <v>0.0</v>
      </c>
      <c r="J36" s="480"/>
      <c r="K36" s="483">
        <f t="shared" si="22"/>
        <v>-447.8982119</v>
      </c>
      <c r="L36" s="523">
        <v>-67632.63</v>
      </c>
      <c r="M36" s="480"/>
      <c r="N36" s="484">
        <f t="shared" si="23"/>
        <v>-67632.63</v>
      </c>
      <c r="O36" s="480"/>
      <c r="P36" s="483">
        <f t="shared" si="24"/>
        <v>-427.7271493</v>
      </c>
      <c r="Q36" s="484">
        <v>-94527.69999999998</v>
      </c>
      <c r="R36" s="480"/>
      <c r="S36" s="484">
        <f t="shared" si="25"/>
        <v>26895.07</v>
      </c>
      <c r="T36" s="48"/>
      <c r="U36" s="5"/>
      <c r="Z36" s="48"/>
      <c r="AA36" s="48"/>
      <c r="AB36" s="48"/>
      <c r="AC36" s="48"/>
      <c r="AD36" s="48"/>
      <c r="AE36" s="48"/>
      <c r="AF36" s="48"/>
      <c r="AG36" s="48"/>
      <c r="AH36" s="48"/>
      <c r="AI36" s="48"/>
      <c r="AJ36" s="48"/>
      <c r="AK36" s="48"/>
      <c r="AL36" s="48"/>
      <c r="AM36" s="48"/>
      <c r="AN36" s="48"/>
    </row>
    <row r="37" ht="15.75" customHeight="1">
      <c r="A37" s="5" t="str">
        <f t="shared" si="1"/>
        <v>Véhicules neufsIntérêt de gros</v>
      </c>
      <c r="B37" s="48" t="str">
        <f t="shared" si="2"/>
        <v>Véhicules neufs</v>
      </c>
      <c r="C37" s="480" t="s">
        <v>117</v>
      </c>
      <c r="D37" s="546"/>
      <c r="E37" s="483" t="str">
        <f t="shared" si="20"/>
        <v>#DIV/0!</v>
      </c>
      <c r="F37" s="481">
        <v>0.0</v>
      </c>
      <c r="G37" s="547"/>
      <c r="H37" s="483" t="str">
        <f t="shared" si="21"/>
        <v>#DIV/0!</v>
      </c>
      <c r="I37" s="481">
        <v>0.0</v>
      </c>
      <c r="J37" s="480"/>
      <c r="K37" s="483">
        <f t="shared" si="22"/>
        <v>816.6362252</v>
      </c>
      <c r="L37" s="484">
        <v>123312.07</v>
      </c>
      <c r="M37" s="480"/>
      <c r="N37" s="484">
        <f t="shared" si="23"/>
        <v>123312.07</v>
      </c>
      <c r="O37" s="480"/>
      <c r="P37" s="483">
        <f t="shared" si="24"/>
        <v>1746.725385</v>
      </c>
      <c r="Q37" s="484">
        <v>386026.31000000006</v>
      </c>
      <c r="R37" s="480"/>
      <c r="S37" s="484">
        <f t="shared" si="25"/>
        <v>-262714.24</v>
      </c>
      <c r="T37" s="48"/>
      <c r="Z37" s="48"/>
      <c r="AA37" s="48"/>
      <c r="AB37" s="48"/>
      <c r="AC37" s="48"/>
      <c r="AD37" s="48"/>
      <c r="AE37" s="48"/>
      <c r="AF37" s="48"/>
      <c r="AG37" s="48"/>
      <c r="AH37" s="48"/>
      <c r="AI37" s="48"/>
      <c r="AJ37" s="48"/>
      <c r="AK37" s="48"/>
      <c r="AL37" s="48"/>
      <c r="AM37" s="48"/>
      <c r="AN37" s="48"/>
    </row>
    <row r="38" ht="15.75" customHeight="1">
      <c r="A38" s="5" t="str">
        <f t="shared" si="1"/>
        <v>Véhicules neufsCrédit Intérêts Floor Plan</v>
      </c>
      <c r="B38" s="48" t="str">
        <f t="shared" si="2"/>
        <v>Véhicules neufs</v>
      </c>
      <c r="C38" s="480" t="s">
        <v>813</v>
      </c>
      <c r="D38" s="546"/>
      <c r="E38" s="483" t="str">
        <f t="shared" si="20"/>
        <v>#DIV/0!</v>
      </c>
      <c r="F38" s="481">
        <v>0.0</v>
      </c>
      <c r="G38" s="547"/>
      <c r="H38" s="483" t="str">
        <f t="shared" si="21"/>
        <v>#DIV/0!</v>
      </c>
      <c r="I38" s="481">
        <v>0.0</v>
      </c>
      <c r="J38" s="480"/>
      <c r="K38" s="483">
        <f t="shared" si="22"/>
        <v>-3301.876623</v>
      </c>
      <c r="L38" s="484">
        <v>-498583.3700000001</v>
      </c>
      <c r="M38" s="48"/>
      <c r="N38" s="484">
        <f t="shared" si="23"/>
        <v>-498583.37</v>
      </c>
      <c r="O38" s="480"/>
      <c r="P38" s="483">
        <f t="shared" si="24"/>
        <v>-3361.094525</v>
      </c>
      <c r="Q38" s="484">
        <v>-742801.8899999999</v>
      </c>
      <c r="R38" s="480"/>
      <c r="S38" s="484">
        <f t="shared" si="25"/>
        <v>244218.52</v>
      </c>
      <c r="T38" s="48"/>
      <c r="U38" s="48"/>
      <c r="V38" s="48"/>
      <c r="W38" s="48"/>
      <c r="X38" s="48"/>
      <c r="Y38" s="48"/>
      <c r="Z38" s="48"/>
      <c r="AA38" s="48"/>
      <c r="AB38" s="48"/>
      <c r="AC38" s="48"/>
      <c r="AD38" s="48"/>
      <c r="AE38" s="48"/>
      <c r="AF38" s="48"/>
      <c r="AG38" s="48"/>
      <c r="AH38" s="48"/>
      <c r="AI38" s="48"/>
      <c r="AJ38" s="48"/>
      <c r="AK38" s="48"/>
      <c r="AL38" s="48"/>
      <c r="AM38" s="48"/>
      <c r="AN38" s="48"/>
    </row>
    <row r="39" ht="15.75" customHeight="1">
      <c r="A39" s="5" t="str">
        <f t="shared" si="1"/>
        <v>Véhicules neufsCrédit Boni TD</v>
      </c>
      <c r="B39" s="48" t="str">
        <f t="shared" si="2"/>
        <v>Véhicules neufs</v>
      </c>
      <c r="C39" s="480" t="s">
        <v>814</v>
      </c>
      <c r="D39" s="546"/>
      <c r="E39" s="483" t="str">
        <f t="shared" si="20"/>
        <v>#DIV/0!</v>
      </c>
      <c r="F39" s="481">
        <v>0.0</v>
      </c>
      <c r="G39" s="547"/>
      <c r="H39" s="483" t="str">
        <f t="shared" si="21"/>
        <v>#DIV/0!</v>
      </c>
      <c r="I39" s="481">
        <v>0.0</v>
      </c>
      <c r="J39" s="480"/>
      <c r="K39" s="483">
        <f t="shared" si="22"/>
        <v>-183.64</v>
      </c>
      <c r="L39" s="484">
        <v>-27729.64</v>
      </c>
      <c r="M39" s="48"/>
      <c r="N39" s="484">
        <f t="shared" si="23"/>
        <v>-27729.64</v>
      </c>
      <c r="O39" s="480"/>
      <c r="P39" s="483">
        <f t="shared" si="24"/>
        <v>0</v>
      </c>
      <c r="Q39" s="484">
        <v>0.0</v>
      </c>
      <c r="R39" s="480"/>
      <c r="S39" s="484">
        <f t="shared" si="25"/>
        <v>-27729.64</v>
      </c>
      <c r="T39" s="48"/>
      <c r="U39" s="48"/>
      <c r="V39" s="48"/>
      <c r="W39" s="48"/>
      <c r="X39" s="48"/>
      <c r="Y39" s="48"/>
      <c r="Z39" s="48"/>
      <c r="AA39" s="48"/>
      <c r="AB39" s="48"/>
      <c r="AC39" s="48"/>
      <c r="AD39" s="48"/>
      <c r="AE39" s="48"/>
      <c r="AF39" s="48"/>
      <c r="AG39" s="48"/>
      <c r="AH39" s="48"/>
      <c r="AI39" s="48"/>
      <c r="AJ39" s="48"/>
      <c r="AK39" s="48"/>
      <c r="AL39" s="48"/>
      <c r="AM39" s="48"/>
      <c r="AN39" s="48"/>
    </row>
    <row r="40" ht="20.25" hidden="1" customHeight="1">
      <c r="A40" s="5" t="str">
        <f t="shared" si="1"/>
        <v>Véhicules neufs[...]</v>
      </c>
      <c r="B40" s="48" t="str">
        <f t="shared" si="2"/>
        <v>Véhicules neufs</v>
      </c>
      <c r="C40" s="480" t="s">
        <v>56</v>
      </c>
      <c r="D40" s="546"/>
      <c r="E40" s="483" t="str">
        <f t="shared" si="20"/>
        <v>#DIV/0!</v>
      </c>
      <c r="F40" s="481">
        <v>0.0</v>
      </c>
      <c r="G40" s="547"/>
      <c r="H40" s="483" t="str">
        <f t="shared" si="21"/>
        <v>#DIV/0!</v>
      </c>
      <c r="I40" s="481">
        <v>0.0</v>
      </c>
      <c r="J40" s="480"/>
      <c r="K40" s="483">
        <f t="shared" si="22"/>
        <v>0</v>
      </c>
      <c r="L40" s="551">
        <v>0.0</v>
      </c>
      <c r="M40" s="48"/>
      <c r="N40" s="484">
        <f t="shared" si="23"/>
        <v>0</v>
      </c>
      <c r="O40" s="480"/>
      <c r="P40" s="483">
        <f t="shared" si="24"/>
        <v>0</v>
      </c>
      <c r="Q40" s="551">
        <v>0.0</v>
      </c>
      <c r="R40" s="480"/>
      <c r="S40" s="484">
        <f t="shared" si="25"/>
        <v>0</v>
      </c>
      <c r="T40" s="48"/>
      <c r="U40" s="48"/>
      <c r="V40" s="48"/>
      <c r="W40" s="48"/>
      <c r="X40" s="48"/>
      <c r="Y40" s="48"/>
      <c r="Z40" s="48"/>
      <c r="AA40" s="48"/>
      <c r="AB40" s="48"/>
      <c r="AC40" s="48"/>
      <c r="AD40" s="48"/>
      <c r="AE40" s="48"/>
      <c r="AF40" s="48"/>
      <c r="AG40" s="48"/>
      <c r="AH40" s="48"/>
      <c r="AI40" s="48"/>
      <c r="AJ40" s="48"/>
      <c r="AK40" s="48"/>
      <c r="AL40" s="48"/>
      <c r="AM40" s="48"/>
      <c r="AN40" s="48"/>
    </row>
    <row r="41" ht="18.0" customHeight="1">
      <c r="A41" s="5" t="str">
        <f t="shared" si="1"/>
        <v>Véhicules neufsTOTAL VARIABLES</v>
      </c>
      <c r="B41" s="48" t="str">
        <f t="shared" si="2"/>
        <v>Véhicules neufs</v>
      </c>
      <c r="C41" s="552" t="s">
        <v>118</v>
      </c>
      <c r="D41" s="553" t="s">
        <v>225</v>
      </c>
      <c r="E41" s="554" t="str">
        <f>F41/F$27</f>
        <v>#DIV/0!</v>
      </c>
      <c r="F41" s="555">
        <f>SUM(F31:F40)</f>
        <v>0</v>
      </c>
      <c r="G41" s="556" t="s">
        <v>225</v>
      </c>
      <c r="H41" s="554" t="str">
        <f>I41/I$27</f>
        <v>#DIV/0!</v>
      </c>
      <c r="I41" s="555">
        <f>SUM(I31:I40)</f>
        <v>0</v>
      </c>
      <c r="J41" s="556" t="s">
        <v>225</v>
      </c>
      <c r="K41" s="554">
        <f>L41/L$27</f>
        <v>-0.3264448129</v>
      </c>
      <c r="L41" s="555">
        <f>SUM(L31:L40)</f>
        <v>-225174.14</v>
      </c>
      <c r="M41" s="557"/>
      <c r="N41" s="555">
        <f t="shared" si="23"/>
        <v>-225174.14</v>
      </c>
      <c r="O41" s="556" t="s">
        <v>225</v>
      </c>
      <c r="P41" s="554">
        <f>Q41/Q$27</f>
        <v>-0.2275008248</v>
      </c>
      <c r="Q41" s="555">
        <f>SUM(Q31:Q40)</f>
        <v>-239495.89</v>
      </c>
      <c r="R41" s="558"/>
      <c r="S41" s="555">
        <f t="shared" si="25"/>
        <v>14321.75</v>
      </c>
      <c r="T41" s="48"/>
      <c r="U41" s="48"/>
      <c r="V41" s="48"/>
      <c r="W41" s="48"/>
      <c r="X41" s="48"/>
      <c r="Y41" s="48"/>
      <c r="Z41" s="48"/>
      <c r="AA41" s="48"/>
      <c r="AB41" s="48"/>
      <c r="AC41" s="48"/>
      <c r="AD41" s="48"/>
      <c r="AE41" s="48"/>
      <c r="AF41" s="48"/>
      <c r="AG41" s="48"/>
      <c r="AH41" s="48"/>
      <c r="AI41" s="48"/>
      <c r="AJ41" s="48"/>
      <c r="AK41" s="48"/>
      <c r="AL41" s="48"/>
      <c r="AM41" s="48"/>
      <c r="AN41" s="48"/>
    </row>
    <row r="42" ht="15.75" customHeight="1">
      <c r="A42" s="5" t="str">
        <f t="shared" si="1"/>
        <v>Véhicules neufsSalaires cadres</v>
      </c>
      <c r="B42" s="48" t="str">
        <f t="shared" si="2"/>
        <v>Véhicules neufs</v>
      </c>
      <c r="C42" s="559" t="s">
        <v>119</v>
      </c>
      <c r="D42" s="48"/>
      <c r="E42" s="48"/>
      <c r="F42" s="481">
        <v>0.0</v>
      </c>
      <c r="G42" s="480"/>
      <c r="H42" s="48"/>
      <c r="I42" s="481">
        <v>0.0</v>
      </c>
      <c r="J42" s="480"/>
      <c r="K42" s="48"/>
      <c r="L42" s="483">
        <v>32715.519999999997</v>
      </c>
      <c r="M42" s="480"/>
      <c r="N42" s="484">
        <f t="shared" si="23"/>
        <v>32715.52</v>
      </c>
      <c r="O42" s="480"/>
      <c r="P42" s="48"/>
      <c r="Q42" s="483">
        <v>49681.57</v>
      </c>
      <c r="R42" s="480"/>
      <c r="S42" s="484">
        <f t="shared" si="25"/>
        <v>-16966.05</v>
      </c>
      <c r="T42" s="48"/>
      <c r="U42" s="48"/>
      <c r="V42" s="48"/>
      <c r="W42" s="48"/>
      <c r="X42" s="48"/>
      <c r="Y42" s="48"/>
      <c r="Z42" s="48"/>
      <c r="AA42" s="48"/>
      <c r="AB42" s="48"/>
      <c r="AC42" s="48"/>
      <c r="AD42" s="48"/>
      <c r="AE42" s="48"/>
      <c r="AF42" s="48"/>
      <c r="AG42" s="48"/>
      <c r="AH42" s="48"/>
      <c r="AI42" s="48"/>
      <c r="AJ42" s="48"/>
      <c r="AK42" s="48"/>
      <c r="AL42" s="48"/>
      <c r="AM42" s="48"/>
      <c r="AN42" s="48"/>
    </row>
    <row r="43" ht="15.75" customHeight="1">
      <c r="A43" s="5" t="str">
        <f t="shared" si="1"/>
        <v>Véhicules neufsSalaires commis</v>
      </c>
      <c r="B43" s="48" t="str">
        <f t="shared" si="2"/>
        <v>Véhicules neufs</v>
      </c>
      <c r="C43" s="560" t="s">
        <v>120</v>
      </c>
      <c r="D43" s="546"/>
      <c r="E43" s="48"/>
      <c r="F43" s="473">
        <v>0.0</v>
      </c>
      <c r="G43" s="547"/>
      <c r="H43" s="48"/>
      <c r="I43" s="473">
        <v>0.0</v>
      </c>
      <c r="J43" s="480"/>
      <c r="K43" s="48"/>
      <c r="L43" s="476">
        <v>58410.86</v>
      </c>
      <c r="M43" s="480"/>
      <c r="N43" s="484">
        <f t="shared" si="23"/>
        <v>58410.86</v>
      </c>
      <c r="O43" s="480"/>
      <c r="P43" s="48"/>
      <c r="Q43" s="476">
        <v>81357.58</v>
      </c>
      <c r="R43" s="480"/>
      <c r="S43" s="484">
        <f t="shared" si="25"/>
        <v>-22946.72</v>
      </c>
      <c r="T43" s="48"/>
      <c r="U43" s="48"/>
      <c r="V43" s="48"/>
      <c r="W43" s="48"/>
      <c r="X43" s="48"/>
      <c r="Y43" s="48"/>
      <c r="Z43" s="48"/>
      <c r="AA43" s="48"/>
      <c r="AB43" s="48"/>
      <c r="AC43" s="48"/>
      <c r="AD43" s="48"/>
      <c r="AE43" s="48"/>
      <c r="AF43" s="48"/>
      <c r="AG43" s="48"/>
      <c r="AH43" s="48"/>
      <c r="AI43" s="48"/>
      <c r="AJ43" s="48"/>
      <c r="AK43" s="48"/>
      <c r="AL43" s="48"/>
      <c r="AM43" s="48"/>
      <c r="AN43" s="48"/>
    </row>
    <row r="44" ht="15.75" customHeight="1">
      <c r="A44" s="5" t="str">
        <f t="shared" si="1"/>
        <v>Véhicules neufsSalaires autres</v>
      </c>
      <c r="B44" s="48" t="str">
        <f t="shared" si="2"/>
        <v>Véhicules neufs</v>
      </c>
      <c r="C44" s="559" t="s">
        <v>121</v>
      </c>
      <c r="D44" s="561"/>
      <c r="E44" s="562"/>
      <c r="F44" s="481">
        <v>0.0</v>
      </c>
      <c r="G44" s="563"/>
      <c r="H44" s="562"/>
      <c r="I44" s="481">
        <v>0.0</v>
      </c>
      <c r="J44" s="466"/>
      <c r="K44" s="562"/>
      <c r="L44" s="483">
        <v>17345.65</v>
      </c>
      <c r="M44" s="466"/>
      <c r="N44" s="523">
        <f t="shared" si="23"/>
        <v>17345.65</v>
      </c>
      <c r="O44" s="466"/>
      <c r="P44" s="562"/>
      <c r="Q44" s="483">
        <v>4473.329999999998</v>
      </c>
      <c r="R44" s="466"/>
      <c r="S44" s="523">
        <f t="shared" si="25"/>
        <v>12872.32</v>
      </c>
      <c r="T44" s="48"/>
      <c r="U44" s="48"/>
      <c r="V44" s="48"/>
      <c r="W44" s="48"/>
      <c r="X44" s="48"/>
      <c r="Y44" s="48"/>
      <c r="Z44" s="48"/>
      <c r="AA44" s="48"/>
      <c r="AB44" s="48"/>
      <c r="AC44" s="48"/>
      <c r="AD44" s="48"/>
      <c r="AE44" s="48"/>
      <c r="AF44" s="48"/>
      <c r="AG44" s="48"/>
      <c r="AH44" s="48"/>
      <c r="AI44" s="48"/>
      <c r="AJ44" s="48"/>
      <c r="AK44" s="48"/>
      <c r="AL44" s="48"/>
      <c r="AM44" s="48"/>
      <c r="AN44" s="48"/>
    </row>
    <row r="45" ht="20.25" hidden="1" customHeight="1">
      <c r="A45" s="5" t="str">
        <f t="shared" si="1"/>
        <v>Véhicules neufsSalaires spécialistes</v>
      </c>
      <c r="B45" s="48" t="str">
        <f t="shared" si="2"/>
        <v>Véhicules neufs</v>
      </c>
      <c r="C45" s="559" t="s">
        <v>122</v>
      </c>
      <c r="D45" s="546"/>
      <c r="E45" s="48"/>
      <c r="F45" s="481">
        <v>0.0</v>
      </c>
      <c r="G45" s="547"/>
      <c r="H45" s="48"/>
      <c r="I45" s="481">
        <v>0.0</v>
      </c>
      <c r="J45" s="480"/>
      <c r="K45" s="48"/>
      <c r="L45" s="483">
        <v>0.0</v>
      </c>
      <c r="M45" s="480"/>
      <c r="N45" s="484">
        <f t="shared" si="23"/>
        <v>0</v>
      </c>
      <c r="O45" s="480"/>
      <c r="P45" s="48"/>
      <c r="Q45" s="483">
        <v>0.0</v>
      </c>
      <c r="R45" s="480"/>
      <c r="S45" s="484">
        <f t="shared" si="25"/>
        <v>0</v>
      </c>
      <c r="T45" s="48"/>
      <c r="U45" s="48"/>
      <c r="V45" s="48"/>
      <c r="W45" s="48"/>
      <c r="X45" s="48"/>
      <c r="Y45" s="48"/>
      <c r="Z45" s="48"/>
      <c r="AA45" s="48"/>
      <c r="AB45" s="48"/>
      <c r="AC45" s="48"/>
      <c r="AD45" s="48"/>
      <c r="AE45" s="48"/>
      <c r="AF45" s="48"/>
      <c r="AG45" s="48"/>
      <c r="AH45" s="48"/>
      <c r="AI45" s="48"/>
      <c r="AJ45" s="48"/>
      <c r="AK45" s="48"/>
      <c r="AL45" s="48"/>
      <c r="AM45" s="48"/>
      <c r="AN45" s="48"/>
    </row>
    <row r="46" ht="20.25" hidden="1" customHeight="1">
      <c r="A46" s="5" t="str">
        <f t="shared" si="1"/>
        <v>Véhicules neufs[...]</v>
      </c>
      <c r="B46" s="48" t="str">
        <f t="shared" si="2"/>
        <v>Véhicules neufs</v>
      </c>
      <c r="C46" s="559" t="s">
        <v>56</v>
      </c>
      <c r="D46" s="546"/>
      <c r="E46" s="48"/>
      <c r="F46" s="481">
        <v>0.0</v>
      </c>
      <c r="G46" s="547"/>
      <c r="H46" s="48"/>
      <c r="I46" s="481">
        <v>0.0</v>
      </c>
      <c r="J46" s="480"/>
      <c r="K46" s="48"/>
      <c r="L46" s="483">
        <v>0.0</v>
      </c>
      <c r="M46" s="480"/>
      <c r="N46" s="484">
        <f t="shared" si="23"/>
        <v>0</v>
      </c>
      <c r="O46" s="480"/>
      <c r="P46" s="48"/>
      <c r="Q46" s="483">
        <v>0.0</v>
      </c>
      <c r="R46" s="480"/>
      <c r="S46" s="484">
        <f t="shared" si="25"/>
        <v>0</v>
      </c>
      <c r="T46" s="48"/>
      <c r="U46" s="48"/>
      <c r="V46" s="48"/>
      <c r="W46" s="48"/>
      <c r="X46" s="48"/>
      <c r="Y46" s="48"/>
      <c r="Z46" s="48"/>
      <c r="AA46" s="48"/>
      <c r="AB46" s="48"/>
      <c r="AC46" s="48"/>
      <c r="AD46" s="48"/>
      <c r="AE46" s="48"/>
      <c r="AF46" s="48"/>
      <c r="AG46" s="48"/>
      <c r="AH46" s="48"/>
      <c r="AI46" s="48"/>
      <c r="AJ46" s="48"/>
      <c r="AK46" s="48"/>
      <c r="AL46" s="48"/>
      <c r="AM46" s="48"/>
      <c r="AN46" s="48"/>
    </row>
    <row r="47" ht="20.25" hidden="1" customHeight="1">
      <c r="A47" s="5" t="str">
        <f t="shared" si="1"/>
        <v>Véhicules neufs[...]</v>
      </c>
      <c r="B47" s="48" t="str">
        <f t="shared" si="2"/>
        <v>Véhicules neufs</v>
      </c>
      <c r="C47" s="559" t="s">
        <v>56</v>
      </c>
      <c r="D47" s="546"/>
      <c r="E47" s="48"/>
      <c r="F47" s="481">
        <v>0.0</v>
      </c>
      <c r="G47" s="547"/>
      <c r="H47" s="48"/>
      <c r="I47" s="481">
        <v>0.0</v>
      </c>
      <c r="J47" s="480"/>
      <c r="K47" s="48"/>
      <c r="L47" s="483">
        <v>0.0</v>
      </c>
      <c r="M47" s="480"/>
      <c r="N47" s="484">
        <f t="shared" si="23"/>
        <v>0</v>
      </c>
      <c r="O47" s="480"/>
      <c r="P47" s="48"/>
      <c r="Q47" s="483">
        <v>0.0</v>
      </c>
      <c r="R47" s="480"/>
      <c r="S47" s="484">
        <f t="shared" si="25"/>
        <v>0</v>
      </c>
      <c r="T47" s="48"/>
      <c r="U47" s="48"/>
      <c r="V47" s="48"/>
      <c r="W47" s="48"/>
      <c r="X47" s="48"/>
      <c r="Y47" s="48"/>
      <c r="Z47" s="48"/>
      <c r="AA47" s="48"/>
      <c r="AB47" s="48"/>
      <c r="AC47" s="48"/>
      <c r="AD47" s="48"/>
      <c r="AE47" s="48"/>
      <c r="AF47" s="48"/>
      <c r="AG47" s="48"/>
      <c r="AH47" s="48"/>
      <c r="AI47" s="48"/>
      <c r="AJ47" s="48"/>
      <c r="AK47" s="48"/>
      <c r="AL47" s="48"/>
      <c r="AM47" s="48"/>
      <c r="AN47" s="48"/>
    </row>
    <row r="48" ht="20.25" hidden="1" customHeight="1">
      <c r="A48" s="5" t="str">
        <f t="shared" si="1"/>
        <v>Véhicules neufs[...]</v>
      </c>
      <c r="B48" s="48" t="str">
        <f t="shared" si="2"/>
        <v>Véhicules neufs</v>
      </c>
      <c r="C48" s="559" t="s">
        <v>56</v>
      </c>
      <c r="D48" s="546"/>
      <c r="E48" s="48"/>
      <c r="F48" s="481">
        <v>0.0</v>
      </c>
      <c r="G48" s="547"/>
      <c r="H48" s="48"/>
      <c r="I48" s="481">
        <v>0.0</v>
      </c>
      <c r="J48" s="480"/>
      <c r="K48" s="48"/>
      <c r="L48" s="483">
        <v>0.0</v>
      </c>
      <c r="M48" s="480"/>
      <c r="N48" s="484">
        <f t="shared" si="23"/>
        <v>0</v>
      </c>
      <c r="O48" s="480"/>
      <c r="P48" s="48"/>
      <c r="Q48" s="483">
        <v>0.0</v>
      </c>
      <c r="R48" s="480"/>
      <c r="S48" s="484">
        <f t="shared" si="25"/>
        <v>0</v>
      </c>
      <c r="T48" s="48"/>
      <c r="U48" s="48"/>
      <c r="V48" s="48"/>
      <c r="W48" s="48"/>
      <c r="X48" s="48"/>
      <c r="Y48" s="48"/>
      <c r="Z48" s="48"/>
      <c r="AA48" s="48"/>
      <c r="AB48" s="48"/>
      <c r="AC48" s="48"/>
      <c r="AD48" s="48"/>
      <c r="AE48" s="48"/>
      <c r="AF48" s="48"/>
      <c r="AG48" s="48"/>
      <c r="AH48" s="48"/>
      <c r="AI48" s="48"/>
      <c r="AJ48" s="48"/>
      <c r="AK48" s="48"/>
      <c r="AL48" s="48"/>
      <c r="AM48" s="48"/>
      <c r="AN48" s="48"/>
    </row>
    <row r="49" ht="15.75" customHeight="1">
      <c r="A49" s="5" t="str">
        <f t="shared" si="1"/>
        <v>Véhicules neufsSalaires en absences</v>
      </c>
      <c r="B49" s="48" t="str">
        <f t="shared" si="2"/>
        <v>Véhicules neufs</v>
      </c>
      <c r="C49" s="560" t="s">
        <v>123</v>
      </c>
      <c r="D49" s="546"/>
      <c r="E49" s="48"/>
      <c r="F49" s="473">
        <v>0.0</v>
      </c>
      <c r="G49" s="547"/>
      <c r="H49" s="48"/>
      <c r="I49" s="473">
        <v>0.0</v>
      </c>
      <c r="J49" s="480"/>
      <c r="K49" s="48"/>
      <c r="L49" s="476">
        <v>25034.8</v>
      </c>
      <c r="M49" s="480"/>
      <c r="N49" s="484">
        <f t="shared" si="23"/>
        <v>25034.8</v>
      </c>
      <c r="O49" s="480"/>
      <c r="P49" s="48"/>
      <c r="Q49" s="476">
        <v>41718.759999999995</v>
      </c>
      <c r="R49" s="480"/>
      <c r="S49" s="484">
        <f t="shared" si="25"/>
        <v>-16683.96</v>
      </c>
      <c r="T49" s="48"/>
      <c r="U49" s="48"/>
      <c r="V49" s="48"/>
      <c r="W49" s="48"/>
      <c r="X49" s="40"/>
      <c r="Y49" s="48"/>
      <c r="Z49" s="48"/>
      <c r="AA49" s="48"/>
      <c r="AB49" s="48"/>
      <c r="AC49" s="48"/>
      <c r="AD49" s="48"/>
      <c r="AE49" s="48"/>
      <c r="AF49" s="48"/>
      <c r="AG49" s="48"/>
      <c r="AH49" s="48"/>
      <c r="AI49" s="48"/>
      <c r="AJ49" s="48"/>
      <c r="AK49" s="48"/>
      <c r="AL49" s="48"/>
      <c r="AM49" s="48"/>
      <c r="AN49" s="48"/>
    </row>
    <row r="50" ht="15.75" customHeight="1">
      <c r="A50" s="5" t="str">
        <f t="shared" si="1"/>
        <v>Véhicules neufsDéduction à la source</v>
      </c>
      <c r="B50" s="48" t="str">
        <f t="shared" si="2"/>
        <v>Véhicules neufs</v>
      </c>
      <c r="C50" s="559" t="s">
        <v>124</v>
      </c>
      <c r="D50" s="561"/>
      <c r="E50" s="562"/>
      <c r="F50" s="481">
        <v>0.0</v>
      </c>
      <c r="G50" s="563"/>
      <c r="H50" s="562"/>
      <c r="I50" s="481">
        <v>0.0</v>
      </c>
      <c r="J50" s="466"/>
      <c r="K50" s="562"/>
      <c r="L50" s="483">
        <v>46478.34</v>
      </c>
      <c r="M50" s="466"/>
      <c r="N50" s="523">
        <f t="shared" si="23"/>
        <v>46478.34</v>
      </c>
      <c r="O50" s="466"/>
      <c r="P50" s="562"/>
      <c r="Q50" s="483">
        <v>64873.12</v>
      </c>
      <c r="R50" s="466"/>
      <c r="S50" s="523">
        <f t="shared" si="25"/>
        <v>-18394.78</v>
      </c>
      <c r="T50" s="48"/>
      <c r="U50" s="48"/>
      <c r="V50" s="48"/>
      <c r="W50" s="48"/>
      <c r="X50" s="40"/>
      <c r="Y50" s="48"/>
      <c r="Z50" s="48"/>
      <c r="AA50" s="48"/>
      <c r="AB50" s="48"/>
      <c r="AC50" s="48"/>
      <c r="AD50" s="48"/>
      <c r="AE50" s="48"/>
      <c r="AF50" s="48"/>
      <c r="AG50" s="48"/>
      <c r="AH50" s="48"/>
      <c r="AI50" s="48"/>
      <c r="AJ50" s="48"/>
      <c r="AK50" s="48"/>
      <c r="AL50" s="48"/>
      <c r="AM50" s="48"/>
      <c r="AN50" s="48"/>
    </row>
    <row r="51" ht="15.75" customHeight="1">
      <c r="A51" s="5" t="str">
        <f t="shared" si="1"/>
        <v>Véhicules neufsBénéfices marginaux</v>
      </c>
      <c r="B51" s="48" t="str">
        <f t="shared" si="2"/>
        <v>Véhicules neufs</v>
      </c>
      <c r="C51" s="559" t="s">
        <v>125</v>
      </c>
      <c r="D51" s="546"/>
      <c r="E51" s="48"/>
      <c r="F51" s="481">
        <v>0.0</v>
      </c>
      <c r="G51" s="547"/>
      <c r="H51" s="48"/>
      <c r="I51" s="481">
        <v>0.0</v>
      </c>
      <c r="J51" s="480"/>
      <c r="K51" s="48"/>
      <c r="L51" s="483">
        <v>8125.049999999999</v>
      </c>
      <c r="M51" s="480"/>
      <c r="N51" s="484">
        <f t="shared" si="23"/>
        <v>8125.05</v>
      </c>
      <c r="O51" s="480"/>
      <c r="P51" s="48"/>
      <c r="Q51" s="483">
        <v>17993.96</v>
      </c>
      <c r="R51" s="480"/>
      <c r="S51" s="484">
        <f t="shared" si="25"/>
        <v>-9868.91</v>
      </c>
      <c r="T51" s="48"/>
      <c r="U51" s="48"/>
      <c r="V51" s="48"/>
      <c r="W51" s="48"/>
      <c r="X51" s="40"/>
      <c r="Y51" s="48"/>
      <c r="Z51" s="48"/>
      <c r="AA51" s="48"/>
      <c r="AB51" s="48"/>
      <c r="AC51" s="48"/>
      <c r="AD51" s="48"/>
      <c r="AE51" s="48"/>
      <c r="AF51" s="48"/>
      <c r="AG51" s="48"/>
      <c r="AH51" s="48"/>
      <c r="AI51" s="48"/>
      <c r="AJ51" s="48"/>
      <c r="AK51" s="48"/>
      <c r="AL51" s="48"/>
      <c r="AM51" s="48"/>
      <c r="AN51" s="48"/>
    </row>
    <row r="52" ht="15.75" customHeight="1">
      <c r="A52" s="5" t="str">
        <f t="shared" si="1"/>
        <v>Véhicules neufsCsst</v>
      </c>
      <c r="B52" s="48" t="str">
        <f t="shared" si="2"/>
        <v>Véhicules neufs</v>
      </c>
      <c r="C52" s="559" t="s">
        <v>126</v>
      </c>
      <c r="D52" s="546"/>
      <c r="E52" s="48"/>
      <c r="F52" s="481">
        <v>0.0</v>
      </c>
      <c r="G52" s="547"/>
      <c r="H52" s="48"/>
      <c r="I52" s="481">
        <v>0.0</v>
      </c>
      <c r="J52" s="480"/>
      <c r="K52" s="48"/>
      <c r="L52" s="483">
        <v>9253.050000000001</v>
      </c>
      <c r="M52" s="480"/>
      <c r="N52" s="484">
        <f t="shared" si="23"/>
        <v>9253.05</v>
      </c>
      <c r="O52" s="480"/>
      <c r="P52" s="48"/>
      <c r="Q52" s="483">
        <v>18.420000000000073</v>
      </c>
      <c r="R52" s="480"/>
      <c r="S52" s="484">
        <f t="shared" si="25"/>
        <v>9234.63</v>
      </c>
      <c r="T52" s="48"/>
      <c r="U52" s="48"/>
      <c r="V52" s="48"/>
      <c r="W52" s="48"/>
      <c r="X52" s="40"/>
      <c r="Y52" s="48"/>
      <c r="Z52" s="48"/>
      <c r="AA52" s="48"/>
      <c r="AB52" s="48"/>
      <c r="AC52" s="48"/>
      <c r="AD52" s="48"/>
      <c r="AE52" s="48"/>
      <c r="AF52" s="48"/>
      <c r="AG52" s="48"/>
      <c r="AH52" s="48"/>
      <c r="AI52" s="48"/>
      <c r="AJ52" s="48"/>
      <c r="AK52" s="48"/>
      <c r="AL52" s="48"/>
      <c r="AM52" s="48"/>
      <c r="AN52" s="48"/>
    </row>
    <row r="53" ht="20.25" hidden="1" customHeight="1">
      <c r="A53" s="5" t="str">
        <f t="shared" si="1"/>
        <v>Véhicules neufs[...]</v>
      </c>
      <c r="B53" s="48" t="str">
        <f t="shared" si="2"/>
        <v>Véhicules neufs</v>
      </c>
      <c r="C53" s="480" t="s">
        <v>56</v>
      </c>
      <c r="D53" s="549"/>
      <c r="E53" s="564"/>
      <c r="F53" s="481">
        <v>0.0</v>
      </c>
      <c r="G53" s="550"/>
      <c r="H53" s="564"/>
      <c r="I53" s="481">
        <v>0.0</v>
      </c>
      <c r="J53" s="471"/>
      <c r="K53" s="564"/>
      <c r="L53" s="484">
        <v>0.0</v>
      </c>
      <c r="M53" s="471"/>
      <c r="N53" s="476">
        <f t="shared" si="23"/>
        <v>0</v>
      </c>
      <c r="O53" s="471"/>
      <c r="P53" s="564"/>
      <c r="Q53" s="484">
        <v>0.0</v>
      </c>
      <c r="R53" s="471"/>
      <c r="S53" s="476">
        <f t="shared" si="25"/>
        <v>0</v>
      </c>
      <c r="T53" s="48"/>
      <c r="U53" s="48"/>
      <c r="V53" s="48"/>
      <c r="W53" s="48"/>
      <c r="X53" s="40"/>
      <c r="Y53" s="48"/>
      <c r="Z53" s="48"/>
      <c r="AA53" s="48"/>
      <c r="AB53" s="48"/>
      <c r="AC53" s="48"/>
      <c r="AD53" s="48"/>
      <c r="AE53" s="48"/>
      <c r="AF53" s="48"/>
      <c r="AG53" s="48"/>
      <c r="AH53" s="48"/>
      <c r="AI53" s="48"/>
      <c r="AJ53" s="48"/>
      <c r="AK53" s="48"/>
      <c r="AL53" s="48"/>
      <c r="AM53" s="48"/>
      <c r="AN53" s="48"/>
    </row>
    <row r="54" ht="18.0" customHeight="1">
      <c r="A54" s="5" t="str">
        <f t="shared" si="1"/>
        <v>Véhicules neufsTOTAL PERSONNEL</v>
      </c>
      <c r="B54" s="48" t="str">
        <f t="shared" si="2"/>
        <v>Véhicules neufs</v>
      </c>
      <c r="C54" s="552" t="s">
        <v>127</v>
      </c>
      <c r="D54" s="553" t="s">
        <v>225</v>
      </c>
      <c r="E54" s="554" t="str">
        <f>F54/F$27</f>
        <v>#DIV/0!</v>
      </c>
      <c r="F54" s="555">
        <f>+SUM(F42:F53)</f>
        <v>0</v>
      </c>
      <c r="G54" s="556" t="s">
        <v>225</v>
      </c>
      <c r="H54" s="554" t="str">
        <f>I54/I$27</f>
        <v>#DIV/0!</v>
      </c>
      <c r="I54" s="555">
        <f>+SUM(I42:I53)</f>
        <v>0</v>
      </c>
      <c r="J54" s="556" t="s">
        <v>225</v>
      </c>
      <c r="K54" s="554">
        <f>L54/L$27</f>
        <v>0.2861261766</v>
      </c>
      <c r="L54" s="555">
        <f>+SUM(L42:L53)</f>
        <v>197363.27</v>
      </c>
      <c r="M54" s="557"/>
      <c r="N54" s="555">
        <f>+SUM(N42:N53)</f>
        <v>197363.27</v>
      </c>
      <c r="O54" s="556" t="s">
        <v>225</v>
      </c>
      <c r="P54" s="554">
        <f>Q54/Q$27</f>
        <v>0.247088887</v>
      </c>
      <c r="Q54" s="555">
        <f>+SUM(Q42:Q53)</f>
        <v>260116.74</v>
      </c>
      <c r="R54" s="558"/>
      <c r="S54" s="555">
        <f>+SUM(S42:S53)</f>
        <v>-62753.47</v>
      </c>
      <c r="T54" s="48"/>
      <c r="U54" s="48"/>
      <c r="V54" s="48"/>
      <c r="W54" s="48"/>
      <c r="X54" s="48"/>
      <c r="Y54" s="48"/>
      <c r="Z54" s="48"/>
      <c r="AA54" s="48"/>
      <c r="AB54" s="48"/>
      <c r="AC54" s="48"/>
      <c r="AD54" s="48"/>
      <c r="AE54" s="48"/>
      <c r="AF54" s="48"/>
      <c r="AG54" s="48"/>
      <c r="AH54" s="48"/>
      <c r="AI54" s="48"/>
      <c r="AJ54" s="48"/>
      <c r="AK54" s="48"/>
      <c r="AL54" s="48"/>
      <c r="AM54" s="48"/>
      <c r="AN54" s="48"/>
    </row>
    <row r="55" ht="20.25" hidden="1" customHeight="1">
      <c r="A55" s="5" t="str">
        <f t="shared" si="1"/>
        <v>Véhicules neufsPublicité 2</v>
      </c>
      <c r="B55" s="48" t="str">
        <f t="shared" si="2"/>
        <v>Véhicules neufs</v>
      </c>
      <c r="C55" s="480" t="s">
        <v>128</v>
      </c>
      <c r="D55" s="546"/>
      <c r="E55" s="48"/>
      <c r="F55" s="481">
        <v>0.0</v>
      </c>
      <c r="G55" s="547"/>
      <c r="H55" s="48"/>
      <c r="I55" s="481">
        <v>0.0</v>
      </c>
      <c r="J55" s="480"/>
      <c r="K55" s="48"/>
      <c r="L55" s="484">
        <v>0.0</v>
      </c>
      <c r="M55" s="480"/>
      <c r="N55" s="484">
        <f t="shared" ref="N55:N71" si="26">L55-F55</f>
        <v>0</v>
      </c>
      <c r="O55" s="480"/>
      <c r="P55" s="48"/>
      <c r="Q55" s="484">
        <v>0.0</v>
      </c>
      <c r="R55" s="480"/>
      <c r="S55" s="484">
        <f t="shared" ref="S55:S71" si="27">L55-Q55</f>
        <v>0</v>
      </c>
      <c r="T55" s="483"/>
      <c r="U55" s="48"/>
      <c r="V55" s="48"/>
      <c r="W55" s="48"/>
      <c r="X55" s="40"/>
      <c r="Y55" s="48"/>
      <c r="Z55" s="48"/>
      <c r="AA55" s="48"/>
      <c r="AB55" s="48"/>
      <c r="AC55" s="48"/>
      <c r="AD55" s="48"/>
      <c r="AE55" s="48"/>
      <c r="AF55" s="48"/>
      <c r="AG55" s="48"/>
      <c r="AH55" s="48"/>
      <c r="AI55" s="48"/>
      <c r="AJ55" s="48"/>
      <c r="AK55" s="48"/>
      <c r="AL55" s="48"/>
      <c r="AM55" s="48"/>
      <c r="AN55" s="48"/>
    </row>
    <row r="56" ht="20.25" hidden="1" customHeight="1">
      <c r="A56" s="5" t="str">
        <f t="shared" si="1"/>
        <v>Véhicules neufsService gratuit 2</v>
      </c>
      <c r="B56" s="48" t="str">
        <f t="shared" si="2"/>
        <v>Véhicules neufs</v>
      </c>
      <c r="C56" s="480" t="s">
        <v>129</v>
      </c>
      <c r="D56" s="546"/>
      <c r="E56" s="48"/>
      <c r="F56" s="481">
        <v>0.0</v>
      </c>
      <c r="G56" s="547"/>
      <c r="H56" s="48"/>
      <c r="I56" s="481">
        <v>0.0</v>
      </c>
      <c r="J56" s="480"/>
      <c r="K56" s="48"/>
      <c r="L56" s="484">
        <v>0.0</v>
      </c>
      <c r="M56" s="480"/>
      <c r="N56" s="484">
        <f t="shared" si="26"/>
        <v>0</v>
      </c>
      <c r="O56" s="480"/>
      <c r="P56" s="48"/>
      <c r="Q56" s="484">
        <v>0.0</v>
      </c>
      <c r="R56" s="480"/>
      <c r="S56" s="484">
        <f t="shared" si="27"/>
        <v>0</v>
      </c>
      <c r="T56" s="483"/>
      <c r="U56" s="48"/>
      <c r="V56" s="48"/>
      <c r="W56" s="48"/>
      <c r="X56" s="40"/>
      <c r="Y56" s="48"/>
      <c r="Z56" s="48"/>
      <c r="AA56" s="48"/>
      <c r="AB56" s="48"/>
      <c r="AC56" s="48"/>
      <c r="AD56" s="48"/>
      <c r="AE56" s="48"/>
      <c r="AF56" s="48"/>
      <c r="AG56" s="48"/>
      <c r="AH56" s="48"/>
      <c r="AI56" s="48"/>
      <c r="AJ56" s="48"/>
      <c r="AK56" s="48"/>
      <c r="AL56" s="48"/>
      <c r="AM56" s="48"/>
      <c r="AN56" s="48"/>
    </row>
    <row r="57" ht="15.75" customHeight="1">
      <c r="A57" s="5" t="str">
        <f t="shared" si="1"/>
        <v>Véhicules neufsFrais véhicules de cie</v>
      </c>
      <c r="B57" s="48" t="str">
        <f t="shared" si="2"/>
        <v>Véhicules neufs</v>
      </c>
      <c r="C57" s="471" t="s">
        <v>130</v>
      </c>
      <c r="D57" s="549"/>
      <c r="E57" s="564"/>
      <c r="F57" s="473">
        <v>0.0</v>
      </c>
      <c r="G57" s="550"/>
      <c r="H57" s="564"/>
      <c r="I57" s="473">
        <v>0.0</v>
      </c>
      <c r="J57" s="471"/>
      <c r="K57" s="564"/>
      <c r="L57" s="476">
        <v>31666.980000000003</v>
      </c>
      <c r="M57" s="471"/>
      <c r="N57" s="476">
        <f t="shared" si="26"/>
        <v>31666.98</v>
      </c>
      <c r="O57" s="471"/>
      <c r="P57" s="564"/>
      <c r="Q57" s="476">
        <v>48032.11000000001</v>
      </c>
      <c r="R57" s="471"/>
      <c r="S57" s="476">
        <f t="shared" si="27"/>
        <v>-16365.13</v>
      </c>
      <c r="T57" s="503"/>
      <c r="U57" s="48"/>
      <c r="V57" s="48"/>
      <c r="W57" s="48"/>
      <c r="X57" s="40"/>
      <c r="Y57" s="48"/>
      <c r="Z57" s="48"/>
      <c r="AA57" s="48"/>
      <c r="AB57" s="48"/>
      <c r="AC57" s="48"/>
      <c r="AD57" s="48"/>
      <c r="AE57" s="48"/>
      <c r="AF57" s="48"/>
      <c r="AG57" s="48"/>
      <c r="AH57" s="48"/>
      <c r="AI57" s="48"/>
      <c r="AJ57" s="48"/>
      <c r="AK57" s="48"/>
      <c r="AL57" s="48"/>
      <c r="AM57" s="48"/>
      <c r="AN57" s="48"/>
    </row>
    <row r="58" ht="15.75" customHeight="1">
      <c r="A58" s="5" t="str">
        <f t="shared" si="1"/>
        <v>Véhicules neufsInformatique</v>
      </c>
      <c r="B58" s="48" t="str">
        <f t="shared" si="2"/>
        <v>Véhicules neufs</v>
      </c>
      <c r="C58" s="480" t="s">
        <v>131</v>
      </c>
      <c r="D58" s="546"/>
      <c r="E58" s="48"/>
      <c r="F58" s="481">
        <v>0.0</v>
      </c>
      <c r="G58" s="547"/>
      <c r="H58" s="48"/>
      <c r="I58" s="481">
        <v>0.0</v>
      </c>
      <c r="J58" s="480"/>
      <c r="K58" s="48"/>
      <c r="L58" s="484">
        <v>9504.55</v>
      </c>
      <c r="M58" s="480"/>
      <c r="N58" s="484">
        <f t="shared" si="26"/>
        <v>9504.55</v>
      </c>
      <c r="O58" s="480"/>
      <c r="P58" s="48"/>
      <c r="Q58" s="484">
        <v>13725.680000000002</v>
      </c>
      <c r="R58" s="480"/>
      <c r="S58" s="484">
        <f t="shared" si="27"/>
        <v>-4221.13</v>
      </c>
      <c r="T58" s="483"/>
      <c r="U58" s="48"/>
      <c r="V58" s="48"/>
      <c r="W58" s="48"/>
      <c r="X58" s="48"/>
      <c r="Y58" s="48"/>
      <c r="Z58" s="48"/>
      <c r="AA58" s="48"/>
      <c r="AB58" s="48"/>
      <c r="AC58" s="48"/>
      <c r="AD58" s="48"/>
      <c r="AE58" s="48"/>
      <c r="AF58" s="48"/>
      <c r="AG58" s="48"/>
      <c r="AH58" s="48"/>
      <c r="AI58" s="48"/>
      <c r="AJ58" s="48"/>
      <c r="AK58" s="48"/>
      <c r="AL58" s="48"/>
      <c r="AM58" s="48"/>
      <c r="AN58" s="48"/>
    </row>
    <row r="59" ht="15.75" customHeight="1">
      <c r="A59" s="5" t="str">
        <f t="shared" si="1"/>
        <v>Véhicules neufsFrais de déplacement</v>
      </c>
      <c r="B59" s="48" t="str">
        <f t="shared" si="2"/>
        <v>Véhicules neufs</v>
      </c>
      <c r="C59" s="480" t="s">
        <v>132</v>
      </c>
      <c r="D59" s="546"/>
      <c r="E59" s="48"/>
      <c r="F59" s="481">
        <v>0.0</v>
      </c>
      <c r="G59" s="547"/>
      <c r="H59" s="48"/>
      <c r="I59" s="481">
        <v>0.0</v>
      </c>
      <c r="J59" s="480"/>
      <c r="K59" s="48"/>
      <c r="L59" s="484">
        <v>12979.92</v>
      </c>
      <c r="M59" s="480"/>
      <c r="N59" s="484">
        <f t="shared" si="26"/>
        <v>12979.92</v>
      </c>
      <c r="O59" s="480"/>
      <c r="P59" s="48"/>
      <c r="Q59" s="484">
        <v>21199.94</v>
      </c>
      <c r="R59" s="480"/>
      <c r="S59" s="484">
        <f t="shared" si="27"/>
        <v>-8220.02</v>
      </c>
      <c r="T59" s="48"/>
      <c r="U59" s="48"/>
      <c r="V59" s="48"/>
      <c r="W59" s="48"/>
      <c r="X59" s="48"/>
      <c r="Y59" s="48"/>
      <c r="Z59" s="48"/>
      <c r="AA59" s="48"/>
      <c r="AB59" s="48"/>
      <c r="AC59" s="48"/>
      <c r="AD59" s="48"/>
      <c r="AE59" s="48"/>
      <c r="AF59" s="48"/>
      <c r="AG59" s="48"/>
      <c r="AH59" s="48"/>
      <c r="AI59" s="48"/>
      <c r="AJ59" s="48"/>
      <c r="AK59" s="48"/>
      <c r="AL59" s="48"/>
      <c r="AM59" s="48"/>
      <c r="AN59" s="48"/>
    </row>
    <row r="60" ht="15.75" customHeight="1">
      <c r="A60" s="5" t="str">
        <f t="shared" si="1"/>
        <v>Véhicules neufsServices extérieurs</v>
      </c>
      <c r="B60" s="48" t="str">
        <f t="shared" si="2"/>
        <v>Véhicules neufs</v>
      </c>
      <c r="C60" s="471" t="s">
        <v>133</v>
      </c>
      <c r="D60" s="549"/>
      <c r="E60" s="564"/>
      <c r="F60" s="473">
        <v>0.0</v>
      </c>
      <c r="G60" s="550"/>
      <c r="H60" s="564"/>
      <c r="I60" s="473">
        <v>0.0</v>
      </c>
      <c r="J60" s="471"/>
      <c r="K60" s="564"/>
      <c r="L60" s="476">
        <v>20718.25</v>
      </c>
      <c r="M60" s="471"/>
      <c r="N60" s="476">
        <f t="shared" si="26"/>
        <v>20718.25</v>
      </c>
      <c r="O60" s="471"/>
      <c r="P60" s="564"/>
      <c r="Q60" s="476">
        <v>22058.52</v>
      </c>
      <c r="R60" s="471"/>
      <c r="S60" s="476">
        <f t="shared" si="27"/>
        <v>-1340.27</v>
      </c>
      <c r="T60" s="48"/>
      <c r="U60" s="48"/>
      <c r="V60" s="48"/>
      <c r="W60" s="48"/>
      <c r="X60" s="48"/>
      <c r="Y60" s="48"/>
      <c r="Z60" s="48"/>
      <c r="AA60" s="48"/>
      <c r="AB60" s="48"/>
      <c r="AC60" s="48"/>
      <c r="AD60" s="48"/>
      <c r="AE60" s="48"/>
      <c r="AF60" s="48"/>
      <c r="AG60" s="48"/>
      <c r="AH60" s="48"/>
      <c r="AI60" s="48"/>
      <c r="AJ60" s="48"/>
      <c r="AK60" s="48"/>
      <c r="AL60" s="48"/>
      <c r="AM60" s="48"/>
      <c r="AN60" s="48"/>
    </row>
    <row r="61" ht="15.75" customHeight="1">
      <c r="A61" s="5" t="str">
        <f t="shared" si="1"/>
        <v>Véhicules neufsFournitures autres</v>
      </c>
      <c r="B61" s="48" t="str">
        <f t="shared" si="2"/>
        <v>Véhicules neufs</v>
      </c>
      <c r="C61" s="480" t="s">
        <v>134</v>
      </c>
      <c r="D61" s="546"/>
      <c r="E61" s="48"/>
      <c r="F61" s="481">
        <v>0.0</v>
      </c>
      <c r="G61" s="547"/>
      <c r="H61" s="48"/>
      <c r="I61" s="481">
        <v>0.0</v>
      </c>
      <c r="J61" s="480"/>
      <c r="K61" s="48"/>
      <c r="L61" s="484">
        <v>1447.7399999999998</v>
      </c>
      <c r="M61" s="480"/>
      <c r="N61" s="484">
        <f t="shared" si="26"/>
        <v>1447.74</v>
      </c>
      <c r="O61" s="480"/>
      <c r="P61" s="48"/>
      <c r="Q61" s="484">
        <v>2730.39</v>
      </c>
      <c r="R61" s="480"/>
      <c r="S61" s="484">
        <f t="shared" si="27"/>
        <v>-1282.65</v>
      </c>
      <c r="T61" s="48"/>
      <c r="U61" s="48"/>
      <c r="V61" s="48"/>
      <c r="W61" s="48"/>
      <c r="X61" s="48"/>
      <c r="Y61" s="48"/>
      <c r="Z61" s="48"/>
      <c r="AA61" s="48"/>
      <c r="AB61" s="48"/>
      <c r="AC61" s="48"/>
      <c r="AD61" s="48"/>
      <c r="AE61" s="48"/>
      <c r="AF61" s="48"/>
      <c r="AG61" s="48"/>
      <c r="AH61" s="48"/>
      <c r="AI61" s="48"/>
      <c r="AJ61" s="48"/>
      <c r="AK61" s="48"/>
      <c r="AL61" s="48"/>
      <c r="AM61" s="48"/>
      <c r="AN61" s="48"/>
    </row>
    <row r="62" ht="15.75" customHeight="1">
      <c r="A62" s="5" t="str">
        <f t="shared" si="1"/>
        <v>Véhicules neufsUniformes</v>
      </c>
      <c r="B62" s="48" t="str">
        <f t="shared" si="2"/>
        <v>Véhicules neufs</v>
      </c>
      <c r="C62" s="480" t="s">
        <v>135</v>
      </c>
      <c r="D62" s="546"/>
      <c r="E62" s="48"/>
      <c r="F62" s="481">
        <v>0.0</v>
      </c>
      <c r="G62" s="547"/>
      <c r="H62" s="48"/>
      <c r="I62" s="481">
        <v>0.0</v>
      </c>
      <c r="J62" s="480"/>
      <c r="K62" s="48"/>
      <c r="L62" s="484">
        <v>0.0</v>
      </c>
      <c r="M62" s="480"/>
      <c r="N62" s="484">
        <f t="shared" si="26"/>
        <v>0</v>
      </c>
      <c r="O62" s="480"/>
      <c r="P62" s="48"/>
      <c r="Q62" s="484">
        <v>0.0</v>
      </c>
      <c r="R62" s="480"/>
      <c r="S62" s="484">
        <f t="shared" si="27"/>
        <v>0</v>
      </c>
      <c r="T62" s="48"/>
      <c r="U62" s="48"/>
      <c r="V62" s="48"/>
      <c r="W62" s="48"/>
      <c r="X62" s="48"/>
      <c r="Y62" s="48"/>
      <c r="Z62" s="48"/>
      <c r="AA62" s="48"/>
      <c r="AB62" s="48"/>
      <c r="AC62" s="48"/>
      <c r="AD62" s="48"/>
      <c r="AE62" s="48"/>
      <c r="AF62" s="48"/>
      <c r="AG62" s="48"/>
      <c r="AH62" s="48"/>
      <c r="AI62" s="48"/>
      <c r="AJ62" s="48"/>
      <c r="AK62" s="48"/>
      <c r="AL62" s="48"/>
      <c r="AM62" s="48"/>
      <c r="AN62" s="48"/>
    </row>
    <row r="63" ht="15.75" customHeight="1">
      <c r="A63" s="5" t="str">
        <f t="shared" si="1"/>
        <v>Véhicules neufsPapeterie</v>
      </c>
      <c r="B63" s="48" t="str">
        <f t="shared" si="2"/>
        <v>Véhicules neufs</v>
      </c>
      <c r="C63" s="480" t="s">
        <v>136</v>
      </c>
      <c r="D63" s="546"/>
      <c r="E63" s="48"/>
      <c r="F63" s="481">
        <v>0.0</v>
      </c>
      <c r="G63" s="547"/>
      <c r="H63" s="48"/>
      <c r="I63" s="481">
        <v>0.0</v>
      </c>
      <c r="J63" s="480"/>
      <c r="K63" s="48"/>
      <c r="L63" s="484">
        <v>6154.18</v>
      </c>
      <c r="M63" s="480"/>
      <c r="N63" s="484">
        <f t="shared" si="26"/>
        <v>6154.18</v>
      </c>
      <c r="O63" s="480"/>
      <c r="P63" s="48"/>
      <c r="Q63" s="484">
        <v>7824.02</v>
      </c>
      <c r="R63" s="480"/>
      <c r="S63" s="484">
        <f t="shared" si="27"/>
        <v>-1669.84</v>
      </c>
      <c r="T63" s="48"/>
      <c r="U63" s="48"/>
      <c r="V63" s="48"/>
      <c r="W63" s="48"/>
      <c r="X63" s="48"/>
      <c r="Y63" s="48"/>
      <c r="Z63" s="48"/>
      <c r="AA63" s="48"/>
      <c r="AB63" s="48"/>
      <c r="AC63" s="48"/>
      <c r="AD63" s="48"/>
      <c r="AE63" s="48"/>
      <c r="AF63" s="48"/>
      <c r="AG63" s="48"/>
      <c r="AH63" s="48"/>
      <c r="AI63" s="48"/>
      <c r="AJ63" s="48"/>
      <c r="AK63" s="48"/>
      <c r="AL63" s="48"/>
      <c r="AM63" s="48"/>
      <c r="AN63" s="48"/>
    </row>
    <row r="64" ht="15.75" customHeight="1">
      <c r="A64" s="5" t="str">
        <f t="shared" si="1"/>
        <v>Véhicules neufsTéléphone</v>
      </c>
      <c r="B64" s="48" t="str">
        <f t="shared" si="2"/>
        <v>Véhicules neufs</v>
      </c>
      <c r="C64" s="480" t="s">
        <v>137</v>
      </c>
      <c r="D64" s="546"/>
      <c r="E64" s="48"/>
      <c r="F64" s="481">
        <v>0.0</v>
      </c>
      <c r="G64" s="547"/>
      <c r="H64" s="48"/>
      <c r="I64" s="481">
        <v>0.0</v>
      </c>
      <c r="J64" s="480"/>
      <c r="K64" s="48"/>
      <c r="L64" s="484">
        <v>2283.74</v>
      </c>
      <c r="M64" s="480"/>
      <c r="N64" s="484">
        <f t="shared" si="26"/>
        <v>2283.74</v>
      </c>
      <c r="O64" s="480"/>
      <c r="P64" s="48"/>
      <c r="Q64" s="484">
        <v>3700.4599999999996</v>
      </c>
      <c r="R64" s="480"/>
      <c r="S64" s="484">
        <f t="shared" si="27"/>
        <v>-1416.72</v>
      </c>
      <c r="T64" s="48"/>
      <c r="U64" s="48"/>
      <c r="V64" s="48"/>
      <c r="W64" s="48"/>
      <c r="X64" s="48"/>
      <c r="Y64" s="48"/>
      <c r="Z64" s="48"/>
      <c r="AA64" s="48"/>
      <c r="AB64" s="48"/>
      <c r="AC64" s="48"/>
      <c r="AD64" s="48"/>
      <c r="AE64" s="48"/>
      <c r="AF64" s="48"/>
      <c r="AG64" s="48"/>
      <c r="AH64" s="48"/>
      <c r="AI64" s="48"/>
      <c r="AJ64" s="48"/>
      <c r="AK64" s="48"/>
      <c r="AL64" s="48"/>
      <c r="AM64" s="48"/>
      <c r="AN64" s="48"/>
    </row>
    <row r="65" ht="15.75" customHeight="1">
      <c r="A65" s="5" t="str">
        <f t="shared" si="1"/>
        <v>Véhicules neufsFrais postaux</v>
      </c>
      <c r="B65" s="48" t="str">
        <f t="shared" si="2"/>
        <v>Véhicules neufs</v>
      </c>
      <c r="C65" s="480" t="s">
        <v>138</v>
      </c>
      <c r="D65" s="546"/>
      <c r="E65" s="48"/>
      <c r="F65" s="481">
        <v>0.0</v>
      </c>
      <c r="G65" s="547"/>
      <c r="H65" s="48"/>
      <c r="I65" s="481">
        <v>0.0</v>
      </c>
      <c r="J65" s="480"/>
      <c r="K65" s="48"/>
      <c r="L65" s="484">
        <v>6230.0199999999995</v>
      </c>
      <c r="M65" s="480"/>
      <c r="N65" s="484">
        <f t="shared" si="26"/>
        <v>6230.02</v>
      </c>
      <c r="O65" s="480"/>
      <c r="P65" s="48"/>
      <c r="Q65" s="484">
        <v>3892.86</v>
      </c>
      <c r="R65" s="480"/>
      <c r="S65" s="484">
        <f t="shared" si="27"/>
        <v>2337.16</v>
      </c>
      <c r="T65" s="48"/>
      <c r="U65" s="48"/>
      <c r="V65" s="48"/>
      <c r="W65" s="48"/>
      <c r="X65" s="48"/>
      <c r="Y65" s="48"/>
      <c r="Z65" s="48"/>
      <c r="AA65" s="48"/>
      <c r="AB65" s="48"/>
      <c r="AC65" s="48"/>
      <c r="AD65" s="48"/>
      <c r="AE65" s="48"/>
      <c r="AF65" s="48"/>
      <c r="AG65" s="48"/>
      <c r="AH65" s="48"/>
      <c r="AI65" s="48"/>
      <c r="AJ65" s="48"/>
      <c r="AK65" s="48"/>
      <c r="AL65" s="48"/>
      <c r="AM65" s="48"/>
      <c r="AN65" s="48"/>
    </row>
    <row r="66" ht="15.75" customHeight="1">
      <c r="A66" s="5" t="str">
        <f t="shared" si="1"/>
        <v>Véhicules neufsDivers</v>
      </c>
      <c r="B66" s="48" t="str">
        <f t="shared" si="2"/>
        <v>Véhicules neufs</v>
      </c>
      <c r="C66" s="480" t="s">
        <v>139</v>
      </c>
      <c r="D66" s="546"/>
      <c r="E66" s="48"/>
      <c r="F66" s="481">
        <v>0.0</v>
      </c>
      <c r="G66" s="547"/>
      <c r="H66" s="48"/>
      <c r="I66" s="481">
        <v>0.0</v>
      </c>
      <c r="J66" s="480"/>
      <c r="K66" s="48"/>
      <c r="L66" s="484">
        <v>8205.87</v>
      </c>
      <c r="M66" s="480"/>
      <c r="N66" s="484">
        <f t="shared" si="26"/>
        <v>8205.87</v>
      </c>
      <c r="O66" s="480"/>
      <c r="P66" s="48"/>
      <c r="Q66" s="484">
        <v>11825.919999999998</v>
      </c>
      <c r="R66" s="480"/>
      <c r="S66" s="484">
        <f t="shared" si="27"/>
        <v>-3620.05</v>
      </c>
      <c r="T66" s="48"/>
      <c r="U66" s="48"/>
      <c r="V66" s="48"/>
      <c r="W66" s="48"/>
      <c r="X66" s="48"/>
      <c r="Y66" s="48"/>
      <c r="Z66" s="48"/>
      <c r="AA66" s="48"/>
      <c r="AB66" s="48"/>
      <c r="AC66" s="48"/>
      <c r="AD66" s="48"/>
      <c r="AE66" s="48"/>
      <c r="AF66" s="48"/>
      <c r="AG66" s="48"/>
      <c r="AH66" s="48"/>
      <c r="AI66" s="48"/>
      <c r="AJ66" s="48"/>
      <c r="AK66" s="48"/>
      <c r="AL66" s="48"/>
      <c r="AM66" s="48"/>
      <c r="AN66" s="48"/>
    </row>
    <row r="67" ht="15.75" customHeight="1">
      <c r="A67" s="5" t="str">
        <f t="shared" si="1"/>
        <v>Véhicules neufsFormation</v>
      </c>
      <c r="B67" s="48" t="str">
        <f t="shared" si="2"/>
        <v>Véhicules neufs</v>
      </c>
      <c r="C67" s="480" t="s">
        <v>140</v>
      </c>
      <c r="D67" s="546"/>
      <c r="E67" s="48"/>
      <c r="F67" s="481">
        <v>0.0</v>
      </c>
      <c r="G67" s="547"/>
      <c r="H67" s="48"/>
      <c r="I67" s="481">
        <v>0.0</v>
      </c>
      <c r="J67" s="480"/>
      <c r="K67" s="48"/>
      <c r="L67" s="484">
        <v>7230.999999999999</v>
      </c>
      <c r="M67" s="480"/>
      <c r="N67" s="484">
        <f t="shared" si="26"/>
        <v>7231</v>
      </c>
      <c r="O67" s="480"/>
      <c r="P67" s="48"/>
      <c r="Q67" s="484">
        <v>1995.0299999999997</v>
      </c>
      <c r="R67" s="480"/>
      <c r="S67" s="484">
        <f t="shared" si="27"/>
        <v>5235.97</v>
      </c>
      <c r="T67" s="48"/>
      <c r="U67" s="5"/>
      <c r="X67" s="48"/>
      <c r="Y67" s="48"/>
      <c r="Z67" s="48"/>
      <c r="AA67" s="48"/>
      <c r="AB67" s="48"/>
      <c r="AC67" s="48"/>
      <c r="AD67" s="48"/>
      <c r="AE67" s="48"/>
      <c r="AF67" s="48"/>
      <c r="AG67" s="48"/>
      <c r="AH67" s="48"/>
      <c r="AI67" s="48"/>
      <c r="AJ67" s="48"/>
      <c r="AK67" s="48"/>
      <c r="AL67" s="48"/>
      <c r="AM67" s="48"/>
      <c r="AN67" s="48"/>
    </row>
    <row r="68" ht="15.75" customHeight="1">
      <c r="A68" s="5" t="str">
        <f t="shared" si="1"/>
        <v>Véhicules neufsFrais bancaires</v>
      </c>
      <c r="B68" s="48" t="str">
        <f t="shared" si="2"/>
        <v>Véhicules neufs</v>
      </c>
      <c r="C68" s="480" t="s">
        <v>141</v>
      </c>
      <c r="D68" s="546"/>
      <c r="E68" s="48"/>
      <c r="F68" s="481">
        <v>0.0</v>
      </c>
      <c r="G68" s="547"/>
      <c r="H68" s="48"/>
      <c r="I68" s="481">
        <v>0.0</v>
      </c>
      <c r="J68" s="480"/>
      <c r="K68" s="48"/>
      <c r="L68" s="484">
        <v>5397.880000000001</v>
      </c>
      <c r="M68" s="480"/>
      <c r="N68" s="484">
        <f t="shared" si="26"/>
        <v>5397.88</v>
      </c>
      <c r="O68" s="480"/>
      <c r="P68" s="48"/>
      <c r="Q68" s="484">
        <v>986.9200000000001</v>
      </c>
      <c r="R68" s="480"/>
      <c r="S68" s="484">
        <f t="shared" si="27"/>
        <v>4410.96</v>
      </c>
      <c r="T68" s="48"/>
      <c r="X68" s="48"/>
      <c r="Y68" s="48"/>
      <c r="Z68" s="48"/>
      <c r="AA68" s="48"/>
      <c r="AB68" s="48"/>
      <c r="AC68" s="48"/>
      <c r="AD68" s="48"/>
      <c r="AE68" s="48"/>
      <c r="AF68" s="48"/>
      <c r="AG68" s="48"/>
      <c r="AH68" s="48"/>
      <c r="AI68" s="48"/>
      <c r="AJ68" s="48"/>
      <c r="AK68" s="48"/>
      <c r="AL68" s="48"/>
      <c r="AM68" s="48"/>
      <c r="AN68" s="48"/>
    </row>
    <row r="69" ht="20.25" hidden="1" customHeight="1">
      <c r="A69" s="5" t="str">
        <f t="shared" si="1"/>
        <v>Véhicules neufs[...]</v>
      </c>
      <c r="B69" s="48" t="str">
        <f t="shared" si="2"/>
        <v>Véhicules neufs</v>
      </c>
      <c r="C69" s="480" t="s">
        <v>56</v>
      </c>
      <c r="D69" s="546"/>
      <c r="E69" s="48"/>
      <c r="F69" s="481">
        <v>0.0</v>
      </c>
      <c r="G69" s="547"/>
      <c r="H69" s="48"/>
      <c r="I69" s="481">
        <v>0.0</v>
      </c>
      <c r="J69" s="480"/>
      <c r="K69" s="48"/>
      <c r="L69" s="484">
        <v>0.0</v>
      </c>
      <c r="M69" s="480"/>
      <c r="N69" s="484">
        <f t="shared" si="26"/>
        <v>0</v>
      </c>
      <c r="O69" s="480"/>
      <c r="P69" s="48"/>
      <c r="Q69" s="484">
        <v>0.0</v>
      </c>
      <c r="R69" s="480"/>
      <c r="S69" s="484">
        <f t="shared" si="27"/>
        <v>0</v>
      </c>
      <c r="T69" s="48"/>
      <c r="X69" s="48"/>
      <c r="Y69" s="48"/>
      <c r="Z69" s="48"/>
      <c r="AA69" s="48"/>
      <c r="AB69" s="48"/>
      <c r="AC69" s="48"/>
      <c r="AD69" s="48"/>
      <c r="AE69" s="48"/>
      <c r="AF69" s="48"/>
      <c r="AG69" s="48"/>
      <c r="AH69" s="48"/>
      <c r="AI69" s="48"/>
      <c r="AJ69" s="48"/>
      <c r="AK69" s="48"/>
      <c r="AL69" s="48"/>
      <c r="AM69" s="48"/>
      <c r="AN69" s="48"/>
    </row>
    <row r="70" ht="20.25" hidden="1" customHeight="1">
      <c r="A70" s="5" t="str">
        <f t="shared" si="1"/>
        <v>Véhicules neufs[...]</v>
      </c>
      <c r="B70" s="48" t="str">
        <f t="shared" si="2"/>
        <v>Véhicules neufs</v>
      </c>
      <c r="C70" s="480" t="s">
        <v>56</v>
      </c>
      <c r="D70" s="546"/>
      <c r="E70" s="48"/>
      <c r="F70" s="481">
        <v>0.0</v>
      </c>
      <c r="G70" s="547"/>
      <c r="H70" s="48"/>
      <c r="I70" s="481">
        <v>0.0</v>
      </c>
      <c r="J70" s="480"/>
      <c r="K70" s="48"/>
      <c r="L70" s="484">
        <v>0.0</v>
      </c>
      <c r="M70" s="480"/>
      <c r="N70" s="484">
        <f t="shared" si="26"/>
        <v>0</v>
      </c>
      <c r="O70" s="480"/>
      <c r="P70" s="48"/>
      <c r="Q70" s="484">
        <v>0.0</v>
      </c>
      <c r="R70" s="480"/>
      <c r="S70" s="484">
        <f t="shared" si="27"/>
        <v>0</v>
      </c>
      <c r="T70" s="48"/>
      <c r="X70" s="48"/>
      <c r="Y70" s="48"/>
      <c r="Z70" s="48"/>
      <c r="AA70" s="48"/>
      <c r="AB70" s="48"/>
      <c r="AC70" s="48"/>
      <c r="AD70" s="48"/>
      <c r="AE70" s="48"/>
      <c r="AF70" s="48"/>
      <c r="AG70" s="48"/>
      <c r="AH70" s="48"/>
      <c r="AI70" s="48"/>
      <c r="AJ70" s="48"/>
      <c r="AK70" s="48"/>
      <c r="AL70" s="48"/>
      <c r="AM70" s="48"/>
      <c r="AN70" s="48"/>
    </row>
    <row r="71" ht="20.25" hidden="1" customHeight="1">
      <c r="A71" s="5" t="str">
        <f t="shared" si="1"/>
        <v>Véhicules neufs[...]</v>
      </c>
      <c r="B71" s="48" t="str">
        <f t="shared" si="2"/>
        <v>Véhicules neufs</v>
      </c>
      <c r="C71" s="480" t="s">
        <v>56</v>
      </c>
      <c r="D71" s="546"/>
      <c r="E71" s="48"/>
      <c r="F71" s="481">
        <v>0.0</v>
      </c>
      <c r="G71" s="547"/>
      <c r="H71" s="48"/>
      <c r="I71" s="481">
        <v>0.0</v>
      </c>
      <c r="J71" s="480"/>
      <c r="K71" s="48"/>
      <c r="L71" s="484">
        <v>0.0</v>
      </c>
      <c r="M71" s="480"/>
      <c r="N71" s="484">
        <f t="shared" si="26"/>
        <v>0</v>
      </c>
      <c r="O71" s="480"/>
      <c r="P71" s="48"/>
      <c r="Q71" s="484">
        <v>0.0</v>
      </c>
      <c r="R71" s="480"/>
      <c r="S71" s="484">
        <f t="shared" si="27"/>
        <v>0</v>
      </c>
      <c r="T71" s="48"/>
      <c r="X71" s="48"/>
      <c r="Y71" s="48"/>
      <c r="Z71" s="48"/>
      <c r="AA71" s="48"/>
      <c r="AB71" s="48"/>
      <c r="AC71" s="48"/>
      <c r="AD71" s="48"/>
      <c r="AE71" s="48"/>
      <c r="AF71" s="48"/>
      <c r="AG71" s="48"/>
      <c r="AH71" s="48"/>
      <c r="AI71" s="48"/>
      <c r="AJ71" s="48"/>
      <c r="AK71" s="48"/>
      <c r="AL71" s="48"/>
      <c r="AM71" s="48"/>
      <c r="AN71" s="48"/>
    </row>
    <row r="72" ht="18.0" customHeight="1">
      <c r="A72" s="5" t="str">
        <f t="shared" si="1"/>
        <v>Véhicules neufsTOTAL SEMI-FIXES</v>
      </c>
      <c r="B72" s="48" t="str">
        <f t="shared" si="2"/>
        <v>Véhicules neufs</v>
      </c>
      <c r="C72" s="552" t="s">
        <v>142</v>
      </c>
      <c r="D72" s="553" t="s">
        <v>225</v>
      </c>
      <c r="E72" s="554" t="str">
        <f>F72/F$27</f>
        <v>#DIV/0!</v>
      </c>
      <c r="F72" s="555">
        <f>+SUM(F55:F71)</f>
        <v>0</v>
      </c>
      <c r="G72" s="556" t="s">
        <v>225</v>
      </c>
      <c r="H72" s="554" t="str">
        <f>I72/I$27</f>
        <v>#DIV/0!</v>
      </c>
      <c r="I72" s="555">
        <f>+SUM(I55:I71)</f>
        <v>0</v>
      </c>
      <c r="J72" s="556" t="s">
        <v>225</v>
      </c>
      <c r="K72" s="554">
        <f>L72/L$27</f>
        <v>0.1621105399</v>
      </c>
      <c r="L72" s="555">
        <f>+SUM(L55:L71)</f>
        <v>111820.13</v>
      </c>
      <c r="M72" s="557"/>
      <c r="N72" s="555">
        <f>+SUM(N55:N71)</f>
        <v>111820.13</v>
      </c>
      <c r="O72" s="556" t="s">
        <v>225</v>
      </c>
      <c r="P72" s="554">
        <f>Q72/Q$27</f>
        <v>0.1310615797</v>
      </c>
      <c r="Q72" s="555">
        <f>+SUM(Q55:Q71)</f>
        <v>137971.85</v>
      </c>
      <c r="R72" s="558"/>
      <c r="S72" s="555">
        <f>+SUM(S55:S71)</f>
        <v>-26151.72</v>
      </c>
      <c r="T72" s="48"/>
      <c r="U72" s="48"/>
      <c r="V72" s="48"/>
      <c r="W72" s="48"/>
      <c r="X72" s="48"/>
      <c r="Y72" s="48"/>
      <c r="Z72" s="48"/>
      <c r="AA72" s="48"/>
      <c r="AB72" s="48"/>
      <c r="AC72" s="48"/>
      <c r="AD72" s="48"/>
      <c r="AE72" s="48"/>
      <c r="AF72" s="48"/>
      <c r="AG72" s="48"/>
      <c r="AH72" s="48"/>
      <c r="AI72" s="48"/>
      <c r="AJ72" s="48"/>
      <c r="AK72" s="48"/>
      <c r="AL72" s="48"/>
      <c r="AM72" s="48"/>
      <c r="AN72" s="48"/>
    </row>
    <row r="73" ht="15.75" customHeight="1">
      <c r="A73" s="5" t="str">
        <f t="shared" si="1"/>
        <v>Véhicules neufs</v>
      </c>
      <c r="B73" s="48" t="str">
        <f t="shared" si="2"/>
        <v>Véhicules neufs</v>
      </c>
      <c r="C73" s="471"/>
      <c r="D73" s="549"/>
      <c r="E73" s="564"/>
      <c r="F73" s="484"/>
      <c r="G73" s="550"/>
      <c r="H73" s="564"/>
      <c r="I73" s="484"/>
      <c r="J73" s="471"/>
      <c r="K73" s="564"/>
      <c r="L73" s="476"/>
      <c r="M73" s="471"/>
      <c r="N73" s="476"/>
      <c r="O73" s="471"/>
      <c r="P73" s="564"/>
      <c r="Q73" s="476"/>
      <c r="R73" s="471"/>
      <c r="S73" s="476"/>
      <c r="T73" s="48"/>
      <c r="U73" s="48"/>
      <c r="V73" s="48"/>
      <c r="W73" s="48"/>
      <c r="X73" s="48"/>
      <c r="Y73" s="48"/>
      <c r="Z73" s="48"/>
      <c r="AA73" s="48"/>
      <c r="AB73" s="48"/>
      <c r="AC73" s="48"/>
      <c r="AD73" s="48"/>
      <c r="AE73" s="48"/>
      <c r="AF73" s="48"/>
      <c r="AG73" s="48"/>
      <c r="AH73" s="48"/>
      <c r="AI73" s="48"/>
      <c r="AJ73" s="48"/>
      <c r="AK73" s="48"/>
      <c r="AL73" s="48"/>
      <c r="AM73" s="48"/>
      <c r="AN73" s="48"/>
    </row>
    <row r="74" ht="18.0" customHeight="1">
      <c r="A74" s="5" t="str">
        <f t="shared" si="1"/>
        <v>Véhicules neufsTOTAL DES DÉPENSES</v>
      </c>
      <c r="B74" s="48" t="str">
        <f t="shared" si="2"/>
        <v>Véhicules neufs</v>
      </c>
      <c r="C74" s="552" t="s">
        <v>143</v>
      </c>
      <c r="D74" s="553" t="s">
        <v>225</v>
      </c>
      <c r="E74" s="554" t="str">
        <f>F74/F$27</f>
        <v>#DIV/0!</v>
      </c>
      <c r="F74" s="555">
        <f>F41+F54+F72</f>
        <v>0</v>
      </c>
      <c r="G74" s="556" t="s">
        <v>225</v>
      </c>
      <c r="H74" s="554" t="str">
        <f>I74/I$27</f>
        <v>#DIV/0!</v>
      </c>
      <c r="I74" s="555">
        <f>I41+I54+I72</f>
        <v>0</v>
      </c>
      <c r="J74" s="556" t="s">
        <v>225</v>
      </c>
      <c r="K74" s="554">
        <f>L74/L$27</f>
        <v>0.1217919036</v>
      </c>
      <c r="L74" s="555">
        <f>L41+L54+L72</f>
        <v>84009.26</v>
      </c>
      <c r="M74" s="557"/>
      <c r="N74" s="555">
        <f t="shared" ref="N74:N82" si="28">L74-F74</f>
        <v>84009.26</v>
      </c>
      <c r="O74" s="556" t="s">
        <v>225</v>
      </c>
      <c r="P74" s="554">
        <f>Q74/Q$27</f>
        <v>0.1506496419</v>
      </c>
      <c r="Q74" s="555">
        <f>Q41+Q54+Q72</f>
        <v>158592.7</v>
      </c>
      <c r="R74" s="558"/>
      <c r="S74" s="555">
        <f t="shared" ref="S74:S82" si="29">L74-Q74</f>
        <v>-74583.44</v>
      </c>
      <c r="T74" s="48"/>
      <c r="U74" s="48"/>
      <c r="V74" s="48"/>
      <c r="W74" s="48"/>
      <c r="X74" s="48"/>
      <c r="Y74" s="48"/>
      <c r="Z74" s="48"/>
      <c r="AA74" s="48"/>
      <c r="AB74" s="48"/>
      <c r="AC74" s="48"/>
      <c r="AD74" s="48"/>
      <c r="AE74" s="48"/>
      <c r="AF74" s="48"/>
      <c r="AG74" s="48"/>
      <c r="AH74" s="48"/>
      <c r="AI74" s="48"/>
      <c r="AJ74" s="48"/>
      <c r="AK74" s="48"/>
      <c r="AL74" s="48"/>
      <c r="AM74" s="48"/>
      <c r="AN74" s="48"/>
    </row>
    <row r="75" ht="15.75" customHeight="1">
      <c r="A75" s="5" t="str">
        <f t="shared" si="1"/>
        <v>Véhicules neufsRBSC neuf</v>
      </c>
      <c r="B75" s="48" t="str">
        <f t="shared" si="2"/>
        <v>Véhicules neufs</v>
      </c>
      <c r="C75" s="480" t="s">
        <v>1113</v>
      </c>
      <c r="D75" s="546"/>
      <c r="E75" s="48"/>
      <c r="F75" s="481">
        <v>0.0</v>
      </c>
      <c r="G75" s="547"/>
      <c r="H75" s="48"/>
      <c r="I75" s="481">
        <v>0.0</v>
      </c>
      <c r="J75" s="480"/>
      <c r="K75" s="48"/>
      <c r="L75" s="484">
        <v>64325.369999999995</v>
      </c>
      <c r="M75" s="480"/>
      <c r="N75" s="484">
        <f t="shared" si="28"/>
        <v>64325.37</v>
      </c>
      <c r="O75" s="480"/>
      <c r="P75" s="48"/>
      <c r="Q75" s="484">
        <v>107656.29999999999</v>
      </c>
      <c r="R75" s="480"/>
      <c r="S75" s="484">
        <f t="shared" si="29"/>
        <v>-43330.93</v>
      </c>
      <c r="T75" s="48"/>
      <c r="U75" s="5"/>
      <c r="V75" s="48"/>
      <c r="W75" s="48"/>
      <c r="X75" s="48"/>
      <c r="Y75" s="48"/>
      <c r="Z75" s="48"/>
      <c r="AA75" s="48"/>
      <c r="AB75" s="48"/>
      <c r="AC75" s="48"/>
      <c r="AD75" s="48"/>
      <c r="AE75" s="48"/>
      <c r="AF75" s="48"/>
      <c r="AG75" s="48"/>
      <c r="AH75" s="48"/>
      <c r="AI75" s="48"/>
      <c r="AJ75" s="48"/>
      <c r="AK75" s="48"/>
      <c r="AL75" s="48"/>
      <c r="AM75" s="48"/>
      <c r="AN75" s="48"/>
    </row>
    <row r="76" ht="15.75" hidden="1" customHeight="1">
      <c r="A76" s="5" t="str">
        <f t="shared" si="1"/>
        <v>Véhicules neufsProgramme neuf 2</v>
      </c>
      <c r="B76" s="48" t="str">
        <f t="shared" si="2"/>
        <v>Véhicules neufs</v>
      </c>
      <c r="C76" s="566" t="s">
        <v>145</v>
      </c>
      <c r="D76" s="546"/>
      <c r="E76" s="48"/>
      <c r="F76" s="481">
        <v>0.0</v>
      </c>
      <c r="G76" s="547"/>
      <c r="H76" s="48"/>
      <c r="I76" s="481">
        <v>0.0</v>
      </c>
      <c r="J76" s="480"/>
      <c r="K76" s="48"/>
      <c r="L76" s="484">
        <v>0.0</v>
      </c>
      <c r="M76" s="480"/>
      <c r="N76" s="484">
        <f t="shared" si="28"/>
        <v>0</v>
      </c>
      <c r="O76" s="480"/>
      <c r="P76" s="48"/>
      <c r="Q76" s="484">
        <v>0.0</v>
      </c>
      <c r="R76" s="480"/>
      <c r="S76" s="484">
        <f t="shared" si="29"/>
        <v>0</v>
      </c>
      <c r="T76" s="48"/>
      <c r="U76" s="48"/>
      <c r="V76" s="48"/>
      <c r="W76" s="48"/>
      <c r="X76" s="48"/>
      <c r="Y76" s="48"/>
      <c r="Z76" s="48"/>
      <c r="AA76" s="48"/>
      <c r="AB76" s="48"/>
      <c r="AC76" s="48"/>
      <c r="AD76" s="48"/>
      <c r="AE76" s="48"/>
      <c r="AF76" s="48"/>
      <c r="AG76" s="48"/>
      <c r="AH76" s="48"/>
      <c r="AI76" s="48"/>
      <c r="AJ76" s="48"/>
      <c r="AK76" s="48"/>
      <c r="AL76" s="48"/>
      <c r="AM76" s="48"/>
      <c r="AN76" s="48"/>
    </row>
    <row r="77" ht="15.75" hidden="1" customHeight="1">
      <c r="A77" s="5" t="str">
        <f t="shared" si="1"/>
        <v>Véhicules neufsProgramme neuf 3</v>
      </c>
      <c r="B77" s="48" t="str">
        <f t="shared" si="2"/>
        <v>Véhicules neufs</v>
      </c>
      <c r="C77" s="566" t="s">
        <v>146</v>
      </c>
      <c r="D77" s="546"/>
      <c r="E77" s="48"/>
      <c r="F77" s="481">
        <v>0.0</v>
      </c>
      <c r="G77" s="547"/>
      <c r="H77" s="48"/>
      <c r="I77" s="481">
        <v>0.0</v>
      </c>
      <c r="J77" s="480"/>
      <c r="K77" s="48"/>
      <c r="L77" s="484">
        <v>0.0</v>
      </c>
      <c r="M77" s="480"/>
      <c r="N77" s="484">
        <f t="shared" si="28"/>
        <v>0</v>
      </c>
      <c r="O77" s="480"/>
      <c r="P77" s="48"/>
      <c r="Q77" s="484">
        <v>0.0</v>
      </c>
      <c r="R77" s="480"/>
      <c r="S77" s="484">
        <f t="shared" si="29"/>
        <v>0</v>
      </c>
      <c r="T77" s="48"/>
      <c r="U77" s="48"/>
      <c r="V77" s="48"/>
      <c r="W77" s="48"/>
      <c r="X77" s="48"/>
      <c r="Y77" s="48"/>
      <c r="Z77" s="48"/>
      <c r="AA77" s="48"/>
      <c r="AB77" s="48"/>
      <c r="AC77" s="48"/>
      <c r="AD77" s="48"/>
      <c r="AE77" s="48"/>
      <c r="AF77" s="48"/>
      <c r="AG77" s="48"/>
      <c r="AH77" s="48"/>
      <c r="AI77" s="48"/>
      <c r="AJ77" s="48"/>
      <c r="AK77" s="48"/>
      <c r="AL77" s="48"/>
      <c r="AM77" s="48"/>
      <c r="AN77" s="48"/>
    </row>
    <row r="78" ht="15.75" hidden="1" customHeight="1">
      <c r="A78" s="5" t="str">
        <f t="shared" si="1"/>
        <v>Véhicules neufsHoldbacks</v>
      </c>
      <c r="B78" s="48" t="str">
        <f t="shared" si="2"/>
        <v>Véhicules neufs</v>
      </c>
      <c r="C78" s="566" t="s">
        <v>147</v>
      </c>
      <c r="D78" s="546"/>
      <c r="E78" s="567"/>
      <c r="F78" s="481">
        <v>0.0</v>
      </c>
      <c r="G78" s="547"/>
      <c r="H78" s="48"/>
      <c r="I78" s="481">
        <v>0.0</v>
      </c>
      <c r="J78" s="568"/>
      <c r="K78" s="567"/>
      <c r="L78" s="484">
        <v>0.0</v>
      </c>
      <c r="M78" s="480"/>
      <c r="N78" s="484">
        <f t="shared" si="28"/>
        <v>0</v>
      </c>
      <c r="O78" s="568"/>
      <c r="P78" s="567"/>
      <c r="Q78" s="484">
        <v>0.0</v>
      </c>
      <c r="R78" s="480"/>
      <c r="S78" s="484">
        <f t="shared" si="29"/>
        <v>0</v>
      </c>
      <c r="T78" s="48"/>
      <c r="U78" s="48"/>
      <c r="V78" s="48"/>
      <c r="W78" s="48"/>
      <c r="X78" s="48"/>
      <c r="Y78" s="48"/>
      <c r="Z78" s="48"/>
      <c r="AA78" s="48"/>
      <c r="AB78" s="48"/>
      <c r="AC78" s="48"/>
      <c r="AD78" s="48"/>
      <c r="AE78" s="48"/>
      <c r="AF78" s="48"/>
      <c r="AG78" s="48"/>
      <c r="AH78" s="48"/>
      <c r="AI78" s="48"/>
      <c r="AJ78" s="48"/>
      <c r="AK78" s="48"/>
      <c r="AL78" s="48"/>
      <c r="AM78" s="48"/>
      <c r="AN78" s="48"/>
    </row>
    <row r="79" ht="15.75" hidden="1" customHeight="1">
      <c r="A79" s="5" t="str">
        <f t="shared" si="1"/>
        <v>Véhicules neufs[...]</v>
      </c>
      <c r="B79" s="48" t="str">
        <f t="shared" si="2"/>
        <v>Véhicules neufs</v>
      </c>
      <c r="C79" s="566" t="s">
        <v>56</v>
      </c>
      <c r="D79" s="546"/>
      <c r="E79" s="48"/>
      <c r="F79" s="481">
        <v>0.0</v>
      </c>
      <c r="G79" s="547"/>
      <c r="H79" s="48"/>
      <c r="I79" s="481">
        <v>0.0</v>
      </c>
      <c r="J79" s="480"/>
      <c r="K79" s="48"/>
      <c r="L79" s="484">
        <v>0.0</v>
      </c>
      <c r="M79" s="480"/>
      <c r="N79" s="484">
        <f t="shared" si="28"/>
        <v>0</v>
      </c>
      <c r="O79" s="480"/>
      <c r="P79" s="48"/>
      <c r="Q79" s="484">
        <v>0.0</v>
      </c>
      <c r="R79" s="480"/>
      <c r="S79" s="484">
        <f t="shared" si="29"/>
        <v>0</v>
      </c>
      <c r="T79" s="48"/>
      <c r="U79" s="48"/>
      <c r="V79" s="48"/>
      <c r="W79" s="48"/>
      <c r="X79" s="48"/>
      <c r="Y79" s="48"/>
      <c r="Z79" s="48"/>
      <c r="AA79" s="48"/>
      <c r="AB79" s="48"/>
      <c r="AC79" s="48"/>
      <c r="AD79" s="48"/>
      <c r="AE79" s="48"/>
      <c r="AF79" s="48"/>
      <c r="AG79" s="48"/>
      <c r="AH79" s="48"/>
      <c r="AI79" s="48"/>
      <c r="AJ79" s="48"/>
      <c r="AK79" s="48"/>
      <c r="AL79" s="48"/>
      <c r="AM79" s="48"/>
      <c r="AN79" s="48"/>
    </row>
    <row r="80" ht="15.75" hidden="1" customHeight="1">
      <c r="A80" s="5" t="str">
        <f t="shared" si="1"/>
        <v>Véhicules neufs[...]</v>
      </c>
      <c r="B80" s="48" t="str">
        <f t="shared" si="2"/>
        <v>Véhicules neufs</v>
      </c>
      <c r="C80" s="566" t="s">
        <v>56</v>
      </c>
      <c r="D80" s="546"/>
      <c r="E80" s="48"/>
      <c r="F80" s="481">
        <v>0.0</v>
      </c>
      <c r="G80" s="547"/>
      <c r="H80" s="48"/>
      <c r="I80" s="481">
        <v>0.0</v>
      </c>
      <c r="J80" s="480"/>
      <c r="K80" s="48"/>
      <c r="L80" s="484">
        <v>0.0</v>
      </c>
      <c r="M80" s="480"/>
      <c r="N80" s="484">
        <f t="shared" si="28"/>
        <v>0</v>
      </c>
      <c r="O80" s="480"/>
      <c r="P80" s="48"/>
      <c r="Q80" s="484">
        <v>0.0</v>
      </c>
      <c r="R80" s="480"/>
      <c r="S80" s="484">
        <f t="shared" si="29"/>
        <v>0</v>
      </c>
      <c r="T80" s="48"/>
      <c r="U80" s="48"/>
      <c r="V80" s="48"/>
      <c r="W80" s="48"/>
      <c r="X80" s="48"/>
      <c r="Y80" s="48"/>
      <c r="Z80" s="48"/>
      <c r="AA80" s="48"/>
      <c r="AB80" s="48"/>
      <c r="AC80" s="48"/>
      <c r="AD80" s="48"/>
      <c r="AE80" s="48"/>
      <c r="AF80" s="48"/>
      <c r="AG80" s="48"/>
      <c r="AH80" s="48"/>
      <c r="AI80" s="48"/>
      <c r="AJ80" s="48"/>
      <c r="AK80" s="48"/>
      <c r="AL80" s="48"/>
      <c r="AM80" s="48"/>
      <c r="AN80" s="48"/>
    </row>
    <row r="81" ht="15.75" hidden="1" customHeight="1">
      <c r="A81" s="5" t="str">
        <f t="shared" si="1"/>
        <v>Véhicules neufs[...]</v>
      </c>
      <c r="B81" s="48" t="str">
        <f t="shared" si="2"/>
        <v>Véhicules neufs</v>
      </c>
      <c r="C81" s="566" t="s">
        <v>56</v>
      </c>
      <c r="D81" s="546"/>
      <c r="E81" s="48"/>
      <c r="F81" s="481">
        <v>0.0</v>
      </c>
      <c r="G81" s="547"/>
      <c r="H81" s="48"/>
      <c r="I81" s="481">
        <v>0.0</v>
      </c>
      <c r="J81" s="480"/>
      <c r="K81" s="48"/>
      <c r="L81" s="484">
        <v>0.0</v>
      </c>
      <c r="M81" s="480"/>
      <c r="N81" s="484">
        <f t="shared" si="28"/>
        <v>0</v>
      </c>
      <c r="O81" s="480"/>
      <c r="P81" s="48"/>
      <c r="Q81" s="484">
        <v>0.0</v>
      </c>
      <c r="R81" s="480"/>
      <c r="S81" s="484">
        <f t="shared" si="29"/>
        <v>0</v>
      </c>
      <c r="T81" s="48"/>
      <c r="U81" s="48"/>
      <c r="V81" s="48"/>
      <c r="W81" s="48"/>
      <c r="X81" s="48"/>
      <c r="Y81" s="48"/>
      <c r="Z81" s="48"/>
      <c r="AA81" s="48"/>
      <c r="AB81" s="48"/>
      <c r="AC81" s="48"/>
      <c r="AD81" s="48"/>
      <c r="AE81" s="48"/>
      <c r="AF81" s="48"/>
      <c r="AG81" s="48"/>
      <c r="AH81" s="48"/>
      <c r="AI81" s="48"/>
      <c r="AJ81" s="48"/>
      <c r="AK81" s="48"/>
      <c r="AL81" s="48"/>
      <c r="AM81" s="48"/>
      <c r="AN81" s="48"/>
    </row>
    <row r="82" ht="15.75" customHeight="1">
      <c r="A82" s="5" t="str">
        <f t="shared" si="1"/>
        <v>Véhicules neufsFrais administration</v>
      </c>
      <c r="B82" s="48" t="str">
        <f t="shared" si="2"/>
        <v>Véhicules neufs</v>
      </c>
      <c r="C82" s="480" t="s">
        <v>148</v>
      </c>
      <c r="D82" s="569"/>
      <c r="E82" s="567"/>
      <c r="F82" s="481">
        <v>0.0</v>
      </c>
      <c r="G82" s="547"/>
      <c r="H82" s="48"/>
      <c r="I82" s="481">
        <v>0.0</v>
      </c>
      <c r="J82" s="570"/>
      <c r="K82" s="567"/>
      <c r="L82" s="484">
        <v>57318.0</v>
      </c>
      <c r="M82" s="480"/>
      <c r="N82" s="484">
        <f t="shared" si="28"/>
        <v>57318</v>
      </c>
      <c r="O82" s="570"/>
      <c r="P82" s="567"/>
      <c r="Q82" s="484">
        <v>0.0</v>
      </c>
      <c r="R82" s="480"/>
      <c r="S82" s="484">
        <f t="shared" si="29"/>
        <v>57318</v>
      </c>
      <c r="T82" s="48"/>
      <c r="U82" s="48"/>
      <c r="V82" s="48"/>
      <c r="W82" s="48"/>
      <c r="X82" s="48"/>
      <c r="Y82" s="48"/>
      <c r="Z82" s="48"/>
      <c r="AA82" s="48"/>
      <c r="AB82" s="48"/>
      <c r="AC82" s="48"/>
      <c r="AD82" s="48"/>
      <c r="AE82" s="48"/>
      <c r="AF82" s="48"/>
      <c r="AG82" s="48"/>
      <c r="AH82" s="48"/>
      <c r="AI82" s="48"/>
      <c r="AJ82" s="48"/>
      <c r="AK82" s="48"/>
      <c r="AL82" s="48"/>
      <c r="AM82" s="48"/>
      <c r="AN82" s="48"/>
    </row>
    <row r="83" ht="18.0" customHeight="1">
      <c r="A83" s="5" t="str">
        <f t="shared" si="1"/>
        <v>Véhicules neufsAUTRES REVENUS</v>
      </c>
      <c r="B83" s="48" t="str">
        <f t="shared" si="2"/>
        <v>Véhicules neufs</v>
      </c>
      <c r="C83" s="552" t="s">
        <v>149</v>
      </c>
      <c r="D83" s="553"/>
      <c r="E83" s="554"/>
      <c r="F83" s="555">
        <f>+SUM(F75:F82)</f>
        <v>0</v>
      </c>
      <c r="G83" s="556"/>
      <c r="H83" s="554"/>
      <c r="I83" s="555">
        <f>+SUM(I75:I82)</f>
        <v>0</v>
      </c>
      <c r="J83" s="556"/>
      <c r="K83" s="554"/>
      <c r="L83" s="555">
        <f>+SUM(L75:L82)</f>
        <v>121643.37</v>
      </c>
      <c r="M83" s="557"/>
      <c r="N83" s="555">
        <f>+SUM(N75:N82)</f>
        <v>121643.37</v>
      </c>
      <c r="O83" s="556"/>
      <c r="P83" s="554"/>
      <c r="Q83" s="555">
        <f>+SUM(Q75:Q82)</f>
        <v>107656.3</v>
      </c>
      <c r="R83" s="558"/>
      <c r="S83" s="555">
        <f>+SUM(S75:S82)</f>
        <v>13987.07</v>
      </c>
      <c r="T83" s="48"/>
      <c r="U83" s="48"/>
      <c r="V83" s="48"/>
      <c r="W83" s="48"/>
      <c r="X83" s="48"/>
      <c r="Y83" s="48"/>
      <c r="Z83" s="48"/>
      <c r="AA83" s="48"/>
      <c r="AB83" s="48"/>
      <c r="AC83" s="48"/>
      <c r="AD83" s="48"/>
      <c r="AE83" s="48"/>
      <c r="AF83" s="48"/>
      <c r="AG83" s="48"/>
      <c r="AH83" s="48"/>
      <c r="AI83" s="48"/>
      <c r="AJ83" s="48"/>
      <c r="AK83" s="48"/>
      <c r="AL83" s="48"/>
      <c r="AM83" s="48"/>
      <c r="AN83" s="48"/>
    </row>
    <row r="84" ht="15.75" customHeight="1">
      <c r="A84" s="5" t="str">
        <f t="shared" si="1"/>
        <v>Véhicules neufs</v>
      </c>
      <c r="B84" s="48" t="str">
        <f t="shared" si="2"/>
        <v>Véhicules neufs</v>
      </c>
      <c r="C84" s="571"/>
      <c r="D84" s="572"/>
      <c r="E84" s="573"/>
      <c r="F84" s="574"/>
      <c r="G84" s="575"/>
      <c r="H84" s="573"/>
      <c r="I84" s="574"/>
      <c r="J84" s="576"/>
      <c r="K84" s="577"/>
      <c r="L84" s="574"/>
      <c r="M84" s="576"/>
      <c r="N84" s="578"/>
      <c r="O84" s="576"/>
      <c r="P84" s="577"/>
      <c r="Q84" s="574"/>
      <c r="R84" s="576"/>
      <c r="S84" s="578"/>
      <c r="T84" s="48"/>
      <c r="U84" s="48"/>
      <c r="V84" s="48"/>
      <c r="W84" s="48"/>
      <c r="X84" s="48"/>
      <c r="Y84" s="48"/>
      <c r="Z84" s="48"/>
      <c r="AA84" s="48"/>
      <c r="AB84" s="48"/>
      <c r="AC84" s="48"/>
      <c r="AD84" s="48"/>
      <c r="AE84" s="48"/>
      <c r="AF84" s="48"/>
      <c r="AG84" s="48"/>
      <c r="AH84" s="48"/>
      <c r="AI84" s="48"/>
      <c r="AJ84" s="48"/>
      <c r="AK84" s="48"/>
      <c r="AL84" s="48"/>
      <c r="AM84" s="48"/>
      <c r="AN84" s="48"/>
    </row>
    <row r="85" ht="18.0" customHeight="1">
      <c r="A85" s="5" t="str">
        <f t="shared" si="1"/>
        <v>Véhicules neufsPROFIT DÉPARTEMENTAL</v>
      </c>
      <c r="B85" s="48" t="str">
        <f t="shared" si="2"/>
        <v>Véhicules neufs</v>
      </c>
      <c r="C85" s="579" t="s">
        <v>150</v>
      </c>
      <c r="D85" s="580"/>
      <c r="E85" s="581"/>
      <c r="F85" s="582">
        <f>F27-F74+F83</f>
        <v>0</v>
      </c>
      <c r="G85" s="583"/>
      <c r="H85" s="581"/>
      <c r="I85" s="582">
        <f>I27-I74+I83</f>
        <v>0</v>
      </c>
      <c r="J85" s="583"/>
      <c r="K85" s="581"/>
      <c r="L85" s="582">
        <f>L27-L74+L83</f>
        <v>727411.16</v>
      </c>
      <c r="M85" s="584"/>
      <c r="N85" s="582">
        <f>N27-N41-N54-N72+N83</f>
        <v>727411.16</v>
      </c>
      <c r="O85" s="583"/>
      <c r="P85" s="581"/>
      <c r="Q85" s="582">
        <f>Q27-Q74+Q83</f>
        <v>1001788.97</v>
      </c>
      <c r="R85" s="585"/>
      <c r="S85" s="582">
        <f>S27-S41-S54-S72+S83</f>
        <v>-274377.81</v>
      </c>
      <c r="T85" s="48"/>
      <c r="U85" s="48"/>
      <c r="V85" s="48"/>
      <c r="W85" s="48"/>
      <c r="X85" s="48"/>
      <c r="Y85" s="48"/>
      <c r="Z85" s="48"/>
      <c r="AA85" s="48"/>
      <c r="AB85" s="48"/>
      <c r="AC85" s="48"/>
      <c r="AD85" s="48"/>
      <c r="AE85" s="48"/>
      <c r="AF85" s="48"/>
      <c r="AG85" s="48"/>
      <c r="AH85" s="48"/>
      <c r="AI85" s="48"/>
      <c r="AJ85" s="48"/>
      <c r="AK85" s="48"/>
      <c r="AL85" s="48"/>
      <c r="AM85" s="48"/>
      <c r="AN85" s="48"/>
    </row>
    <row r="86" ht="15.75" customHeight="1">
      <c r="B86" s="110"/>
      <c r="C86" s="110"/>
      <c r="D86" s="110"/>
      <c r="E86" s="110"/>
      <c r="F86" s="110"/>
      <c r="G86" s="110"/>
      <c r="H86" s="110"/>
      <c r="I86" s="110"/>
      <c r="J86" s="586"/>
      <c r="K86" s="110"/>
      <c r="L86" s="587"/>
      <c r="M86" s="110"/>
      <c r="N86" s="110"/>
      <c r="O86" s="110"/>
      <c r="P86" s="110"/>
      <c r="Q86" s="588"/>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row>
    <row r="87" ht="12.75" customHeight="1">
      <c r="B87" s="110"/>
      <c r="C87" s="110"/>
      <c r="D87" s="110"/>
      <c r="E87" s="110"/>
      <c r="F87" s="110"/>
      <c r="G87" s="110"/>
      <c r="H87" s="110"/>
      <c r="I87" s="588"/>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row>
    <row r="88" ht="15.0" hidden="1" customHeight="1">
      <c r="B88" s="3"/>
      <c r="C88" s="40"/>
      <c r="D88" s="40"/>
      <c r="E88" s="40"/>
      <c r="F88" s="40"/>
      <c r="G88" s="40"/>
      <c r="H88" s="40"/>
      <c r="I88" s="40"/>
      <c r="J88" s="40"/>
      <c r="K88" s="40"/>
      <c r="L88" s="40"/>
      <c r="M88" s="40"/>
      <c r="N88" s="40"/>
      <c r="O88" s="40"/>
      <c r="P88" s="40"/>
      <c r="Q88" s="40"/>
      <c r="R88" s="40"/>
      <c r="S88" s="40"/>
      <c r="T88" s="40"/>
      <c r="U88" s="40"/>
    </row>
    <row r="89" ht="33.0" customHeight="1">
      <c r="B89" s="38"/>
      <c r="C89" s="450" t="str">
        <f>C1</f>
        <v>Ste-Marie Auto</v>
      </c>
      <c r="D89" s="451"/>
      <c r="E89" s="452"/>
      <c r="F89" s="451"/>
      <c r="G89" s="451"/>
      <c r="H89" s="450"/>
      <c r="I89" s="451"/>
      <c r="J89" s="450"/>
      <c r="K89" s="453" t="s">
        <v>151</v>
      </c>
      <c r="L89" s="451"/>
      <c r="M89" s="451"/>
      <c r="N89" s="454"/>
      <c r="O89" s="450"/>
      <c r="P89" s="451"/>
      <c r="Q89" s="450"/>
      <c r="R89" s="451"/>
      <c r="S89" s="455"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ht="15.75" customHeight="1">
      <c r="B90" s="3"/>
      <c r="C90" s="39"/>
      <c r="D90" s="40"/>
      <c r="E90" s="40"/>
      <c r="F90" s="40"/>
      <c r="G90" s="40"/>
      <c r="H90" s="40"/>
      <c r="I90" s="40"/>
      <c r="J90" s="40"/>
      <c r="K90" s="40"/>
      <c r="L90" s="40"/>
      <c r="M90" s="40"/>
      <c r="N90" s="40"/>
      <c r="O90" s="40"/>
      <c r="P90" s="40"/>
      <c r="Q90" s="40"/>
      <c r="R90" s="40"/>
      <c r="S90" s="40"/>
      <c r="T90" s="40"/>
      <c r="U90" s="40"/>
    </row>
    <row r="91" ht="15.75" customHeight="1">
      <c r="B91" s="48"/>
      <c r="C91" s="461"/>
      <c r="D91" s="462" t="s">
        <v>774</v>
      </c>
      <c r="E91" s="44"/>
      <c r="F91" s="45"/>
      <c r="G91" s="463" t="s">
        <v>1114</v>
      </c>
      <c r="H91" s="44"/>
      <c r="I91" s="45"/>
      <c r="J91" s="463" t="s">
        <v>775</v>
      </c>
      <c r="K91" s="44"/>
      <c r="L91" s="45"/>
      <c r="M91" s="463" t="s">
        <v>776</v>
      </c>
      <c r="N91" s="45"/>
      <c r="O91" s="462" t="s">
        <v>777</v>
      </c>
      <c r="P91" s="44"/>
      <c r="Q91" s="45"/>
      <c r="R91" s="463" t="s">
        <v>778</v>
      </c>
      <c r="S91" s="45"/>
      <c r="T91" s="48"/>
      <c r="U91" s="48"/>
      <c r="V91" s="48"/>
      <c r="W91" s="48"/>
      <c r="X91" s="48"/>
      <c r="Y91" s="48"/>
      <c r="Z91" s="48"/>
      <c r="AA91" s="48"/>
      <c r="AB91" s="48"/>
      <c r="AC91" s="48"/>
      <c r="AD91" s="48"/>
      <c r="AE91" s="48"/>
      <c r="AF91" s="48"/>
      <c r="AG91" s="48"/>
      <c r="AH91" s="48"/>
      <c r="AI91" s="48"/>
      <c r="AJ91" s="48"/>
      <c r="AK91" s="48"/>
      <c r="AL91" s="48"/>
      <c r="AM91" s="48"/>
      <c r="AN91" s="48"/>
    </row>
    <row r="92" ht="15.75" customHeight="1">
      <c r="B92" s="48"/>
      <c r="C92" s="480"/>
      <c r="D92" s="467" t="s">
        <v>93</v>
      </c>
      <c r="E92" s="468" t="s">
        <v>780</v>
      </c>
      <c r="F92" s="469" t="s">
        <v>95</v>
      </c>
      <c r="G92" s="470" t="s">
        <v>93</v>
      </c>
      <c r="H92" s="468" t="s">
        <v>780</v>
      </c>
      <c r="I92" s="469" t="s">
        <v>95</v>
      </c>
      <c r="J92" s="470" t="s">
        <v>93</v>
      </c>
      <c r="K92" s="468" t="s">
        <v>94</v>
      </c>
      <c r="L92" s="469" t="s">
        <v>95</v>
      </c>
      <c r="M92" s="470" t="s">
        <v>1112</v>
      </c>
      <c r="N92" s="469" t="s">
        <v>908</v>
      </c>
      <c r="O92" s="468" t="s">
        <v>93</v>
      </c>
      <c r="P92" s="468" t="s">
        <v>94</v>
      </c>
      <c r="Q92" s="469" t="s">
        <v>95</v>
      </c>
      <c r="R92" s="470" t="s">
        <v>93</v>
      </c>
      <c r="S92" s="469" t="s">
        <v>95</v>
      </c>
      <c r="T92" s="48"/>
      <c r="U92" s="48"/>
      <c r="V92" s="48"/>
      <c r="W92" s="48"/>
      <c r="X92" s="48"/>
      <c r="Y92" s="48"/>
      <c r="Z92" s="48"/>
      <c r="AA92" s="48"/>
      <c r="AB92" s="48"/>
      <c r="AC92" s="48"/>
      <c r="AD92" s="48"/>
      <c r="AE92" s="48"/>
      <c r="AF92" s="48"/>
      <c r="AG92" s="48"/>
      <c r="AH92" s="48"/>
      <c r="AI92" s="48"/>
      <c r="AJ92" s="48"/>
      <c r="AK92" s="48"/>
      <c r="AL92" s="48"/>
      <c r="AM92" s="48"/>
      <c r="AN92" s="48"/>
    </row>
    <row r="93" ht="24.0" customHeight="1">
      <c r="A93" s="5" t="str">
        <f t="shared" ref="A93:A163" si="30">+B93&amp;C93</f>
        <v>Véhicules usagésVentes nettes</v>
      </c>
      <c r="B93" s="48" t="s">
        <v>151</v>
      </c>
      <c r="C93" s="471" t="s">
        <v>96</v>
      </c>
      <c r="D93" s="475"/>
      <c r="E93" s="475"/>
      <c r="F93" s="473">
        <v>0.0</v>
      </c>
      <c r="G93" s="512"/>
      <c r="H93" s="475"/>
      <c r="I93" s="473">
        <v>0.0</v>
      </c>
      <c r="J93" s="471"/>
      <c r="K93" s="513"/>
      <c r="L93" s="476">
        <v>1419525.9300000013</v>
      </c>
      <c r="M93" s="589"/>
      <c r="N93" s="590"/>
      <c r="O93" s="471"/>
      <c r="P93" s="513"/>
      <c r="Q93" s="476">
        <v>9875086.3</v>
      </c>
      <c r="R93" s="591"/>
      <c r="S93" s="479"/>
      <c r="T93" s="48"/>
      <c r="U93" s="48"/>
      <c r="V93" s="48"/>
      <c r="W93" s="48"/>
      <c r="X93" s="48"/>
      <c r="Y93" s="48"/>
      <c r="Z93" s="48"/>
      <c r="AA93" s="48"/>
      <c r="AB93" s="48"/>
      <c r="AC93" s="48"/>
      <c r="AD93" s="48"/>
      <c r="AE93" s="48"/>
      <c r="AF93" s="48"/>
      <c r="AG93" s="48"/>
      <c r="AH93" s="48"/>
      <c r="AI93" s="48"/>
      <c r="AJ93" s="48"/>
      <c r="AK93" s="48"/>
      <c r="AL93" s="48"/>
      <c r="AM93" s="48"/>
      <c r="AN93" s="48"/>
    </row>
    <row r="94" ht="21.75" customHeight="1">
      <c r="A94" s="5" t="str">
        <f t="shared" si="30"/>
        <v>Véhicules usagésCertifié</v>
      </c>
      <c r="B94" s="48" t="s">
        <v>151</v>
      </c>
      <c r="C94" s="480" t="s">
        <v>152</v>
      </c>
      <c r="D94" s="481">
        <v>0.0</v>
      </c>
      <c r="E94" s="481">
        <f t="shared" ref="E94:E97" si="31">IF(D94=0,0,F94/D94)</f>
        <v>0</v>
      </c>
      <c r="F94" s="481">
        <v>0.0</v>
      </c>
      <c r="G94" s="482">
        <v>0.0</v>
      </c>
      <c r="H94" s="481">
        <f t="shared" ref="H94:H98" si="32">IF(G94=0,0,I94/G94)</f>
        <v>0</v>
      </c>
      <c r="I94" s="481">
        <v>0.0</v>
      </c>
      <c r="J94" s="482">
        <v>0.0</v>
      </c>
      <c r="K94" s="483">
        <f t="shared" ref="K94:K97" si="33">IF(J94=0,0,L94/J94)</f>
        <v>0</v>
      </c>
      <c r="L94" s="484">
        <v>0.0</v>
      </c>
      <c r="M94" s="482">
        <f t="shared" ref="M94:M97" si="34">J94-D94</f>
        <v>0</v>
      </c>
      <c r="N94" s="485">
        <f t="shared" ref="N94:N97" si="35">L94-F94</f>
        <v>0</v>
      </c>
      <c r="O94" s="482">
        <v>0.0</v>
      </c>
      <c r="P94" s="483">
        <f t="shared" ref="P94:P96" si="36">IF(O94=0,0,Q94/O94)</f>
        <v>0</v>
      </c>
      <c r="Q94" s="484">
        <v>0.0</v>
      </c>
      <c r="R94" s="482">
        <f t="shared" ref="R94:R97" si="37">J94-O94</f>
        <v>0</v>
      </c>
      <c r="S94" s="484">
        <f t="shared" ref="S94:S97" si="38">L94-Q94</f>
        <v>0</v>
      </c>
      <c r="T94" s="48"/>
      <c r="U94" s="48"/>
      <c r="V94" s="48"/>
      <c r="W94" s="48"/>
      <c r="X94" s="48"/>
      <c r="Y94" s="48"/>
      <c r="Z94" s="48"/>
      <c r="AA94" s="48"/>
      <c r="AB94" s="48"/>
      <c r="AC94" s="48"/>
      <c r="AD94" s="48"/>
      <c r="AE94" s="48"/>
      <c r="AF94" s="48"/>
      <c r="AG94" s="48"/>
      <c r="AH94" s="48"/>
      <c r="AI94" s="48"/>
      <c r="AJ94" s="48"/>
      <c r="AK94" s="48"/>
      <c r="AL94" s="48"/>
      <c r="AM94" s="48"/>
      <c r="AN94" s="48"/>
    </row>
    <row r="95" ht="18.75" customHeight="1">
      <c r="A95" s="5" t="str">
        <f t="shared" si="30"/>
        <v>Véhicules usagésNon Certifié</v>
      </c>
      <c r="B95" s="48" t="s">
        <v>151</v>
      </c>
      <c r="C95" s="480" t="s">
        <v>153</v>
      </c>
      <c r="D95" s="481">
        <v>0.0</v>
      </c>
      <c r="E95" s="481">
        <f t="shared" si="31"/>
        <v>0</v>
      </c>
      <c r="F95" s="481">
        <v>0.0</v>
      </c>
      <c r="G95" s="482">
        <v>0.0</v>
      </c>
      <c r="H95" s="481">
        <f t="shared" si="32"/>
        <v>0</v>
      </c>
      <c r="I95" s="481">
        <v>0.0</v>
      </c>
      <c r="J95" s="482">
        <v>78.0</v>
      </c>
      <c r="K95" s="483">
        <f t="shared" si="33"/>
        <v>1529.624872</v>
      </c>
      <c r="L95" s="484">
        <v>119310.7400000001</v>
      </c>
      <c r="M95" s="482">
        <f t="shared" si="34"/>
        <v>78</v>
      </c>
      <c r="N95" s="485">
        <f t="shared" si="35"/>
        <v>119310.74</v>
      </c>
      <c r="O95" s="482">
        <v>25.0</v>
      </c>
      <c r="P95" s="483">
        <f t="shared" si="36"/>
        <v>-785.566</v>
      </c>
      <c r="Q95" s="484">
        <v>-19639.149999999936</v>
      </c>
      <c r="R95" s="482">
        <f t="shared" si="37"/>
        <v>53</v>
      </c>
      <c r="S95" s="484">
        <f t="shared" si="38"/>
        <v>138949.89</v>
      </c>
      <c r="T95" s="48"/>
      <c r="U95" s="48"/>
      <c r="V95" s="798"/>
      <c r="W95" s="48"/>
      <c r="X95" s="48"/>
      <c r="Y95" s="48"/>
      <c r="Z95" s="48"/>
      <c r="AA95" s="48"/>
      <c r="AB95" s="48"/>
      <c r="AC95" s="48"/>
      <c r="AD95" s="48"/>
      <c r="AE95" s="48"/>
      <c r="AF95" s="48"/>
      <c r="AG95" s="48"/>
      <c r="AH95" s="48"/>
      <c r="AI95" s="48"/>
      <c r="AJ95" s="48"/>
      <c r="AK95" s="48"/>
      <c r="AL95" s="48"/>
      <c r="AM95" s="48"/>
      <c r="AN95" s="48"/>
    </row>
    <row r="96" ht="18.75" customHeight="1">
      <c r="A96" s="5" t="str">
        <f t="shared" si="30"/>
        <v>Véhicules usagésAutres marques</v>
      </c>
      <c r="B96" s="48" t="s">
        <v>151</v>
      </c>
      <c r="C96" s="480" t="s">
        <v>1109</v>
      </c>
      <c r="D96" s="481">
        <v>0.0</v>
      </c>
      <c r="E96" s="475">
        <f t="shared" si="31"/>
        <v>0</v>
      </c>
      <c r="F96" s="481">
        <v>0.0</v>
      </c>
      <c r="G96" s="482">
        <v>0.0</v>
      </c>
      <c r="H96" s="481">
        <f t="shared" si="32"/>
        <v>0</v>
      </c>
      <c r="I96" s="481">
        <v>0.0</v>
      </c>
      <c r="J96" s="482">
        <v>0.0</v>
      </c>
      <c r="K96" s="513">
        <f t="shared" si="33"/>
        <v>0</v>
      </c>
      <c r="L96" s="484">
        <v>0.0</v>
      </c>
      <c r="M96" s="482">
        <f t="shared" si="34"/>
        <v>0</v>
      </c>
      <c r="N96" s="485">
        <f t="shared" si="35"/>
        <v>0</v>
      </c>
      <c r="O96" s="482">
        <v>0.0</v>
      </c>
      <c r="P96" s="513">
        <f t="shared" si="36"/>
        <v>0</v>
      </c>
      <c r="Q96" s="484">
        <v>0.0</v>
      </c>
      <c r="R96" s="482">
        <f t="shared" si="37"/>
        <v>0</v>
      </c>
      <c r="S96" s="484">
        <f t="shared" si="38"/>
        <v>0</v>
      </c>
      <c r="T96" s="48"/>
      <c r="V96" s="798"/>
      <c r="W96" s="48"/>
      <c r="X96" s="48"/>
      <c r="Y96" s="48"/>
      <c r="Z96" s="48"/>
      <c r="AA96" s="48"/>
      <c r="AB96" s="48"/>
      <c r="AC96" s="48"/>
      <c r="AD96" s="48"/>
      <c r="AE96" s="48"/>
      <c r="AF96" s="48"/>
      <c r="AG96" s="48"/>
      <c r="AH96" s="48"/>
      <c r="AI96" s="48"/>
      <c r="AJ96" s="48"/>
      <c r="AK96" s="48"/>
      <c r="AL96" s="48"/>
      <c r="AM96" s="48"/>
      <c r="AN96" s="48"/>
    </row>
    <row r="97" ht="15.75" customHeight="1">
      <c r="A97" s="5" t="str">
        <f t="shared" si="30"/>
        <v>Véhicules usagésTotal Usagés</v>
      </c>
      <c r="B97" s="48" t="s">
        <v>151</v>
      </c>
      <c r="C97" s="490" t="s">
        <v>155</v>
      </c>
      <c r="D97" s="491">
        <f>+D95+D94+D96</f>
        <v>0</v>
      </c>
      <c r="E97" s="501">
        <f t="shared" si="31"/>
        <v>0</v>
      </c>
      <c r="F97" s="492">
        <f>+F94+F95+F96</f>
        <v>0</v>
      </c>
      <c r="G97" s="493">
        <f>+G95+G94+G96</f>
        <v>0</v>
      </c>
      <c r="H97" s="491">
        <f t="shared" si="32"/>
        <v>0</v>
      </c>
      <c r="I97" s="492">
        <f>+I94+I95+I96</f>
        <v>0</v>
      </c>
      <c r="J97" s="493">
        <f>+J95+J94+J96</f>
        <v>78</v>
      </c>
      <c r="K97" s="503">
        <f t="shared" si="33"/>
        <v>1529.624872</v>
      </c>
      <c r="L97" s="497">
        <f>+L94+L95+L96</f>
        <v>119310.74</v>
      </c>
      <c r="M97" s="493">
        <f t="shared" si="34"/>
        <v>78</v>
      </c>
      <c r="N97" s="492">
        <f t="shared" si="35"/>
        <v>119310.74</v>
      </c>
      <c r="O97" s="491">
        <f>+O95+O94+O96</f>
        <v>25</v>
      </c>
      <c r="P97" s="503">
        <f>IF(O97&lt;=0,0,Q97/O97)</f>
        <v>-785.566</v>
      </c>
      <c r="Q97" s="497">
        <f>+Q94+Q95+Q96</f>
        <v>-19639.15</v>
      </c>
      <c r="R97" s="493">
        <f t="shared" si="37"/>
        <v>53</v>
      </c>
      <c r="S97" s="497">
        <f t="shared" si="38"/>
        <v>138949.89</v>
      </c>
      <c r="T97" s="48"/>
      <c r="U97" s="48"/>
      <c r="V97" s="48"/>
      <c r="W97" s="48"/>
      <c r="X97" s="48"/>
      <c r="Y97" s="48"/>
      <c r="Z97" s="48"/>
      <c r="AA97" s="48"/>
      <c r="AB97" s="48"/>
      <c r="AC97" s="483"/>
      <c r="AD97" s="48"/>
      <c r="AE97" s="48"/>
      <c r="AF97" s="483"/>
      <c r="AG97" s="48"/>
      <c r="AH97" s="48"/>
      <c r="AI97" s="48"/>
      <c r="AJ97" s="48"/>
      <c r="AK97" s="48"/>
      <c r="AL97" s="48"/>
      <c r="AM97" s="48"/>
      <c r="AN97" s="48"/>
    </row>
    <row r="98" ht="15.75" customHeight="1">
      <c r="A98" s="5" t="str">
        <f t="shared" si="30"/>
        <v>Véhicules usagés</v>
      </c>
      <c r="B98" s="48" t="s">
        <v>151</v>
      </c>
      <c r="C98" s="500"/>
      <c r="D98" s="11"/>
      <c r="E98" s="501"/>
      <c r="F98" s="502"/>
      <c r="G98" s="500"/>
      <c r="H98" s="11">
        <f t="shared" si="32"/>
        <v>0</v>
      </c>
      <c r="I98" s="502"/>
      <c r="J98" s="500"/>
      <c r="K98" s="503"/>
      <c r="L98" s="504"/>
      <c r="M98" s="593" t="str">
        <f>M97/D97</f>
        <v>#DIV/0!</v>
      </c>
      <c r="N98" s="594" t="str">
        <f>N97/F97</f>
        <v>#DIV/0!</v>
      </c>
      <c r="O98" s="500"/>
      <c r="P98" s="503"/>
      <c r="Q98" s="504"/>
      <c r="R98" s="505">
        <f>R97/O97</f>
        <v>2.12</v>
      </c>
      <c r="S98" s="507">
        <f>IF(Q97=0,0,(S97/Q97))</f>
        <v>-7.075147855</v>
      </c>
      <c r="T98" s="48"/>
      <c r="U98" s="48"/>
      <c r="V98" s="48"/>
      <c r="W98" s="48"/>
      <c r="X98" s="48"/>
      <c r="Y98" s="48"/>
      <c r="Z98" s="48"/>
      <c r="AA98" s="48"/>
      <c r="AB98" s="48"/>
      <c r="AC98" s="48"/>
      <c r="AD98" s="48"/>
      <c r="AE98" s="48"/>
      <c r="AF98" s="48"/>
      <c r="AG98" s="48"/>
      <c r="AH98" s="48"/>
      <c r="AI98" s="48"/>
      <c r="AJ98" s="48"/>
      <c r="AK98" s="48"/>
      <c r="AL98" s="48"/>
      <c r="AM98" s="48"/>
      <c r="AN98" s="48"/>
    </row>
    <row r="99" ht="15.75" customHeight="1">
      <c r="A99" s="5" t="str">
        <f t="shared" si="30"/>
        <v>Véhicules neufsRachat bail</v>
      </c>
      <c r="B99" s="48" t="str">
        <f>+$K$1</f>
        <v>Véhicules neufs</v>
      </c>
      <c r="C99" s="500" t="s">
        <v>104</v>
      </c>
      <c r="D99" s="481"/>
      <c r="E99" s="481"/>
      <c r="F99" s="481">
        <v>0.0</v>
      </c>
      <c r="G99" s="482"/>
      <c r="H99" s="481"/>
      <c r="I99" s="481">
        <v>0.0</v>
      </c>
      <c r="J99" s="482"/>
      <c r="K99" s="483"/>
      <c r="L99" s="484">
        <v>0.0</v>
      </c>
      <c r="M99" s="482"/>
      <c r="N99" s="485">
        <f>L99-F99</f>
        <v>0</v>
      </c>
      <c r="O99" s="482"/>
      <c r="P99" s="483"/>
      <c r="Q99" s="484">
        <v>0.0</v>
      </c>
      <c r="R99" s="482">
        <f>O99-K99</f>
        <v>0</v>
      </c>
      <c r="S99" s="484">
        <f>L99-Q99</f>
        <v>0</v>
      </c>
      <c r="T99" s="48"/>
      <c r="U99" s="48"/>
      <c r="V99" s="48"/>
      <c r="W99" s="48"/>
      <c r="X99" s="48"/>
      <c r="Y99" s="48"/>
      <c r="Z99" s="48"/>
      <c r="AA99" s="48"/>
      <c r="AB99" s="48"/>
      <c r="AC99" s="48"/>
      <c r="AD99" s="48"/>
      <c r="AE99" s="48"/>
      <c r="AF99" s="48"/>
      <c r="AG99" s="48"/>
      <c r="AH99" s="48"/>
      <c r="AI99" s="48"/>
      <c r="AJ99" s="48"/>
      <c r="AK99" s="48"/>
      <c r="AL99" s="48"/>
      <c r="AM99" s="48"/>
      <c r="AN99" s="48"/>
    </row>
    <row r="100" ht="15.75" customHeight="1">
      <c r="A100" s="5" t="str">
        <f t="shared" si="30"/>
        <v>Véhicules usagésUS</v>
      </c>
      <c r="B100" s="48" t="s">
        <v>151</v>
      </c>
      <c r="C100" s="500" t="s">
        <v>1115</v>
      </c>
      <c r="D100" s="481">
        <v>0.0</v>
      </c>
      <c r="E100" s="481">
        <f t="shared" ref="E100:E101" si="39">IF(D100=0,0,F100/D100)</f>
        <v>0</v>
      </c>
      <c r="F100" s="481">
        <v>0.0</v>
      </c>
      <c r="G100" s="482">
        <v>0.0</v>
      </c>
      <c r="H100" s="481">
        <f t="shared" ref="H100:H101" si="40">IF(G100=0,0,I100/G100)</f>
        <v>0</v>
      </c>
      <c r="I100" s="481">
        <v>0.0</v>
      </c>
      <c r="J100" s="482">
        <v>0.0</v>
      </c>
      <c r="K100" s="483">
        <f t="shared" ref="K100:K101" si="41">IF(J100=0,0,L100/J100)</f>
        <v>0</v>
      </c>
      <c r="L100" s="484">
        <v>0.0</v>
      </c>
      <c r="M100" s="482"/>
      <c r="N100" s="485"/>
      <c r="O100" s="482">
        <v>0.0</v>
      </c>
      <c r="P100" s="483">
        <f t="shared" ref="P100:P101" si="42">IF(O100=0,0,Q100/O100)</f>
        <v>0</v>
      </c>
      <c r="Q100" s="484">
        <v>0.0</v>
      </c>
      <c r="R100" s="482"/>
      <c r="S100" s="484"/>
      <c r="T100" s="48"/>
      <c r="U100" s="48"/>
      <c r="V100" s="48"/>
      <c r="W100" s="481"/>
      <c r="X100" s="481"/>
      <c r="Y100" s="48"/>
      <c r="Z100" s="48"/>
      <c r="AA100" s="48"/>
      <c r="AB100" s="48"/>
      <c r="AC100" s="48"/>
      <c r="AD100" s="48"/>
      <c r="AE100" s="48"/>
      <c r="AF100" s="48"/>
      <c r="AG100" s="48"/>
      <c r="AH100" s="48"/>
      <c r="AI100" s="48"/>
      <c r="AJ100" s="48"/>
      <c r="AK100" s="48"/>
      <c r="AL100" s="48"/>
      <c r="AM100" s="48"/>
      <c r="AN100" s="48"/>
    </row>
    <row r="101" ht="15.75" customHeight="1">
      <c r="A101" s="5" t="str">
        <f t="shared" si="30"/>
        <v>Véhicules usagésVentes au Gros</v>
      </c>
      <c r="B101" s="48" t="s">
        <v>151</v>
      </c>
      <c r="C101" s="500" t="s">
        <v>156</v>
      </c>
      <c r="D101" s="481">
        <v>0.0</v>
      </c>
      <c r="E101" s="481">
        <f t="shared" si="39"/>
        <v>0</v>
      </c>
      <c r="F101" s="481">
        <v>0.0</v>
      </c>
      <c r="G101" s="482">
        <v>0.0</v>
      </c>
      <c r="H101" s="481">
        <f t="shared" si="40"/>
        <v>0</v>
      </c>
      <c r="I101" s="481">
        <v>0.0</v>
      </c>
      <c r="J101" s="482">
        <v>-73.0</v>
      </c>
      <c r="K101" s="483">
        <f t="shared" si="41"/>
        <v>1717.973836</v>
      </c>
      <c r="L101" s="484">
        <v>-125412.08999999939</v>
      </c>
      <c r="M101" s="482">
        <f>J101-D101</f>
        <v>-73</v>
      </c>
      <c r="N101" s="485">
        <f>L101-F101</f>
        <v>-125412.09</v>
      </c>
      <c r="O101" s="482">
        <v>242.0</v>
      </c>
      <c r="P101" s="483">
        <f t="shared" si="42"/>
        <v>399.2448347</v>
      </c>
      <c r="Q101" s="484">
        <v>96617.2499999993</v>
      </c>
      <c r="R101" s="482">
        <f>J101-O101</f>
        <v>-315</v>
      </c>
      <c r="S101" s="484">
        <f>L101-Q101</f>
        <v>-222029.34</v>
      </c>
      <c r="T101" s="48"/>
      <c r="U101" s="481"/>
      <c r="V101" s="48"/>
      <c r="W101" s="48"/>
      <c r="X101" s="48"/>
      <c r="Y101" s="48"/>
      <c r="Z101" s="48"/>
      <c r="AA101" s="48"/>
      <c r="AB101" s="48"/>
      <c r="AC101" s="483"/>
      <c r="AD101" s="48"/>
      <c r="AE101" s="48"/>
      <c r="AF101" s="597"/>
      <c r="AG101" s="48"/>
      <c r="AH101" s="48"/>
      <c r="AI101" s="48"/>
      <c r="AJ101" s="48"/>
      <c r="AK101" s="48"/>
      <c r="AL101" s="48"/>
      <c r="AM101" s="48"/>
      <c r="AN101" s="48"/>
    </row>
    <row r="102" ht="15.75" customHeight="1">
      <c r="A102" s="5" t="str">
        <f t="shared" si="30"/>
        <v>Véhicules usagés</v>
      </c>
      <c r="B102" s="48" t="s">
        <v>151</v>
      </c>
      <c r="C102" s="471"/>
      <c r="D102" s="475"/>
      <c r="E102" s="475"/>
      <c r="F102" s="473"/>
      <c r="G102" s="512"/>
      <c r="H102" s="475"/>
      <c r="I102" s="473"/>
      <c r="J102" s="512"/>
      <c r="K102" s="513"/>
      <c r="L102" s="476"/>
      <c r="M102" s="511"/>
      <c r="N102" s="510"/>
      <c r="O102" s="512"/>
      <c r="P102" s="513"/>
      <c r="Q102" s="476"/>
      <c r="R102" s="511"/>
      <c r="S102" s="598"/>
      <c r="T102" s="48"/>
      <c r="U102" s="48"/>
      <c r="V102" s="48"/>
      <c r="W102" s="481"/>
      <c r="X102" s="48"/>
      <c r="Y102" s="48"/>
      <c r="Z102" s="48"/>
      <c r="AA102" s="48"/>
      <c r="AB102" s="48"/>
      <c r="AC102" s="48"/>
      <c r="AD102" s="48"/>
      <c r="AE102" s="48"/>
      <c r="AF102" s="597"/>
      <c r="AG102" s="48"/>
      <c r="AH102" s="48"/>
      <c r="AI102" s="48"/>
      <c r="AJ102" s="48"/>
      <c r="AK102" s="48"/>
      <c r="AL102" s="48"/>
      <c r="AM102" s="48"/>
      <c r="AN102" s="48"/>
    </row>
    <row r="103" ht="15.75" customHeight="1">
      <c r="A103" s="5" t="str">
        <f t="shared" si="30"/>
        <v>Véhicules usagésRev. Finances</v>
      </c>
      <c r="B103" s="48" t="s">
        <v>151</v>
      </c>
      <c r="C103" s="480" t="s">
        <v>105</v>
      </c>
      <c r="D103" s="481">
        <v>0.0</v>
      </c>
      <c r="E103" s="481">
        <f t="shared" ref="E103:E106" si="43">IF(D103=0,0,F103/D103)</f>
        <v>0</v>
      </c>
      <c r="F103" s="485">
        <v>0.0</v>
      </c>
      <c r="G103" s="482">
        <v>0.0</v>
      </c>
      <c r="H103" s="481">
        <f t="shared" ref="H103:H106" si="44">IF(G103=0,0,I103/G103)</f>
        <v>0</v>
      </c>
      <c r="I103" s="481">
        <v>0.0</v>
      </c>
      <c r="J103" s="482">
        <v>0.0</v>
      </c>
      <c r="K103" s="483">
        <f t="shared" ref="K103:K105" si="45">IF(J103=0,0,L103/J103)</f>
        <v>0</v>
      </c>
      <c r="L103" s="484">
        <v>20271.649999999998</v>
      </c>
      <c r="M103" s="482"/>
      <c r="N103" s="485">
        <f t="shared" ref="N103:N106" si="46">L103-F103</f>
        <v>20271.65</v>
      </c>
      <c r="O103" s="482">
        <v>0.0</v>
      </c>
      <c r="P103" s="483">
        <f t="shared" ref="P103:P105" si="47">IF(O103=0,0,Q103/O103)</f>
        <v>0</v>
      </c>
      <c r="Q103" s="484">
        <v>8650.39</v>
      </c>
      <c r="R103" s="486">
        <f t="shared" ref="R103:R105" si="48">O103-K103</f>
        <v>0</v>
      </c>
      <c r="S103" s="484">
        <f t="shared" ref="S103:S106" si="49">L103-Q103</f>
        <v>11621.26</v>
      </c>
      <c r="T103" s="48"/>
      <c r="U103" s="48"/>
      <c r="V103" s="48"/>
      <c r="W103" s="48"/>
      <c r="X103" s="48"/>
      <c r="Y103" s="48"/>
      <c r="Z103" s="48"/>
      <c r="AA103" s="48"/>
      <c r="AB103" s="48"/>
      <c r="AC103" s="48"/>
      <c r="AD103" s="48"/>
      <c r="AE103" s="48"/>
      <c r="AF103" s="48"/>
      <c r="AG103" s="48"/>
      <c r="AH103" s="48"/>
      <c r="AI103" s="48"/>
      <c r="AJ103" s="48"/>
      <c r="AK103" s="48"/>
      <c r="AL103" s="48"/>
      <c r="AM103" s="48"/>
      <c r="AN103" s="48"/>
    </row>
    <row r="104" ht="15.75" customHeight="1">
      <c r="A104" s="5" t="str">
        <f t="shared" si="30"/>
        <v>Véhicules usagésRev. Protections</v>
      </c>
      <c r="B104" s="48" t="s">
        <v>151</v>
      </c>
      <c r="C104" s="480" t="s">
        <v>106</v>
      </c>
      <c r="D104" s="481">
        <v>0.0</v>
      </c>
      <c r="E104" s="481">
        <f t="shared" si="43"/>
        <v>0</v>
      </c>
      <c r="F104" s="485">
        <v>0.0</v>
      </c>
      <c r="G104" s="482">
        <v>0.0</v>
      </c>
      <c r="H104" s="481">
        <f t="shared" si="44"/>
        <v>0</v>
      </c>
      <c r="I104" s="481">
        <v>0.0</v>
      </c>
      <c r="J104" s="482">
        <v>0.0</v>
      </c>
      <c r="K104" s="483">
        <f t="shared" si="45"/>
        <v>0</v>
      </c>
      <c r="L104" s="484">
        <v>40284.62000000001</v>
      </c>
      <c r="M104" s="482"/>
      <c r="N104" s="485">
        <f t="shared" si="46"/>
        <v>40284.62</v>
      </c>
      <c r="O104" s="482">
        <v>0.0</v>
      </c>
      <c r="P104" s="483">
        <f t="shared" si="47"/>
        <v>0</v>
      </c>
      <c r="Q104" s="484">
        <v>13361.0</v>
      </c>
      <c r="R104" s="486">
        <f t="shared" si="48"/>
        <v>0</v>
      </c>
      <c r="S104" s="484">
        <f t="shared" si="49"/>
        <v>26923.62</v>
      </c>
      <c r="T104" s="48"/>
      <c r="U104" s="48"/>
      <c r="V104" s="48"/>
      <c r="W104" s="48"/>
      <c r="X104" s="48"/>
      <c r="Y104" s="48"/>
      <c r="Z104" s="48"/>
      <c r="AA104" s="48"/>
      <c r="AB104" s="48"/>
      <c r="AC104" s="48"/>
      <c r="AD104" s="48"/>
      <c r="AE104" s="48"/>
      <c r="AF104" s="48"/>
      <c r="AG104" s="48"/>
      <c r="AH104" s="48"/>
      <c r="AI104" s="48"/>
      <c r="AJ104" s="48"/>
      <c r="AK104" s="48"/>
      <c r="AL104" s="48"/>
      <c r="AM104" s="48"/>
      <c r="AN104" s="48"/>
    </row>
    <row r="105" ht="15.75" customHeight="1">
      <c r="A105" s="5" t="str">
        <f t="shared" si="30"/>
        <v>Véhicules usagésRev. Autres</v>
      </c>
      <c r="B105" s="48" t="s">
        <v>151</v>
      </c>
      <c r="C105" s="480" t="s">
        <v>107</v>
      </c>
      <c r="D105" s="481">
        <v>0.0</v>
      </c>
      <c r="E105" s="475">
        <f t="shared" si="43"/>
        <v>0</v>
      </c>
      <c r="F105" s="485">
        <v>0.0</v>
      </c>
      <c r="G105" s="482">
        <v>0.0</v>
      </c>
      <c r="H105" s="475">
        <f t="shared" si="44"/>
        <v>0</v>
      </c>
      <c r="I105" s="481">
        <v>0.0</v>
      </c>
      <c r="J105" s="482">
        <v>0.0</v>
      </c>
      <c r="K105" s="513">
        <f t="shared" si="45"/>
        <v>0</v>
      </c>
      <c r="L105" s="484">
        <v>0.0</v>
      </c>
      <c r="M105" s="512"/>
      <c r="N105" s="485">
        <f t="shared" si="46"/>
        <v>0</v>
      </c>
      <c r="O105" s="482">
        <v>0.0</v>
      </c>
      <c r="P105" s="513">
        <f t="shared" si="47"/>
        <v>0</v>
      </c>
      <c r="Q105" s="484">
        <v>0.0</v>
      </c>
      <c r="R105" s="486">
        <f t="shared" si="48"/>
        <v>0</v>
      </c>
      <c r="S105" s="484">
        <f t="shared" si="49"/>
        <v>0</v>
      </c>
      <c r="T105" s="48"/>
      <c r="U105" s="48"/>
      <c r="V105" s="48"/>
      <c r="W105" s="48"/>
      <c r="X105" s="48"/>
      <c r="Y105" s="48"/>
      <c r="Z105" s="48"/>
      <c r="AA105" s="48"/>
      <c r="AB105" s="48"/>
      <c r="AC105" s="48"/>
      <c r="AD105" s="48"/>
      <c r="AE105" s="48"/>
      <c r="AF105" s="48"/>
      <c r="AG105" s="48"/>
      <c r="AH105" s="48"/>
      <c r="AI105" s="48"/>
      <c r="AJ105" s="48"/>
      <c r="AK105" s="48"/>
      <c r="AL105" s="48"/>
      <c r="AM105" s="48"/>
      <c r="AN105" s="48"/>
    </row>
    <row r="106" ht="15.75" customHeight="1">
      <c r="A106" s="5" t="str">
        <f t="shared" si="30"/>
        <v>Véhicules usagésTotal F&amp;I</v>
      </c>
      <c r="B106" s="48" t="s">
        <v>151</v>
      </c>
      <c r="C106" s="490" t="s">
        <v>108</v>
      </c>
      <c r="D106" s="491" t="str">
        <f>D98</f>
        <v/>
      </c>
      <c r="E106" s="501">
        <f t="shared" si="43"/>
        <v>0</v>
      </c>
      <c r="F106" s="492">
        <f>F103+F104+F105</f>
        <v>0</v>
      </c>
      <c r="G106" s="493" t="str">
        <f>G98</f>
        <v/>
      </c>
      <c r="H106" s="491">
        <f t="shared" si="44"/>
        <v>0</v>
      </c>
      <c r="I106" s="492">
        <f>I103+I104+I105</f>
        <v>0</v>
      </c>
      <c r="J106" s="493" t="str">
        <f>J98</f>
        <v/>
      </c>
      <c r="K106" s="495">
        <f>IF(J106&lt;=0,0,L106/J106)</f>
        <v>0</v>
      </c>
      <c r="L106" s="497">
        <f>L103+L104+L105</f>
        <v>60556.27</v>
      </c>
      <c r="M106" s="517">
        <f>J106-D106</f>
        <v>0</v>
      </c>
      <c r="N106" s="492">
        <f t="shared" si="46"/>
        <v>60556.27</v>
      </c>
      <c r="O106" s="493" t="str">
        <f>O98</f>
        <v/>
      </c>
      <c r="P106" s="495">
        <f>IF(O106&lt;=0,0,Q106/O106)</f>
        <v>0</v>
      </c>
      <c r="Q106" s="497">
        <f>Q103+Q104+Q105</f>
        <v>22011.39</v>
      </c>
      <c r="R106" s="489"/>
      <c r="S106" s="497">
        <f t="shared" si="49"/>
        <v>38544.88</v>
      </c>
      <c r="T106" s="48"/>
      <c r="U106" s="481"/>
      <c r="V106" s="48"/>
      <c r="W106" s="48"/>
      <c r="X106" s="48"/>
      <c r="Y106" s="48"/>
      <c r="Z106" s="48"/>
      <c r="AA106" s="48"/>
      <c r="AB106" s="48"/>
      <c r="AC106" s="48"/>
      <c r="AD106" s="48"/>
      <c r="AE106" s="48"/>
      <c r="AF106" s="48"/>
      <c r="AG106" s="48"/>
      <c r="AH106" s="48"/>
      <c r="AI106" s="48"/>
      <c r="AJ106" s="48"/>
      <c r="AK106" s="48"/>
      <c r="AL106" s="48"/>
      <c r="AM106" s="48"/>
      <c r="AN106" s="48"/>
    </row>
    <row r="107" ht="15.75" customHeight="1">
      <c r="A107" s="5" t="str">
        <f t="shared" si="30"/>
        <v>Véhicules usagés</v>
      </c>
      <c r="B107" s="48" t="s">
        <v>151</v>
      </c>
      <c r="C107" s="500"/>
      <c r="D107" s="11"/>
      <c r="E107" s="11"/>
      <c r="F107" s="504"/>
      <c r="G107" s="500"/>
      <c r="H107" s="599"/>
      <c r="I107" s="504"/>
      <c r="J107" s="500"/>
      <c r="K107" s="503"/>
      <c r="L107" s="504"/>
      <c r="M107" s="525"/>
      <c r="N107" s="507" t="str">
        <f>N106/F106</f>
        <v>#DIV/0!</v>
      </c>
      <c r="O107" s="500"/>
      <c r="P107" s="503"/>
      <c r="Q107" s="504"/>
      <c r="R107" s="600"/>
      <c r="S107" s="507">
        <f>IF(Q106=0,0,(S106/Q106))</f>
        <v>1.75113339</v>
      </c>
      <c r="T107" s="48"/>
      <c r="U107" s="48"/>
      <c r="V107" s="48"/>
      <c r="W107" s="48"/>
      <c r="X107" s="48"/>
      <c r="Y107" s="48"/>
      <c r="Z107" s="48"/>
      <c r="AA107" s="48"/>
      <c r="AB107" s="48"/>
      <c r="AC107" s="48"/>
      <c r="AD107" s="48"/>
      <c r="AE107" s="48"/>
      <c r="AF107" s="48"/>
      <c r="AG107" s="48"/>
      <c r="AH107" s="48"/>
      <c r="AI107" s="48"/>
      <c r="AJ107" s="48"/>
      <c r="AK107" s="48"/>
      <c r="AL107" s="48"/>
      <c r="AM107" s="48"/>
      <c r="AN107" s="48"/>
    </row>
    <row r="108" ht="15.75" customHeight="1">
      <c r="A108" s="5" t="str">
        <f t="shared" si="30"/>
        <v>Véhicules usagés</v>
      </c>
      <c r="B108" s="48" t="s">
        <v>151</v>
      </c>
      <c r="C108" s="480"/>
      <c r="D108" s="48"/>
      <c r="E108" s="48"/>
      <c r="F108" s="484"/>
      <c r="G108" s="480"/>
      <c r="H108" s="601"/>
      <c r="I108" s="484"/>
      <c r="J108" s="480"/>
      <c r="K108" s="483"/>
      <c r="L108" s="484"/>
      <c r="M108" s="525"/>
      <c r="N108" s="507"/>
      <c r="O108" s="480"/>
      <c r="P108" s="483"/>
      <c r="Q108" s="484"/>
      <c r="R108" s="486"/>
      <c r="S108" s="507"/>
      <c r="T108" s="48"/>
      <c r="U108" s="48"/>
      <c r="V108" s="48"/>
      <c r="W108" s="48"/>
      <c r="X108" s="48"/>
      <c r="Y108" s="48"/>
      <c r="Z108" s="48"/>
      <c r="AA108" s="48"/>
      <c r="AB108" s="48"/>
      <c r="AC108" s="48"/>
      <c r="AD108" s="48"/>
      <c r="AE108" s="48"/>
      <c r="AF108" s="48"/>
      <c r="AG108" s="48"/>
      <c r="AH108" s="48"/>
      <c r="AI108" s="48"/>
      <c r="AJ108" s="48"/>
      <c r="AK108" s="48"/>
      <c r="AL108" s="48"/>
      <c r="AM108" s="48"/>
      <c r="AN108" s="48"/>
    </row>
    <row r="109" ht="18.0" customHeight="1">
      <c r="A109" s="5" t="str">
        <f t="shared" si="30"/>
        <v>Véhicules usagésTotal Dépt. Usagés</v>
      </c>
      <c r="B109" s="48" t="s">
        <v>151</v>
      </c>
      <c r="C109" s="526" t="s">
        <v>157</v>
      </c>
      <c r="D109" s="527">
        <f>D97+D101</f>
        <v>0</v>
      </c>
      <c r="E109" s="528">
        <f>IF(D109&lt;=0,0,F109/D109)</f>
        <v>0</v>
      </c>
      <c r="F109" s="529">
        <f>F97+F106+F101+F99</f>
        <v>0</v>
      </c>
      <c r="G109" s="530"/>
      <c r="H109" s="528"/>
      <c r="I109" s="529"/>
      <c r="J109" s="530">
        <f>J97+J101</f>
        <v>5</v>
      </c>
      <c r="K109" s="527">
        <f>IF(J109&lt;=0,0,L109/J109)</f>
        <v>10890.984</v>
      </c>
      <c r="L109" s="529">
        <f>L97+L106+L101+L99</f>
        <v>54454.92</v>
      </c>
      <c r="M109" s="530">
        <f>J109-D109</f>
        <v>5</v>
      </c>
      <c r="N109" s="529">
        <f>L109-F109</f>
        <v>54454.92</v>
      </c>
      <c r="O109" s="530">
        <f>O97+O101</f>
        <v>267</v>
      </c>
      <c r="P109" s="527">
        <f>IF(O109&lt;=0,0,Q109/O109)</f>
        <v>370.7471536</v>
      </c>
      <c r="Q109" s="529">
        <f>Q97+Q106+Q101+Q99</f>
        <v>98989.49</v>
      </c>
      <c r="R109" s="530">
        <f>J109-O109</f>
        <v>-262</v>
      </c>
      <c r="S109" s="529">
        <f>L109-Q109</f>
        <v>-44534.57</v>
      </c>
      <c r="T109" s="48"/>
      <c r="U109" s="48"/>
      <c r="V109" s="48"/>
      <c r="W109" s="48"/>
      <c r="X109" s="48"/>
      <c r="Y109" s="48"/>
      <c r="Z109" s="48"/>
      <c r="AA109" s="48"/>
      <c r="AB109" s="48"/>
      <c r="AC109" s="48"/>
      <c r="AD109" s="48"/>
      <c r="AE109" s="48"/>
      <c r="AF109" s="48"/>
      <c r="AG109" s="48"/>
      <c r="AH109" s="48"/>
      <c r="AI109" s="48"/>
      <c r="AJ109" s="48"/>
      <c r="AK109" s="48"/>
      <c r="AL109" s="48"/>
      <c r="AM109" s="48"/>
      <c r="AN109" s="48"/>
    </row>
    <row r="110" ht="22.5" customHeight="1">
      <c r="A110" s="5" t="str">
        <f t="shared" si="30"/>
        <v>Véhicules usagés</v>
      </c>
      <c r="B110" s="48" t="s">
        <v>151</v>
      </c>
      <c r="C110" s="531"/>
      <c r="D110" s="532"/>
      <c r="E110" s="532"/>
      <c r="F110" s="533"/>
      <c r="G110" s="531"/>
      <c r="H110" s="532"/>
      <c r="I110" s="533"/>
      <c r="J110" s="531"/>
      <c r="K110" s="534"/>
      <c r="L110" s="535"/>
      <c r="M110" s="536" t="str">
        <f>M109/D109</f>
        <v>#DIV/0!</v>
      </c>
      <c r="N110" s="537" t="str">
        <f>N109/F109</f>
        <v>#DIV/0!</v>
      </c>
      <c r="O110" s="531"/>
      <c r="P110" s="534"/>
      <c r="Q110" s="535"/>
      <c r="R110" s="536">
        <f>O109/R109</f>
        <v>-1.019083969</v>
      </c>
      <c r="S110" s="538">
        <f>IF(Q109=0,0,(S109/Q109))</f>
        <v>-0.4498919027</v>
      </c>
      <c r="T110" s="48"/>
      <c r="U110" s="48"/>
      <c r="V110" s="48"/>
      <c r="W110" s="48"/>
      <c r="X110" s="48"/>
      <c r="Y110" s="48"/>
      <c r="Z110" s="48"/>
      <c r="AA110" s="48"/>
      <c r="AB110" s="48"/>
      <c r="AC110" s="48"/>
      <c r="AD110" s="48"/>
      <c r="AE110" s="48"/>
      <c r="AF110" s="48"/>
      <c r="AG110" s="48"/>
      <c r="AH110" s="48"/>
      <c r="AI110" s="48"/>
      <c r="AJ110" s="48"/>
      <c r="AK110" s="48"/>
      <c r="AL110" s="48"/>
      <c r="AM110" s="48"/>
      <c r="AN110" s="48"/>
    </row>
    <row r="111" ht="15.75" customHeight="1">
      <c r="A111" s="5" t="str">
        <f t="shared" si="30"/>
        <v>Véhicules usagés</v>
      </c>
      <c r="B111" s="48" t="s">
        <v>151</v>
      </c>
      <c r="C111" s="500"/>
      <c r="D111" s="11"/>
      <c r="E111" s="11"/>
      <c r="F111" s="502"/>
      <c r="G111" s="500"/>
      <c r="H111" s="11"/>
      <c r="I111" s="502"/>
      <c r="J111" s="500"/>
      <c r="K111" s="503"/>
      <c r="L111" s="504"/>
      <c r="M111" s="525"/>
      <c r="N111" s="507"/>
      <c r="O111" s="500"/>
      <c r="P111" s="503"/>
      <c r="Q111" s="504"/>
      <c r="R111" s="525"/>
      <c r="S111" s="504"/>
      <c r="T111" s="48"/>
      <c r="U111" s="48"/>
      <c r="V111" s="48"/>
      <c r="W111" s="48"/>
      <c r="X111" s="48"/>
      <c r="Y111" s="48"/>
      <c r="Z111" s="48"/>
      <c r="AA111" s="48"/>
      <c r="AB111" s="48"/>
      <c r="AC111" s="48"/>
      <c r="AD111" s="48"/>
      <c r="AE111" s="48"/>
      <c r="AF111" s="48"/>
      <c r="AG111" s="48"/>
      <c r="AH111" s="48"/>
      <c r="AI111" s="48"/>
      <c r="AJ111" s="48"/>
      <c r="AK111" s="48"/>
      <c r="AL111" s="48"/>
      <c r="AM111" s="48"/>
      <c r="AN111" s="48"/>
    </row>
    <row r="112" ht="15.75" customHeight="1">
      <c r="A112" s="5" t="str">
        <f t="shared" si="30"/>
        <v>Véhicules usagésDEPENSES</v>
      </c>
      <c r="B112" s="48" t="s">
        <v>151</v>
      </c>
      <c r="C112" s="541" t="s">
        <v>110</v>
      </c>
      <c r="D112" s="48"/>
      <c r="E112" s="41"/>
      <c r="F112" s="484"/>
      <c r="G112" s="480"/>
      <c r="H112" s="41"/>
      <c r="I112" s="484"/>
      <c r="J112" s="480"/>
      <c r="K112" s="542"/>
      <c r="L112" s="484"/>
      <c r="M112" s="480"/>
      <c r="N112" s="514"/>
      <c r="O112" s="480"/>
      <c r="P112" s="542"/>
      <c r="Q112" s="484"/>
      <c r="R112" s="480"/>
      <c r="S112" s="484"/>
      <c r="T112" s="48"/>
      <c r="U112" s="48"/>
      <c r="V112" s="48"/>
      <c r="W112" s="48"/>
      <c r="X112" s="48"/>
      <c r="Y112" s="48"/>
      <c r="Z112" s="48"/>
      <c r="AA112" s="48"/>
      <c r="AB112" s="48"/>
      <c r="AC112" s="48"/>
      <c r="AD112" s="48"/>
      <c r="AE112" s="48"/>
      <c r="AF112" s="48"/>
      <c r="AG112" s="48"/>
      <c r="AH112" s="48"/>
      <c r="AI112" s="48"/>
      <c r="AJ112" s="48"/>
      <c r="AK112" s="48"/>
      <c r="AL112" s="48"/>
      <c r="AM112" s="48"/>
      <c r="AN112" s="48"/>
    </row>
    <row r="113" ht="15.75" customHeight="1">
      <c r="A113" s="5" t="str">
        <f t="shared" si="30"/>
        <v>Véhicules usagésComm. vendeurs</v>
      </c>
      <c r="B113" s="48" t="s">
        <v>151</v>
      </c>
      <c r="C113" s="480" t="s">
        <v>111</v>
      </c>
      <c r="D113" s="602" t="str">
        <f>F113/(F98+F106)</f>
        <v>#DIV/0!</v>
      </c>
      <c r="E113" s="483" t="str">
        <f t="shared" ref="E113:E122" si="50">F113/D$97</f>
        <v>#DIV/0!</v>
      </c>
      <c r="F113" s="481">
        <v>0.0</v>
      </c>
      <c r="G113" s="515" t="str">
        <f t="shared" ref="G113:G114" si="51">I113/I98</f>
        <v>#DIV/0!</v>
      </c>
      <c r="H113" s="483" t="str">
        <f t="shared" ref="H113:H122" si="52">I113/G$97</f>
        <v>#DIV/0!</v>
      </c>
      <c r="I113" s="481">
        <v>0.0</v>
      </c>
      <c r="J113" s="515" t="str">
        <f>L113/L98</f>
        <v>#DIV/0!</v>
      </c>
      <c r="K113" s="483">
        <f t="shared" ref="K113:K122" si="53">IF($J$97=0,0,L113/(J$94+J$95))</f>
        <v>548.7348718</v>
      </c>
      <c r="L113" s="484">
        <v>42801.32000000001</v>
      </c>
      <c r="M113" s="480"/>
      <c r="N113" s="484">
        <f t="shared" ref="N113:N154" si="54">L113-F113</f>
        <v>42801.32</v>
      </c>
      <c r="O113" s="515" t="str">
        <f>Q113/Q98</f>
        <v>#DIV/0!</v>
      </c>
      <c r="P113" s="483">
        <f t="shared" ref="P113:P122" si="55">IF($J$97=0,0,Q113/(O$94+O$95))</f>
        <v>482.9924</v>
      </c>
      <c r="Q113" s="484">
        <v>12074.81</v>
      </c>
      <c r="R113" s="480"/>
      <c r="S113" s="484">
        <f t="shared" ref="S113:S154" si="56">L113-Q113</f>
        <v>30726.51</v>
      </c>
      <c r="T113" s="48"/>
      <c r="U113" s="48"/>
      <c r="V113" s="48"/>
      <c r="W113" s="48"/>
      <c r="X113" s="48"/>
      <c r="Y113" s="48"/>
      <c r="Z113" s="48"/>
      <c r="AA113" s="48"/>
      <c r="AB113" s="48"/>
      <c r="AC113" s="48"/>
      <c r="AD113" s="48"/>
      <c r="AE113" s="48"/>
      <c r="AF113" s="48"/>
      <c r="AG113" s="48"/>
      <c r="AH113" s="48"/>
      <c r="AI113" s="48"/>
      <c r="AJ113" s="48"/>
      <c r="AK113" s="48"/>
      <c r="AL113" s="48"/>
      <c r="AM113" s="48"/>
      <c r="AN113" s="48"/>
    </row>
    <row r="114" ht="15.75" customHeight="1">
      <c r="A114" s="5" t="str">
        <f t="shared" si="30"/>
        <v>Véhicules usagésComm. F&amp;I</v>
      </c>
      <c r="B114" s="48" t="s">
        <v>151</v>
      </c>
      <c r="C114" s="471" t="s">
        <v>112</v>
      </c>
      <c r="D114" s="603" t="str">
        <f>F114/(F106+F20)</f>
        <v>#DIV/0!</v>
      </c>
      <c r="E114" s="513" t="str">
        <f t="shared" si="50"/>
        <v>#DIV/0!</v>
      </c>
      <c r="F114" s="473">
        <v>0.0</v>
      </c>
      <c r="G114" s="545" t="str">
        <f t="shared" si="51"/>
        <v>#DIV/0!</v>
      </c>
      <c r="H114" s="513" t="str">
        <f t="shared" si="52"/>
        <v>#DIV/0!</v>
      </c>
      <c r="I114" s="473">
        <v>0.0</v>
      </c>
      <c r="J114" s="545">
        <f>L114/L106</f>
        <v>0.2966239499</v>
      </c>
      <c r="K114" s="513">
        <f t="shared" si="53"/>
        <v>230.2876923</v>
      </c>
      <c r="L114" s="484">
        <v>17962.440000000002</v>
      </c>
      <c r="M114" s="471"/>
      <c r="N114" s="476">
        <f t="shared" si="54"/>
        <v>17962.44</v>
      </c>
      <c r="O114" s="545">
        <f>Q114/(Q106+Q20)</f>
        <v>0.1591276153</v>
      </c>
      <c r="P114" s="513">
        <f t="shared" si="55"/>
        <v>140.1048</v>
      </c>
      <c r="Q114" s="484">
        <v>3502.620000000001</v>
      </c>
      <c r="R114" s="471"/>
      <c r="S114" s="476">
        <f t="shared" si="56"/>
        <v>14459.82</v>
      </c>
      <c r="T114" s="48"/>
      <c r="U114" s="48"/>
      <c r="V114" s="48"/>
      <c r="W114" s="48"/>
      <c r="X114" s="48"/>
      <c r="Y114" s="48"/>
      <c r="Z114" s="48"/>
      <c r="AA114" s="48"/>
      <c r="AB114" s="48"/>
      <c r="AC114" s="48"/>
      <c r="AD114" s="48"/>
      <c r="AE114" s="48"/>
      <c r="AF114" s="48"/>
      <c r="AG114" s="48"/>
      <c r="AH114" s="48"/>
      <c r="AI114" s="48"/>
      <c r="AJ114" s="48"/>
      <c r="AK114" s="48"/>
      <c r="AL114" s="48"/>
      <c r="AM114" s="48"/>
      <c r="AN114" s="48"/>
    </row>
    <row r="115" ht="15.75" customHeight="1">
      <c r="A115" s="5" t="str">
        <f t="shared" si="30"/>
        <v>Véhicules usagésFrais de livraison</v>
      </c>
      <c r="B115" s="48" t="s">
        <v>151</v>
      </c>
      <c r="C115" s="480" t="s">
        <v>113</v>
      </c>
      <c r="D115" s="546"/>
      <c r="E115" s="483" t="str">
        <f t="shared" si="50"/>
        <v>#DIV/0!</v>
      </c>
      <c r="F115" s="481">
        <v>0.0</v>
      </c>
      <c r="G115" s="547"/>
      <c r="H115" s="483" t="str">
        <f t="shared" si="52"/>
        <v>#DIV/0!</v>
      </c>
      <c r="I115" s="481">
        <v>0.0</v>
      </c>
      <c r="J115" s="480"/>
      <c r="K115" s="483">
        <f t="shared" si="53"/>
        <v>-316.0552564</v>
      </c>
      <c r="L115" s="523">
        <v>-24652.309999999998</v>
      </c>
      <c r="M115" s="480"/>
      <c r="N115" s="484">
        <f t="shared" si="54"/>
        <v>-24652.31</v>
      </c>
      <c r="O115" s="480"/>
      <c r="P115" s="483">
        <f t="shared" si="55"/>
        <v>240.1552</v>
      </c>
      <c r="Q115" s="523">
        <v>6003.879999999999</v>
      </c>
      <c r="R115" s="480"/>
      <c r="S115" s="484">
        <f t="shared" si="56"/>
        <v>-30656.19</v>
      </c>
      <c r="T115" s="48"/>
      <c r="U115" s="48"/>
      <c r="V115" s="48"/>
      <c r="W115" s="481"/>
      <c r="X115" s="48"/>
      <c r="Y115" s="48"/>
      <c r="Z115" s="48"/>
      <c r="AA115" s="48"/>
      <c r="AB115" s="48"/>
      <c r="AC115" s="48"/>
      <c r="AD115" s="48"/>
      <c r="AE115" s="48"/>
      <c r="AF115" s="48"/>
      <c r="AG115" s="48"/>
      <c r="AH115" s="48"/>
      <c r="AI115" s="48"/>
      <c r="AJ115" s="48"/>
      <c r="AK115" s="48"/>
      <c r="AL115" s="48"/>
      <c r="AM115" s="48"/>
      <c r="AN115" s="48"/>
    </row>
    <row r="116" ht="15.75" customHeight="1">
      <c r="A116" s="5" t="str">
        <f t="shared" si="30"/>
        <v>Véhicules usagésService gratuit 1</v>
      </c>
      <c r="B116" s="48" t="s">
        <v>151</v>
      </c>
      <c r="C116" s="480" t="s">
        <v>114</v>
      </c>
      <c r="D116" s="546"/>
      <c r="E116" s="483" t="str">
        <f t="shared" si="50"/>
        <v>#DIV/0!</v>
      </c>
      <c r="F116" s="481">
        <v>0.0</v>
      </c>
      <c r="G116" s="547"/>
      <c r="H116" s="483" t="str">
        <f t="shared" si="52"/>
        <v>#DIV/0!</v>
      </c>
      <c r="I116" s="481">
        <v>0.0</v>
      </c>
      <c r="J116" s="480"/>
      <c r="K116" s="483">
        <f t="shared" si="53"/>
        <v>98.78</v>
      </c>
      <c r="L116" s="484">
        <v>7704.84</v>
      </c>
      <c r="M116" s="480"/>
      <c r="N116" s="484">
        <f t="shared" si="54"/>
        <v>7704.84</v>
      </c>
      <c r="O116" s="480"/>
      <c r="P116" s="483">
        <f t="shared" si="55"/>
        <v>21.2248</v>
      </c>
      <c r="Q116" s="484">
        <v>530.62</v>
      </c>
      <c r="R116" s="480"/>
      <c r="S116" s="484">
        <f t="shared" si="56"/>
        <v>7174.22</v>
      </c>
      <c r="T116" s="48"/>
      <c r="U116" s="48"/>
      <c r="V116" s="48"/>
      <c r="W116" s="481"/>
      <c r="X116" s="48"/>
      <c r="Y116" s="48"/>
      <c r="Z116" s="48"/>
      <c r="AA116" s="48"/>
      <c r="AB116" s="48"/>
      <c r="AC116" s="48"/>
      <c r="AD116" s="48"/>
      <c r="AE116" s="48"/>
      <c r="AF116" s="48"/>
      <c r="AG116" s="48"/>
      <c r="AH116" s="48"/>
      <c r="AI116" s="48"/>
      <c r="AJ116" s="48"/>
      <c r="AK116" s="48"/>
      <c r="AL116" s="48"/>
      <c r="AM116" s="48"/>
      <c r="AN116" s="48"/>
    </row>
    <row r="117" ht="15.75" customHeight="1">
      <c r="A117" s="5" t="str">
        <f t="shared" si="30"/>
        <v>Véhicules usagésEntretien stock</v>
      </c>
      <c r="B117" s="48" t="s">
        <v>151</v>
      </c>
      <c r="C117" s="471" t="s">
        <v>115</v>
      </c>
      <c r="D117" s="549"/>
      <c r="E117" s="513" t="str">
        <f t="shared" si="50"/>
        <v>#DIV/0!</v>
      </c>
      <c r="F117" s="473">
        <v>0.0</v>
      </c>
      <c r="G117" s="550"/>
      <c r="H117" s="513" t="str">
        <f t="shared" si="52"/>
        <v>#DIV/0!</v>
      </c>
      <c r="I117" s="473">
        <v>0.0</v>
      </c>
      <c r="J117" s="471"/>
      <c r="K117" s="513">
        <f t="shared" si="53"/>
        <v>0</v>
      </c>
      <c r="L117" s="476">
        <v>0.0</v>
      </c>
      <c r="M117" s="471"/>
      <c r="N117" s="476">
        <f t="shared" si="54"/>
        <v>0</v>
      </c>
      <c r="O117" s="471"/>
      <c r="P117" s="513">
        <f t="shared" si="55"/>
        <v>0</v>
      </c>
      <c r="Q117" s="476">
        <v>0.0</v>
      </c>
      <c r="R117" s="471"/>
      <c r="S117" s="476">
        <f t="shared" si="56"/>
        <v>0</v>
      </c>
      <c r="T117" s="48"/>
      <c r="U117" s="669"/>
      <c r="V117" s="48"/>
      <c r="W117" s="481"/>
      <c r="X117" s="48"/>
      <c r="Y117" s="48"/>
      <c r="Z117" s="48"/>
      <c r="AA117" s="48"/>
      <c r="AB117" s="48"/>
      <c r="AC117" s="48"/>
      <c r="AD117" s="48"/>
      <c r="AE117" s="48"/>
      <c r="AF117" s="48"/>
      <c r="AG117" s="48"/>
      <c r="AH117" s="48"/>
      <c r="AI117" s="48"/>
      <c r="AJ117" s="48"/>
      <c r="AK117" s="48"/>
      <c r="AL117" s="48"/>
      <c r="AM117" s="48"/>
      <c r="AN117" s="48"/>
    </row>
    <row r="118" ht="19.5" customHeight="1">
      <c r="A118" s="5" t="str">
        <f t="shared" si="30"/>
        <v>Véhicules usagésPublicité 1</v>
      </c>
      <c r="B118" s="48" t="s">
        <v>151</v>
      </c>
      <c r="C118" s="480" t="s">
        <v>116</v>
      </c>
      <c r="D118" s="546"/>
      <c r="E118" s="483" t="str">
        <f t="shared" si="50"/>
        <v>#DIV/0!</v>
      </c>
      <c r="F118" s="481">
        <v>0.0</v>
      </c>
      <c r="G118" s="547"/>
      <c r="H118" s="483" t="str">
        <f t="shared" si="52"/>
        <v>#DIV/0!</v>
      </c>
      <c r="I118" s="481">
        <v>0.0</v>
      </c>
      <c r="J118" s="480"/>
      <c r="K118" s="483">
        <f t="shared" si="53"/>
        <v>340.8278205</v>
      </c>
      <c r="L118" s="484">
        <v>26584.570000000003</v>
      </c>
      <c r="M118" s="480"/>
      <c r="N118" s="484">
        <f t="shared" si="54"/>
        <v>26584.57</v>
      </c>
      <c r="O118" s="480"/>
      <c r="P118" s="483">
        <f t="shared" si="55"/>
        <v>217.3884</v>
      </c>
      <c r="Q118" s="484">
        <v>5434.710000000002</v>
      </c>
      <c r="R118" s="480"/>
      <c r="S118" s="484">
        <f t="shared" si="56"/>
        <v>21149.86</v>
      </c>
      <c r="T118" s="48"/>
      <c r="U118" s="669"/>
      <c r="V118" s="48"/>
      <c r="W118" s="481"/>
      <c r="Z118" s="48"/>
      <c r="AA118" s="48"/>
      <c r="AB118" s="48"/>
      <c r="AC118" s="48"/>
      <c r="AD118" s="48"/>
      <c r="AE118" s="48"/>
      <c r="AF118" s="48"/>
      <c r="AG118" s="48"/>
      <c r="AH118" s="48"/>
      <c r="AI118" s="48"/>
      <c r="AJ118" s="48"/>
      <c r="AK118" s="48"/>
      <c r="AL118" s="48"/>
      <c r="AM118" s="48"/>
      <c r="AN118" s="48"/>
    </row>
    <row r="119" ht="15.75" customHeight="1">
      <c r="A119" s="5" t="str">
        <f t="shared" si="30"/>
        <v>Véhicules usagésIntérêt de gros</v>
      </c>
      <c r="B119" s="48" t="s">
        <v>151</v>
      </c>
      <c r="C119" s="480" t="s">
        <v>117</v>
      </c>
      <c r="D119" s="546"/>
      <c r="E119" s="483" t="str">
        <f t="shared" si="50"/>
        <v>#DIV/0!</v>
      </c>
      <c r="F119" s="481">
        <v>0.0</v>
      </c>
      <c r="G119" s="547"/>
      <c r="H119" s="483" t="str">
        <f t="shared" si="52"/>
        <v>#DIV/0!</v>
      </c>
      <c r="I119" s="481">
        <v>0.0</v>
      </c>
      <c r="J119" s="480"/>
      <c r="K119" s="483">
        <f t="shared" si="53"/>
        <v>611.4892308</v>
      </c>
      <c r="L119" s="484">
        <v>47696.16</v>
      </c>
      <c r="M119" s="480"/>
      <c r="N119" s="484">
        <f t="shared" si="54"/>
        <v>47696.16</v>
      </c>
      <c r="O119" s="480"/>
      <c r="P119" s="483">
        <f t="shared" si="55"/>
        <v>3248.7256</v>
      </c>
      <c r="Q119" s="484">
        <v>81218.14000000001</v>
      </c>
      <c r="R119" s="480"/>
      <c r="S119" s="484">
        <f t="shared" si="56"/>
        <v>-33521.98</v>
      </c>
      <c r="T119" s="48"/>
      <c r="U119" s="48"/>
      <c r="V119" s="48"/>
      <c r="W119" s="481"/>
      <c r="X119" s="48"/>
      <c r="Y119" s="48"/>
      <c r="Z119" s="48"/>
      <c r="AA119" s="48"/>
      <c r="AB119" s="48"/>
      <c r="AC119" s="48"/>
      <c r="AD119" s="48"/>
      <c r="AE119" s="48"/>
      <c r="AF119" s="48"/>
      <c r="AG119" s="48"/>
      <c r="AH119" s="48"/>
      <c r="AI119" s="48"/>
      <c r="AJ119" s="48"/>
      <c r="AK119" s="48"/>
      <c r="AL119" s="48"/>
      <c r="AM119" s="48"/>
      <c r="AN119" s="48"/>
    </row>
    <row r="120" ht="15.75" customHeight="1">
      <c r="A120" s="5" t="str">
        <f t="shared" si="30"/>
        <v>Véhicules usagésCrédit Intérêts Floor Plan</v>
      </c>
      <c r="B120" s="48" t="s">
        <v>151</v>
      </c>
      <c r="C120" s="480" t="s">
        <v>813</v>
      </c>
      <c r="D120" s="546"/>
      <c r="E120" s="483" t="str">
        <f t="shared" si="50"/>
        <v>#DIV/0!</v>
      </c>
      <c r="F120" s="481">
        <v>0.0</v>
      </c>
      <c r="G120" s="547"/>
      <c r="H120" s="483" t="str">
        <f t="shared" si="52"/>
        <v>#DIV/0!</v>
      </c>
      <c r="I120" s="481">
        <v>0.0</v>
      </c>
      <c r="J120" s="480"/>
      <c r="K120" s="483">
        <f t="shared" si="53"/>
        <v>0</v>
      </c>
      <c r="L120" s="484">
        <v>0.0</v>
      </c>
      <c r="M120" s="480"/>
      <c r="N120" s="484">
        <f t="shared" si="54"/>
        <v>0</v>
      </c>
      <c r="O120" s="480"/>
      <c r="P120" s="483">
        <f t="shared" si="55"/>
        <v>0</v>
      </c>
      <c r="Q120" s="484">
        <v>0.0</v>
      </c>
      <c r="R120" s="480"/>
      <c r="S120" s="484">
        <f t="shared" si="56"/>
        <v>0</v>
      </c>
      <c r="T120" s="48"/>
      <c r="U120" s="48"/>
      <c r="V120" s="48"/>
      <c r="W120" s="48"/>
      <c r="X120" s="48"/>
      <c r="Y120" s="48"/>
      <c r="Z120" s="48"/>
      <c r="AA120" s="48"/>
      <c r="AB120" s="48"/>
      <c r="AC120" s="48"/>
      <c r="AD120" s="48"/>
      <c r="AE120" s="48"/>
      <c r="AF120" s="48"/>
      <c r="AG120" s="48"/>
      <c r="AH120" s="48"/>
      <c r="AI120" s="48"/>
      <c r="AJ120" s="48"/>
      <c r="AK120" s="48"/>
      <c r="AL120" s="48"/>
      <c r="AM120" s="48"/>
      <c r="AN120" s="48"/>
    </row>
    <row r="121" ht="15.75" customHeight="1">
      <c r="A121" s="5" t="str">
        <f t="shared" si="30"/>
        <v>Véhicules usagésCrédit Boni TD</v>
      </c>
      <c r="B121" s="48" t="s">
        <v>151</v>
      </c>
      <c r="C121" s="480" t="s">
        <v>814</v>
      </c>
      <c r="D121" s="546"/>
      <c r="E121" s="483" t="str">
        <f t="shared" si="50"/>
        <v>#DIV/0!</v>
      </c>
      <c r="F121" s="481">
        <v>0.0</v>
      </c>
      <c r="G121" s="547"/>
      <c r="H121" s="483" t="str">
        <f t="shared" si="52"/>
        <v>#DIV/0!</v>
      </c>
      <c r="I121" s="481">
        <v>0.0</v>
      </c>
      <c r="J121" s="480"/>
      <c r="K121" s="483">
        <f t="shared" si="53"/>
        <v>-207.354359</v>
      </c>
      <c r="L121" s="484">
        <v>-16173.64</v>
      </c>
      <c r="M121" s="480"/>
      <c r="N121" s="484">
        <f t="shared" si="54"/>
        <v>-16173.64</v>
      </c>
      <c r="O121" s="480"/>
      <c r="P121" s="483">
        <f t="shared" si="55"/>
        <v>0</v>
      </c>
      <c r="Q121" s="484">
        <v>0.0</v>
      </c>
      <c r="R121" s="480"/>
      <c r="S121" s="484">
        <f t="shared" si="56"/>
        <v>-16173.64</v>
      </c>
      <c r="T121" s="48"/>
      <c r="U121" s="48"/>
      <c r="V121" s="48"/>
      <c r="W121" s="48"/>
      <c r="X121" s="48"/>
      <c r="Y121" s="48"/>
      <c r="Z121" s="48"/>
      <c r="AA121" s="48"/>
      <c r="AB121" s="48"/>
      <c r="AC121" s="48"/>
      <c r="AD121" s="48"/>
      <c r="AE121" s="48"/>
      <c r="AF121" s="48"/>
      <c r="AG121" s="48"/>
      <c r="AH121" s="48"/>
      <c r="AI121" s="48"/>
      <c r="AJ121" s="48"/>
      <c r="AK121" s="48"/>
      <c r="AL121" s="48"/>
      <c r="AM121" s="48"/>
      <c r="AN121" s="48"/>
    </row>
    <row r="122" ht="20.25" hidden="1" customHeight="1">
      <c r="A122" s="5" t="str">
        <f t="shared" si="30"/>
        <v>Véhicules usagés[...]</v>
      </c>
      <c r="B122" s="48" t="s">
        <v>151</v>
      </c>
      <c r="C122" s="480" t="s">
        <v>56</v>
      </c>
      <c r="D122" s="546"/>
      <c r="E122" s="483" t="str">
        <f t="shared" si="50"/>
        <v>#DIV/0!</v>
      </c>
      <c r="F122" s="481">
        <v>0.0</v>
      </c>
      <c r="G122" s="547"/>
      <c r="H122" s="483" t="str">
        <f t="shared" si="52"/>
        <v>#DIV/0!</v>
      </c>
      <c r="I122" s="481">
        <v>0.0</v>
      </c>
      <c r="J122" s="480"/>
      <c r="K122" s="483">
        <f t="shared" si="53"/>
        <v>0</v>
      </c>
      <c r="L122" s="485">
        <v>0.0</v>
      </c>
      <c r="M122" s="480"/>
      <c r="N122" s="484">
        <f t="shared" si="54"/>
        <v>0</v>
      </c>
      <c r="O122" s="480"/>
      <c r="P122" s="483">
        <f t="shared" si="55"/>
        <v>0</v>
      </c>
      <c r="Q122" s="485">
        <v>0.0</v>
      </c>
      <c r="R122" s="480"/>
      <c r="S122" s="484">
        <f t="shared" si="56"/>
        <v>0</v>
      </c>
      <c r="T122" s="48"/>
      <c r="U122" s="48"/>
      <c r="V122" s="48"/>
      <c r="W122" s="48"/>
      <c r="X122" s="48"/>
      <c r="Y122" s="48"/>
      <c r="Z122" s="48"/>
      <c r="AA122" s="48"/>
      <c r="AB122" s="48"/>
      <c r="AC122" s="48"/>
      <c r="AD122" s="48"/>
      <c r="AE122" s="48"/>
      <c r="AF122" s="48"/>
      <c r="AG122" s="48"/>
      <c r="AH122" s="48"/>
      <c r="AI122" s="48"/>
      <c r="AJ122" s="48"/>
      <c r="AK122" s="48"/>
      <c r="AL122" s="48"/>
      <c r="AM122" s="48"/>
      <c r="AN122" s="48"/>
    </row>
    <row r="123" ht="18.0" customHeight="1">
      <c r="A123" s="5" t="str">
        <f t="shared" si="30"/>
        <v>Véhicules usagésTOTAL VARIABLES</v>
      </c>
      <c r="B123" s="48" t="s">
        <v>151</v>
      </c>
      <c r="C123" s="552" t="s">
        <v>118</v>
      </c>
      <c r="D123" s="553" t="s">
        <v>225</v>
      </c>
      <c r="E123" s="554" t="str">
        <f>F123/F$108</f>
        <v>#DIV/0!</v>
      </c>
      <c r="F123" s="555">
        <f>SUM(F113:F122)</f>
        <v>0</v>
      </c>
      <c r="G123" s="556" t="s">
        <v>225</v>
      </c>
      <c r="H123" s="554" t="str">
        <f>I123/I$108</f>
        <v>#DIV/0!</v>
      </c>
      <c r="I123" s="555">
        <f>SUM(I113:I122)</f>
        <v>0</v>
      </c>
      <c r="J123" s="556" t="s">
        <v>225</v>
      </c>
      <c r="K123" s="554" t="str">
        <f>L123/L$108</f>
        <v>#DIV/0!</v>
      </c>
      <c r="L123" s="555">
        <f>SUM(L113:L122)</f>
        <v>101923.38</v>
      </c>
      <c r="M123" s="557"/>
      <c r="N123" s="555">
        <f t="shared" si="54"/>
        <v>101923.38</v>
      </c>
      <c r="O123" s="556" t="s">
        <v>225</v>
      </c>
      <c r="P123" s="554" t="str">
        <f>Q123/Q$108</f>
        <v>#DIV/0!</v>
      </c>
      <c r="Q123" s="555">
        <f>SUM(Q113:Q122)</f>
        <v>108764.78</v>
      </c>
      <c r="R123" s="558"/>
      <c r="S123" s="555">
        <f t="shared" si="56"/>
        <v>-6841.4</v>
      </c>
      <c r="T123" s="48"/>
      <c r="U123" s="48"/>
      <c r="V123" s="48"/>
      <c r="W123" s="48"/>
      <c r="X123" s="48"/>
      <c r="Y123" s="48"/>
      <c r="Z123" s="48"/>
      <c r="AA123" s="48"/>
      <c r="AB123" s="48"/>
      <c r="AC123" s="48"/>
      <c r="AD123" s="48"/>
      <c r="AE123" s="48"/>
      <c r="AF123" s="48"/>
      <c r="AG123" s="48"/>
      <c r="AH123" s="48"/>
      <c r="AI123" s="48"/>
      <c r="AJ123" s="48"/>
      <c r="AK123" s="48"/>
      <c r="AL123" s="48"/>
      <c r="AM123" s="48"/>
      <c r="AN123" s="48"/>
    </row>
    <row r="124" ht="15.75" customHeight="1">
      <c r="A124" s="5" t="str">
        <f t="shared" si="30"/>
        <v>Véhicules usagésSalaires cadres</v>
      </c>
      <c r="B124" s="48" t="s">
        <v>151</v>
      </c>
      <c r="C124" s="559" t="s">
        <v>119</v>
      </c>
      <c r="D124" s="48"/>
      <c r="E124" s="48"/>
      <c r="F124" s="481">
        <v>0.0</v>
      </c>
      <c r="G124" s="480"/>
      <c r="H124" s="48"/>
      <c r="I124" s="481">
        <v>0.0</v>
      </c>
      <c r="J124" s="480"/>
      <c r="K124" s="48"/>
      <c r="L124" s="484">
        <v>27751.929999999997</v>
      </c>
      <c r="M124" s="480"/>
      <c r="N124" s="484">
        <f t="shared" si="54"/>
        <v>27751.93</v>
      </c>
      <c r="O124" s="480"/>
      <c r="P124" s="48"/>
      <c r="Q124" s="484">
        <v>22043.019999999997</v>
      </c>
      <c r="R124" s="480"/>
      <c r="S124" s="484">
        <f t="shared" si="56"/>
        <v>5708.91</v>
      </c>
      <c r="T124" s="48"/>
      <c r="U124" s="48"/>
      <c r="V124" s="48"/>
      <c r="W124" s="48"/>
      <c r="X124" s="48"/>
      <c r="Y124" s="48"/>
      <c r="Z124" s="48"/>
      <c r="AA124" s="48"/>
      <c r="AB124" s="48"/>
      <c r="AC124" s="48"/>
      <c r="AD124" s="48"/>
      <c r="AE124" s="48"/>
      <c r="AF124" s="48"/>
      <c r="AG124" s="48"/>
      <c r="AH124" s="48"/>
      <c r="AI124" s="48"/>
      <c r="AJ124" s="48"/>
      <c r="AK124" s="48"/>
      <c r="AL124" s="48"/>
      <c r="AM124" s="48"/>
      <c r="AN124" s="48"/>
    </row>
    <row r="125" ht="15.75" customHeight="1">
      <c r="A125" s="5" t="str">
        <f t="shared" si="30"/>
        <v>Véhicules usagésSalaires commis</v>
      </c>
      <c r="B125" s="48" t="s">
        <v>151</v>
      </c>
      <c r="C125" s="560" t="s">
        <v>120</v>
      </c>
      <c r="D125" s="546"/>
      <c r="E125" s="48"/>
      <c r="F125" s="473">
        <v>0.0</v>
      </c>
      <c r="G125" s="547"/>
      <c r="H125" s="48"/>
      <c r="I125" s="473">
        <v>0.0</v>
      </c>
      <c r="J125" s="480"/>
      <c r="K125" s="48"/>
      <c r="L125" s="484">
        <v>9442.24</v>
      </c>
      <c r="M125" s="480"/>
      <c r="N125" s="484">
        <f t="shared" si="54"/>
        <v>9442.24</v>
      </c>
      <c r="O125" s="480"/>
      <c r="P125" s="48"/>
      <c r="Q125" s="484">
        <v>17855.14</v>
      </c>
      <c r="R125" s="480"/>
      <c r="S125" s="484">
        <f t="shared" si="56"/>
        <v>-8412.9</v>
      </c>
      <c r="T125" s="48"/>
      <c r="U125" s="48"/>
      <c r="V125" s="48"/>
      <c r="W125" s="48"/>
      <c r="X125" s="48"/>
      <c r="Y125" s="48"/>
      <c r="Z125" s="48"/>
      <c r="AA125" s="48"/>
      <c r="AB125" s="48"/>
      <c r="AC125" s="48"/>
      <c r="AD125" s="48"/>
      <c r="AE125" s="48"/>
      <c r="AF125" s="48"/>
      <c r="AG125" s="48"/>
      <c r="AH125" s="48"/>
      <c r="AI125" s="48"/>
      <c r="AJ125" s="48"/>
      <c r="AK125" s="48"/>
      <c r="AL125" s="48"/>
      <c r="AM125" s="48"/>
      <c r="AN125" s="48"/>
    </row>
    <row r="126" ht="15.75" customHeight="1">
      <c r="A126" s="5" t="str">
        <f t="shared" si="30"/>
        <v>Véhicules usagésSalaires autres</v>
      </c>
      <c r="B126" s="48" t="s">
        <v>151</v>
      </c>
      <c r="C126" s="559" t="s">
        <v>121</v>
      </c>
      <c r="D126" s="561"/>
      <c r="E126" s="562"/>
      <c r="F126" s="481">
        <v>0.0</v>
      </c>
      <c r="G126" s="563"/>
      <c r="H126" s="562"/>
      <c r="I126" s="481">
        <v>0.0</v>
      </c>
      <c r="J126" s="466"/>
      <c r="K126" s="562"/>
      <c r="L126" s="523">
        <v>-123943.13999999998</v>
      </c>
      <c r="M126" s="466"/>
      <c r="N126" s="523">
        <f t="shared" si="54"/>
        <v>-123943.14</v>
      </c>
      <c r="O126" s="466"/>
      <c r="P126" s="562"/>
      <c r="Q126" s="523">
        <v>7431.1</v>
      </c>
      <c r="R126" s="466"/>
      <c r="S126" s="523">
        <f t="shared" si="56"/>
        <v>-131374.24</v>
      </c>
      <c r="T126" s="48"/>
      <c r="U126" s="48"/>
      <c r="V126" s="48"/>
      <c r="W126" s="48"/>
      <c r="X126" s="48"/>
      <c r="Y126" s="48"/>
      <c r="Z126" s="48"/>
      <c r="AA126" s="48"/>
      <c r="AB126" s="48"/>
      <c r="AC126" s="48"/>
      <c r="AD126" s="48"/>
      <c r="AE126" s="48"/>
      <c r="AF126" s="48"/>
      <c r="AG126" s="48"/>
      <c r="AH126" s="48"/>
      <c r="AI126" s="48"/>
      <c r="AJ126" s="48"/>
      <c r="AK126" s="48"/>
      <c r="AL126" s="48"/>
      <c r="AM126" s="48"/>
      <c r="AN126" s="48"/>
    </row>
    <row r="127" ht="20.25" hidden="1" customHeight="1">
      <c r="A127" s="5" t="str">
        <f t="shared" si="30"/>
        <v>Véhicules usagésSalaires spécialistes</v>
      </c>
      <c r="B127" s="48" t="s">
        <v>151</v>
      </c>
      <c r="C127" s="559" t="s">
        <v>122</v>
      </c>
      <c r="D127" s="546"/>
      <c r="E127" s="48"/>
      <c r="F127" s="481">
        <v>0.0</v>
      </c>
      <c r="G127" s="547"/>
      <c r="H127" s="48"/>
      <c r="I127" s="481">
        <v>0.0</v>
      </c>
      <c r="J127" s="480"/>
      <c r="K127" s="48"/>
      <c r="L127" s="484">
        <v>0.0</v>
      </c>
      <c r="M127" s="480"/>
      <c r="N127" s="484">
        <f t="shared" si="54"/>
        <v>0</v>
      </c>
      <c r="O127" s="480"/>
      <c r="P127" s="48"/>
      <c r="Q127" s="484">
        <v>0.0</v>
      </c>
      <c r="R127" s="480"/>
      <c r="S127" s="484">
        <f t="shared" si="56"/>
        <v>0</v>
      </c>
      <c r="T127" s="48"/>
      <c r="U127" s="48"/>
      <c r="V127" s="48"/>
      <c r="W127" s="48"/>
      <c r="X127" s="48"/>
      <c r="Y127" s="48"/>
      <c r="Z127" s="48"/>
      <c r="AA127" s="48"/>
      <c r="AB127" s="48"/>
      <c r="AC127" s="48"/>
      <c r="AD127" s="48"/>
      <c r="AE127" s="48"/>
      <c r="AF127" s="48"/>
      <c r="AG127" s="48"/>
      <c r="AH127" s="48"/>
      <c r="AI127" s="48"/>
      <c r="AJ127" s="48"/>
      <c r="AK127" s="48"/>
      <c r="AL127" s="48"/>
      <c r="AM127" s="48"/>
      <c r="AN127" s="48"/>
    </row>
    <row r="128" ht="20.25" hidden="1" customHeight="1">
      <c r="A128" s="5" t="str">
        <f t="shared" si="30"/>
        <v>Véhicules usagés[...]</v>
      </c>
      <c r="B128" s="48" t="s">
        <v>151</v>
      </c>
      <c r="C128" s="559" t="s">
        <v>56</v>
      </c>
      <c r="D128" s="546"/>
      <c r="E128" s="48"/>
      <c r="F128" s="481">
        <v>0.0</v>
      </c>
      <c r="G128" s="547"/>
      <c r="H128" s="48"/>
      <c r="I128" s="481">
        <v>0.0</v>
      </c>
      <c r="J128" s="480"/>
      <c r="K128" s="48"/>
      <c r="L128" s="484">
        <v>0.0</v>
      </c>
      <c r="M128" s="480"/>
      <c r="N128" s="484">
        <f t="shared" si="54"/>
        <v>0</v>
      </c>
      <c r="O128" s="480"/>
      <c r="P128" s="48"/>
      <c r="Q128" s="484">
        <v>0.0</v>
      </c>
      <c r="R128" s="480"/>
      <c r="S128" s="484">
        <f t="shared" si="56"/>
        <v>0</v>
      </c>
      <c r="T128" s="48"/>
      <c r="U128" s="48"/>
      <c r="V128" s="48"/>
      <c r="W128" s="48"/>
      <c r="X128" s="48"/>
      <c r="Y128" s="48"/>
      <c r="Z128" s="48"/>
      <c r="AA128" s="48"/>
      <c r="AB128" s="48"/>
      <c r="AC128" s="48"/>
      <c r="AD128" s="48"/>
      <c r="AE128" s="48"/>
      <c r="AF128" s="48"/>
      <c r="AG128" s="48"/>
      <c r="AH128" s="48"/>
      <c r="AI128" s="48"/>
      <c r="AJ128" s="48"/>
      <c r="AK128" s="48"/>
      <c r="AL128" s="48"/>
      <c r="AM128" s="48"/>
      <c r="AN128" s="48"/>
    </row>
    <row r="129" ht="20.25" hidden="1" customHeight="1">
      <c r="A129" s="5" t="str">
        <f t="shared" si="30"/>
        <v>Véhicules usagés[...]</v>
      </c>
      <c r="B129" s="48" t="s">
        <v>151</v>
      </c>
      <c r="C129" s="559" t="s">
        <v>56</v>
      </c>
      <c r="D129" s="546"/>
      <c r="E129" s="48"/>
      <c r="F129" s="481">
        <v>0.0</v>
      </c>
      <c r="G129" s="547"/>
      <c r="H129" s="48"/>
      <c r="I129" s="481">
        <v>0.0</v>
      </c>
      <c r="J129" s="480"/>
      <c r="K129" s="48"/>
      <c r="L129" s="484">
        <v>0.0</v>
      </c>
      <c r="M129" s="480"/>
      <c r="N129" s="484">
        <f t="shared" si="54"/>
        <v>0</v>
      </c>
      <c r="O129" s="480"/>
      <c r="P129" s="48"/>
      <c r="Q129" s="484">
        <v>0.0</v>
      </c>
      <c r="R129" s="480"/>
      <c r="S129" s="484">
        <f t="shared" si="56"/>
        <v>0</v>
      </c>
      <c r="T129" s="48"/>
      <c r="U129" s="48"/>
      <c r="V129" s="48"/>
      <c r="W129" s="48"/>
      <c r="X129" s="48"/>
      <c r="Y129" s="48"/>
      <c r="Z129" s="48"/>
      <c r="AA129" s="48"/>
      <c r="AB129" s="48"/>
      <c r="AC129" s="48"/>
      <c r="AD129" s="48"/>
      <c r="AE129" s="48"/>
      <c r="AF129" s="48"/>
      <c r="AG129" s="48"/>
      <c r="AH129" s="48"/>
      <c r="AI129" s="48"/>
      <c r="AJ129" s="48"/>
      <c r="AK129" s="48"/>
      <c r="AL129" s="48"/>
      <c r="AM129" s="48"/>
      <c r="AN129" s="48"/>
    </row>
    <row r="130" ht="20.25" hidden="1" customHeight="1">
      <c r="A130" s="5" t="str">
        <f t="shared" si="30"/>
        <v>Véhicules usagés[...]</v>
      </c>
      <c r="B130" s="48" t="s">
        <v>151</v>
      </c>
      <c r="C130" s="559" t="s">
        <v>56</v>
      </c>
      <c r="D130" s="546"/>
      <c r="E130" s="48"/>
      <c r="F130" s="481">
        <v>0.0</v>
      </c>
      <c r="G130" s="547"/>
      <c r="H130" s="48"/>
      <c r="I130" s="481">
        <v>0.0</v>
      </c>
      <c r="J130" s="480"/>
      <c r="K130" s="48"/>
      <c r="L130" s="484">
        <v>0.0</v>
      </c>
      <c r="M130" s="480"/>
      <c r="N130" s="484">
        <f t="shared" si="54"/>
        <v>0</v>
      </c>
      <c r="O130" s="480"/>
      <c r="P130" s="48"/>
      <c r="Q130" s="484">
        <v>0.0</v>
      </c>
      <c r="R130" s="480"/>
      <c r="S130" s="484">
        <f t="shared" si="56"/>
        <v>0</v>
      </c>
      <c r="T130" s="48"/>
      <c r="U130" s="48"/>
      <c r="V130" s="48"/>
      <c r="W130" s="48"/>
      <c r="X130" s="48"/>
      <c r="Y130" s="48"/>
      <c r="Z130" s="48"/>
      <c r="AA130" s="48"/>
      <c r="AB130" s="48"/>
      <c r="AC130" s="48"/>
      <c r="AD130" s="48"/>
      <c r="AE130" s="48"/>
      <c r="AF130" s="48"/>
      <c r="AG130" s="48"/>
      <c r="AH130" s="48"/>
      <c r="AI130" s="48"/>
      <c r="AJ130" s="48"/>
      <c r="AK130" s="48"/>
      <c r="AL130" s="48"/>
      <c r="AM130" s="48"/>
      <c r="AN130" s="48"/>
    </row>
    <row r="131" ht="15.75" customHeight="1">
      <c r="A131" s="5" t="str">
        <f t="shared" si="30"/>
        <v>Véhicules usagésSalaires en absences</v>
      </c>
      <c r="B131" s="48" t="s">
        <v>151</v>
      </c>
      <c r="C131" s="560" t="s">
        <v>123</v>
      </c>
      <c r="D131" s="546"/>
      <c r="E131" s="48"/>
      <c r="F131" s="481">
        <v>0.0</v>
      </c>
      <c r="G131" s="547"/>
      <c r="H131" s="48"/>
      <c r="I131" s="481">
        <v>0.0</v>
      </c>
      <c r="J131" s="480"/>
      <c r="K131" s="48"/>
      <c r="L131" s="484">
        <v>14700.939999999999</v>
      </c>
      <c r="M131" s="480"/>
      <c r="N131" s="484">
        <f t="shared" si="54"/>
        <v>14700.94</v>
      </c>
      <c r="O131" s="480"/>
      <c r="P131" s="48"/>
      <c r="Q131" s="484">
        <v>3573.27</v>
      </c>
      <c r="R131" s="480"/>
      <c r="S131" s="484">
        <f t="shared" si="56"/>
        <v>11127.67</v>
      </c>
      <c r="T131" s="48"/>
      <c r="U131" s="48"/>
      <c r="V131" s="48"/>
      <c r="W131" s="48"/>
      <c r="X131" s="48"/>
      <c r="Y131" s="48"/>
      <c r="Z131" s="48"/>
      <c r="AA131" s="48"/>
      <c r="AB131" s="48"/>
      <c r="AC131" s="48"/>
      <c r="AD131" s="48"/>
      <c r="AE131" s="48"/>
      <c r="AF131" s="48"/>
      <c r="AG131" s="48"/>
      <c r="AH131" s="48"/>
      <c r="AI131" s="48"/>
      <c r="AJ131" s="48"/>
      <c r="AK131" s="48"/>
      <c r="AL131" s="48"/>
      <c r="AM131" s="48"/>
      <c r="AN131" s="48"/>
    </row>
    <row r="132" ht="15.75" customHeight="1">
      <c r="A132" s="5" t="str">
        <f t="shared" si="30"/>
        <v>Véhicules usagésDéduction à la source</v>
      </c>
      <c r="B132" s="48" t="s">
        <v>151</v>
      </c>
      <c r="C132" s="559" t="s">
        <v>124</v>
      </c>
      <c r="D132" s="561"/>
      <c r="E132" s="562"/>
      <c r="F132" s="519">
        <v>0.0</v>
      </c>
      <c r="G132" s="563"/>
      <c r="H132" s="562"/>
      <c r="I132" s="519">
        <v>0.0</v>
      </c>
      <c r="J132" s="466"/>
      <c r="K132" s="562"/>
      <c r="L132" s="523">
        <v>13391.9</v>
      </c>
      <c r="M132" s="466"/>
      <c r="N132" s="523">
        <f t="shared" si="54"/>
        <v>13391.9</v>
      </c>
      <c r="O132" s="466"/>
      <c r="P132" s="562"/>
      <c r="Q132" s="523">
        <v>7268.31</v>
      </c>
      <c r="R132" s="466"/>
      <c r="S132" s="523">
        <f t="shared" si="56"/>
        <v>6123.59</v>
      </c>
      <c r="T132" s="48"/>
      <c r="U132" s="48"/>
      <c r="V132" s="48"/>
      <c r="W132" s="48"/>
      <c r="X132" s="48"/>
      <c r="Y132" s="48"/>
      <c r="Z132" s="48"/>
      <c r="AA132" s="48"/>
      <c r="AB132" s="48"/>
      <c r="AC132" s="48"/>
      <c r="AD132" s="48"/>
      <c r="AE132" s="48"/>
      <c r="AF132" s="48"/>
      <c r="AG132" s="48"/>
      <c r="AH132" s="48"/>
      <c r="AI132" s="48"/>
      <c r="AJ132" s="48"/>
      <c r="AK132" s="48"/>
      <c r="AL132" s="48"/>
      <c r="AM132" s="48"/>
      <c r="AN132" s="48"/>
    </row>
    <row r="133" ht="15.75" customHeight="1">
      <c r="A133" s="5" t="str">
        <f t="shared" si="30"/>
        <v>Véhicules usagésBénéfices marginaux</v>
      </c>
      <c r="B133" s="48" t="s">
        <v>151</v>
      </c>
      <c r="C133" s="559" t="s">
        <v>125</v>
      </c>
      <c r="D133" s="546"/>
      <c r="E133" s="48"/>
      <c r="F133" s="481">
        <v>0.0</v>
      </c>
      <c r="G133" s="547"/>
      <c r="H133" s="48"/>
      <c r="I133" s="481">
        <v>0.0</v>
      </c>
      <c r="J133" s="480"/>
      <c r="K133" s="48"/>
      <c r="L133" s="484">
        <v>3610.51</v>
      </c>
      <c r="M133" s="480"/>
      <c r="N133" s="484">
        <f t="shared" si="54"/>
        <v>3610.51</v>
      </c>
      <c r="O133" s="480"/>
      <c r="P133" s="48"/>
      <c r="Q133" s="484">
        <v>7609.46</v>
      </c>
      <c r="R133" s="480"/>
      <c r="S133" s="484">
        <f t="shared" si="56"/>
        <v>-3998.95</v>
      </c>
      <c r="T133" s="48"/>
      <c r="U133" s="48"/>
      <c r="V133" s="48"/>
      <c r="W133" s="48"/>
      <c r="X133" s="48"/>
      <c r="Y133" s="48"/>
      <c r="Z133" s="48"/>
      <c r="AA133" s="48"/>
      <c r="AB133" s="48"/>
      <c r="AC133" s="48"/>
      <c r="AD133" s="48"/>
      <c r="AE133" s="48"/>
      <c r="AF133" s="48"/>
      <c r="AG133" s="48"/>
      <c r="AH133" s="48"/>
      <c r="AI133" s="48"/>
      <c r="AJ133" s="48"/>
      <c r="AK133" s="48"/>
      <c r="AL133" s="48"/>
      <c r="AM133" s="48"/>
      <c r="AN133" s="48"/>
    </row>
    <row r="134" ht="15.75" customHeight="1">
      <c r="A134" s="5" t="str">
        <f t="shared" si="30"/>
        <v>Véhicules usagésCsst</v>
      </c>
      <c r="B134" s="48" t="s">
        <v>151</v>
      </c>
      <c r="C134" s="559" t="s">
        <v>126</v>
      </c>
      <c r="D134" s="546"/>
      <c r="E134" s="48"/>
      <c r="F134" s="481">
        <v>0.0</v>
      </c>
      <c r="G134" s="547"/>
      <c r="H134" s="48"/>
      <c r="I134" s="481">
        <v>0.0</v>
      </c>
      <c r="J134" s="480"/>
      <c r="K134" s="48"/>
      <c r="L134" s="484">
        <v>5682.51</v>
      </c>
      <c r="M134" s="480"/>
      <c r="N134" s="484">
        <f t="shared" si="54"/>
        <v>5682.51</v>
      </c>
      <c r="O134" s="480"/>
      <c r="P134" s="48"/>
      <c r="Q134" s="484">
        <v>73.24</v>
      </c>
      <c r="R134" s="480"/>
      <c r="S134" s="484">
        <f t="shared" si="56"/>
        <v>5609.27</v>
      </c>
      <c r="T134" s="48"/>
      <c r="U134" s="48"/>
      <c r="V134" s="48"/>
      <c r="W134" s="48"/>
      <c r="X134" s="48"/>
      <c r="Y134" s="48"/>
      <c r="Z134" s="48"/>
      <c r="AA134" s="48"/>
      <c r="AB134" s="48"/>
      <c r="AC134" s="48"/>
      <c r="AD134" s="48"/>
      <c r="AE134" s="48"/>
      <c r="AF134" s="48"/>
      <c r="AG134" s="48"/>
      <c r="AH134" s="48"/>
      <c r="AI134" s="48"/>
      <c r="AJ134" s="48"/>
      <c r="AK134" s="48"/>
      <c r="AL134" s="48"/>
      <c r="AM134" s="48"/>
      <c r="AN134" s="48"/>
    </row>
    <row r="135" ht="20.25" hidden="1" customHeight="1">
      <c r="A135" s="5" t="str">
        <f t="shared" si="30"/>
        <v>Véhicules usagés[...]</v>
      </c>
      <c r="B135" s="48" t="s">
        <v>151</v>
      </c>
      <c r="C135" s="480" t="s">
        <v>56</v>
      </c>
      <c r="D135" s="549"/>
      <c r="E135" s="564"/>
      <c r="F135" s="481">
        <v>0.0</v>
      </c>
      <c r="G135" s="550"/>
      <c r="H135" s="564"/>
      <c r="I135" s="481">
        <v>0.0</v>
      </c>
      <c r="J135" s="471"/>
      <c r="K135" s="564"/>
      <c r="L135" s="484">
        <v>0.0</v>
      </c>
      <c r="M135" s="471"/>
      <c r="N135" s="476">
        <f t="shared" si="54"/>
        <v>0</v>
      </c>
      <c r="O135" s="471"/>
      <c r="P135" s="564"/>
      <c r="Q135" s="484">
        <v>0.0</v>
      </c>
      <c r="R135" s="471"/>
      <c r="S135" s="476">
        <f t="shared" si="56"/>
        <v>0</v>
      </c>
      <c r="T135" s="48"/>
      <c r="U135" s="48"/>
      <c r="V135" s="48"/>
      <c r="W135" s="48"/>
      <c r="X135" s="48"/>
      <c r="Y135" s="48"/>
      <c r="Z135" s="48"/>
      <c r="AA135" s="48"/>
      <c r="AB135" s="48"/>
      <c r="AC135" s="48"/>
      <c r="AD135" s="48"/>
      <c r="AE135" s="48"/>
      <c r="AF135" s="48"/>
      <c r="AG135" s="48"/>
      <c r="AH135" s="48"/>
      <c r="AI135" s="48"/>
      <c r="AJ135" s="48"/>
      <c r="AK135" s="48"/>
      <c r="AL135" s="48"/>
      <c r="AM135" s="48"/>
      <c r="AN135" s="48"/>
    </row>
    <row r="136" ht="18.0" customHeight="1">
      <c r="A136" s="5" t="str">
        <f t="shared" si="30"/>
        <v>Véhicules usagésTOTAL PERSONNEL</v>
      </c>
      <c r="B136" s="48" t="s">
        <v>151</v>
      </c>
      <c r="C136" s="552" t="s">
        <v>127</v>
      </c>
      <c r="D136" s="553" t="s">
        <v>225</v>
      </c>
      <c r="E136" s="554" t="str">
        <f>F136/F$108</f>
        <v>#DIV/0!</v>
      </c>
      <c r="F136" s="555">
        <f>+SUM(F124:F135)</f>
        <v>0</v>
      </c>
      <c r="G136" s="556" t="s">
        <v>225</v>
      </c>
      <c r="H136" s="554" t="str">
        <f>I136/I$108</f>
        <v>#DIV/0!</v>
      </c>
      <c r="I136" s="555">
        <f>+SUM(I124:I135)</f>
        <v>0</v>
      </c>
      <c r="J136" s="556" t="s">
        <v>225</v>
      </c>
      <c r="K136" s="554" t="str">
        <f>L136/L$108</f>
        <v>#DIV/0!</v>
      </c>
      <c r="L136" s="555">
        <f>SUM(L124:L135)</f>
        <v>-49363.11</v>
      </c>
      <c r="M136" s="557"/>
      <c r="N136" s="555">
        <f t="shared" si="54"/>
        <v>-49363.11</v>
      </c>
      <c r="O136" s="556" t="s">
        <v>225</v>
      </c>
      <c r="P136" s="554" t="str">
        <f>Q136/Q$108</f>
        <v>#DIV/0!</v>
      </c>
      <c r="Q136" s="555">
        <f>SUM(Q124:Q135)</f>
        <v>65853.54</v>
      </c>
      <c r="R136" s="558"/>
      <c r="S136" s="555">
        <f t="shared" si="56"/>
        <v>-115216.65</v>
      </c>
      <c r="T136" s="48"/>
      <c r="U136" s="48"/>
      <c r="V136" s="48"/>
      <c r="W136" s="48"/>
      <c r="X136" s="48"/>
      <c r="Y136" s="48"/>
      <c r="Z136" s="48"/>
      <c r="AA136" s="48"/>
      <c r="AB136" s="48"/>
      <c r="AC136" s="48"/>
      <c r="AD136" s="48"/>
      <c r="AE136" s="48"/>
      <c r="AF136" s="48"/>
      <c r="AG136" s="48"/>
      <c r="AH136" s="48"/>
      <c r="AI136" s="48"/>
      <c r="AJ136" s="48"/>
      <c r="AK136" s="48"/>
      <c r="AL136" s="48"/>
      <c r="AM136" s="48"/>
      <c r="AN136" s="48"/>
    </row>
    <row r="137" ht="20.25" hidden="1" customHeight="1">
      <c r="A137" s="5" t="str">
        <f t="shared" si="30"/>
        <v>Véhicules usagésPublicité 2</v>
      </c>
      <c r="B137" s="48" t="s">
        <v>151</v>
      </c>
      <c r="C137" s="480" t="s">
        <v>128</v>
      </c>
      <c r="D137" s="546"/>
      <c r="E137" s="48"/>
      <c r="F137" s="481">
        <v>0.0</v>
      </c>
      <c r="G137" s="547"/>
      <c r="H137" s="48"/>
      <c r="I137" s="481">
        <v>0.0</v>
      </c>
      <c r="J137" s="480"/>
      <c r="K137" s="48"/>
      <c r="L137" s="484">
        <v>0.0</v>
      </c>
      <c r="M137" s="480"/>
      <c r="N137" s="484">
        <f t="shared" si="54"/>
        <v>0</v>
      </c>
      <c r="O137" s="480"/>
      <c r="P137" s="48"/>
      <c r="Q137" s="484">
        <v>0.0</v>
      </c>
      <c r="R137" s="480"/>
      <c r="S137" s="484">
        <f t="shared" si="56"/>
        <v>0</v>
      </c>
      <c r="T137" s="48"/>
      <c r="U137" s="48"/>
      <c r="V137" s="48"/>
      <c r="W137" s="48"/>
      <c r="X137" s="48"/>
      <c r="Y137" s="48"/>
      <c r="Z137" s="48"/>
      <c r="AA137" s="48"/>
      <c r="AB137" s="48"/>
      <c r="AC137" s="48"/>
      <c r="AD137" s="48"/>
      <c r="AE137" s="48"/>
      <c r="AF137" s="48"/>
      <c r="AG137" s="48"/>
      <c r="AH137" s="48"/>
      <c r="AI137" s="48"/>
      <c r="AJ137" s="48"/>
      <c r="AK137" s="48"/>
      <c r="AL137" s="48"/>
      <c r="AM137" s="48"/>
      <c r="AN137" s="48"/>
    </row>
    <row r="138" ht="20.25" hidden="1" customHeight="1">
      <c r="A138" s="5" t="str">
        <f t="shared" si="30"/>
        <v>Véhicules usagésService gratuit 2</v>
      </c>
      <c r="B138" s="48" t="s">
        <v>151</v>
      </c>
      <c r="C138" s="480" t="s">
        <v>129</v>
      </c>
      <c r="D138" s="546"/>
      <c r="E138" s="48"/>
      <c r="F138" s="481">
        <v>0.0</v>
      </c>
      <c r="G138" s="547"/>
      <c r="H138" s="48"/>
      <c r="I138" s="481">
        <v>0.0</v>
      </c>
      <c r="J138" s="480"/>
      <c r="K138" s="48"/>
      <c r="L138" s="484">
        <v>0.0</v>
      </c>
      <c r="M138" s="480"/>
      <c r="N138" s="484">
        <f t="shared" si="54"/>
        <v>0</v>
      </c>
      <c r="O138" s="480"/>
      <c r="P138" s="48"/>
      <c r="Q138" s="484">
        <v>0.0</v>
      </c>
      <c r="R138" s="480"/>
      <c r="S138" s="484">
        <f t="shared" si="56"/>
        <v>0</v>
      </c>
      <c r="T138" s="48"/>
      <c r="U138" s="48"/>
      <c r="V138" s="48"/>
      <c r="W138" s="48"/>
      <c r="X138" s="48"/>
      <c r="Y138" s="48"/>
      <c r="Z138" s="48"/>
      <c r="AA138" s="48"/>
      <c r="AB138" s="48"/>
      <c r="AC138" s="48"/>
      <c r="AD138" s="48"/>
      <c r="AE138" s="48"/>
      <c r="AF138" s="48"/>
      <c r="AG138" s="48"/>
      <c r="AH138" s="48"/>
      <c r="AI138" s="48"/>
      <c r="AJ138" s="48"/>
      <c r="AK138" s="48"/>
      <c r="AL138" s="48"/>
      <c r="AM138" s="48"/>
      <c r="AN138" s="48"/>
    </row>
    <row r="139" ht="15.75" customHeight="1">
      <c r="A139" s="5" t="str">
        <f t="shared" si="30"/>
        <v>Véhicules usagésFrais véhicules de cie</v>
      </c>
      <c r="B139" s="48" t="s">
        <v>151</v>
      </c>
      <c r="C139" s="471" t="s">
        <v>130</v>
      </c>
      <c r="D139" s="549"/>
      <c r="E139" s="564"/>
      <c r="F139" s="473">
        <v>0.0</v>
      </c>
      <c r="G139" s="550"/>
      <c r="H139" s="564"/>
      <c r="I139" s="473">
        <v>0.0</v>
      </c>
      <c r="J139" s="471"/>
      <c r="K139" s="564"/>
      <c r="L139" s="476">
        <v>12773.240000000002</v>
      </c>
      <c r="M139" s="471"/>
      <c r="N139" s="476">
        <f t="shared" si="54"/>
        <v>12773.24</v>
      </c>
      <c r="O139" s="471"/>
      <c r="P139" s="564"/>
      <c r="Q139" s="476">
        <v>7013.98</v>
      </c>
      <c r="R139" s="471"/>
      <c r="S139" s="476">
        <f t="shared" si="56"/>
        <v>5759.26</v>
      </c>
      <c r="T139" s="48"/>
      <c r="U139" s="48"/>
      <c r="V139" s="48"/>
      <c r="W139" s="48"/>
      <c r="X139" s="48"/>
      <c r="Y139" s="48"/>
      <c r="Z139" s="48"/>
      <c r="AA139" s="48"/>
      <c r="AB139" s="48"/>
      <c r="AC139" s="48"/>
      <c r="AD139" s="48"/>
      <c r="AE139" s="48"/>
      <c r="AF139" s="48"/>
      <c r="AG139" s="48"/>
      <c r="AH139" s="48"/>
      <c r="AI139" s="48"/>
      <c r="AJ139" s="48"/>
      <c r="AK139" s="48"/>
      <c r="AL139" s="48"/>
      <c r="AM139" s="48"/>
      <c r="AN139" s="48"/>
    </row>
    <row r="140" ht="15.75" customHeight="1">
      <c r="A140" s="5" t="str">
        <f t="shared" si="30"/>
        <v>Véhicules usagésInformatique</v>
      </c>
      <c r="B140" s="48" t="s">
        <v>151</v>
      </c>
      <c r="C140" s="480" t="s">
        <v>131</v>
      </c>
      <c r="D140" s="546"/>
      <c r="E140" s="48"/>
      <c r="F140" s="481">
        <v>0.0</v>
      </c>
      <c r="G140" s="547"/>
      <c r="H140" s="48"/>
      <c r="I140" s="481">
        <v>0.0</v>
      </c>
      <c r="J140" s="480"/>
      <c r="K140" s="48"/>
      <c r="L140" s="484">
        <v>4316.24</v>
      </c>
      <c r="M140" s="480"/>
      <c r="N140" s="484">
        <f t="shared" si="54"/>
        <v>4316.24</v>
      </c>
      <c r="O140" s="480"/>
      <c r="P140" s="48"/>
      <c r="Q140" s="484">
        <v>6661.629999999999</v>
      </c>
      <c r="R140" s="480"/>
      <c r="S140" s="484">
        <f t="shared" si="56"/>
        <v>-2345.39</v>
      </c>
      <c r="T140" s="48"/>
      <c r="U140" s="48"/>
      <c r="V140" s="48"/>
      <c r="W140" s="48"/>
      <c r="X140" s="48"/>
      <c r="Y140" s="48"/>
      <c r="Z140" s="48"/>
      <c r="AA140" s="48"/>
      <c r="AB140" s="48"/>
      <c r="AC140" s="48"/>
      <c r="AD140" s="48"/>
      <c r="AE140" s="48"/>
      <c r="AF140" s="48"/>
      <c r="AG140" s="48"/>
      <c r="AH140" s="48"/>
      <c r="AI140" s="48"/>
      <c r="AJ140" s="48"/>
      <c r="AK140" s="48"/>
      <c r="AL140" s="48"/>
      <c r="AM140" s="48"/>
      <c r="AN140" s="48"/>
    </row>
    <row r="141" ht="15.75" customHeight="1">
      <c r="A141" s="5" t="str">
        <f t="shared" si="30"/>
        <v>Véhicules usagésFrais de déplacement</v>
      </c>
      <c r="B141" s="48" t="s">
        <v>151</v>
      </c>
      <c r="C141" s="480" t="s">
        <v>132</v>
      </c>
      <c r="D141" s="546"/>
      <c r="E141" s="48"/>
      <c r="F141" s="481">
        <v>0.0</v>
      </c>
      <c r="G141" s="547"/>
      <c r="H141" s="48"/>
      <c r="I141" s="481">
        <v>0.0</v>
      </c>
      <c r="J141" s="480"/>
      <c r="K141" s="48"/>
      <c r="L141" s="484">
        <v>7668.76</v>
      </c>
      <c r="M141" s="480"/>
      <c r="N141" s="484">
        <f t="shared" si="54"/>
        <v>7668.76</v>
      </c>
      <c r="O141" s="480"/>
      <c r="P141" s="48"/>
      <c r="Q141" s="484">
        <v>11620.48</v>
      </c>
      <c r="R141" s="480"/>
      <c r="S141" s="484">
        <f t="shared" si="56"/>
        <v>-3951.72</v>
      </c>
      <c r="T141" s="602"/>
      <c r="U141" s="48"/>
      <c r="V141" s="48"/>
      <c r="W141" s="48"/>
      <c r="X141" s="48"/>
      <c r="Y141" s="48"/>
      <c r="Z141" s="48"/>
      <c r="AA141" s="48"/>
      <c r="AB141" s="48"/>
      <c r="AC141" s="48"/>
      <c r="AD141" s="48"/>
      <c r="AE141" s="48"/>
      <c r="AF141" s="48"/>
      <c r="AG141" s="48"/>
      <c r="AH141" s="48"/>
      <c r="AI141" s="48"/>
      <c r="AJ141" s="48"/>
      <c r="AK141" s="48"/>
      <c r="AL141" s="48"/>
      <c r="AM141" s="48"/>
      <c r="AN141" s="48"/>
    </row>
    <row r="142" ht="15.75" customHeight="1">
      <c r="A142" s="5" t="str">
        <f t="shared" si="30"/>
        <v>Véhicules usagésServices extérieurs</v>
      </c>
      <c r="B142" s="48" t="s">
        <v>151</v>
      </c>
      <c r="C142" s="471" t="s">
        <v>133</v>
      </c>
      <c r="D142" s="549"/>
      <c r="E142" s="564"/>
      <c r="F142" s="473">
        <v>0.0</v>
      </c>
      <c r="G142" s="550"/>
      <c r="H142" s="564"/>
      <c r="I142" s="473">
        <v>0.0</v>
      </c>
      <c r="J142" s="471"/>
      <c r="K142" s="564"/>
      <c r="L142" s="476">
        <v>11267.16</v>
      </c>
      <c r="M142" s="471"/>
      <c r="N142" s="476">
        <f t="shared" si="54"/>
        <v>11267.16</v>
      </c>
      <c r="O142" s="471"/>
      <c r="P142" s="564"/>
      <c r="Q142" s="476">
        <v>11826.169999999998</v>
      </c>
      <c r="R142" s="471"/>
      <c r="S142" s="476">
        <f t="shared" si="56"/>
        <v>-559.01</v>
      </c>
      <c r="T142" s="48"/>
      <c r="U142" s="669"/>
      <c r="V142" s="48"/>
      <c r="W142" s="48"/>
      <c r="X142" s="48"/>
      <c r="Y142" s="48"/>
      <c r="Z142" s="48"/>
      <c r="AA142" s="48"/>
      <c r="AB142" s="48"/>
      <c r="AC142" s="48"/>
      <c r="AD142" s="48"/>
      <c r="AE142" s="48"/>
      <c r="AF142" s="48"/>
      <c r="AG142" s="48"/>
      <c r="AH142" s="48"/>
      <c r="AI142" s="48"/>
      <c r="AJ142" s="48"/>
      <c r="AK142" s="48"/>
      <c r="AL142" s="48"/>
      <c r="AM142" s="48"/>
      <c r="AN142" s="48"/>
    </row>
    <row r="143" ht="15.75" customHeight="1">
      <c r="A143" s="5" t="str">
        <f t="shared" si="30"/>
        <v>Véhicules usagésFournitures autres</v>
      </c>
      <c r="B143" s="48" t="s">
        <v>151</v>
      </c>
      <c r="C143" s="480" t="s">
        <v>134</v>
      </c>
      <c r="D143" s="546"/>
      <c r="E143" s="48"/>
      <c r="F143" s="481">
        <v>0.0</v>
      </c>
      <c r="G143" s="547"/>
      <c r="H143" s="48"/>
      <c r="I143" s="481">
        <v>0.0</v>
      </c>
      <c r="J143" s="480"/>
      <c r="K143" s="48"/>
      <c r="L143" s="484">
        <v>563.47</v>
      </c>
      <c r="M143" s="480"/>
      <c r="N143" s="484">
        <f t="shared" si="54"/>
        <v>563.47</v>
      </c>
      <c r="O143" s="480"/>
      <c r="P143" s="48"/>
      <c r="Q143" s="484">
        <v>587.75</v>
      </c>
      <c r="R143" s="480"/>
      <c r="S143" s="484">
        <f t="shared" si="56"/>
        <v>-24.28</v>
      </c>
      <c r="T143" s="48"/>
      <c r="U143" s="48"/>
      <c r="V143" s="48"/>
      <c r="W143" s="48"/>
      <c r="X143" s="48"/>
      <c r="Y143" s="48"/>
      <c r="Z143" s="48"/>
      <c r="AA143" s="48"/>
      <c r="AB143" s="48"/>
      <c r="AC143" s="48"/>
      <c r="AD143" s="48"/>
      <c r="AE143" s="48"/>
      <c r="AF143" s="48"/>
      <c r="AG143" s="48"/>
      <c r="AH143" s="48"/>
      <c r="AI143" s="48"/>
      <c r="AJ143" s="48"/>
      <c r="AK143" s="48"/>
      <c r="AL143" s="48"/>
      <c r="AM143" s="48"/>
      <c r="AN143" s="48"/>
    </row>
    <row r="144" ht="15.75" customHeight="1">
      <c r="A144" s="5" t="str">
        <f t="shared" si="30"/>
        <v>Véhicules usagésUniformes</v>
      </c>
      <c r="B144" s="48" t="s">
        <v>151</v>
      </c>
      <c r="C144" s="480" t="s">
        <v>135</v>
      </c>
      <c r="D144" s="546"/>
      <c r="E144" s="48"/>
      <c r="F144" s="481">
        <v>0.0</v>
      </c>
      <c r="G144" s="547"/>
      <c r="H144" s="48"/>
      <c r="I144" s="481">
        <v>0.0</v>
      </c>
      <c r="J144" s="480"/>
      <c r="K144" s="48"/>
      <c r="L144" s="484">
        <v>0.0</v>
      </c>
      <c r="M144" s="480"/>
      <c r="N144" s="484">
        <f t="shared" si="54"/>
        <v>0</v>
      </c>
      <c r="O144" s="480"/>
      <c r="P144" s="48"/>
      <c r="Q144" s="484">
        <v>0.0</v>
      </c>
      <c r="R144" s="480"/>
      <c r="S144" s="484">
        <f t="shared" si="56"/>
        <v>0</v>
      </c>
      <c r="T144" s="48"/>
      <c r="U144" s="669"/>
      <c r="V144" s="48"/>
      <c r="W144" s="48"/>
      <c r="X144" s="48"/>
      <c r="Y144" s="48"/>
      <c r="Z144" s="48"/>
      <c r="AA144" s="48"/>
      <c r="AB144" s="48"/>
      <c r="AC144" s="48"/>
      <c r="AD144" s="48"/>
      <c r="AE144" s="48"/>
      <c r="AF144" s="48"/>
      <c r="AG144" s="48"/>
      <c r="AH144" s="48"/>
      <c r="AI144" s="48"/>
      <c r="AJ144" s="48"/>
      <c r="AK144" s="48"/>
      <c r="AL144" s="48"/>
      <c r="AM144" s="48"/>
      <c r="AN144" s="48"/>
    </row>
    <row r="145" ht="15.75" customHeight="1">
      <c r="A145" s="5" t="str">
        <f t="shared" si="30"/>
        <v>Véhicules usagésPapeterie</v>
      </c>
      <c r="B145" s="48" t="s">
        <v>151</v>
      </c>
      <c r="C145" s="480" t="s">
        <v>136</v>
      </c>
      <c r="D145" s="546"/>
      <c r="E145" s="48"/>
      <c r="F145" s="481">
        <v>0.0</v>
      </c>
      <c r="G145" s="547"/>
      <c r="H145" s="48"/>
      <c r="I145" s="481">
        <v>0.0</v>
      </c>
      <c r="J145" s="480"/>
      <c r="K145" s="48"/>
      <c r="L145" s="484">
        <v>2350.7699999999995</v>
      </c>
      <c r="M145" s="480"/>
      <c r="N145" s="484">
        <f t="shared" si="54"/>
        <v>2350.77</v>
      </c>
      <c r="O145" s="480"/>
      <c r="P145" s="48"/>
      <c r="Q145" s="484">
        <v>2585.4900000000007</v>
      </c>
      <c r="R145" s="480"/>
      <c r="S145" s="484">
        <f t="shared" si="56"/>
        <v>-234.72</v>
      </c>
      <c r="T145" s="48"/>
      <c r="U145" s="48"/>
      <c r="V145" s="48"/>
      <c r="W145" s="48"/>
      <c r="X145" s="48"/>
      <c r="Y145" s="48"/>
      <c r="Z145" s="48"/>
      <c r="AA145" s="48"/>
      <c r="AB145" s="48"/>
      <c r="AC145" s="48"/>
      <c r="AD145" s="48"/>
      <c r="AE145" s="48"/>
      <c r="AF145" s="48"/>
      <c r="AG145" s="48"/>
      <c r="AH145" s="48"/>
      <c r="AI145" s="48"/>
      <c r="AJ145" s="48"/>
      <c r="AK145" s="48"/>
      <c r="AL145" s="48"/>
      <c r="AM145" s="48"/>
      <c r="AN145" s="48"/>
    </row>
    <row r="146" ht="15.75" customHeight="1">
      <c r="A146" s="5" t="str">
        <f t="shared" si="30"/>
        <v>Véhicules usagésTéléphone</v>
      </c>
      <c r="B146" s="48" t="s">
        <v>151</v>
      </c>
      <c r="C146" s="480" t="s">
        <v>137</v>
      </c>
      <c r="D146" s="546"/>
      <c r="E146" s="48"/>
      <c r="F146" s="481">
        <v>0.0</v>
      </c>
      <c r="G146" s="547"/>
      <c r="H146" s="48"/>
      <c r="I146" s="481">
        <v>0.0</v>
      </c>
      <c r="J146" s="480"/>
      <c r="K146" s="48"/>
      <c r="L146" s="484">
        <v>1373.82</v>
      </c>
      <c r="M146" s="480"/>
      <c r="N146" s="484">
        <f t="shared" si="54"/>
        <v>1373.82</v>
      </c>
      <c r="O146" s="480"/>
      <c r="P146" s="48"/>
      <c r="Q146" s="484">
        <v>2195.3199999999997</v>
      </c>
      <c r="R146" s="480"/>
      <c r="S146" s="484">
        <f t="shared" si="56"/>
        <v>-821.5</v>
      </c>
      <c r="T146" s="48"/>
      <c r="U146" s="48"/>
      <c r="V146" s="48"/>
      <c r="W146" s="48"/>
      <c r="X146" s="48"/>
      <c r="Y146" s="48"/>
      <c r="Z146" s="48"/>
      <c r="AA146" s="48"/>
      <c r="AB146" s="48"/>
      <c r="AC146" s="48"/>
      <c r="AD146" s="48"/>
      <c r="AE146" s="48"/>
      <c r="AF146" s="48"/>
      <c r="AG146" s="48"/>
      <c r="AH146" s="48"/>
      <c r="AI146" s="48"/>
      <c r="AJ146" s="48"/>
      <c r="AK146" s="48"/>
      <c r="AL146" s="48"/>
      <c r="AM146" s="48"/>
      <c r="AN146" s="48"/>
    </row>
    <row r="147" ht="15.75" customHeight="1">
      <c r="A147" s="5" t="str">
        <f t="shared" si="30"/>
        <v>Véhicules usagésFrais postaux</v>
      </c>
      <c r="B147" s="48" t="s">
        <v>151</v>
      </c>
      <c r="C147" s="480" t="s">
        <v>138</v>
      </c>
      <c r="D147" s="546"/>
      <c r="E147" s="48"/>
      <c r="F147" s="481">
        <v>0.0</v>
      </c>
      <c r="G147" s="547"/>
      <c r="H147" s="48"/>
      <c r="I147" s="481">
        <v>0.0</v>
      </c>
      <c r="J147" s="480"/>
      <c r="K147" s="48"/>
      <c r="L147" s="484">
        <v>4043.0899999999997</v>
      </c>
      <c r="M147" s="480"/>
      <c r="N147" s="484">
        <f t="shared" si="54"/>
        <v>4043.09</v>
      </c>
      <c r="O147" s="480"/>
      <c r="P147" s="48"/>
      <c r="Q147" s="484">
        <v>2876.9600000000005</v>
      </c>
      <c r="R147" s="480"/>
      <c r="S147" s="484">
        <f t="shared" si="56"/>
        <v>1166.13</v>
      </c>
      <c r="T147" s="48"/>
      <c r="U147" s="48"/>
      <c r="V147" s="48"/>
      <c r="W147" s="48"/>
      <c r="X147" s="48"/>
      <c r="Y147" s="48"/>
      <c r="Z147" s="48"/>
      <c r="AA147" s="48"/>
      <c r="AB147" s="48"/>
      <c r="AC147" s="48"/>
      <c r="AD147" s="48"/>
      <c r="AE147" s="48"/>
      <c r="AF147" s="48"/>
      <c r="AG147" s="48"/>
      <c r="AH147" s="48"/>
      <c r="AI147" s="48"/>
      <c r="AJ147" s="48"/>
      <c r="AK147" s="48"/>
      <c r="AL147" s="48"/>
      <c r="AM147" s="48"/>
      <c r="AN147" s="48"/>
    </row>
    <row r="148" ht="15.75" customHeight="1">
      <c r="A148" s="5" t="str">
        <f t="shared" si="30"/>
        <v>Véhicules usagésDivers</v>
      </c>
      <c r="B148" s="48" t="s">
        <v>151</v>
      </c>
      <c r="C148" s="480" t="s">
        <v>139</v>
      </c>
      <c r="D148" s="546"/>
      <c r="E148" s="48"/>
      <c r="F148" s="481">
        <v>0.0</v>
      </c>
      <c r="G148" s="547"/>
      <c r="H148" s="48"/>
      <c r="I148" s="481">
        <v>0.0</v>
      </c>
      <c r="J148" s="480"/>
      <c r="K148" s="48"/>
      <c r="L148" s="484">
        <v>6060.900000000001</v>
      </c>
      <c r="M148" s="480"/>
      <c r="N148" s="484">
        <f t="shared" si="54"/>
        <v>6060.9</v>
      </c>
      <c r="O148" s="480"/>
      <c r="P148" s="48"/>
      <c r="Q148" s="484">
        <v>14133.490000000002</v>
      </c>
      <c r="R148" s="480"/>
      <c r="S148" s="484">
        <f t="shared" si="56"/>
        <v>-8072.59</v>
      </c>
      <c r="T148" s="48"/>
      <c r="U148" s="48"/>
      <c r="V148" s="48"/>
      <c r="W148" s="48"/>
      <c r="X148" s="48"/>
      <c r="Y148" s="48"/>
      <c r="Z148" s="48"/>
      <c r="AA148" s="48"/>
      <c r="AB148" s="48"/>
      <c r="AC148" s="48"/>
      <c r="AD148" s="48"/>
      <c r="AE148" s="48"/>
      <c r="AF148" s="48"/>
      <c r="AG148" s="48"/>
      <c r="AH148" s="48"/>
      <c r="AI148" s="48"/>
      <c r="AJ148" s="48"/>
      <c r="AK148" s="48"/>
      <c r="AL148" s="48"/>
      <c r="AM148" s="48"/>
      <c r="AN148" s="48"/>
    </row>
    <row r="149" ht="15.75" customHeight="1">
      <c r="A149" s="5" t="str">
        <f t="shared" si="30"/>
        <v>Véhicules usagésFormation</v>
      </c>
      <c r="B149" s="48" t="s">
        <v>151</v>
      </c>
      <c r="C149" s="480" t="s">
        <v>140</v>
      </c>
      <c r="D149" s="546"/>
      <c r="E149" s="48"/>
      <c r="F149" s="481">
        <v>0.0</v>
      </c>
      <c r="G149" s="547"/>
      <c r="H149" s="48"/>
      <c r="I149" s="481">
        <v>0.0</v>
      </c>
      <c r="J149" s="480"/>
      <c r="K149" s="48"/>
      <c r="L149" s="484">
        <v>1054.0</v>
      </c>
      <c r="M149" s="480"/>
      <c r="N149" s="484">
        <f t="shared" si="54"/>
        <v>1054</v>
      </c>
      <c r="O149" s="480"/>
      <c r="P149" s="48"/>
      <c r="Q149" s="484">
        <v>0.0</v>
      </c>
      <c r="R149" s="480"/>
      <c r="S149" s="484">
        <f t="shared" si="56"/>
        <v>1054</v>
      </c>
      <c r="T149" s="48"/>
      <c r="X149" s="48"/>
      <c r="Y149" s="48"/>
      <c r="Z149" s="48"/>
      <c r="AA149" s="48"/>
      <c r="AB149" s="48"/>
      <c r="AC149" s="48"/>
      <c r="AD149" s="48"/>
      <c r="AE149" s="48"/>
      <c r="AF149" s="48"/>
      <c r="AG149" s="48"/>
      <c r="AH149" s="48"/>
      <c r="AI149" s="48"/>
      <c r="AJ149" s="48"/>
      <c r="AK149" s="48"/>
      <c r="AL149" s="48"/>
      <c r="AM149" s="48"/>
      <c r="AN149" s="48"/>
    </row>
    <row r="150" ht="15.75" customHeight="1">
      <c r="A150" s="5" t="str">
        <f t="shared" si="30"/>
        <v>Véhicules usagésFrais bancaires</v>
      </c>
      <c r="B150" s="48" t="s">
        <v>151</v>
      </c>
      <c r="C150" s="480" t="s">
        <v>141</v>
      </c>
      <c r="D150" s="546"/>
      <c r="E150" s="48"/>
      <c r="F150" s="481">
        <v>0.0</v>
      </c>
      <c r="G150" s="547"/>
      <c r="H150" s="48"/>
      <c r="I150" s="481">
        <v>0.0</v>
      </c>
      <c r="J150" s="480"/>
      <c r="K150" s="48"/>
      <c r="L150" s="484">
        <v>3762.71</v>
      </c>
      <c r="M150" s="480"/>
      <c r="N150" s="484">
        <f t="shared" si="54"/>
        <v>3762.71</v>
      </c>
      <c r="O150" s="480"/>
      <c r="P150" s="48"/>
      <c r="Q150" s="484">
        <v>666.5999999999999</v>
      </c>
      <c r="R150" s="480"/>
      <c r="S150" s="484">
        <f t="shared" si="56"/>
        <v>3096.11</v>
      </c>
      <c r="T150" s="483"/>
      <c r="X150" s="48"/>
      <c r="Y150" s="48"/>
      <c r="Z150" s="48"/>
      <c r="AA150" s="48"/>
      <c r="AB150" s="48"/>
      <c r="AC150" s="48"/>
      <c r="AD150" s="48"/>
      <c r="AE150" s="48"/>
      <c r="AF150" s="48"/>
      <c r="AG150" s="48"/>
      <c r="AH150" s="48"/>
      <c r="AI150" s="48"/>
      <c r="AJ150" s="48"/>
      <c r="AK150" s="48"/>
      <c r="AL150" s="48"/>
      <c r="AM150" s="48"/>
      <c r="AN150" s="48"/>
    </row>
    <row r="151" ht="20.25" hidden="1" customHeight="1">
      <c r="A151" s="5" t="str">
        <f t="shared" si="30"/>
        <v>Véhicules usagés[...]</v>
      </c>
      <c r="B151" s="48" t="s">
        <v>151</v>
      </c>
      <c r="C151" s="480" t="s">
        <v>56</v>
      </c>
      <c r="D151" s="546"/>
      <c r="E151" s="48"/>
      <c r="F151" s="481">
        <v>0.0</v>
      </c>
      <c r="G151" s="547"/>
      <c r="H151" s="48"/>
      <c r="I151" s="481">
        <v>0.0</v>
      </c>
      <c r="J151" s="480"/>
      <c r="K151" s="48"/>
      <c r="L151" s="484">
        <v>0.0</v>
      </c>
      <c r="M151" s="480"/>
      <c r="N151" s="484">
        <f t="shared" si="54"/>
        <v>0</v>
      </c>
      <c r="O151" s="480"/>
      <c r="P151" s="48"/>
      <c r="Q151" s="484">
        <v>0.0</v>
      </c>
      <c r="R151" s="480"/>
      <c r="S151" s="484">
        <f t="shared" si="56"/>
        <v>0</v>
      </c>
      <c r="T151" s="48"/>
      <c r="X151" s="48"/>
      <c r="Y151" s="48"/>
      <c r="Z151" s="48"/>
      <c r="AA151" s="48"/>
      <c r="AB151" s="48"/>
      <c r="AC151" s="48"/>
      <c r="AD151" s="48"/>
      <c r="AE151" s="48"/>
      <c r="AF151" s="48"/>
      <c r="AG151" s="48"/>
      <c r="AH151" s="48"/>
      <c r="AI151" s="48"/>
      <c r="AJ151" s="48"/>
      <c r="AK151" s="48"/>
      <c r="AL151" s="48"/>
      <c r="AM151" s="48"/>
      <c r="AN151" s="48"/>
    </row>
    <row r="152" ht="20.25" hidden="1" customHeight="1">
      <c r="A152" s="5" t="str">
        <f t="shared" si="30"/>
        <v>Véhicules usagés[...]</v>
      </c>
      <c r="B152" s="48" t="s">
        <v>151</v>
      </c>
      <c r="C152" s="480" t="s">
        <v>56</v>
      </c>
      <c r="D152" s="546"/>
      <c r="E152" s="48"/>
      <c r="F152" s="481">
        <v>0.0</v>
      </c>
      <c r="G152" s="547"/>
      <c r="H152" s="48"/>
      <c r="I152" s="481">
        <v>0.0</v>
      </c>
      <c r="J152" s="480"/>
      <c r="K152" s="48"/>
      <c r="L152" s="484">
        <v>0.0</v>
      </c>
      <c r="M152" s="480"/>
      <c r="N152" s="484">
        <f t="shared" si="54"/>
        <v>0</v>
      </c>
      <c r="O152" s="480"/>
      <c r="P152" s="48"/>
      <c r="Q152" s="484">
        <v>0.0</v>
      </c>
      <c r="R152" s="480"/>
      <c r="S152" s="484">
        <f t="shared" si="56"/>
        <v>0</v>
      </c>
      <c r="T152" s="48"/>
      <c r="X152" s="48"/>
      <c r="Y152" s="48"/>
      <c r="Z152" s="48"/>
      <c r="AA152" s="48"/>
      <c r="AB152" s="48"/>
      <c r="AC152" s="48"/>
      <c r="AD152" s="48"/>
      <c r="AE152" s="48"/>
      <c r="AF152" s="48"/>
      <c r="AG152" s="48"/>
      <c r="AH152" s="48"/>
      <c r="AI152" s="48"/>
      <c r="AJ152" s="48"/>
      <c r="AK152" s="48"/>
      <c r="AL152" s="48"/>
      <c r="AM152" s="48"/>
      <c r="AN152" s="48"/>
    </row>
    <row r="153" ht="20.25" hidden="1" customHeight="1">
      <c r="A153" s="5" t="str">
        <f t="shared" si="30"/>
        <v>Véhicules usagés[...]</v>
      </c>
      <c r="B153" s="48" t="s">
        <v>151</v>
      </c>
      <c r="C153" s="480" t="s">
        <v>56</v>
      </c>
      <c r="D153" s="546"/>
      <c r="E153" s="48"/>
      <c r="F153" s="481">
        <v>0.0</v>
      </c>
      <c r="G153" s="547"/>
      <c r="H153" s="48"/>
      <c r="I153" s="481">
        <v>0.0</v>
      </c>
      <c r="J153" s="480"/>
      <c r="K153" s="48"/>
      <c r="L153" s="484">
        <v>0.0</v>
      </c>
      <c r="M153" s="480"/>
      <c r="N153" s="484">
        <f t="shared" si="54"/>
        <v>0</v>
      </c>
      <c r="O153" s="480"/>
      <c r="P153" s="48"/>
      <c r="Q153" s="484">
        <v>0.0</v>
      </c>
      <c r="R153" s="480"/>
      <c r="S153" s="484">
        <f t="shared" si="56"/>
        <v>0</v>
      </c>
      <c r="T153" s="483"/>
      <c r="X153" s="48"/>
      <c r="Y153" s="48"/>
      <c r="Z153" s="48"/>
      <c r="AA153" s="48"/>
      <c r="AB153" s="48"/>
      <c r="AC153" s="48"/>
      <c r="AD153" s="48"/>
      <c r="AE153" s="48"/>
      <c r="AF153" s="48"/>
      <c r="AG153" s="48"/>
      <c r="AH153" s="48"/>
      <c r="AI153" s="48"/>
      <c r="AJ153" s="48"/>
      <c r="AK153" s="48"/>
      <c r="AL153" s="48"/>
      <c r="AM153" s="48"/>
      <c r="AN153" s="48"/>
    </row>
    <row r="154" ht="18.0" customHeight="1">
      <c r="A154" s="5" t="str">
        <f t="shared" si="30"/>
        <v>Véhicules usagésTOTAL SEMI-FIXES</v>
      </c>
      <c r="B154" s="48" t="s">
        <v>151</v>
      </c>
      <c r="C154" s="552" t="s">
        <v>142</v>
      </c>
      <c r="D154" s="553" t="s">
        <v>225</v>
      </c>
      <c r="E154" s="554" t="str">
        <f>F154/F$108</f>
        <v>#DIV/0!</v>
      </c>
      <c r="F154" s="555">
        <f>+SUM(F137:F153)</f>
        <v>0</v>
      </c>
      <c r="G154" s="556" t="s">
        <v>225</v>
      </c>
      <c r="H154" s="554" t="str">
        <f>I154/I$108</f>
        <v>#DIV/0!</v>
      </c>
      <c r="I154" s="555">
        <f>+SUM(I137:I153)</f>
        <v>0</v>
      </c>
      <c r="J154" s="556" t="s">
        <v>225</v>
      </c>
      <c r="K154" s="554" t="str">
        <f>L154/L$108</f>
        <v>#DIV/0!</v>
      </c>
      <c r="L154" s="555">
        <f>+SUM(L137:L153)</f>
        <v>55234.16</v>
      </c>
      <c r="M154" s="557"/>
      <c r="N154" s="555">
        <f t="shared" si="54"/>
        <v>55234.16</v>
      </c>
      <c r="O154" s="556" t="s">
        <v>225</v>
      </c>
      <c r="P154" s="554" t="str">
        <f>Q154/Q$108</f>
        <v>#DIV/0!</v>
      </c>
      <c r="Q154" s="555">
        <f>+SUM(Q137:Q153)</f>
        <v>60167.87</v>
      </c>
      <c r="R154" s="558"/>
      <c r="S154" s="555">
        <f t="shared" si="56"/>
        <v>-4933.71</v>
      </c>
      <c r="T154" s="48"/>
      <c r="U154" s="48"/>
      <c r="V154" s="48"/>
      <c r="W154" s="48"/>
      <c r="X154" s="48"/>
      <c r="Y154" s="48"/>
      <c r="Z154" s="48"/>
      <c r="AA154" s="48"/>
      <c r="AB154" s="48"/>
      <c r="AC154" s="48"/>
      <c r="AD154" s="48"/>
      <c r="AE154" s="48"/>
      <c r="AF154" s="48"/>
      <c r="AG154" s="48"/>
      <c r="AH154" s="48"/>
      <c r="AI154" s="48"/>
      <c r="AJ154" s="48"/>
      <c r="AK154" s="48"/>
      <c r="AL154" s="48"/>
      <c r="AM154" s="48"/>
      <c r="AN154" s="48"/>
    </row>
    <row r="155" ht="15.75" customHeight="1">
      <c r="A155" s="5" t="str">
        <f t="shared" si="30"/>
        <v>Véhicules usagés</v>
      </c>
      <c r="B155" s="48" t="s">
        <v>151</v>
      </c>
      <c r="C155" s="471"/>
      <c r="D155" s="549"/>
      <c r="E155" s="564"/>
      <c r="F155" s="484"/>
      <c r="G155" s="550"/>
      <c r="H155" s="564"/>
      <c r="I155" s="484"/>
      <c r="J155" s="471"/>
      <c r="K155" s="564"/>
      <c r="L155" s="476"/>
      <c r="M155" s="471"/>
      <c r="N155" s="476"/>
      <c r="O155" s="471"/>
      <c r="P155" s="564"/>
      <c r="Q155" s="476"/>
      <c r="R155" s="471"/>
      <c r="S155" s="476"/>
      <c r="T155" s="503"/>
      <c r="U155" s="48"/>
      <c r="V155" s="48"/>
      <c r="W155" s="48"/>
      <c r="X155" s="48"/>
      <c r="Y155" s="48"/>
      <c r="Z155" s="48"/>
      <c r="AA155" s="48"/>
      <c r="AB155" s="48"/>
      <c r="AC155" s="48"/>
      <c r="AD155" s="48"/>
      <c r="AE155" s="48"/>
      <c r="AF155" s="48"/>
      <c r="AG155" s="48"/>
      <c r="AH155" s="48"/>
      <c r="AI155" s="48"/>
      <c r="AJ155" s="48"/>
      <c r="AK155" s="48"/>
      <c r="AL155" s="48"/>
      <c r="AM155" s="48"/>
      <c r="AN155" s="48"/>
    </row>
    <row r="156" ht="18.0" customHeight="1">
      <c r="A156" s="5" t="str">
        <f t="shared" si="30"/>
        <v>Véhicules usagésTOTAL DES DÉPENSES</v>
      </c>
      <c r="B156" s="48" t="s">
        <v>151</v>
      </c>
      <c r="C156" s="552" t="s">
        <v>143</v>
      </c>
      <c r="D156" s="553" t="s">
        <v>225</v>
      </c>
      <c r="E156" s="554" t="str">
        <f>F156/F$108</f>
        <v>#DIV/0!</v>
      </c>
      <c r="F156" s="555">
        <f>F123+F136+F154</f>
        <v>0</v>
      </c>
      <c r="G156" s="556" t="s">
        <v>225</v>
      </c>
      <c r="H156" s="554" t="str">
        <f>I156/I$108</f>
        <v>#DIV/0!</v>
      </c>
      <c r="I156" s="555">
        <f>I123+I136+I154</f>
        <v>0</v>
      </c>
      <c r="J156" s="556" t="s">
        <v>225</v>
      </c>
      <c r="K156" s="554" t="str">
        <f>L156/L$108</f>
        <v>#DIV/0!</v>
      </c>
      <c r="L156" s="555">
        <f>L123+L136+L154</f>
        <v>107794.43</v>
      </c>
      <c r="M156" s="557"/>
      <c r="N156" s="555">
        <f t="shared" ref="N156:N163" si="57">L156-F156</f>
        <v>107794.43</v>
      </c>
      <c r="O156" s="556" t="s">
        <v>225</v>
      </c>
      <c r="P156" s="554" t="str">
        <f>Q156/Q$108</f>
        <v>#DIV/0!</v>
      </c>
      <c r="Q156" s="555">
        <f>Q123+Q136+Q154</f>
        <v>234786.19</v>
      </c>
      <c r="R156" s="558"/>
      <c r="S156" s="555">
        <f t="shared" ref="S156:S163" si="58">L156-Q156</f>
        <v>-126991.76</v>
      </c>
      <c r="T156" s="48"/>
      <c r="U156" s="48"/>
      <c r="V156" s="48"/>
      <c r="W156" s="48"/>
      <c r="X156" s="48"/>
      <c r="Y156" s="48"/>
      <c r="Z156" s="48"/>
      <c r="AA156" s="48"/>
      <c r="AB156" s="48"/>
      <c r="AC156" s="48"/>
      <c r="AD156" s="48"/>
      <c r="AE156" s="48"/>
      <c r="AF156" s="48"/>
      <c r="AG156" s="48"/>
      <c r="AH156" s="48"/>
      <c r="AI156" s="48"/>
      <c r="AJ156" s="48"/>
      <c r="AK156" s="48"/>
      <c r="AL156" s="48"/>
      <c r="AM156" s="48"/>
      <c r="AN156" s="48"/>
    </row>
    <row r="157" ht="21.0" hidden="1" customHeight="1">
      <c r="A157" s="5" t="str">
        <f t="shared" si="30"/>
        <v>Véhicules usagésRBSC used</v>
      </c>
      <c r="B157" s="48" t="s">
        <v>151</v>
      </c>
      <c r="C157" s="566" t="s">
        <v>1116</v>
      </c>
      <c r="D157" s="605"/>
      <c r="E157" s="606"/>
      <c r="F157" s="481">
        <v>0.0</v>
      </c>
      <c r="G157" s="607"/>
      <c r="H157" s="606"/>
      <c r="I157" s="481">
        <v>0.0</v>
      </c>
      <c r="J157" s="607"/>
      <c r="K157" s="606"/>
      <c r="L157" s="484">
        <v>0.0</v>
      </c>
      <c r="M157" s="480"/>
      <c r="N157" s="484">
        <f t="shared" si="57"/>
        <v>0</v>
      </c>
      <c r="O157" s="607"/>
      <c r="P157" s="606"/>
      <c r="Q157" s="484">
        <v>0.0</v>
      </c>
      <c r="R157" s="480"/>
      <c r="S157" s="484">
        <f t="shared" si="58"/>
        <v>0</v>
      </c>
      <c r="T157" s="503"/>
      <c r="U157" s="48"/>
      <c r="V157" s="48"/>
      <c r="W157" s="48"/>
      <c r="X157" s="48"/>
      <c r="Y157" s="48"/>
      <c r="Z157" s="48"/>
      <c r="AA157" s="48"/>
      <c r="AB157" s="48"/>
      <c r="AC157" s="48"/>
      <c r="AD157" s="48"/>
      <c r="AE157" s="48"/>
      <c r="AF157" s="48"/>
      <c r="AG157" s="48"/>
      <c r="AH157" s="48"/>
      <c r="AI157" s="48"/>
      <c r="AJ157" s="48"/>
      <c r="AK157" s="48"/>
      <c r="AL157" s="48"/>
      <c r="AM157" s="48"/>
      <c r="AN157" s="48"/>
    </row>
    <row r="158" ht="21.0" hidden="1" customHeight="1">
      <c r="A158" s="5" t="str">
        <f t="shared" si="30"/>
        <v>Véhicules usagésProgramme 360</v>
      </c>
      <c r="B158" s="48" t="s">
        <v>151</v>
      </c>
      <c r="C158" s="566" t="s">
        <v>1117</v>
      </c>
      <c r="D158" s="605"/>
      <c r="E158" s="606"/>
      <c r="F158" s="481">
        <v>0.0</v>
      </c>
      <c r="G158" s="607"/>
      <c r="H158" s="606"/>
      <c r="I158" s="481">
        <v>0.0</v>
      </c>
      <c r="J158" s="607"/>
      <c r="K158" s="606"/>
      <c r="L158" s="484">
        <v>0.0</v>
      </c>
      <c r="M158" s="480"/>
      <c r="N158" s="484">
        <f t="shared" si="57"/>
        <v>0</v>
      </c>
      <c r="O158" s="607"/>
      <c r="P158" s="606"/>
      <c r="Q158" s="484">
        <v>0.0</v>
      </c>
      <c r="R158" s="480"/>
      <c r="S158" s="484">
        <f t="shared" si="58"/>
        <v>0</v>
      </c>
      <c r="T158" s="503"/>
      <c r="U158" s="48"/>
      <c r="V158" s="48"/>
      <c r="W158" s="48"/>
      <c r="X158" s="48"/>
      <c r="Y158" s="48"/>
      <c r="Z158" s="48"/>
      <c r="AA158" s="48"/>
      <c r="AB158" s="48"/>
      <c r="AC158" s="48"/>
      <c r="AD158" s="48"/>
      <c r="AE158" s="48"/>
      <c r="AF158" s="48"/>
      <c r="AG158" s="48"/>
      <c r="AH158" s="48"/>
      <c r="AI158" s="48"/>
      <c r="AJ158" s="48"/>
      <c r="AK158" s="48"/>
      <c r="AL158" s="48"/>
      <c r="AM158" s="48"/>
      <c r="AN158" s="48"/>
    </row>
    <row r="159" ht="21.0" hidden="1" customHeight="1">
      <c r="A159" s="5" t="str">
        <f t="shared" si="30"/>
        <v>Véhicules usagésProgramme used 3</v>
      </c>
      <c r="B159" s="48" t="s">
        <v>151</v>
      </c>
      <c r="C159" s="566" t="s">
        <v>160</v>
      </c>
      <c r="D159" s="546"/>
      <c r="E159" s="48"/>
      <c r="F159" s="481">
        <v>0.0</v>
      </c>
      <c r="G159" s="547"/>
      <c r="H159" s="48"/>
      <c r="I159" s="481">
        <v>0.0</v>
      </c>
      <c r="J159" s="480"/>
      <c r="K159" s="48"/>
      <c r="L159" s="484">
        <v>0.0</v>
      </c>
      <c r="M159" s="480"/>
      <c r="N159" s="484">
        <f t="shared" si="57"/>
        <v>0</v>
      </c>
      <c r="O159" s="480"/>
      <c r="P159" s="48"/>
      <c r="Q159" s="484">
        <v>0.0</v>
      </c>
      <c r="R159" s="480"/>
      <c r="S159" s="484">
        <f t="shared" si="58"/>
        <v>0</v>
      </c>
      <c r="T159" s="503"/>
      <c r="U159" s="48"/>
      <c r="V159" s="48"/>
      <c r="W159" s="48"/>
      <c r="X159" s="48"/>
      <c r="Y159" s="48"/>
      <c r="Z159" s="48"/>
      <c r="AA159" s="48"/>
      <c r="AB159" s="48"/>
      <c r="AC159" s="48"/>
      <c r="AD159" s="48"/>
      <c r="AE159" s="48"/>
      <c r="AF159" s="48"/>
      <c r="AG159" s="48"/>
      <c r="AH159" s="48"/>
      <c r="AI159" s="48"/>
      <c r="AJ159" s="48"/>
      <c r="AK159" s="48"/>
      <c r="AL159" s="48"/>
      <c r="AM159" s="48"/>
      <c r="AN159" s="48"/>
    </row>
    <row r="160" ht="21.0" customHeight="1">
      <c r="A160" s="5" t="str">
        <f t="shared" si="30"/>
        <v>Véhicules usagésFrais administration</v>
      </c>
      <c r="B160" s="48" t="s">
        <v>151</v>
      </c>
      <c r="C160" s="480" t="s">
        <v>148</v>
      </c>
      <c r="D160" s="608"/>
      <c r="E160" s="567"/>
      <c r="F160" s="481">
        <v>0.0</v>
      </c>
      <c r="G160" s="547"/>
      <c r="H160" s="48"/>
      <c r="I160" s="481">
        <v>0.0</v>
      </c>
      <c r="J160" s="570"/>
      <c r="K160" s="567"/>
      <c r="L160" s="484">
        <v>20000.0</v>
      </c>
      <c r="M160" s="480"/>
      <c r="N160" s="484">
        <f t="shared" si="57"/>
        <v>20000</v>
      </c>
      <c r="O160" s="570"/>
      <c r="P160" s="567"/>
      <c r="Q160" s="484">
        <v>0.0</v>
      </c>
      <c r="R160" s="480"/>
      <c r="S160" s="484">
        <f t="shared" si="58"/>
        <v>20000</v>
      </c>
      <c r="T160" s="503"/>
      <c r="U160" s="48"/>
      <c r="V160" s="48"/>
      <c r="W160" s="48"/>
      <c r="X160" s="48"/>
      <c r="Y160" s="48"/>
      <c r="Z160" s="48"/>
      <c r="AA160" s="48"/>
      <c r="AB160" s="48"/>
      <c r="AC160" s="48"/>
      <c r="AD160" s="48"/>
      <c r="AE160" s="48"/>
      <c r="AF160" s="48"/>
      <c r="AG160" s="48"/>
      <c r="AH160" s="48"/>
      <c r="AI160" s="48"/>
      <c r="AJ160" s="48"/>
      <c r="AK160" s="48"/>
      <c r="AL160" s="48"/>
      <c r="AM160" s="48"/>
      <c r="AN160" s="48"/>
    </row>
    <row r="161" ht="21.0" hidden="1" customHeight="1">
      <c r="A161" s="5" t="str">
        <f t="shared" si="30"/>
        <v>Véhicules usagés[...]</v>
      </c>
      <c r="B161" s="48" t="s">
        <v>151</v>
      </c>
      <c r="C161" s="480" t="s">
        <v>56</v>
      </c>
      <c r="D161" s="546"/>
      <c r="E161" s="48"/>
      <c r="F161" s="481">
        <v>0.0</v>
      </c>
      <c r="G161" s="547"/>
      <c r="H161" s="48"/>
      <c r="I161" s="481">
        <v>0.0</v>
      </c>
      <c r="J161" s="480"/>
      <c r="K161" s="48"/>
      <c r="L161" s="484">
        <v>0.0</v>
      </c>
      <c r="M161" s="480"/>
      <c r="N161" s="484">
        <f t="shared" si="57"/>
        <v>0</v>
      </c>
      <c r="O161" s="480"/>
      <c r="P161" s="48"/>
      <c r="Q161" s="484">
        <v>0.0</v>
      </c>
      <c r="R161" s="480"/>
      <c r="S161" s="484">
        <f t="shared" si="58"/>
        <v>0</v>
      </c>
      <c r="T161" s="503"/>
      <c r="U161" s="48"/>
      <c r="V161" s="48"/>
      <c r="W161" s="48"/>
      <c r="X161" s="48"/>
      <c r="Y161" s="48"/>
      <c r="Z161" s="48"/>
      <c r="AA161" s="48"/>
      <c r="AB161" s="48"/>
      <c r="AC161" s="48"/>
      <c r="AD161" s="48"/>
      <c r="AE161" s="48"/>
      <c r="AF161" s="48"/>
      <c r="AG161" s="48"/>
      <c r="AH161" s="48"/>
      <c r="AI161" s="48"/>
      <c r="AJ161" s="48"/>
      <c r="AK161" s="48"/>
      <c r="AL161" s="48"/>
      <c r="AM161" s="48"/>
      <c r="AN161" s="48"/>
    </row>
    <row r="162" ht="21.0" hidden="1" customHeight="1">
      <c r="A162" s="5" t="str">
        <f t="shared" si="30"/>
        <v>Véhicules usagés[...]</v>
      </c>
      <c r="B162" s="48" t="s">
        <v>151</v>
      </c>
      <c r="C162" s="480" t="s">
        <v>56</v>
      </c>
      <c r="D162" s="546"/>
      <c r="E162" s="48"/>
      <c r="F162" s="481">
        <v>0.0</v>
      </c>
      <c r="G162" s="547"/>
      <c r="H162" s="48"/>
      <c r="I162" s="481">
        <v>0.0</v>
      </c>
      <c r="J162" s="480"/>
      <c r="K162" s="48"/>
      <c r="L162" s="484">
        <v>0.0</v>
      </c>
      <c r="M162" s="480"/>
      <c r="N162" s="484">
        <f t="shared" si="57"/>
        <v>0</v>
      </c>
      <c r="O162" s="480"/>
      <c r="P162" s="48"/>
      <c r="Q162" s="484">
        <v>0.0</v>
      </c>
      <c r="R162" s="480"/>
      <c r="S162" s="484">
        <f t="shared" si="58"/>
        <v>0</v>
      </c>
      <c r="T162" s="503"/>
      <c r="U162" s="48"/>
      <c r="V162" s="48"/>
      <c r="W162" s="48"/>
      <c r="X162" s="48"/>
      <c r="Y162" s="48"/>
      <c r="Z162" s="48"/>
      <c r="AA162" s="48"/>
      <c r="AB162" s="48"/>
      <c r="AC162" s="48"/>
      <c r="AD162" s="48"/>
      <c r="AE162" s="48"/>
      <c r="AF162" s="48"/>
      <c r="AG162" s="48"/>
      <c r="AH162" s="48"/>
      <c r="AI162" s="48"/>
      <c r="AJ162" s="48"/>
      <c r="AK162" s="48"/>
      <c r="AL162" s="48"/>
      <c r="AM162" s="48"/>
      <c r="AN162" s="48"/>
    </row>
    <row r="163" ht="21.0" hidden="1" customHeight="1">
      <c r="A163" s="5" t="str">
        <f t="shared" si="30"/>
        <v>Véhicules usagés[...]</v>
      </c>
      <c r="B163" s="48" t="s">
        <v>151</v>
      </c>
      <c r="C163" s="471" t="s">
        <v>56</v>
      </c>
      <c r="D163" s="549"/>
      <c r="E163" s="564"/>
      <c r="F163" s="481">
        <v>0.0</v>
      </c>
      <c r="G163" s="547"/>
      <c r="H163" s="48"/>
      <c r="I163" s="481">
        <v>0.0</v>
      </c>
      <c r="J163" s="480"/>
      <c r="K163" s="48"/>
      <c r="L163" s="484">
        <v>0.0</v>
      </c>
      <c r="M163" s="480"/>
      <c r="N163" s="484">
        <f t="shared" si="57"/>
        <v>0</v>
      </c>
      <c r="O163" s="480"/>
      <c r="P163" s="48"/>
      <c r="Q163" s="484">
        <v>0.0</v>
      </c>
      <c r="R163" s="480"/>
      <c r="S163" s="484">
        <f t="shared" si="58"/>
        <v>0</v>
      </c>
      <c r="T163" s="503"/>
      <c r="U163" s="48"/>
      <c r="V163" s="48"/>
      <c r="W163" s="48"/>
      <c r="X163" s="48"/>
      <c r="Y163" s="48"/>
      <c r="Z163" s="48"/>
      <c r="AA163" s="48"/>
      <c r="AB163" s="48"/>
      <c r="AC163" s="48"/>
      <c r="AD163" s="48"/>
      <c r="AE163" s="48"/>
      <c r="AF163" s="48"/>
      <c r="AG163" s="48"/>
      <c r="AH163" s="48"/>
      <c r="AI163" s="48"/>
      <c r="AJ163" s="48"/>
      <c r="AK163" s="48"/>
      <c r="AL163" s="48"/>
      <c r="AM163" s="48"/>
      <c r="AN163" s="48"/>
    </row>
    <row r="164" ht="18.0" customHeight="1">
      <c r="A164" s="5"/>
      <c r="B164" s="48"/>
      <c r="C164" s="552" t="s">
        <v>149</v>
      </c>
      <c r="D164" s="553"/>
      <c r="E164" s="554"/>
      <c r="F164" s="555">
        <f>+SUM(F157:F163)</f>
        <v>0</v>
      </c>
      <c r="G164" s="556"/>
      <c r="H164" s="554"/>
      <c r="I164" s="555">
        <f>+SUM(I157:I163)</f>
        <v>0</v>
      </c>
      <c r="J164" s="556"/>
      <c r="K164" s="554"/>
      <c r="L164" s="555">
        <f>+SUM(L157:L163)</f>
        <v>20000</v>
      </c>
      <c r="M164" s="557"/>
      <c r="N164" s="555">
        <f>SUM(N157:N160)</f>
        <v>20000</v>
      </c>
      <c r="O164" s="556"/>
      <c r="P164" s="554"/>
      <c r="Q164" s="555">
        <f>+SUM(Q157:Q163)</f>
        <v>0</v>
      </c>
      <c r="R164" s="558"/>
      <c r="S164" s="555">
        <f>+SUM(S157:S163)</f>
        <v>20000</v>
      </c>
      <c r="T164" s="48"/>
      <c r="U164" s="48"/>
      <c r="V164" s="48"/>
      <c r="W164" s="48"/>
      <c r="X164" s="48"/>
      <c r="Y164" s="48"/>
      <c r="Z164" s="48"/>
      <c r="AA164" s="48"/>
      <c r="AB164" s="48"/>
      <c r="AC164" s="48"/>
      <c r="AD164" s="48"/>
      <c r="AE164" s="48"/>
      <c r="AF164" s="48"/>
      <c r="AG164" s="48"/>
      <c r="AH164" s="48"/>
      <c r="AI164" s="48"/>
      <c r="AJ164" s="48"/>
      <c r="AK164" s="48"/>
      <c r="AL164" s="48"/>
      <c r="AM164" s="48"/>
      <c r="AN164" s="48"/>
    </row>
    <row r="165" ht="15.75" customHeight="1">
      <c r="B165" s="48"/>
      <c r="C165" s="480"/>
      <c r="D165" s="546"/>
      <c r="E165" s="48"/>
      <c r="F165" s="484"/>
      <c r="G165" s="547"/>
      <c r="H165" s="48"/>
      <c r="I165" s="484"/>
      <c r="J165" s="480"/>
      <c r="K165" s="48"/>
      <c r="L165" s="484"/>
      <c r="M165" s="480"/>
      <c r="N165" s="484"/>
      <c r="O165" s="480"/>
      <c r="P165" s="48"/>
      <c r="Q165" s="484"/>
      <c r="R165" s="480"/>
      <c r="S165" s="484"/>
      <c r="T165" s="606"/>
      <c r="U165" s="48"/>
      <c r="V165" s="48"/>
      <c r="W165" s="48"/>
      <c r="X165" s="48"/>
      <c r="Y165" s="48"/>
      <c r="Z165" s="48"/>
      <c r="AA165" s="48"/>
      <c r="AB165" s="48"/>
      <c r="AC165" s="48"/>
      <c r="AD165" s="48"/>
      <c r="AE165" s="48"/>
      <c r="AF165" s="48"/>
      <c r="AG165" s="48"/>
      <c r="AH165" s="48"/>
      <c r="AI165" s="48"/>
      <c r="AJ165" s="48"/>
      <c r="AK165" s="48"/>
      <c r="AL165" s="48"/>
      <c r="AM165" s="48"/>
      <c r="AN165" s="48"/>
    </row>
    <row r="166" ht="18.0" customHeight="1">
      <c r="A166" s="5"/>
      <c r="B166" s="48"/>
      <c r="C166" s="579" t="s">
        <v>150</v>
      </c>
      <c r="D166" s="580"/>
      <c r="E166" s="581"/>
      <c r="F166" s="582">
        <f>F109-F156+F164</f>
        <v>0</v>
      </c>
      <c r="G166" s="583"/>
      <c r="H166" s="581"/>
      <c r="I166" s="582">
        <f>I109-I156+I164</f>
        <v>0</v>
      </c>
      <c r="J166" s="583"/>
      <c r="K166" s="581"/>
      <c r="L166" s="582">
        <f>L109-L156+L164</f>
        <v>-33339.51</v>
      </c>
      <c r="M166" s="584"/>
      <c r="N166" s="582">
        <f>L166-F166</f>
        <v>-33339.51</v>
      </c>
      <c r="O166" s="583"/>
      <c r="P166" s="581"/>
      <c r="Q166" s="582">
        <f>Q109-Q156+Q164</f>
        <v>-135796.7</v>
      </c>
      <c r="R166" s="585"/>
      <c r="S166" s="582">
        <f>L166-Q166</f>
        <v>102457.19</v>
      </c>
      <c r="T166" s="48"/>
      <c r="U166" s="48"/>
      <c r="V166" s="48"/>
      <c r="W166" s="48"/>
      <c r="X166" s="48"/>
      <c r="Y166" s="48"/>
      <c r="Z166" s="48"/>
      <c r="AA166" s="48"/>
      <c r="AB166" s="48"/>
      <c r="AC166" s="48"/>
      <c r="AD166" s="48"/>
      <c r="AE166" s="48"/>
      <c r="AF166" s="48"/>
      <c r="AG166" s="48"/>
      <c r="AH166" s="48"/>
      <c r="AI166" s="48"/>
      <c r="AJ166" s="48"/>
      <c r="AK166" s="48"/>
      <c r="AL166" s="48"/>
      <c r="AM166" s="48"/>
      <c r="AN166" s="48"/>
    </row>
    <row r="167" ht="15.75" customHeight="1">
      <c r="B167" s="48"/>
      <c r="C167" s="40"/>
      <c r="D167" s="40"/>
      <c r="E167" s="40"/>
      <c r="F167" s="540"/>
      <c r="G167" s="40"/>
      <c r="H167" s="40"/>
      <c r="I167" s="40"/>
      <c r="J167" s="40"/>
      <c r="K167" s="40"/>
      <c r="L167" s="540"/>
      <c r="M167" s="40"/>
      <c r="N167" s="40"/>
      <c r="O167" s="40"/>
      <c r="P167" s="40"/>
      <c r="Q167" s="40"/>
      <c r="R167" s="540"/>
      <c r="S167" s="40"/>
      <c r="T167" s="540"/>
      <c r="U167" s="40"/>
      <c r="V167" s="48"/>
      <c r="W167" s="48"/>
      <c r="X167" s="48"/>
      <c r="Y167" s="48"/>
      <c r="Z167" s="48"/>
      <c r="AA167" s="48"/>
      <c r="AB167" s="48"/>
      <c r="AC167" s="48"/>
      <c r="AD167" s="48"/>
      <c r="AE167" s="48"/>
      <c r="AF167" s="48"/>
      <c r="AG167" s="48"/>
      <c r="AH167" s="48"/>
      <c r="AI167" s="48"/>
      <c r="AJ167" s="48"/>
      <c r="AK167" s="48"/>
      <c r="AL167" s="48"/>
      <c r="AM167" s="48"/>
      <c r="AN167" s="48"/>
    </row>
    <row r="168" ht="15.75" customHeight="1">
      <c r="B168" s="48"/>
      <c r="C168" s="40"/>
      <c r="D168" s="40"/>
      <c r="E168" s="40"/>
      <c r="F168" s="540"/>
      <c r="G168" s="40"/>
      <c r="H168" s="40"/>
      <c r="I168" s="40"/>
      <c r="J168" s="40"/>
      <c r="K168" s="40"/>
      <c r="L168" s="540"/>
      <c r="M168" s="40"/>
      <c r="N168" s="40"/>
      <c r="O168" s="40"/>
      <c r="P168" s="40"/>
      <c r="Q168" s="40"/>
      <c r="R168" s="540"/>
      <c r="S168" s="40"/>
      <c r="T168" s="540"/>
      <c r="U168" s="40"/>
      <c r="V168" s="48"/>
      <c r="W168" s="48"/>
      <c r="X168" s="48"/>
      <c r="Y168" s="48"/>
      <c r="Z168" s="48"/>
      <c r="AA168" s="48"/>
      <c r="AB168" s="48"/>
      <c r="AC168" s="48"/>
      <c r="AD168" s="48"/>
      <c r="AE168" s="48"/>
      <c r="AF168" s="48"/>
      <c r="AG168" s="48"/>
      <c r="AH168" s="48"/>
      <c r="AI168" s="48"/>
      <c r="AJ168" s="48"/>
      <c r="AK168" s="48"/>
      <c r="AL168" s="48"/>
      <c r="AM168" s="48"/>
      <c r="AN168" s="48"/>
    </row>
    <row r="169" ht="33.0" customHeight="1">
      <c r="B169" s="38"/>
      <c r="C169" s="450" t="str">
        <f>C1</f>
        <v>Ste-Marie Auto</v>
      </c>
      <c r="D169" s="451"/>
      <c r="E169" s="452"/>
      <c r="F169" s="451"/>
      <c r="G169" s="451"/>
      <c r="H169" s="450"/>
      <c r="I169" s="451"/>
      <c r="J169" s="450"/>
      <c r="K169" s="453" t="s">
        <v>898</v>
      </c>
      <c r="L169" s="451"/>
      <c r="M169" s="451"/>
      <c r="N169" s="454"/>
      <c r="O169" s="450"/>
      <c r="P169" s="451"/>
      <c r="Q169" s="450"/>
      <c r="R169" s="451"/>
      <c r="S169" s="455"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ht="15.75" customHeight="1">
      <c r="B170" s="3"/>
      <c r="C170" s="39"/>
      <c r="D170" s="40"/>
      <c r="E170" s="40"/>
      <c r="F170" s="40"/>
      <c r="G170" s="40"/>
      <c r="H170" s="40"/>
      <c r="I170" s="40"/>
      <c r="J170" s="40"/>
      <c r="K170" s="40"/>
      <c r="L170" s="40"/>
      <c r="M170" s="40"/>
      <c r="N170" s="40"/>
      <c r="O170" s="40"/>
      <c r="P170" s="40"/>
      <c r="Q170" s="40"/>
      <c r="R170" s="40"/>
      <c r="S170" s="40"/>
      <c r="T170" s="40"/>
      <c r="U170" s="40"/>
    </row>
    <row r="171" ht="15.75" customHeight="1">
      <c r="B171" s="48"/>
      <c r="C171" s="461"/>
      <c r="D171" s="462" t="s">
        <v>774</v>
      </c>
      <c r="E171" s="44"/>
      <c r="F171" s="45"/>
      <c r="G171" s="463"/>
      <c r="H171" s="44"/>
      <c r="I171" s="45"/>
      <c r="J171" s="463" t="s">
        <v>775</v>
      </c>
      <c r="K171" s="44"/>
      <c r="L171" s="45"/>
      <c r="M171" s="463" t="s">
        <v>776</v>
      </c>
      <c r="N171" s="45"/>
      <c r="O171" s="463" t="s">
        <v>777</v>
      </c>
      <c r="P171" s="44"/>
      <c r="Q171" s="45"/>
      <c r="R171" s="463" t="s">
        <v>778</v>
      </c>
      <c r="S171" s="45"/>
      <c r="T171" s="48"/>
      <c r="U171" s="48"/>
      <c r="V171" s="48"/>
      <c r="W171" s="48"/>
      <c r="X171" s="48"/>
      <c r="Y171" s="48"/>
      <c r="Z171" s="48"/>
      <c r="AA171" s="48"/>
      <c r="AB171" s="48"/>
      <c r="AC171" s="48"/>
      <c r="AD171" s="48"/>
      <c r="AE171" s="48"/>
      <c r="AF171" s="48"/>
      <c r="AG171" s="48"/>
      <c r="AH171" s="48"/>
      <c r="AI171" s="48"/>
      <c r="AJ171" s="48"/>
      <c r="AK171" s="48"/>
      <c r="AL171" s="48"/>
      <c r="AM171" s="48"/>
      <c r="AN171" s="48"/>
    </row>
    <row r="172" ht="15.75" customHeight="1">
      <c r="B172" s="48"/>
      <c r="C172" s="480"/>
      <c r="D172" s="467" t="s">
        <v>93</v>
      </c>
      <c r="E172" s="468" t="s">
        <v>780</v>
      </c>
      <c r="F172" s="469" t="s">
        <v>95</v>
      </c>
      <c r="G172" s="470"/>
      <c r="H172" s="468"/>
      <c r="I172" s="469"/>
      <c r="J172" s="470" t="s">
        <v>781</v>
      </c>
      <c r="K172" s="468" t="s">
        <v>94</v>
      </c>
      <c r="L172" s="469" t="s">
        <v>95</v>
      </c>
      <c r="M172" s="470" t="s">
        <v>781</v>
      </c>
      <c r="N172" s="469" t="s">
        <v>95</v>
      </c>
      <c r="O172" s="468" t="s">
        <v>93</v>
      </c>
      <c r="P172" s="468" t="s">
        <v>780</v>
      </c>
      <c r="Q172" s="469" t="s">
        <v>95</v>
      </c>
      <c r="R172" s="470" t="s">
        <v>781</v>
      </c>
      <c r="S172" s="469" t="s">
        <v>95</v>
      </c>
      <c r="T172" s="48"/>
      <c r="U172" s="48"/>
      <c r="V172" s="48"/>
      <c r="W172" s="48"/>
      <c r="X172" s="48"/>
      <c r="Y172" s="48"/>
      <c r="Z172" s="48"/>
      <c r="AA172" s="48"/>
      <c r="AB172" s="48"/>
      <c r="AC172" s="48"/>
      <c r="AD172" s="48"/>
      <c r="AE172" s="48"/>
      <c r="AF172" s="48"/>
      <c r="AG172" s="48"/>
      <c r="AH172" s="48"/>
      <c r="AI172" s="48"/>
      <c r="AJ172" s="48"/>
      <c r="AK172" s="48"/>
      <c r="AL172" s="48"/>
      <c r="AM172" s="48"/>
      <c r="AN172" s="48"/>
    </row>
    <row r="173" ht="24.0" customHeight="1">
      <c r="A173" s="5" t="s">
        <v>849</v>
      </c>
      <c r="B173" s="48" t="s">
        <v>899</v>
      </c>
      <c r="C173" s="471" t="s">
        <v>96</v>
      </c>
      <c r="D173" s="475"/>
      <c r="E173" s="475"/>
      <c r="F173" s="473">
        <v>0.0</v>
      </c>
      <c r="G173" s="512"/>
      <c r="H173" s="475"/>
      <c r="I173" s="473"/>
      <c r="J173" s="471"/>
      <c r="K173" s="513"/>
      <c r="L173" s="476">
        <v>3.0954795569999997E7</v>
      </c>
      <c r="M173" s="589"/>
      <c r="N173" s="590"/>
      <c r="O173" s="471"/>
      <c r="P173" s="513"/>
      <c r="Q173" s="476">
        <v>2.287400982E7</v>
      </c>
      <c r="R173" s="589"/>
      <c r="S173" s="590"/>
      <c r="T173" s="48"/>
      <c r="U173" s="48"/>
      <c r="V173" s="48"/>
      <c r="W173" s="48"/>
      <c r="X173" s="48"/>
      <c r="Y173" s="48"/>
      <c r="Z173" s="48"/>
      <c r="AA173" s="48"/>
      <c r="AB173" s="48"/>
      <c r="AC173" s="48"/>
      <c r="AD173" s="48"/>
      <c r="AE173" s="48"/>
      <c r="AF173" s="48"/>
      <c r="AG173" s="48"/>
      <c r="AH173" s="48"/>
      <c r="AI173" s="48"/>
      <c r="AJ173" s="48"/>
      <c r="AK173" s="48"/>
      <c r="AL173" s="48"/>
      <c r="AM173" s="48"/>
      <c r="AN173" s="48"/>
    </row>
    <row r="174" ht="24.0" customHeight="1">
      <c r="A174" s="5"/>
      <c r="B174" s="48" t="s">
        <v>899</v>
      </c>
      <c r="C174" s="480"/>
      <c r="D174" s="481"/>
      <c r="E174" s="481"/>
      <c r="F174" s="481"/>
      <c r="G174" s="482"/>
      <c r="H174" s="481"/>
      <c r="I174" s="481"/>
      <c r="J174" s="480"/>
      <c r="K174" s="483"/>
      <c r="L174" s="484"/>
      <c r="M174" s="610"/>
      <c r="N174" s="611"/>
      <c r="O174" s="480"/>
      <c r="P174" s="483"/>
      <c r="Q174" s="484"/>
      <c r="R174" s="610"/>
      <c r="S174" s="612"/>
      <c r="T174" s="48"/>
      <c r="U174" s="48"/>
      <c r="V174" s="48"/>
      <c r="W174" s="48"/>
      <c r="X174" s="48"/>
      <c r="Y174" s="48"/>
      <c r="Z174" s="48"/>
      <c r="AA174" s="48"/>
      <c r="AB174" s="48"/>
      <c r="AC174" s="48"/>
      <c r="AD174" s="48"/>
      <c r="AE174" s="48"/>
      <c r="AF174" s="48"/>
      <c r="AG174" s="48"/>
      <c r="AH174" s="48"/>
      <c r="AI174" s="48"/>
      <c r="AJ174" s="48"/>
      <c r="AK174" s="48"/>
      <c r="AL174" s="48"/>
      <c r="AM174" s="48"/>
      <c r="AN174" s="48"/>
    </row>
    <row r="175" ht="21.75" customHeight="1">
      <c r="A175" s="5" t="s">
        <v>850</v>
      </c>
      <c r="B175" s="48" t="s">
        <v>899</v>
      </c>
      <c r="C175" s="480" t="s">
        <v>900</v>
      </c>
      <c r="D175" s="481">
        <v>0.0</v>
      </c>
      <c r="E175" s="481">
        <v>0.0</v>
      </c>
      <c r="F175" s="481">
        <v>0.0</v>
      </c>
      <c r="G175" s="482"/>
      <c r="H175" s="481"/>
      <c r="I175" s="481"/>
      <c r="J175" s="482">
        <v>231.0</v>
      </c>
      <c r="K175" s="483">
        <v>2268.9312427824425</v>
      </c>
      <c r="L175" s="484">
        <v>203839.5199999991</v>
      </c>
      <c r="M175" s="482">
        <f>J175-D175</f>
        <v>231</v>
      </c>
      <c r="N175" s="485">
        <f>L175-F175</f>
        <v>203839.52</v>
      </c>
      <c r="O175" s="482">
        <v>315.0</v>
      </c>
      <c r="P175" s="483">
        <v>5868.742261230146</v>
      </c>
      <c r="Q175" s="484">
        <v>645523.0800000001</v>
      </c>
      <c r="R175" s="482">
        <f>J175-O175</f>
        <v>-84</v>
      </c>
      <c r="S175" s="484">
        <f>L175-Q175</f>
        <v>-441683.56</v>
      </c>
      <c r="T175" s="48"/>
      <c r="U175" s="48"/>
      <c r="V175" s="48"/>
      <c r="W175" s="48"/>
      <c r="X175" s="48"/>
      <c r="Y175" s="48"/>
      <c r="Z175" s="48"/>
      <c r="AA175" s="48"/>
      <c r="AB175" s="48"/>
      <c r="AC175" s="48"/>
      <c r="AD175" s="48"/>
      <c r="AE175" s="48"/>
      <c r="AF175" s="48"/>
      <c r="AG175" s="48"/>
      <c r="AH175" s="48"/>
      <c r="AI175" s="48"/>
      <c r="AJ175" s="48"/>
      <c r="AK175" s="48"/>
      <c r="AL175" s="48"/>
      <c r="AM175" s="48"/>
      <c r="AN175" s="48"/>
    </row>
    <row r="176" ht="21.75" customHeight="1">
      <c r="A176" s="5"/>
      <c r="B176" s="48" t="s">
        <v>899</v>
      </c>
      <c r="C176" s="471"/>
      <c r="D176" s="475"/>
      <c r="E176" s="475"/>
      <c r="F176" s="475"/>
      <c r="G176" s="512"/>
      <c r="H176" s="475"/>
      <c r="I176" s="475"/>
      <c r="J176" s="512"/>
      <c r="K176" s="513"/>
      <c r="L176" s="476"/>
      <c r="M176" s="512"/>
      <c r="N176" s="473"/>
      <c r="O176" s="512"/>
      <c r="P176" s="513"/>
      <c r="Q176" s="476"/>
      <c r="R176" s="613">
        <f>R175/O175</f>
        <v>-0.2666666667</v>
      </c>
      <c r="S176" s="614">
        <f>IF(Q175=0,0,(S175/Q175))</f>
        <v>-0.6842258219</v>
      </c>
      <c r="T176" s="48"/>
      <c r="U176" s="48"/>
      <c r="V176" s="48"/>
      <c r="W176" s="48"/>
      <c r="X176" s="48"/>
      <c r="Y176" s="48"/>
      <c r="Z176" s="48"/>
      <c r="AA176" s="48"/>
      <c r="AB176" s="48"/>
      <c r="AC176" s="48"/>
      <c r="AD176" s="48"/>
      <c r="AE176" s="48"/>
      <c r="AF176" s="48"/>
      <c r="AG176" s="48"/>
      <c r="AH176" s="48"/>
      <c r="AI176" s="48"/>
      <c r="AJ176" s="48"/>
      <c r="AK176" s="48"/>
      <c r="AL176" s="48"/>
      <c r="AM176" s="48"/>
      <c r="AN176" s="48"/>
    </row>
    <row r="177" ht="18.75" customHeight="1">
      <c r="A177" s="5" t="s">
        <v>851</v>
      </c>
      <c r="B177" s="48" t="s">
        <v>899</v>
      </c>
      <c r="C177" s="480" t="s">
        <v>901</v>
      </c>
      <c r="D177" s="481">
        <v>0.0</v>
      </c>
      <c r="E177" s="481">
        <v>0.0</v>
      </c>
      <c r="F177" s="481">
        <v>0.0</v>
      </c>
      <c r="G177" s="482"/>
      <c r="H177" s="481"/>
      <c r="I177" s="481"/>
      <c r="J177" s="482">
        <v>262.0</v>
      </c>
      <c r="K177" s="483">
        <v>3979.9128912601955</v>
      </c>
      <c r="L177" s="484">
        <v>290117.29000000004</v>
      </c>
      <c r="M177" s="482">
        <f>J177-D177</f>
        <v>262</v>
      </c>
      <c r="N177" s="485">
        <f>L177-F177</f>
        <v>290117.29</v>
      </c>
      <c r="O177" s="482">
        <v>0.0</v>
      </c>
      <c r="P177" s="483">
        <v>0.0</v>
      </c>
      <c r="Q177" s="484">
        <v>0.0</v>
      </c>
      <c r="R177" s="482">
        <f>J177-O177</f>
        <v>262</v>
      </c>
      <c r="S177" s="484">
        <f>L177-Q177</f>
        <v>290117.29</v>
      </c>
      <c r="T177" s="48"/>
      <c r="U177" s="48"/>
      <c r="V177" s="798"/>
      <c r="W177" s="48"/>
      <c r="X177" s="48"/>
      <c r="Y177" s="48"/>
      <c r="Z177" s="48"/>
      <c r="AA177" s="48"/>
      <c r="AB177" s="48"/>
      <c r="AC177" s="48"/>
      <c r="AD177" s="48"/>
      <c r="AE177" s="48"/>
      <c r="AF177" s="48"/>
      <c r="AG177" s="48"/>
      <c r="AH177" s="48"/>
      <c r="AI177" s="48"/>
      <c r="AJ177" s="48"/>
      <c r="AK177" s="48"/>
      <c r="AL177" s="48"/>
      <c r="AM177" s="48"/>
      <c r="AN177" s="48"/>
    </row>
    <row r="178" ht="18.75" customHeight="1">
      <c r="A178" s="5"/>
      <c r="B178" s="48" t="s">
        <v>899</v>
      </c>
      <c r="C178" s="471"/>
      <c r="D178" s="475"/>
      <c r="E178" s="475"/>
      <c r="F178" s="475"/>
      <c r="G178" s="512"/>
      <c r="H178" s="475"/>
      <c r="I178" s="475"/>
      <c r="J178" s="512"/>
      <c r="K178" s="513"/>
      <c r="L178" s="476"/>
      <c r="M178" s="512"/>
      <c r="N178" s="473"/>
      <c r="O178" s="512"/>
      <c r="P178" s="513"/>
      <c r="Q178" s="476"/>
      <c r="R178" s="613" t="str">
        <f>R177/O177</f>
        <v>#DIV/0!</v>
      </c>
      <c r="S178" s="614">
        <f>IF(Q177=0,0,(S177/Q177))</f>
        <v>0</v>
      </c>
      <c r="T178" s="48"/>
      <c r="U178" s="48"/>
      <c r="V178" s="798"/>
      <c r="W178" s="48"/>
      <c r="X178" s="48"/>
      <c r="Y178" s="48"/>
      <c r="Z178" s="48"/>
      <c r="AA178" s="48"/>
      <c r="AB178" s="48"/>
      <c r="AC178" s="48"/>
      <c r="AD178" s="48"/>
      <c r="AE178" s="48"/>
      <c r="AF178" s="48"/>
      <c r="AG178" s="48"/>
      <c r="AH178" s="48"/>
      <c r="AI178" s="48"/>
      <c r="AJ178" s="48"/>
      <c r="AK178" s="48"/>
      <c r="AL178" s="48"/>
      <c r="AM178" s="48"/>
      <c r="AN178" s="48"/>
    </row>
    <row r="179" ht="18.75" customHeight="1">
      <c r="A179" s="5" t="str">
        <f>B179&amp;C179</f>
        <v>Wholesale autresWholesale Luxueux</v>
      </c>
      <c r="B179" s="48" t="s">
        <v>899</v>
      </c>
      <c r="C179" s="480" t="s">
        <v>902</v>
      </c>
      <c r="D179" s="481" t="e">
        <v>#N/A</v>
      </c>
      <c r="E179" s="481" t="e">
        <v>#N/A</v>
      </c>
      <c r="F179" s="481" t="e">
        <v>#N/A</v>
      </c>
      <c r="G179" s="482"/>
      <c r="H179" s="481"/>
      <c r="I179" s="481"/>
      <c r="J179" s="482">
        <v>106.0</v>
      </c>
      <c r="K179" s="483">
        <v>6553.080808080893</v>
      </c>
      <c r="L179" s="484">
        <v>212845.00000000186</v>
      </c>
      <c r="M179" s="482" t="str">
        <f>J179-D179</f>
        <v>#N/A</v>
      </c>
      <c r="N179" s="485" t="str">
        <f>L179-F179</f>
        <v>#N/A</v>
      </c>
      <c r="O179" s="482">
        <v>39.0</v>
      </c>
      <c r="P179" s="483">
        <v>9976.456570048218</v>
      </c>
      <c r="Q179" s="484">
        <v>127306.36999999918</v>
      </c>
      <c r="R179" s="482">
        <f>J179-O179</f>
        <v>67</v>
      </c>
      <c r="S179" s="484">
        <f>L179-Q179</f>
        <v>85538.63</v>
      </c>
      <c r="T179" s="48"/>
      <c r="U179" s="48"/>
      <c r="V179" s="798"/>
      <c r="W179" s="48"/>
      <c r="X179" s="48"/>
      <c r="Y179" s="48"/>
      <c r="Z179" s="48"/>
      <c r="AA179" s="48"/>
      <c r="AB179" s="48"/>
      <c r="AC179" s="48"/>
      <c r="AD179" s="48"/>
      <c r="AE179" s="48"/>
      <c r="AF179" s="48"/>
      <c r="AG179" s="48"/>
      <c r="AH179" s="48"/>
      <c r="AI179" s="48"/>
      <c r="AJ179" s="48"/>
      <c r="AK179" s="48"/>
      <c r="AL179" s="48"/>
      <c r="AM179" s="48"/>
      <c r="AN179" s="48"/>
    </row>
    <row r="180" ht="15.75" customHeight="1">
      <c r="A180" s="5" t="s">
        <v>151</v>
      </c>
      <c r="B180" s="48" t="s">
        <v>899</v>
      </c>
      <c r="C180" s="480"/>
      <c r="D180" s="48"/>
      <c r="E180" s="48"/>
      <c r="F180" s="484"/>
      <c r="G180" s="480"/>
      <c r="H180" s="601"/>
      <c r="I180" s="484"/>
      <c r="J180" s="480"/>
      <c r="K180" s="483"/>
      <c r="L180" s="484"/>
      <c r="M180" s="525"/>
      <c r="N180" s="507" t="str">
        <f>#REF!/#REF!</f>
        <v>#REF!</v>
      </c>
      <c r="O180" s="480"/>
      <c r="P180" s="483"/>
      <c r="Q180" s="484"/>
      <c r="R180" s="616">
        <f>R179/O179</f>
        <v>1.717948718</v>
      </c>
      <c r="S180" s="516">
        <f>IF(Q179=0,0,(S179/Q179))</f>
        <v>0.6719116255</v>
      </c>
      <c r="T180" s="48"/>
      <c r="U180" s="48"/>
      <c r="V180" s="48"/>
      <c r="W180" s="48"/>
      <c r="X180" s="48"/>
      <c r="Y180" s="48"/>
      <c r="Z180" s="48"/>
      <c r="AA180" s="48"/>
      <c r="AB180" s="48"/>
      <c r="AC180" s="48"/>
      <c r="AD180" s="48"/>
      <c r="AE180" s="48"/>
      <c r="AF180" s="48"/>
      <c r="AG180" s="48"/>
      <c r="AH180" s="48"/>
      <c r="AI180" s="48"/>
      <c r="AJ180" s="48"/>
      <c r="AK180" s="48"/>
      <c r="AL180" s="48"/>
      <c r="AM180" s="48"/>
      <c r="AN180" s="48"/>
    </row>
    <row r="181" ht="15.75" customHeight="1">
      <c r="A181" s="5" t="s">
        <v>151</v>
      </c>
      <c r="B181" s="48" t="s">
        <v>899</v>
      </c>
      <c r="C181" s="480"/>
      <c r="D181" s="48"/>
      <c r="E181" s="48"/>
      <c r="F181" s="484"/>
      <c r="G181" s="480"/>
      <c r="H181" s="601"/>
      <c r="I181" s="484"/>
      <c r="J181" s="480"/>
      <c r="K181" s="483"/>
      <c r="L181" s="484"/>
      <c r="M181" s="525"/>
      <c r="N181" s="507"/>
      <c r="O181" s="480"/>
      <c r="P181" s="483"/>
      <c r="Q181" s="484"/>
      <c r="R181" s="486"/>
      <c r="S181" s="504"/>
      <c r="T181" s="48"/>
      <c r="U181" s="48"/>
      <c r="V181" s="48"/>
      <c r="W181" s="48"/>
      <c r="X181" s="48"/>
      <c r="Y181" s="48"/>
      <c r="Z181" s="48"/>
      <c r="AA181" s="48"/>
      <c r="AB181" s="48"/>
      <c r="AC181" s="48"/>
      <c r="AD181" s="48"/>
      <c r="AE181" s="48"/>
      <c r="AF181" s="48"/>
      <c r="AG181" s="48"/>
      <c r="AH181" s="48"/>
      <c r="AI181" s="48"/>
      <c r="AJ181" s="48"/>
      <c r="AK181" s="48"/>
      <c r="AL181" s="48"/>
      <c r="AM181" s="48"/>
      <c r="AN181" s="48"/>
    </row>
    <row r="182" ht="18.0" customHeight="1">
      <c r="A182" s="5" t="s">
        <v>857</v>
      </c>
      <c r="B182" s="48" t="s">
        <v>899</v>
      </c>
      <c r="C182" s="526" t="s">
        <v>903</v>
      </c>
      <c r="D182" s="527" t="str">
        <f>D175+D177+D179</f>
        <v>#N/A</v>
      </c>
      <c r="E182" s="528" t="str">
        <f>IF(D182&lt;=0,0,F182/D182)</f>
        <v>#N/A</v>
      </c>
      <c r="F182" s="529" t="str">
        <f>#REF!+#REF!+#REF!</f>
        <v>#REF!</v>
      </c>
      <c r="G182" s="530"/>
      <c r="H182" s="528"/>
      <c r="I182" s="529"/>
      <c r="J182" s="530">
        <f>J175+J177+J179</f>
        <v>599</v>
      </c>
      <c r="K182" s="527">
        <f>IF(J182&lt;=0,0,L182/J182)</f>
        <v>1179.969633</v>
      </c>
      <c r="L182" s="529">
        <f>L175+L179+L177</f>
        <v>706801.81</v>
      </c>
      <c r="M182" s="530" t="str">
        <f>J182-D182</f>
        <v>#N/A</v>
      </c>
      <c r="N182" s="529" t="str">
        <f>L182-F182</f>
        <v>#REF!</v>
      </c>
      <c r="O182" s="530">
        <f>O175+O177+O179</f>
        <v>354</v>
      </c>
      <c r="P182" s="527">
        <f>IF(O182&lt;=0,0,Q182/O182)</f>
        <v>2183.13404</v>
      </c>
      <c r="Q182" s="529">
        <f>Q175+Q179+Q177</f>
        <v>772829.45</v>
      </c>
      <c r="R182" s="530">
        <f>J182-O182</f>
        <v>245</v>
      </c>
      <c r="S182" s="529">
        <f>L182-Q182</f>
        <v>-66027.64</v>
      </c>
      <c r="T182" s="48"/>
      <c r="U182" s="48"/>
      <c r="V182" s="48"/>
      <c r="W182" s="48"/>
      <c r="X182" s="48"/>
      <c r="Y182" s="48"/>
      <c r="Z182" s="48"/>
      <c r="AA182" s="48"/>
      <c r="AB182" s="48"/>
      <c r="AC182" s="48"/>
      <c r="AD182" s="48"/>
      <c r="AE182" s="48"/>
      <c r="AF182" s="48"/>
      <c r="AG182" s="48"/>
      <c r="AH182" s="48"/>
      <c r="AI182" s="48"/>
      <c r="AJ182" s="48"/>
      <c r="AK182" s="48"/>
      <c r="AL182" s="48"/>
      <c r="AM182" s="48"/>
      <c r="AN182" s="48"/>
    </row>
    <row r="183" ht="22.5" customHeight="1">
      <c r="A183" s="5" t="s">
        <v>151</v>
      </c>
      <c r="B183" s="48" t="s">
        <v>899</v>
      </c>
      <c r="C183" s="531"/>
      <c r="D183" s="532"/>
      <c r="E183" s="532"/>
      <c r="F183" s="533"/>
      <c r="G183" s="531"/>
      <c r="H183" s="532"/>
      <c r="I183" s="533"/>
      <c r="J183" s="531"/>
      <c r="K183" s="534"/>
      <c r="L183" s="535"/>
      <c r="M183" s="536"/>
      <c r="N183" s="537"/>
      <c r="O183" s="531"/>
      <c r="P183" s="534"/>
      <c r="Q183" s="535"/>
      <c r="R183" s="536">
        <f>O182/R182</f>
        <v>1.444897959</v>
      </c>
      <c r="S183" s="538">
        <f>IF(Q182=0,0,(S182/Q182))</f>
        <v>-0.08543623693</v>
      </c>
      <c r="T183" s="48"/>
      <c r="U183" s="48"/>
      <c r="V183" s="48"/>
      <c r="W183" s="48"/>
      <c r="X183" s="48"/>
      <c r="Y183" s="48"/>
      <c r="Z183" s="48"/>
      <c r="AA183" s="48"/>
      <c r="AB183" s="48"/>
      <c r="AC183" s="48"/>
      <c r="AD183" s="48"/>
      <c r="AE183" s="48"/>
      <c r="AF183" s="48"/>
      <c r="AG183" s="48"/>
      <c r="AH183" s="48"/>
      <c r="AI183" s="48"/>
      <c r="AJ183" s="48"/>
      <c r="AK183" s="48"/>
      <c r="AL183" s="48"/>
      <c r="AM183" s="48"/>
      <c r="AN183" s="48"/>
    </row>
    <row r="184" ht="15.75" customHeight="1">
      <c r="A184" s="5" t="s">
        <v>151</v>
      </c>
      <c r="B184" s="48" t="s">
        <v>899</v>
      </c>
      <c r="C184" s="500"/>
      <c r="D184" s="11"/>
      <c r="E184" s="11"/>
      <c r="F184" s="502"/>
      <c r="G184" s="500"/>
      <c r="H184" s="11"/>
      <c r="I184" s="502"/>
      <c r="J184" s="500"/>
      <c r="K184" s="503"/>
      <c r="L184" s="504"/>
      <c r="M184" s="525"/>
      <c r="N184" s="507"/>
      <c r="O184" s="500"/>
      <c r="P184" s="503"/>
      <c r="Q184" s="504"/>
      <c r="R184" s="525"/>
      <c r="S184" s="507"/>
      <c r="T184" s="48"/>
      <c r="U184" s="48"/>
      <c r="V184" s="48"/>
      <c r="W184" s="48"/>
      <c r="X184" s="48"/>
      <c r="Y184" s="48"/>
      <c r="Z184" s="48"/>
      <c r="AA184" s="48"/>
      <c r="AB184" s="48"/>
      <c r="AC184" s="48"/>
      <c r="AD184" s="48"/>
      <c r="AE184" s="48"/>
      <c r="AF184" s="48"/>
      <c r="AG184" s="48"/>
      <c r="AH184" s="48"/>
      <c r="AI184" s="48"/>
      <c r="AJ184" s="48"/>
      <c r="AK184" s="48"/>
      <c r="AL184" s="48"/>
      <c r="AM184" s="48"/>
      <c r="AN184" s="48"/>
    </row>
    <row r="185" ht="15.75" customHeight="1">
      <c r="A185" s="5" t="s">
        <v>858</v>
      </c>
      <c r="B185" s="48" t="s">
        <v>899</v>
      </c>
      <c r="C185" s="541" t="s">
        <v>110</v>
      </c>
      <c r="D185" s="48"/>
      <c r="E185" s="41"/>
      <c r="F185" s="484"/>
      <c r="G185" s="480"/>
      <c r="H185" s="41"/>
      <c r="I185" s="484"/>
      <c r="J185" s="480"/>
      <c r="K185" s="542"/>
      <c r="L185" s="484"/>
      <c r="M185" s="480"/>
      <c r="N185" s="514"/>
      <c r="O185" s="515"/>
      <c r="P185" s="483"/>
      <c r="Q185" s="484"/>
      <c r="R185" s="480"/>
      <c r="S185" s="514"/>
      <c r="T185" s="48"/>
      <c r="U185" s="48"/>
      <c r="V185" s="48"/>
      <c r="W185" s="48"/>
      <c r="X185" s="48"/>
      <c r="Y185" s="48"/>
      <c r="Z185" s="48"/>
      <c r="AA185" s="48"/>
      <c r="AB185" s="48"/>
      <c r="AC185" s="48"/>
      <c r="AD185" s="48"/>
      <c r="AE185" s="48"/>
      <c r="AF185" s="48"/>
      <c r="AG185" s="48"/>
      <c r="AH185" s="48"/>
      <c r="AI185" s="48"/>
      <c r="AJ185" s="48"/>
      <c r="AK185" s="48"/>
      <c r="AL185" s="48"/>
      <c r="AM185" s="48"/>
      <c r="AN185" s="48"/>
    </row>
    <row r="186" ht="15.75" customHeight="1">
      <c r="A186" s="5" t="s">
        <v>859</v>
      </c>
      <c r="B186" s="48" t="s">
        <v>899</v>
      </c>
      <c r="C186" s="480" t="s">
        <v>111</v>
      </c>
      <c r="D186" s="515" t="str">
        <f>F186/F182</f>
        <v>#REF!</v>
      </c>
      <c r="E186" s="483" t="str">
        <f>IF($J$97=0,0,F186/(D$94+D$95+D182))</f>
        <v>#N/A</v>
      </c>
      <c r="F186" s="481">
        <v>0.0</v>
      </c>
      <c r="G186" s="515"/>
      <c r="H186" s="483"/>
      <c r="I186" s="481"/>
      <c r="J186" s="515">
        <f>L186/L182</f>
        <v>0.2906333672</v>
      </c>
      <c r="K186" s="483">
        <f>IF($J$97=0,0,L186/(J$94+J$95+J182))</f>
        <v>303.427164</v>
      </c>
      <c r="L186" s="484">
        <v>205420.19</v>
      </c>
      <c r="M186" s="480"/>
      <c r="N186" s="484">
        <f t="shared" ref="N186:N227" si="59">L186-F186</f>
        <v>205420.19</v>
      </c>
      <c r="O186" s="515">
        <f>Q186/Q182</f>
        <v>0</v>
      </c>
      <c r="P186" s="483">
        <f>IF($J$97=0,0,Q186/(O$94+O$95+O182))</f>
        <v>0</v>
      </c>
      <c r="Q186" s="484">
        <v>0.0</v>
      </c>
      <c r="R186" s="480"/>
      <c r="S186" s="484">
        <f t="shared" ref="S186:S227" si="60">L186-Q186</f>
        <v>205420.19</v>
      </c>
      <c r="T186" s="48"/>
      <c r="U186" s="48"/>
      <c r="V186" s="48"/>
      <c r="W186" s="48"/>
      <c r="X186" s="48"/>
      <c r="Y186" s="48"/>
      <c r="Z186" s="48"/>
      <c r="AA186" s="48"/>
      <c r="AB186" s="48"/>
      <c r="AC186" s="48"/>
      <c r="AD186" s="48"/>
      <c r="AE186" s="48"/>
      <c r="AF186" s="48"/>
      <c r="AG186" s="48"/>
      <c r="AH186" s="48"/>
      <c r="AI186" s="48"/>
      <c r="AJ186" s="48"/>
      <c r="AK186" s="48"/>
      <c r="AL186" s="48"/>
      <c r="AM186" s="48"/>
      <c r="AN186" s="48"/>
    </row>
    <row r="187" ht="15.75" customHeight="1">
      <c r="A187" s="5" t="s">
        <v>861</v>
      </c>
      <c r="B187" s="48" t="s">
        <v>899</v>
      </c>
      <c r="C187" s="471" t="s">
        <v>112</v>
      </c>
      <c r="D187" s="545" t="str">
        <f>F187/(F182)</f>
        <v>#REF!</v>
      </c>
      <c r="E187" s="513" t="str">
        <f>IF($J$97=0,0,F187/(D$94+D$95+D182))</f>
        <v>#N/A</v>
      </c>
      <c r="F187" s="473">
        <v>0.0</v>
      </c>
      <c r="G187" s="545"/>
      <c r="H187" s="513"/>
      <c r="I187" s="473"/>
      <c r="J187" s="545">
        <f>L187/(L182)</f>
        <v>0</v>
      </c>
      <c r="K187" s="513">
        <f>IF($J$97=0,0,L187/(J$94+J$95+J182))</f>
        <v>0</v>
      </c>
      <c r="L187" s="484">
        <v>0.0</v>
      </c>
      <c r="M187" s="471"/>
      <c r="N187" s="476">
        <f t="shared" si="59"/>
        <v>0</v>
      </c>
      <c r="O187" s="545">
        <f>Q187/(Q182)</f>
        <v>0</v>
      </c>
      <c r="P187" s="513">
        <f>IF($J$97=0,0,Q187/(O$94+O$95+O182))</f>
        <v>0</v>
      </c>
      <c r="Q187" s="484">
        <v>0.0</v>
      </c>
      <c r="R187" s="471"/>
      <c r="S187" s="476">
        <f t="shared" si="60"/>
        <v>0</v>
      </c>
      <c r="T187" s="48"/>
      <c r="U187" s="48"/>
      <c r="V187" s="48"/>
      <c r="W187" s="48"/>
      <c r="X187" s="48"/>
      <c r="Y187" s="48"/>
      <c r="Z187" s="48"/>
      <c r="AA187" s="48"/>
      <c r="AB187" s="48"/>
      <c r="AC187" s="48"/>
      <c r="AD187" s="48"/>
      <c r="AE187" s="48"/>
      <c r="AF187" s="48"/>
      <c r="AG187" s="48"/>
      <c r="AH187" s="48"/>
      <c r="AI187" s="48"/>
      <c r="AJ187" s="48"/>
      <c r="AK187" s="48"/>
      <c r="AL187" s="48"/>
      <c r="AM187" s="48"/>
      <c r="AN187" s="48"/>
    </row>
    <row r="188" ht="15.75" customHeight="1">
      <c r="A188" s="5" t="s">
        <v>862</v>
      </c>
      <c r="B188" s="48" t="s">
        <v>899</v>
      </c>
      <c r="C188" s="480" t="s">
        <v>113</v>
      </c>
      <c r="D188" s="480"/>
      <c r="E188" s="483" t="str">
        <f>IF($J$97=0,0,F188/(D$94+D$95+D182))</f>
        <v>#N/A</v>
      </c>
      <c r="F188" s="481">
        <v>0.0</v>
      </c>
      <c r="G188" s="547"/>
      <c r="H188" s="483"/>
      <c r="I188" s="481"/>
      <c r="J188" s="480"/>
      <c r="K188" s="483">
        <f>IF($J$97=0,0,L188/(J$94+J$95+J182))</f>
        <v>8.520856721</v>
      </c>
      <c r="L188" s="523">
        <v>5768.62</v>
      </c>
      <c r="M188" s="480"/>
      <c r="N188" s="484">
        <f t="shared" si="59"/>
        <v>5768.62</v>
      </c>
      <c r="O188" s="480"/>
      <c r="P188" s="483">
        <f>IF($J$97=0,0,Q188/(O$94+O$95+O182))</f>
        <v>77.62189974</v>
      </c>
      <c r="Q188" s="523">
        <v>29418.7</v>
      </c>
      <c r="R188" s="480"/>
      <c r="S188" s="484">
        <f t="shared" si="60"/>
        <v>-23650.08</v>
      </c>
      <c r="T188" s="48"/>
      <c r="U188" s="48"/>
      <c r="V188" s="48"/>
      <c r="W188" s="481"/>
      <c r="X188" s="48"/>
      <c r="Y188" s="48"/>
      <c r="Z188" s="48"/>
      <c r="AA188" s="48"/>
      <c r="AB188" s="48"/>
      <c r="AC188" s="48"/>
      <c r="AD188" s="48"/>
      <c r="AE188" s="48"/>
      <c r="AF188" s="48"/>
      <c r="AG188" s="48"/>
      <c r="AH188" s="48"/>
      <c r="AI188" s="48"/>
      <c r="AJ188" s="48"/>
      <c r="AK188" s="48"/>
      <c r="AL188" s="48"/>
      <c r="AM188" s="48"/>
      <c r="AN188" s="48"/>
    </row>
    <row r="189" ht="15.75" customHeight="1">
      <c r="A189" s="5" t="s">
        <v>863</v>
      </c>
      <c r="B189" s="48" t="s">
        <v>899</v>
      </c>
      <c r="C189" s="480" t="s">
        <v>114</v>
      </c>
      <c r="D189" s="480"/>
      <c r="E189" s="483" t="str">
        <f>IF($J$97=0,0,F189/(D$94+D$95+D182))</f>
        <v>#N/A</v>
      </c>
      <c r="F189" s="481">
        <v>0.0</v>
      </c>
      <c r="G189" s="547"/>
      <c r="H189" s="483"/>
      <c r="I189" s="481"/>
      <c r="J189" s="480"/>
      <c r="K189" s="483">
        <f>IF($J$97=0,0,L189/(J$94+J$95+J182))</f>
        <v>0</v>
      </c>
      <c r="L189" s="484">
        <v>0.0</v>
      </c>
      <c r="M189" s="480"/>
      <c r="N189" s="484">
        <f t="shared" si="59"/>
        <v>0</v>
      </c>
      <c r="O189" s="480"/>
      <c r="P189" s="483">
        <f>IF($J$97=0,0,Q189/(O$94+O$95+O182))</f>
        <v>0</v>
      </c>
      <c r="Q189" s="484">
        <v>0.0</v>
      </c>
      <c r="R189" s="480"/>
      <c r="S189" s="484">
        <f t="shared" si="60"/>
        <v>0</v>
      </c>
      <c r="T189" s="48"/>
      <c r="U189" s="48"/>
      <c r="V189" s="48"/>
      <c r="W189" s="481"/>
      <c r="X189" s="48"/>
      <c r="Y189" s="48"/>
      <c r="Z189" s="48"/>
      <c r="AA189" s="48"/>
      <c r="AB189" s="48"/>
      <c r="AC189" s="48"/>
      <c r="AD189" s="48"/>
      <c r="AE189" s="48"/>
      <c r="AF189" s="48"/>
      <c r="AG189" s="48"/>
      <c r="AH189" s="48"/>
      <c r="AI189" s="48"/>
      <c r="AJ189" s="48"/>
      <c r="AK189" s="48"/>
      <c r="AL189" s="48"/>
      <c r="AM189" s="48"/>
      <c r="AN189" s="48"/>
    </row>
    <row r="190" ht="15.75" customHeight="1">
      <c r="A190" s="5" t="s">
        <v>864</v>
      </c>
      <c r="B190" s="48" t="s">
        <v>899</v>
      </c>
      <c r="C190" s="471" t="s">
        <v>115</v>
      </c>
      <c r="D190" s="471"/>
      <c r="E190" s="513" t="str">
        <f>IF($J$97=0,0,F190/(D$94+D$95+D182))</f>
        <v>#N/A</v>
      </c>
      <c r="F190" s="473">
        <v>0.0</v>
      </c>
      <c r="G190" s="550"/>
      <c r="H190" s="513"/>
      <c r="I190" s="473"/>
      <c r="J190" s="471"/>
      <c r="K190" s="513">
        <f>IF($J$97=0,0,L190/(J$94+J$95+J182))</f>
        <v>0</v>
      </c>
      <c r="L190" s="476">
        <v>0.0</v>
      </c>
      <c r="M190" s="471"/>
      <c r="N190" s="476">
        <f t="shared" si="59"/>
        <v>0</v>
      </c>
      <c r="O190" s="471"/>
      <c r="P190" s="513">
        <f>IF($J$97=0,0,Q190/(O$94+O$95+O182))</f>
        <v>0</v>
      </c>
      <c r="Q190" s="476">
        <v>0.0</v>
      </c>
      <c r="R190" s="471"/>
      <c r="S190" s="476">
        <f t="shared" si="60"/>
        <v>0</v>
      </c>
      <c r="T190" s="48"/>
      <c r="U190" s="669"/>
      <c r="V190" s="48"/>
      <c r="W190" s="481"/>
      <c r="X190" s="48"/>
      <c r="Y190" s="48"/>
      <c r="Z190" s="48"/>
      <c r="AA190" s="48"/>
      <c r="AB190" s="48"/>
      <c r="AC190" s="48"/>
      <c r="AD190" s="48"/>
      <c r="AE190" s="48"/>
      <c r="AF190" s="48"/>
      <c r="AG190" s="48"/>
      <c r="AH190" s="48"/>
      <c r="AI190" s="48"/>
      <c r="AJ190" s="48"/>
      <c r="AK190" s="48"/>
      <c r="AL190" s="48"/>
      <c r="AM190" s="48"/>
      <c r="AN190" s="48"/>
    </row>
    <row r="191" ht="19.5" customHeight="1">
      <c r="A191" s="5" t="s">
        <v>865</v>
      </c>
      <c r="B191" s="48" t="s">
        <v>899</v>
      </c>
      <c r="C191" s="480" t="s">
        <v>116</v>
      </c>
      <c r="D191" s="480"/>
      <c r="E191" s="483" t="str">
        <f>IF($J$97=0,0,F191/(D$94+D$95+D182))</f>
        <v>#N/A</v>
      </c>
      <c r="F191" s="481">
        <v>0.0</v>
      </c>
      <c r="G191" s="547"/>
      <c r="H191" s="483"/>
      <c r="I191" s="481"/>
      <c r="J191" s="480"/>
      <c r="K191" s="483">
        <f>IF($J$97=0,0,L191/(J$94+J$95+J182))</f>
        <v>0</v>
      </c>
      <c r="L191" s="484">
        <v>0.0</v>
      </c>
      <c r="M191" s="480"/>
      <c r="N191" s="484">
        <f t="shared" si="59"/>
        <v>0</v>
      </c>
      <c r="O191" s="480"/>
      <c r="P191" s="483">
        <f>IF($J$97=0,0,Q191/(O$94+O$95+O182))</f>
        <v>0</v>
      </c>
      <c r="Q191" s="484">
        <v>0.0</v>
      </c>
      <c r="R191" s="480"/>
      <c r="S191" s="484">
        <f t="shared" si="60"/>
        <v>0</v>
      </c>
      <c r="T191" s="48"/>
      <c r="U191" s="669"/>
      <c r="V191" s="48"/>
      <c r="W191" s="481"/>
      <c r="Z191" s="48"/>
      <c r="AA191" s="48"/>
      <c r="AB191" s="48"/>
      <c r="AC191" s="48"/>
      <c r="AD191" s="48"/>
      <c r="AE191" s="48"/>
      <c r="AF191" s="48"/>
      <c r="AG191" s="48"/>
      <c r="AH191" s="48"/>
      <c r="AI191" s="48"/>
      <c r="AJ191" s="48"/>
      <c r="AK191" s="48"/>
      <c r="AL191" s="48"/>
      <c r="AM191" s="48"/>
      <c r="AN191" s="48"/>
    </row>
    <row r="192" ht="15.75" customHeight="1">
      <c r="A192" s="5" t="s">
        <v>866</v>
      </c>
      <c r="B192" s="48" t="s">
        <v>899</v>
      </c>
      <c r="C192" s="480" t="s">
        <v>117</v>
      </c>
      <c r="D192" s="480"/>
      <c r="E192" s="483" t="str">
        <f>IF($J$97=0,0,F192/(D$94+D$95+D182))</f>
        <v>#N/A</v>
      </c>
      <c r="F192" s="481">
        <v>0.0</v>
      </c>
      <c r="G192" s="547"/>
      <c r="H192" s="483"/>
      <c r="I192" s="481"/>
      <c r="J192" s="480"/>
      <c r="K192" s="483">
        <f>IF($J$97=0,0,L192/(J$94+J$95+J182))</f>
        <v>140.6292762</v>
      </c>
      <c r="L192" s="484">
        <v>95206.02</v>
      </c>
      <c r="M192" s="480"/>
      <c r="N192" s="484">
        <f t="shared" si="59"/>
        <v>95206.02</v>
      </c>
      <c r="O192" s="480"/>
      <c r="P192" s="483">
        <f>IF($J$97=0,0,Q192/(O$94+O$95+O182))</f>
        <v>266.1273351</v>
      </c>
      <c r="Q192" s="484">
        <v>100862.26000000001</v>
      </c>
      <c r="R192" s="480"/>
      <c r="S192" s="484">
        <f t="shared" si="60"/>
        <v>-5656.24</v>
      </c>
      <c r="T192" s="48"/>
      <c r="U192" s="48"/>
      <c r="V192" s="48"/>
      <c r="W192" s="481"/>
      <c r="X192" s="48"/>
      <c r="Y192" s="48"/>
      <c r="Z192" s="48"/>
      <c r="AA192" s="48"/>
      <c r="AB192" s="48"/>
      <c r="AC192" s="48"/>
      <c r="AD192" s="48"/>
      <c r="AE192" s="48"/>
      <c r="AF192" s="48"/>
      <c r="AG192" s="48"/>
      <c r="AH192" s="48"/>
      <c r="AI192" s="48"/>
      <c r="AJ192" s="48"/>
      <c r="AK192" s="48"/>
      <c r="AL192" s="48"/>
      <c r="AM192" s="48"/>
      <c r="AN192" s="48"/>
    </row>
    <row r="193" ht="20.25" hidden="1" customHeight="1">
      <c r="A193" s="5" t="s">
        <v>867</v>
      </c>
      <c r="B193" s="48" t="s">
        <v>899</v>
      </c>
      <c r="C193" s="480" t="s">
        <v>56</v>
      </c>
      <c r="D193" s="546"/>
      <c r="E193" s="483" t="str">
        <f t="shared" ref="E193:E195" si="61">F193/D$97</f>
        <v>#DIV/0!</v>
      </c>
      <c r="F193" s="481">
        <v>0.0</v>
      </c>
      <c r="G193" s="547"/>
      <c r="H193" s="483"/>
      <c r="I193" s="481"/>
      <c r="J193" s="480"/>
      <c r="K193" s="483">
        <f t="shared" ref="K193:K195" si="62">IF($J$97=0,0,L193/(J$94+J$95))</f>
        <v>0</v>
      </c>
      <c r="L193" s="485">
        <v>0.0</v>
      </c>
      <c r="M193" s="480"/>
      <c r="N193" s="484">
        <f t="shared" si="59"/>
        <v>0</v>
      </c>
      <c r="O193" s="480"/>
      <c r="P193" s="483">
        <f t="shared" ref="P193:P195" si="63">IF($J$97=0,0,Q193/(O$94+O$95))</f>
        <v>0</v>
      </c>
      <c r="Q193" s="485">
        <v>0.0</v>
      </c>
      <c r="R193" s="480"/>
      <c r="S193" s="484">
        <f t="shared" si="60"/>
        <v>0</v>
      </c>
      <c r="T193" s="48"/>
      <c r="U193" s="48"/>
      <c r="V193" s="48"/>
      <c r="W193" s="48"/>
      <c r="X193" s="48"/>
      <c r="Y193" s="48"/>
      <c r="Z193" s="48"/>
      <c r="AA193" s="48"/>
      <c r="AB193" s="48"/>
      <c r="AC193" s="48"/>
      <c r="AD193" s="48"/>
      <c r="AE193" s="48"/>
      <c r="AF193" s="48"/>
      <c r="AG193" s="48"/>
      <c r="AH193" s="48"/>
      <c r="AI193" s="48"/>
      <c r="AJ193" s="48"/>
      <c r="AK193" s="48"/>
      <c r="AL193" s="48"/>
      <c r="AM193" s="48"/>
      <c r="AN193" s="48"/>
    </row>
    <row r="194" ht="20.25" hidden="1" customHeight="1">
      <c r="A194" s="5" t="s">
        <v>867</v>
      </c>
      <c r="B194" s="48" t="s">
        <v>899</v>
      </c>
      <c r="C194" s="480" t="s">
        <v>56</v>
      </c>
      <c r="D194" s="546"/>
      <c r="E194" s="483" t="str">
        <f t="shared" si="61"/>
        <v>#DIV/0!</v>
      </c>
      <c r="F194" s="481">
        <v>0.0</v>
      </c>
      <c r="G194" s="547"/>
      <c r="H194" s="483"/>
      <c r="I194" s="481"/>
      <c r="J194" s="480"/>
      <c r="K194" s="483">
        <f t="shared" si="62"/>
        <v>0</v>
      </c>
      <c r="L194" s="485">
        <v>0.0</v>
      </c>
      <c r="M194" s="480"/>
      <c r="N194" s="484">
        <f t="shared" si="59"/>
        <v>0</v>
      </c>
      <c r="O194" s="480"/>
      <c r="P194" s="483">
        <f t="shared" si="63"/>
        <v>0</v>
      </c>
      <c r="Q194" s="485">
        <v>0.0</v>
      </c>
      <c r="R194" s="480"/>
      <c r="S194" s="484">
        <f t="shared" si="60"/>
        <v>0</v>
      </c>
      <c r="T194" s="48"/>
      <c r="U194" s="48"/>
      <c r="V194" s="48"/>
      <c r="W194" s="48"/>
      <c r="X194" s="48"/>
      <c r="Y194" s="48"/>
      <c r="Z194" s="48"/>
      <c r="AA194" s="48"/>
      <c r="AB194" s="48"/>
      <c r="AC194" s="48"/>
      <c r="AD194" s="48"/>
      <c r="AE194" s="48"/>
      <c r="AF194" s="48"/>
      <c r="AG194" s="48"/>
      <c r="AH194" s="48"/>
      <c r="AI194" s="48"/>
      <c r="AJ194" s="48"/>
      <c r="AK194" s="48"/>
      <c r="AL194" s="48"/>
      <c r="AM194" s="48"/>
      <c r="AN194" s="48"/>
    </row>
    <row r="195" ht="20.25" hidden="1" customHeight="1">
      <c r="A195" s="5" t="s">
        <v>867</v>
      </c>
      <c r="B195" s="48" t="s">
        <v>899</v>
      </c>
      <c r="C195" s="480" t="s">
        <v>56</v>
      </c>
      <c r="D195" s="546"/>
      <c r="E195" s="483" t="str">
        <f t="shared" si="61"/>
        <v>#DIV/0!</v>
      </c>
      <c r="F195" s="481">
        <v>0.0</v>
      </c>
      <c r="G195" s="547"/>
      <c r="H195" s="483"/>
      <c r="I195" s="481"/>
      <c r="J195" s="480"/>
      <c r="K195" s="483">
        <f t="shared" si="62"/>
        <v>0</v>
      </c>
      <c r="L195" s="485">
        <v>0.0</v>
      </c>
      <c r="M195" s="480"/>
      <c r="N195" s="484">
        <f t="shared" si="59"/>
        <v>0</v>
      </c>
      <c r="O195" s="480"/>
      <c r="P195" s="483">
        <f t="shared" si="63"/>
        <v>0</v>
      </c>
      <c r="Q195" s="485">
        <v>0.0</v>
      </c>
      <c r="R195" s="480"/>
      <c r="S195" s="484">
        <f t="shared" si="60"/>
        <v>0</v>
      </c>
      <c r="T195" s="48"/>
      <c r="U195" s="48"/>
      <c r="V195" s="48"/>
      <c r="W195" s="48"/>
      <c r="X195" s="48"/>
      <c r="Y195" s="48"/>
      <c r="Z195" s="48"/>
      <c r="AA195" s="48"/>
      <c r="AB195" s="48"/>
      <c r="AC195" s="48"/>
      <c r="AD195" s="48"/>
      <c r="AE195" s="48"/>
      <c r="AF195" s="48"/>
      <c r="AG195" s="48"/>
      <c r="AH195" s="48"/>
      <c r="AI195" s="48"/>
      <c r="AJ195" s="48"/>
      <c r="AK195" s="48"/>
      <c r="AL195" s="48"/>
      <c r="AM195" s="48"/>
      <c r="AN195" s="48"/>
    </row>
    <row r="196" ht="18.0" customHeight="1">
      <c r="A196" s="5" t="s">
        <v>868</v>
      </c>
      <c r="B196" s="48" t="s">
        <v>899</v>
      </c>
      <c r="C196" s="552" t="s">
        <v>118</v>
      </c>
      <c r="D196" s="553" t="s">
        <v>225</v>
      </c>
      <c r="E196" s="554" t="str">
        <f>F196/F$109</f>
        <v>#DIV/0!</v>
      </c>
      <c r="F196" s="555">
        <f>SUM(F186:F195)</f>
        <v>0</v>
      </c>
      <c r="G196" s="556"/>
      <c r="H196" s="554"/>
      <c r="I196" s="555"/>
      <c r="J196" s="556" t="s">
        <v>225</v>
      </c>
      <c r="K196" s="554">
        <f>L196/L$109</f>
        <v>5.626577543</v>
      </c>
      <c r="L196" s="555">
        <f>SUM(L186:L195)</f>
        <v>306394.83</v>
      </c>
      <c r="M196" s="557"/>
      <c r="N196" s="555">
        <f t="shared" si="59"/>
        <v>306394.83</v>
      </c>
      <c r="O196" s="556" t="s">
        <v>225</v>
      </c>
      <c r="P196" s="554">
        <f>Q196/Q$109</f>
        <v>1.316109013</v>
      </c>
      <c r="Q196" s="555">
        <f>SUM(Q186:Q195)</f>
        <v>130280.96</v>
      </c>
      <c r="R196" s="558"/>
      <c r="S196" s="555">
        <f t="shared" si="60"/>
        <v>176113.87</v>
      </c>
      <c r="T196" s="48"/>
      <c r="U196" s="48"/>
      <c r="V196" s="48"/>
      <c r="W196" s="48"/>
      <c r="X196" s="48"/>
      <c r="Y196" s="48"/>
      <c r="Z196" s="48"/>
      <c r="AA196" s="48"/>
      <c r="AB196" s="48"/>
      <c r="AC196" s="48"/>
      <c r="AD196" s="48"/>
      <c r="AE196" s="48"/>
      <c r="AF196" s="48"/>
      <c r="AG196" s="48"/>
      <c r="AH196" s="48"/>
      <c r="AI196" s="48"/>
      <c r="AJ196" s="48"/>
      <c r="AK196" s="48"/>
      <c r="AL196" s="48"/>
      <c r="AM196" s="48"/>
      <c r="AN196" s="48"/>
    </row>
    <row r="197" ht="15.75" customHeight="1">
      <c r="A197" s="5" t="s">
        <v>869</v>
      </c>
      <c r="B197" s="48" t="s">
        <v>899</v>
      </c>
      <c r="C197" s="559" t="s">
        <v>119</v>
      </c>
      <c r="D197" s="48"/>
      <c r="E197" s="48"/>
      <c r="F197" s="481">
        <v>0.0</v>
      </c>
      <c r="G197" s="480"/>
      <c r="H197" s="48"/>
      <c r="I197" s="481"/>
      <c r="J197" s="480"/>
      <c r="K197" s="48"/>
      <c r="L197" s="484">
        <v>78316.0</v>
      </c>
      <c r="M197" s="480"/>
      <c r="N197" s="484">
        <f t="shared" si="59"/>
        <v>78316</v>
      </c>
      <c r="O197" s="480"/>
      <c r="P197" s="48"/>
      <c r="Q197" s="484">
        <v>188211.71</v>
      </c>
      <c r="R197" s="480"/>
      <c r="S197" s="484">
        <f t="shared" si="60"/>
        <v>-109895.71</v>
      </c>
      <c r="T197" s="48"/>
      <c r="U197" s="48"/>
      <c r="V197" s="48"/>
      <c r="W197" s="48"/>
      <c r="X197" s="48"/>
      <c r="Y197" s="48"/>
      <c r="Z197" s="48"/>
      <c r="AA197" s="48"/>
      <c r="AB197" s="48"/>
      <c r="AC197" s="48"/>
      <c r="AD197" s="48"/>
      <c r="AE197" s="48"/>
      <c r="AF197" s="48"/>
      <c r="AG197" s="48"/>
      <c r="AH197" s="48"/>
      <c r="AI197" s="48"/>
      <c r="AJ197" s="48"/>
      <c r="AK197" s="48"/>
      <c r="AL197" s="48"/>
      <c r="AM197" s="48"/>
      <c r="AN197" s="48"/>
    </row>
    <row r="198" ht="15.75" customHeight="1">
      <c r="A198" s="5" t="s">
        <v>870</v>
      </c>
      <c r="B198" s="48" t="s">
        <v>899</v>
      </c>
      <c r="C198" s="560" t="s">
        <v>120</v>
      </c>
      <c r="D198" s="546"/>
      <c r="E198" s="48"/>
      <c r="F198" s="473">
        <v>0.0</v>
      </c>
      <c r="G198" s="547"/>
      <c r="H198" s="48"/>
      <c r="I198" s="473"/>
      <c r="J198" s="480"/>
      <c r="K198" s="48"/>
      <c r="L198" s="484">
        <v>16291.989999999998</v>
      </c>
      <c r="M198" s="480"/>
      <c r="N198" s="484">
        <f t="shared" si="59"/>
        <v>16291.99</v>
      </c>
      <c r="O198" s="480"/>
      <c r="P198" s="48"/>
      <c r="Q198" s="484">
        <v>33214.96</v>
      </c>
      <c r="R198" s="480"/>
      <c r="S198" s="484">
        <f t="shared" si="60"/>
        <v>-16922.97</v>
      </c>
      <c r="T198" s="48"/>
      <c r="U198" s="48"/>
      <c r="V198" s="48"/>
      <c r="W198" s="48"/>
      <c r="X198" s="48"/>
      <c r="Y198" s="48"/>
      <c r="Z198" s="48"/>
      <c r="AA198" s="48"/>
      <c r="AB198" s="48"/>
      <c r="AC198" s="48"/>
      <c r="AD198" s="48"/>
      <c r="AE198" s="48"/>
      <c r="AF198" s="48"/>
      <c r="AG198" s="48"/>
      <c r="AH198" s="48"/>
      <c r="AI198" s="48"/>
      <c r="AJ198" s="48"/>
      <c r="AK198" s="48"/>
      <c r="AL198" s="48"/>
      <c r="AM198" s="48"/>
      <c r="AN198" s="48"/>
    </row>
    <row r="199" ht="15.75" customHeight="1">
      <c r="A199" s="5" t="s">
        <v>871</v>
      </c>
      <c r="B199" s="48" t="s">
        <v>899</v>
      </c>
      <c r="C199" s="559" t="s">
        <v>121</v>
      </c>
      <c r="D199" s="561"/>
      <c r="E199" s="562"/>
      <c r="F199" s="481">
        <v>0.0</v>
      </c>
      <c r="G199" s="563"/>
      <c r="H199" s="562"/>
      <c r="I199" s="481"/>
      <c r="J199" s="466"/>
      <c r="K199" s="562"/>
      <c r="L199" s="523">
        <v>-26434.07</v>
      </c>
      <c r="M199" s="466"/>
      <c r="N199" s="523">
        <f t="shared" si="59"/>
        <v>-26434.07</v>
      </c>
      <c r="O199" s="466"/>
      <c r="P199" s="562"/>
      <c r="Q199" s="523">
        <v>160492.02999999997</v>
      </c>
      <c r="R199" s="466"/>
      <c r="S199" s="523">
        <f t="shared" si="60"/>
        <v>-186926.1</v>
      </c>
      <c r="T199" s="48"/>
      <c r="U199" s="48"/>
      <c r="V199" s="48"/>
      <c r="W199" s="48"/>
      <c r="X199" s="48"/>
      <c r="Y199" s="48"/>
      <c r="Z199" s="48"/>
      <c r="AA199" s="48"/>
      <c r="AB199" s="48"/>
      <c r="AC199" s="48"/>
      <c r="AD199" s="48"/>
      <c r="AE199" s="48"/>
      <c r="AF199" s="48"/>
      <c r="AG199" s="48"/>
      <c r="AH199" s="48"/>
      <c r="AI199" s="48"/>
      <c r="AJ199" s="48"/>
      <c r="AK199" s="48"/>
      <c r="AL199" s="48"/>
      <c r="AM199" s="48"/>
      <c r="AN199" s="48"/>
    </row>
    <row r="200" ht="20.25" hidden="1" customHeight="1">
      <c r="A200" s="5" t="s">
        <v>872</v>
      </c>
      <c r="B200" s="48" t="s">
        <v>899</v>
      </c>
      <c r="C200" s="559" t="s">
        <v>122</v>
      </c>
      <c r="D200" s="546"/>
      <c r="E200" s="48"/>
      <c r="F200" s="481">
        <v>0.0</v>
      </c>
      <c r="G200" s="547"/>
      <c r="H200" s="48"/>
      <c r="I200" s="481"/>
      <c r="J200" s="480"/>
      <c r="K200" s="48"/>
      <c r="L200" s="484">
        <v>0.0</v>
      </c>
      <c r="M200" s="480"/>
      <c r="N200" s="484">
        <f t="shared" si="59"/>
        <v>0</v>
      </c>
      <c r="O200" s="480"/>
      <c r="P200" s="48"/>
      <c r="Q200" s="484">
        <v>0.0</v>
      </c>
      <c r="R200" s="480"/>
      <c r="S200" s="484">
        <f t="shared" si="60"/>
        <v>0</v>
      </c>
      <c r="T200" s="48"/>
      <c r="U200" s="48"/>
      <c r="V200" s="48"/>
      <c r="W200" s="48"/>
      <c r="X200" s="48"/>
      <c r="Y200" s="48"/>
      <c r="Z200" s="48"/>
      <c r="AA200" s="48"/>
      <c r="AB200" s="48"/>
      <c r="AC200" s="48"/>
      <c r="AD200" s="48"/>
      <c r="AE200" s="48"/>
      <c r="AF200" s="48"/>
      <c r="AG200" s="48"/>
      <c r="AH200" s="48"/>
      <c r="AI200" s="48"/>
      <c r="AJ200" s="48"/>
      <c r="AK200" s="48"/>
      <c r="AL200" s="48"/>
      <c r="AM200" s="48"/>
      <c r="AN200" s="48"/>
    </row>
    <row r="201" ht="20.25" hidden="1" customHeight="1">
      <c r="A201" s="5" t="s">
        <v>867</v>
      </c>
      <c r="B201" s="48" t="s">
        <v>899</v>
      </c>
      <c r="C201" s="559" t="s">
        <v>56</v>
      </c>
      <c r="D201" s="546"/>
      <c r="E201" s="48"/>
      <c r="F201" s="481">
        <v>0.0</v>
      </c>
      <c r="G201" s="547"/>
      <c r="H201" s="48"/>
      <c r="I201" s="481"/>
      <c r="J201" s="480"/>
      <c r="K201" s="48"/>
      <c r="L201" s="484">
        <v>0.0</v>
      </c>
      <c r="M201" s="480"/>
      <c r="N201" s="484">
        <f t="shared" si="59"/>
        <v>0</v>
      </c>
      <c r="O201" s="480"/>
      <c r="P201" s="48"/>
      <c r="Q201" s="484">
        <v>0.0</v>
      </c>
      <c r="R201" s="480"/>
      <c r="S201" s="484">
        <f t="shared" si="60"/>
        <v>0</v>
      </c>
      <c r="T201" s="48"/>
      <c r="U201" s="48"/>
      <c r="V201" s="48"/>
      <c r="W201" s="48"/>
      <c r="X201" s="48"/>
      <c r="Y201" s="48"/>
      <c r="Z201" s="48"/>
      <c r="AA201" s="48"/>
      <c r="AB201" s="48"/>
      <c r="AC201" s="48"/>
      <c r="AD201" s="48"/>
      <c r="AE201" s="48"/>
      <c r="AF201" s="48"/>
      <c r="AG201" s="48"/>
      <c r="AH201" s="48"/>
      <c r="AI201" s="48"/>
      <c r="AJ201" s="48"/>
      <c r="AK201" s="48"/>
      <c r="AL201" s="48"/>
      <c r="AM201" s="48"/>
      <c r="AN201" s="48"/>
    </row>
    <row r="202" ht="20.25" hidden="1" customHeight="1">
      <c r="A202" s="5" t="s">
        <v>867</v>
      </c>
      <c r="B202" s="48" t="s">
        <v>899</v>
      </c>
      <c r="C202" s="559" t="s">
        <v>56</v>
      </c>
      <c r="D202" s="546"/>
      <c r="E202" s="48"/>
      <c r="F202" s="481">
        <v>0.0</v>
      </c>
      <c r="G202" s="547"/>
      <c r="H202" s="48"/>
      <c r="I202" s="481"/>
      <c r="J202" s="480"/>
      <c r="K202" s="48"/>
      <c r="L202" s="484">
        <v>0.0</v>
      </c>
      <c r="M202" s="480"/>
      <c r="N202" s="484">
        <f t="shared" si="59"/>
        <v>0</v>
      </c>
      <c r="O202" s="480"/>
      <c r="P202" s="48"/>
      <c r="Q202" s="484">
        <v>0.0</v>
      </c>
      <c r="R202" s="480"/>
      <c r="S202" s="484">
        <f t="shared" si="60"/>
        <v>0</v>
      </c>
      <c r="T202" s="48"/>
      <c r="U202" s="48"/>
      <c r="V202" s="48"/>
      <c r="W202" s="48"/>
      <c r="X202" s="48"/>
      <c r="Y202" s="48"/>
      <c r="Z202" s="48"/>
      <c r="AA202" s="48"/>
      <c r="AB202" s="48"/>
      <c r="AC202" s="48"/>
      <c r="AD202" s="48"/>
      <c r="AE202" s="48"/>
      <c r="AF202" s="48"/>
      <c r="AG202" s="48"/>
      <c r="AH202" s="48"/>
      <c r="AI202" s="48"/>
      <c r="AJ202" s="48"/>
      <c r="AK202" s="48"/>
      <c r="AL202" s="48"/>
      <c r="AM202" s="48"/>
      <c r="AN202" s="48"/>
    </row>
    <row r="203" ht="20.25" hidden="1" customHeight="1">
      <c r="A203" s="5" t="s">
        <v>867</v>
      </c>
      <c r="B203" s="48" t="s">
        <v>899</v>
      </c>
      <c r="C203" s="559" t="s">
        <v>56</v>
      </c>
      <c r="D203" s="546"/>
      <c r="E203" s="48"/>
      <c r="F203" s="481">
        <v>0.0</v>
      </c>
      <c r="G203" s="547"/>
      <c r="H203" s="48"/>
      <c r="I203" s="481"/>
      <c r="J203" s="480"/>
      <c r="K203" s="48"/>
      <c r="L203" s="484">
        <v>0.0</v>
      </c>
      <c r="M203" s="480"/>
      <c r="N203" s="484">
        <f t="shared" si="59"/>
        <v>0</v>
      </c>
      <c r="O203" s="480"/>
      <c r="P203" s="48"/>
      <c r="Q203" s="484">
        <v>0.0</v>
      </c>
      <c r="R203" s="480"/>
      <c r="S203" s="484">
        <f t="shared" si="60"/>
        <v>0</v>
      </c>
      <c r="T203" s="48"/>
      <c r="U203" s="48"/>
      <c r="V203" s="48"/>
      <c r="W203" s="48"/>
      <c r="X203" s="48"/>
      <c r="Y203" s="48"/>
      <c r="Z203" s="48"/>
      <c r="AA203" s="48"/>
      <c r="AB203" s="48"/>
      <c r="AC203" s="48"/>
      <c r="AD203" s="48"/>
      <c r="AE203" s="48"/>
      <c r="AF203" s="48"/>
      <c r="AG203" s="48"/>
      <c r="AH203" s="48"/>
      <c r="AI203" s="48"/>
      <c r="AJ203" s="48"/>
      <c r="AK203" s="48"/>
      <c r="AL203" s="48"/>
      <c r="AM203" s="48"/>
      <c r="AN203" s="48"/>
    </row>
    <row r="204" ht="15.75" customHeight="1">
      <c r="A204" s="5" t="s">
        <v>873</v>
      </c>
      <c r="B204" s="48" t="s">
        <v>899</v>
      </c>
      <c r="C204" s="560" t="s">
        <v>123</v>
      </c>
      <c r="D204" s="546"/>
      <c r="E204" s="48"/>
      <c r="F204" s="481">
        <v>0.0</v>
      </c>
      <c r="G204" s="547"/>
      <c r="H204" s="48"/>
      <c r="I204" s="481"/>
      <c r="J204" s="480"/>
      <c r="K204" s="48"/>
      <c r="L204" s="484">
        <v>7038.470000000001</v>
      </c>
      <c r="M204" s="480"/>
      <c r="N204" s="484">
        <f t="shared" si="59"/>
        <v>7038.47</v>
      </c>
      <c r="O204" s="480"/>
      <c r="P204" s="48"/>
      <c r="Q204" s="484">
        <v>8620.3</v>
      </c>
      <c r="R204" s="480"/>
      <c r="S204" s="484">
        <f t="shared" si="60"/>
        <v>-1581.83</v>
      </c>
      <c r="T204" s="48"/>
      <c r="U204" s="48"/>
      <c r="V204" s="48"/>
      <c r="W204" s="48"/>
      <c r="X204" s="48"/>
      <c r="Y204" s="48"/>
      <c r="Z204" s="48"/>
      <c r="AA204" s="48"/>
      <c r="AB204" s="48"/>
      <c r="AC204" s="48"/>
      <c r="AD204" s="48"/>
      <c r="AE204" s="48"/>
      <c r="AF204" s="48"/>
      <c r="AG204" s="48"/>
      <c r="AH204" s="48"/>
      <c r="AI204" s="48"/>
      <c r="AJ204" s="48"/>
      <c r="AK204" s="48"/>
      <c r="AL204" s="48"/>
      <c r="AM204" s="48"/>
      <c r="AN204" s="48"/>
    </row>
    <row r="205" ht="15.75" customHeight="1">
      <c r="A205" s="5" t="s">
        <v>874</v>
      </c>
      <c r="B205" s="48" t="s">
        <v>899</v>
      </c>
      <c r="C205" s="559" t="s">
        <v>124</v>
      </c>
      <c r="D205" s="561"/>
      <c r="E205" s="562"/>
      <c r="F205" s="519">
        <v>0.0</v>
      </c>
      <c r="G205" s="563"/>
      <c r="H205" s="562"/>
      <c r="I205" s="519"/>
      <c r="J205" s="466"/>
      <c r="K205" s="562"/>
      <c r="L205" s="523">
        <v>17610.489999999998</v>
      </c>
      <c r="M205" s="466"/>
      <c r="N205" s="523">
        <f t="shared" si="59"/>
        <v>17610.49</v>
      </c>
      <c r="O205" s="466"/>
      <c r="P205" s="562"/>
      <c r="Q205" s="523">
        <v>8220.300000000001</v>
      </c>
      <c r="R205" s="466"/>
      <c r="S205" s="523">
        <f t="shared" si="60"/>
        <v>9390.19</v>
      </c>
      <c r="T205" s="48"/>
      <c r="U205" s="48"/>
      <c r="V205" s="48"/>
      <c r="W205" s="48"/>
      <c r="X205" s="48"/>
      <c r="Y205" s="48"/>
      <c r="Z205" s="48"/>
      <c r="AA205" s="48"/>
      <c r="AB205" s="48"/>
      <c r="AC205" s="48"/>
      <c r="AD205" s="48"/>
      <c r="AE205" s="48"/>
      <c r="AF205" s="48"/>
      <c r="AG205" s="48"/>
      <c r="AH205" s="48"/>
      <c r="AI205" s="48"/>
      <c r="AJ205" s="48"/>
      <c r="AK205" s="48"/>
      <c r="AL205" s="48"/>
      <c r="AM205" s="48"/>
      <c r="AN205" s="48"/>
    </row>
    <row r="206" ht="15.75" customHeight="1">
      <c r="A206" s="5" t="s">
        <v>875</v>
      </c>
      <c r="B206" s="48" t="s">
        <v>899</v>
      </c>
      <c r="C206" s="559" t="s">
        <v>125</v>
      </c>
      <c r="D206" s="546"/>
      <c r="E206" s="48"/>
      <c r="F206" s="481">
        <v>0.0</v>
      </c>
      <c r="G206" s="547"/>
      <c r="H206" s="48"/>
      <c r="I206" s="481"/>
      <c r="J206" s="480"/>
      <c r="K206" s="48"/>
      <c r="L206" s="484">
        <v>1521.9399999999996</v>
      </c>
      <c r="M206" s="480"/>
      <c r="N206" s="484">
        <f t="shared" si="59"/>
        <v>1521.94</v>
      </c>
      <c r="O206" s="480"/>
      <c r="P206" s="48"/>
      <c r="Q206" s="484">
        <v>12733.869999999999</v>
      </c>
      <c r="R206" s="480"/>
      <c r="S206" s="484">
        <f t="shared" si="60"/>
        <v>-11211.93</v>
      </c>
      <c r="T206" s="48"/>
      <c r="U206" s="48"/>
      <c r="V206" s="48"/>
      <c r="W206" s="48"/>
      <c r="X206" s="48"/>
      <c r="Y206" s="48"/>
      <c r="Z206" s="48"/>
      <c r="AA206" s="48"/>
      <c r="AB206" s="48"/>
      <c r="AC206" s="48"/>
      <c r="AD206" s="48"/>
      <c r="AE206" s="48"/>
      <c r="AF206" s="48"/>
      <c r="AG206" s="48"/>
      <c r="AH206" s="48"/>
      <c r="AI206" s="48"/>
      <c r="AJ206" s="48"/>
      <c r="AK206" s="48"/>
      <c r="AL206" s="48"/>
      <c r="AM206" s="48"/>
      <c r="AN206" s="48"/>
    </row>
    <row r="207" ht="15.75" customHeight="1">
      <c r="A207" s="5" t="s">
        <v>876</v>
      </c>
      <c r="B207" s="48" t="s">
        <v>899</v>
      </c>
      <c r="C207" s="559" t="s">
        <v>126</v>
      </c>
      <c r="D207" s="546"/>
      <c r="E207" s="48"/>
      <c r="F207" s="481">
        <v>0.0</v>
      </c>
      <c r="G207" s="547"/>
      <c r="H207" s="48"/>
      <c r="I207" s="481"/>
      <c r="J207" s="480"/>
      <c r="K207" s="48"/>
      <c r="L207" s="484">
        <v>417.89</v>
      </c>
      <c r="M207" s="480"/>
      <c r="N207" s="484">
        <f t="shared" si="59"/>
        <v>417.89</v>
      </c>
      <c r="O207" s="480"/>
      <c r="P207" s="48"/>
      <c r="Q207" s="484">
        <v>0.0</v>
      </c>
      <c r="R207" s="480"/>
      <c r="S207" s="484">
        <f t="shared" si="60"/>
        <v>417.89</v>
      </c>
      <c r="T207" s="48"/>
      <c r="U207" s="48"/>
      <c r="V207" s="48"/>
      <c r="W207" s="48"/>
      <c r="X207" s="48"/>
      <c r="Y207" s="48"/>
      <c r="Z207" s="48"/>
      <c r="AA207" s="48"/>
      <c r="AB207" s="48"/>
      <c r="AC207" s="48"/>
      <c r="AD207" s="48"/>
      <c r="AE207" s="48"/>
      <c r="AF207" s="48"/>
      <c r="AG207" s="48"/>
      <c r="AH207" s="48"/>
      <c r="AI207" s="48"/>
      <c r="AJ207" s="48"/>
      <c r="AK207" s="48"/>
      <c r="AL207" s="48"/>
      <c r="AM207" s="48"/>
      <c r="AN207" s="48"/>
    </row>
    <row r="208" ht="20.25" hidden="1" customHeight="1">
      <c r="A208" s="5" t="s">
        <v>867</v>
      </c>
      <c r="B208" s="48" t="s">
        <v>899</v>
      </c>
      <c r="C208" s="480" t="s">
        <v>56</v>
      </c>
      <c r="D208" s="549"/>
      <c r="E208" s="564"/>
      <c r="F208" s="481">
        <v>0.0</v>
      </c>
      <c r="G208" s="550"/>
      <c r="H208" s="564"/>
      <c r="I208" s="481"/>
      <c r="J208" s="471"/>
      <c r="K208" s="564"/>
      <c r="L208" s="484">
        <v>0.0</v>
      </c>
      <c r="M208" s="471"/>
      <c r="N208" s="476">
        <f t="shared" si="59"/>
        <v>0</v>
      </c>
      <c r="O208" s="471"/>
      <c r="P208" s="564"/>
      <c r="Q208" s="484">
        <v>0.0</v>
      </c>
      <c r="R208" s="471"/>
      <c r="S208" s="476">
        <f t="shared" si="60"/>
        <v>0</v>
      </c>
      <c r="T208" s="48"/>
      <c r="U208" s="48"/>
      <c r="V208" s="48"/>
      <c r="W208" s="48"/>
      <c r="X208" s="48"/>
      <c r="Y208" s="48"/>
      <c r="Z208" s="48"/>
      <c r="AA208" s="48"/>
      <c r="AB208" s="48"/>
      <c r="AC208" s="48"/>
      <c r="AD208" s="48"/>
      <c r="AE208" s="48"/>
      <c r="AF208" s="48"/>
      <c r="AG208" s="48"/>
      <c r="AH208" s="48"/>
      <c r="AI208" s="48"/>
      <c r="AJ208" s="48"/>
      <c r="AK208" s="48"/>
      <c r="AL208" s="48"/>
      <c r="AM208" s="48"/>
      <c r="AN208" s="48"/>
    </row>
    <row r="209" ht="18.0" customHeight="1">
      <c r="A209" s="5" t="s">
        <v>877</v>
      </c>
      <c r="B209" s="48" t="s">
        <v>899</v>
      </c>
      <c r="C209" s="552" t="s">
        <v>127</v>
      </c>
      <c r="D209" s="553" t="s">
        <v>225</v>
      </c>
      <c r="E209" s="554" t="str">
        <f>F209/F$109</f>
        <v>#DIV/0!</v>
      </c>
      <c r="F209" s="555">
        <f>+SUM(F197:F208)</f>
        <v>0</v>
      </c>
      <c r="G209" s="556"/>
      <c r="H209" s="554"/>
      <c r="I209" s="555"/>
      <c r="J209" s="556" t="s">
        <v>225</v>
      </c>
      <c r="K209" s="554">
        <f>L209/L$109</f>
        <v>1.740204742</v>
      </c>
      <c r="L209" s="555">
        <f>SUM(L197:L208)</f>
        <v>94762.71</v>
      </c>
      <c r="M209" s="557"/>
      <c r="N209" s="555">
        <f t="shared" si="59"/>
        <v>94762.71</v>
      </c>
      <c r="O209" s="556" t="s">
        <v>225</v>
      </c>
      <c r="P209" s="554">
        <f>Q209/Q$109</f>
        <v>4.156937974</v>
      </c>
      <c r="Q209" s="555">
        <f>SUM(Q197:Q208)</f>
        <v>411493.17</v>
      </c>
      <c r="R209" s="558"/>
      <c r="S209" s="555">
        <f t="shared" si="60"/>
        <v>-316730.46</v>
      </c>
      <c r="T209" s="48"/>
      <c r="U209" s="48"/>
      <c r="V209" s="48"/>
      <c r="W209" s="48"/>
      <c r="X209" s="48"/>
      <c r="Y209" s="48"/>
      <c r="Z209" s="48"/>
      <c r="AA209" s="48"/>
      <c r="AB209" s="48"/>
      <c r="AC209" s="48"/>
      <c r="AD209" s="48"/>
      <c r="AE209" s="48"/>
      <c r="AF209" s="48"/>
      <c r="AG209" s="48"/>
      <c r="AH209" s="48"/>
      <c r="AI209" s="48"/>
      <c r="AJ209" s="48"/>
      <c r="AK209" s="48"/>
      <c r="AL209" s="48"/>
      <c r="AM209" s="48"/>
      <c r="AN209" s="48"/>
    </row>
    <row r="210" ht="20.25" hidden="1" customHeight="1">
      <c r="A210" s="5" t="s">
        <v>878</v>
      </c>
      <c r="B210" s="48" t="s">
        <v>899</v>
      </c>
      <c r="C210" s="480" t="s">
        <v>128</v>
      </c>
      <c r="D210" s="546"/>
      <c r="E210" s="48"/>
      <c r="F210" s="481">
        <v>0.0</v>
      </c>
      <c r="G210" s="547"/>
      <c r="H210" s="48"/>
      <c r="I210" s="481"/>
      <c r="J210" s="480"/>
      <c r="K210" s="48"/>
      <c r="L210" s="484">
        <v>0.0</v>
      </c>
      <c r="M210" s="480"/>
      <c r="N210" s="484">
        <f t="shared" si="59"/>
        <v>0</v>
      </c>
      <c r="O210" s="480"/>
      <c r="P210" s="48"/>
      <c r="Q210" s="484">
        <v>0.0</v>
      </c>
      <c r="R210" s="480"/>
      <c r="S210" s="484">
        <f t="shared" si="60"/>
        <v>0</v>
      </c>
      <c r="T210" s="48"/>
      <c r="U210" s="48"/>
      <c r="V210" s="48"/>
      <c r="W210" s="48"/>
      <c r="X210" s="48"/>
      <c r="Y210" s="48"/>
      <c r="Z210" s="48"/>
      <c r="AA210" s="48"/>
      <c r="AB210" s="48"/>
      <c r="AC210" s="48"/>
      <c r="AD210" s="48"/>
      <c r="AE210" s="48"/>
      <c r="AF210" s="48"/>
      <c r="AG210" s="48"/>
      <c r="AH210" s="48"/>
      <c r="AI210" s="48"/>
      <c r="AJ210" s="48"/>
      <c r="AK210" s="48"/>
      <c r="AL210" s="48"/>
      <c r="AM210" s="48"/>
      <c r="AN210" s="48"/>
    </row>
    <row r="211" ht="20.25" hidden="1" customHeight="1">
      <c r="A211" s="5" t="s">
        <v>879</v>
      </c>
      <c r="B211" s="48" t="s">
        <v>899</v>
      </c>
      <c r="C211" s="480" t="s">
        <v>129</v>
      </c>
      <c r="D211" s="546"/>
      <c r="E211" s="48"/>
      <c r="F211" s="481">
        <v>0.0</v>
      </c>
      <c r="G211" s="547"/>
      <c r="H211" s="48"/>
      <c r="I211" s="481"/>
      <c r="J211" s="480"/>
      <c r="K211" s="48"/>
      <c r="L211" s="484">
        <v>0.0</v>
      </c>
      <c r="M211" s="480"/>
      <c r="N211" s="484">
        <f t="shared" si="59"/>
        <v>0</v>
      </c>
      <c r="O211" s="480"/>
      <c r="P211" s="48"/>
      <c r="Q211" s="484">
        <v>0.0</v>
      </c>
      <c r="R211" s="480"/>
      <c r="S211" s="484">
        <f t="shared" si="60"/>
        <v>0</v>
      </c>
      <c r="T211" s="48"/>
      <c r="U211" s="48"/>
      <c r="V211" s="48"/>
      <c r="W211" s="48"/>
      <c r="X211" s="48"/>
      <c r="Y211" s="48"/>
      <c r="Z211" s="48"/>
      <c r="AA211" s="48"/>
      <c r="AB211" s="48"/>
      <c r="AC211" s="48"/>
      <c r="AD211" s="48"/>
      <c r="AE211" s="48"/>
      <c r="AF211" s="48"/>
      <c r="AG211" s="48"/>
      <c r="AH211" s="48"/>
      <c r="AI211" s="48"/>
      <c r="AJ211" s="48"/>
      <c r="AK211" s="48"/>
      <c r="AL211" s="48"/>
      <c r="AM211" s="48"/>
      <c r="AN211" s="48"/>
    </row>
    <row r="212" ht="15.75" customHeight="1">
      <c r="A212" s="5" t="s">
        <v>880</v>
      </c>
      <c r="B212" s="48" t="s">
        <v>899</v>
      </c>
      <c r="C212" s="471" t="s">
        <v>130</v>
      </c>
      <c r="D212" s="549"/>
      <c r="E212" s="564"/>
      <c r="F212" s="473">
        <v>0.0</v>
      </c>
      <c r="G212" s="550"/>
      <c r="H212" s="564"/>
      <c r="I212" s="473"/>
      <c r="J212" s="471"/>
      <c r="K212" s="564"/>
      <c r="L212" s="476">
        <v>1750.0</v>
      </c>
      <c r="M212" s="471"/>
      <c r="N212" s="476">
        <f t="shared" si="59"/>
        <v>1750</v>
      </c>
      <c r="O212" s="471"/>
      <c r="P212" s="564"/>
      <c r="Q212" s="476">
        <v>0.0</v>
      </c>
      <c r="R212" s="471"/>
      <c r="S212" s="476">
        <f t="shared" si="60"/>
        <v>1750</v>
      </c>
      <c r="T212" s="48"/>
      <c r="U212" s="48"/>
      <c r="V212" s="48"/>
      <c r="W212" s="48"/>
      <c r="X212" s="48"/>
      <c r="Y212" s="48"/>
      <c r="Z212" s="48"/>
      <c r="AA212" s="48"/>
      <c r="AB212" s="48"/>
      <c r="AC212" s="48"/>
      <c r="AD212" s="48"/>
      <c r="AE212" s="48"/>
      <c r="AF212" s="48"/>
      <c r="AG212" s="48"/>
      <c r="AH212" s="48"/>
      <c r="AI212" s="48"/>
      <c r="AJ212" s="48"/>
      <c r="AK212" s="48"/>
      <c r="AL212" s="48"/>
      <c r="AM212" s="48"/>
      <c r="AN212" s="48"/>
    </row>
    <row r="213" ht="15.75" customHeight="1">
      <c r="A213" s="5" t="s">
        <v>881</v>
      </c>
      <c r="B213" s="48" t="s">
        <v>899</v>
      </c>
      <c r="C213" s="480" t="s">
        <v>131</v>
      </c>
      <c r="D213" s="546"/>
      <c r="E213" s="48"/>
      <c r="F213" s="481">
        <v>0.0</v>
      </c>
      <c r="G213" s="547"/>
      <c r="H213" s="48"/>
      <c r="I213" s="481"/>
      <c r="J213" s="480"/>
      <c r="K213" s="48"/>
      <c r="L213" s="484">
        <v>0.0</v>
      </c>
      <c r="M213" s="480"/>
      <c r="N213" s="484">
        <f t="shared" si="59"/>
        <v>0</v>
      </c>
      <c r="O213" s="480"/>
      <c r="P213" s="48"/>
      <c r="Q213" s="484">
        <v>0.0</v>
      </c>
      <c r="R213" s="480"/>
      <c r="S213" s="484">
        <f t="shared" si="60"/>
        <v>0</v>
      </c>
      <c r="T213" s="48"/>
      <c r="U213" s="48"/>
      <c r="V213" s="48"/>
      <c r="W213" s="48"/>
      <c r="X213" s="48"/>
      <c r="Y213" s="48"/>
      <c r="Z213" s="48"/>
      <c r="AA213" s="48"/>
      <c r="AB213" s="48"/>
      <c r="AC213" s="48"/>
      <c r="AD213" s="48"/>
      <c r="AE213" s="48"/>
      <c r="AF213" s="48"/>
      <c r="AG213" s="48"/>
      <c r="AH213" s="48"/>
      <c r="AI213" s="48"/>
      <c r="AJ213" s="48"/>
      <c r="AK213" s="48"/>
      <c r="AL213" s="48"/>
      <c r="AM213" s="48"/>
      <c r="AN213" s="48"/>
    </row>
    <row r="214" ht="15.75" customHeight="1">
      <c r="A214" s="5" t="s">
        <v>882</v>
      </c>
      <c r="B214" s="48" t="s">
        <v>899</v>
      </c>
      <c r="C214" s="480" t="s">
        <v>132</v>
      </c>
      <c r="D214" s="546"/>
      <c r="E214" s="48"/>
      <c r="F214" s="481">
        <v>0.0</v>
      </c>
      <c r="G214" s="547"/>
      <c r="H214" s="48"/>
      <c r="I214" s="481"/>
      <c r="J214" s="480"/>
      <c r="K214" s="48"/>
      <c r="L214" s="484">
        <v>477.5600000000002</v>
      </c>
      <c r="M214" s="480"/>
      <c r="N214" s="484">
        <f t="shared" si="59"/>
        <v>477.56</v>
      </c>
      <c r="O214" s="480"/>
      <c r="P214" s="48"/>
      <c r="Q214" s="484">
        <v>0.0</v>
      </c>
      <c r="R214" s="480"/>
      <c r="S214" s="484">
        <f t="shared" si="60"/>
        <v>477.56</v>
      </c>
      <c r="T214" s="602"/>
      <c r="U214" s="48"/>
      <c r="V214" s="48"/>
      <c r="W214" s="48"/>
      <c r="X214" s="48"/>
      <c r="Y214" s="48"/>
      <c r="Z214" s="48"/>
      <c r="AA214" s="48"/>
      <c r="AB214" s="48"/>
      <c r="AC214" s="48"/>
      <c r="AD214" s="48"/>
      <c r="AE214" s="48"/>
      <c r="AF214" s="48"/>
      <c r="AG214" s="48"/>
      <c r="AH214" s="48"/>
      <c r="AI214" s="48"/>
      <c r="AJ214" s="48"/>
      <c r="AK214" s="48"/>
      <c r="AL214" s="48"/>
      <c r="AM214" s="48"/>
      <c r="AN214" s="48"/>
    </row>
    <row r="215" ht="15.75" customHeight="1">
      <c r="A215" s="5" t="s">
        <v>883</v>
      </c>
      <c r="B215" s="48" t="s">
        <v>899</v>
      </c>
      <c r="C215" s="471" t="s">
        <v>133</v>
      </c>
      <c r="D215" s="549"/>
      <c r="E215" s="564"/>
      <c r="F215" s="473">
        <v>0.0</v>
      </c>
      <c r="G215" s="550"/>
      <c r="H215" s="564"/>
      <c r="I215" s="473"/>
      <c r="J215" s="471"/>
      <c r="K215" s="564"/>
      <c r="L215" s="476">
        <v>488.65999999999997</v>
      </c>
      <c r="M215" s="471"/>
      <c r="N215" s="476">
        <f t="shared" si="59"/>
        <v>488.66</v>
      </c>
      <c r="O215" s="471"/>
      <c r="P215" s="564"/>
      <c r="Q215" s="476">
        <v>331.8</v>
      </c>
      <c r="R215" s="471"/>
      <c r="S215" s="476">
        <f t="shared" si="60"/>
        <v>156.86</v>
      </c>
      <c r="T215" s="48"/>
      <c r="U215" s="669"/>
      <c r="V215" s="48"/>
      <c r="W215" s="48"/>
      <c r="X215" s="48"/>
      <c r="Y215" s="48"/>
      <c r="Z215" s="48"/>
      <c r="AA215" s="48"/>
      <c r="AB215" s="48"/>
      <c r="AC215" s="48"/>
      <c r="AD215" s="48"/>
      <c r="AE215" s="48"/>
      <c r="AF215" s="48"/>
      <c r="AG215" s="48"/>
      <c r="AH215" s="48"/>
      <c r="AI215" s="48"/>
      <c r="AJ215" s="48"/>
      <c r="AK215" s="48"/>
      <c r="AL215" s="48"/>
      <c r="AM215" s="48"/>
      <c r="AN215" s="48"/>
    </row>
    <row r="216" ht="15.75" customHeight="1">
      <c r="A216" s="5" t="s">
        <v>884</v>
      </c>
      <c r="B216" s="48" t="s">
        <v>899</v>
      </c>
      <c r="C216" s="480" t="s">
        <v>134</v>
      </c>
      <c r="D216" s="546"/>
      <c r="E216" s="48"/>
      <c r="F216" s="481">
        <v>0.0</v>
      </c>
      <c r="G216" s="547"/>
      <c r="H216" s="48"/>
      <c r="I216" s="481"/>
      <c r="J216" s="480"/>
      <c r="K216" s="48"/>
      <c r="L216" s="484">
        <v>0.0</v>
      </c>
      <c r="M216" s="480"/>
      <c r="N216" s="484">
        <f t="shared" si="59"/>
        <v>0</v>
      </c>
      <c r="O216" s="480"/>
      <c r="P216" s="48"/>
      <c r="Q216" s="484">
        <v>0.0</v>
      </c>
      <c r="R216" s="480"/>
      <c r="S216" s="484">
        <f t="shared" si="60"/>
        <v>0</v>
      </c>
      <c r="T216" s="48"/>
      <c r="U216" s="48"/>
      <c r="V216" s="48"/>
      <c r="W216" s="48"/>
      <c r="X216" s="48"/>
      <c r="Y216" s="48"/>
      <c r="Z216" s="48"/>
      <c r="AA216" s="48"/>
      <c r="AB216" s="48"/>
      <c r="AC216" s="48"/>
      <c r="AD216" s="48"/>
      <c r="AE216" s="48"/>
      <c r="AF216" s="48"/>
      <c r="AG216" s="48"/>
      <c r="AH216" s="48"/>
      <c r="AI216" s="48"/>
      <c r="AJ216" s="48"/>
      <c r="AK216" s="48"/>
      <c r="AL216" s="48"/>
      <c r="AM216" s="48"/>
      <c r="AN216" s="48"/>
    </row>
    <row r="217" ht="15.75" customHeight="1">
      <c r="A217" s="5" t="s">
        <v>885</v>
      </c>
      <c r="B217" s="48" t="s">
        <v>899</v>
      </c>
      <c r="C217" s="480" t="s">
        <v>135</v>
      </c>
      <c r="D217" s="546"/>
      <c r="E217" s="48"/>
      <c r="F217" s="481">
        <v>0.0</v>
      </c>
      <c r="G217" s="547"/>
      <c r="H217" s="48"/>
      <c r="I217" s="481"/>
      <c r="J217" s="480"/>
      <c r="K217" s="48"/>
      <c r="L217" s="484">
        <v>0.0</v>
      </c>
      <c r="M217" s="480"/>
      <c r="N217" s="484">
        <f t="shared" si="59"/>
        <v>0</v>
      </c>
      <c r="O217" s="480"/>
      <c r="P217" s="48"/>
      <c r="Q217" s="484">
        <v>0.0</v>
      </c>
      <c r="R217" s="480"/>
      <c r="S217" s="484">
        <f t="shared" si="60"/>
        <v>0</v>
      </c>
      <c r="T217" s="48"/>
      <c r="U217" s="669"/>
      <c r="V217" s="48"/>
      <c r="W217" s="48"/>
      <c r="X217" s="48"/>
      <c r="Y217" s="48"/>
      <c r="Z217" s="48"/>
      <c r="AA217" s="48"/>
      <c r="AB217" s="48"/>
      <c r="AC217" s="48"/>
      <c r="AD217" s="48"/>
      <c r="AE217" s="48"/>
      <c r="AF217" s="48"/>
      <c r="AG217" s="48"/>
      <c r="AH217" s="48"/>
      <c r="AI217" s="48"/>
      <c r="AJ217" s="48"/>
      <c r="AK217" s="48"/>
      <c r="AL217" s="48"/>
      <c r="AM217" s="48"/>
      <c r="AN217" s="48"/>
    </row>
    <row r="218" ht="15.75" customHeight="1">
      <c r="A218" s="5" t="s">
        <v>886</v>
      </c>
      <c r="B218" s="48" t="s">
        <v>899</v>
      </c>
      <c r="C218" s="480" t="s">
        <v>136</v>
      </c>
      <c r="D218" s="546"/>
      <c r="E218" s="48"/>
      <c r="F218" s="481">
        <v>0.0</v>
      </c>
      <c r="G218" s="547"/>
      <c r="H218" s="48"/>
      <c r="I218" s="481"/>
      <c r="J218" s="480"/>
      <c r="K218" s="48"/>
      <c r="L218" s="484">
        <v>1489.0</v>
      </c>
      <c r="M218" s="480"/>
      <c r="N218" s="484">
        <f t="shared" si="59"/>
        <v>1489</v>
      </c>
      <c r="O218" s="480"/>
      <c r="P218" s="48"/>
      <c r="Q218" s="484">
        <v>895.3699999999999</v>
      </c>
      <c r="R218" s="480"/>
      <c r="S218" s="484">
        <f t="shared" si="60"/>
        <v>593.63</v>
      </c>
      <c r="T218" s="48"/>
      <c r="U218" s="48"/>
      <c r="V218" s="48"/>
      <c r="W218" s="48"/>
      <c r="X218" s="48"/>
      <c r="Y218" s="48"/>
      <c r="Z218" s="48"/>
      <c r="AA218" s="48"/>
      <c r="AB218" s="48"/>
      <c r="AC218" s="48"/>
      <c r="AD218" s="48"/>
      <c r="AE218" s="48"/>
      <c r="AF218" s="48"/>
      <c r="AG218" s="48"/>
      <c r="AH218" s="48"/>
      <c r="AI218" s="48"/>
      <c r="AJ218" s="48"/>
      <c r="AK218" s="48"/>
      <c r="AL218" s="48"/>
      <c r="AM218" s="48"/>
      <c r="AN218" s="48"/>
    </row>
    <row r="219" ht="15.75" customHeight="1">
      <c r="A219" s="5" t="s">
        <v>887</v>
      </c>
      <c r="B219" s="48" t="s">
        <v>899</v>
      </c>
      <c r="C219" s="480" t="s">
        <v>137</v>
      </c>
      <c r="D219" s="546"/>
      <c r="E219" s="48"/>
      <c r="F219" s="481">
        <v>0.0</v>
      </c>
      <c r="G219" s="547"/>
      <c r="H219" s="48"/>
      <c r="I219" s="481"/>
      <c r="J219" s="480"/>
      <c r="K219" s="48"/>
      <c r="L219" s="484">
        <v>630.0</v>
      </c>
      <c r="M219" s="480"/>
      <c r="N219" s="484">
        <f t="shared" si="59"/>
        <v>630</v>
      </c>
      <c r="O219" s="480"/>
      <c r="P219" s="48"/>
      <c r="Q219" s="484">
        <v>390.04999999999995</v>
      </c>
      <c r="R219" s="480"/>
      <c r="S219" s="484">
        <f t="shared" si="60"/>
        <v>239.95</v>
      </c>
      <c r="T219" s="48"/>
      <c r="U219" s="48"/>
      <c r="V219" s="48"/>
      <c r="W219" s="48"/>
      <c r="X219" s="48"/>
      <c r="Y219" s="48"/>
      <c r="Z219" s="48"/>
      <c r="AA219" s="48"/>
      <c r="AB219" s="48"/>
      <c r="AC219" s="48"/>
      <c r="AD219" s="48"/>
      <c r="AE219" s="48"/>
      <c r="AF219" s="48"/>
      <c r="AG219" s="48"/>
      <c r="AH219" s="48"/>
      <c r="AI219" s="48"/>
      <c r="AJ219" s="48"/>
      <c r="AK219" s="48"/>
      <c r="AL219" s="48"/>
      <c r="AM219" s="48"/>
      <c r="AN219" s="48"/>
    </row>
    <row r="220" ht="15.75" customHeight="1">
      <c r="A220" s="5" t="s">
        <v>888</v>
      </c>
      <c r="B220" s="48" t="s">
        <v>899</v>
      </c>
      <c r="C220" s="480" t="s">
        <v>138</v>
      </c>
      <c r="D220" s="546"/>
      <c r="E220" s="48"/>
      <c r="F220" s="481">
        <v>0.0</v>
      </c>
      <c r="G220" s="547"/>
      <c r="H220" s="48"/>
      <c r="I220" s="481"/>
      <c r="J220" s="480"/>
      <c r="K220" s="48"/>
      <c r="L220" s="484">
        <v>2226.81</v>
      </c>
      <c r="M220" s="480"/>
      <c r="N220" s="484">
        <f t="shared" si="59"/>
        <v>2226.81</v>
      </c>
      <c r="O220" s="480"/>
      <c r="P220" s="48"/>
      <c r="Q220" s="484">
        <v>2225.0899999999997</v>
      </c>
      <c r="R220" s="480"/>
      <c r="S220" s="484">
        <f t="shared" si="60"/>
        <v>1.72</v>
      </c>
      <c r="T220" s="48"/>
      <c r="U220" s="48"/>
      <c r="V220" s="48"/>
      <c r="W220" s="48"/>
      <c r="X220" s="48"/>
      <c r="Y220" s="48"/>
      <c r="Z220" s="48"/>
      <c r="AA220" s="48"/>
      <c r="AB220" s="48"/>
      <c r="AC220" s="48"/>
      <c r="AD220" s="48"/>
      <c r="AE220" s="48"/>
      <c r="AF220" s="48"/>
      <c r="AG220" s="48"/>
      <c r="AH220" s="48"/>
      <c r="AI220" s="48"/>
      <c r="AJ220" s="48"/>
      <c r="AK220" s="48"/>
      <c r="AL220" s="48"/>
      <c r="AM220" s="48"/>
      <c r="AN220" s="48"/>
    </row>
    <row r="221" ht="15.75" customHeight="1">
      <c r="A221" s="5" t="s">
        <v>889</v>
      </c>
      <c r="B221" s="48" t="s">
        <v>899</v>
      </c>
      <c r="C221" s="480" t="s">
        <v>139</v>
      </c>
      <c r="D221" s="546"/>
      <c r="E221" s="48"/>
      <c r="F221" s="481">
        <v>0.0</v>
      </c>
      <c r="G221" s="547"/>
      <c r="H221" s="48"/>
      <c r="I221" s="481"/>
      <c r="J221" s="480"/>
      <c r="K221" s="48"/>
      <c r="L221" s="484">
        <v>0.0</v>
      </c>
      <c r="M221" s="480"/>
      <c r="N221" s="484">
        <f t="shared" si="59"/>
        <v>0</v>
      </c>
      <c r="O221" s="480"/>
      <c r="P221" s="48"/>
      <c r="Q221" s="484">
        <v>79.9</v>
      </c>
      <c r="R221" s="480"/>
      <c r="S221" s="484">
        <f t="shared" si="60"/>
        <v>-79.9</v>
      </c>
      <c r="T221" s="48"/>
      <c r="U221" s="48"/>
      <c r="V221" s="48"/>
      <c r="W221" s="48"/>
      <c r="X221" s="48"/>
      <c r="Y221" s="48"/>
      <c r="Z221" s="48"/>
      <c r="AA221" s="48"/>
      <c r="AB221" s="48"/>
      <c r="AC221" s="48"/>
      <c r="AD221" s="48"/>
      <c r="AE221" s="48"/>
      <c r="AF221" s="48"/>
      <c r="AG221" s="48"/>
      <c r="AH221" s="48"/>
      <c r="AI221" s="48"/>
      <c r="AJ221" s="48"/>
      <c r="AK221" s="48"/>
      <c r="AL221" s="48"/>
      <c r="AM221" s="48"/>
      <c r="AN221" s="48"/>
    </row>
    <row r="222" ht="15.75" customHeight="1">
      <c r="A222" s="5" t="s">
        <v>890</v>
      </c>
      <c r="B222" s="48" t="s">
        <v>899</v>
      </c>
      <c r="C222" s="480" t="s">
        <v>140</v>
      </c>
      <c r="D222" s="546"/>
      <c r="E222" s="48"/>
      <c r="F222" s="481">
        <v>0.0</v>
      </c>
      <c r="G222" s="547"/>
      <c r="H222" s="48"/>
      <c r="I222" s="481"/>
      <c r="J222" s="480"/>
      <c r="K222" s="48"/>
      <c r="L222" s="484">
        <v>0.0</v>
      </c>
      <c r="M222" s="480"/>
      <c r="N222" s="484">
        <f t="shared" si="59"/>
        <v>0</v>
      </c>
      <c r="O222" s="480"/>
      <c r="P222" s="48"/>
      <c r="Q222" s="484">
        <v>0.0</v>
      </c>
      <c r="R222" s="480"/>
      <c r="S222" s="484">
        <f t="shared" si="60"/>
        <v>0</v>
      </c>
      <c r="T222" s="48"/>
      <c r="X222" s="48"/>
      <c r="Y222" s="48"/>
      <c r="Z222" s="48"/>
      <c r="AA222" s="48"/>
      <c r="AB222" s="48"/>
      <c r="AC222" s="48"/>
      <c r="AD222" s="48"/>
      <c r="AE222" s="48"/>
      <c r="AF222" s="48"/>
      <c r="AG222" s="48"/>
      <c r="AH222" s="48"/>
      <c r="AI222" s="48"/>
      <c r="AJ222" s="48"/>
      <c r="AK222" s="48"/>
      <c r="AL222" s="48"/>
      <c r="AM222" s="48"/>
      <c r="AN222" s="48"/>
    </row>
    <row r="223" ht="15.75" customHeight="1">
      <c r="A223" s="5" t="s">
        <v>891</v>
      </c>
      <c r="B223" s="48" t="s">
        <v>899</v>
      </c>
      <c r="C223" s="480" t="s">
        <v>141</v>
      </c>
      <c r="D223" s="546"/>
      <c r="E223" s="48"/>
      <c r="F223" s="481">
        <v>0.0</v>
      </c>
      <c r="G223" s="547"/>
      <c r="H223" s="48"/>
      <c r="I223" s="481"/>
      <c r="J223" s="480"/>
      <c r="K223" s="48"/>
      <c r="L223" s="484">
        <v>17.5</v>
      </c>
      <c r="M223" s="480"/>
      <c r="N223" s="484">
        <f t="shared" si="59"/>
        <v>17.5</v>
      </c>
      <c r="O223" s="480"/>
      <c r="P223" s="48"/>
      <c r="Q223" s="484">
        <v>17.5</v>
      </c>
      <c r="R223" s="480"/>
      <c r="S223" s="484">
        <f t="shared" si="60"/>
        <v>0</v>
      </c>
      <c r="T223" s="483"/>
      <c r="X223" s="48"/>
      <c r="Y223" s="48"/>
      <c r="Z223" s="48"/>
      <c r="AA223" s="48"/>
      <c r="AB223" s="48"/>
      <c r="AC223" s="48"/>
      <c r="AD223" s="48"/>
      <c r="AE223" s="48"/>
      <c r="AF223" s="48"/>
      <c r="AG223" s="48"/>
      <c r="AH223" s="48"/>
      <c r="AI223" s="48"/>
      <c r="AJ223" s="48"/>
      <c r="AK223" s="48"/>
      <c r="AL223" s="48"/>
      <c r="AM223" s="48"/>
      <c r="AN223" s="48"/>
    </row>
    <row r="224" ht="20.25" hidden="1" customHeight="1">
      <c r="A224" s="5" t="s">
        <v>867</v>
      </c>
      <c r="B224" s="48" t="s">
        <v>899</v>
      </c>
      <c r="C224" s="480" t="s">
        <v>56</v>
      </c>
      <c r="D224" s="546"/>
      <c r="E224" s="48"/>
      <c r="F224" s="481">
        <v>0.0</v>
      </c>
      <c r="G224" s="547"/>
      <c r="H224" s="48"/>
      <c r="I224" s="481"/>
      <c r="J224" s="480"/>
      <c r="K224" s="48"/>
      <c r="L224" s="484">
        <v>0.0</v>
      </c>
      <c r="M224" s="480"/>
      <c r="N224" s="484">
        <f t="shared" si="59"/>
        <v>0</v>
      </c>
      <c r="O224" s="480"/>
      <c r="P224" s="48"/>
      <c r="Q224" s="484">
        <v>0.0</v>
      </c>
      <c r="R224" s="480"/>
      <c r="S224" s="484">
        <f t="shared" si="60"/>
        <v>0</v>
      </c>
      <c r="T224" s="48"/>
      <c r="X224" s="48"/>
      <c r="Y224" s="48"/>
      <c r="Z224" s="48"/>
      <c r="AA224" s="48"/>
      <c r="AB224" s="48"/>
      <c r="AC224" s="48"/>
      <c r="AD224" s="48"/>
      <c r="AE224" s="48"/>
      <c r="AF224" s="48"/>
      <c r="AG224" s="48"/>
      <c r="AH224" s="48"/>
      <c r="AI224" s="48"/>
      <c r="AJ224" s="48"/>
      <c r="AK224" s="48"/>
      <c r="AL224" s="48"/>
      <c r="AM224" s="48"/>
      <c r="AN224" s="48"/>
    </row>
    <row r="225" ht="20.25" hidden="1" customHeight="1">
      <c r="A225" s="5" t="s">
        <v>867</v>
      </c>
      <c r="B225" s="48" t="s">
        <v>899</v>
      </c>
      <c r="C225" s="480" t="s">
        <v>56</v>
      </c>
      <c r="D225" s="546"/>
      <c r="E225" s="48"/>
      <c r="F225" s="481">
        <v>0.0</v>
      </c>
      <c r="G225" s="547"/>
      <c r="H225" s="48"/>
      <c r="I225" s="481"/>
      <c r="J225" s="480"/>
      <c r="K225" s="48"/>
      <c r="L225" s="484">
        <v>0.0</v>
      </c>
      <c r="M225" s="480"/>
      <c r="N225" s="484">
        <f t="shared" si="59"/>
        <v>0</v>
      </c>
      <c r="O225" s="480"/>
      <c r="P225" s="48"/>
      <c r="Q225" s="484">
        <v>0.0</v>
      </c>
      <c r="R225" s="480"/>
      <c r="S225" s="484">
        <f t="shared" si="60"/>
        <v>0</v>
      </c>
      <c r="T225" s="48"/>
      <c r="X225" s="48"/>
      <c r="Y225" s="48"/>
      <c r="Z225" s="48"/>
      <c r="AA225" s="48"/>
      <c r="AB225" s="48"/>
      <c r="AC225" s="48"/>
      <c r="AD225" s="48"/>
      <c r="AE225" s="48"/>
      <c r="AF225" s="48"/>
      <c r="AG225" s="48"/>
      <c r="AH225" s="48"/>
      <c r="AI225" s="48"/>
      <c r="AJ225" s="48"/>
      <c r="AK225" s="48"/>
      <c r="AL225" s="48"/>
      <c r="AM225" s="48"/>
      <c r="AN225" s="48"/>
    </row>
    <row r="226" ht="20.25" hidden="1" customHeight="1">
      <c r="A226" s="5" t="s">
        <v>867</v>
      </c>
      <c r="B226" s="48" t="s">
        <v>899</v>
      </c>
      <c r="C226" s="480" t="s">
        <v>56</v>
      </c>
      <c r="D226" s="546"/>
      <c r="E226" s="48"/>
      <c r="F226" s="481">
        <v>0.0</v>
      </c>
      <c r="G226" s="547"/>
      <c r="H226" s="48"/>
      <c r="I226" s="481"/>
      <c r="J226" s="480"/>
      <c r="K226" s="48"/>
      <c r="L226" s="484">
        <v>0.0</v>
      </c>
      <c r="M226" s="480"/>
      <c r="N226" s="484">
        <f t="shared" si="59"/>
        <v>0</v>
      </c>
      <c r="O226" s="480"/>
      <c r="P226" s="48"/>
      <c r="Q226" s="484">
        <v>0.0</v>
      </c>
      <c r="R226" s="480"/>
      <c r="S226" s="484">
        <f t="shared" si="60"/>
        <v>0</v>
      </c>
      <c r="T226" s="483"/>
      <c r="X226" s="48"/>
      <c r="Y226" s="48"/>
      <c r="Z226" s="48"/>
      <c r="AA226" s="48"/>
      <c r="AB226" s="48"/>
      <c r="AC226" s="48"/>
      <c r="AD226" s="48"/>
      <c r="AE226" s="48"/>
      <c r="AF226" s="48"/>
      <c r="AG226" s="48"/>
      <c r="AH226" s="48"/>
      <c r="AI226" s="48"/>
      <c r="AJ226" s="48"/>
      <c r="AK226" s="48"/>
      <c r="AL226" s="48"/>
      <c r="AM226" s="48"/>
      <c r="AN226" s="48"/>
    </row>
    <row r="227" ht="18.0" customHeight="1">
      <c r="A227" s="5" t="s">
        <v>892</v>
      </c>
      <c r="B227" s="48" t="s">
        <v>899</v>
      </c>
      <c r="C227" s="552" t="s">
        <v>142</v>
      </c>
      <c r="D227" s="553" t="s">
        <v>225</v>
      </c>
      <c r="E227" s="554" t="str">
        <f>F227/F$109</f>
        <v>#DIV/0!</v>
      </c>
      <c r="F227" s="555">
        <f>+SUM(F210:F226)</f>
        <v>0</v>
      </c>
      <c r="G227" s="556"/>
      <c r="H227" s="554"/>
      <c r="I227" s="555"/>
      <c r="J227" s="556" t="s">
        <v>225</v>
      </c>
      <c r="K227" s="554">
        <f>L227/L$109</f>
        <v>0.1300071692</v>
      </c>
      <c r="L227" s="555">
        <f>+SUM(L210:L226)</f>
        <v>7079.53</v>
      </c>
      <c r="M227" s="557"/>
      <c r="N227" s="555">
        <f t="shared" si="59"/>
        <v>7079.53</v>
      </c>
      <c r="O227" s="556" t="s">
        <v>225</v>
      </c>
      <c r="P227" s="554">
        <f>Q227/Q$109</f>
        <v>0.03979927566</v>
      </c>
      <c r="Q227" s="555">
        <f>+SUM(Q210:Q226)</f>
        <v>3939.71</v>
      </c>
      <c r="R227" s="558"/>
      <c r="S227" s="555">
        <f t="shared" si="60"/>
        <v>3139.82</v>
      </c>
      <c r="T227" s="48"/>
      <c r="U227" s="48"/>
      <c r="V227" s="48"/>
      <c r="W227" s="48"/>
      <c r="X227" s="48"/>
      <c r="Y227" s="48"/>
      <c r="Z227" s="48"/>
      <c r="AA227" s="48"/>
      <c r="AB227" s="48"/>
      <c r="AC227" s="48"/>
      <c r="AD227" s="48"/>
      <c r="AE227" s="48"/>
      <c r="AF227" s="48"/>
      <c r="AG227" s="48"/>
      <c r="AH227" s="48"/>
      <c r="AI227" s="48"/>
      <c r="AJ227" s="48"/>
      <c r="AK227" s="48"/>
      <c r="AL227" s="48"/>
      <c r="AM227" s="48"/>
      <c r="AN227" s="48"/>
    </row>
    <row r="228" ht="15.75" customHeight="1">
      <c r="A228" s="5" t="s">
        <v>151</v>
      </c>
      <c r="B228" s="48" t="s">
        <v>899</v>
      </c>
      <c r="C228" s="471"/>
      <c r="D228" s="549"/>
      <c r="E228" s="564"/>
      <c r="F228" s="484"/>
      <c r="G228" s="550"/>
      <c r="H228" s="564"/>
      <c r="I228" s="484"/>
      <c r="J228" s="471"/>
      <c r="K228" s="564"/>
      <c r="L228" s="476"/>
      <c r="M228" s="471"/>
      <c r="N228" s="476"/>
      <c r="O228" s="471"/>
      <c r="P228" s="564"/>
      <c r="Q228" s="476"/>
      <c r="R228" s="471"/>
      <c r="S228" s="476"/>
      <c r="T228" s="503"/>
      <c r="U228" s="48"/>
      <c r="V228" s="48"/>
      <c r="W228" s="48"/>
      <c r="X228" s="48"/>
      <c r="Y228" s="48"/>
      <c r="Z228" s="48"/>
      <c r="AA228" s="48"/>
      <c r="AB228" s="48"/>
      <c r="AC228" s="48"/>
      <c r="AD228" s="48"/>
      <c r="AE228" s="48"/>
      <c r="AF228" s="48"/>
      <c r="AG228" s="48"/>
      <c r="AH228" s="48"/>
      <c r="AI228" s="48"/>
      <c r="AJ228" s="48"/>
      <c r="AK228" s="48"/>
      <c r="AL228" s="48"/>
      <c r="AM228" s="48"/>
      <c r="AN228" s="48"/>
    </row>
    <row r="229" ht="18.0" customHeight="1">
      <c r="A229" s="5" t="s">
        <v>893</v>
      </c>
      <c r="B229" s="48" t="s">
        <v>899</v>
      </c>
      <c r="C229" s="552" t="s">
        <v>143</v>
      </c>
      <c r="D229" s="553" t="s">
        <v>225</v>
      </c>
      <c r="E229" s="554" t="str">
        <f>F229/F$109</f>
        <v>#DIV/0!</v>
      </c>
      <c r="F229" s="555">
        <f>F196+F209+F227</f>
        <v>0</v>
      </c>
      <c r="G229" s="556"/>
      <c r="H229" s="554"/>
      <c r="I229" s="555"/>
      <c r="J229" s="556" t="s">
        <v>225</v>
      </c>
      <c r="K229" s="554">
        <f>L229/L$109</f>
        <v>7.496789454</v>
      </c>
      <c r="L229" s="555">
        <f>L196+L209+L227</f>
        <v>408237.07</v>
      </c>
      <c r="M229" s="557"/>
      <c r="N229" s="555">
        <f t="shared" ref="N229:N236" si="64">L229-F229</f>
        <v>408237.07</v>
      </c>
      <c r="O229" s="556" t="s">
        <v>225</v>
      </c>
      <c r="P229" s="554">
        <f>Q229/Q$109</f>
        <v>5.512846263</v>
      </c>
      <c r="Q229" s="555">
        <f>Q196+Q209+Q227</f>
        <v>545713.84</v>
      </c>
      <c r="R229" s="558"/>
      <c r="S229" s="555">
        <f t="shared" ref="S229:S236" si="65">L229-Q229</f>
        <v>-137476.77</v>
      </c>
      <c r="T229" s="48"/>
      <c r="U229" s="48"/>
      <c r="V229" s="48"/>
      <c r="W229" s="48"/>
      <c r="X229" s="48"/>
      <c r="Y229" s="48"/>
      <c r="Z229" s="48"/>
      <c r="AA229" s="48"/>
      <c r="AB229" s="48"/>
      <c r="AC229" s="48"/>
      <c r="AD229" s="48"/>
      <c r="AE229" s="48"/>
      <c r="AF229" s="48"/>
      <c r="AG229" s="48"/>
      <c r="AH229" s="48"/>
      <c r="AI229" s="48"/>
      <c r="AJ229" s="48"/>
      <c r="AK229" s="48"/>
      <c r="AL229" s="48"/>
      <c r="AM229" s="48"/>
      <c r="AN229" s="48"/>
    </row>
    <row r="230" ht="21.0" hidden="1" customHeight="1">
      <c r="A230" s="5" t="s">
        <v>894</v>
      </c>
      <c r="B230" s="48" t="s">
        <v>899</v>
      </c>
      <c r="C230" s="480" t="s">
        <v>158</v>
      </c>
      <c r="D230" s="605"/>
      <c r="E230" s="606"/>
      <c r="F230" s="481">
        <v>0.0</v>
      </c>
      <c r="G230" s="607"/>
      <c r="H230" s="606"/>
      <c r="I230" s="481"/>
      <c r="J230" s="607"/>
      <c r="K230" s="606"/>
      <c r="L230" s="484">
        <v>0.0</v>
      </c>
      <c r="M230" s="480"/>
      <c r="N230" s="484">
        <f t="shared" si="64"/>
        <v>0</v>
      </c>
      <c r="O230" s="607"/>
      <c r="P230" s="606"/>
      <c r="Q230" s="484">
        <v>0.0</v>
      </c>
      <c r="R230" s="480"/>
      <c r="S230" s="484">
        <f t="shared" si="65"/>
        <v>0</v>
      </c>
      <c r="T230" s="503"/>
      <c r="U230" s="48"/>
      <c r="V230" s="48"/>
      <c r="W230" s="48"/>
      <c r="X230" s="48"/>
      <c r="Y230" s="48"/>
      <c r="Z230" s="48"/>
      <c r="AA230" s="48"/>
      <c r="AB230" s="48"/>
      <c r="AC230" s="48"/>
      <c r="AD230" s="48"/>
      <c r="AE230" s="48"/>
      <c r="AF230" s="48"/>
      <c r="AG230" s="48"/>
      <c r="AH230" s="48"/>
      <c r="AI230" s="48"/>
      <c r="AJ230" s="48"/>
      <c r="AK230" s="48"/>
      <c r="AL230" s="48"/>
      <c r="AM230" s="48"/>
      <c r="AN230" s="48"/>
    </row>
    <row r="231" ht="21.0" hidden="1" customHeight="1">
      <c r="A231" s="5" t="s">
        <v>895</v>
      </c>
      <c r="B231" s="48" t="s">
        <v>899</v>
      </c>
      <c r="C231" s="480" t="s">
        <v>159</v>
      </c>
      <c r="D231" s="605"/>
      <c r="E231" s="606"/>
      <c r="F231" s="481">
        <v>0.0</v>
      </c>
      <c r="G231" s="607"/>
      <c r="H231" s="606"/>
      <c r="I231" s="481"/>
      <c r="J231" s="607"/>
      <c r="K231" s="606"/>
      <c r="L231" s="484">
        <v>0.0</v>
      </c>
      <c r="M231" s="480"/>
      <c r="N231" s="484">
        <f t="shared" si="64"/>
        <v>0</v>
      </c>
      <c r="O231" s="607"/>
      <c r="P231" s="606"/>
      <c r="Q231" s="484">
        <v>0.0</v>
      </c>
      <c r="R231" s="480"/>
      <c r="S231" s="484">
        <f t="shared" si="65"/>
        <v>0</v>
      </c>
      <c r="T231" s="503"/>
      <c r="U231" s="48"/>
      <c r="V231" s="48"/>
      <c r="W231" s="48"/>
      <c r="X231" s="48"/>
      <c r="Y231" s="48"/>
      <c r="Z231" s="48"/>
      <c r="AA231" s="48"/>
      <c r="AB231" s="48"/>
      <c r="AC231" s="48"/>
      <c r="AD231" s="48"/>
      <c r="AE231" s="48"/>
      <c r="AF231" s="48"/>
      <c r="AG231" s="48"/>
      <c r="AH231" s="48"/>
      <c r="AI231" s="48"/>
      <c r="AJ231" s="48"/>
      <c r="AK231" s="48"/>
      <c r="AL231" s="48"/>
      <c r="AM231" s="48"/>
      <c r="AN231" s="48"/>
    </row>
    <row r="232" ht="21.0" hidden="1" customHeight="1">
      <c r="A232" s="5" t="s">
        <v>896</v>
      </c>
      <c r="B232" s="48" t="s">
        <v>899</v>
      </c>
      <c r="C232" s="480" t="s">
        <v>160</v>
      </c>
      <c r="D232" s="546"/>
      <c r="E232" s="48"/>
      <c r="F232" s="481">
        <v>0.0</v>
      </c>
      <c r="G232" s="547"/>
      <c r="H232" s="48"/>
      <c r="I232" s="481"/>
      <c r="J232" s="480"/>
      <c r="K232" s="48"/>
      <c r="L232" s="484">
        <v>0.0</v>
      </c>
      <c r="M232" s="480"/>
      <c r="N232" s="484">
        <f t="shared" si="64"/>
        <v>0</v>
      </c>
      <c r="O232" s="480"/>
      <c r="P232" s="48"/>
      <c r="Q232" s="484">
        <v>0.0</v>
      </c>
      <c r="R232" s="480"/>
      <c r="S232" s="484">
        <f t="shared" si="65"/>
        <v>0</v>
      </c>
      <c r="T232" s="503"/>
      <c r="U232" s="48"/>
      <c r="V232" s="48"/>
      <c r="W232" s="48"/>
      <c r="X232" s="48"/>
      <c r="Y232" s="48"/>
      <c r="Z232" s="48"/>
      <c r="AA232" s="48"/>
      <c r="AB232" s="48"/>
      <c r="AC232" s="48"/>
      <c r="AD232" s="48"/>
      <c r="AE232" s="48"/>
      <c r="AF232" s="48"/>
      <c r="AG232" s="48"/>
      <c r="AH232" s="48"/>
      <c r="AI232" s="48"/>
      <c r="AJ232" s="48"/>
      <c r="AK232" s="48"/>
      <c r="AL232" s="48"/>
      <c r="AM232" s="48"/>
      <c r="AN232" s="48"/>
    </row>
    <row r="233" ht="21.0" hidden="1" customHeight="1">
      <c r="A233" s="5" t="s">
        <v>897</v>
      </c>
      <c r="B233" s="48" t="s">
        <v>899</v>
      </c>
      <c r="C233" s="480" t="s">
        <v>148</v>
      </c>
      <c r="D233" s="608" t="str">
        <f>E233/474</f>
        <v>#REF!</v>
      </c>
      <c r="E233" s="567" t="str">
        <f>F233/#REF!</f>
        <v>#REF!</v>
      </c>
      <c r="F233" s="481">
        <v>0.0</v>
      </c>
      <c r="G233" s="547"/>
      <c r="H233" s="48"/>
      <c r="I233" s="481"/>
      <c r="J233" s="570"/>
      <c r="K233" s="567"/>
      <c r="L233" s="484">
        <v>0.0</v>
      </c>
      <c r="M233" s="480"/>
      <c r="N233" s="484">
        <f t="shared" si="64"/>
        <v>0</v>
      </c>
      <c r="O233" s="570"/>
      <c r="P233" s="567"/>
      <c r="Q233" s="484">
        <v>0.0</v>
      </c>
      <c r="R233" s="480"/>
      <c r="S233" s="484">
        <f t="shared" si="65"/>
        <v>0</v>
      </c>
      <c r="T233" s="503"/>
      <c r="U233" s="48"/>
      <c r="V233" s="48"/>
      <c r="W233" s="48"/>
      <c r="X233" s="48"/>
      <c r="Y233" s="48"/>
      <c r="Z233" s="48"/>
      <c r="AA233" s="48"/>
      <c r="AB233" s="48"/>
      <c r="AC233" s="48"/>
      <c r="AD233" s="48"/>
      <c r="AE233" s="48"/>
      <c r="AF233" s="48"/>
      <c r="AG233" s="48"/>
      <c r="AH233" s="48"/>
      <c r="AI233" s="48"/>
      <c r="AJ233" s="48"/>
      <c r="AK233" s="48"/>
      <c r="AL233" s="48"/>
      <c r="AM233" s="48"/>
      <c r="AN233" s="48"/>
    </row>
    <row r="234" ht="21.0" hidden="1" customHeight="1">
      <c r="A234" s="5" t="s">
        <v>867</v>
      </c>
      <c r="B234" s="48" t="s">
        <v>151</v>
      </c>
      <c r="C234" s="480" t="s">
        <v>56</v>
      </c>
      <c r="D234" s="546"/>
      <c r="E234" s="48"/>
      <c r="F234" s="481">
        <v>0.0</v>
      </c>
      <c r="G234" s="547"/>
      <c r="H234" s="48"/>
      <c r="I234" s="481"/>
      <c r="J234" s="480"/>
      <c r="K234" s="48"/>
      <c r="L234" s="484">
        <v>0.0</v>
      </c>
      <c r="M234" s="480"/>
      <c r="N234" s="484">
        <f t="shared" si="64"/>
        <v>0</v>
      </c>
      <c r="O234" s="480"/>
      <c r="P234" s="48"/>
      <c r="Q234" s="484">
        <v>0.0</v>
      </c>
      <c r="R234" s="480"/>
      <c r="S234" s="484">
        <f t="shared" si="65"/>
        <v>0</v>
      </c>
      <c r="T234" s="503"/>
      <c r="U234" s="48"/>
      <c r="V234" s="48"/>
      <c r="W234" s="48"/>
      <c r="X234" s="48"/>
      <c r="Y234" s="48"/>
      <c r="Z234" s="48"/>
      <c r="AA234" s="48"/>
      <c r="AB234" s="48"/>
      <c r="AC234" s="48"/>
      <c r="AD234" s="48"/>
      <c r="AE234" s="48"/>
      <c r="AF234" s="48"/>
      <c r="AG234" s="48"/>
      <c r="AH234" s="48"/>
      <c r="AI234" s="48"/>
      <c r="AJ234" s="48"/>
      <c r="AK234" s="48"/>
      <c r="AL234" s="48"/>
      <c r="AM234" s="48"/>
      <c r="AN234" s="48"/>
    </row>
    <row r="235" ht="21.0" hidden="1" customHeight="1">
      <c r="A235" s="5" t="s">
        <v>867</v>
      </c>
      <c r="B235" s="48" t="s">
        <v>151</v>
      </c>
      <c r="C235" s="480" t="s">
        <v>56</v>
      </c>
      <c r="D235" s="546"/>
      <c r="E235" s="48"/>
      <c r="F235" s="481">
        <v>0.0</v>
      </c>
      <c r="G235" s="547"/>
      <c r="H235" s="48"/>
      <c r="I235" s="481"/>
      <c r="J235" s="480"/>
      <c r="K235" s="48"/>
      <c r="L235" s="484">
        <v>0.0</v>
      </c>
      <c r="M235" s="480"/>
      <c r="N235" s="484">
        <f t="shared" si="64"/>
        <v>0</v>
      </c>
      <c r="O235" s="480"/>
      <c r="P235" s="48"/>
      <c r="Q235" s="484">
        <v>0.0</v>
      </c>
      <c r="R235" s="480"/>
      <c r="S235" s="484">
        <f t="shared" si="65"/>
        <v>0</v>
      </c>
      <c r="T235" s="503"/>
      <c r="U235" s="48"/>
      <c r="V235" s="48"/>
      <c r="W235" s="48"/>
      <c r="X235" s="48"/>
      <c r="Y235" s="48"/>
      <c r="Z235" s="48"/>
      <c r="AA235" s="48"/>
      <c r="AB235" s="48"/>
      <c r="AC235" s="48"/>
      <c r="AD235" s="48"/>
      <c r="AE235" s="48"/>
      <c r="AF235" s="48"/>
      <c r="AG235" s="48"/>
      <c r="AH235" s="48"/>
      <c r="AI235" s="48"/>
      <c r="AJ235" s="48"/>
      <c r="AK235" s="48"/>
      <c r="AL235" s="48"/>
      <c r="AM235" s="48"/>
      <c r="AN235" s="48"/>
    </row>
    <row r="236" ht="21.0" hidden="1" customHeight="1">
      <c r="A236" s="5" t="s">
        <v>867</v>
      </c>
      <c r="B236" s="48" t="s">
        <v>151</v>
      </c>
      <c r="C236" s="471" t="s">
        <v>56</v>
      </c>
      <c r="D236" s="549"/>
      <c r="E236" s="564"/>
      <c r="F236" s="481">
        <v>0.0</v>
      </c>
      <c r="G236" s="547"/>
      <c r="H236" s="48"/>
      <c r="I236" s="481"/>
      <c r="J236" s="480"/>
      <c r="K236" s="48"/>
      <c r="L236" s="484">
        <v>0.0</v>
      </c>
      <c r="M236" s="480"/>
      <c r="N236" s="484">
        <f t="shared" si="64"/>
        <v>0</v>
      </c>
      <c r="O236" s="480"/>
      <c r="P236" s="48"/>
      <c r="Q236" s="484">
        <v>0.0</v>
      </c>
      <c r="R236" s="480"/>
      <c r="S236" s="484">
        <f t="shared" si="65"/>
        <v>0</v>
      </c>
      <c r="T236" s="503"/>
      <c r="U236" s="48"/>
      <c r="V236" s="48"/>
      <c r="W236" s="48"/>
      <c r="X236" s="48"/>
      <c r="Y236" s="48"/>
      <c r="Z236" s="48"/>
      <c r="AA236" s="48"/>
      <c r="AB236" s="48"/>
      <c r="AC236" s="48"/>
      <c r="AD236" s="48"/>
      <c r="AE236" s="48"/>
      <c r="AF236" s="48"/>
      <c r="AG236" s="48"/>
      <c r="AH236" s="48"/>
      <c r="AI236" s="48"/>
      <c r="AJ236" s="48"/>
      <c r="AK236" s="48"/>
      <c r="AL236" s="48"/>
      <c r="AM236" s="48"/>
      <c r="AN236" s="48"/>
    </row>
    <row r="237" ht="18.0" customHeight="1">
      <c r="A237" s="5"/>
      <c r="B237" s="48"/>
      <c r="C237" s="552" t="s">
        <v>149</v>
      </c>
      <c r="D237" s="553"/>
      <c r="E237" s="554"/>
      <c r="F237" s="555">
        <f>+SUM(F230:F236)</f>
        <v>0</v>
      </c>
      <c r="G237" s="556"/>
      <c r="H237" s="554"/>
      <c r="I237" s="555"/>
      <c r="J237" s="556"/>
      <c r="K237" s="554"/>
      <c r="L237" s="555">
        <f>+SUM(L230:L236)</f>
        <v>0</v>
      </c>
      <c r="M237" s="557"/>
      <c r="N237" s="555">
        <f>SUM(N230:N233)</f>
        <v>0</v>
      </c>
      <c r="O237" s="556"/>
      <c r="P237" s="554"/>
      <c r="Q237" s="555">
        <f>+SUM(Q230:Q236)</f>
        <v>0</v>
      </c>
      <c r="R237" s="558"/>
      <c r="S237" s="555">
        <f>+SUM(S230:S236)</f>
        <v>0</v>
      </c>
      <c r="T237" s="48"/>
      <c r="U237" s="48"/>
      <c r="V237" s="48"/>
      <c r="W237" s="48"/>
      <c r="X237" s="48"/>
      <c r="Y237" s="48"/>
      <c r="Z237" s="48"/>
      <c r="AA237" s="48"/>
      <c r="AB237" s="48"/>
      <c r="AC237" s="48"/>
      <c r="AD237" s="48"/>
      <c r="AE237" s="48"/>
      <c r="AF237" s="48"/>
      <c r="AG237" s="48"/>
      <c r="AH237" s="48"/>
      <c r="AI237" s="48"/>
      <c r="AJ237" s="48"/>
      <c r="AK237" s="48"/>
      <c r="AL237" s="48"/>
      <c r="AM237" s="48"/>
      <c r="AN237" s="48"/>
    </row>
    <row r="238" ht="15.75" customHeight="1">
      <c r="B238" s="48"/>
      <c r="C238" s="480"/>
      <c r="D238" s="546"/>
      <c r="E238" s="48"/>
      <c r="F238" s="484"/>
      <c r="G238" s="547"/>
      <c r="H238" s="48"/>
      <c r="I238" s="484"/>
      <c r="J238" s="480"/>
      <c r="K238" s="48"/>
      <c r="L238" s="484"/>
      <c r="M238" s="480"/>
      <c r="N238" s="484"/>
      <c r="O238" s="480"/>
      <c r="P238" s="48"/>
      <c r="Q238" s="484"/>
      <c r="R238" s="480"/>
      <c r="S238" s="484"/>
      <c r="T238" s="606"/>
      <c r="U238" s="48"/>
      <c r="V238" s="48"/>
      <c r="W238" s="48"/>
      <c r="X238" s="48"/>
      <c r="Y238" s="48"/>
      <c r="Z238" s="48"/>
      <c r="AA238" s="48"/>
      <c r="AB238" s="48"/>
      <c r="AC238" s="48"/>
      <c r="AD238" s="48"/>
      <c r="AE238" s="48"/>
      <c r="AF238" s="48"/>
      <c r="AG238" s="48"/>
      <c r="AH238" s="48"/>
      <c r="AI238" s="48"/>
      <c r="AJ238" s="48"/>
      <c r="AK238" s="48"/>
      <c r="AL238" s="48"/>
      <c r="AM238" s="48"/>
      <c r="AN238" s="48"/>
    </row>
    <row r="239" ht="18.0" customHeight="1">
      <c r="A239" s="5"/>
      <c r="B239" s="48"/>
      <c r="C239" s="579" t="s">
        <v>150</v>
      </c>
      <c r="D239" s="580"/>
      <c r="E239" s="581"/>
      <c r="F239" s="582" t="str">
        <f>F182-F229+F237</f>
        <v>#REF!</v>
      </c>
      <c r="G239" s="583"/>
      <c r="H239" s="581"/>
      <c r="I239" s="582"/>
      <c r="J239" s="583"/>
      <c r="K239" s="581"/>
      <c r="L239" s="582">
        <f>L182-L229+L237</f>
        <v>298564.74</v>
      </c>
      <c r="M239" s="584"/>
      <c r="N239" s="582" t="str">
        <f>L239-F239</f>
        <v>#REF!</v>
      </c>
      <c r="O239" s="583"/>
      <c r="P239" s="581"/>
      <c r="Q239" s="582">
        <f>Q182-Q229+Q237</f>
        <v>227115.61</v>
      </c>
      <c r="R239" s="585"/>
      <c r="S239" s="582">
        <f>L239-Q239</f>
        <v>71449.13</v>
      </c>
      <c r="T239" s="48"/>
      <c r="U239" s="48"/>
      <c r="V239" s="48"/>
      <c r="W239" s="48"/>
      <c r="X239" s="48"/>
      <c r="Y239" s="48"/>
      <c r="Z239" s="48"/>
      <c r="AA239" s="48"/>
      <c r="AB239" s="48"/>
      <c r="AC239" s="48"/>
      <c r="AD239" s="48"/>
      <c r="AE239" s="48"/>
      <c r="AF239" s="48"/>
      <c r="AG239" s="48"/>
      <c r="AH239" s="48"/>
      <c r="AI239" s="48"/>
      <c r="AJ239" s="48"/>
      <c r="AK239" s="48"/>
      <c r="AL239" s="48"/>
      <c r="AM239" s="48"/>
      <c r="AN239" s="48"/>
    </row>
    <row r="240" ht="15.75" customHeight="1">
      <c r="B240" s="48"/>
      <c r="C240" s="40"/>
      <c r="D240" s="40"/>
      <c r="E240" s="40"/>
      <c r="F240" s="540"/>
      <c r="G240" s="40"/>
      <c r="H240" s="40"/>
      <c r="I240" s="40"/>
      <c r="J240" s="40"/>
      <c r="K240" s="40"/>
      <c r="L240" s="540"/>
      <c r="M240" s="40"/>
      <c r="N240" s="40"/>
      <c r="O240" s="40"/>
      <c r="P240" s="40"/>
      <c r="Q240" s="40"/>
      <c r="R240" s="540"/>
      <c r="S240" s="40"/>
      <c r="T240" s="540"/>
      <c r="U240" s="40"/>
      <c r="V240" s="48"/>
      <c r="W240" s="48"/>
      <c r="X240" s="48"/>
      <c r="Y240" s="48"/>
      <c r="Z240" s="48"/>
      <c r="AA240" s="48"/>
      <c r="AB240" s="48"/>
      <c r="AC240" s="48"/>
      <c r="AD240" s="48"/>
      <c r="AE240" s="48"/>
      <c r="AF240" s="48"/>
      <c r="AG240" s="48"/>
      <c r="AH240" s="48"/>
      <c r="AI240" s="48"/>
      <c r="AJ240" s="48"/>
      <c r="AK240" s="48"/>
      <c r="AL240" s="48"/>
      <c r="AM240" s="48"/>
      <c r="AN240" s="48"/>
    </row>
    <row r="241" ht="8.25" customHeight="1">
      <c r="B241" s="48"/>
      <c r="C241" s="40"/>
      <c r="D241" s="40"/>
      <c r="E241" s="40"/>
      <c r="F241" s="40"/>
      <c r="G241" s="40"/>
      <c r="H241" s="40"/>
      <c r="I241" s="40"/>
      <c r="J241" s="40"/>
      <c r="K241" s="40"/>
      <c r="L241" s="40"/>
      <c r="M241" s="40"/>
      <c r="N241" s="40"/>
      <c r="O241" s="40"/>
      <c r="P241" s="40"/>
      <c r="Q241" s="40"/>
      <c r="R241" s="40"/>
      <c r="S241" s="40"/>
      <c r="T241" s="540"/>
      <c r="U241" s="40"/>
      <c r="V241" s="40"/>
      <c r="W241" s="40"/>
      <c r="X241" s="40"/>
      <c r="Y241" s="40"/>
      <c r="Z241" s="40"/>
      <c r="AA241" s="40"/>
      <c r="AB241" s="40"/>
      <c r="AC241" s="40"/>
      <c r="AD241" s="40"/>
      <c r="AE241" s="40"/>
      <c r="AF241" s="40"/>
      <c r="AG241" s="40"/>
      <c r="AH241" s="40"/>
      <c r="AI241" s="40"/>
      <c r="AJ241" s="40"/>
      <c r="AK241" s="40"/>
      <c r="AL241" s="40"/>
      <c r="AM241" s="40"/>
      <c r="AN241" s="40"/>
    </row>
    <row r="242" ht="33.75" customHeight="1">
      <c r="B242" s="48"/>
      <c r="C242" s="450" t="str">
        <f>C1</f>
        <v>Ste-Marie Auto</v>
      </c>
      <c r="D242" s="451"/>
      <c r="E242" s="452"/>
      <c r="F242" s="451"/>
      <c r="G242" s="451"/>
      <c r="H242" s="450"/>
      <c r="I242" s="451"/>
      <c r="J242" s="450"/>
      <c r="K242" s="453" t="s">
        <v>161</v>
      </c>
      <c r="L242" s="451"/>
      <c r="M242" s="451"/>
      <c r="N242" s="454"/>
      <c r="O242" s="450"/>
      <c r="P242" s="451"/>
      <c r="Q242" s="450"/>
      <c r="R242" s="451"/>
      <c r="S242" s="455" t="str">
        <f>$S$1</f>
        <v>Réalisé  Q2 2026</v>
      </c>
      <c r="T242" s="796"/>
      <c r="U242" s="38"/>
      <c r="V242" s="40"/>
      <c r="W242" s="40"/>
      <c r="X242" s="40"/>
      <c r="Y242" s="40"/>
      <c r="Z242" s="40"/>
      <c r="AA242" s="40"/>
      <c r="AB242" s="40"/>
      <c r="AC242" s="40"/>
      <c r="AD242" s="40"/>
      <c r="AE242" s="40"/>
      <c r="AF242" s="40"/>
      <c r="AG242" s="40"/>
      <c r="AH242" s="40"/>
      <c r="AI242" s="40"/>
      <c r="AJ242" s="40"/>
      <c r="AK242" s="40"/>
      <c r="AL242" s="40"/>
      <c r="AM242" s="40"/>
      <c r="AN242" s="40"/>
    </row>
    <row r="243" ht="15.75" customHeight="1">
      <c r="B243" s="48"/>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ht="15.75" customHeight="1">
      <c r="B244" s="48"/>
      <c r="C244" s="461"/>
      <c r="D244" s="462" t="s">
        <v>774</v>
      </c>
      <c r="E244" s="44"/>
      <c r="F244" s="45"/>
      <c r="G244" s="463" t="s">
        <v>1114</v>
      </c>
      <c r="H244" s="44"/>
      <c r="I244" s="45"/>
      <c r="J244" s="463" t="s">
        <v>775</v>
      </c>
      <c r="K244" s="44"/>
      <c r="L244" s="45"/>
      <c r="M244" s="463" t="s">
        <v>776</v>
      </c>
      <c r="N244" s="45"/>
      <c r="O244" s="462" t="s">
        <v>777</v>
      </c>
      <c r="P244" s="44"/>
      <c r="Q244" s="45"/>
      <c r="R244" s="463" t="s">
        <v>778</v>
      </c>
      <c r="S244" s="45"/>
      <c r="T244" s="605"/>
      <c r="AA244" s="40"/>
      <c r="AB244" s="40"/>
      <c r="AC244" s="40"/>
      <c r="AD244" s="40"/>
      <c r="AE244" s="40"/>
      <c r="AF244" s="40"/>
      <c r="AG244" s="40"/>
      <c r="AH244" s="40"/>
      <c r="AI244" s="40"/>
      <c r="AJ244" s="40"/>
      <c r="AK244" s="40"/>
      <c r="AL244" s="40"/>
      <c r="AM244" s="40"/>
      <c r="AN244" s="40"/>
    </row>
    <row r="245" ht="15.75" customHeight="1">
      <c r="A245" s="5" t="str">
        <f t="shared" ref="A245:A300" si="66">+B245&amp;C245</f>
        <v>Service</v>
      </c>
      <c r="B245" s="48" t="s">
        <v>161</v>
      </c>
      <c r="C245" s="480"/>
      <c r="D245" s="41" t="s">
        <v>221</v>
      </c>
      <c r="E245" s="41" t="s">
        <v>222</v>
      </c>
      <c r="F245" s="611" t="s">
        <v>95</v>
      </c>
      <c r="G245" s="610" t="s">
        <v>221</v>
      </c>
      <c r="H245" s="41" t="s">
        <v>222</v>
      </c>
      <c r="I245" s="611" t="s">
        <v>95</v>
      </c>
      <c r="J245" s="610" t="s">
        <v>221</v>
      </c>
      <c r="K245" s="41" t="s">
        <v>222</v>
      </c>
      <c r="L245" s="611" t="s">
        <v>95</v>
      </c>
      <c r="M245" s="610" t="s">
        <v>907</v>
      </c>
      <c r="N245" s="611" t="s">
        <v>908</v>
      </c>
      <c r="O245" s="610" t="s">
        <v>221</v>
      </c>
      <c r="P245" s="41" t="s">
        <v>222</v>
      </c>
      <c r="Q245" s="611" t="s">
        <v>95</v>
      </c>
      <c r="R245" s="610" t="s">
        <v>909</v>
      </c>
      <c r="S245" s="611" t="s">
        <v>95</v>
      </c>
      <c r="T245" s="41"/>
      <c r="AA245" s="48"/>
      <c r="AB245" s="48"/>
      <c r="AC245" s="48"/>
      <c r="AD245" s="48"/>
      <c r="AE245" s="48"/>
      <c r="AF245" s="48"/>
      <c r="AG245" s="48"/>
      <c r="AH245" s="48"/>
      <c r="AI245" s="48"/>
      <c r="AJ245" s="48"/>
      <c r="AK245" s="48"/>
      <c r="AL245" s="48"/>
      <c r="AM245" s="48"/>
      <c r="AN245" s="48"/>
    </row>
    <row r="246" ht="15.75" customHeight="1">
      <c r="A246" s="5" t="str">
        <f t="shared" si="66"/>
        <v>ServiceM/O Client</v>
      </c>
      <c r="B246" s="48" t="s">
        <v>161</v>
      </c>
      <c r="C246" s="480" t="s">
        <v>162</v>
      </c>
      <c r="D246" s="483">
        <v>0.0</v>
      </c>
      <c r="E246" s="483">
        <v>0.0</v>
      </c>
      <c r="F246" s="483">
        <v>0.0</v>
      </c>
      <c r="G246" s="486">
        <v>0.0</v>
      </c>
      <c r="H246" s="483">
        <v>0.0</v>
      </c>
      <c r="I246" s="483">
        <v>0.0</v>
      </c>
      <c r="J246" s="482">
        <v>833.0</v>
      </c>
      <c r="K246" s="483">
        <v>170372.15999999997</v>
      </c>
      <c r="L246" s="484">
        <v>119676.4</v>
      </c>
      <c r="M246" s="515" t="str">
        <f>(K246-E246)/E246</f>
        <v>#DIV/0!</v>
      </c>
      <c r="N246" s="484">
        <f>L246-F246</f>
        <v>119676.4</v>
      </c>
      <c r="O246" s="482">
        <v>831.0</v>
      </c>
      <c r="P246" s="483">
        <v>284340.28</v>
      </c>
      <c r="Q246" s="484">
        <v>219057.90000000002</v>
      </c>
      <c r="R246" s="515">
        <f>IF(O246=0,0,J246/O246)</f>
        <v>1.002406739</v>
      </c>
      <c r="S246" s="484">
        <f>L246-Q246</f>
        <v>-99381.5</v>
      </c>
      <c r="T246" s="483"/>
      <c r="AA246" s="48"/>
      <c r="AB246" s="48"/>
      <c r="AC246" s="48"/>
      <c r="AD246" s="48"/>
      <c r="AE246" s="48"/>
      <c r="AF246" s="48"/>
      <c r="AG246" s="48"/>
      <c r="AH246" s="48"/>
      <c r="AI246" s="48"/>
      <c r="AJ246" s="48"/>
      <c r="AK246" s="48"/>
      <c r="AL246" s="48"/>
      <c r="AM246" s="48"/>
      <c r="AN246" s="48"/>
    </row>
    <row r="247" ht="15.75" customHeight="1">
      <c r="A247" s="5" t="str">
        <f t="shared" si="66"/>
        <v>Service% profit / ventes</v>
      </c>
      <c r="B247" s="48" t="s">
        <v>161</v>
      </c>
      <c r="C247" s="480" t="s">
        <v>163</v>
      </c>
      <c r="D247" s="483"/>
      <c r="E247" s="601"/>
      <c r="F247" s="516" t="str">
        <f>F246/E246</f>
        <v>#DIV/0!</v>
      </c>
      <c r="G247" s="486"/>
      <c r="H247" s="601"/>
      <c r="I247" s="516" t="str">
        <f>I246/H246</f>
        <v>#DIV/0!</v>
      </c>
      <c r="J247" s="486"/>
      <c r="K247" s="48"/>
      <c r="L247" s="516">
        <f>L246/K246</f>
        <v>0.7024410561</v>
      </c>
      <c r="M247" s="515"/>
      <c r="N247" s="484"/>
      <c r="O247" s="486"/>
      <c r="P247" s="48"/>
      <c r="Q247" s="516">
        <f>Q246/P246</f>
        <v>0.7704075553</v>
      </c>
      <c r="R247" s="486"/>
      <c r="S247" s="516"/>
      <c r="T247" s="483"/>
      <c r="AA247" s="48"/>
      <c r="AB247" s="48"/>
      <c r="AC247" s="48"/>
      <c r="AD247" s="48"/>
      <c r="AE247" s="48"/>
      <c r="AF247" s="48"/>
      <c r="AG247" s="48"/>
      <c r="AH247" s="48"/>
      <c r="AI247" s="48"/>
      <c r="AJ247" s="48"/>
      <c r="AK247" s="48"/>
      <c r="AL247" s="48"/>
      <c r="AM247" s="48"/>
      <c r="AN247" s="48"/>
    </row>
    <row r="248" ht="15.75" customHeight="1">
      <c r="A248" s="5" t="str">
        <f t="shared" si="66"/>
        <v>Service</v>
      </c>
      <c r="B248" s="48" t="s">
        <v>161</v>
      </c>
      <c r="C248" s="471"/>
      <c r="D248" s="513"/>
      <c r="E248" s="621">
        <f>IFERROR(E246/D246,0)</f>
        <v>0</v>
      </c>
      <c r="F248" s="614"/>
      <c r="G248" s="622"/>
      <c r="H248" s="621">
        <f>IFERROR(H246/G246,0)</f>
        <v>0</v>
      </c>
      <c r="I248" s="614"/>
      <c r="J248" s="622"/>
      <c r="K248" s="621">
        <f>IFERROR(K246/J246,0)</f>
        <v>204.5284034</v>
      </c>
      <c r="L248" s="614"/>
      <c r="M248" s="545"/>
      <c r="N248" s="476"/>
      <c r="O248" s="622"/>
      <c r="P248" s="621">
        <f>IFERROR(P246/O246,0)</f>
        <v>342.1664019</v>
      </c>
      <c r="Q248" s="614"/>
      <c r="R248" s="622"/>
      <c r="S248" s="476"/>
      <c r="T248" s="483"/>
      <c r="AA248" s="48"/>
      <c r="AB248" s="48"/>
      <c r="AC248" s="48"/>
      <c r="AD248" s="48"/>
      <c r="AE248" s="48"/>
      <c r="AF248" s="48"/>
      <c r="AG248" s="48"/>
      <c r="AH248" s="48"/>
      <c r="AI248" s="48"/>
      <c r="AJ248" s="48"/>
      <c r="AK248" s="48"/>
      <c r="AL248" s="48"/>
      <c r="AM248" s="48"/>
      <c r="AN248" s="48"/>
    </row>
    <row r="249" ht="18.0" customHeight="1">
      <c r="A249" s="5" t="str">
        <f t="shared" si="66"/>
        <v>ServiceM/O Garantie</v>
      </c>
      <c r="B249" s="48" t="s">
        <v>161</v>
      </c>
      <c r="C249" s="466" t="s">
        <v>164</v>
      </c>
      <c r="D249" s="522">
        <v>0.0</v>
      </c>
      <c r="E249" s="483">
        <v>0.0</v>
      </c>
      <c r="F249" s="483">
        <v>0.0</v>
      </c>
      <c r="G249" s="252">
        <v>0.0</v>
      </c>
      <c r="H249" s="483">
        <v>0.0</v>
      </c>
      <c r="I249" s="483">
        <v>0.0</v>
      </c>
      <c r="J249" s="482">
        <v>908.0</v>
      </c>
      <c r="K249" s="522">
        <v>151994.88000000003</v>
      </c>
      <c r="L249" s="484">
        <v>97308.33000000003</v>
      </c>
      <c r="M249" s="515" t="str">
        <f>(K249-E249)/E249</f>
        <v>#DIV/0!</v>
      </c>
      <c r="N249" s="523">
        <f>L249-F249</f>
        <v>97308.33</v>
      </c>
      <c r="O249" s="482">
        <v>1116.0</v>
      </c>
      <c r="P249" s="522">
        <v>157425.0</v>
      </c>
      <c r="Q249" s="484">
        <v>108375.01999999999</v>
      </c>
      <c r="R249" s="515">
        <f>IF(O249=0,0,J249/O249)</f>
        <v>0.8136200717</v>
      </c>
      <c r="S249" s="484">
        <f>L249-Q249</f>
        <v>-11066.69</v>
      </c>
      <c r="T249" s="483"/>
      <c r="U249" s="48"/>
      <c r="V249" s="481"/>
      <c r="W249" s="48"/>
      <c r="AA249" s="48"/>
      <c r="AB249" s="48"/>
      <c r="AC249" s="48"/>
      <c r="AD249" s="48"/>
      <c r="AE249" s="48"/>
      <c r="AF249" s="48"/>
      <c r="AG249" s="48"/>
      <c r="AH249" s="48"/>
      <c r="AI249" s="48"/>
      <c r="AJ249" s="48"/>
      <c r="AK249" s="48"/>
      <c r="AL249" s="48"/>
      <c r="AM249" s="48"/>
      <c r="AN249" s="48"/>
    </row>
    <row r="250" ht="15.75" customHeight="1">
      <c r="A250" s="5" t="str">
        <f t="shared" si="66"/>
        <v>Service% profit / ventes</v>
      </c>
      <c r="B250" s="48" t="s">
        <v>161</v>
      </c>
      <c r="C250" s="480" t="s">
        <v>163</v>
      </c>
      <c r="D250" s="48"/>
      <c r="E250" s="48"/>
      <c r="F250" s="516" t="str">
        <f>F249/E249</f>
        <v>#DIV/0!</v>
      </c>
      <c r="G250" s="480"/>
      <c r="H250" s="48"/>
      <c r="I250" s="516" t="str">
        <f>I249/H249</f>
        <v>#DIV/0!</v>
      </c>
      <c r="J250" s="480"/>
      <c r="K250" s="48"/>
      <c r="L250" s="516">
        <f>L249/K249</f>
        <v>0.6402079465</v>
      </c>
      <c r="M250" s="515"/>
      <c r="N250" s="516"/>
      <c r="O250" s="480"/>
      <c r="P250" s="48"/>
      <c r="Q250" s="516">
        <f>Q249/P249</f>
        <v>0.6884231856</v>
      </c>
      <c r="R250" s="515"/>
      <c r="S250" s="516"/>
      <c r="T250" s="48"/>
      <c r="U250" s="48"/>
      <c r="V250" s="481"/>
      <c r="W250" s="623"/>
      <c r="AA250" s="48"/>
      <c r="AB250" s="48"/>
      <c r="AC250" s="48"/>
      <c r="AD250" s="48"/>
      <c r="AE250" s="48"/>
      <c r="AF250" s="48"/>
      <c r="AG250" s="48"/>
      <c r="AH250" s="48"/>
      <c r="AI250" s="48"/>
      <c r="AJ250" s="48"/>
      <c r="AK250" s="48"/>
      <c r="AL250" s="48"/>
      <c r="AM250" s="48"/>
      <c r="AN250" s="48"/>
    </row>
    <row r="251" ht="15.75" customHeight="1">
      <c r="A251" s="5" t="str">
        <f t="shared" si="66"/>
        <v>Service</v>
      </c>
      <c r="B251" s="48" t="s">
        <v>161</v>
      </c>
      <c r="C251" s="471"/>
      <c r="D251" s="564"/>
      <c r="E251" s="621"/>
      <c r="F251" s="614"/>
      <c r="G251" s="622"/>
      <c r="H251" s="621"/>
      <c r="I251" s="614"/>
      <c r="J251" s="622"/>
      <c r="K251" s="621"/>
      <c r="L251" s="614"/>
      <c r="M251" s="545"/>
      <c r="N251" s="476"/>
      <c r="O251" s="622"/>
      <c r="P251" s="621"/>
      <c r="Q251" s="614"/>
      <c r="R251" s="545"/>
      <c r="S251" s="614"/>
      <c r="T251" s="48"/>
      <c r="AA251" s="48"/>
      <c r="AB251" s="48"/>
      <c r="AC251" s="48"/>
      <c r="AD251" s="48"/>
      <c r="AE251" s="48"/>
      <c r="AF251" s="48"/>
      <c r="AG251" s="48"/>
      <c r="AH251" s="48"/>
      <c r="AI251" s="48"/>
      <c r="AJ251" s="48"/>
      <c r="AK251" s="48"/>
      <c r="AL251" s="48"/>
      <c r="AM251" s="48"/>
      <c r="AN251" s="48"/>
    </row>
    <row r="252" ht="15.75" customHeight="1">
      <c r="A252" s="5" t="str">
        <f t="shared" si="66"/>
        <v>ServiceM/O Interne</v>
      </c>
      <c r="B252" s="48" t="s">
        <v>161</v>
      </c>
      <c r="C252" s="480" t="s">
        <v>165</v>
      </c>
      <c r="D252" s="483">
        <v>0.0</v>
      </c>
      <c r="E252" s="483">
        <v>0.0</v>
      </c>
      <c r="F252" s="483">
        <v>0.0</v>
      </c>
      <c r="G252" s="486">
        <v>0.0</v>
      </c>
      <c r="H252" s="483">
        <v>0.0</v>
      </c>
      <c r="I252" s="483">
        <v>0.0</v>
      </c>
      <c r="J252" s="482">
        <v>1494.0</v>
      </c>
      <c r="K252" s="522">
        <v>233638.03000000003</v>
      </c>
      <c r="L252" s="484">
        <v>171614.62000000005</v>
      </c>
      <c r="M252" s="515" t="str">
        <f>(K252-E252)/E252</f>
        <v>#DIV/0!</v>
      </c>
      <c r="N252" s="484">
        <f t="shared" ref="N252:N253" si="67">L252-F252</f>
        <v>171614.62</v>
      </c>
      <c r="O252" s="482">
        <v>2113.0</v>
      </c>
      <c r="P252" s="522">
        <v>273589.62</v>
      </c>
      <c r="Q252" s="484">
        <v>206736.61000000002</v>
      </c>
      <c r="R252" s="515">
        <f>IF(O252=0,0,J252/O252)</f>
        <v>0.7070515854</v>
      </c>
      <c r="S252" s="484">
        <f>L252-Q252</f>
        <v>-35121.99</v>
      </c>
      <c r="T252" s="483"/>
      <c r="AA252" s="48"/>
      <c r="AB252" s="48"/>
      <c r="AC252" s="48"/>
      <c r="AD252" s="48"/>
      <c r="AE252" s="48"/>
      <c r="AF252" s="48"/>
      <c r="AG252" s="48"/>
      <c r="AH252" s="48"/>
      <c r="AI252" s="48"/>
      <c r="AJ252" s="48"/>
      <c r="AK252" s="48"/>
      <c r="AL252" s="48"/>
      <c r="AM252" s="48"/>
      <c r="AN252" s="48"/>
    </row>
    <row r="253" ht="15.75" customHeight="1">
      <c r="A253" s="5" t="str">
        <f t="shared" si="66"/>
        <v>Service% profit / ventes</v>
      </c>
      <c r="B253" s="48" t="s">
        <v>161</v>
      </c>
      <c r="C253" s="480" t="s">
        <v>163</v>
      </c>
      <c r="D253" s="483"/>
      <c r="E253" s="601"/>
      <c r="F253" s="516" t="str">
        <f>F252/E252</f>
        <v>#DIV/0!</v>
      </c>
      <c r="G253" s="486"/>
      <c r="H253" s="601"/>
      <c r="I253" s="516" t="str">
        <f>I252/H252</f>
        <v>#DIV/0!</v>
      </c>
      <c r="J253" s="486"/>
      <c r="K253" s="601"/>
      <c r="L253" s="516">
        <f>L252/K252</f>
        <v>0.7345320451</v>
      </c>
      <c r="M253" s="515"/>
      <c r="N253" s="484" t="str">
        <f t="shared" si="67"/>
        <v>#DIV/0!</v>
      </c>
      <c r="O253" s="486"/>
      <c r="P253" s="601"/>
      <c r="Q253" s="516">
        <f>Q252/P252</f>
        <v>0.7556449327</v>
      </c>
      <c r="R253" s="486">
        <f>O253-K253</f>
        <v>0</v>
      </c>
      <c r="S253" s="516"/>
      <c r="T253" s="483"/>
      <c r="AA253" s="48"/>
      <c r="AB253" s="48"/>
      <c r="AC253" s="48"/>
      <c r="AD253" s="48"/>
      <c r="AE253" s="48"/>
      <c r="AF253" s="48"/>
      <c r="AG253" s="48"/>
      <c r="AH253" s="48"/>
      <c r="AI253" s="48"/>
      <c r="AJ253" s="48"/>
      <c r="AK253" s="48"/>
      <c r="AL253" s="48"/>
      <c r="AM253" s="48"/>
      <c r="AN253" s="48"/>
    </row>
    <row r="254" ht="15.75" customHeight="1">
      <c r="A254" s="5" t="str">
        <f t="shared" si="66"/>
        <v>Service</v>
      </c>
      <c r="B254" s="48" t="s">
        <v>161</v>
      </c>
      <c r="C254" s="480"/>
      <c r="D254" s="483"/>
      <c r="E254" s="621"/>
      <c r="F254" s="614"/>
      <c r="G254" s="622"/>
      <c r="H254" s="621"/>
      <c r="I254" s="614"/>
      <c r="J254" s="622"/>
      <c r="K254" s="621"/>
      <c r="L254" s="614"/>
      <c r="M254" s="545"/>
      <c r="N254" s="476"/>
      <c r="O254" s="622"/>
      <c r="P254" s="621"/>
      <c r="Q254" s="614"/>
      <c r="R254" s="622"/>
      <c r="S254" s="484"/>
      <c r="T254" s="483"/>
      <c r="U254" s="797"/>
      <c r="AA254" s="48"/>
      <c r="AB254" s="48"/>
      <c r="AC254" s="48"/>
      <c r="AD254" s="48"/>
      <c r="AE254" s="48"/>
      <c r="AF254" s="48"/>
      <c r="AG254" s="48"/>
      <c r="AH254" s="48"/>
      <c r="AI254" s="48"/>
      <c r="AJ254" s="48"/>
      <c r="AK254" s="48"/>
      <c r="AL254" s="48"/>
      <c r="AM254" s="48"/>
      <c r="AN254" s="48"/>
    </row>
    <row r="255" ht="15.75" customHeight="1">
      <c r="A255" s="5" t="str">
        <f t="shared" si="66"/>
        <v>ServiceM/O Esthétique</v>
      </c>
      <c r="B255" s="48" t="s">
        <v>161</v>
      </c>
      <c r="C255" s="466" t="s">
        <v>166</v>
      </c>
      <c r="D255" s="522">
        <v>0.0</v>
      </c>
      <c r="E255" s="483">
        <v>0.0</v>
      </c>
      <c r="F255" s="483">
        <v>0.0</v>
      </c>
      <c r="G255" s="252">
        <v>0.0</v>
      </c>
      <c r="H255" s="483">
        <v>0.0</v>
      </c>
      <c r="I255" s="483">
        <v>0.0</v>
      </c>
      <c r="J255" s="482">
        <v>0.0</v>
      </c>
      <c r="K255" s="522">
        <v>0.0</v>
      </c>
      <c r="L255" s="523">
        <v>0.0</v>
      </c>
      <c r="M255" s="624">
        <f>IF(E255=0,0,(K255-E255)/E255)</f>
        <v>0</v>
      </c>
      <c r="N255" s="523">
        <f>L255-F255</f>
        <v>0</v>
      </c>
      <c r="O255" s="482">
        <v>0.0</v>
      </c>
      <c r="P255" s="522">
        <v>0.0</v>
      </c>
      <c r="Q255" s="523">
        <v>0.0</v>
      </c>
      <c r="R255" s="515">
        <f>IF(O255=0,0,J255/O255)</f>
        <v>0</v>
      </c>
      <c r="S255" s="523">
        <f>L255-Q255</f>
        <v>0</v>
      </c>
      <c r="T255" s="483"/>
      <c r="U255" s="797"/>
      <c r="AA255" s="48"/>
      <c r="AB255" s="48"/>
      <c r="AC255" s="48"/>
      <c r="AD255" s="48"/>
      <c r="AE255" s="48"/>
      <c r="AF255" s="48"/>
      <c r="AG255" s="48"/>
      <c r="AH255" s="48"/>
      <c r="AI255" s="48"/>
      <c r="AJ255" s="48"/>
      <c r="AK255" s="48"/>
      <c r="AL255" s="48"/>
      <c r="AM255" s="48"/>
      <c r="AN255" s="48"/>
    </row>
    <row r="256" ht="15.75" customHeight="1">
      <c r="A256" s="5" t="str">
        <f t="shared" si="66"/>
        <v>Service% profit / ventes</v>
      </c>
      <c r="B256" s="48" t="s">
        <v>161</v>
      </c>
      <c r="C256" s="480" t="s">
        <v>163</v>
      </c>
      <c r="D256" s="48"/>
      <c r="E256" s="601"/>
      <c r="F256" s="516">
        <f>IFERROR(F255/E255,0)</f>
        <v>0</v>
      </c>
      <c r="G256" s="480"/>
      <c r="H256" s="601"/>
      <c r="I256" s="516">
        <f>IFERROR(I255/H255,0)</f>
        <v>0</v>
      </c>
      <c r="J256" s="486"/>
      <c r="K256" s="601"/>
      <c r="L256" s="516">
        <f>IFERROR(L255/K255,0)</f>
        <v>0</v>
      </c>
      <c r="M256" s="486">
        <f>J256-D256</f>
        <v>0</v>
      </c>
      <c r="N256" s="484"/>
      <c r="O256" s="486"/>
      <c r="P256" s="601"/>
      <c r="Q256" s="516">
        <f>IFERROR(Q255/P255,0)</f>
        <v>0</v>
      </c>
      <c r="R256" s="480"/>
      <c r="S256" s="516"/>
      <c r="T256" s="503"/>
      <c r="U256" s="797"/>
      <c r="AA256" s="48"/>
      <c r="AB256" s="48"/>
      <c r="AC256" s="48"/>
      <c r="AD256" s="48"/>
      <c r="AE256" s="48"/>
      <c r="AF256" s="48"/>
      <c r="AG256" s="48"/>
      <c r="AH256" s="48"/>
      <c r="AI256" s="48"/>
      <c r="AJ256" s="48"/>
      <c r="AK256" s="48"/>
      <c r="AL256" s="48"/>
      <c r="AM256" s="48"/>
      <c r="AN256" s="48"/>
    </row>
    <row r="257" ht="15.75" customHeight="1">
      <c r="A257" s="5" t="str">
        <f t="shared" si="66"/>
        <v>Service</v>
      </c>
      <c r="B257" s="48" t="s">
        <v>161</v>
      </c>
      <c r="C257" s="471"/>
      <c r="D257" s="564"/>
      <c r="E257" s="625"/>
      <c r="F257" s="614"/>
      <c r="G257" s="471"/>
      <c r="H257" s="625"/>
      <c r="I257" s="614"/>
      <c r="J257" s="622"/>
      <c r="K257" s="621"/>
      <c r="L257" s="614"/>
      <c r="M257" s="622"/>
      <c r="N257" s="476"/>
      <c r="O257" s="622"/>
      <c r="P257" s="621"/>
      <c r="Q257" s="614"/>
      <c r="R257" s="471"/>
      <c r="S257" s="476"/>
      <c r="T257" s="503"/>
      <c r="AA257" s="48"/>
      <c r="AB257" s="48"/>
      <c r="AC257" s="48"/>
      <c r="AD257" s="48"/>
      <c r="AE257" s="48"/>
      <c r="AF257" s="48"/>
      <c r="AG257" s="48"/>
      <c r="AH257" s="48"/>
      <c r="AI257" s="48"/>
      <c r="AJ257" s="48"/>
      <c r="AK257" s="48"/>
      <c r="AL257" s="48"/>
      <c r="AM257" s="48"/>
      <c r="AN257" s="48"/>
    </row>
    <row r="258" ht="26.25" customHeight="1">
      <c r="A258" s="5" t="str">
        <f t="shared" si="66"/>
        <v>ServiceAjustement M/O</v>
      </c>
      <c r="B258" s="48" t="s">
        <v>161</v>
      </c>
      <c r="C258" s="480" t="s">
        <v>167</v>
      </c>
      <c r="D258" s="48"/>
      <c r="E258" s="48"/>
      <c r="F258" s="484">
        <v>0.0</v>
      </c>
      <c r="G258" s="480"/>
      <c r="H258" s="483"/>
      <c r="I258" s="483">
        <v>0.0</v>
      </c>
      <c r="J258" s="486"/>
      <c r="K258" s="483"/>
      <c r="L258" s="483">
        <v>-8363.47</v>
      </c>
      <c r="M258" s="486"/>
      <c r="N258" s="484">
        <f t="shared" ref="N258:N259" si="71">L258-F258</f>
        <v>-8363.47</v>
      </c>
      <c r="O258" s="486"/>
      <c r="P258" s="483"/>
      <c r="Q258" s="483">
        <v>4807.419999999998</v>
      </c>
      <c r="R258" s="626"/>
      <c r="S258" s="484">
        <f t="shared" ref="S258:S259" si="73">L258-Q258</f>
        <v>-13170.89</v>
      </c>
      <c r="T258" s="48"/>
      <c r="U258" s="48"/>
      <c r="V258" s="48"/>
      <c r="W258" s="48"/>
      <c r="X258" s="48"/>
      <c r="Y258" s="48"/>
      <c r="Z258" s="48"/>
      <c r="AA258" s="48"/>
      <c r="AB258" s="48"/>
      <c r="AC258" s="48"/>
      <c r="AD258" s="48"/>
      <c r="AE258" s="48"/>
      <c r="AF258" s="48"/>
      <c r="AG258" s="48"/>
      <c r="AH258" s="48"/>
      <c r="AI258" s="48"/>
      <c r="AJ258" s="48"/>
      <c r="AK258" s="48"/>
      <c r="AL258" s="48"/>
      <c r="AM258" s="48"/>
      <c r="AN258" s="48"/>
    </row>
    <row r="259" ht="19.5" customHeight="1">
      <c r="A259" s="5" t="str">
        <f t="shared" si="66"/>
        <v>ServiceSous-total M/O</v>
      </c>
      <c r="B259" s="48" t="s">
        <v>161</v>
      </c>
      <c r="C259" s="627" t="s">
        <v>168</v>
      </c>
      <c r="D259" s="628"/>
      <c r="E259" s="628">
        <f t="shared" ref="E259:F259" si="68">E246+E249+E252+E255+E258</f>
        <v>0</v>
      </c>
      <c r="F259" s="629">
        <f t="shared" si="68"/>
        <v>0</v>
      </c>
      <c r="G259" s="630"/>
      <c r="H259" s="628">
        <f t="shared" ref="H259:I259" si="69">H246+H249+H252+H255+H258</f>
        <v>0</v>
      </c>
      <c r="I259" s="629">
        <f t="shared" si="69"/>
        <v>0</v>
      </c>
      <c r="J259" s="631"/>
      <c r="K259" s="632">
        <f t="shared" ref="K259:L259" si="70">K246+K249+K252+K255+K258</f>
        <v>556005.07</v>
      </c>
      <c r="L259" s="633">
        <f t="shared" si="70"/>
        <v>380235.88</v>
      </c>
      <c r="M259" s="634" t="str">
        <f>(K259-E259)/E259</f>
        <v>#DIV/0!</v>
      </c>
      <c r="N259" s="633">
        <f t="shared" si="71"/>
        <v>380235.88</v>
      </c>
      <c r="O259" s="631"/>
      <c r="P259" s="632">
        <f t="shared" ref="P259:Q259" si="72">P246+P249+P252+P255+P258</f>
        <v>715354.9</v>
      </c>
      <c r="Q259" s="633">
        <f t="shared" si="72"/>
        <v>538976.95</v>
      </c>
      <c r="R259" s="525">
        <f>IF(O259=0,0,J259/O259)</f>
        <v>0</v>
      </c>
      <c r="S259" s="629">
        <f t="shared" si="73"/>
        <v>-158741.07</v>
      </c>
      <c r="T259" s="503"/>
      <c r="U259" s="48"/>
      <c r="V259" s="48"/>
      <c r="W259" s="48"/>
      <c r="X259" s="48"/>
      <c r="Y259" s="48"/>
      <c r="Z259" s="48"/>
      <c r="AA259" s="48"/>
      <c r="AB259" s="48"/>
      <c r="AC259" s="48"/>
      <c r="AD259" s="48"/>
      <c r="AE259" s="48"/>
      <c r="AF259" s="48"/>
      <c r="AG259" s="48"/>
      <c r="AH259" s="48"/>
      <c r="AI259" s="48"/>
      <c r="AJ259" s="48"/>
      <c r="AK259" s="48"/>
      <c r="AL259" s="48"/>
      <c r="AM259" s="48"/>
      <c r="AN259" s="48"/>
    </row>
    <row r="260" ht="15.75" customHeight="1">
      <c r="A260" s="5" t="str">
        <f t="shared" si="66"/>
        <v>Service% protit / ventes</v>
      </c>
      <c r="B260" s="48" t="s">
        <v>161</v>
      </c>
      <c r="C260" s="635" t="s">
        <v>169</v>
      </c>
      <c r="D260" s="636"/>
      <c r="E260" s="637"/>
      <c r="F260" s="638" t="str">
        <f>F259/E259</f>
        <v>#DIV/0!</v>
      </c>
      <c r="G260" s="639"/>
      <c r="H260" s="637"/>
      <c r="I260" s="507" t="str">
        <f>I259/H259</f>
        <v>#DIV/0!</v>
      </c>
      <c r="J260" s="640"/>
      <c r="K260" s="641"/>
      <c r="L260" s="507">
        <f>L259/K259</f>
        <v>0.683871246</v>
      </c>
      <c r="M260" s="640"/>
      <c r="N260" s="642" t="str">
        <f>N259/F259</f>
        <v>#DIV/0!</v>
      </c>
      <c r="O260" s="640"/>
      <c r="P260" s="641"/>
      <c r="Q260" s="507">
        <f>Q259/P259</f>
        <v>0.7534399359</v>
      </c>
      <c r="R260" s="639"/>
      <c r="S260" s="507">
        <f>IF(R259=0,0,S259/R259)</f>
        <v>0</v>
      </c>
      <c r="T260" s="503"/>
      <c r="U260" s="48"/>
      <c r="V260" s="48"/>
      <c r="W260" s="48"/>
      <c r="X260" s="48"/>
      <c r="Y260" s="48"/>
      <c r="Z260" s="48"/>
      <c r="AA260" s="48"/>
      <c r="AB260" s="48"/>
      <c r="AC260" s="48"/>
      <c r="AD260" s="48"/>
      <c r="AE260" s="48"/>
      <c r="AF260" s="48"/>
      <c r="AG260" s="48"/>
      <c r="AH260" s="48"/>
      <c r="AI260" s="48"/>
      <c r="AJ260" s="48"/>
      <c r="AK260" s="48"/>
      <c r="AL260" s="48"/>
      <c r="AM260" s="48"/>
      <c r="AN260" s="48"/>
    </row>
    <row r="261" ht="15.75" customHeight="1">
      <c r="A261" s="5" t="str">
        <f t="shared" si="66"/>
        <v>Service</v>
      </c>
      <c r="B261" s="48" t="s">
        <v>161</v>
      </c>
      <c r="C261" s="466"/>
      <c r="D261" s="522"/>
      <c r="E261" s="643"/>
      <c r="F261" s="523"/>
      <c r="G261" s="252"/>
      <c r="H261" s="643"/>
      <c r="I261" s="523"/>
      <c r="J261" s="252"/>
      <c r="K261" s="643"/>
      <c r="L261" s="523"/>
      <c r="M261" s="252"/>
      <c r="N261" s="523"/>
      <c r="O261" s="252"/>
      <c r="P261" s="643"/>
      <c r="Q261" s="523"/>
      <c r="R261" s="252"/>
      <c r="S261" s="523"/>
      <c r="T261" s="503"/>
      <c r="U261" s="48"/>
      <c r="V261" s="48"/>
      <c r="W261" s="48"/>
      <c r="X261" s="48"/>
      <c r="Y261" s="48"/>
      <c r="Z261" s="48"/>
      <c r="AA261" s="48"/>
      <c r="AB261" s="48"/>
      <c r="AC261" s="48"/>
      <c r="AD261" s="48"/>
      <c r="AE261" s="48"/>
      <c r="AF261" s="48"/>
      <c r="AG261" s="48"/>
      <c r="AH261" s="48"/>
      <c r="AI261" s="48"/>
      <c r="AJ261" s="48"/>
      <c r="AK261" s="48"/>
      <c r="AL261" s="48"/>
      <c r="AM261" s="48"/>
      <c r="AN261" s="48"/>
    </row>
    <row r="262" ht="19.5" customHeight="1">
      <c r="A262" s="5" t="str">
        <f t="shared" si="66"/>
        <v>ServiceSous-traitement</v>
      </c>
      <c r="B262" s="48" t="s">
        <v>161</v>
      </c>
      <c r="C262" s="480" t="s">
        <v>170</v>
      </c>
      <c r="D262" s="483"/>
      <c r="E262" s="483">
        <v>0.0</v>
      </c>
      <c r="F262" s="483">
        <v>0.0</v>
      </c>
      <c r="G262" s="486"/>
      <c r="H262" s="483">
        <v>0.0</v>
      </c>
      <c r="I262" s="483">
        <v>0.0</v>
      </c>
      <c r="J262" s="482"/>
      <c r="K262" s="483">
        <v>47114.15000000001</v>
      </c>
      <c r="L262" s="484">
        <v>11973.680000000008</v>
      </c>
      <c r="M262" s="515">
        <f>IF(E262=0,0,(K262-E262)/E262)</f>
        <v>0</v>
      </c>
      <c r="N262" s="484">
        <f>L262-F262</f>
        <v>11973.68</v>
      </c>
      <c r="O262" s="482"/>
      <c r="P262" s="483">
        <v>96625.4</v>
      </c>
      <c r="Q262" s="484">
        <v>18504.549999999992</v>
      </c>
      <c r="R262" s="515">
        <f>IF(O262=0,0,J262/O262)</f>
        <v>0</v>
      </c>
      <c r="S262" s="484">
        <f>L262-Q262</f>
        <v>-6530.87</v>
      </c>
      <c r="T262" s="503"/>
      <c r="U262" s="48"/>
      <c r="V262" s="48"/>
      <c r="W262" s="48"/>
      <c r="X262" s="48"/>
      <c r="Y262" s="48"/>
      <c r="Z262" s="48"/>
      <c r="AA262" s="48"/>
      <c r="AB262" s="48"/>
      <c r="AC262" s="48"/>
      <c r="AD262" s="48"/>
      <c r="AE262" s="48"/>
      <c r="AF262" s="48"/>
      <c r="AG262" s="48"/>
      <c r="AH262" s="48"/>
      <c r="AI262" s="48"/>
      <c r="AJ262" s="48"/>
      <c r="AK262" s="48"/>
      <c r="AL262" s="48"/>
      <c r="AM262" s="48"/>
      <c r="AN262" s="48"/>
    </row>
    <row r="263" ht="21.0" customHeight="1">
      <c r="A263" s="5" t="str">
        <f t="shared" si="66"/>
        <v>Service% profit / ventes</v>
      </c>
      <c r="B263" s="48" t="s">
        <v>161</v>
      </c>
      <c r="C263" s="480" t="s">
        <v>163</v>
      </c>
      <c r="D263" s="48"/>
      <c r="E263" s="601"/>
      <c r="F263" s="516">
        <f>IFERROR(F262/E262,0)</f>
        <v>0</v>
      </c>
      <c r="G263" s="480"/>
      <c r="H263" s="601"/>
      <c r="I263" s="516">
        <f>IFERROR(I262/H262,0)</f>
        <v>0</v>
      </c>
      <c r="J263" s="486"/>
      <c r="K263" s="601"/>
      <c r="L263" s="516">
        <f>IFERROR(L262/K262,0)</f>
        <v>0.2541419085</v>
      </c>
      <c r="M263" s="486"/>
      <c r="N263" s="484"/>
      <c r="O263" s="486"/>
      <c r="P263" s="601"/>
      <c r="Q263" s="516">
        <f>IFERROR(Q262/P262,0)</f>
        <v>0.1915081335</v>
      </c>
      <c r="R263" s="486"/>
      <c r="S263" s="516"/>
      <c r="T263" s="503"/>
      <c r="U263" s="48"/>
      <c r="V263" s="48"/>
      <c r="W263" s="48"/>
      <c r="X263" s="48"/>
      <c r="Y263" s="48"/>
      <c r="Z263" s="48"/>
      <c r="AA263" s="48"/>
      <c r="AB263" s="48"/>
      <c r="AC263" s="48"/>
      <c r="AD263" s="48"/>
      <c r="AE263" s="48"/>
      <c r="AF263" s="48"/>
      <c r="AG263" s="48"/>
      <c r="AH263" s="48"/>
      <c r="AI263" s="48"/>
      <c r="AJ263" s="48"/>
      <c r="AK263" s="48"/>
      <c r="AL263" s="48"/>
      <c r="AM263" s="48"/>
      <c r="AN263" s="48"/>
    </row>
    <row r="264" ht="21.0" hidden="1" customHeight="1">
      <c r="A264" s="5" t="str">
        <f t="shared" si="66"/>
        <v>Service</v>
      </c>
      <c r="B264" s="48" t="s">
        <v>161</v>
      </c>
      <c r="C264" s="480"/>
      <c r="D264" s="48"/>
      <c r="E264" s="601"/>
      <c r="F264" s="516"/>
      <c r="G264" s="480"/>
      <c r="H264" s="601"/>
      <c r="I264" s="516"/>
      <c r="J264" s="600"/>
      <c r="K264" s="599"/>
      <c r="L264" s="516"/>
      <c r="M264" s="600"/>
      <c r="N264" s="504"/>
      <c r="O264" s="600"/>
      <c r="P264" s="599"/>
      <c r="Q264" s="516"/>
      <c r="R264" s="600"/>
      <c r="S264" s="504"/>
      <c r="T264" s="503"/>
      <c r="U264" s="48"/>
      <c r="V264" s="48"/>
      <c r="W264" s="48"/>
      <c r="X264" s="48"/>
      <c r="Y264" s="48"/>
      <c r="Z264" s="48"/>
      <c r="AA264" s="48"/>
      <c r="AB264" s="48"/>
      <c r="AC264" s="48"/>
      <c r="AD264" s="48"/>
      <c r="AE264" s="48"/>
      <c r="AF264" s="48"/>
      <c r="AG264" s="48"/>
      <c r="AH264" s="48"/>
      <c r="AI264" s="48"/>
      <c r="AJ264" s="48"/>
      <c r="AK264" s="48"/>
      <c r="AL264" s="48"/>
      <c r="AM264" s="48"/>
      <c r="AN264" s="48"/>
    </row>
    <row r="265" ht="21.0" hidden="1" customHeight="1">
      <c r="A265" s="5" t="str">
        <f t="shared" si="66"/>
        <v>ServiceM.O. Recond. MCPA</v>
      </c>
      <c r="B265" s="48" t="s">
        <v>161</v>
      </c>
      <c r="C265" s="480" t="s">
        <v>171</v>
      </c>
      <c r="D265" s="48"/>
      <c r="E265" s="483">
        <v>0.0</v>
      </c>
      <c r="F265" s="483">
        <v>0.0</v>
      </c>
      <c r="G265" s="480"/>
      <c r="H265" s="483">
        <v>0.0</v>
      </c>
      <c r="I265" s="483">
        <v>0.0</v>
      </c>
      <c r="J265" s="482"/>
      <c r="K265" s="481">
        <v>0.0</v>
      </c>
      <c r="L265" s="485">
        <v>0.0</v>
      </c>
      <c r="M265" s="515"/>
      <c r="N265" s="484"/>
      <c r="O265" s="482"/>
      <c r="P265" s="481">
        <v>0.0</v>
      </c>
      <c r="Q265" s="485">
        <v>0.0</v>
      </c>
      <c r="R265" s="515"/>
      <c r="S265" s="484"/>
      <c r="T265" s="503"/>
      <c r="U265" s="48"/>
      <c r="V265" s="48"/>
      <c r="W265" s="48"/>
      <c r="X265" s="48"/>
      <c r="Y265" s="48"/>
      <c r="Z265" s="48"/>
      <c r="AA265" s="48"/>
      <c r="AB265" s="48"/>
      <c r="AC265" s="48"/>
      <c r="AD265" s="48"/>
      <c r="AE265" s="48"/>
      <c r="AF265" s="48"/>
      <c r="AG265" s="48"/>
      <c r="AH265" s="48"/>
      <c r="AI265" s="48"/>
      <c r="AJ265" s="48"/>
      <c r="AK265" s="48"/>
      <c r="AL265" s="48"/>
      <c r="AM265" s="48"/>
      <c r="AN265" s="48"/>
    </row>
    <row r="266" ht="21.0" hidden="1" customHeight="1">
      <c r="A266" s="5" t="str">
        <f t="shared" si="66"/>
        <v>Service% profit / ventes</v>
      </c>
      <c r="B266" s="48" t="s">
        <v>161</v>
      </c>
      <c r="C266" s="480" t="s">
        <v>163</v>
      </c>
      <c r="D266" s="48"/>
      <c r="E266" s="601"/>
      <c r="F266" s="516">
        <f>IF(F265=0,0,F265/E265)</f>
        <v>0</v>
      </c>
      <c r="G266" s="480"/>
      <c r="H266" s="601"/>
      <c r="I266" s="516">
        <f>IF(I265=0,0,I265/H265)</f>
        <v>0</v>
      </c>
      <c r="J266" s="600"/>
      <c r="K266" s="599"/>
      <c r="L266" s="516">
        <f>IF(L265=0,0,L265/K265)</f>
        <v>0</v>
      </c>
      <c r="M266" s="600"/>
      <c r="N266" s="504"/>
      <c r="O266" s="600"/>
      <c r="P266" s="599"/>
      <c r="Q266" s="516">
        <f>IF(Q265=0,0,Q265/P265)</f>
        <v>0</v>
      </c>
      <c r="R266" s="600"/>
      <c r="S266" s="504"/>
      <c r="T266" s="503"/>
      <c r="U266" s="481"/>
      <c r="V266" s="48"/>
      <c r="W266" s="48"/>
      <c r="X266" s="48"/>
      <c r="Y266" s="48"/>
      <c r="Z266" s="48"/>
      <c r="AA266" s="48"/>
      <c r="AB266" s="48"/>
      <c r="AC266" s="48"/>
      <c r="AD266" s="48"/>
      <c r="AE266" s="48"/>
      <c r="AF266" s="48"/>
      <c r="AG266" s="48"/>
      <c r="AH266" s="48"/>
      <c r="AI266" s="48"/>
      <c r="AJ266" s="48"/>
      <c r="AK266" s="48"/>
      <c r="AL266" s="48"/>
      <c r="AM266" s="48"/>
      <c r="AN266" s="48"/>
    </row>
    <row r="267" ht="15.75" customHeight="1">
      <c r="A267" s="5" t="str">
        <f t="shared" si="66"/>
        <v>Service</v>
      </c>
      <c r="B267" s="48" t="s">
        <v>161</v>
      </c>
      <c r="C267" s="644"/>
      <c r="D267" s="645"/>
      <c r="E267" s="646"/>
      <c r="F267" s="647"/>
      <c r="G267" s="648"/>
      <c r="H267" s="646"/>
      <c r="I267" s="647"/>
      <c r="J267" s="648"/>
      <c r="K267" s="646"/>
      <c r="L267" s="647"/>
      <c r="M267" s="648"/>
      <c r="N267" s="647"/>
      <c r="O267" s="648"/>
      <c r="P267" s="646"/>
      <c r="Q267" s="647"/>
      <c r="R267" s="648"/>
      <c r="S267" s="647"/>
      <c r="T267" s="503"/>
      <c r="U267" s="48"/>
      <c r="V267" s="48"/>
      <c r="W267" s="48"/>
      <c r="X267" s="48"/>
      <c r="Y267" s="48"/>
      <c r="Z267" s="48"/>
      <c r="AA267" s="48"/>
      <c r="AB267" s="48"/>
      <c r="AC267" s="48"/>
      <c r="AD267" s="48"/>
      <c r="AE267" s="48"/>
      <c r="AF267" s="48"/>
      <c r="AG267" s="48"/>
      <c r="AH267" s="48"/>
      <c r="AI267" s="48"/>
      <c r="AJ267" s="48"/>
      <c r="AK267" s="48"/>
      <c r="AL267" s="48"/>
      <c r="AM267" s="48"/>
      <c r="AN267" s="48"/>
    </row>
    <row r="268" ht="18.0" customHeight="1">
      <c r="A268" s="5" t="str">
        <f t="shared" si="66"/>
        <v>ServiceTotal Mécanique</v>
      </c>
      <c r="B268" s="48" t="s">
        <v>161</v>
      </c>
      <c r="C268" s="526" t="s">
        <v>172</v>
      </c>
      <c r="D268" s="527"/>
      <c r="E268" s="528">
        <f t="shared" ref="E268:F268" si="74">E259+E262+E265</f>
        <v>0</v>
      </c>
      <c r="F268" s="529">
        <f t="shared" si="74"/>
        <v>0</v>
      </c>
      <c r="G268" s="530"/>
      <c r="H268" s="528">
        <f t="shared" ref="H268:I268" si="75">H259+H262+H265</f>
        <v>0</v>
      </c>
      <c r="I268" s="529">
        <f t="shared" si="75"/>
        <v>0</v>
      </c>
      <c r="J268" s="530"/>
      <c r="K268" s="527">
        <f t="shared" ref="K268:L268" si="76">K259+K262+K265</f>
        <v>603119.22</v>
      </c>
      <c r="L268" s="529">
        <f t="shared" si="76"/>
        <v>392209.56</v>
      </c>
      <c r="M268" s="530" t="str">
        <f>L269-F269</f>
        <v>#DIV/0!</v>
      </c>
      <c r="N268" s="529">
        <f>L268-F268</f>
        <v>392209.56</v>
      </c>
      <c r="O268" s="530"/>
      <c r="P268" s="527">
        <f t="shared" ref="P268:Q268" si="77">P259+P262+P265</f>
        <v>811980.3</v>
      </c>
      <c r="Q268" s="529">
        <f t="shared" si="77"/>
        <v>557481.5</v>
      </c>
      <c r="R268" s="530">
        <f>L269-Q269</f>
        <v>-0.03626835273</v>
      </c>
      <c r="S268" s="529">
        <f>L268-Q268</f>
        <v>-165271.94</v>
      </c>
      <c r="T268" s="48"/>
      <c r="U268" s="48"/>
      <c r="V268" s="48"/>
      <c r="W268" s="48"/>
      <c r="X268" s="48"/>
      <c r="Y268" s="48"/>
      <c r="Z268" s="48"/>
      <c r="AA268" s="48"/>
      <c r="AB268" s="48"/>
      <c r="AC268" s="48"/>
      <c r="AD268" s="48"/>
      <c r="AE268" s="48"/>
      <c r="AF268" s="48"/>
      <c r="AG268" s="48"/>
      <c r="AH268" s="48"/>
      <c r="AI268" s="48"/>
      <c r="AJ268" s="48"/>
      <c r="AK268" s="48"/>
      <c r="AL268" s="48"/>
      <c r="AM268" s="48"/>
      <c r="AN268" s="48"/>
    </row>
    <row r="269" ht="22.5" customHeight="1">
      <c r="A269" s="5" t="str">
        <f t="shared" si="66"/>
        <v>Service</v>
      </c>
      <c r="B269" s="48" t="s">
        <v>161</v>
      </c>
      <c r="C269" s="531"/>
      <c r="D269" s="532"/>
      <c r="E269" s="532"/>
      <c r="F269" s="533" t="str">
        <f>F268/E268</f>
        <v>#DIV/0!</v>
      </c>
      <c r="G269" s="531"/>
      <c r="H269" s="532"/>
      <c r="I269" s="533" t="str">
        <f>I268/H268</f>
        <v>#DIV/0!</v>
      </c>
      <c r="J269" s="531"/>
      <c r="K269" s="534"/>
      <c r="L269" s="538">
        <f>L268/K268</f>
        <v>0.6503018756</v>
      </c>
      <c r="M269" s="536"/>
      <c r="N269" s="537" t="str">
        <f>N268/F268</f>
        <v>#DIV/0!</v>
      </c>
      <c r="O269" s="531"/>
      <c r="P269" s="534"/>
      <c r="Q269" s="538">
        <f>Q268/P268</f>
        <v>0.6865702284</v>
      </c>
      <c r="R269" s="536"/>
      <c r="S269" s="538">
        <f>L268/S268</f>
        <v>-2.373116453</v>
      </c>
      <c r="T269" s="48"/>
      <c r="U269" s="48"/>
      <c r="V269" s="48"/>
      <c r="W269" s="48"/>
      <c r="X269" s="48"/>
      <c r="Y269" s="48"/>
      <c r="Z269" s="48"/>
      <c r="AA269" s="48"/>
      <c r="AB269" s="48"/>
      <c r="AC269" s="48"/>
      <c r="AD269" s="48"/>
      <c r="AE269" s="48"/>
      <c r="AF269" s="48"/>
      <c r="AG269" s="48"/>
      <c r="AH269" s="48"/>
      <c r="AI269" s="48"/>
      <c r="AJ269" s="48"/>
      <c r="AK269" s="48"/>
      <c r="AL269" s="48"/>
      <c r="AM269" s="48"/>
      <c r="AN269" s="48"/>
    </row>
    <row r="270" ht="15.75" customHeight="1">
      <c r="A270" s="5" t="str">
        <f t="shared" si="66"/>
        <v>Service</v>
      </c>
      <c r="B270" s="48" t="s">
        <v>161</v>
      </c>
      <c r="C270" s="500"/>
      <c r="D270" s="11"/>
      <c r="E270" s="11"/>
      <c r="F270" s="507"/>
      <c r="G270" s="500"/>
      <c r="H270" s="11"/>
      <c r="I270" s="507"/>
      <c r="J270" s="500"/>
      <c r="K270" s="503"/>
      <c r="L270" s="507"/>
      <c r="M270" s="525"/>
      <c r="N270" s="507"/>
      <c r="O270" s="500"/>
      <c r="P270" s="503"/>
      <c r="Q270" s="507"/>
      <c r="R270" s="525"/>
      <c r="S270" s="507"/>
      <c r="T270" s="11"/>
      <c r="U270" s="48"/>
      <c r="V270" s="48"/>
      <c r="W270" s="48"/>
      <c r="X270" s="48"/>
      <c r="Y270" s="48"/>
      <c r="Z270" s="48"/>
      <c r="AA270" s="48"/>
      <c r="AB270" s="48"/>
      <c r="AC270" s="48"/>
      <c r="AD270" s="48"/>
      <c r="AE270" s="48"/>
      <c r="AF270" s="48"/>
      <c r="AG270" s="48"/>
      <c r="AH270" s="48"/>
      <c r="AI270" s="48"/>
      <c r="AJ270" s="48"/>
      <c r="AK270" s="48"/>
      <c r="AL270" s="48"/>
      <c r="AM270" s="48"/>
      <c r="AN270" s="48"/>
    </row>
    <row r="271" ht="15.75" customHeight="1">
      <c r="A271" s="5" t="str">
        <f t="shared" si="66"/>
        <v>ServiceDEPENSES</v>
      </c>
      <c r="B271" s="48" t="s">
        <v>161</v>
      </c>
      <c r="C271" s="541" t="s">
        <v>110</v>
      </c>
      <c r="D271" s="48"/>
      <c r="E271" s="48"/>
      <c r="F271" s="484"/>
      <c r="G271" s="480"/>
      <c r="H271" s="48"/>
      <c r="I271" s="484"/>
      <c r="J271" s="480"/>
      <c r="K271" s="48"/>
      <c r="L271" s="514"/>
      <c r="M271" s="480"/>
      <c r="N271" s="514"/>
      <c r="O271" s="480"/>
      <c r="P271" s="48"/>
      <c r="Q271" s="514"/>
      <c r="R271" s="480"/>
      <c r="S271" s="514"/>
      <c r="T271" s="48"/>
      <c r="U271" s="48"/>
      <c r="V271" s="48"/>
      <c r="W271" s="48"/>
      <c r="X271" s="48"/>
      <c r="Y271" s="48"/>
      <c r="Z271" s="48"/>
      <c r="AA271" s="48"/>
      <c r="AB271" s="48"/>
      <c r="AC271" s="48"/>
      <c r="AD271" s="48"/>
      <c r="AE271" s="48"/>
      <c r="AF271" s="48"/>
      <c r="AG271" s="48"/>
      <c r="AH271" s="48"/>
      <c r="AI271" s="48"/>
      <c r="AJ271" s="48"/>
      <c r="AK271" s="48"/>
      <c r="AL271" s="48"/>
      <c r="AM271" s="48"/>
      <c r="AN271" s="48"/>
    </row>
    <row r="272" ht="15.75" customHeight="1">
      <c r="A272" s="5" t="str">
        <f t="shared" si="66"/>
        <v>ServiceSalaires cadres</v>
      </c>
      <c r="B272" s="48" t="s">
        <v>161</v>
      </c>
      <c r="C272" s="559" t="s">
        <v>119</v>
      </c>
      <c r="D272" s="48"/>
      <c r="E272" s="48"/>
      <c r="F272" s="481">
        <v>0.0</v>
      </c>
      <c r="G272" s="480"/>
      <c r="H272" s="48"/>
      <c r="I272" s="481">
        <v>0.0</v>
      </c>
      <c r="J272" s="480"/>
      <c r="K272" s="48"/>
      <c r="L272" s="484">
        <v>27279.399999999998</v>
      </c>
      <c r="M272" s="480"/>
      <c r="N272" s="484">
        <f t="shared" ref="N272:N303" si="78">L272-F272</f>
        <v>27279.4</v>
      </c>
      <c r="O272" s="480"/>
      <c r="P272" s="48"/>
      <c r="Q272" s="484">
        <v>24432.119999999995</v>
      </c>
      <c r="R272" s="480"/>
      <c r="S272" s="484">
        <f t="shared" ref="S272:S303" si="79">L272-Q272</f>
        <v>2847.28</v>
      </c>
      <c r="T272" s="48"/>
      <c r="U272" s="48"/>
      <c r="V272" s="48"/>
      <c r="W272" s="48"/>
      <c r="X272" s="48"/>
      <c r="Y272" s="48"/>
      <c r="Z272" s="48"/>
      <c r="AA272" s="48"/>
      <c r="AB272" s="48"/>
      <c r="AC272" s="48"/>
      <c r="AD272" s="48"/>
      <c r="AE272" s="48"/>
      <c r="AF272" s="48"/>
      <c r="AG272" s="48"/>
      <c r="AH272" s="48"/>
      <c r="AI272" s="48"/>
      <c r="AJ272" s="48"/>
      <c r="AK272" s="48"/>
      <c r="AL272" s="48"/>
      <c r="AM272" s="48"/>
      <c r="AN272" s="48"/>
    </row>
    <row r="273" ht="15.75" customHeight="1">
      <c r="A273" s="5" t="str">
        <f t="shared" si="66"/>
        <v>ServiceSalaires commis</v>
      </c>
      <c r="B273" s="48" t="s">
        <v>161</v>
      </c>
      <c r="C273" s="560" t="s">
        <v>120</v>
      </c>
      <c r="D273" s="546"/>
      <c r="E273" s="48"/>
      <c r="F273" s="473">
        <v>0.0</v>
      </c>
      <c r="G273" s="547"/>
      <c r="H273" s="48"/>
      <c r="I273" s="473">
        <v>0.0</v>
      </c>
      <c r="J273" s="480"/>
      <c r="K273" s="48"/>
      <c r="L273" s="484">
        <v>62923.42999999999</v>
      </c>
      <c r="M273" s="480"/>
      <c r="N273" s="484">
        <f t="shared" si="78"/>
        <v>62923.43</v>
      </c>
      <c r="O273" s="480"/>
      <c r="P273" s="48"/>
      <c r="Q273" s="484">
        <v>81470.59</v>
      </c>
      <c r="R273" s="480"/>
      <c r="S273" s="484">
        <f t="shared" si="79"/>
        <v>-18547.16</v>
      </c>
      <c r="T273" s="48"/>
      <c r="U273" s="48"/>
      <c r="V273" s="48"/>
      <c r="W273" s="48"/>
      <c r="X273" s="48"/>
      <c r="Y273" s="48"/>
      <c r="Z273" s="48"/>
      <c r="AA273" s="48"/>
      <c r="AB273" s="48"/>
      <c r="AC273" s="48"/>
      <c r="AD273" s="48"/>
      <c r="AE273" s="48"/>
      <c r="AF273" s="48"/>
      <c r="AG273" s="48"/>
      <c r="AH273" s="48"/>
      <c r="AI273" s="48"/>
      <c r="AJ273" s="48"/>
      <c r="AK273" s="48"/>
      <c r="AL273" s="48"/>
      <c r="AM273" s="48"/>
      <c r="AN273" s="48"/>
    </row>
    <row r="274" ht="14.25" customHeight="1">
      <c r="A274" s="5" t="str">
        <f t="shared" si="66"/>
        <v>ServiceSalaires autres</v>
      </c>
      <c r="B274" s="48" t="s">
        <v>161</v>
      </c>
      <c r="C274" s="559" t="s">
        <v>121</v>
      </c>
      <c r="D274" s="561"/>
      <c r="E274" s="562"/>
      <c r="F274" s="481">
        <v>0.0</v>
      </c>
      <c r="G274" s="563"/>
      <c r="H274" s="562"/>
      <c r="I274" s="481">
        <v>0.0</v>
      </c>
      <c r="J274" s="466"/>
      <c r="K274" s="562"/>
      <c r="L274" s="523">
        <v>37582.990000000005</v>
      </c>
      <c r="M274" s="466"/>
      <c r="N274" s="523">
        <f t="shared" si="78"/>
        <v>37582.99</v>
      </c>
      <c r="O274" s="466"/>
      <c r="P274" s="562"/>
      <c r="Q274" s="523">
        <v>95589.37000000001</v>
      </c>
      <c r="R274" s="466"/>
      <c r="S274" s="523">
        <f t="shared" si="79"/>
        <v>-58006.38</v>
      </c>
      <c r="T274" s="48"/>
      <c r="U274" s="40"/>
      <c r="V274" s="48"/>
      <c r="W274" s="48"/>
      <c r="X274" s="48"/>
      <c r="Y274" s="48"/>
      <c r="Z274" s="48"/>
      <c r="AA274" s="48"/>
      <c r="AB274" s="48"/>
      <c r="AC274" s="48"/>
      <c r="AD274" s="48"/>
      <c r="AE274" s="48"/>
      <c r="AF274" s="48"/>
      <c r="AG274" s="48"/>
      <c r="AH274" s="48"/>
      <c r="AI274" s="48"/>
      <c r="AJ274" s="48"/>
      <c r="AK274" s="48"/>
      <c r="AL274" s="48"/>
      <c r="AM274" s="48"/>
      <c r="AN274" s="48"/>
    </row>
    <row r="275" ht="14.25" customHeight="1">
      <c r="A275" s="5" t="str">
        <f t="shared" si="66"/>
        <v>ServiceSalaires spécialistes</v>
      </c>
      <c r="B275" s="48" t="s">
        <v>161</v>
      </c>
      <c r="C275" s="559" t="s">
        <v>122</v>
      </c>
      <c r="D275" s="546"/>
      <c r="E275" s="602"/>
      <c r="F275" s="481">
        <v>0.0</v>
      </c>
      <c r="G275" s="547"/>
      <c r="H275" s="48"/>
      <c r="I275" s="481">
        <v>0.0</v>
      </c>
      <c r="J275" s="480"/>
      <c r="K275" s="602"/>
      <c r="L275" s="484">
        <v>15838.4</v>
      </c>
      <c r="M275" s="480"/>
      <c r="N275" s="484">
        <f t="shared" si="78"/>
        <v>15838.4</v>
      </c>
      <c r="O275" s="480"/>
      <c r="P275" s="602"/>
      <c r="Q275" s="484">
        <v>0.0</v>
      </c>
      <c r="R275" s="480"/>
      <c r="S275" s="484">
        <f t="shared" si="79"/>
        <v>15838.4</v>
      </c>
      <c r="T275" s="48"/>
      <c r="U275" s="48"/>
      <c r="V275" s="48"/>
      <c r="W275" s="48"/>
      <c r="X275" s="48"/>
      <c r="Y275" s="48"/>
      <c r="Z275" s="48"/>
      <c r="AA275" s="48"/>
      <c r="AB275" s="48"/>
      <c r="AC275" s="48"/>
      <c r="AD275" s="48"/>
      <c r="AE275" s="48"/>
      <c r="AF275" s="48"/>
      <c r="AG275" s="48"/>
      <c r="AH275" s="48"/>
      <c r="AI275" s="48"/>
      <c r="AJ275" s="48"/>
      <c r="AK275" s="48"/>
      <c r="AL275" s="48"/>
      <c r="AM275" s="48"/>
      <c r="AN275" s="48"/>
    </row>
    <row r="276" ht="20.25" hidden="1" customHeight="1">
      <c r="A276" s="5" t="str">
        <f t="shared" si="66"/>
        <v>Service[...]</v>
      </c>
      <c r="B276" s="48" t="s">
        <v>161</v>
      </c>
      <c r="C276" s="480" t="s">
        <v>56</v>
      </c>
      <c r="D276" s="546"/>
      <c r="E276" s="48"/>
      <c r="F276" s="481">
        <v>0.0</v>
      </c>
      <c r="G276" s="547"/>
      <c r="H276" s="48"/>
      <c r="I276" s="481">
        <v>0.0</v>
      </c>
      <c r="J276" s="480"/>
      <c r="K276" s="48"/>
      <c r="L276" s="484">
        <v>0.0</v>
      </c>
      <c r="M276" s="480"/>
      <c r="N276" s="484">
        <f t="shared" si="78"/>
        <v>0</v>
      </c>
      <c r="O276" s="480"/>
      <c r="P276" s="48"/>
      <c r="Q276" s="484">
        <v>0.0</v>
      </c>
      <c r="R276" s="480"/>
      <c r="S276" s="484">
        <f t="shared" si="79"/>
        <v>0</v>
      </c>
      <c r="T276" s="48"/>
      <c r="U276" s="48"/>
      <c r="V276" s="48"/>
      <c r="W276" s="48"/>
      <c r="X276" s="48"/>
      <c r="Y276" s="48"/>
      <c r="Z276" s="48"/>
      <c r="AA276" s="48"/>
      <c r="AB276" s="48"/>
      <c r="AC276" s="48"/>
      <c r="AD276" s="48"/>
      <c r="AE276" s="48"/>
      <c r="AF276" s="48"/>
      <c r="AG276" s="48"/>
      <c r="AH276" s="48"/>
      <c r="AI276" s="48"/>
      <c r="AJ276" s="48"/>
      <c r="AK276" s="48"/>
      <c r="AL276" s="48"/>
      <c r="AM276" s="48"/>
      <c r="AN276" s="48"/>
    </row>
    <row r="277" ht="20.25" hidden="1" customHeight="1">
      <c r="A277" s="5" t="str">
        <f t="shared" si="66"/>
        <v>Service[...]</v>
      </c>
      <c r="B277" s="48" t="s">
        <v>161</v>
      </c>
      <c r="C277" s="480" t="s">
        <v>56</v>
      </c>
      <c r="D277" s="546"/>
      <c r="E277" s="48"/>
      <c r="F277" s="481">
        <v>0.0</v>
      </c>
      <c r="G277" s="547"/>
      <c r="H277" s="48"/>
      <c r="I277" s="481">
        <v>0.0</v>
      </c>
      <c r="J277" s="480"/>
      <c r="K277" s="48"/>
      <c r="L277" s="484">
        <v>0.0</v>
      </c>
      <c r="M277" s="480"/>
      <c r="N277" s="484">
        <f t="shared" si="78"/>
        <v>0</v>
      </c>
      <c r="O277" s="480"/>
      <c r="P277" s="48"/>
      <c r="Q277" s="484">
        <v>0.0</v>
      </c>
      <c r="R277" s="480"/>
      <c r="S277" s="484">
        <f t="shared" si="79"/>
        <v>0</v>
      </c>
      <c r="T277" s="48"/>
      <c r="U277" s="48"/>
      <c r="V277" s="48"/>
      <c r="W277" s="48"/>
      <c r="X277" s="48"/>
      <c r="Y277" s="48"/>
      <c r="Z277" s="48"/>
      <c r="AA277" s="48"/>
      <c r="AB277" s="48"/>
      <c r="AC277" s="48"/>
      <c r="AD277" s="48"/>
      <c r="AE277" s="48"/>
      <c r="AF277" s="48"/>
      <c r="AG277" s="48"/>
      <c r="AH277" s="48"/>
      <c r="AI277" s="48"/>
      <c r="AJ277" s="48"/>
      <c r="AK277" s="48"/>
      <c r="AL277" s="48"/>
      <c r="AM277" s="48"/>
      <c r="AN277" s="48"/>
    </row>
    <row r="278" ht="20.25" hidden="1" customHeight="1">
      <c r="A278" s="5" t="str">
        <f t="shared" si="66"/>
        <v>Service[...]</v>
      </c>
      <c r="B278" s="48" t="s">
        <v>161</v>
      </c>
      <c r="C278" s="480" t="s">
        <v>56</v>
      </c>
      <c r="D278" s="546"/>
      <c r="E278" s="48"/>
      <c r="F278" s="481">
        <v>0.0</v>
      </c>
      <c r="G278" s="547"/>
      <c r="H278" s="48"/>
      <c r="I278" s="481">
        <v>0.0</v>
      </c>
      <c r="J278" s="480"/>
      <c r="K278" s="48"/>
      <c r="L278" s="484">
        <v>0.0</v>
      </c>
      <c r="M278" s="480"/>
      <c r="N278" s="484">
        <f t="shared" si="78"/>
        <v>0</v>
      </c>
      <c r="O278" s="480"/>
      <c r="P278" s="48"/>
      <c r="Q278" s="484">
        <v>0.0</v>
      </c>
      <c r="R278" s="480"/>
      <c r="S278" s="484">
        <f t="shared" si="79"/>
        <v>0</v>
      </c>
      <c r="T278" s="48"/>
      <c r="U278" s="48"/>
      <c r="V278" s="48"/>
      <c r="W278" s="48"/>
      <c r="X278" s="48"/>
      <c r="Y278" s="48"/>
      <c r="Z278" s="48"/>
      <c r="AA278" s="48"/>
      <c r="AB278" s="48"/>
      <c r="AC278" s="48"/>
      <c r="AD278" s="48"/>
      <c r="AE278" s="48"/>
      <c r="AF278" s="48"/>
      <c r="AG278" s="48"/>
      <c r="AH278" s="48"/>
      <c r="AI278" s="48"/>
      <c r="AJ278" s="48"/>
      <c r="AK278" s="48"/>
      <c r="AL278" s="48"/>
      <c r="AM278" s="48"/>
      <c r="AN278" s="48"/>
    </row>
    <row r="279" ht="14.25" customHeight="1">
      <c r="A279" s="5" t="str">
        <f t="shared" si="66"/>
        <v>ServiceSalaires en absences</v>
      </c>
      <c r="B279" s="48" t="s">
        <v>161</v>
      </c>
      <c r="C279" s="560" t="s">
        <v>123</v>
      </c>
      <c r="D279" s="546"/>
      <c r="E279" s="48"/>
      <c r="F279" s="481">
        <v>0.0</v>
      </c>
      <c r="G279" s="547"/>
      <c r="H279" s="48"/>
      <c r="I279" s="481">
        <v>0.0</v>
      </c>
      <c r="J279" s="480"/>
      <c r="K279" s="48"/>
      <c r="L279" s="484">
        <v>40428.759999999995</v>
      </c>
      <c r="M279" s="480"/>
      <c r="N279" s="484">
        <f t="shared" si="78"/>
        <v>40428.76</v>
      </c>
      <c r="O279" s="480"/>
      <c r="P279" s="48"/>
      <c r="Q279" s="484">
        <v>48748.299999999996</v>
      </c>
      <c r="R279" s="480"/>
      <c r="S279" s="484">
        <f t="shared" si="79"/>
        <v>-8319.54</v>
      </c>
      <c r="T279" s="48"/>
      <c r="U279" s="48"/>
      <c r="V279" s="48"/>
      <c r="W279" s="48"/>
      <c r="X279" s="48"/>
      <c r="Y279" s="48"/>
      <c r="Z279" s="48"/>
      <c r="AA279" s="48"/>
      <c r="AB279" s="48"/>
      <c r="AC279" s="48"/>
      <c r="AD279" s="48"/>
      <c r="AE279" s="48"/>
      <c r="AF279" s="48"/>
      <c r="AG279" s="48"/>
      <c r="AH279" s="48"/>
      <c r="AI279" s="48"/>
      <c r="AJ279" s="48"/>
      <c r="AK279" s="48"/>
      <c r="AL279" s="48"/>
      <c r="AM279" s="48"/>
      <c r="AN279" s="48"/>
    </row>
    <row r="280" ht="15.75" customHeight="1">
      <c r="A280" s="5" t="str">
        <f t="shared" si="66"/>
        <v>ServiceDéduction à la source</v>
      </c>
      <c r="B280" s="48" t="s">
        <v>161</v>
      </c>
      <c r="C280" s="559" t="s">
        <v>124</v>
      </c>
      <c r="D280" s="561"/>
      <c r="E280" s="562"/>
      <c r="F280" s="520">
        <v>0.0</v>
      </c>
      <c r="G280" s="563"/>
      <c r="H280" s="562"/>
      <c r="I280" s="520">
        <v>0.0</v>
      </c>
      <c r="J280" s="466"/>
      <c r="K280" s="562"/>
      <c r="L280" s="523">
        <v>54671.37</v>
      </c>
      <c r="M280" s="466"/>
      <c r="N280" s="523">
        <f t="shared" si="78"/>
        <v>54671.37</v>
      </c>
      <c r="O280" s="466"/>
      <c r="P280" s="562"/>
      <c r="Q280" s="523">
        <v>64135.49</v>
      </c>
      <c r="R280" s="466"/>
      <c r="S280" s="523">
        <f t="shared" si="79"/>
        <v>-9464.12</v>
      </c>
      <c r="T280" s="48"/>
      <c r="U280" s="48"/>
      <c r="V280" s="48"/>
      <c r="W280" s="48"/>
      <c r="X280" s="48"/>
      <c r="Y280" s="48"/>
      <c r="Z280" s="48"/>
      <c r="AA280" s="48"/>
      <c r="AB280" s="48"/>
      <c r="AC280" s="48"/>
      <c r="AD280" s="48"/>
      <c r="AE280" s="48"/>
      <c r="AF280" s="48"/>
      <c r="AG280" s="48"/>
      <c r="AH280" s="48"/>
      <c r="AI280" s="48"/>
      <c r="AJ280" s="48"/>
      <c r="AK280" s="48"/>
      <c r="AL280" s="48"/>
      <c r="AM280" s="48"/>
      <c r="AN280" s="48"/>
    </row>
    <row r="281" ht="15.75" customHeight="1">
      <c r="A281" s="5" t="str">
        <f t="shared" si="66"/>
        <v>ServiceBénéfices marginaux</v>
      </c>
      <c r="B281" s="48" t="s">
        <v>161</v>
      </c>
      <c r="C281" s="559" t="s">
        <v>125</v>
      </c>
      <c r="D281" s="546"/>
      <c r="E281" s="48"/>
      <c r="F281" s="481">
        <v>0.0</v>
      </c>
      <c r="G281" s="547"/>
      <c r="H281" s="48"/>
      <c r="I281" s="481">
        <v>0.0</v>
      </c>
      <c r="J281" s="480"/>
      <c r="K281" s="48"/>
      <c r="L281" s="484">
        <v>17062.199999999997</v>
      </c>
      <c r="M281" s="480"/>
      <c r="N281" s="484">
        <f t="shared" si="78"/>
        <v>17062.2</v>
      </c>
      <c r="O281" s="480"/>
      <c r="P281" s="48"/>
      <c r="Q281" s="484">
        <v>33608.77</v>
      </c>
      <c r="R281" s="480"/>
      <c r="S281" s="484">
        <f t="shared" si="79"/>
        <v>-16546.57</v>
      </c>
      <c r="T281" s="48"/>
      <c r="U281" s="48"/>
      <c r="V281" s="48"/>
      <c r="W281" s="48"/>
      <c r="X281" s="48"/>
      <c r="Y281" s="48"/>
      <c r="Z281" s="48"/>
      <c r="AA281" s="48"/>
      <c r="AB281" s="48"/>
      <c r="AC281" s="48"/>
      <c r="AD281" s="48"/>
      <c r="AE281" s="48"/>
      <c r="AF281" s="48"/>
      <c r="AG281" s="48"/>
      <c r="AH281" s="48"/>
      <c r="AI281" s="48"/>
      <c r="AJ281" s="48"/>
      <c r="AK281" s="48"/>
      <c r="AL281" s="48"/>
      <c r="AM281" s="48"/>
      <c r="AN281" s="48"/>
    </row>
    <row r="282" ht="15.75" customHeight="1">
      <c r="A282" s="5" t="str">
        <f t="shared" si="66"/>
        <v>ServiceCsst</v>
      </c>
      <c r="B282" s="48" t="s">
        <v>161</v>
      </c>
      <c r="C282" s="559" t="s">
        <v>126</v>
      </c>
      <c r="D282" s="546"/>
      <c r="E282" s="48"/>
      <c r="F282" s="481">
        <v>0.0</v>
      </c>
      <c r="G282" s="547"/>
      <c r="H282" s="48"/>
      <c r="I282" s="481">
        <v>0.0</v>
      </c>
      <c r="J282" s="480"/>
      <c r="K282" s="48"/>
      <c r="L282" s="484">
        <v>11301.21</v>
      </c>
      <c r="M282" s="480"/>
      <c r="N282" s="484">
        <f t="shared" si="78"/>
        <v>11301.21</v>
      </c>
      <c r="O282" s="480"/>
      <c r="P282" s="48"/>
      <c r="Q282" s="484">
        <v>3272.49</v>
      </c>
      <c r="R282" s="480"/>
      <c r="S282" s="484">
        <f t="shared" si="79"/>
        <v>8028.72</v>
      </c>
      <c r="T282" s="48"/>
      <c r="U282" s="48"/>
      <c r="V282" s="48"/>
      <c r="W282" s="48"/>
      <c r="X282" s="48"/>
      <c r="Y282" s="48"/>
      <c r="Z282" s="48"/>
      <c r="AA282" s="48"/>
      <c r="AB282" s="48"/>
      <c r="AC282" s="48"/>
      <c r="AD282" s="48"/>
      <c r="AE282" s="48"/>
      <c r="AF282" s="48"/>
      <c r="AG282" s="48"/>
      <c r="AH282" s="48"/>
      <c r="AI282" s="48"/>
      <c r="AJ282" s="48"/>
      <c r="AK282" s="48"/>
      <c r="AL282" s="48"/>
      <c r="AM282" s="48"/>
      <c r="AN282" s="48"/>
    </row>
    <row r="283" ht="20.25" hidden="1" customHeight="1">
      <c r="A283" s="5" t="str">
        <f t="shared" si="66"/>
        <v>Service[...]</v>
      </c>
      <c r="B283" s="48" t="s">
        <v>161</v>
      </c>
      <c r="C283" s="480" t="s">
        <v>56</v>
      </c>
      <c r="D283" s="549"/>
      <c r="E283" s="564"/>
      <c r="F283" s="481">
        <v>0.0</v>
      </c>
      <c r="G283" s="550"/>
      <c r="H283" s="564"/>
      <c r="I283" s="481">
        <v>0.0</v>
      </c>
      <c r="J283" s="471"/>
      <c r="K283" s="564"/>
      <c r="L283" s="484">
        <v>0.0</v>
      </c>
      <c r="M283" s="471"/>
      <c r="N283" s="485">
        <f t="shared" si="78"/>
        <v>0</v>
      </c>
      <c r="O283" s="471"/>
      <c r="P283" s="564"/>
      <c r="Q283" s="484">
        <v>0.0</v>
      </c>
      <c r="R283" s="471"/>
      <c r="S283" s="476">
        <f t="shared" si="79"/>
        <v>0</v>
      </c>
      <c r="T283" s="48"/>
      <c r="U283" s="48"/>
      <c r="V283" s="48"/>
      <c r="W283" s="48"/>
      <c r="X283" s="48"/>
      <c r="Y283" s="48"/>
      <c r="Z283" s="48"/>
      <c r="AA283" s="48"/>
      <c r="AB283" s="48"/>
      <c r="AC283" s="48"/>
      <c r="AD283" s="48"/>
      <c r="AE283" s="48"/>
      <c r="AF283" s="48"/>
      <c r="AG283" s="48"/>
      <c r="AH283" s="48"/>
      <c r="AI283" s="48"/>
      <c r="AJ283" s="48"/>
      <c r="AK283" s="48"/>
      <c r="AL283" s="48"/>
      <c r="AM283" s="48"/>
      <c r="AN283" s="48"/>
    </row>
    <row r="284" ht="18.0" customHeight="1">
      <c r="A284" s="5" t="str">
        <f t="shared" si="66"/>
        <v>ServiceTOTAL PERSONNEL</v>
      </c>
      <c r="B284" s="48" t="s">
        <v>161</v>
      </c>
      <c r="C284" s="552" t="s">
        <v>127</v>
      </c>
      <c r="D284" s="553" t="s">
        <v>932</v>
      </c>
      <c r="E284" s="554" t="str">
        <f>F284/F$194</f>
        <v>#DIV/0!</v>
      </c>
      <c r="F284" s="555">
        <f>+SUM(F272:F283)</f>
        <v>0</v>
      </c>
      <c r="G284" s="556" t="s">
        <v>932</v>
      </c>
      <c r="H284" s="554" t="str">
        <f>I284/I$194</f>
        <v>#DIV/0!</v>
      </c>
      <c r="I284" s="555">
        <f>+SUM(I272:I283)</f>
        <v>0</v>
      </c>
      <c r="J284" s="556" t="s">
        <v>932</v>
      </c>
      <c r="K284" s="554" t="str">
        <f>L284/L$194</f>
        <v>#DIV/0!</v>
      </c>
      <c r="L284" s="555">
        <f>+SUM(L272:L283)</f>
        <v>267087.76</v>
      </c>
      <c r="M284" s="557"/>
      <c r="N284" s="555">
        <f t="shared" si="78"/>
        <v>267087.76</v>
      </c>
      <c r="O284" s="556" t="s">
        <v>932</v>
      </c>
      <c r="P284" s="554" t="str">
        <f>Q284/Q$194</f>
        <v>#DIV/0!</v>
      </c>
      <c r="Q284" s="555">
        <f>+SUM(Q272:Q283)</f>
        <v>351257.13</v>
      </c>
      <c r="R284" s="558"/>
      <c r="S284" s="555">
        <f t="shared" si="79"/>
        <v>-84169.37</v>
      </c>
      <c r="T284" s="48"/>
      <c r="U284" s="48"/>
      <c r="V284" s="48"/>
      <c r="W284" s="48"/>
      <c r="X284" s="48"/>
      <c r="Y284" s="48"/>
      <c r="Z284" s="48"/>
      <c r="AA284" s="48"/>
      <c r="AB284" s="48"/>
      <c r="AC284" s="48"/>
      <c r="AD284" s="48"/>
      <c r="AE284" s="48"/>
      <c r="AF284" s="48"/>
      <c r="AG284" s="48"/>
      <c r="AH284" s="48"/>
      <c r="AI284" s="48"/>
      <c r="AJ284" s="48"/>
      <c r="AK284" s="48"/>
      <c r="AL284" s="48"/>
      <c r="AM284" s="48"/>
      <c r="AN284" s="48"/>
    </row>
    <row r="285" ht="15.75" customHeight="1">
      <c r="A285" s="5" t="str">
        <f t="shared" si="66"/>
        <v>ServicePublicité 2</v>
      </c>
      <c r="B285" s="48" t="s">
        <v>161</v>
      </c>
      <c r="C285" s="480" t="s">
        <v>128</v>
      </c>
      <c r="D285" s="546"/>
      <c r="E285" s="48"/>
      <c r="F285" s="481">
        <v>0.0</v>
      </c>
      <c r="G285" s="547"/>
      <c r="H285" s="48"/>
      <c r="I285" s="481">
        <v>0.0</v>
      </c>
      <c r="J285" s="480"/>
      <c r="K285" s="48"/>
      <c r="L285" s="484">
        <v>8942.23</v>
      </c>
      <c r="M285" s="480"/>
      <c r="N285" s="484">
        <f t="shared" si="78"/>
        <v>8942.23</v>
      </c>
      <c r="O285" s="480"/>
      <c r="P285" s="48"/>
      <c r="Q285" s="484">
        <v>5287.47</v>
      </c>
      <c r="R285" s="480"/>
      <c r="S285" s="484">
        <f t="shared" si="79"/>
        <v>3654.76</v>
      </c>
      <c r="T285" s="48"/>
      <c r="U285" s="48"/>
      <c r="V285" s="48"/>
      <c r="W285" s="48"/>
      <c r="X285" s="48"/>
      <c r="Y285" s="48"/>
      <c r="Z285" s="48"/>
      <c r="AA285" s="48"/>
      <c r="AB285" s="48"/>
      <c r="AC285" s="48"/>
      <c r="AD285" s="48"/>
      <c r="AE285" s="48"/>
      <c r="AF285" s="48"/>
      <c r="AG285" s="48"/>
      <c r="AH285" s="48"/>
      <c r="AI285" s="48"/>
      <c r="AJ285" s="48"/>
      <c r="AK285" s="48"/>
      <c r="AL285" s="48"/>
      <c r="AM285" s="48"/>
      <c r="AN285" s="48"/>
    </row>
    <row r="286" ht="15.75" customHeight="1">
      <c r="A286" s="5" t="str">
        <f t="shared" si="66"/>
        <v>ServiceService gratuit 2</v>
      </c>
      <c r="B286" s="48" t="s">
        <v>161</v>
      </c>
      <c r="C286" s="480" t="s">
        <v>129</v>
      </c>
      <c r="D286" s="546"/>
      <c r="E286" s="48"/>
      <c r="F286" s="481">
        <v>0.0</v>
      </c>
      <c r="G286" s="547"/>
      <c r="H286" s="48"/>
      <c r="I286" s="481">
        <v>0.0</v>
      </c>
      <c r="J286" s="480"/>
      <c r="K286" s="48"/>
      <c r="L286" s="484">
        <v>13305.73</v>
      </c>
      <c r="M286" s="480"/>
      <c r="N286" s="484">
        <f t="shared" si="78"/>
        <v>13305.73</v>
      </c>
      <c r="O286" s="480"/>
      <c r="P286" s="48"/>
      <c r="Q286" s="484">
        <v>9856.07</v>
      </c>
      <c r="R286" s="480"/>
      <c r="S286" s="484">
        <f t="shared" si="79"/>
        <v>3449.66</v>
      </c>
      <c r="T286" s="48"/>
      <c r="U286" s="5"/>
      <c r="V286" s="48"/>
      <c r="W286" s="48"/>
      <c r="X286" s="48"/>
      <c r="Y286" s="48"/>
      <c r="Z286" s="48"/>
      <c r="AA286" s="48"/>
      <c r="AB286" s="48"/>
      <c r="AC286" s="48"/>
      <c r="AD286" s="48"/>
      <c r="AE286" s="48"/>
      <c r="AF286" s="48"/>
      <c r="AG286" s="48"/>
      <c r="AH286" s="48"/>
      <c r="AI286" s="48"/>
      <c r="AJ286" s="48"/>
      <c r="AK286" s="48"/>
      <c r="AL286" s="48"/>
      <c r="AM286" s="48"/>
      <c r="AN286" s="48"/>
    </row>
    <row r="287" ht="15.75" customHeight="1">
      <c r="A287" s="5" t="str">
        <f t="shared" si="66"/>
        <v>ServiceFrais véhicules de cie</v>
      </c>
      <c r="B287" s="48" t="s">
        <v>161</v>
      </c>
      <c r="C287" s="471" t="s">
        <v>130</v>
      </c>
      <c r="D287" s="549"/>
      <c r="E287" s="564"/>
      <c r="F287" s="473">
        <v>0.0</v>
      </c>
      <c r="G287" s="550"/>
      <c r="H287" s="564"/>
      <c r="I287" s="473">
        <v>0.0</v>
      </c>
      <c r="J287" s="471"/>
      <c r="K287" s="564"/>
      <c r="L287" s="484">
        <v>28358.39</v>
      </c>
      <c r="M287" s="471"/>
      <c r="N287" s="476">
        <f t="shared" si="78"/>
        <v>28358.39</v>
      </c>
      <c r="O287" s="471"/>
      <c r="P287" s="564"/>
      <c r="Q287" s="484">
        <v>-12281.04</v>
      </c>
      <c r="R287" s="471"/>
      <c r="S287" s="476">
        <f t="shared" si="79"/>
        <v>40639.43</v>
      </c>
      <c r="T287" s="48"/>
      <c r="U287" s="48"/>
      <c r="V287" s="48"/>
      <c r="W287" s="48"/>
      <c r="X287" s="48"/>
      <c r="Y287" s="48"/>
      <c r="Z287" s="48"/>
      <c r="AA287" s="48"/>
      <c r="AB287" s="48"/>
      <c r="AC287" s="48"/>
      <c r="AD287" s="48"/>
      <c r="AE287" s="48"/>
      <c r="AF287" s="48"/>
      <c r="AG287" s="48"/>
      <c r="AH287" s="48"/>
      <c r="AI287" s="48"/>
      <c r="AJ287" s="48"/>
      <c r="AK287" s="48"/>
      <c r="AL287" s="48"/>
      <c r="AM287" s="48"/>
      <c r="AN287" s="48"/>
    </row>
    <row r="288" ht="15.75" customHeight="1">
      <c r="A288" s="5" t="str">
        <f t="shared" si="66"/>
        <v>ServiceInformatique</v>
      </c>
      <c r="B288" s="48" t="s">
        <v>161</v>
      </c>
      <c r="C288" s="480" t="s">
        <v>131</v>
      </c>
      <c r="D288" s="546"/>
      <c r="E288" s="48"/>
      <c r="F288" s="481">
        <v>0.0</v>
      </c>
      <c r="G288" s="547"/>
      <c r="H288" s="48"/>
      <c r="I288" s="481">
        <v>0.0</v>
      </c>
      <c r="J288" s="480"/>
      <c r="K288" s="48"/>
      <c r="L288" s="523">
        <v>9221.65</v>
      </c>
      <c r="M288" s="480"/>
      <c r="N288" s="484">
        <f t="shared" si="78"/>
        <v>9221.65</v>
      </c>
      <c r="O288" s="480"/>
      <c r="P288" s="48"/>
      <c r="Q288" s="523">
        <v>9130.630000000001</v>
      </c>
      <c r="R288" s="480"/>
      <c r="S288" s="484">
        <f t="shared" si="79"/>
        <v>91.02</v>
      </c>
      <c r="T288" s="48"/>
      <c r="U288" s="48"/>
      <c r="V288" s="48"/>
      <c r="W288" s="48"/>
      <c r="X288" s="48"/>
      <c r="Y288" s="48"/>
      <c r="Z288" s="48"/>
      <c r="AA288" s="48"/>
      <c r="AB288" s="48"/>
      <c r="AC288" s="48"/>
      <c r="AD288" s="48"/>
      <c r="AE288" s="48"/>
      <c r="AF288" s="48"/>
      <c r="AG288" s="48"/>
      <c r="AH288" s="48"/>
      <c r="AI288" s="48"/>
      <c r="AJ288" s="48"/>
      <c r="AK288" s="48"/>
      <c r="AL288" s="48"/>
      <c r="AM288" s="48"/>
      <c r="AN288" s="48"/>
    </row>
    <row r="289" ht="15.75" customHeight="1">
      <c r="A289" s="5" t="str">
        <f t="shared" si="66"/>
        <v>ServiceFrais de déplacement</v>
      </c>
      <c r="B289" s="48" t="s">
        <v>161</v>
      </c>
      <c r="C289" s="480" t="s">
        <v>132</v>
      </c>
      <c r="D289" s="546"/>
      <c r="E289" s="48"/>
      <c r="F289" s="481">
        <v>0.0</v>
      </c>
      <c r="G289" s="547"/>
      <c r="H289" s="48"/>
      <c r="I289" s="481">
        <v>0.0</v>
      </c>
      <c r="J289" s="480"/>
      <c r="K289" s="48"/>
      <c r="L289" s="484">
        <v>11503.169999999998</v>
      </c>
      <c r="M289" s="480"/>
      <c r="N289" s="484">
        <f t="shared" si="78"/>
        <v>11503.17</v>
      </c>
      <c r="O289" s="480"/>
      <c r="P289" s="48"/>
      <c r="Q289" s="484">
        <v>17785.55</v>
      </c>
      <c r="R289" s="480"/>
      <c r="S289" s="484">
        <f t="shared" si="79"/>
        <v>-6282.38</v>
      </c>
      <c r="T289" s="48"/>
      <c r="U289" s="48"/>
      <c r="V289" s="48"/>
      <c r="W289" s="48"/>
      <c r="X289" s="48"/>
      <c r="Y289" s="48"/>
      <c r="Z289" s="48"/>
      <c r="AA289" s="48"/>
      <c r="AB289" s="48"/>
      <c r="AC289" s="48"/>
      <c r="AD289" s="48"/>
      <c r="AE289" s="48"/>
      <c r="AF289" s="48"/>
      <c r="AG289" s="48"/>
      <c r="AH289" s="48"/>
      <c r="AI289" s="48"/>
      <c r="AJ289" s="48"/>
      <c r="AK289" s="48"/>
      <c r="AL289" s="48"/>
      <c r="AM289" s="48"/>
      <c r="AN289" s="48"/>
    </row>
    <row r="290" ht="15.75" customHeight="1">
      <c r="A290" s="5" t="str">
        <f t="shared" si="66"/>
        <v>ServiceServices extérieurs</v>
      </c>
      <c r="B290" s="48" t="s">
        <v>161</v>
      </c>
      <c r="C290" s="471" t="s">
        <v>133</v>
      </c>
      <c r="D290" s="549"/>
      <c r="E290" s="564"/>
      <c r="F290" s="473">
        <v>0.0</v>
      </c>
      <c r="G290" s="550"/>
      <c r="H290" s="564"/>
      <c r="I290" s="473">
        <v>0.0</v>
      </c>
      <c r="J290" s="471"/>
      <c r="K290" s="564"/>
      <c r="L290" s="484">
        <v>35616.899999999994</v>
      </c>
      <c r="M290" s="471"/>
      <c r="N290" s="476">
        <f t="shared" si="78"/>
        <v>35616.9</v>
      </c>
      <c r="O290" s="471"/>
      <c r="P290" s="564"/>
      <c r="Q290" s="484">
        <v>30383.6</v>
      </c>
      <c r="R290" s="471"/>
      <c r="S290" s="476">
        <f t="shared" si="79"/>
        <v>5233.3</v>
      </c>
      <c r="T290" s="48"/>
      <c r="U290" s="40"/>
      <c r="V290" s="48"/>
      <c r="W290" s="48"/>
      <c r="X290" s="48"/>
      <c r="Y290" s="48"/>
      <c r="Z290" s="48"/>
      <c r="AA290" s="48"/>
      <c r="AB290" s="48"/>
      <c r="AC290" s="48"/>
      <c r="AD290" s="48"/>
      <c r="AE290" s="48"/>
      <c r="AF290" s="48"/>
      <c r="AG290" s="48"/>
      <c r="AH290" s="48"/>
      <c r="AI290" s="48"/>
      <c r="AJ290" s="48"/>
      <c r="AK290" s="48"/>
      <c r="AL290" s="48"/>
      <c r="AM290" s="48"/>
      <c r="AN290" s="48"/>
    </row>
    <row r="291" ht="15.75" customHeight="1">
      <c r="A291" s="5" t="str">
        <f t="shared" si="66"/>
        <v>ServiceFournitures d'atelier</v>
      </c>
      <c r="B291" s="48" t="s">
        <v>161</v>
      </c>
      <c r="C291" s="480" t="s">
        <v>173</v>
      </c>
      <c r="D291" s="546"/>
      <c r="E291" s="48"/>
      <c r="F291" s="481">
        <v>0.0</v>
      </c>
      <c r="G291" s="547"/>
      <c r="H291" s="48"/>
      <c r="I291" s="481">
        <v>0.0</v>
      </c>
      <c r="J291" s="480"/>
      <c r="K291" s="48"/>
      <c r="L291" s="523">
        <v>0.0</v>
      </c>
      <c r="M291" s="480"/>
      <c r="N291" s="484">
        <f t="shared" si="78"/>
        <v>0</v>
      </c>
      <c r="O291" s="480"/>
      <c r="P291" s="48"/>
      <c r="Q291" s="523">
        <v>0.0</v>
      </c>
      <c r="R291" s="480"/>
      <c r="S291" s="484">
        <f t="shared" si="79"/>
        <v>0</v>
      </c>
      <c r="T291" s="48"/>
      <c r="U291" s="48"/>
      <c r="V291" s="48"/>
      <c r="W291" s="48"/>
      <c r="X291" s="48"/>
      <c r="Y291" s="48"/>
      <c r="Z291" s="48"/>
      <c r="AA291" s="48"/>
      <c r="AB291" s="48"/>
      <c r="AC291" s="48"/>
      <c r="AD291" s="48"/>
      <c r="AE291" s="48"/>
      <c r="AF291" s="48"/>
      <c r="AG291" s="48"/>
      <c r="AH291" s="48"/>
      <c r="AI291" s="48"/>
      <c r="AJ291" s="48"/>
      <c r="AK291" s="48"/>
      <c r="AL291" s="48"/>
      <c r="AM291" s="48"/>
      <c r="AN291" s="48"/>
    </row>
    <row r="292" ht="15.75" customHeight="1">
      <c r="A292" s="5" t="str">
        <f t="shared" si="66"/>
        <v>ServiceFournitures autres</v>
      </c>
      <c r="B292" s="48" t="s">
        <v>161</v>
      </c>
      <c r="C292" s="480" t="s">
        <v>134</v>
      </c>
      <c r="D292" s="546"/>
      <c r="E292" s="48"/>
      <c r="F292" s="481">
        <v>0.0</v>
      </c>
      <c r="G292" s="547"/>
      <c r="H292" s="48"/>
      <c r="I292" s="481">
        <v>0.0</v>
      </c>
      <c r="J292" s="480"/>
      <c r="K292" s="48"/>
      <c r="L292" s="484">
        <v>14273.649999999998</v>
      </c>
      <c r="M292" s="480"/>
      <c r="N292" s="484">
        <f t="shared" si="78"/>
        <v>14273.65</v>
      </c>
      <c r="O292" s="480"/>
      <c r="P292" s="48"/>
      <c r="Q292" s="484">
        <v>13260.7</v>
      </c>
      <c r="R292" s="480"/>
      <c r="S292" s="484">
        <f t="shared" si="79"/>
        <v>1012.95</v>
      </c>
      <c r="T292" s="48"/>
      <c r="U292" s="48"/>
      <c r="V292" s="48"/>
      <c r="W292" s="48"/>
      <c r="X292" s="48"/>
      <c r="Y292" s="48"/>
      <c r="Z292" s="48"/>
      <c r="AA292" s="48"/>
      <c r="AB292" s="48"/>
      <c r="AC292" s="48"/>
      <c r="AD292" s="48"/>
      <c r="AE292" s="48"/>
      <c r="AF292" s="48"/>
      <c r="AG292" s="48"/>
      <c r="AH292" s="48"/>
      <c r="AI292" s="48"/>
      <c r="AJ292" s="48"/>
      <c r="AK292" s="48"/>
      <c r="AL292" s="48"/>
      <c r="AM292" s="48"/>
      <c r="AN292" s="48"/>
    </row>
    <row r="293" ht="15.75" customHeight="1">
      <c r="A293" s="5" t="str">
        <f t="shared" si="66"/>
        <v>ServiceUniformes</v>
      </c>
      <c r="B293" s="48" t="s">
        <v>161</v>
      </c>
      <c r="C293" s="480" t="s">
        <v>135</v>
      </c>
      <c r="D293" s="546"/>
      <c r="E293" s="48"/>
      <c r="F293" s="481">
        <v>0.0</v>
      </c>
      <c r="G293" s="547"/>
      <c r="H293" s="48"/>
      <c r="I293" s="481">
        <v>0.0</v>
      </c>
      <c r="J293" s="480"/>
      <c r="K293" s="48"/>
      <c r="L293" s="484">
        <v>0.0</v>
      </c>
      <c r="M293" s="480"/>
      <c r="N293" s="484">
        <f t="shared" si="78"/>
        <v>0</v>
      </c>
      <c r="O293" s="480"/>
      <c r="P293" s="48"/>
      <c r="Q293" s="484">
        <v>0.0</v>
      </c>
      <c r="R293" s="480"/>
      <c r="S293" s="484">
        <f t="shared" si="79"/>
        <v>0</v>
      </c>
      <c r="T293" s="48"/>
      <c r="U293" s="48"/>
      <c r="V293" s="48"/>
      <c r="W293" s="48"/>
      <c r="X293" s="48"/>
      <c r="Y293" s="48"/>
      <c r="Z293" s="48"/>
      <c r="AA293" s="48"/>
      <c r="AB293" s="48"/>
      <c r="AC293" s="48"/>
      <c r="AD293" s="48"/>
      <c r="AE293" s="48"/>
      <c r="AF293" s="48"/>
      <c r="AG293" s="48"/>
      <c r="AH293" s="48"/>
      <c r="AI293" s="48"/>
      <c r="AJ293" s="48"/>
      <c r="AK293" s="48"/>
      <c r="AL293" s="48"/>
      <c r="AM293" s="48"/>
      <c r="AN293" s="48"/>
    </row>
    <row r="294" ht="15.75" customHeight="1">
      <c r="A294" s="5" t="str">
        <f t="shared" si="66"/>
        <v>ServicePapeterie</v>
      </c>
      <c r="B294" s="48" t="s">
        <v>161</v>
      </c>
      <c r="C294" s="480" t="s">
        <v>136</v>
      </c>
      <c r="D294" s="546"/>
      <c r="E294" s="48"/>
      <c r="F294" s="481">
        <v>0.0</v>
      </c>
      <c r="G294" s="547"/>
      <c r="H294" s="48"/>
      <c r="I294" s="481">
        <v>0.0</v>
      </c>
      <c r="J294" s="480"/>
      <c r="K294" s="48"/>
      <c r="L294" s="484">
        <v>4793.55</v>
      </c>
      <c r="M294" s="480"/>
      <c r="N294" s="484">
        <f t="shared" si="78"/>
        <v>4793.55</v>
      </c>
      <c r="O294" s="480"/>
      <c r="P294" s="483"/>
      <c r="Q294" s="484">
        <v>4253.31</v>
      </c>
      <c r="R294" s="480"/>
      <c r="S294" s="484">
        <f t="shared" si="79"/>
        <v>540.24</v>
      </c>
      <c r="T294" s="48"/>
      <c r="U294" s="48"/>
      <c r="V294" s="48"/>
      <c r="W294" s="48"/>
      <c r="X294" s="48"/>
      <c r="Y294" s="48"/>
      <c r="Z294" s="48"/>
      <c r="AA294" s="48"/>
      <c r="AB294" s="48"/>
      <c r="AC294" s="48"/>
      <c r="AD294" s="48"/>
      <c r="AE294" s="48"/>
      <c r="AF294" s="48"/>
      <c r="AG294" s="48"/>
      <c r="AH294" s="48"/>
      <c r="AI294" s="48"/>
      <c r="AJ294" s="48"/>
      <c r="AK294" s="48"/>
      <c r="AL294" s="48"/>
      <c r="AM294" s="48"/>
      <c r="AN294" s="48"/>
    </row>
    <row r="295" ht="15.75" customHeight="1">
      <c r="A295" s="5" t="str">
        <f t="shared" si="66"/>
        <v>ServiceTéléphone</v>
      </c>
      <c r="B295" s="48" t="s">
        <v>161</v>
      </c>
      <c r="C295" s="480" t="s">
        <v>137</v>
      </c>
      <c r="D295" s="546"/>
      <c r="E295" s="48"/>
      <c r="F295" s="481">
        <v>0.0</v>
      </c>
      <c r="G295" s="547"/>
      <c r="H295" s="48"/>
      <c r="I295" s="481">
        <v>0.0</v>
      </c>
      <c r="J295" s="480"/>
      <c r="K295" s="48"/>
      <c r="L295" s="484">
        <v>2093.3100000000004</v>
      </c>
      <c r="M295" s="480"/>
      <c r="N295" s="484">
        <f t="shared" si="78"/>
        <v>2093.31</v>
      </c>
      <c r="O295" s="480"/>
      <c r="P295" s="48"/>
      <c r="Q295" s="484">
        <v>3939.4700000000003</v>
      </c>
      <c r="R295" s="480"/>
      <c r="S295" s="484">
        <f t="shared" si="79"/>
        <v>-1846.16</v>
      </c>
      <c r="T295" s="48"/>
      <c r="U295" s="48"/>
      <c r="V295" s="48"/>
      <c r="W295" s="48"/>
      <c r="X295" s="48"/>
      <c r="Y295" s="48"/>
      <c r="Z295" s="48"/>
      <c r="AA295" s="48"/>
      <c r="AB295" s="48"/>
      <c r="AC295" s="48"/>
      <c r="AD295" s="48"/>
      <c r="AE295" s="48"/>
      <c r="AF295" s="48"/>
      <c r="AG295" s="48"/>
      <c r="AH295" s="48"/>
      <c r="AI295" s="48"/>
      <c r="AJ295" s="48"/>
      <c r="AK295" s="48"/>
      <c r="AL295" s="48"/>
      <c r="AM295" s="48"/>
      <c r="AN295" s="48"/>
    </row>
    <row r="296" ht="15.75" customHeight="1">
      <c r="A296" s="5" t="str">
        <f t="shared" si="66"/>
        <v>ServiceFrais postaux</v>
      </c>
      <c r="B296" s="48" t="s">
        <v>161</v>
      </c>
      <c r="C296" s="480" t="s">
        <v>138</v>
      </c>
      <c r="D296" s="546"/>
      <c r="E296" s="48"/>
      <c r="F296" s="481">
        <v>0.0</v>
      </c>
      <c r="G296" s="547"/>
      <c r="H296" s="48"/>
      <c r="I296" s="481">
        <v>0.0</v>
      </c>
      <c r="J296" s="480"/>
      <c r="K296" s="48"/>
      <c r="L296" s="484">
        <v>4046.15</v>
      </c>
      <c r="M296" s="480"/>
      <c r="N296" s="484">
        <f t="shared" si="78"/>
        <v>4046.15</v>
      </c>
      <c r="O296" s="480"/>
      <c r="P296" s="48"/>
      <c r="Q296" s="484">
        <v>2568.3599999999997</v>
      </c>
      <c r="R296" s="480"/>
      <c r="S296" s="484">
        <f t="shared" si="79"/>
        <v>1477.79</v>
      </c>
      <c r="T296" s="48"/>
      <c r="U296" s="48"/>
      <c r="V296" s="48"/>
      <c r="W296" s="48"/>
      <c r="X296" s="48"/>
      <c r="Y296" s="48"/>
      <c r="Z296" s="48"/>
      <c r="AA296" s="48"/>
      <c r="AB296" s="48"/>
      <c r="AC296" s="48"/>
      <c r="AD296" s="48"/>
      <c r="AE296" s="48"/>
      <c r="AF296" s="48"/>
      <c r="AG296" s="48"/>
      <c r="AH296" s="48"/>
      <c r="AI296" s="48"/>
      <c r="AJ296" s="48"/>
      <c r="AK296" s="48"/>
      <c r="AL296" s="48"/>
      <c r="AM296" s="48"/>
      <c r="AN296" s="48"/>
    </row>
    <row r="297" ht="15.75" customHeight="1">
      <c r="A297" s="5" t="str">
        <f t="shared" si="66"/>
        <v>ServiceDivers</v>
      </c>
      <c r="B297" s="48" t="s">
        <v>161</v>
      </c>
      <c r="C297" s="480" t="s">
        <v>139</v>
      </c>
      <c r="D297" s="546"/>
      <c r="E297" s="48"/>
      <c r="F297" s="481">
        <v>0.0</v>
      </c>
      <c r="G297" s="547"/>
      <c r="H297" s="48"/>
      <c r="I297" s="481">
        <v>0.0</v>
      </c>
      <c r="J297" s="480"/>
      <c r="K297" s="48"/>
      <c r="L297" s="484">
        <v>524.0300000000009</v>
      </c>
      <c r="M297" s="480"/>
      <c r="N297" s="484">
        <f t="shared" si="78"/>
        <v>524.03</v>
      </c>
      <c r="O297" s="480"/>
      <c r="P297" s="48"/>
      <c r="Q297" s="484">
        <v>3251.9299999999994</v>
      </c>
      <c r="R297" s="480"/>
      <c r="S297" s="484">
        <f t="shared" si="79"/>
        <v>-2727.9</v>
      </c>
      <c r="T297" s="48"/>
      <c r="U297" s="48"/>
      <c r="V297" s="48"/>
      <c r="W297" s="48"/>
      <c r="X297" s="48"/>
      <c r="Y297" s="48"/>
      <c r="Z297" s="48"/>
      <c r="AA297" s="48"/>
      <c r="AB297" s="48"/>
      <c r="AC297" s="48"/>
      <c r="AD297" s="48"/>
      <c r="AE297" s="48"/>
      <c r="AF297" s="48"/>
      <c r="AG297" s="48"/>
      <c r="AH297" s="48"/>
      <c r="AI297" s="48"/>
      <c r="AJ297" s="48"/>
      <c r="AK297" s="48"/>
      <c r="AL297" s="48"/>
      <c r="AM297" s="48"/>
      <c r="AN297" s="48"/>
    </row>
    <row r="298" ht="15.75" customHeight="1">
      <c r="A298" s="5" t="str">
        <f t="shared" si="66"/>
        <v>ServiceFormation</v>
      </c>
      <c r="B298" s="48" t="s">
        <v>161</v>
      </c>
      <c r="C298" s="480" t="s">
        <v>140</v>
      </c>
      <c r="D298" s="546"/>
      <c r="E298" s="48"/>
      <c r="F298" s="481">
        <v>0.0</v>
      </c>
      <c r="G298" s="547"/>
      <c r="H298" s="48"/>
      <c r="I298" s="481">
        <v>0.0</v>
      </c>
      <c r="J298" s="480"/>
      <c r="K298" s="48"/>
      <c r="L298" s="484">
        <v>3170.8099999999995</v>
      </c>
      <c r="M298" s="480"/>
      <c r="N298" s="484">
        <f t="shared" si="78"/>
        <v>3170.81</v>
      </c>
      <c r="O298" s="480"/>
      <c r="P298" s="48"/>
      <c r="Q298" s="484">
        <v>7091.459999999999</v>
      </c>
      <c r="R298" s="480"/>
      <c r="S298" s="484">
        <f t="shared" si="79"/>
        <v>-3920.65</v>
      </c>
      <c r="T298" s="48"/>
      <c r="X298" s="48"/>
      <c r="Y298" s="48"/>
      <c r="Z298" s="48"/>
      <c r="AA298" s="48"/>
      <c r="AB298" s="48"/>
      <c r="AC298" s="48"/>
      <c r="AD298" s="48"/>
      <c r="AE298" s="48"/>
      <c r="AF298" s="48"/>
      <c r="AG298" s="48"/>
      <c r="AH298" s="48"/>
      <c r="AI298" s="48"/>
      <c r="AJ298" s="48"/>
      <c r="AK298" s="48"/>
      <c r="AL298" s="48"/>
      <c r="AM298" s="48"/>
      <c r="AN298" s="48"/>
    </row>
    <row r="299" ht="15.75" customHeight="1">
      <c r="A299" s="5" t="str">
        <f t="shared" si="66"/>
        <v>ServiceFrais bancaires</v>
      </c>
      <c r="B299" s="48" t="s">
        <v>161</v>
      </c>
      <c r="C299" s="480" t="s">
        <v>141</v>
      </c>
      <c r="D299" s="546"/>
      <c r="E299" s="48"/>
      <c r="F299" s="481">
        <v>0.0</v>
      </c>
      <c r="G299" s="547"/>
      <c r="H299" s="48"/>
      <c r="I299" s="481">
        <v>0.0</v>
      </c>
      <c r="J299" s="480"/>
      <c r="K299" s="48"/>
      <c r="L299" s="484">
        <v>5363.030000000001</v>
      </c>
      <c r="M299" s="480"/>
      <c r="N299" s="484">
        <f t="shared" si="78"/>
        <v>5363.03</v>
      </c>
      <c r="O299" s="480"/>
      <c r="P299" s="48"/>
      <c r="Q299" s="484">
        <v>1009.8200000000002</v>
      </c>
      <c r="R299" s="480"/>
      <c r="S299" s="484">
        <f t="shared" si="79"/>
        <v>4353.21</v>
      </c>
      <c r="T299" s="48"/>
      <c r="X299" s="48"/>
      <c r="Y299" s="48"/>
      <c r="Z299" s="48"/>
      <c r="AA299" s="48"/>
      <c r="AB299" s="48"/>
      <c r="AC299" s="48"/>
      <c r="AD299" s="48"/>
      <c r="AE299" s="48"/>
      <c r="AF299" s="48"/>
      <c r="AG299" s="48"/>
      <c r="AH299" s="48"/>
      <c r="AI299" s="48"/>
      <c r="AJ299" s="48"/>
      <c r="AK299" s="48"/>
      <c r="AL299" s="48"/>
      <c r="AM299" s="48"/>
      <c r="AN299" s="48"/>
    </row>
    <row r="300" ht="20.25" hidden="1" customHeight="1">
      <c r="A300" s="5" t="str">
        <f t="shared" si="66"/>
        <v>Service[...]</v>
      </c>
      <c r="B300" s="48" t="s">
        <v>161</v>
      </c>
      <c r="C300" s="480" t="s">
        <v>56</v>
      </c>
      <c r="D300" s="546"/>
      <c r="E300" s="48"/>
      <c r="F300" s="481">
        <v>0.0</v>
      </c>
      <c r="G300" s="547"/>
      <c r="H300" s="48"/>
      <c r="I300" s="481">
        <v>0.0</v>
      </c>
      <c r="J300" s="480"/>
      <c r="K300" s="48"/>
      <c r="L300" s="484">
        <v>0.0</v>
      </c>
      <c r="M300" s="480"/>
      <c r="N300" s="484">
        <f t="shared" si="78"/>
        <v>0</v>
      </c>
      <c r="O300" s="480"/>
      <c r="P300" s="48"/>
      <c r="Q300" s="484">
        <v>0.0</v>
      </c>
      <c r="R300" s="480"/>
      <c r="S300" s="484">
        <f t="shared" si="79"/>
        <v>0</v>
      </c>
      <c r="T300" s="48"/>
      <c r="U300" s="48"/>
      <c r="V300" s="48"/>
      <c r="W300" s="48"/>
      <c r="X300" s="48"/>
      <c r="Y300" s="48"/>
      <c r="Z300" s="48"/>
      <c r="AA300" s="48"/>
      <c r="AB300" s="48"/>
      <c r="AC300" s="48"/>
      <c r="AD300" s="48"/>
      <c r="AE300" s="48"/>
      <c r="AF300" s="48"/>
      <c r="AG300" s="48"/>
      <c r="AH300" s="48"/>
      <c r="AI300" s="48"/>
      <c r="AJ300" s="48"/>
      <c r="AK300" s="48"/>
      <c r="AL300" s="48"/>
      <c r="AM300" s="48"/>
      <c r="AN300" s="48"/>
    </row>
    <row r="301" ht="20.25" hidden="1" customHeight="1">
      <c r="A301" s="5"/>
      <c r="B301" s="48" t="s">
        <v>161</v>
      </c>
      <c r="C301" s="480" t="s">
        <v>56</v>
      </c>
      <c r="D301" s="546"/>
      <c r="E301" s="48"/>
      <c r="F301" s="481">
        <v>0.0</v>
      </c>
      <c r="G301" s="547"/>
      <c r="H301" s="48"/>
      <c r="I301" s="481">
        <v>0.0</v>
      </c>
      <c r="J301" s="480"/>
      <c r="K301" s="48"/>
      <c r="L301" s="484">
        <v>0.0</v>
      </c>
      <c r="M301" s="480"/>
      <c r="N301" s="484">
        <f t="shared" si="78"/>
        <v>0</v>
      </c>
      <c r="O301" s="480"/>
      <c r="P301" s="48"/>
      <c r="Q301" s="484">
        <v>0.0</v>
      </c>
      <c r="R301" s="480"/>
      <c r="S301" s="484">
        <f t="shared" si="79"/>
        <v>0</v>
      </c>
      <c r="T301" s="48"/>
      <c r="U301" s="48"/>
      <c r="V301" s="48"/>
      <c r="W301" s="48"/>
      <c r="X301" s="48"/>
      <c r="Y301" s="48"/>
      <c r="Z301" s="48"/>
      <c r="AA301" s="48"/>
      <c r="AB301" s="48"/>
      <c r="AC301" s="48"/>
      <c r="AD301" s="48"/>
      <c r="AE301" s="48"/>
      <c r="AF301" s="48"/>
      <c r="AG301" s="48"/>
      <c r="AH301" s="48"/>
      <c r="AI301" s="48"/>
      <c r="AJ301" s="48"/>
      <c r="AK301" s="48"/>
      <c r="AL301" s="48"/>
      <c r="AM301" s="48"/>
      <c r="AN301" s="48"/>
    </row>
    <row r="302" ht="20.25" hidden="1" customHeight="1">
      <c r="A302" s="5" t="str">
        <f>+B302&amp;C302</f>
        <v>Service[...]</v>
      </c>
      <c r="B302" s="48" t="s">
        <v>161</v>
      </c>
      <c r="C302" s="480" t="s">
        <v>56</v>
      </c>
      <c r="D302" s="546"/>
      <c r="E302" s="48"/>
      <c r="F302" s="481">
        <v>0.0</v>
      </c>
      <c r="G302" s="547"/>
      <c r="H302" s="48"/>
      <c r="I302" s="481">
        <v>0.0</v>
      </c>
      <c r="J302" s="480"/>
      <c r="K302" s="48"/>
      <c r="L302" s="484">
        <v>0.0</v>
      </c>
      <c r="M302" s="480"/>
      <c r="N302" s="484">
        <f t="shared" si="78"/>
        <v>0</v>
      </c>
      <c r="O302" s="480"/>
      <c r="P302" s="48"/>
      <c r="Q302" s="484">
        <v>0.0</v>
      </c>
      <c r="R302" s="480"/>
      <c r="S302" s="484">
        <f t="shared" si="79"/>
        <v>0</v>
      </c>
      <c r="T302" s="48"/>
      <c r="U302" s="48"/>
      <c r="V302" s="48"/>
      <c r="W302" s="48"/>
      <c r="X302" s="48"/>
      <c r="Y302" s="48"/>
      <c r="Z302" s="48"/>
      <c r="AA302" s="48"/>
      <c r="AB302" s="48"/>
      <c r="AC302" s="48"/>
      <c r="AD302" s="48"/>
      <c r="AE302" s="48"/>
      <c r="AF302" s="48"/>
      <c r="AG302" s="48"/>
      <c r="AH302" s="48"/>
      <c r="AI302" s="48"/>
      <c r="AJ302" s="48"/>
      <c r="AK302" s="48"/>
      <c r="AL302" s="48"/>
      <c r="AM302" s="48"/>
      <c r="AN302" s="48"/>
    </row>
    <row r="303" ht="18.0" customHeight="1">
      <c r="A303" s="5"/>
      <c r="B303" s="48"/>
      <c r="C303" s="552" t="s">
        <v>142</v>
      </c>
      <c r="D303" s="553" t="s">
        <v>932</v>
      </c>
      <c r="E303" s="554" t="str">
        <f>F303/F$194</f>
        <v>#DIV/0!</v>
      </c>
      <c r="F303" s="555">
        <f>+SUM(F285:F302)</f>
        <v>0</v>
      </c>
      <c r="G303" s="556" t="s">
        <v>932</v>
      </c>
      <c r="H303" s="554" t="str">
        <f>I303/I$194</f>
        <v>#DIV/0!</v>
      </c>
      <c r="I303" s="555">
        <f>+SUM(I285:I302)</f>
        <v>0</v>
      </c>
      <c r="J303" s="556" t="s">
        <v>932</v>
      </c>
      <c r="K303" s="554" t="str">
        <f>L303/L$194</f>
        <v>#DIV/0!</v>
      </c>
      <c r="L303" s="555">
        <f>+SUM(L285:L302)</f>
        <v>141212.6</v>
      </c>
      <c r="M303" s="557"/>
      <c r="N303" s="555">
        <f t="shared" si="78"/>
        <v>141212.6</v>
      </c>
      <c r="O303" s="556" t="s">
        <v>932</v>
      </c>
      <c r="P303" s="554" t="str">
        <f>Q303/Q$194</f>
        <v>#DIV/0!</v>
      </c>
      <c r="Q303" s="555">
        <f>+SUM(Q285:Q302)</f>
        <v>95537.33</v>
      </c>
      <c r="R303" s="558"/>
      <c r="S303" s="555">
        <f t="shared" si="79"/>
        <v>45675.27</v>
      </c>
      <c r="T303" s="48"/>
      <c r="U303" s="48"/>
      <c r="V303" s="48"/>
      <c r="W303" s="48"/>
      <c r="X303" s="48"/>
      <c r="Y303" s="48"/>
      <c r="Z303" s="48"/>
      <c r="AA303" s="48"/>
      <c r="AB303" s="48"/>
      <c r="AC303" s="48"/>
      <c r="AD303" s="48"/>
      <c r="AE303" s="48"/>
      <c r="AF303" s="48"/>
      <c r="AG303" s="48"/>
      <c r="AH303" s="48"/>
      <c r="AI303" s="48"/>
      <c r="AJ303" s="48"/>
      <c r="AK303" s="48"/>
      <c r="AL303" s="48"/>
      <c r="AM303" s="48"/>
      <c r="AN303" s="48"/>
    </row>
    <row r="304" ht="15.75" customHeight="1">
      <c r="B304" s="48"/>
      <c r="C304" s="471"/>
      <c r="D304" s="549"/>
      <c r="E304" s="564"/>
      <c r="F304" s="484"/>
      <c r="G304" s="550"/>
      <c r="H304" s="564"/>
      <c r="I304" s="484"/>
      <c r="J304" s="471"/>
      <c r="K304" s="564"/>
      <c r="L304" s="476"/>
      <c r="M304" s="471"/>
      <c r="N304" s="476"/>
      <c r="O304" s="471"/>
      <c r="P304" s="564"/>
      <c r="Q304" s="476"/>
      <c r="R304" s="471"/>
      <c r="S304" s="476"/>
      <c r="T304" s="48"/>
      <c r="U304" s="48"/>
      <c r="V304" s="48"/>
      <c r="W304" s="48"/>
      <c r="X304" s="48"/>
      <c r="Y304" s="48"/>
      <c r="Z304" s="48"/>
      <c r="AA304" s="48"/>
      <c r="AB304" s="48"/>
      <c r="AC304" s="48"/>
      <c r="AD304" s="48"/>
      <c r="AE304" s="48"/>
      <c r="AF304" s="48"/>
      <c r="AG304" s="48"/>
      <c r="AH304" s="48"/>
      <c r="AI304" s="48"/>
      <c r="AJ304" s="48"/>
      <c r="AK304" s="48"/>
      <c r="AL304" s="48"/>
      <c r="AM304" s="48"/>
      <c r="AN304" s="48"/>
    </row>
    <row r="305" ht="18.0" customHeight="1">
      <c r="A305" s="5"/>
      <c r="B305" s="48"/>
      <c r="C305" s="552" t="s">
        <v>143</v>
      </c>
      <c r="D305" s="553" t="s">
        <v>225</v>
      </c>
      <c r="E305" s="554" t="str">
        <f>F305/F$194</f>
        <v>#DIV/0!</v>
      </c>
      <c r="F305" s="555">
        <f>F284+F303</f>
        <v>0</v>
      </c>
      <c r="G305" s="556" t="s">
        <v>225</v>
      </c>
      <c r="H305" s="554" t="str">
        <f>I305/I$194</f>
        <v>#DIV/0!</v>
      </c>
      <c r="I305" s="555">
        <f>I284+I303</f>
        <v>0</v>
      </c>
      <c r="J305" s="556" t="s">
        <v>225</v>
      </c>
      <c r="K305" s="554" t="str">
        <f>L305/L$194</f>
        <v>#DIV/0!</v>
      </c>
      <c r="L305" s="555">
        <f>L284+L303</f>
        <v>408300.36</v>
      </c>
      <c r="M305" s="557"/>
      <c r="N305" s="555">
        <f t="shared" ref="N305:N307" si="80">L305-F305</f>
        <v>408300.36</v>
      </c>
      <c r="O305" s="556" t="s">
        <v>225</v>
      </c>
      <c r="P305" s="554" t="str">
        <f>Q305/Q$194</f>
        <v>#DIV/0!</v>
      </c>
      <c r="Q305" s="555">
        <f>Q284+Q303</f>
        <v>446794.46</v>
      </c>
      <c r="R305" s="558"/>
      <c r="S305" s="555">
        <f>L305-Q305</f>
        <v>-38494.1</v>
      </c>
      <c r="T305" s="48"/>
      <c r="U305" s="48"/>
      <c r="V305" s="48"/>
      <c r="W305" s="48"/>
      <c r="X305" s="48"/>
      <c r="Y305" s="48"/>
      <c r="Z305" s="48"/>
      <c r="AA305" s="48"/>
      <c r="AB305" s="48"/>
      <c r="AC305" s="48"/>
      <c r="AD305" s="48"/>
      <c r="AE305" s="48"/>
      <c r="AF305" s="48"/>
      <c r="AG305" s="48"/>
      <c r="AH305" s="48"/>
      <c r="AI305" s="48"/>
      <c r="AJ305" s="48"/>
      <c r="AK305" s="48"/>
      <c r="AL305" s="48"/>
      <c r="AM305" s="48"/>
      <c r="AN305" s="48"/>
    </row>
    <row r="306" ht="15.75" customHeight="1">
      <c r="B306" s="48"/>
      <c r="C306" s="480"/>
      <c r="D306" s="546"/>
      <c r="E306" s="48"/>
      <c r="F306" s="484"/>
      <c r="G306" s="547"/>
      <c r="H306" s="48"/>
      <c r="I306" s="484"/>
      <c r="J306" s="480"/>
      <c r="K306" s="48"/>
      <c r="L306" s="484"/>
      <c r="M306" s="480"/>
      <c r="N306" s="484">
        <f t="shared" si="80"/>
        <v>0</v>
      </c>
      <c r="O306" s="480"/>
      <c r="P306" s="48"/>
      <c r="Q306" s="484"/>
      <c r="R306" s="480"/>
      <c r="S306" s="484"/>
      <c r="T306" s="48"/>
      <c r="U306" s="48"/>
      <c r="V306" s="48"/>
      <c r="W306" s="48"/>
      <c r="X306" s="48"/>
      <c r="Y306" s="48"/>
      <c r="Z306" s="48"/>
      <c r="AA306" s="48"/>
      <c r="AB306" s="48"/>
      <c r="AC306" s="48"/>
      <c r="AD306" s="48"/>
      <c r="AE306" s="48"/>
      <c r="AF306" s="48"/>
      <c r="AG306" s="48"/>
      <c r="AH306" s="48"/>
      <c r="AI306" s="48"/>
      <c r="AJ306" s="48"/>
      <c r="AK306" s="48"/>
      <c r="AL306" s="48"/>
      <c r="AM306" s="48"/>
      <c r="AN306" s="48"/>
    </row>
    <row r="307" ht="18.0" customHeight="1">
      <c r="A307" s="5"/>
      <c r="B307" s="48"/>
      <c r="C307" s="579" t="s">
        <v>150</v>
      </c>
      <c r="D307" s="580"/>
      <c r="E307" s="581"/>
      <c r="F307" s="582">
        <f>F268-F305</f>
        <v>0</v>
      </c>
      <c r="G307" s="583"/>
      <c r="H307" s="581"/>
      <c r="I307" s="582">
        <f>I268-I305</f>
        <v>0</v>
      </c>
      <c r="J307" s="583"/>
      <c r="K307" s="581"/>
      <c r="L307" s="582">
        <f>L268-L305</f>
        <v>-16090.8</v>
      </c>
      <c r="M307" s="584"/>
      <c r="N307" s="582">
        <f t="shared" si="80"/>
        <v>-16090.8</v>
      </c>
      <c r="O307" s="583"/>
      <c r="P307" s="581"/>
      <c r="Q307" s="582">
        <f>Q268-Q305</f>
        <v>110687.04</v>
      </c>
      <c r="R307" s="585"/>
      <c r="S307" s="582">
        <f>L307-Q307</f>
        <v>-126777.84</v>
      </c>
      <c r="T307" s="48"/>
      <c r="U307" s="48"/>
      <c r="V307" s="48"/>
      <c r="W307" s="48"/>
      <c r="X307" s="48"/>
      <c r="Y307" s="48"/>
      <c r="Z307" s="48"/>
      <c r="AA307" s="48"/>
      <c r="AB307" s="48"/>
      <c r="AC307" s="48"/>
      <c r="AD307" s="48"/>
      <c r="AE307" s="48"/>
      <c r="AF307" s="48"/>
      <c r="AG307" s="48"/>
      <c r="AH307" s="48"/>
      <c r="AI307" s="48"/>
      <c r="AJ307" s="48"/>
      <c r="AK307" s="48"/>
      <c r="AL307" s="48"/>
      <c r="AM307" s="48"/>
      <c r="AN307" s="48"/>
    </row>
    <row r="308" ht="15.75" customHeight="1">
      <c r="B308" s="48"/>
      <c r="C308" s="48"/>
      <c r="D308" s="48"/>
      <c r="E308" s="48"/>
      <c r="F308" s="48"/>
      <c r="G308" s="48"/>
      <c r="H308" s="48"/>
      <c r="I308" s="48"/>
      <c r="J308" s="48"/>
      <c r="K308" s="48"/>
      <c r="L308" s="483"/>
      <c r="M308" s="483"/>
      <c r="N308" s="48"/>
      <c r="O308" s="483"/>
      <c r="P308" s="483"/>
      <c r="Q308" s="483"/>
      <c r="R308" s="48"/>
      <c r="S308" s="48"/>
      <c r="T308" s="48"/>
      <c r="U308" s="48"/>
      <c r="V308" s="48"/>
      <c r="W308" s="48"/>
      <c r="X308" s="48"/>
      <c r="Y308" s="48"/>
      <c r="Z308" s="48"/>
      <c r="AA308" s="48"/>
      <c r="AB308" s="48"/>
      <c r="AC308" s="48"/>
      <c r="AD308" s="48"/>
      <c r="AE308" s="48"/>
      <c r="AF308" s="48"/>
      <c r="AG308" s="48"/>
      <c r="AH308" s="48"/>
      <c r="AI308" s="48"/>
      <c r="AJ308" s="48"/>
      <c r="AK308" s="48"/>
      <c r="AL308" s="48"/>
      <c r="AM308" s="48"/>
      <c r="AN308" s="48"/>
    </row>
    <row r="309" ht="15.75" customHeight="1">
      <c r="B309" s="48"/>
      <c r="C309" s="40"/>
      <c r="D309" s="40"/>
      <c r="E309" s="40"/>
      <c r="F309" s="40"/>
      <c r="G309" s="40"/>
      <c r="H309" s="40"/>
      <c r="I309" s="40"/>
      <c r="J309" s="40"/>
      <c r="K309" s="40"/>
      <c r="L309" s="540"/>
      <c r="M309" s="540"/>
      <c r="N309" s="40"/>
      <c r="O309" s="540"/>
      <c r="P309" s="40"/>
      <c r="Q309" s="540"/>
      <c r="R309" s="40"/>
      <c r="S309" s="40"/>
      <c r="T309" s="40"/>
      <c r="U309" s="40"/>
      <c r="V309" s="48"/>
      <c r="W309" s="48"/>
      <c r="X309" s="48"/>
      <c r="Y309" s="48"/>
      <c r="Z309" s="48"/>
      <c r="AA309" s="48"/>
      <c r="AB309" s="48"/>
      <c r="AC309" s="48"/>
      <c r="AD309" s="48"/>
      <c r="AE309" s="48"/>
      <c r="AF309" s="48"/>
      <c r="AG309" s="48"/>
      <c r="AH309" s="48"/>
      <c r="AI309" s="48"/>
      <c r="AJ309" s="48"/>
      <c r="AK309" s="48"/>
      <c r="AL309" s="48"/>
      <c r="AM309" s="48"/>
      <c r="AN309" s="48"/>
    </row>
    <row r="310" ht="33.0" customHeight="1">
      <c r="B310" s="48"/>
      <c r="C310" s="450" t="str">
        <f>C1</f>
        <v>Ste-Marie Auto</v>
      </c>
      <c r="D310" s="451"/>
      <c r="E310" s="452"/>
      <c r="F310" s="451"/>
      <c r="G310" s="451"/>
      <c r="H310" s="450"/>
      <c r="I310" s="451"/>
      <c r="J310" s="450"/>
      <c r="K310" s="453" t="s">
        <v>174</v>
      </c>
      <c r="L310" s="451"/>
      <c r="M310" s="451"/>
      <c r="N310" s="454"/>
      <c r="O310" s="450"/>
      <c r="P310" s="451"/>
      <c r="Q310" s="450"/>
      <c r="R310" s="451"/>
      <c r="S310" s="455" t="str">
        <f>$S$1</f>
        <v>Réalisé  Q2 2026</v>
      </c>
      <c r="T310" s="796"/>
      <c r="U310" s="38"/>
      <c r="V310" s="40"/>
      <c r="W310" s="40"/>
      <c r="X310" s="40"/>
      <c r="Y310" s="40"/>
      <c r="Z310" s="40"/>
      <c r="AA310" s="40"/>
      <c r="AB310" s="40"/>
      <c r="AC310" s="40"/>
      <c r="AD310" s="40"/>
      <c r="AE310" s="40"/>
      <c r="AF310" s="40"/>
      <c r="AG310" s="40"/>
      <c r="AH310" s="40"/>
      <c r="AI310" s="40"/>
      <c r="AJ310" s="40"/>
      <c r="AK310" s="40"/>
      <c r="AL310" s="40"/>
      <c r="AM310" s="40"/>
      <c r="AN310" s="40"/>
    </row>
    <row r="311" ht="24.0" customHeight="1">
      <c r="B311" s="48"/>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ht="15.75" customHeight="1">
      <c r="B312" s="48"/>
      <c r="C312" s="461"/>
      <c r="D312" s="462" t="s">
        <v>774</v>
      </c>
      <c r="E312" s="44"/>
      <c r="F312" s="45"/>
      <c r="G312" s="463" t="s">
        <v>1114</v>
      </c>
      <c r="H312" s="44"/>
      <c r="I312" s="45"/>
      <c r="J312" s="463" t="s">
        <v>775</v>
      </c>
      <c r="K312" s="44"/>
      <c r="L312" s="45"/>
      <c r="M312" s="463" t="s">
        <v>776</v>
      </c>
      <c r="N312" s="45"/>
      <c r="O312" s="462" t="s">
        <v>777</v>
      </c>
      <c r="P312" s="44"/>
      <c r="Q312" s="45"/>
      <c r="R312" s="463" t="s">
        <v>778</v>
      </c>
      <c r="S312" s="45"/>
      <c r="T312" s="605"/>
      <c r="U312" s="48"/>
      <c r="V312" s="40"/>
      <c r="W312" s="40"/>
      <c r="X312" s="40"/>
      <c r="Y312" s="40"/>
      <c r="Z312" s="40"/>
      <c r="AA312" s="40"/>
      <c r="AB312" s="40"/>
      <c r="AC312" s="40"/>
      <c r="AD312" s="40"/>
      <c r="AE312" s="40"/>
      <c r="AF312" s="40"/>
      <c r="AG312" s="40"/>
      <c r="AH312" s="40"/>
      <c r="AI312" s="40"/>
      <c r="AJ312" s="40"/>
      <c r="AK312" s="40"/>
      <c r="AL312" s="40"/>
      <c r="AM312" s="40"/>
      <c r="AN312" s="40"/>
    </row>
    <row r="313" ht="15.75" customHeight="1">
      <c r="A313" s="5" t="str">
        <f t="shared" ref="A313:A323" si="81">+B313&amp;C313</f>
        <v>Carrosserie</v>
      </c>
      <c r="B313" s="48" t="s">
        <v>174</v>
      </c>
      <c r="C313" s="480"/>
      <c r="D313" s="41" t="s">
        <v>221</v>
      </c>
      <c r="E313" s="41" t="s">
        <v>222</v>
      </c>
      <c r="F313" s="611" t="s">
        <v>95</v>
      </c>
      <c r="G313" s="610" t="s">
        <v>221</v>
      </c>
      <c r="H313" s="41" t="s">
        <v>222</v>
      </c>
      <c r="I313" s="611" t="s">
        <v>95</v>
      </c>
      <c r="J313" s="610" t="s">
        <v>221</v>
      </c>
      <c r="K313" s="41" t="s">
        <v>222</v>
      </c>
      <c r="L313" s="611" t="s">
        <v>95</v>
      </c>
      <c r="M313" s="610" t="s">
        <v>221</v>
      </c>
      <c r="N313" s="611" t="s">
        <v>908</v>
      </c>
      <c r="O313" s="41" t="s">
        <v>221</v>
      </c>
      <c r="P313" s="41" t="s">
        <v>222</v>
      </c>
      <c r="Q313" s="611" t="s">
        <v>95</v>
      </c>
      <c r="R313" s="610" t="s">
        <v>909</v>
      </c>
      <c r="S313" s="611" t="s">
        <v>95</v>
      </c>
      <c r="T313" s="41"/>
      <c r="U313" s="48"/>
      <c r="V313" s="48"/>
      <c r="W313" s="48"/>
      <c r="X313" s="48"/>
      <c r="Y313" s="48"/>
      <c r="Z313" s="48"/>
      <c r="AA313" s="48"/>
      <c r="AB313" s="48"/>
      <c r="AC313" s="48"/>
      <c r="AD313" s="48"/>
      <c r="AE313" s="48"/>
      <c r="AF313" s="48"/>
      <c r="AG313" s="48"/>
      <c r="AH313" s="48"/>
      <c r="AI313" s="48"/>
      <c r="AJ313" s="48"/>
      <c r="AK313" s="48"/>
      <c r="AL313" s="48"/>
      <c r="AM313" s="48"/>
      <c r="AN313" s="48"/>
    </row>
    <row r="314" ht="15.75" customHeight="1">
      <c r="A314" s="5" t="str">
        <f t="shared" si="81"/>
        <v>Carrosserie</v>
      </c>
      <c r="B314" s="48" t="s">
        <v>174</v>
      </c>
      <c r="C314" s="480"/>
      <c r="D314" s="41"/>
      <c r="E314" s="41"/>
      <c r="F314" s="611"/>
      <c r="G314" s="610"/>
      <c r="H314" s="41"/>
      <c r="I314" s="611"/>
      <c r="J314" s="610"/>
      <c r="K314" s="481"/>
      <c r="L314" s="485"/>
      <c r="M314" s="610"/>
      <c r="N314" s="611"/>
      <c r="O314" s="41"/>
      <c r="P314" s="41"/>
      <c r="Q314" s="611"/>
      <c r="R314" s="610"/>
      <c r="S314" s="611"/>
      <c r="T314" s="41"/>
      <c r="U314" s="48"/>
      <c r="V314" s="48"/>
      <c r="W314" s="48"/>
      <c r="X314" s="48"/>
      <c r="Y314" s="48"/>
      <c r="Z314" s="48"/>
      <c r="AA314" s="48"/>
      <c r="AB314" s="48"/>
      <c r="AC314" s="48"/>
      <c r="AD314" s="48"/>
      <c r="AE314" s="48"/>
      <c r="AF314" s="48"/>
      <c r="AG314" s="48"/>
      <c r="AH314" s="48"/>
      <c r="AI314" s="48"/>
      <c r="AJ314" s="48"/>
      <c r="AK314" s="48"/>
      <c r="AL314" s="48"/>
      <c r="AM314" s="48"/>
      <c r="AN314" s="48"/>
    </row>
    <row r="315" ht="15.75" customHeight="1">
      <c r="A315" s="5" t="str">
        <f t="shared" si="81"/>
        <v>CarrosserieM/O Sous-traitement</v>
      </c>
      <c r="B315" s="48" t="s">
        <v>174</v>
      </c>
      <c r="C315" s="480" t="s">
        <v>175</v>
      </c>
      <c r="D315" s="542">
        <v>0.0</v>
      </c>
      <c r="E315" s="483">
        <v>0.0</v>
      </c>
      <c r="F315" s="483">
        <v>0.0</v>
      </c>
      <c r="G315" s="649">
        <v>0.0</v>
      </c>
      <c r="H315" s="483">
        <v>0.0</v>
      </c>
      <c r="I315" s="483">
        <v>0.0</v>
      </c>
      <c r="J315" s="486">
        <v>0.0</v>
      </c>
      <c r="K315" s="483">
        <v>372948.61</v>
      </c>
      <c r="L315" s="484">
        <v>151241.86</v>
      </c>
      <c r="M315" s="515">
        <f>IFERROR((K315-E315)/E315,0)</f>
        <v>0</v>
      </c>
      <c r="N315" s="484">
        <f>L315-F315</f>
        <v>151241.86</v>
      </c>
      <c r="O315" s="486">
        <v>0.0</v>
      </c>
      <c r="P315" s="483">
        <v>400906.26</v>
      </c>
      <c r="Q315" s="484">
        <v>177281.77</v>
      </c>
      <c r="R315" s="515">
        <f>IF(O315=0,0,J315/O315)</f>
        <v>0</v>
      </c>
      <c r="S315" s="484">
        <f>L315-Q315</f>
        <v>-26039.91</v>
      </c>
      <c r="T315" s="41"/>
      <c r="U315" s="48"/>
      <c r="V315" s="48"/>
      <c r="W315" s="48"/>
      <c r="X315" s="48"/>
      <c r="Y315" s="48"/>
      <c r="Z315" s="48"/>
      <c r="AA315" s="48"/>
      <c r="AB315" s="48"/>
      <c r="AC315" s="48"/>
      <c r="AD315" s="48"/>
      <c r="AE315" s="48"/>
      <c r="AF315" s="48"/>
      <c r="AG315" s="48"/>
      <c r="AH315" s="48"/>
      <c r="AI315" s="48"/>
      <c r="AJ315" s="48"/>
      <c r="AK315" s="48"/>
      <c r="AL315" s="48"/>
      <c r="AM315" s="48"/>
      <c r="AN315" s="48"/>
    </row>
    <row r="316" ht="15.75" customHeight="1">
      <c r="A316" s="5" t="str">
        <f t="shared" si="81"/>
        <v>Carrosserie% profit / ventes</v>
      </c>
      <c r="B316" s="48" t="s">
        <v>174</v>
      </c>
      <c r="C316" s="480" t="s">
        <v>163</v>
      </c>
      <c r="D316" s="41"/>
      <c r="E316" s="601"/>
      <c r="F316" s="516">
        <f>IFERROR(F315/E315,0)</f>
        <v>0</v>
      </c>
      <c r="G316" s="480"/>
      <c r="H316" s="601"/>
      <c r="I316" s="516">
        <f>IFERROR(I315/H315,0)</f>
        <v>0</v>
      </c>
      <c r="J316" s="486"/>
      <c r="K316" s="48"/>
      <c r="L316" s="516">
        <f>IFERROR(L315/K315,0)</f>
        <v>0.4055300273</v>
      </c>
      <c r="M316" s="515"/>
      <c r="N316" s="484">
        <f>IFERROR(N315/M315,0)</f>
        <v>0</v>
      </c>
      <c r="O316" s="486"/>
      <c r="P316" s="48"/>
      <c r="Q316" s="516">
        <f>IFERROR(Q315/P315,0)</f>
        <v>0.4422025488</v>
      </c>
      <c r="R316" s="486"/>
      <c r="S316" s="516">
        <f>IFERROR(S315/R315,0)</f>
        <v>0</v>
      </c>
      <c r="T316" s="41"/>
      <c r="U316" s="48"/>
      <c r="V316" s="48"/>
      <c r="W316" s="48"/>
      <c r="X316" s="48"/>
      <c r="Y316" s="48"/>
      <c r="Z316" s="48"/>
      <c r="AA316" s="48"/>
      <c r="AB316" s="48"/>
      <c r="AC316" s="48"/>
      <c r="AD316" s="48"/>
      <c r="AE316" s="48"/>
      <c r="AF316" s="48"/>
      <c r="AG316" s="48"/>
      <c r="AH316" s="48"/>
      <c r="AI316" s="48"/>
      <c r="AJ316" s="48"/>
      <c r="AK316" s="48"/>
      <c r="AL316" s="48"/>
      <c r="AM316" s="48"/>
      <c r="AN316" s="48"/>
    </row>
    <row r="317" ht="15.75" customHeight="1">
      <c r="A317" s="5" t="str">
        <f t="shared" si="81"/>
        <v>Carrosserie</v>
      </c>
      <c r="B317" s="48" t="s">
        <v>174</v>
      </c>
      <c r="C317" s="480"/>
      <c r="D317" s="41"/>
      <c r="E317" s="650"/>
      <c r="F317" s="590"/>
      <c r="G317" s="610"/>
      <c r="H317" s="650"/>
      <c r="I317" s="590"/>
      <c r="J317" s="610"/>
      <c r="K317" s="41"/>
      <c r="L317" s="611"/>
      <c r="M317" s="610"/>
      <c r="N317" s="611"/>
      <c r="O317" s="610"/>
      <c r="P317" s="41"/>
      <c r="Q317" s="611"/>
      <c r="R317" s="589"/>
      <c r="S317" s="590"/>
      <c r="T317" s="41"/>
      <c r="U317" s="48"/>
      <c r="V317" s="48"/>
      <c r="W317" s="48"/>
      <c r="X317" s="48"/>
      <c r="Y317" s="48"/>
      <c r="Z317" s="48"/>
      <c r="AA317" s="48"/>
      <c r="AB317" s="48"/>
      <c r="AC317" s="48"/>
      <c r="AD317" s="48"/>
      <c r="AE317" s="48"/>
      <c r="AF317" s="48"/>
      <c r="AG317" s="48"/>
      <c r="AH317" s="48"/>
      <c r="AI317" s="48"/>
      <c r="AJ317" s="48"/>
      <c r="AK317" s="48"/>
      <c r="AL317" s="48"/>
      <c r="AM317" s="48"/>
      <c r="AN317" s="48"/>
    </row>
    <row r="318" ht="15.75" customHeight="1">
      <c r="A318" s="5" t="str">
        <f t="shared" si="81"/>
        <v>CarrosserieM/O Carrosserie</v>
      </c>
      <c r="B318" s="48" t="s">
        <v>174</v>
      </c>
      <c r="C318" s="466" t="s">
        <v>176</v>
      </c>
      <c r="D318" s="522">
        <v>0.0</v>
      </c>
      <c r="E318" s="483">
        <v>0.0</v>
      </c>
      <c r="F318" s="483">
        <v>0.0</v>
      </c>
      <c r="G318" s="651">
        <v>0.0</v>
      </c>
      <c r="H318" s="483">
        <v>0.0</v>
      </c>
      <c r="I318" s="483">
        <v>0.0</v>
      </c>
      <c r="J318" s="252">
        <v>0.0</v>
      </c>
      <c r="K318" s="522">
        <v>16642.22</v>
      </c>
      <c r="L318" s="523">
        <v>6727.749999999998</v>
      </c>
      <c r="M318" s="624">
        <f>IFERROR((K318-E318)/E318,0)</f>
        <v>0</v>
      </c>
      <c r="N318" s="523">
        <f>L318-F318</f>
        <v>6727.75</v>
      </c>
      <c r="O318" s="252">
        <v>0.0</v>
      </c>
      <c r="P318" s="522">
        <v>16686.93</v>
      </c>
      <c r="Q318" s="523">
        <v>7960.070000000001</v>
      </c>
      <c r="R318" s="515">
        <f>IF(O318=0,0,J318/O318)</f>
        <v>0</v>
      </c>
      <c r="S318" s="484">
        <f>L318-Q318</f>
        <v>-1232.32</v>
      </c>
      <c r="T318" s="602"/>
      <c r="U318" s="48"/>
      <c r="V318" s="48"/>
      <c r="W318" s="48"/>
      <c r="X318" s="48"/>
      <c r="Y318" s="48"/>
      <c r="Z318" s="48"/>
      <c r="AA318" s="48"/>
      <c r="AB318" s="48"/>
      <c r="AC318" s="48"/>
      <c r="AD318" s="48"/>
      <c r="AE318" s="48"/>
      <c r="AF318" s="48"/>
      <c r="AG318" s="48"/>
      <c r="AH318" s="48"/>
      <c r="AI318" s="48"/>
      <c r="AJ318" s="48"/>
      <c r="AK318" s="48"/>
      <c r="AL318" s="48"/>
      <c r="AM318" s="48"/>
      <c r="AN318" s="48"/>
    </row>
    <row r="319" ht="15.75" customHeight="1">
      <c r="A319" s="5" t="str">
        <f t="shared" si="81"/>
        <v>Carrosserie% profit / ventes</v>
      </c>
      <c r="B319" s="48" t="s">
        <v>174</v>
      </c>
      <c r="C319" s="480" t="s">
        <v>163</v>
      </c>
      <c r="D319" s="48"/>
      <c r="E319" s="601"/>
      <c r="F319" s="516" t="str">
        <f>F318/E318</f>
        <v>#DIV/0!</v>
      </c>
      <c r="G319" s="480"/>
      <c r="H319" s="601"/>
      <c r="I319" s="516" t="str">
        <f>I318/H318</f>
        <v>#DIV/0!</v>
      </c>
      <c r="J319" s="486"/>
      <c r="K319" s="48"/>
      <c r="L319" s="516">
        <f>IFERROR(L318/K318,0)</f>
        <v>0.4042579656</v>
      </c>
      <c r="M319" s="515"/>
      <c r="N319" s="484">
        <f>IFERROR(N318/F318,0)</f>
        <v>0</v>
      </c>
      <c r="O319" s="486"/>
      <c r="P319" s="48"/>
      <c r="Q319" s="516">
        <f>IFERROR(Q318/P318,0)</f>
        <v>0.4770242339</v>
      </c>
      <c r="R319" s="486"/>
      <c r="S319" s="516">
        <f>IF(Q318=0,0,S318/Q318)</f>
        <v>-0.1548127089</v>
      </c>
      <c r="T319" s="602"/>
      <c r="U319" s="48"/>
      <c r="V319" s="48"/>
      <c r="W319" s="48"/>
      <c r="X319" s="48"/>
      <c r="Y319" s="48"/>
      <c r="Z319" s="48"/>
      <c r="AA319" s="48"/>
      <c r="AB319" s="48"/>
      <c r="AC319" s="48"/>
      <c r="AD319" s="48"/>
      <c r="AE319" s="48"/>
      <c r="AF319" s="48"/>
      <c r="AG319" s="48"/>
      <c r="AH319" s="48"/>
      <c r="AI319" s="48"/>
      <c r="AJ319" s="48"/>
      <c r="AK319" s="48"/>
      <c r="AL319" s="48"/>
      <c r="AM319" s="48"/>
      <c r="AN319" s="48"/>
    </row>
    <row r="320" ht="15.75" customHeight="1">
      <c r="A320" s="5" t="str">
        <f t="shared" si="81"/>
        <v>Carrosserie</v>
      </c>
      <c r="B320" s="48" t="s">
        <v>174</v>
      </c>
      <c r="C320" s="471"/>
      <c r="D320" s="564"/>
      <c r="E320" s="625"/>
      <c r="F320" s="614"/>
      <c r="G320" s="471"/>
      <c r="H320" s="625"/>
      <c r="I320" s="614"/>
      <c r="J320" s="622"/>
      <c r="K320" s="652"/>
      <c r="L320" s="614"/>
      <c r="M320" s="545"/>
      <c r="N320" s="476"/>
      <c r="O320" s="622"/>
      <c r="P320" s="652"/>
      <c r="Q320" s="614"/>
      <c r="R320" s="622"/>
      <c r="S320" s="476"/>
      <c r="T320" s="602"/>
      <c r="U320" s="48"/>
      <c r="V320" s="48"/>
      <c r="W320" s="48"/>
      <c r="X320" s="48"/>
      <c r="Y320" s="48"/>
      <c r="Z320" s="48"/>
      <c r="AA320" s="48"/>
      <c r="AB320" s="48"/>
      <c r="AC320" s="48"/>
      <c r="AD320" s="48"/>
      <c r="AE320" s="48"/>
      <c r="AF320" s="48"/>
      <c r="AG320" s="48"/>
      <c r="AH320" s="48"/>
      <c r="AI320" s="48"/>
      <c r="AJ320" s="48"/>
      <c r="AK320" s="48"/>
      <c r="AL320" s="48"/>
      <c r="AM320" s="48"/>
      <c r="AN320" s="48"/>
    </row>
    <row r="321" ht="15.75" customHeight="1">
      <c r="A321" s="5" t="str">
        <f t="shared" si="81"/>
        <v>CarrosserieM/O Esthétique Carr.</v>
      </c>
      <c r="B321" s="48" t="s">
        <v>174</v>
      </c>
      <c r="C321" s="466" t="s">
        <v>177</v>
      </c>
      <c r="D321" s="522">
        <v>0.0</v>
      </c>
      <c r="E321" s="483">
        <v>0.0</v>
      </c>
      <c r="F321" s="483">
        <v>0.0</v>
      </c>
      <c r="G321" s="252">
        <v>0.0</v>
      </c>
      <c r="H321" s="483">
        <v>0.0</v>
      </c>
      <c r="I321" s="483">
        <v>0.0</v>
      </c>
      <c r="J321" s="252">
        <v>0.0</v>
      </c>
      <c r="K321" s="483">
        <v>102201.93</v>
      </c>
      <c r="L321" s="484">
        <v>64961.679999999986</v>
      </c>
      <c r="M321" s="515">
        <f>IFERROR((K321-E321)/E321,0)</f>
        <v>0</v>
      </c>
      <c r="N321" s="523">
        <f>L321-F321</f>
        <v>64961.68</v>
      </c>
      <c r="O321" s="252">
        <v>0.0</v>
      </c>
      <c r="P321" s="483">
        <v>0.0</v>
      </c>
      <c r="Q321" s="484">
        <v>0.0</v>
      </c>
      <c r="R321" s="515">
        <f>IF(O321=0,0,J321/O321)</f>
        <v>0</v>
      </c>
      <c r="S321" s="484">
        <f>L321-Q321</f>
        <v>64961.68</v>
      </c>
      <c r="T321" s="602"/>
      <c r="U321" s="48"/>
      <c r="V321" s="48"/>
      <c r="W321" s="48"/>
      <c r="X321" s="48"/>
      <c r="Y321" s="48"/>
      <c r="Z321" s="48"/>
      <c r="AA321" s="48"/>
      <c r="AB321" s="48"/>
      <c r="AC321" s="48"/>
      <c r="AD321" s="48"/>
      <c r="AE321" s="48"/>
      <c r="AF321" s="48"/>
      <c r="AG321" s="48"/>
      <c r="AH321" s="48"/>
      <c r="AI321" s="48"/>
      <c r="AJ321" s="48"/>
      <c r="AK321" s="48"/>
      <c r="AL321" s="48"/>
      <c r="AM321" s="48"/>
      <c r="AN321" s="48"/>
    </row>
    <row r="322" ht="15.75" customHeight="1">
      <c r="A322" s="5" t="str">
        <f t="shared" si="81"/>
        <v>Carrosserie% profit / ventes</v>
      </c>
      <c r="B322" s="48" t="s">
        <v>174</v>
      </c>
      <c r="C322" s="480" t="s">
        <v>163</v>
      </c>
      <c r="D322" s="48"/>
      <c r="E322" s="48"/>
      <c r="F322" s="516" t="str">
        <f>F321/E321</f>
        <v>#DIV/0!</v>
      </c>
      <c r="G322" s="480"/>
      <c r="H322" s="48"/>
      <c r="I322" s="516" t="str">
        <f>I321/H321</f>
        <v>#DIV/0!</v>
      </c>
      <c r="J322" s="480"/>
      <c r="K322" s="48"/>
      <c r="L322" s="516">
        <f>IFERROR(L321/K321,0)</f>
        <v>0.6356208733</v>
      </c>
      <c r="M322" s="525"/>
      <c r="N322" s="507">
        <f>IF(L321=0,0,N321/L321)</f>
        <v>1</v>
      </c>
      <c r="O322" s="480"/>
      <c r="P322" s="48"/>
      <c r="Q322" s="516">
        <f>IFERROR(Q321/P321,0)</f>
        <v>0</v>
      </c>
      <c r="R322" s="486"/>
      <c r="S322" s="516">
        <f>IF(Q321=0,0,S321/Q321)</f>
        <v>0</v>
      </c>
      <c r="T322" s="602"/>
      <c r="U322" s="48"/>
      <c r="V322" s="48"/>
      <c r="W322" s="48"/>
      <c r="X322" s="48"/>
      <c r="Y322" s="48"/>
      <c r="Z322" s="48"/>
      <c r="AA322" s="48"/>
      <c r="AB322" s="48"/>
      <c r="AC322" s="48"/>
      <c r="AD322" s="48"/>
      <c r="AE322" s="48"/>
      <c r="AF322" s="48"/>
      <c r="AG322" s="48"/>
      <c r="AH322" s="48"/>
      <c r="AI322" s="48"/>
      <c r="AJ322" s="48"/>
      <c r="AK322" s="48"/>
      <c r="AL322" s="48"/>
      <c r="AM322" s="48"/>
      <c r="AN322" s="48"/>
    </row>
    <row r="323" ht="15.75" customHeight="1">
      <c r="A323" s="5" t="str">
        <f t="shared" si="81"/>
        <v>Carrosserie</v>
      </c>
      <c r="B323" s="48" t="s">
        <v>174</v>
      </c>
      <c r="C323" s="471"/>
      <c r="D323" s="564"/>
      <c r="E323" s="564"/>
      <c r="F323" s="614"/>
      <c r="G323" s="471"/>
      <c r="H323" s="564"/>
      <c r="I323" s="614"/>
      <c r="J323" s="471"/>
      <c r="K323" s="564"/>
      <c r="L323" s="476"/>
      <c r="M323" s="653"/>
      <c r="N323" s="642"/>
      <c r="O323" s="471"/>
      <c r="P323" s="564"/>
      <c r="Q323" s="614"/>
      <c r="R323" s="545"/>
      <c r="S323" s="614"/>
      <c r="T323" s="602"/>
      <c r="U323" s="48"/>
      <c r="V323" s="48"/>
      <c r="W323" s="48"/>
      <c r="X323" s="48"/>
      <c r="Y323" s="48"/>
      <c r="Z323" s="48"/>
      <c r="AA323" s="48"/>
      <c r="AB323" s="48"/>
      <c r="AC323" s="48"/>
      <c r="AD323" s="48"/>
      <c r="AE323" s="48"/>
      <c r="AF323" s="48"/>
      <c r="AG323" s="48"/>
      <c r="AH323" s="48"/>
      <c r="AI323" s="48"/>
      <c r="AJ323" s="48"/>
      <c r="AK323" s="48"/>
      <c r="AL323" s="48"/>
      <c r="AM323" s="48"/>
      <c r="AN323" s="48"/>
    </row>
    <row r="324" ht="15.75" customHeight="1">
      <c r="A324" s="5"/>
      <c r="B324" s="48" t="s">
        <v>174</v>
      </c>
      <c r="C324" s="480" t="s">
        <v>955</v>
      </c>
      <c r="D324" s="48"/>
      <c r="E324" s="48"/>
      <c r="F324" s="516">
        <v>0.0</v>
      </c>
      <c r="G324" s="480"/>
      <c r="H324" s="48"/>
      <c r="I324" s="516"/>
      <c r="J324" s="480"/>
      <c r="K324" s="48"/>
      <c r="L324" s="484">
        <v>-8213.36</v>
      </c>
      <c r="M324" s="525"/>
      <c r="N324" s="507"/>
      <c r="O324" s="480"/>
      <c r="P324" s="48"/>
      <c r="Q324" s="484">
        <v>3504.1999999999994</v>
      </c>
      <c r="R324" s="515">
        <f>IF(O324=0,0,J324/O324)</f>
        <v>0</v>
      </c>
      <c r="S324" s="484">
        <f>L324-Q324</f>
        <v>-11717.56</v>
      </c>
      <c r="T324" s="602"/>
      <c r="U324" s="48"/>
      <c r="V324" s="48"/>
      <c r="W324" s="48"/>
      <c r="X324" s="48"/>
      <c r="Y324" s="48"/>
      <c r="Z324" s="48"/>
      <c r="AA324" s="48"/>
      <c r="AB324" s="48"/>
      <c r="AC324" s="48"/>
      <c r="AD324" s="48"/>
      <c r="AE324" s="48"/>
      <c r="AF324" s="48"/>
      <c r="AG324" s="48"/>
      <c r="AH324" s="48"/>
      <c r="AI324" s="48"/>
      <c r="AJ324" s="48"/>
      <c r="AK324" s="48"/>
      <c r="AL324" s="48"/>
      <c r="AM324" s="48"/>
      <c r="AN324" s="48"/>
    </row>
    <row r="325" ht="15.75" customHeight="1">
      <c r="A325" s="5" t="s">
        <v>174</v>
      </c>
      <c r="B325" s="48" t="s">
        <v>174</v>
      </c>
      <c r="C325" s="480"/>
      <c r="D325" s="48"/>
      <c r="E325" s="48"/>
      <c r="F325" s="516"/>
      <c r="G325" s="480"/>
      <c r="H325" s="48"/>
      <c r="I325" s="516"/>
      <c r="J325" s="480"/>
      <c r="K325" s="48"/>
      <c r="L325" s="484"/>
      <c r="M325" s="525"/>
      <c r="N325" s="507"/>
      <c r="O325" s="480"/>
      <c r="P325" s="48"/>
      <c r="Q325" s="484"/>
      <c r="R325" s="525"/>
      <c r="S325" s="507"/>
      <c r="T325" s="602"/>
      <c r="U325" s="48"/>
      <c r="V325" s="48"/>
      <c r="W325" s="48"/>
      <c r="X325" s="48"/>
      <c r="Y325" s="48"/>
      <c r="Z325" s="48"/>
      <c r="AA325" s="48"/>
      <c r="AB325" s="48"/>
      <c r="AC325" s="48"/>
      <c r="AD325" s="48"/>
      <c r="AE325" s="48"/>
      <c r="AF325" s="48"/>
      <c r="AG325" s="48"/>
      <c r="AH325" s="48"/>
      <c r="AI325" s="48"/>
      <c r="AJ325" s="48"/>
      <c r="AK325" s="48"/>
      <c r="AL325" s="48"/>
      <c r="AM325" s="48"/>
      <c r="AN325" s="48"/>
    </row>
    <row r="326" ht="18.0" customHeight="1">
      <c r="A326" s="5" t="s">
        <v>956</v>
      </c>
      <c r="B326" s="48" t="s">
        <v>174</v>
      </c>
      <c r="C326" s="526" t="s">
        <v>957</v>
      </c>
      <c r="D326" s="527"/>
      <c r="E326" s="528">
        <f t="shared" ref="E326:F326" si="82">E318+E321+E315</f>
        <v>0</v>
      </c>
      <c r="F326" s="529">
        <f t="shared" si="82"/>
        <v>0</v>
      </c>
      <c r="G326" s="530"/>
      <c r="H326" s="528"/>
      <c r="I326" s="529"/>
      <c r="J326" s="530"/>
      <c r="K326" s="527">
        <f>K318+K321+K315</f>
        <v>491792.76</v>
      </c>
      <c r="L326" s="529">
        <f>L318+L321+L315+L324</f>
        <v>214717.93</v>
      </c>
      <c r="M326" s="530" t="str">
        <f>L327-F327</f>
        <v>#DIV/0!</v>
      </c>
      <c r="N326" s="529">
        <f>L326-F326</f>
        <v>214717.93</v>
      </c>
      <c r="O326" s="530"/>
      <c r="P326" s="527">
        <f>P318+P321+P315</f>
        <v>417593.19</v>
      </c>
      <c r="Q326" s="529">
        <f>Q318+Q321+Q315+Q324</f>
        <v>188746.04</v>
      </c>
      <c r="R326" s="530"/>
      <c r="S326" s="529">
        <f>L326-Q326</f>
        <v>25971.89</v>
      </c>
      <c r="T326" s="48"/>
      <c r="U326" s="48"/>
      <c r="V326" s="48"/>
      <c r="W326" s="48"/>
      <c r="X326" s="48"/>
      <c r="Y326" s="48"/>
      <c r="Z326" s="48"/>
      <c r="AA326" s="48"/>
      <c r="AB326" s="48"/>
      <c r="AC326" s="48"/>
      <c r="AD326" s="48"/>
      <c r="AE326" s="48"/>
      <c r="AF326" s="48"/>
      <c r="AG326" s="48"/>
      <c r="AH326" s="48"/>
      <c r="AI326" s="48"/>
      <c r="AJ326" s="48"/>
      <c r="AK326" s="48"/>
      <c r="AL326" s="48"/>
      <c r="AM326" s="48"/>
      <c r="AN326" s="48"/>
    </row>
    <row r="327" ht="22.5" customHeight="1">
      <c r="A327" s="5" t="s">
        <v>174</v>
      </c>
      <c r="B327" s="48" t="s">
        <v>174</v>
      </c>
      <c r="C327" s="531"/>
      <c r="D327" s="532"/>
      <c r="E327" s="532"/>
      <c r="F327" s="533" t="str">
        <f>F326/E326</f>
        <v>#DIV/0!</v>
      </c>
      <c r="G327" s="531"/>
      <c r="H327" s="532"/>
      <c r="I327" s="533"/>
      <c r="J327" s="531"/>
      <c r="K327" s="534"/>
      <c r="L327" s="538"/>
      <c r="M327" s="536"/>
      <c r="N327" s="537" t="str">
        <f>N326/F326</f>
        <v>#DIV/0!</v>
      </c>
      <c r="O327" s="531"/>
      <c r="P327" s="534"/>
      <c r="Q327" s="538"/>
      <c r="R327" s="536"/>
      <c r="S327" s="538">
        <f>S326/Q326</f>
        <v>0.1376023041</v>
      </c>
      <c r="T327" s="48"/>
      <c r="U327" s="48"/>
      <c r="V327" s="48"/>
      <c r="W327" s="48"/>
      <c r="X327" s="48"/>
      <c r="Y327" s="48"/>
      <c r="Z327" s="48"/>
      <c r="AA327" s="48"/>
      <c r="AB327" s="48"/>
      <c r="AC327" s="48"/>
      <c r="AD327" s="48"/>
      <c r="AE327" s="48"/>
      <c r="AF327" s="48"/>
      <c r="AG327" s="48"/>
      <c r="AH327" s="48"/>
      <c r="AI327" s="48"/>
      <c r="AJ327" s="48"/>
      <c r="AK327" s="48"/>
      <c r="AL327" s="48"/>
      <c r="AM327" s="48"/>
      <c r="AN327" s="48"/>
    </row>
    <row r="328" ht="15.75" customHeight="1">
      <c r="A328" s="5" t="str">
        <f t="shared" ref="A328:A360" si="83">+B328&amp;C328</f>
        <v>Carrosserie</v>
      </c>
      <c r="B328" s="48" t="s">
        <v>174</v>
      </c>
      <c r="C328" s="480"/>
      <c r="D328" s="48"/>
      <c r="E328" s="48"/>
      <c r="F328" s="484"/>
      <c r="G328" s="480"/>
      <c r="H328" s="48"/>
      <c r="I328" s="484"/>
      <c r="J328" s="480"/>
      <c r="K328" s="48"/>
      <c r="L328" s="514"/>
      <c r="M328" s="480"/>
      <c r="N328" s="514"/>
      <c r="O328" s="480"/>
      <c r="P328" s="48"/>
      <c r="Q328" s="514"/>
      <c r="R328" s="480"/>
      <c r="S328" s="514"/>
      <c r="T328" s="48"/>
      <c r="U328" s="48"/>
      <c r="V328" s="48"/>
      <c r="W328" s="48"/>
      <c r="X328" s="48"/>
      <c r="Y328" s="48"/>
      <c r="Z328" s="48"/>
      <c r="AA328" s="48"/>
      <c r="AB328" s="48"/>
      <c r="AC328" s="48"/>
      <c r="AD328" s="48"/>
      <c r="AE328" s="48"/>
      <c r="AF328" s="48"/>
      <c r="AG328" s="48"/>
      <c r="AH328" s="48"/>
      <c r="AI328" s="48"/>
      <c r="AJ328" s="48"/>
      <c r="AK328" s="48"/>
      <c r="AL328" s="48"/>
      <c r="AM328" s="48"/>
      <c r="AN328" s="48"/>
    </row>
    <row r="329" ht="15.75" customHeight="1">
      <c r="A329" s="5" t="str">
        <f t="shared" si="83"/>
        <v>CarrosserieDEPENSES</v>
      </c>
      <c r="B329" s="48" t="s">
        <v>174</v>
      </c>
      <c r="C329" s="541" t="s">
        <v>110</v>
      </c>
      <c r="D329" s="48"/>
      <c r="E329" s="48"/>
      <c r="F329" s="484"/>
      <c r="G329" s="480"/>
      <c r="H329" s="48"/>
      <c r="I329" s="484"/>
      <c r="J329" s="480"/>
      <c r="K329" s="48"/>
      <c r="L329" s="514"/>
      <c r="M329" s="480"/>
      <c r="N329" s="514"/>
      <c r="O329" s="480"/>
      <c r="P329" s="48"/>
      <c r="Q329" s="514"/>
      <c r="R329" s="480"/>
      <c r="S329" s="514"/>
      <c r="T329" s="48"/>
      <c r="U329" s="48"/>
      <c r="V329" s="48"/>
      <c r="W329" s="48"/>
      <c r="X329" s="48"/>
      <c r="Y329" s="48"/>
      <c r="Z329" s="48"/>
      <c r="AA329" s="48"/>
      <c r="AB329" s="48"/>
      <c r="AC329" s="48"/>
      <c r="AD329" s="48"/>
      <c r="AE329" s="48"/>
      <c r="AF329" s="48"/>
      <c r="AG329" s="48"/>
      <c r="AH329" s="48"/>
      <c r="AI329" s="48"/>
      <c r="AJ329" s="48"/>
      <c r="AK329" s="48"/>
      <c r="AL329" s="48"/>
      <c r="AM329" s="48"/>
      <c r="AN329" s="48"/>
    </row>
    <row r="330" ht="15.75" customHeight="1">
      <c r="A330" s="5" t="str">
        <f t="shared" si="83"/>
        <v>CarrosserieSalaires cadres</v>
      </c>
      <c r="B330" s="48" t="s">
        <v>174</v>
      </c>
      <c r="C330" s="559" t="s">
        <v>119</v>
      </c>
      <c r="D330" s="48"/>
      <c r="E330" s="48"/>
      <c r="F330" s="481">
        <v>0.0</v>
      </c>
      <c r="G330" s="480"/>
      <c r="H330" s="48"/>
      <c r="I330" s="481">
        <v>0.0</v>
      </c>
      <c r="J330" s="480"/>
      <c r="K330" s="48"/>
      <c r="L330" s="484">
        <v>28126.4</v>
      </c>
      <c r="M330" s="480"/>
      <c r="N330" s="484">
        <f t="shared" ref="N330:N360" si="84">L330-F330</f>
        <v>28126.4</v>
      </c>
      <c r="O330" s="480"/>
      <c r="P330" s="48"/>
      <c r="Q330" s="484">
        <v>26040.15</v>
      </c>
      <c r="R330" s="480"/>
      <c r="S330" s="484">
        <f t="shared" ref="S330:S361" si="85">L330-Q330</f>
        <v>2086.25</v>
      </c>
      <c r="T330" s="48"/>
      <c r="U330" s="48"/>
      <c r="V330" s="48"/>
      <c r="W330" s="48"/>
      <c r="X330" s="48"/>
      <c r="Y330" s="48"/>
      <c r="Z330" s="48"/>
      <c r="AA330" s="48"/>
      <c r="AB330" s="48"/>
      <c r="AC330" s="48"/>
      <c r="AD330" s="48"/>
      <c r="AE330" s="48"/>
      <c r="AF330" s="48"/>
      <c r="AG330" s="48"/>
      <c r="AH330" s="48"/>
      <c r="AI330" s="48"/>
      <c r="AJ330" s="48"/>
      <c r="AK330" s="48"/>
      <c r="AL330" s="48"/>
      <c r="AM330" s="48"/>
      <c r="AN330" s="48"/>
    </row>
    <row r="331" ht="15.75" customHeight="1">
      <c r="A331" s="5" t="str">
        <f t="shared" si="83"/>
        <v>CarrosserieSalaires commis</v>
      </c>
      <c r="B331" s="48" t="s">
        <v>174</v>
      </c>
      <c r="C331" s="560" t="s">
        <v>120</v>
      </c>
      <c r="D331" s="546"/>
      <c r="E331" s="48"/>
      <c r="F331" s="473">
        <v>0.0</v>
      </c>
      <c r="G331" s="547"/>
      <c r="H331" s="48"/>
      <c r="I331" s="473">
        <v>0.0</v>
      </c>
      <c r="J331" s="480"/>
      <c r="K331" s="48"/>
      <c r="L331" s="484">
        <v>20587.52</v>
      </c>
      <c r="M331" s="480"/>
      <c r="N331" s="484">
        <f t="shared" si="84"/>
        <v>20587.52</v>
      </c>
      <c r="O331" s="480"/>
      <c r="P331" s="48"/>
      <c r="Q331" s="484">
        <v>21664.070000000003</v>
      </c>
      <c r="R331" s="480"/>
      <c r="S331" s="484">
        <f t="shared" si="85"/>
        <v>-1076.55</v>
      </c>
      <c r="T331" s="48"/>
      <c r="U331" s="48"/>
      <c r="V331" s="48"/>
      <c r="W331" s="48"/>
      <c r="X331" s="48"/>
      <c r="Y331" s="48"/>
      <c r="Z331" s="48"/>
      <c r="AA331" s="48"/>
      <c r="AB331" s="48"/>
      <c r="AC331" s="48"/>
      <c r="AD331" s="48"/>
      <c r="AE331" s="48"/>
      <c r="AF331" s="48"/>
      <c r="AG331" s="48"/>
      <c r="AH331" s="48"/>
      <c r="AI331" s="48"/>
      <c r="AJ331" s="48"/>
      <c r="AK331" s="48"/>
      <c r="AL331" s="48"/>
      <c r="AM331" s="48"/>
      <c r="AN331" s="48"/>
    </row>
    <row r="332" ht="15.75" customHeight="1">
      <c r="A332" s="5" t="str">
        <f t="shared" si="83"/>
        <v>CarrosserieSalaires autres</v>
      </c>
      <c r="B332" s="48" t="s">
        <v>174</v>
      </c>
      <c r="C332" s="559" t="s">
        <v>121</v>
      </c>
      <c r="D332" s="561"/>
      <c r="E332" s="562"/>
      <c r="F332" s="481">
        <v>0.0</v>
      </c>
      <c r="G332" s="563"/>
      <c r="H332" s="562"/>
      <c r="I332" s="481">
        <v>0.0</v>
      </c>
      <c r="J332" s="466"/>
      <c r="K332" s="562"/>
      <c r="L332" s="523">
        <v>184.04999999999995</v>
      </c>
      <c r="M332" s="466"/>
      <c r="N332" s="523">
        <f t="shared" si="84"/>
        <v>184.05</v>
      </c>
      <c r="O332" s="466"/>
      <c r="P332" s="562"/>
      <c r="Q332" s="523">
        <v>0.0</v>
      </c>
      <c r="R332" s="466"/>
      <c r="S332" s="523">
        <f t="shared" si="85"/>
        <v>184.05</v>
      </c>
      <c r="T332" s="48"/>
      <c r="U332" s="48"/>
      <c r="V332" s="48"/>
      <c r="W332" s="48"/>
      <c r="X332" s="48"/>
      <c r="Y332" s="48"/>
      <c r="Z332" s="48"/>
      <c r="AA332" s="48"/>
      <c r="AB332" s="48"/>
      <c r="AC332" s="48"/>
      <c r="AD332" s="48"/>
      <c r="AE332" s="48"/>
      <c r="AF332" s="48"/>
      <c r="AG332" s="48"/>
      <c r="AH332" s="48"/>
      <c r="AI332" s="48"/>
      <c r="AJ332" s="48"/>
      <c r="AK332" s="48"/>
      <c r="AL332" s="48"/>
      <c r="AM332" s="48"/>
      <c r="AN332" s="48"/>
    </row>
    <row r="333" ht="15.75" customHeight="1">
      <c r="A333" s="5" t="str">
        <f t="shared" si="83"/>
        <v>CarrosserieSalaires spécialistes</v>
      </c>
      <c r="B333" s="48" t="s">
        <v>174</v>
      </c>
      <c r="C333" s="559" t="s">
        <v>122</v>
      </c>
      <c r="D333" s="546"/>
      <c r="E333" s="48"/>
      <c r="F333" s="481">
        <v>0.0</v>
      </c>
      <c r="G333" s="547"/>
      <c r="H333" s="48"/>
      <c r="I333" s="481">
        <v>0.0</v>
      </c>
      <c r="J333" s="480"/>
      <c r="K333" s="48"/>
      <c r="L333" s="484">
        <v>0.0</v>
      </c>
      <c r="M333" s="480"/>
      <c r="N333" s="484">
        <f t="shared" si="84"/>
        <v>0</v>
      </c>
      <c r="O333" s="480"/>
      <c r="P333" s="48"/>
      <c r="Q333" s="484">
        <v>0.0</v>
      </c>
      <c r="R333" s="480"/>
      <c r="S333" s="484">
        <f t="shared" si="85"/>
        <v>0</v>
      </c>
      <c r="T333" s="48"/>
      <c r="U333" s="48"/>
      <c r="V333" s="48"/>
      <c r="W333" s="48"/>
      <c r="X333" s="48"/>
      <c r="Y333" s="48"/>
      <c r="Z333" s="48"/>
      <c r="AA333" s="48"/>
      <c r="AB333" s="48"/>
      <c r="AC333" s="48"/>
      <c r="AD333" s="48"/>
      <c r="AE333" s="48"/>
      <c r="AF333" s="48"/>
      <c r="AG333" s="48"/>
      <c r="AH333" s="48"/>
      <c r="AI333" s="48"/>
      <c r="AJ333" s="48"/>
      <c r="AK333" s="48"/>
      <c r="AL333" s="48"/>
      <c r="AM333" s="48"/>
      <c r="AN333" s="48"/>
    </row>
    <row r="334" ht="20.25" hidden="1" customHeight="1">
      <c r="A334" s="5" t="str">
        <f t="shared" si="83"/>
        <v>Carrosserie[...]</v>
      </c>
      <c r="B334" s="48" t="s">
        <v>174</v>
      </c>
      <c r="C334" s="480" t="s">
        <v>56</v>
      </c>
      <c r="D334" s="546"/>
      <c r="E334" s="48"/>
      <c r="F334" s="481">
        <v>0.0</v>
      </c>
      <c r="G334" s="547"/>
      <c r="H334" s="48"/>
      <c r="I334" s="481">
        <v>0.0</v>
      </c>
      <c r="J334" s="480"/>
      <c r="K334" s="48"/>
      <c r="L334" s="484">
        <v>0.0</v>
      </c>
      <c r="M334" s="480"/>
      <c r="N334" s="484">
        <f t="shared" si="84"/>
        <v>0</v>
      </c>
      <c r="O334" s="480"/>
      <c r="P334" s="48"/>
      <c r="Q334" s="484">
        <v>0.0</v>
      </c>
      <c r="R334" s="480"/>
      <c r="S334" s="484">
        <f t="shared" si="85"/>
        <v>0</v>
      </c>
      <c r="T334" s="48"/>
      <c r="U334" s="48"/>
      <c r="V334" s="48"/>
      <c r="W334" s="48"/>
      <c r="X334" s="48"/>
      <c r="Y334" s="48"/>
      <c r="Z334" s="48"/>
      <c r="AA334" s="48"/>
      <c r="AB334" s="48"/>
      <c r="AC334" s="48"/>
      <c r="AD334" s="48"/>
      <c r="AE334" s="48"/>
      <c r="AF334" s="48"/>
      <c r="AG334" s="48"/>
      <c r="AH334" s="48"/>
      <c r="AI334" s="48"/>
      <c r="AJ334" s="48"/>
      <c r="AK334" s="48"/>
      <c r="AL334" s="48"/>
      <c r="AM334" s="48"/>
      <c r="AN334" s="48"/>
    </row>
    <row r="335" ht="20.25" hidden="1" customHeight="1">
      <c r="A335" s="5" t="str">
        <f t="shared" si="83"/>
        <v>Carrosserie[...]</v>
      </c>
      <c r="B335" s="48" t="s">
        <v>174</v>
      </c>
      <c r="C335" s="480" t="s">
        <v>56</v>
      </c>
      <c r="D335" s="546"/>
      <c r="E335" s="48"/>
      <c r="F335" s="481">
        <v>0.0</v>
      </c>
      <c r="G335" s="547"/>
      <c r="H335" s="48"/>
      <c r="I335" s="481">
        <v>0.0</v>
      </c>
      <c r="J335" s="480"/>
      <c r="K335" s="48"/>
      <c r="L335" s="484">
        <v>0.0</v>
      </c>
      <c r="M335" s="480"/>
      <c r="N335" s="484">
        <f t="shared" si="84"/>
        <v>0</v>
      </c>
      <c r="O335" s="480"/>
      <c r="P335" s="48"/>
      <c r="Q335" s="484">
        <v>0.0</v>
      </c>
      <c r="R335" s="480"/>
      <c r="S335" s="484">
        <f t="shared" si="85"/>
        <v>0</v>
      </c>
      <c r="T335" s="48"/>
      <c r="U335" s="48"/>
      <c r="V335" s="48"/>
      <c r="W335" s="48"/>
      <c r="X335" s="48"/>
      <c r="Y335" s="48"/>
      <c r="Z335" s="48"/>
      <c r="AA335" s="48"/>
      <c r="AB335" s="48"/>
      <c r="AC335" s="48"/>
      <c r="AD335" s="48"/>
      <c r="AE335" s="48"/>
      <c r="AF335" s="48"/>
      <c r="AG335" s="48"/>
      <c r="AH335" s="48"/>
      <c r="AI335" s="48"/>
      <c r="AJ335" s="48"/>
      <c r="AK335" s="48"/>
      <c r="AL335" s="48"/>
      <c r="AM335" s="48"/>
      <c r="AN335" s="48"/>
    </row>
    <row r="336" ht="20.25" hidden="1" customHeight="1">
      <c r="A336" s="5" t="str">
        <f t="shared" si="83"/>
        <v>Carrosserie[...]</v>
      </c>
      <c r="B336" s="48" t="s">
        <v>174</v>
      </c>
      <c r="C336" s="480" t="s">
        <v>56</v>
      </c>
      <c r="D336" s="546"/>
      <c r="E336" s="48"/>
      <c r="F336" s="481">
        <v>0.0</v>
      </c>
      <c r="G336" s="547"/>
      <c r="H336" s="48"/>
      <c r="I336" s="481">
        <v>0.0</v>
      </c>
      <c r="J336" s="480"/>
      <c r="K336" s="48"/>
      <c r="L336" s="484">
        <v>0.0</v>
      </c>
      <c r="M336" s="480"/>
      <c r="N336" s="484">
        <f t="shared" si="84"/>
        <v>0</v>
      </c>
      <c r="O336" s="480"/>
      <c r="P336" s="48"/>
      <c r="Q336" s="484">
        <v>0.0</v>
      </c>
      <c r="R336" s="480"/>
      <c r="S336" s="484">
        <f t="shared" si="85"/>
        <v>0</v>
      </c>
      <c r="T336" s="48"/>
      <c r="U336" s="48"/>
      <c r="V336" s="48"/>
      <c r="W336" s="48"/>
      <c r="X336" s="48"/>
      <c r="Y336" s="48"/>
      <c r="Z336" s="48"/>
      <c r="AA336" s="48"/>
      <c r="AB336" s="48"/>
      <c r="AC336" s="48"/>
      <c r="AD336" s="48"/>
      <c r="AE336" s="48"/>
      <c r="AF336" s="48"/>
      <c r="AG336" s="48"/>
      <c r="AH336" s="48"/>
      <c r="AI336" s="48"/>
      <c r="AJ336" s="48"/>
      <c r="AK336" s="48"/>
      <c r="AL336" s="48"/>
      <c r="AM336" s="48"/>
      <c r="AN336" s="48"/>
    </row>
    <row r="337" ht="15.75" customHeight="1">
      <c r="A337" s="5" t="str">
        <f t="shared" si="83"/>
        <v>CarrosserieSalaires en absences</v>
      </c>
      <c r="B337" s="48" t="s">
        <v>174</v>
      </c>
      <c r="C337" s="560" t="s">
        <v>123</v>
      </c>
      <c r="D337" s="546"/>
      <c r="E337" s="48"/>
      <c r="F337" s="473">
        <v>0.0</v>
      </c>
      <c r="G337" s="547"/>
      <c r="H337" s="48"/>
      <c r="I337" s="473">
        <v>0.0</v>
      </c>
      <c r="J337" s="480"/>
      <c r="K337" s="48"/>
      <c r="L337" s="484">
        <v>15045.87</v>
      </c>
      <c r="M337" s="480"/>
      <c r="N337" s="484">
        <f t="shared" si="84"/>
        <v>15045.87</v>
      </c>
      <c r="O337" s="480"/>
      <c r="P337" s="48"/>
      <c r="Q337" s="484">
        <v>9367.970000000001</v>
      </c>
      <c r="R337" s="480"/>
      <c r="S337" s="484">
        <f t="shared" si="85"/>
        <v>5677.9</v>
      </c>
      <c r="T337" s="48"/>
      <c r="U337" s="48"/>
      <c r="V337" s="48"/>
      <c r="W337" s="48"/>
      <c r="X337" s="48"/>
      <c r="Y337" s="48"/>
      <c r="Z337" s="48"/>
      <c r="AA337" s="48"/>
      <c r="AB337" s="48"/>
      <c r="AC337" s="48"/>
      <c r="AD337" s="48"/>
      <c r="AE337" s="48"/>
      <c r="AF337" s="48"/>
      <c r="AG337" s="48"/>
      <c r="AH337" s="48"/>
      <c r="AI337" s="48"/>
      <c r="AJ337" s="48"/>
      <c r="AK337" s="48"/>
      <c r="AL337" s="48"/>
      <c r="AM337" s="48"/>
      <c r="AN337" s="48"/>
    </row>
    <row r="338" ht="15.75" customHeight="1">
      <c r="A338" s="5" t="str">
        <f t="shared" si="83"/>
        <v>CarrosserieDéduction à la source</v>
      </c>
      <c r="B338" s="48" t="s">
        <v>174</v>
      </c>
      <c r="C338" s="559" t="s">
        <v>124</v>
      </c>
      <c r="D338" s="561"/>
      <c r="E338" s="562"/>
      <c r="F338" s="481">
        <v>0.0</v>
      </c>
      <c r="G338" s="563"/>
      <c r="H338" s="562"/>
      <c r="I338" s="481">
        <v>0.0</v>
      </c>
      <c r="J338" s="466"/>
      <c r="K338" s="562"/>
      <c r="L338" s="523">
        <v>17725.989999999998</v>
      </c>
      <c r="M338" s="466"/>
      <c r="N338" s="523">
        <f t="shared" si="84"/>
        <v>17725.99</v>
      </c>
      <c r="O338" s="466"/>
      <c r="P338" s="562"/>
      <c r="Q338" s="523">
        <v>14180.05</v>
      </c>
      <c r="R338" s="466"/>
      <c r="S338" s="523">
        <f t="shared" si="85"/>
        <v>3545.94</v>
      </c>
      <c r="T338" s="48"/>
      <c r="U338" s="48"/>
      <c r="V338" s="48"/>
      <c r="W338" s="48"/>
      <c r="X338" s="48"/>
      <c r="Y338" s="48"/>
      <c r="Z338" s="48"/>
      <c r="AA338" s="48"/>
      <c r="AB338" s="48"/>
      <c r="AC338" s="48"/>
      <c r="AD338" s="48"/>
      <c r="AE338" s="48"/>
      <c r="AF338" s="48"/>
      <c r="AG338" s="48"/>
      <c r="AH338" s="48"/>
      <c r="AI338" s="48"/>
      <c r="AJ338" s="48"/>
      <c r="AK338" s="48"/>
      <c r="AL338" s="48"/>
      <c r="AM338" s="48"/>
      <c r="AN338" s="48"/>
    </row>
    <row r="339" ht="15.75" customHeight="1">
      <c r="A339" s="5" t="str">
        <f t="shared" si="83"/>
        <v>CarrosserieBénéfices marginaux</v>
      </c>
      <c r="B339" s="48" t="s">
        <v>174</v>
      </c>
      <c r="C339" s="559" t="s">
        <v>125</v>
      </c>
      <c r="D339" s="546"/>
      <c r="E339" s="48"/>
      <c r="F339" s="481">
        <v>0.0</v>
      </c>
      <c r="G339" s="547"/>
      <c r="H339" s="48"/>
      <c r="I339" s="481">
        <v>0.0</v>
      </c>
      <c r="J339" s="480"/>
      <c r="K339" s="48"/>
      <c r="L339" s="484">
        <v>4150.45</v>
      </c>
      <c r="M339" s="480"/>
      <c r="N339" s="484">
        <f t="shared" si="84"/>
        <v>4150.45</v>
      </c>
      <c r="O339" s="480"/>
      <c r="P339" s="48"/>
      <c r="Q339" s="484">
        <v>8170.18</v>
      </c>
      <c r="R339" s="480"/>
      <c r="S339" s="484">
        <f t="shared" si="85"/>
        <v>-4019.73</v>
      </c>
      <c r="T339" s="48"/>
      <c r="U339" s="48"/>
      <c r="V339" s="48"/>
      <c r="W339" s="48"/>
      <c r="X339" s="48"/>
      <c r="Y339" s="48"/>
      <c r="Z339" s="48"/>
      <c r="AA339" s="48"/>
      <c r="AB339" s="48"/>
      <c r="AC339" s="48"/>
      <c r="AD339" s="48"/>
      <c r="AE339" s="48"/>
      <c r="AF339" s="48"/>
      <c r="AG339" s="48"/>
      <c r="AH339" s="48"/>
      <c r="AI339" s="48"/>
      <c r="AJ339" s="48"/>
      <c r="AK339" s="48"/>
      <c r="AL339" s="48"/>
      <c r="AM339" s="48"/>
      <c r="AN339" s="48"/>
    </row>
    <row r="340" ht="15.75" customHeight="1">
      <c r="A340" s="5" t="str">
        <f t="shared" si="83"/>
        <v>CarrosserieCsst</v>
      </c>
      <c r="B340" s="48" t="s">
        <v>174</v>
      </c>
      <c r="C340" s="559" t="s">
        <v>126</v>
      </c>
      <c r="D340" s="546"/>
      <c r="E340" s="48"/>
      <c r="F340" s="481">
        <v>0.0</v>
      </c>
      <c r="G340" s="547"/>
      <c r="H340" s="48"/>
      <c r="I340" s="481">
        <v>0.0</v>
      </c>
      <c r="J340" s="480"/>
      <c r="K340" s="48"/>
      <c r="L340" s="484">
        <v>3337.98</v>
      </c>
      <c r="M340" s="480"/>
      <c r="N340" s="484">
        <f t="shared" si="84"/>
        <v>3337.98</v>
      </c>
      <c r="O340" s="480"/>
      <c r="P340" s="48"/>
      <c r="Q340" s="484">
        <v>116.27</v>
      </c>
      <c r="R340" s="480"/>
      <c r="S340" s="484">
        <f t="shared" si="85"/>
        <v>3221.71</v>
      </c>
      <c r="T340" s="48"/>
      <c r="U340" s="48"/>
      <c r="V340" s="48"/>
      <c r="W340" s="48"/>
      <c r="X340" s="48"/>
      <c r="Y340" s="48"/>
      <c r="Z340" s="48"/>
      <c r="AA340" s="48"/>
      <c r="AB340" s="48"/>
      <c r="AC340" s="48"/>
      <c r="AD340" s="48"/>
      <c r="AE340" s="48"/>
      <c r="AF340" s="48"/>
      <c r="AG340" s="48"/>
      <c r="AH340" s="48"/>
      <c r="AI340" s="48"/>
      <c r="AJ340" s="48"/>
      <c r="AK340" s="48"/>
      <c r="AL340" s="48"/>
      <c r="AM340" s="48"/>
      <c r="AN340" s="48"/>
    </row>
    <row r="341" ht="20.25" hidden="1" customHeight="1">
      <c r="A341" s="5" t="str">
        <f t="shared" si="83"/>
        <v>Carrosserie[...]</v>
      </c>
      <c r="B341" s="48" t="s">
        <v>174</v>
      </c>
      <c r="C341" s="480" t="s">
        <v>56</v>
      </c>
      <c r="D341" s="549"/>
      <c r="E341" s="564"/>
      <c r="F341" s="481">
        <v>0.0</v>
      </c>
      <c r="G341" s="550"/>
      <c r="H341" s="564"/>
      <c r="I341" s="481">
        <v>0.0</v>
      </c>
      <c r="J341" s="471"/>
      <c r="K341" s="564"/>
      <c r="L341" s="484">
        <v>0.0</v>
      </c>
      <c r="M341" s="471"/>
      <c r="N341" s="476">
        <f t="shared" si="84"/>
        <v>0</v>
      </c>
      <c r="O341" s="471"/>
      <c r="P341" s="564"/>
      <c r="Q341" s="484">
        <v>0.0</v>
      </c>
      <c r="R341" s="471"/>
      <c r="S341" s="476">
        <f t="shared" si="85"/>
        <v>0</v>
      </c>
      <c r="T341" s="48"/>
      <c r="U341" s="48"/>
      <c r="V341" s="48"/>
      <c r="W341" s="48"/>
      <c r="X341" s="48"/>
      <c r="Y341" s="48"/>
      <c r="Z341" s="48"/>
      <c r="AA341" s="48"/>
      <c r="AB341" s="48"/>
      <c r="AC341" s="48"/>
      <c r="AD341" s="48"/>
      <c r="AE341" s="48"/>
      <c r="AF341" s="48"/>
      <c r="AG341" s="48"/>
      <c r="AH341" s="48"/>
      <c r="AI341" s="48"/>
      <c r="AJ341" s="48"/>
      <c r="AK341" s="48"/>
      <c r="AL341" s="48"/>
      <c r="AM341" s="48"/>
      <c r="AN341" s="48"/>
    </row>
    <row r="342" ht="18.0" customHeight="1">
      <c r="A342" s="5" t="str">
        <f t="shared" si="83"/>
        <v>CarrosserieTOTAL PERSONNEL</v>
      </c>
      <c r="B342" s="48" t="s">
        <v>174</v>
      </c>
      <c r="C342" s="552" t="s">
        <v>127</v>
      </c>
      <c r="D342" s="553" t="s">
        <v>225</v>
      </c>
      <c r="E342" s="554" t="str">
        <f>F342/F$244</f>
        <v>#DIV/0!</v>
      </c>
      <c r="F342" s="555">
        <f>+SUM(F330:F341)</f>
        <v>0</v>
      </c>
      <c r="G342" s="556" t="s">
        <v>225</v>
      </c>
      <c r="H342" s="554" t="str">
        <f>I342/I$244</f>
        <v>#DIV/0!</v>
      </c>
      <c r="I342" s="555">
        <f>+SUM(I330:I341)</f>
        <v>0</v>
      </c>
      <c r="J342" s="556" t="s">
        <v>225</v>
      </c>
      <c r="K342" s="554">
        <f>IF(L320=0,0,L342/L$244)</f>
        <v>0</v>
      </c>
      <c r="L342" s="555">
        <f>+SUM(L330:L341)</f>
        <v>89158.26</v>
      </c>
      <c r="M342" s="557"/>
      <c r="N342" s="555">
        <f t="shared" si="84"/>
        <v>89158.26</v>
      </c>
      <c r="O342" s="556" t="s">
        <v>225</v>
      </c>
      <c r="P342" s="554">
        <f>IF(Q320=0,0,Q342/Q$244)</f>
        <v>0</v>
      </c>
      <c r="Q342" s="555">
        <f>+SUM(Q330:Q341)</f>
        <v>79538.69</v>
      </c>
      <c r="R342" s="558"/>
      <c r="S342" s="555">
        <f t="shared" si="85"/>
        <v>9619.57</v>
      </c>
      <c r="T342" s="48"/>
      <c r="U342" s="48"/>
      <c r="V342" s="48"/>
      <c r="W342" s="48"/>
      <c r="X342" s="48"/>
      <c r="Y342" s="48"/>
      <c r="Z342" s="48"/>
      <c r="AA342" s="48"/>
      <c r="AB342" s="48"/>
      <c r="AC342" s="48"/>
      <c r="AD342" s="48"/>
      <c r="AE342" s="48"/>
      <c r="AF342" s="48"/>
      <c r="AG342" s="48"/>
      <c r="AH342" s="48"/>
      <c r="AI342" s="48"/>
      <c r="AJ342" s="48"/>
      <c r="AK342" s="48"/>
      <c r="AL342" s="48"/>
      <c r="AM342" s="48"/>
      <c r="AN342" s="48"/>
    </row>
    <row r="343" ht="15.75" customHeight="1">
      <c r="A343" s="5" t="str">
        <f t="shared" si="83"/>
        <v>CarrosseriePublicité 2</v>
      </c>
      <c r="B343" s="48" t="s">
        <v>174</v>
      </c>
      <c r="C343" s="654" t="s">
        <v>128</v>
      </c>
      <c r="D343" s="546"/>
      <c r="E343" s="48"/>
      <c r="F343" s="481">
        <v>0.0</v>
      </c>
      <c r="G343" s="547"/>
      <c r="H343" s="48"/>
      <c r="I343" s="481">
        <v>0.0</v>
      </c>
      <c r="J343" s="480"/>
      <c r="K343" s="48"/>
      <c r="L343" s="484">
        <v>5548.72</v>
      </c>
      <c r="M343" s="480"/>
      <c r="N343" s="484">
        <f t="shared" si="84"/>
        <v>5548.72</v>
      </c>
      <c r="O343" s="480"/>
      <c r="P343" s="48"/>
      <c r="Q343" s="484">
        <v>250.32999999999998</v>
      </c>
      <c r="R343" s="480"/>
      <c r="S343" s="484">
        <f t="shared" si="85"/>
        <v>5298.39</v>
      </c>
      <c r="T343" s="48"/>
      <c r="U343" s="48"/>
      <c r="V343" s="48"/>
      <c r="W343" s="48"/>
      <c r="X343" s="48"/>
      <c r="Y343" s="48"/>
      <c r="Z343" s="48"/>
      <c r="AA343" s="48"/>
      <c r="AB343" s="48"/>
      <c r="AC343" s="48"/>
      <c r="AD343" s="48"/>
      <c r="AE343" s="48"/>
      <c r="AF343" s="48"/>
      <c r="AG343" s="48"/>
      <c r="AH343" s="48"/>
      <c r="AI343" s="48"/>
      <c r="AJ343" s="48"/>
      <c r="AK343" s="48"/>
      <c r="AL343" s="48"/>
      <c r="AM343" s="48"/>
      <c r="AN343" s="48"/>
    </row>
    <row r="344" ht="15.75" customHeight="1">
      <c r="A344" s="5" t="str">
        <f t="shared" si="83"/>
        <v>CarrosserieService gratuit 2</v>
      </c>
      <c r="B344" s="48" t="s">
        <v>174</v>
      </c>
      <c r="C344" s="559" t="s">
        <v>129</v>
      </c>
      <c r="D344" s="546"/>
      <c r="E344" s="48"/>
      <c r="F344" s="481">
        <v>0.0</v>
      </c>
      <c r="G344" s="547"/>
      <c r="H344" s="48"/>
      <c r="I344" s="481">
        <v>0.0</v>
      </c>
      <c r="J344" s="480"/>
      <c r="K344" s="48"/>
      <c r="L344" s="484">
        <v>1113.0699999999997</v>
      </c>
      <c r="M344" s="480"/>
      <c r="N344" s="484">
        <f t="shared" si="84"/>
        <v>1113.07</v>
      </c>
      <c r="O344" s="480"/>
      <c r="P344" s="48"/>
      <c r="Q344" s="484">
        <v>2957.8900000000012</v>
      </c>
      <c r="R344" s="480"/>
      <c r="S344" s="484">
        <f t="shared" si="85"/>
        <v>-1844.82</v>
      </c>
      <c r="T344" s="48"/>
      <c r="U344" s="5"/>
      <c r="V344" s="48"/>
      <c r="W344" s="48"/>
      <c r="X344" s="48"/>
      <c r="Y344" s="48"/>
      <c r="Z344" s="48"/>
      <c r="AA344" s="48"/>
      <c r="AB344" s="48"/>
      <c r="AC344" s="48"/>
      <c r="AD344" s="48"/>
      <c r="AE344" s="48"/>
      <c r="AF344" s="48"/>
      <c r="AG344" s="48"/>
      <c r="AH344" s="48"/>
      <c r="AI344" s="48"/>
      <c r="AJ344" s="48"/>
      <c r="AK344" s="48"/>
      <c r="AL344" s="48"/>
      <c r="AM344" s="48"/>
      <c r="AN344" s="48"/>
    </row>
    <row r="345" ht="15.75" customHeight="1">
      <c r="A345" s="5" t="str">
        <f t="shared" si="83"/>
        <v>CarrosserieFrais véhicules de cie</v>
      </c>
      <c r="B345" s="48" t="s">
        <v>174</v>
      </c>
      <c r="C345" s="560" t="s">
        <v>130</v>
      </c>
      <c r="D345" s="549"/>
      <c r="E345" s="564"/>
      <c r="F345" s="473">
        <v>0.0</v>
      </c>
      <c r="G345" s="550"/>
      <c r="H345" s="564"/>
      <c r="I345" s="473">
        <v>0.0</v>
      </c>
      <c r="J345" s="471"/>
      <c r="K345" s="564"/>
      <c r="L345" s="484">
        <v>1462.5100000000002</v>
      </c>
      <c r="M345" s="471"/>
      <c r="N345" s="476">
        <f t="shared" si="84"/>
        <v>1462.51</v>
      </c>
      <c r="O345" s="471"/>
      <c r="P345" s="564"/>
      <c r="Q345" s="484">
        <v>-1675.8300000000004</v>
      </c>
      <c r="R345" s="471"/>
      <c r="S345" s="476">
        <f t="shared" si="85"/>
        <v>3138.34</v>
      </c>
      <c r="T345" s="48"/>
      <c r="U345" s="48"/>
      <c r="V345" s="48"/>
      <c r="W345" s="48"/>
      <c r="X345" s="48"/>
      <c r="Y345" s="48"/>
      <c r="Z345" s="48"/>
      <c r="AA345" s="48"/>
      <c r="AB345" s="48"/>
      <c r="AC345" s="48"/>
      <c r="AD345" s="48"/>
      <c r="AE345" s="48"/>
      <c r="AF345" s="48"/>
      <c r="AG345" s="48"/>
      <c r="AH345" s="48"/>
      <c r="AI345" s="48"/>
      <c r="AJ345" s="48"/>
      <c r="AK345" s="48"/>
      <c r="AL345" s="48"/>
      <c r="AM345" s="48"/>
      <c r="AN345" s="48"/>
    </row>
    <row r="346" ht="15.75" customHeight="1">
      <c r="A346" s="5" t="str">
        <f t="shared" si="83"/>
        <v>CarrosserieInformatique</v>
      </c>
      <c r="B346" s="48" t="s">
        <v>174</v>
      </c>
      <c r="C346" s="559" t="s">
        <v>131</v>
      </c>
      <c r="D346" s="546"/>
      <c r="E346" s="48"/>
      <c r="F346" s="481">
        <v>0.0</v>
      </c>
      <c r="G346" s="547"/>
      <c r="H346" s="48"/>
      <c r="I346" s="481">
        <v>0.0</v>
      </c>
      <c r="J346" s="480"/>
      <c r="K346" s="48"/>
      <c r="L346" s="523">
        <v>6261.46</v>
      </c>
      <c r="M346" s="480"/>
      <c r="N346" s="484">
        <f t="shared" si="84"/>
        <v>6261.46</v>
      </c>
      <c r="O346" s="480"/>
      <c r="P346" s="48"/>
      <c r="Q346" s="523">
        <v>6247.75</v>
      </c>
      <c r="R346" s="480"/>
      <c r="S346" s="484">
        <f t="shared" si="85"/>
        <v>13.71</v>
      </c>
      <c r="T346" s="48"/>
      <c r="U346" s="48"/>
      <c r="V346" s="48"/>
      <c r="W346" s="48"/>
      <c r="X346" s="48"/>
      <c r="Y346" s="48"/>
      <c r="Z346" s="48"/>
      <c r="AA346" s="48"/>
      <c r="AB346" s="48"/>
      <c r="AC346" s="48"/>
      <c r="AD346" s="48"/>
      <c r="AE346" s="48"/>
      <c r="AF346" s="48"/>
      <c r="AG346" s="48"/>
      <c r="AH346" s="48"/>
      <c r="AI346" s="48"/>
      <c r="AJ346" s="48"/>
      <c r="AK346" s="48"/>
      <c r="AL346" s="48"/>
      <c r="AM346" s="48"/>
      <c r="AN346" s="48"/>
    </row>
    <row r="347" ht="15.75" customHeight="1">
      <c r="A347" s="5" t="str">
        <f t="shared" si="83"/>
        <v>CarrosserieFrais de déplacement</v>
      </c>
      <c r="B347" s="48" t="s">
        <v>174</v>
      </c>
      <c r="C347" s="559" t="s">
        <v>132</v>
      </c>
      <c r="D347" s="546"/>
      <c r="E347" s="48"/>
      <c r="F347" s="481">
        <v>0.0</v>
      </c>
      <c r="G347" s="547"/>
      <c r="H347" s="48"/>
      <c r="I347" s="481">
        <v>0.0</v>
      </c>
      <c r="J347" s="480"/>
      <c r="K347" s="48"/>
      <c r="L347" s="484">
        <v>3834.3899999999994</v>
      </c>
      <c r="M347" s="480"/>
      <c r="N347" s="484">
        <f t="shared" si="84"/>
        <v>3834.39</v>
      </c>
      <c r="O347" s="480"/>
      <c r="P347" s="48"/>
      <c r="Q347" s="484">
        <v>5810.24</v>
      </c>
      <c r="R347" s="480"/>
      <c r="S347" s="484">
        <f t="shared" si="85"/>
        <v>-1975.85</v>
      </c>
      <c r="T347" s="48"/>
      <c r="U347" s="48"/>
      <c r="V347" s="48"/>
      <c r="W347" s="48"/>
      <c r="X347" s="48"/>
      <c r="Y347" s="48"/>
      <c r="Z347" s="48"/>
      <c r="AA347" s="48"/>
      <c r="AB347" s="48"/>
      <c r="AC347" s="48"/>
      <c r="AD347" s="48"/>
      <c r="AE347" s="48"/>
      <c r="AF347" s="48"/>
      <c r="AG347" s="48"/>
      <c r="AH347" s="48"/>
      <c r="AI347" s="48"/>
      <c r="AJ347" s="48"/>
      <c r="AK347" s="48"/>
      <c r="AL347" s="48"/>
      <c r="AM347" s="48"/>
      <c r="AN347" s="48"/>
    </row>
    <row r="348" ht="15.75" customHeight="1">
      <c r="A348" s="5" t="str">
        <f t="shared" si="83"/>
        <v>CarrosserieServices extérieurs</v>
      </c>
      <c r="B348" s="48" t="s">
        <v>174</v>
      </c>
      <c r="C348" s="559" t="s">
        <v>133</v>
      </c>
      <c r="D348" s="549"/>
      <c r="E348" s="564"/>
      <c r="F348" s="473">
        <v>0.0</v>
      </c>
      <c r="G348" s="550"/>
      <c r="H348" s="564"/>
      <c r="I348" s="473">
        <v>0.0</v>
      </c>
      <c r="J348" s="471"/>
      <c r="K348" s="564"/>
      <c r="L348" s="484">
        <v>11490.720000000001</v>
      </c>
      <c r="M348" s="471"/>
      <c r="N348" s="476">
        <f t="shared" si="84"/>
        <v>11490.72</v>
      </c>
      <c r="O348" s="471"/>
      <c r="P348" s="564"/>
      <c r="Q348" s="484">
        <v>20166.08</v>
      </c>
      <c r="R348" s="471"/>
      <c r="S348" s="476">
        <f t="shared" si="85"/>
        <v>-8675.36</v>
      </c>
      <c r="T348" s="48"/>
      <c r="U348" s="48"/>
      <c r="V348" s="48"/>
      <c r="W348" s="48"/>
      <c r="X348" s="48"/>
      <c r="Y348" s="48"/>
      <c r="Z348" s="48"/>
      <c r="AA348" s="48"/>
      <c r="AB348" s="48"/>
      <c r="AC348" s="48"/>
      <c r="AD348" s="48"/>
      <c r="AE348" s="48"/>
      <c r="AF348" s="48"/>
      <c r="AG348" s="48"/>
      <c r="AH348" s="48"/>
      <c r="AI348" s="48"/>
      <c r="AJ348" s="48"/>
      <c r="AK348" s="48"/>
      <c r="AL348" s="48"/>
      <c r="AM348" s="48"/>
      <c r="AN348" s="48"/>
    </row>
    <row r="349" ht="15.75" customHeight="1">
      <c r="A349" s="5" t="str">
        <f t="shared" si="83"/>
        <v>CarrosserieFournitures d'atelier</v>
      </c>
      <c r="B349" s="48" t="s">
        <v>174</v>
      </c>
      <c r="C349" s="654" t="s">
        <v>173</v>
      </c>
      <c r="D349" s="546"/>
      <c r="E349" s="48"/>
      <c r="F349" s="481">
        <v>0.0</v>
      </c>
      <c r="G349" s="547"/>
      <c r="H349" s="48"/>
      <c r="I349" s="481">
        <v>0.0</v>
      </c>
      <c r="J349" s="480"/>
      <c r="K349" s="48"/>
      <c r="L349" s="523">
        <v>0.0</v>
      </c>
      <c r="M349" s="480"/>
      <c r="N349" s="484">
        <f t="shared" si="84"/>
        <v>0</v>
      </c>
      <c r="O349" s="480"/>
      <c r="P349" s="48"/>
      <c r="Q349" s="523">
        <v>0.0</v>
      </c>
      <c r="R349" s="480"/>
      <c r="S349" s="484">
        <f t="shared" si="85"/>
        <v>0</v>
      </c>
      <c r="T349" s="48"/>
      <c r="U349" s="48"/>
      <c r="V349" s="48"/>
      <c r="W349" s="48"/>
      <c r="X349" s="48"/>
      <c r="Y349" s="48"/>
      <c r="Z349" s="48"/>
      <c r="AA349" s="48"/>
      <c r="AB349" s="48"/>
      <c r="AC349" s="48"/>
      <c r="AD349" s="48"/>
      <c r="AE349" s="48"/>
      <c r="AF349" s="48"/>
      <c r="AG349" s="48"/>
      <c r="AH349" s="48"/>
      <c r="AI349" s="48"/>
      <c r="AJ349" s="48"/>
      <c r="AK349" s="48"/>
      <c r="AL349" s="48"/>
      <c r="AM349" s="48"/>
      <c r="AN349" s="48"/>
    </row>
    <row r="350" ht="15.75" customHeight="1">
      <c r="A350" s="5" t="str">
        <f t="shared" si="83"/>
        <v>CarrosserieFournitures autres</v>
      </c>
      <c r="B350" s="48" t="s">
        <v>174</v>
      </c>
      <c r="C350" s="559" t="s">
        <v>134</v>
      </c>
      <c r="D350" s="546"/>
      <c r="E350" s="48"/>
      <c r="F350" s="481">
        <v>0.0</v>
      </c>
      <c r="G350" s="547"/>
      <c r="H350" s="48"/>
      <c r="I350" s="481">
        <v>0.0</v>
      </c>
      <c r="J350" s="480"/>
      <c r="K350" s="48"/>
      <c r="L350" s="484">
        <v>32683.340000000004</v>
      </c>
      <c r="M350" s="480"/>
      <c r="N350" s="484">
        <f t="shared" si="84"/>
        <v>32683.34</v>
      </c>
      <c r="O350" s="480"/>
      <c r="P350" s="48"/>
      <c r="Q350" s="484">
        <v>10503.17</v>
      </c>
      <c r="R350" s="480"/>
      <c r="S350" s="484">
        <f t="shared" si="85"/>
        <v>22180.17</v>
      </c>
      <c r="T350" s="48"/>
      <c r="U350" s="48"/>
      <c r="V350" s="48"/>
      <c r="W350" s="48"/>
      <c r="X350" s="48"/>
      <c r="Y350" s="48"/>
      <c r="Z350" s="48"/>
      <c r="AA350" s="48"/>
      <c r="AB350" s="48"/>
      <c r="AC350" s="48"/>
      <c r="AD350" s="48"/>
      <c r="AE350" s="48"/>
      <c r="AF350" s="48"/>
      <c r="AG350" s="48"/>
      <c r="AH350" s="48"/>
      <c r="AI350" s="48"/>
      <c r="AJ350" s="48"/>
      <c r="AK350" s="48"/>
      <c r="AL350" s="48"/>
      <c r="AM350" s="48"/>
      <c r="AN350" s="48"/>
    </row>
    <row r="351" ht="15.75" customHeight="1">
      <c r="A351" s="5" t="str">
        <f t="shared" si="83"/>
        <v>CarrosserieUniformes</v>
      </c>
      <c r="B351" s="48" t="s">
        <v>174</v>
      </c>
      <c r="C351" s="559" t="s">
        <v>135</v>
      </c>
      <c r="D351" s="546"/>
      <c r="E351" s="48"/>
      <c r="F351" s="481">
        <v>0.0</v>
      </c>
      <c r="G351" s="547"/>
      <c r="H351" s="48"/>
      <c r="I351" s="481">
        <v>0.0</v>
      </c>
      <c r="J351" s="480"/>
      <c r="K351" s="48"/>
      <c r="L351" s="484">
        <v>0.0</v>
      </c>
      <c r="M351" s="480"/>
      <c r="N351" s="484">
        <f t="shared" si="84"/>
        <v>0</v>
      </c>
      <c r="O351" s="480"/>
      <c r="P351" s="48"/>
      <c r="Q351" s="484">
        <v>0.0</v>
      </c>
      <c r="R351" s="480"/>
      <c r="S351" s="484">
        <f t="shared" si="85"/>
        <v>0</v>
      </c>
      <c r="T351" s="48"/>
      <c r="U351" s="48"/>
      <c r="V351" s="48"/>
      <c r="W351" s="48"/>
      <c r="X351" s="48"/>
      <c r="Y351" s="48"/>
      <c r="Z351" s="48"/>
      <c r="AA351" s="48"/>
      <c r="AB351" s="48"/>
      <c r="AC351" s="48"/>
      <c r="AD351" s="48"/>
      <c r="AE351" s="48"/>
      <c r="AF351" s="48"/>
      <c r="AG351" s="48"/>
      <c r="AH351" s="48"/>
      <c r="AI351" s="48"/>
      <c r="AJ351" s="48"/>
      <c r="AK351" s="48"/>
      <c r="AL351" s="48"/>
      <c r="AM351" s="48"/>
      <c r="AN351" s="48"/>
    </row>
    <row r="352" ht="15.75" customHeight="1">
      <c r="A352" s="5" t="str">
        <f t="shared" si="83"/>
        <v>CarrosseriePapeterie</v>
      </c>
      <c r="B352" s="48" t="s">
        <v>174</v>
      </c>
      <c r="C352" s="559" t="s">
        <v>136</v>
      </c>
      <c r="D352" s="546"/>
      <c r="E352" s="48"/>
      <c r="F352" s="481">
        <v>0.0</v>
      </c>
      <c r="G352" s="547"/>
      <c r="H352" s="48"/>
      <c r="I352" s="481">
        <v>0.0</v>
      </c>
      <c r="J352" s="480"/>
      <c r="K352" s="48"/>
      <c r="L352" s="484">
        <v>1562.41</v>
      </c>
      <c r="M352" s="480"/>
      <c r="N352" s="484">
        <f t="shared" si="84"/>
        <v>1562.41</v>
      </c>
      <c r="O352" s="480"/>
      <c r="P352" s="48"/>
      <c r="Q352" s="484">
        <v>1860.34</v>
      </c>
      <c r="R352" s="480"/>
      <c r="S352" s="484">
        <f t="shared" si="85"/>
        <v>-297.93</v>
      </c>
      <c r="T352" s="48"/>
      <c r="U352" s="48"/>
      <c r="V352" s="48"/>
      <c r="W352" s="48"/>
      <c r="X352" s="48"/>
      <c r="Y352" s="48"/>
      <c r="Z352" s="48"/>
      <c r="AA352" s="48"/>
      <c r="AB352" s="48"/>
      <c r="AC352" s="48"/>
      <c r="AD352" s="48"/>
      <c r="AE352" s="48"/>
      <c r="AF352" s="48"/>
      <c r="AG352" s="48"/>
      <c r="AH352" s="48"/>
      <c r="AI352" s="48"/>
      <c r="AJ352" s="48"/>
      <c r="AK352" s="48"/>
      <c r="AL352" s="48"/>
      <c r="AM352" s="48"/>
      <c r="AN352" s="48"/>
    </row>
    <row r="353" ht="15.75" customHeight="1">
      <c r="A353" s="5" t="str">
        <f t="shared" si="83"/>
        <v>CarrosserieTéléphone</v>
      </c>
      <c r="B353" s="48" t="s">
        <v>174</v>
      </c>
      <c r="C353" s="559" t="s">
        <v>137</v>
      </c>
      <c r="D353" s="546"/>
      <c r="E353" s="48"/>
      <c r="F353" s="481">
        <v>0.0</v>
      </c>
      <c r="G353" s="547"/>
      <c r="H353" s="48"/>
      <c r="I353" s="481">
        <v>0.0</v>
      </c>
      <c r="J353" s="480"/>
      <c r="K353" s="48"/>
      <c r="L353" s="484">
        <v>686.92</v>
      </c>
      <c r="M353" s="480"/>
      <c r="N353" s="484">
        <f t="shared" si="84"/>
        <v>686.92</v>
      </c>
      <c r="O353" s="480"/>
      <c r="P353" s="48"/>
      <c r="Q353" s="484">
        <v>1097.67</v>
      </c>
      <c r="R353" s="480"/>
      <c r="S353" s="484">
        <f t="shared" si="85"/>
        <v>-410.75</v>
      </c>
      <c r="T353" s="48"/>
      <c r="U353" s="48"/>
      <c r="V353" s="48"/>
      <c r="W353" s="48"/>
      <c r="X353" s="48"/>
      <c r="Y353" s="48"/>
      <c r="Z353" s="48"/>
      <c r="AA353" s="48"/>
      <c r="AB353" s="48"/>
      <c r="AC353" s="48"/>
      <c r="AD353" s="48"/>
      <c r="AE353" s="48"/>
      <c r="AF353" s="48"/>
      <c r="AG353" s="48"/>
      <c r="AH353" s="48"/>
      <c r="AI353" s="48"/>
      <c r="AJ353" s="48"/>
      <c r="AK353" s="48"/>
      <c r="AL353" s="48"/>
      <c r="AM353" s="48"/>
      <c r="AN353" s="48"/>
    </row>
    <row r="354" ht="15.75" customHeight="1">
      <c r="A354" s="5" t="str">
        <f t="shared" si="83"/>
        <v>CarrosserieFrais postaux</v>
      </c>
      <c r="B354" s="48" t="s">
        <v>174</v>
      </c>
      <c r="C354" s="559" t="s">
        <v>138</v>
      </c>
      <c r="D354" s="546"/>
      <c r="E354" s="48"/>
      <c r="F354" s="481">
        <v>0.0</v>
      </c>
      <c r="G354" s="547"/>
      <c r="H354" s="48"/>
      <c r="I354" s="481">
        <v>0.0</v>
      </c>
      <c r="J354" s="480"/>
      <c r="K354" s="48"/>
      <c r="L354" s="484">
        <v>1340.04</v>
      </c>
      <c r="M354" s="480"/>
      <c r="N354" s="484">
        <f t="shared" si="84"/>
        <v>1340.04</v>
      </c>
      <c r="O354" s="480"/>
      <c r="P354" s="48"/>
      <c r="Q354" s="484">
        <v>855.2099999999999</v>
      </c>
      <c r="R354" s="480"/>
      <c r="S354" s="484">
        <f t="shared" si="85"/>
        <v>484.83</v>
      </c>
      <c r="T354" s="48"/>
      <c r="U354" s="48"/>
      <c r="V354" s="48"/>
      <c r="W354" s="48"/>
      <c r="X354" s="48"/>
      <c r="Y354" s="48"/>
      <c r="Z354" s="48"/>
      <c r="AA354" s="48"/>
      <c r="AB354" s="48"/>
      <c r="AC354" s="48"/>
      <c r="AD354" s="48"/>
      <c r="AE354" s="48"/>
      <c r="AF354" s="48"/>
      <c r="AG354" s="48"/>
      <c r="AH354" s="48"/>
      <c r="AI354" s="48"/>
      <c r="AJ354" s="48"/>
      <c r="AK354" s="48"/>
      <c r="AL354" s="48"/>
      <c r="AM354" s="48"/>
      <c r="AN354" s="48"/>
    </row>
    <row r="355" ht="15.75" customHeight="1">
      <c r="A355" s="5" t="str">
        <f t="shared" si="83"/>
        <v>CarrosserieDivers</v>
      </c>
      <c r="B355" s="48" t="s">
        <v>174</v>
      </c>
      <c r="C355" s="559" t="s">
        <v>139</v>
      </c>
      <c r="D355" s="546"/>
      <c r="E355" s="48"/>
      <c r="F355" s="481">
        <v>0.0</v>
      </c>
      <c r="G355" s="547"/>
      <c r="H355" s="48"/>
      <c r="I355" s="481">
        <v>0.0</v>
      </c>
      <c r="J355" s="480"/>
      <c r="K355" s="48"/>
      <c r="L355" s="484">
        <v>5855.84</v>
      </c>
      <c r="M355" s="480"/>
      <c r="N355" s="484">
        <f t="shared" si="84"/>
        <v>5855.84</v>
      </c>
      <c r="O355" s="480"/>
      <c r="P355" s="48"/>
      <c r="Q355" s="484">
        <v>5925.099999999999</v>
      </c>
      <c r="R355" s="480"/>
      <c r="S355" s="484">
        <f t="shared" si="85"/>
        <v>-69.26</v>
      </c>
      <c r="T355" s="48"/>
      <c r="U355" s="48"/>
      <c r="V355" s="48"/>
      <c r="W355" s="48"/>
      <c r="X355" s="48"/>
      <c r="Y355" s="48"/>
      <c r="Z355" s="48"/>
      <c r="AA355" s="48"/>
      <c r="AB355" s="48"/>
      <c r="AC355" s="48"/>
      <c r="AD355" s="48"/>
      <c r="AE355" s="48"/>
      <c r="AF355" s="48"/>
      <c r="AG355" s="48"/>
      <c r="AH355" s="48"/>
      <c r="AI355" s="48"/>
      <c r="AJ355" s="48"/>
      <c r="AK355" s="48"/>
      <c r="AL355" s="48"/>
      <c r="AM355" s="48"/>
      <c r="AN355" s="48"/>
    </row>
    <row r="356" ht="15.75" customHeight="1">
      <c r="A356" s="5" t="str">
        <f t="shared" si="83"/>
        <v>CarrosserieFormation</v>
      </c>
      <c r="B356" s="48" t="s">
        <v>174</v>
      </c>
      <c r="C356" s="559" t="s">
        <v>140</v>
      </c>
      <c r="D356" s="546"/>
      <c r="E356" s="48"/>
      <c r="F356" s="481">
        <v>0.0</v>
      </c>
      <c r="G356" s="547"/>
      <c r="H356" s="48"/>
      <c r="I356" s="481">
        <v>0.0</v>
      </c>
      <c r="J356" s="480"/>
      <c r="K356" s="48"/>
      <c r="L356" s="484">
        <v>0.0</v>
      </c>
      <c r="M356" s="480"/>
      <c r="N356" s="484">
        <f t="shared" si="84"/>
        <v>0</v>
      </c>
      <c r="O356" s="480"/>
      <c r="P356" s="48"/>
      <c r="Q356" s="484">
        <v>0.0</v>
      </c>
      <c r="R356" s="480"/>
      <c r="S356" s="484">
        <f t="shared" si="85"/>
        <v>0</v>
      </c>
      <c r="T356" s="48"/>
      <c r="X356" s="48"/>
      <c r="Y356" s="48"/>
      <c r="Z356" s="48"/>
      <c r="AA356" s="48"/>
      <c r="AB356" s="48"/>
      <c r="AC356" s="48"/>
      <c r="AD356" s="48"/>
      <c r="AE356" s="48"/>
      <c r="AF356" s="48"/>
      <c r="AG356" s="48"/>
      <c r="AH356" s="48"/>
      <c r="AI356" s="48"/>
      <c r="AJ356" s="48"/>
      <c r="AK356" s="48"/>
      <c r="AL356" s="48"/>
      <c r="AM356" s="48"/>
      <c r="AN356" s="48"/>
    </row>
    <row r="357" ht="15.75" customHeight="1">
      <c r="A357" s="5" t="str">
        <f t="shared" si="83"/>
        <v>CarrosserieFrais bancaires</v>
      </c>
      <c r="B357" s="48" t="s">
        <v>174</v>
      </c>
      <c r="C357" s="559" t="s">
        <v>141</v>
      </c>
      <c r="D357" s="546"/>
      <c r="E357" s="48"/>
      <c r="F357" s="481">
        <v>0.0</v>
      </c>
      <c r="G357" s="547"/>
      <c r="H357" s="48"/>
      <c r="I357" s="481">
        <v>0.0</v>
      </c>
      <c r="J357" s="480"/>
      <c r="K357" s="48"/>
      <c r="L357" s="484">
        <v>1760.6399999999999</v>
      </c>
      <c r="M357" s="480"/>
      <c r="N357" s="484">
        <f t="shared" si="84"/>
        <v>1760.64</v>
      </c>
      <c r="O357" s="480"/>
      <c r="P357" s="48"/>
      <c r="Q357" s="484">
        <v>315.79999999999995</v>
      </c>
      <c r="R357" s="480"/>
      <c r="S357" s="484">
        <f t="shared" si="85"/>
        <v>1444.84</v>
      </c>
      <c r="T357" s="48"/>
      <c r="X357" s="48"/>
      <c r="Y357" s="48"/>
      <c r="Z357" s="48"/>
      <c r="AA357" s="48"/>
      <c r="AB357" s="48"/>
      <c r="AC357" s="48"/>
      <c r="AD357" s="48"/>
      <c r="AE357" s="48"/>
      <c r="AF357" s="48"/>
      <c r="AG357" s="48"/>
      <c r="AH357" s="48"/>
      <c r="AI357" s="48"/>
      <c r="AJ357" s="48"/>
      <c r="AK357" s="48"/>
      <c r="AL357" s="48"/>
      <c r="AM357" s="48"/>
      <c r="AN357" s="48"/>
    </row>
    <row r="358" ht="20.25" customHeight="1">
      <c r="A358" s="5" t="str">
        <f t="shared" si="83"/>
        <v>Carrosserie[...]</v>
      </c>
      <c r="B358" s="48" t="s">
        <v>174</v>
      </c>
      <c r="C358" s="559" t="s">
        <v>56</v>
      </c>
      <c r="D358" s="546"/>
      <c r="E358" s="48"/>
      <c r="F358" s="481">
        <v>0.0</v>
      </c>
      <c r="G358" s="547"/>
      <c r="H358" s="48"/>
      <c r="I358" s="481">
        <v>0.0</v>
      </c>
      <c r="J358" s="480"/>
      <c r="K358" s="48"/>
      <c r="L358" s="484">
        <v>5439.79</v>
      </c>
      <c r="M358" s="480"/>
      <c r="N358" s="484">
        <f t="shared" si="84"/>
        <v>5439.79</v>
      </c>
      <c r="O358" s="480"/>
      <c r="P358" s="48"/>
      <c r="Q358" s="484">
        <v>0.0</v>
      </c>
      <c r="R358" s="480"/>
      <c r="S358" s="484">
        <f t="shared" si="85"/>
        <v>5439.79</v>
      </c>
      <c r="T358" s="48"/>
      <c r="X358" s="48"/>
      <c r="Y358" s="48"/>
      <c r="Z358" s="48"/>
      <c r="AA358" s="48"/>
      <c r="AB358" s="48"/>
      <c r="AC358" s="48"/>
      <c r="AD358" s="48"/>
      <c r="AE358" s="48"/>
      <c r="AF358" s="48"/>
      <c r="AG358" s="48"/>
      <c r="AH358" s="48"/>
      <c r="AI358" s="48"/>
      <c r="AJ358" s="48"/>
      <c r="AK358" s="48"/>
      <c r="AL358" s="48"/>
      <c r="AM358" s="48"/>
      <c r="AN358" s="48"/>
    </row>
    <row r="359" ht="20.25" hidden="1" customHeight="1">
      <c r="A359" s="5" t="str">
        <f t="shared" si="83"/>
        <v>Carrosserie[...]</v>
      </c>
      <c r="B359" s="48" t="s">
        <v>174</v>
      </c>
      <c r="C359" s="559" t="s">
        <v>56</v>
      </c>
      <c r="D359" s="546"/>
      <c r="E359" s="48"/>
      <c r="F359" s="481">
        <v>0.0</v>
      </c>
      <c r="G359" s="547"/>
      <c r="H359" s="48"/>
      <c r="I359" s="481">
        <v>0.0</v>
      </c>
      <c r="J359" s="480"/>
      <c r="K359" s="48"/>
      <c r="L359" s="484">
        <v>0.0</v>
      </c>
      <c r="M359" s="480"/>
      <c r="N359" s="484">
        <f t="shared" si="84"/>
        <v>0</v>
      </c>
      <c r="O359" s="480"/>
      <c r="P359" s="48"/>
      <c r="Q359" s="484">
        <v>0.0</v>
      </c>
      <c r="R359" s="480"/>
      <c r="S359" s="484">
        <f t="shared" si="85"/>
        <v>0</v>
      </c>
      <c r="T359" s="48"/>
      <c r="X359" s="48"/>
      <c r="Y359" s="48"/>
      <c r="Z359" s="48"/>
      <c r="AA359" s="48"/>
      <c r="AB359" s="48"/>
      <c r="AC359" s="48"/>
      <c r="AD359" s="48"/>
      <c r="AE359" s="48"/>
      <c r="AF359" s="48"/>
      <c r="AG359" s="48"/>
      <c r="AH359" s="48"/>
      <c r="AI359" s="48"/>
      <c r="AJ359" s="48"/>
      <c r="AK359" s="48"/>
      <c r="AL359" s="48"/>
      <c r="AM359" s="48"/>
      <c r="AN359" s="48"/>
    </row>
    <row r="360" ht="20.25" hidden="1" customHeight="1">
      <c r="A360" s="5" t="str">
        <f t="shared" si="83"/>
        <v>Carrosserie[...]</v>
      </c>
      <c r="B360" s="48" t="s">
        <v>174</v>
      </c>
      <c r="C360" s="559" t="s">
        <v>56</v>
      </c>
      <c r="D360" s="546"/>
      <c r="E360" s="48"/>
      <c r="F360" s="481">
        <v>0.0</v>
      </c>
      <c r="G360" s="547"/>
      <c r="H360" s="48"/>
      <c r="I360" s="481">
        <v>0.0</v>
      </c>
      <c r="J360" s="480"/>
      <c r="K360" s="48"/>
      <c r="L360" s="484">
        <v>0.0</v>
      </c>
      <c r="M360" s="480"/>
      <c r="N360" s="484">
        <f t="shared" si="84"/>
        <v>0</v>
      </c>
      <c r="O360" s="480"/>
      <c r="P360" s="48"/>
      <c r="Q360" s="484">
        <v>0.0</v>
      </c>
      <c r="R360" s="480"/>
      <c r="S360" s="484">
        <f t="shared" si="85"/>
        <v>0</v>
      </c>
      <c r="T360" s="48"/>
      <c r="X360" s="48"/>
      <c r="Y360" s="48"/>
      <c r="Z360" s="48"/>
      <c r="AA360" s="48"/>
      <c r="AB360" s="48"/>
      <c r="AC360" s="48"/>
      <c r="AD360" s="48"/>
      <c r="AE360" s="48"/>
      <c r="AF360" s="48"/>
      <c r="AG360" s="48"/>
      <c r="AH360" s="48"/>
      <c r="AI360" s="48"/>
      <c r="AJ360" s="48"/>
      <c r="AK360" s="48"/>
      <c r="AL360" s="48"/>
      <c r="AM360" s="48"/>
      <c r="AN360" s="48"/>
    </row>
    <row r="361" ht="18.0" customHeight="1">
      <c r="A361" s="5"/>
      <c r="B361" s="48"/>
      <c r="C361" s="552" t="s">
        <v>142</v>
      </c>
      <c r="D361" s="553" t="s">
        <v>225</v>
      </c>
      <c r="E361" s="554" t="str">
        <f>F361/F$250</f>
        <v>#DIV/0!</v>
      </c>
      <c r="F361" s="555">
        <f>+SUM(F343:F360)</f>
        <v>0</v>
      </c>
      <c r="G361" s="556" t="s">
        <v>225</v>
      </c>
      <c r="H361" s="554" t="str">
        <f>I361/I$250</f>
        <v>#DIV/0!</v>
      </c>
      <c r="I361" s="555">
        <f>+SUM(I343:I360)</f>
        <v>0</v>
      </c>
      <c r="J361" s="556" t="s">
        <v>225</v>
      </c>
      <c r="K361" s="554">
        <f>L361/L$250</f>
        <v>123459.6516</v>
      </c>
      <c r="L361" s="555">
        <f>+SUM(L343:L360)</f>
        <v>79039.85</v>
      </c>
      <c r="M361" s="557"/>
      <c r="N361" s="555">
        <f>+SUM(N343:N360)</f>
        <v>79039.85</v>
      </c>
      <c r="O361" s="556" t="s">
        <v>225</v>
      </c>
      <c r="P361" s="554">
        <f>Q361/Q$250</f>
        <v>78895.87558</v>
      </c>
      <c r="Q361" s="555">
        <f>+SUM(Q343:Q360)</f>
        <v>54313.75</v>
      </c>
      <c r="R361" s="558"/>
      <c r="S361" s="555">
        <f t="shared" si="85"/>
        <v>24726.1</v>
      </c>
      <c r="T361" s="48"/>
      <c r="U361" s="48"/>
      <c r="V361" s="48"/>
      <c r="W361" s="48"/>
      <c r="X361" s="48"/>
      <c r="Y361" s="48"/>
      <c r="Z361" s="48"/>
      <c r="AA361" s="48"/>
      <c r="AB361" s="48"/>
      <c r="AC361" s="48"/>
      <c r="AD361" s="48"/>
      <c r="AE361" s="48"/>
      <c r="AF361" s="48"/>
      <c r="AG361" s="48"/>
      <c r="AH361" s="48"/>
      <c r="AI361" s="48"/>
      <c r="AJ361" s="48"/>
      <c r="AK361" s="48"/>
      <c r="AL361" s="48"/>
      <c r="AM361" s="48"/>
      <c r="AN361" s="48"/>
    </row>
    <row r="362" ht="15.75" customHeight="1">
      <c r="B362" s="48"/>
      <c r="C362" s="471"/>
      <c r="D362" s="549"/>
      <c r="E362" s="564"/>
      <c r="F362" s="484"/>
      <c r="G362" s="550"/>
      <c r="H362" s="564"/>
      <c r="I362" s="484"/>
      <c r="J362" s="471"/>
      <c r="K362" s="564"/>
      <c r="L362" s="476"/>
      <c r="M362" s="471"/>
      <c r="N362" s="476"/>
      <c r="O362" s="471"/>
      <c r="P362" s="564"/>
      <c r="Q362" s="476"/>
      <c r="R362" s="471"/>
      <c r="S362" s="476"/>
      <c r="T362" s="11"/>
      <c r="U362" s="48"/>
      <c r="V362" s="48"/>
      <c r="W362" s="48"/>
      <c r="X362" s="48"/>
      <c r="Y362" s="48"/>
      <c r="Z362" s="48"/>
      <c r="AA362" s="48"/>
      <c r="AB362" s="48"/>
      <c r="AC362" s="48"/>
      <c r="AD362" s="48"/>
      <c r="AE362" s="48"/>
      <c r="AF362" s="48"/>
      <c r="AG362" s="48"/>
      <c r="AH362" s="48"/>
      <c r="AI362" s="48"/>
      <c r="AJ362" s="48"/>
      <c r="AK362" s="48"/>
      <c r="AL362" s="48"/>
      <c r="AM362" s="48"/>
      <c r="AN362" s="48"/>
    </row>
    <row r="363" ht="18.0" customHeight="1">
      <c r="A363" s="5"/>
      <c r="B363" s="48"/>
      <c r="C363" s="552" t="s">
        <v>143</v>
      </c>
      <c r="D363" s="553" t="s">
        <v>225</v>
      </c>
      <c r="E363" s="554" t="str">
        <f>F363/F$250</f>
        <v>#DIV/0!</v>
      </c>
      <c r="F363" s="555">
        <f>F342+F361</f>
        <v>0</v>
      </c>
      <c r="G363" s="556" t="s">
        <v>225</v>
      </c>
      <c r="H363" s="554" t="str">
        <f>I363/I$250</f>
        <v>#DIV/0!</v>
      </c>
      <c r="I363" s="555">
        <f>I342+I361</f>
        <v>0</v>
      </c>
      <c r="J363" s="556" t="s">
        <v>225</v>
      </c>
      <c r="K363" s="554">
        <f>L363/L$250</f>
        <v>262724.1835</v>
      </c>
      <c r="L363" s="555">
        <f>L342+L361</f>
        <v>168198.11</v>
      </c>
      <c r="M363" s="557"/>
      <c r="N363" s="555">
        <f t="shared" ref="N363:N365" si="86">L363-F363</f>
        <v>168198.11</v>
      </c>
      <c r="O363" s="556" t="s">
        <v>225</v>
      </c>
      <c r="P363" s="554">
        <f>Q363/Q$250</f>
        <v>194433.37</v>
      </c>
      <c r="Q363" s="555">
        <f>Q342+Q361</f>
        <v>133852.44</v>
      </c>
      <c r="R363" s="558"/>
      <c r="S363" s="555">
        <f>L363-Q363</f>
        <v>34345.67</v>
      </c>
      <c r="T363" s="48"/>
      <c r="U363" s="48"/>
      <c r="V363" s="48"/>
      <c r="W363" s="48"/>
      <c r="X363" s="48"/>
      <c r="Y363" s="48"/>
      <c r="Z363" s="48"/>
      <c r="AA363" s="48"/>
      <c r="AB363" s="48"/>
      <c r="AC363" s="48"/>
      <c r="AD363" s="48"/>
      <c r="AE363" s="48"/>
      <c r="AF363" s="48"/>
      <c r="AG363" s="48"/>
      <c r="AH363" s="48"/>
      <c r="AI363" s="48"/>
      <c r="AJ363" s="48"/>
      <c r="AK363" s="48"/>
      <c r="AL363" s="48"/>
      <c r="AM363" s="48"/>
      <c r="AN363" s="48"/>
    </row>
    <row r="364" ht="15.75" customHeight="1">
      <c r="B364" s="48"/>
      <c r="C364" s="480"/>
      <c r="D364" s="546"/>
      <c r="E364" s="48"/>
      <c r="F364" s="484"/>
      <c r="G364" s="547"/>
      <c r="H364" s="48"/>
      <c r="I364" s="484"/>
      <c r="J364" s="480"/>
      <c r="K364" s="48"/>
      <c r="L364" s="484"/>
      <c r="M364" s="480"/>
      <c r="N364" s="484">
        <f t="shared" si="86"/>
        <v>0</v>
      </c>
      <c r="O364" s="480"/>
      <c r="P364" s="48"/>
      <c r="Q364" s="484"/>
      <c r="R364" s="480"/>
      <c r="S364" s="484"/>
      <c r="T364" s="48"/>
      <c r="U364" s="48"/>
      <c r="V364" s="48"/>
      <c r="W364" s="48"/>
      <c r="X364" s="48"/>
      <c r="Y364" s="48"/>
      <c r="Z364" s="48"/>
      <c r="AA364" s="48"/>
      <c r="AB364" s="48"/>
      <c r="AC364" s="48"/>
      <c r="AD364" s="48"/>
      <c r="AE364" s="48"/>
      <c r="AF364" s="48"/>
      <c r="AG364" s="48"/>
      <c r="AH364" s="48"/>
      <c r="AI364" s="48"/>
      <c r="AJ364" s="48"/>
      <c r="AK364" s="48"/>
      <c r="AL364" s="48"/>
      <c r="AM364" s="48"/>
      <c r="AN364" s="48"/>
    </row>
    <row r="365" ht="18.0" customHeight="1">
      <c r="A365" s="5"/>
      <c r="B365" s="48"/>
      <c r="C365" s="579" t="s">
        <v>150</v>
      </c>
      <c r="D365" s="580"/>
      <c r="E365" s="581"/>
      <c r="F365" s="582">
        <f>F326-F363</f>
        <v>0</v>
      </c>
      <c r="G365" s="583"/>
      <c r="H365" s="581"/>
      <c r="I365" s="582">
        <f>I326-I363</f>
        <v>0</v>
      </c>
      <c r="J365" s="583"/>
      <c r="K365" s="581"/>
      <c r="L365" s="582">
        <f>L326-L363</f>
        <v>46519.82</v>
      </c>
      <c r="M365" s="584"/>
      <c r="N365" s="582">
        <f t="shared" si="86"/>
        <v>46519.82</v>
      </c>
      <c r="O365" s="583"/>
      <c r="P365" s="581"/>
      <c r="Q365" s="582">
        <f>Q326-Q363</f>
        <v>54893.6</v>
      </c>
      <c r="R365" s="585"/>
      <c r="S365" s="582">
        <f>L365-Q365</f>
        <v>-8373.78</v>
      </c>
      <c r="T365" s="48"/>
      <c r="U365" s="48"/>
      <c r="V365" s="48"/>
      <c r="W365" s="48"/>
      <c r="X365" s="48"/>
      <c r="Y365" s="48"/>
      <c r="Z365" s="48"/>
      <c r="AA365" s="48"/>
      <c r="AB365" s="48"/>
      <c r="AC365" s="48"/>
      <c r="AD365" s="48"/>
      <c r="AE365" s="48"/>
      <c r="AF365" s="48"/>
      <c r="AG365" s="48"/>
      <c r="AH365" s="48"/>
      <c r="AI365" s="48"/>
      <c r="AJ365" s="48"/>
      <c r="AK365" s="48"/>
      <c r="AL365" s="48"/>
      <c r="AM365" s="48"/>
      <c r="AN365" s="48"/>
    </row>
    <row r="366" ht="15.75" customHeight="1">
      <c r="B366" s="48"/>
      <c r="C366" s="48"/>
      <c r="D366" s="48"/>
      <c r="E366" s="48"/>
      <c r="F366" s="48"/>
      <c r="G366" s="48"/>
      <c r="H366" s="48"/>
      <c r="I366" s="48"/>
      <c r="J366" s="48"/>
      <c r="K366" s="48"/>
      <c r="L366" s="483"/>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row>
    <row r="367" ht="36.0" customHeight="1">
      <c r="B367" s="48"/>
      <c r="C367" s="450" t="str">
        <f>C1</f>
        <v>Ste-Marie Auto</v>
      </c>
      <c r="D367" s="451"/>
      <c r="E367" s="452"/>
      <c r="F367" s="451"/>
      <c r="G367" s="451"/>
      <c r="H367" s="450"/>
      <c r="I367" s="451"/>
      <c r="J367" s="450"/>
      <c r="K367" s="453" t="s">
        <v>178</v>
      </c>
      <c r="L367" s="451"/>
      <c r="M367" s="451"/>
      <c r="N367" s="454"/>
      <c r="O367" s="450"/>
      <c r="P367" s="451"/>
      <c r="Q367" s="450"/>
      <c r="R367" s="451"/>
      <c r="S367" s="455" t="str">
        <f>$S$1</f>
        <v>Réalisé  Q2 2026</v>
      </c>
      <c r="T367" s="48"/>
      <c r="U367" s="48"/>
      <c r="V367" s="48"/>
      <c r="W367" s="48"/>
      <c r="X367" s="48"/>
      <c r="Y367" s="48"/>
      <c r="Z367" s="48"/>
      <c r="AA367" s="48"/>
      <c r="AB367" s="48"/>
      <c r="AC367" s="48"/>
      <c r="AD367" s="48"/>
      <c r="AE367" s="48"/>
      <c r="AF367" s="48"/>
      <c r="AG367" s="48"/>
      <c r="AH367" s="48"/>
      <c r="AI367" s="48"/>
      <c r="AJ367" s="48"/>
      <c r="AK367" s="48"/>
      <c r="AL367" s="48"/>
      <c r="AM367" s="48"/>
      <c r="AN367" s="48"/>
    </row>
    <row r="368" ht="15.75" customHeight="1">
      <c r="B368" s="48"/>
      <c r="C368" s="39"/>
      <c r="D368" s="40"/>
      <c r="E368" s="40"/>
      <c r="F368" s="40"/>
      <c r="G368" s="40"/>
      <c r="H368" s="40"/>
      <c r="I368" s="40"/>
      <c r="J368" s="40"/>
      <c r="K368" s="40"/>
      <c r="L368" s="40"/>
      <c r="M368" s="40"/>
      <c r="N368" s="40"/>
      <c r="O368" s="40"/>
      <c r="P368" s="40"/>
      <c r="Q368" s="40"/>
      <c r="R368" s="40"/>
      <c r="S368" s="40"/>
      <c r="T368" s="48"/>
      <c r="U368" s="48"/>
      <c r="V368" s="48"/>
      <c r="W368" s="48"/>
      <c r="X368" s="48"/>
      <c r="Y368" s="48"/>
      <c r="Z368" s="48"/>
      <c r="AA368" s="48"/>
      <c r="AB368" s="48"/>
      <c r="AC368" s="48"/>
      <c r="AD368" s="48"/>
      <c r="AE368" s="48"/>
      <c r="AF368" s="48"/>
      <c r="AG368" s="48"/>
      <c r="AH368" s="48"/>
      <c r="AI368" s="48"/>
      <c r="AJ368" s="48"/>
      <c r="AK368" s="48"/>
      <c r="AL368" s="48"/>
      <c r="AM368" s="48"/>
      <c r="AN368" s="48"/>
    </row>
    <row r="369" ht="15.75" customHeight="1">
      <c r="B369" s="48"/>
      <c r="C369" s="461"/>
      <c r="D369" s="462" t="s">
        <v>774</v>
      </c>
      <c r="E369" s="44"/>
      <c r="F369" s="45"/>
      <c r="G369" s="463" t="s">
        <v>1114</v>
      </c>
      <c r="H369" s="44"/>
      <c r="I369" s="45"/>
      <c r="J369" s="463" t="s">
        <v>775</v>
      </c>
      <c r="K369" s="44"/>
      <c r="L369" s="45"/>
      <c r="M369" s="463" t="s">
        <v>776</v>
      </c>
      <c r="N369" s="45"/>
      <c r="O369" s="462" t="s">
        <v>777</v>
      </c>
      <c r="P369" s="44"/>
      <c r="Q369" s="45"/>
      <c r="R369" s="463" t="s">
        <v>778</v>
      </c>
      <c r="S369" s="45"/>
      <c r="T369" s="48"/>
      <c r="U369" s="48"/>
      <c r="V369" s="48"/>
      <c r="W369" s="48"/>
      <c r="X369" s="48"/>
      <c r="Y369" s="48"/>
      <c r="Z369" s="48"/>
      <c r="AA369" s="48"/>
      <c r="AB369" s="48"/>
      <c r="AC369" s="48"/>
      <c r="AD369" s="48"/>
      <c r="AE369" s="48"/>
      <c r="AF369" s="48"/>
      <c r="AG369" s="48"/>
      <c r="AH369" s="48"/>
      <c r="AI369" s="48"/>
      <c r="AJ369" s="48"/>
      <c r="AK369" s="48"/>
      <c r="AL369" s="48"/>
      <c r="AM369" s="48"/>
      <c r="AN369" s="48"/>
    </row>
    <row r="370" ht="15.75" customHeight="1">
      <c r="A370" s="5" t="str">
        <f t="shared" ref="A370:A424" si="87">+B370&amp;C370</f>
        <v>Pièces</v>
      </c>
      <c r="B370" s="48" t="s">
        <v>178</v>
      </c>
      <c r="C370" s="655"/>
      <c r="D370" s="41" t="s">
        <v>222</v>
      </c>
      <c r="E370" s="41" t="s">
        <v>223</v>
      </c>
      <c r="F370" s="611" t="s">
        <v>95</v>
      </c>
      <c r="G370" s="610" t="s">
        <v>222</v>
      </c>
      <c r="H370" s="41" t="s">
        <v>223</v>
      </c>
      <c r="I370" s="611" t="s">
        <v>95</v>
      </c>
      <c r="J370" s="41" t="s">
        <v>222</v>
      </c>
      <c r="K370" s="41" t="s">
        <v>223</v>
      </c>
      <c r="L370" s="611" t="s">
        <v>95</v>
      </c>
      <c r="M370" s="610" t="s">
        <v>221</v>
      </c>
      <c r="N370" s="611" t="s">
        <v>908</v>
      </c>
      <c r="O370" s="41" t="s">
        <v>222</v>
      </c>
      <c r="P370" s="41" t="s">
        <v>223</v>
      </c>
      <c r="Q370" s="611" t="s">
        <v>95</v>
      </c>
      <c r="R370" s="610" t="s">
        <v>909</v>
      </c>
      <c r="S370" s="611" t="s">
        <v>95</v>
      </c>
      <c r="T370" s="48"/>
      <c r="U370" s="48"/>
      <c r="V370" s="48"/>
      <c r="W370" s="48"/>
      <c r="X370" s="48"/>
      <c r="Y370" s="48"/>
      <c r="Z370" s="48"/>
      <c r="AA370" s="48"/>
      <c r="AB370" s="48"/>
      <c r="AC370" s="48"/>
      <c r="AD370" s="48"/>
      <c r="AE370" s="48"/>
      <c r="AF370" s="48"/>
      <c r="AG370" s="48"/>
      <c r="AH370" s="48"/>
      <c r="AI370" s="48"/>
      <c r="AJ370" s="48"/>
      <c r="AK370" s="48"/>
      <c r="AL370" s="48"/>
      <c r="AM370" s="48"/>
      <c r="AN370" s="48"/>
    </row>
    <row r="371" ht="15.75" customHeight="1">
      <c r="A371" s="5" t="str">
        <f t="shared" si="87"/>
        <v>PiècesPièces Ro Clients</v>
      </c>
      <c r="B371" s="48" t="s">
        <v>178</v>
      </c>
      <c r="C371" s="656" t="s">
        <v>179</v>
      </c>
      <c r="D371" s="483">
        <v>0.0</v>
      </c>
      <c r="E371" s="602">
        <f t="shared" ref="E371:E379" si="88">IF(D371=0,0,F371/D371)</f>
        <v>0</v>
      </c>
      <c r="F371" s="484">
        <v>0.0</v>
      </c>
      <c r="G371" s="483">
        <v>0.0</v>
      </c>
      <c r="H371" s="602">
        <f t="shared" ref="H371:H379" si="89">IF(G371=0,0,I371/G371)</f>
        <v>0</v>
      </c>
      <c r="I371" s="484">
        <v>0.0</v>
      </c>
      <c r="J371" s="483">
        <v>131964.58</v>
      </c>
      <c r="K371" s="602">
        <f t="shared" ref="K371:K379" si="90">IF(J371=0,0,L371/J371)</f>
        <v>0.3609490516</v>
      </c>
      <c r="L371" s="484">
        <v>47632.490000000005</v>
      </c>
      <c r="M371" s="515" t="str">
        <f t="shared" ref="M371:M377" si="91">(+J371-D371)/D371</f>
        <v>#DIV/0!</v>
      </c>
      <c r="N371" s="484">
        <f t="shared" ref="N371:N380" si="92">L371-F371</f>
        <v>47632.49</v>
      </c>
      <c r="O371" s="483">
        <v>190715.57</v>
      </c>
      <c r="P371" s="602">
        <f t="shared" ref="P371:P379" si="93">IF(O371=0,0,Q371/O371)</f>
        <v>0.3813958137</v>
      </c>
      <c r="Q371" s="484">
        <v>72738.12</v>
      </c>
      <c r="R371" s="515">
        <f t="shared" ref="R371:R380" si="94">IF(O371=0,0,(J371-O371)/O371)</f>
        <v>-0.308055551</v>
      </c>
      <c r="S371" s="484">
        <f t="shared" ref="S371:S380" si="95">L371-Q371</f>
        <v>-25105.63</v>
      </c>
      <c r="T371" s="48"/>
      <c r="U371" s="48"/>
      <c r="V371" s="48"/>
      <c r="W371" s="48"/>
      <c r="X371" s="48"/>
      <c r="Y371" s="48"/>
      <c r="Z371" s="48"/>
      <c r="AA371" s="48"/>
      <c r="AB371" s="48"/>
      <c r="AC371" s="48"/>
      <c r="AD371" s="48"/>
      <c r="AE371" s="48"/>
      <c r="AF371" s="48"/>
      <c r="AG371" s="48"/>
      <c r="AH371" s="48"/>
      <c r="AI371" s="48"/>
      <c r="AJ371" s="48"/>
      <c r="AK371" s="48"/>
      <c r="AL371" s="48"/>
      <c r="AM371" s="48"/>
      <c r="AN371" s="48"/>
    </row>
    <row r="372" ht="15.75" customHeight="1">
      <c r="A372" s="5" t="str">
        <f t="shared" si="87"/>
        <v>PiècesPièces Ro Carrosserie</v>
      </c>
      <c r="B372" s="48" t="s">
        <v>178</v>
      </c>
      <c r="C372" s="656" t="s">
        <v>180</v>
      </c>
      <c r="D372" s="483">
        <v>0.0</v>
      </c>
      <c r="E372" s="602">
        <f t="shared" si="88"/>
        <v>0</v>
      </c>
      <c r="F372" s="484">
        <v>0.0</v>
      </c>
      <c r="G372" s="483">
        <v>0.0</v>
      </c>
      <c r="H372" s="602">
        <f t="shared" si="89"/>
        <v>0</v>
      </c>
      <c r="I372" s="484">
        <v>0.0</v>
      </c>
      <c r="J372" s="483">
        <v>100.64</v>
      </c>
      <c r="K372" s="602">
        <f t="shared" si="90"/>
        <v>0.512817965</v>
      </c>
      <c r="L372" s="484">
        <v>51.61</v>
      </c>
      <c r="M372" s="515" t="str">
        <f t="shared" si="91"/>
        <v>#DIV/0!</v>
      </c>
      <c r="N372" s="484">
        <f t="shared" si="92"/>
        <v>51.61</v>
      </c>
      <c r="O372" s="483">
        <v>18.35</v>
      </c>
      <c r="P372" s="602">
        <f t="shared" si="93"/>
        <v>0.3547683924</v>
      </c>
      <c r="Q372" s="484">
        <v>6.510000000000002</v>
      </c>
      <c r="R372" s="515">
        <f t="shared" si="94"/>
        <v>4.484468665</v>
      </c>
      <c r="S372" s="484">
        <f t="shared" si="95"/>
        <v>45.1</v>
      </c>
      <c r="T372" s="48"/>
      <c r="U372" s="48"/>
      <c r="V372" s="48"/>
      <c r="W372" s="48"/>
      <c r="X372" s="48"/>
      <c r="Y372" s="48"/>
      <c r="Z372" s="48"/>
      <c r="AA372" s="48"/>
      <c r="AB372" s="48"/>
      <c r="AC372" s="48"/>
      <c r="AD372" s="48"/>
      <c r="AE372" s="48"/>
      <c r="AF372" s="48"/>
      <c r="AG372" s="48"/>
      <c r="AH372" s="48"/>
      <c r="AI372" s="48"/>
      <c r="AJ372" s="48"/>
      <c r="AK372" s="48"/>
      <c r="AL372" s="48"/>
      <c r="AM372" s="48"/>
      <c r="AN372" s="48"/>
    </row>
    <row r="373" ht="15.75" customHeight="1">
      <c r="A373" s="5" t="str">
        <f t="shared" si="87"/>
        <v>PiècesP/A Garantie</v>
      </c>
      <c r="B373" s="48" t="s">
        <v>178</v>
      </c>
      <c r="C373" s="656" t="s">
        <v>181</v>
      </c>
      <c r="D373" s="483">
        <v>0.0</v>
      </c>
      <c r="E373" s="602">
        <f t="shared" si="88"/>
        <v>0</v>
      </c>
      <c r="F373" s="484">
        <v>0.0</v>
      </c>
      <c r="G373" s="483">
        <v>0.0</v>
      </c>
      <c r="H373" s="602">
        <f t="shared" si="89"/>
        <v>0</v>
      </c>
      <c r="I373" s="484">
        <v>0.0</v>
      </c>
      <c r="J373" s="483">
        <v>176126.97000000003</v>
      </c>
      <c r="K373" s="602">
        <f t="shared" si="90"/>
        <v>0.290187471</v>
      </c>
      <c r="L373" s="484">
        <v>51109.840000000026</v>
      </c>
      <c r="M373" s="515" t="str">
        <f t="shared" si="91"/>
        <v>#DIV/0!</v>
      </c>
      <c r="N373" s="484">
        <f t="shared" si="92"/>
        <v>51109.84</v>
      </c>
      <c r="O373" s="483">
        <v>162708.29</v>
      </c>
      <c r="P373" s="602">
        <f t="shared" si="93"/>
        <v>0.2755750183</v>
      </c>
      <c r="Q373" s="484">
        <v>44838.340000000026</v>
      </c>
      <c r="R373" s="515">
        <f t="shared" si="94"/>
        <v>0.08247078253</v>
      </c>
      <c r="S373" s="484">
        <f t="shared" si="95"/>
        <v>6271.5</v>
      </c>
      <c r="T373" s="48"/>
      <c r="U373" s="48"/>
      <c r="V373" s="48"/>
      <c r="W373" s="48"/>
      <c r="X373" s="48"/>
      <c r="Y373" s="48"/>
      <c r="Z373" s="48"/>
      <c r="AA373" s="48"/>
      <c r="AB373" s="48"/>
      <c r="AC373" s="48"/>
      <c r="AD373" s="48"/>
      <c r="AE373" s="48"/>
      <c r="AF373" s="48"/>
      <c r="AG373" s="48"/>
      <c r="AH373" s="48"/>
      <c r="AI373" s="48"/>
      <c r="AJ373" s="48"/>
      <c r="AK373" s="48"/>
      <c r="AL373" s="48"/>
      <c r="AM373" s="48"/>
      <c r="AN373" s="48"/>
    </row>
    <row r="374" ht="15.75" customHeight="1">
      <c r="A374" s="5" t="str">
        <f t="shared" si="87"/>
        <v>PiècesVentes Internes</v>
      </c>
      <c r="B374" s="48" t="s">
        <v>178</v>
      </c>
      <c r="C374" s="656" t="s">
        <v>182</v>
      </c>
      <c r="D374" s="483">
        <v>0.0</v>
      </c>
      <c r="E374" s="602">
        <f t="shared" si="88"/>
        <v>0</v>
      </c>
      <c r="F374" s="484">
        <v>0.0</v>
      </c>
      <c r="G374" s="483">
        <v>0.0</v>
      </c>
      <c r="H374" s="602">
        <f t="shared" si="89"/>
        <v>0</v>
      </c>
      <c r="I374" s="484">
        <v>0.0</v>
      </c>
      <c r="J374" s="483">
        <v>157695.1</v>
      </c>
      <c r="K374" s="602">
        <f t="shared" si="90"/>
        <v>0.3147103493</v>
      </c>
      <c r="L374" s="484">
        <v>49628.28</v>
      </c>
      <c r="M374" s="515" t="str">
        <f t="shared" si="91"/>
        <v>#DIV/0!</v>
      </c>
      <c r="N374" s="484">
        <f t="shared" si="92"/>
        <v>49628.28</v>
      </c>
      <c r="O374" s="483">
        <v>181245.57</v>
      </c>
      <c r="P374" s="602">
        <f t="shared" si="93"/>
        <v>0.3365527775</v>
      </c>
      <c r="Q374" s="484">
        <v>60998.69999999998</v>
      </c>
      <c r="R374" s="515">
        <f t="shared" si="94"/>
        <v>-0.1299368034</v>
      </c>
      <c r="S374" s="484">
        <f t="shared" si="95"/>
        <v>-11370.42</v>
      </c>
      <c r="T374" s="48"/>
      <c r="U374" s="48"/>
      <c r="V374" s="48"/>
      <c r="W374" s="48"/>
      <c r="X374" s="48"/>
      <c r="Y374" s="48"/>
      <c r="Z374" s="48"/>
      <c r="AA374" s="48"/>
      <c r="AB374" s="48"/>
      <c r="AC374" s="48"/>
      <c r="AD374" s="48"/>
      <c r="AE374" s="48"/>
      <c r="AF374" s="48"/>
      <c r="AG374" s="48"/>
      <c r="AH374" s="48"/>
      <c r="AI374" s="48"/>
      <c r="AJ374" s="48"/>
      <c r="AK374" s="48"/>
      <c r="AL374" s="48"/>
      <c r="AM374" s="48"/>
      <c r="AN374" s="48"/>
    </row>
    <row r="375" ht="15.75" customHeight="1">
      <c r="A375" s="5" t="str">
        <f t="shared" si="87"/>
        <v>PiècesVentes Détails</v>
      </c>
      <c r="B375" s="48" t="s">
        <v>178</v>
      </c>
      <c r="C375" s="656" t="s">
        <v>183</v>
      </c>
      <c r="D375" s="483">
        <v>0.0</v>
      </c>
      <c r="E375" s="602">
        <f t="shared" si="88"/>
        <v>0</v>
      </c>
      <c r="F375" s="484">
        <v>0.0</v>
      </c>
      <c r="G375" s="483">
        <v>0.0</v>
      </c>
      <c r="H375" s="602">
        <f t="shared" si="89"/>
        <v>0</v>
      </c>
      <c r="I375" s="484">
        <v>0.0</v>
      </c>
      <c r="J375" s="483">
        <v>127040.95</v>
      </c>
      <c r="K375" s="602">
        <f t="shared" si="90"/>
        <v>0.2267150867</v>
      </c>
      <c r="L375" s="484">
        <v>28802.100000000006</v>
      </c>
      <c r="M375" s="515" t="str">
        <f t="shared" si="91"/>
        <v>#DIV/0!</v>
      </c>
      <c r="N375" s="484">
        <f t="shared" si="92"/>
        <v>28802.1</v>
      </c>
      <c r="O375" s="483">
        <v>89308.99999999999</v>
      </c>
      <c r="P375" s="602">
        <f t="shared" si="93"/>
        <v>0.2147683884</v>
      </c>
      <c r="Q375" s="484">
        <v>19180.74999999997</v>
      </c>
      <c r="R375" s="515">
        <f t="shared" si="94"/>
        <v>0.4224876552</v>
      </c>
      <c r="S375" s="484">
        <f t="shared" si="95"/>
        <v>9621.35</v>
      </c>
      <c r="T375" s="48"/>
      <c r="U375" s="48"/>
      <c r="V375" s="48"/>
      <c r="W375" s="48"/>
      <c r="X375" s="48"/>
      <c r="Y375" s="48"/>
      <c r="Z375" s="48"/>
      <c r="AA375" s="48"/>
      <c r="AB375" s="48"/>
      <c r="AC375" s="48"/>
      <c r="AD375" s="48"/>
      <c r="AE375" s="48"/>
      <c r="AF375" s="48"/>
      <c r="AG375" s="48"/>
      <c r="AH375" s="48"/>
      <c r="AI375" s="48"/>
      <c r="AJ375" s="48"/>
      <c r="AK375" s="48"/>
      <c r="AL375" s="48"/>
      <c r="AM375" s="48"/>
      <c r="AN375" s="48"/>
    </row>
    <row r="376" ht="15.75" customHeight="1">
      <c r="A376" s="5" t="str">
        <f t="shared" si="87"/>
        <v>PiècesVentes de Gros</v>
      </c>
      <c r="B376" s="48" t="s">
        <v>178</v>
      </c>
      <c r="C376" s="656" t="s">
        <v>184</v>
      </c>
      <c r="D376" s="483">
        <v>0.0</v>
      </c>
      <c r="E376" s="602">
        <f t="shared" si="88"/>
        <v>0</v>
      </c>
      <c r="F376" s="484">
        <v>0.0</v>
      </c>
      <c r="G376" s="483">
        <v>0.0</v>
      </c>
      <c r="H376" s="602">
        <f t="shared" si="89"/>
        <v>0</v>
      </c>
      <c r="I376" s="484">
        <v>0.0</v>
      </c>
      <c r="J376" s="483">
        <v>349381.87</v>
      </c>
      <c r="K376" s="602">
        <f t="shared" si="90"/>
        <v>0.1796340205</v>
      </c>
      <c r="L376" s="484">
        <v>62760.86999999994</v>
      </c>
      <c r="M376" s="515" t="str">
        <f t="shared" si="91"/>
        <v>#DIV/0!</v>
      </c>
      <c r="N376" s="484">
        <f t="shared" si="92"/>
        <v>62760.87</v>
      </c>
      <c r="O376" s="483">
        <v>446311.25999999995</v>
      </c>
      <c r="P376" s="602">
        <f t="shared" si="93"/>
        <v>0.1098215851</v>
      </c>
      <c r="Q376" s="484">
        <v>49014.609999999986</v>
      </c>
      <c r="R376" s="515">
        <f t="shared" si="94"/>
        <v>-0.2171789034</v>
      </c>
      <c r="S376" s="484">
        <f t="shared" si="95"/>
        <v>13746.26</v>
      </c>
      <c r="T376" s="48"/>
      <c r="U376" s="48"/>
      <c r="V376" s="48"/>
      <c r="W376" s="48"/>
      <c r="X376" s="48"/>
      <c r="Y376" s="48"/>
      <c r="Z376" s="48"/>
      <c r="AA376" s="48"/>
      <c r="AB376" s="48"/>
      <c r="AC376" s="48"/>
      <c r="AD376" s="48"/>
      <c r="AE376" s="48"/>
      <c r="AF376" s="48"/>
      <c r="AG376" s="48"/>
      <c r="AH376" s="48"/>
      <c r="AI376" s="48"/>
      <c r="AJ376" s="48"/>
      <c r="AK376" s="48"/>
      <c r="AL376" s="48"/>
      <c r="AM376" s="48"/>
      <c r="AN376" s="48"/>
    </row>
    <row r="377" ht="20.25" hidden="1" customHeight="1">
      <c r="A377" s="5" t="str">
        <f t="shared" si="87"/>
        <v>Pièces[...]</v>
      </c>
      <c r="B377" s="48" t="s">
        <v>178</v>
      </c>
      <c r="C377" s="656" t="s">
        <v>56</v>
      </c>
      <c r="D377" s="483">
        <v>0.0</v>
      </c>
      <c r="E377" s="602">
        <f t="shared" si="88"/>
        <v>0</v>
      </c>
      <c r="F377" s="484">
        <v>0.0</v>
      </c>
      <c r="G377" s="483">
        <v>0.0</v>
      </c>
      <c r="H377" s="602">
        <f t="shared" si="89"/>
        <v>0</v>
      </c>
      <c r="I377" s="484">
        <v>0.0</v>
      </c>
      <c r="J377" s="483">
        <v>0.0</v>
      </c>
      <c r="K377" s="602">
        <f t="shared" si="90"/>
        <v>0</v>
      </c>
      <c r="L377" s="484">
        <v>0.0</v>
      </c>
      <c r="M377" s="515" t="str">
        <f t="shared" si="91"/>
        <v>#DIV/0!</v>
      </c>
      <c r="N377" s="484">
        <f t="shared" si="92"/>
        <v>0</v>
      </c>
      <c r="O377" s="483">
        <v>0.0</v>
      </c>
      <c r="P377" s="602">
        <f t="shared" si="93"/>
        <v>0</v>
      </c>
      <c r="Q377" s="484">
        <v>0.0</v>
      </c>
      <c r="R377" s="515">
        <f t="shared" si="94"/>
        <v>0</v>
      </c>
      <c r="S377" s="484">
        <f t="shared" si="95"/>
        <v>0</v>
      </c>
      <c r="T377" s="48"/>
      <c r="U377" s="48"/>
      <c r="V377" s="48"/>
      <c r="W377" s="48"/>
      <c r="X377" s="48"/>
      <c r="Y377" s="48"/>
      <c r="Z377" s="48"/>
      <c r="AA377" s="48"/>
      <c r="AB377" s="48"/>
      <c r="AC377" s="48"/>
      <c r="AD377" s="48"/>
      <c r="AE377" s="48"/>
      <c r="AF377" s="48"/>
      <c r="AG377" s="48"/>
      <c r="AH377" s="48"/>
      <c r="AI377" s="48"/>
      <c r="AJ377" s="48"/>
      <c r="AK377" s="48"/>
      <c r="AL377" s="48"/>
      <c r="AM377" s="48"/>
      <c r="AN377" s="48"/>
    </row>
    <row r="378" ht="15.75" customHeight="1">
      <c r="A378" s="5" t="str">
        <f t="shared" si="87"/>
        <v>PiècesEscomptes</v>
      </c>
      <c r="B378" s="48" t="s">
        <v>178</v>
      </c>
      <c r="C378" s="656" t="s">
        <v>185</v>
      </c>
      <c r="D378" s="483">
        <v>0.0</v>
      </c>
      <c r="E378" s="602">
        <f t="shared" si="88"/>
        <v>0</v>
      </c>
      <c r="F378" s="484">
        <v>0.0</v>
      </c>
      <c r="G378" s="483">
        <v>0.0</v>
      </c>
      <c r="H378" s="602">
        <f t="shared" si="89"/>
        <v>0</v>
      </c>
      <c r="I378" s="484">
        <v>0.0</v>
      </c>
      <c r="J378" s="483">
        <v>0.0</v>
      </c>
      <c r="K378" s="602">
        <f t="shared" si="90"/>
        <v>0</v>
      </c>
      <c r="L378" s="484">
        <v>35636.979999999996</v>
      </c>
      <c r="M378" s="515"/>
      <c r="N378" s="484">
        <f t="shared" si="92"/>
        <v>35636.98</v>
      </c>
      <c r="O378" s="483">
        <v>0.0</v>
      </c>
      <c r="P378" s="602">
        <f t="shared" si="93"/>
        <v>0</v>
      </c>
      <c r="Q378" s="484">
        <v>32359.679999999997</v>
      </c>
      <c r="R378" s="515">
        <f t="shared" si="94"/>
        <v>0</v>
      </c>
      <c r="S378" s="484">
        <f t="shared" si="95"/>
        <v>3277.3</v>
      </c>
      <c r="T378" s="48"/>
      <c r="U378" s="48"/>
      <c r="V378" s="48"/>
      <c r="W378" s="48"/>
      <c r="X378" s="48"/>
      <c r="Y378" s="48"/>
      <c r="Z378" s="48"/>
      <c r="AA378" s="48"/>
      <c r="AB378" s="48"/>
      <c r="AC378" s="48"/>
      <c r="AD378" s="48"/>
      <c r="AE378" s="48"/>
      <c r="AF378" s="48"/>
      <c r="AG378" s="48"/>
      <c r="AH378" s="48"/>
      <c r="AI378" s="48"/>
      <c r="AJ378" s="48"/>
      <c r="AK378" s="48"/>
      <c r="AL378" s="48"/>
      <c r="AM378" s="48"/>
      <c r="AN378" s="48"/>
    </row>
    <row r="379" ht="15.75" customHeight="1">
      <c r="A379" s="5" t="str">
        <f t="shared" si="87"/>
        <v>PiècesRectif. Inventaire</v>
      </c>
      <c r="B379" s="48" t="s">
        <v>178</v>
      </c>
      <c r="C379" s="657" t="s">
        <v>186</v>
      </c>
      <c r="D379" s="483">
        <v>0.0</v>
      </c>
      <c r="E379" s="602">
        <f t="shared" si="88"/>
        <v>0</v>
      </c>
      <c r="F379" s="484">
        <v>0.0</v>
      </c>
      <c r="G379" s="483">
        <v>0.0</v>
      </c>
      <c r="H379" s="602">
        <f t="shared" si="89"/>
        <v>0</v>
      </c>
      <c r="I379" s="484">
        <v>0.0</v>
      </c>
      <c r="J379" s="483">
        <v>0.0</v>
      </c>
      <c r="K379" s="602">
        <f t="shared" si="90"/>
        <v>0</v>
      </c>
      <c r="L379" s="484">
        <v>2029.92</v>
      </c>
      <c r="M379" s="515"/>
      <c r="N379" s="484">
        <f t="shared" si="92"/>
        <v>2029.92</v>
      </c>
      <c r="O379" s="483">
        <v>0.0</v>
      </c>
      <c r="P379" s="602">
        <f t="shared" si="93"/>
        <v>0</v>
      </c>
      <c r="Q379" s="484">
        <v>14077.12</v>
      </c>
      <c r="R379" s="515">
        <f t="shared" si="94"/>
        <v>0</v>
      </c>
      <c r="S379" s="484">
        <f t="shared" si="95"/>
        <v>-12047.2</v>
      </c>
      <c r="T379" s="48"/>
      <c r="U379" s="48"/>
      <c r="V379" s="48"/>
      <c r="W379" s="48"/>
      <c r="X379" s="48"/>
      <c r="Y379" s="48"/>
      <c r="Z379" s="48"/>
      <c r="AA379" s="48"/>
      <c r="AB379" s="48"/>
      <c r="AC379" s="48"/>
      <c r="AD379" s="48"/>
      <c r="AE379" s="48"/>
      <c r="AF379" s="48"/>
      <c r="AG379" s="48"/>
      <c r="AH379" s="48"/>
      <c r="AI379" s="48"/>
      <c r="AJ379" s="48"/>
      <c r="AK379" s="48"/>
      <c r="AL379" s="48"/>
      <c r="AM379" s="48"/>
      <c r="AN379" s="48"/>
    </row>
    <row r="380" ht="15.75" customHeight="1">
      <c r="A380" s="5" t="str">
        <f t="shared" si="87"/>
        <v>PiècesSous-total Pièces</v>
      </c>
      <c r="B380" s="48" t="s">
        <v>178</v>
      </c>
      <c r="C380" s="658" t="s">
        <v>187</v>
      </c>
      <c r="D380" s="495">
        <f>SUM(D371:D379)</f>
        <v>0</v>
      </c>
      <c r="E380" s="659">
        <f>IF(D380&lt;=0,0,F380/D380)</f>
        <v>0</v>
      </c>
      <c r="F380" s="497">
        <f t="shared" ref="F380:G380" si="96">SUM(F371:F379)</f>
        <v>0</v>
      </c>
      <c r="G380" s="495">
        <f t="shared" si="96"/>
        <v>0</v>
      </c>
      <c r="H380" s="659">
        <f>IF(G380&lt;=0,0,I380/G380)</f>
        <v>0</v>
      </c>
      <c r="I380" s="497">
        <f t="shared" ref="I380:J380" si="97">SUM(I371:I379)</f>
        <v>0</v>
      </c>
      <c r="J380" s="495">
        <f t="shared" si="97"/>
        <v>942310.11</v>
      </c>
      <c r="K380" s="659">
        <f>IF(J380&lt;=0,0,L380/J380)</f>
        <v>0.2946504416</v>
      </c>
      <c r="L380" s="497">
        <f>SUM(L371:L379)</f>
        <v>277652.09</v>
      </c>
      <c r="M380" s="660" t="str">
        <f>(+J380-D380)/D380</f>
        <v>#DIV/0!</v>
      </c>
      <c r="N380" s="497">
        <f t="shared" si="92"/>
        <v>277652.09</v>
      </c>
      <c r="O380" s="495">
        <f>SUM(O371:O379)</f>
        <v>1070308.04</v>
      </c>
      <c r="P380" s="659">
        <f>IF(O380&lt;=0,0,Q380/O380)</f>
        <v>0.2739527492</v>
      </c>
      <c r="Q380" s="497">
        <f>SUM(Q371:Q379)</f>
        <v>293213.83</v>
      </c>
      <c r="R380" s="660">
        <f t="shared" si="94"/>
        <v>-0.1195898052</v>
      </c>
      <c r="S380" s="497">
        <f t="shared" si="95"/>
        <v>-15561.74</v>
      </c>
      <c r="T380" s="48"/>
      <c r="U380" s="48"/>
      <c r="V380" s="48"/>
      <c r="W380" s="48"/>
      <c r="X380" s="48"/>
      <c r="Y380" s="48"/>
      <c r="Z380" s="48"/>
      <c r="AA380" s="48"/>
      <c r="AB380" s="48"/>
      <c r="AC380" s="48"/>
      <c r="AD380" s="48"/>
      <c r="AE380" s="48"/>
      <c r="AF380" s="48"/>
      <c r="AG380" s="48"/>
      <c r="AH380" s="48"/>
      <c r="AI380" s="48"/>
      <c r="AJ380" s="48"/>
      <c r="AK380" s="48"/>
      <c r="AL380" s="48"/>
      <c r="AM380" s="48"/>
      <c r="AN380" s="48"/>
    </row>
    <row r="381" ht="15.75" customHeight="1">
      <c r="A381" s="5" t="str">
        <f t="shared" si="87"/>
        <v>Pièces</v>
      </c>
      <c r="B381" s="48" t="s">
        <v>178</v>
      </c>
      <c r="C381" s="656"/>
      <c r="D381" s="48"/>
      <c r="E381" s="48"/>
      <c r="F381" s="514"/>
      <c r="G381" s="480"/>
      <c r="H381" s="48"/>
      <c r="I381" s="514"/>
      <c r="J381" s="486"/>
      <c r="K381" s="48"/>
      <c r="L381" s="484"/>
      <c r="M381" s="480"/>
      <c r="N381" s="507" t="str">
        <f>N380/F380</f>
        <v>#DIV/0!</v>
      </c>
      <c r="O381" s="486"/>
      <c r="P381" s="48"/>
      <c r="Q381" s="484"/>
      <c r="R381" s="480"/>
      <c r="S381" s="507">
        <f>IF(Q380=0,0,S380/Q380)</f>
        <v>-0.05307300819</v>
      </c>
      <c r="T381" s="48"/>
      <c r="U381" s="48"/>
      <c r="V381" s="48"/>
      <c r="W381" s="48"/>
      <c r="X381" s="48"/>
      <c r="Y381" s="48"/>
      <c r="Z381" s="48"/>
      <c r="AA381" s="48"/>
      <c r="AB381" s="48"/>
      <c r="AC381" s="48"/>
      <c r="AD381" s="48"/>
      <c r="AE381" s="48"/>
      <c r="AF381" s="48"/>
      <c r="AG381" s="48"/>
      <c r="AH381" s="48"/>
      <c r="AI381" s="48"/>
      <c r="AJ381" s="48"/>
      <c r="AK381" s="48"/>
      <c r="AL381" s="48"/>
      <c r="AM381" s="48"/>
      <c r="AN381" s="48"/>
    </row>
    <row r="382" ht="15.75" customHeight="1">
      <c r="A382" s="5" t="str">
        <f t="shared" si="87"/>
        <v>Pièces</v>
      </c>
      <c r="B382" s="48" t="s">
        <v>178</v>
      </c>
      <c r="C382" s="657"/>
      <c r="D382" s="564"/>
      <c r="E382" s="564"/>
      <c r="F382" s="661"/>
      <c r="G382" s="471"/>
      <c r="H382" s="564"/>
      <c r="I382" s="661"/>
      <c r="J382" s="622"/>
      <c r="K382" s="564"/>
      <c r="L382" s="476"/>
      <c r="M382" s="471"/>
      <c r="N382" s="642"/>
      <c r="O382" s="622"/>
      <c r="P382" s="564"/>
      <c r="Q382" s="476"/>
      <c r="R382" s="471"/>
      <c r="S382" s="598"/>
      <c r="T382" s="48"/>
      <c r="U382" s="48"/>
      <c r="V382" s="48"/>
      <c r="W382" s="48"/>
      <c r="X382" s="48"/>
      <c r="Y382" s="48"/>
      <c r="Z382" s="48"/>
      <c r="AA382" s="48"/>
      <c r="AB382" s="48"/>
      <c r="AC382" s="48"/>
      <c r="AD382" s="48"/>
      <c r="AE382" s="48"/>
      <c r="AF382" s="48"/>
      <c r="AG382" s="48"/>
      <c r="AH382" s="48"/>
      <c r="AI382" s="48"/>
      <c r="AJ382" s="48"/>
      <c r="AK382" s="48"/>
      <c r="AL382" s="48"/>
      <c r="AM382" s="48"/>
      <c r="AN382" s="48"/>
    </row>
    <row r="383" ht="15.75" customHeight="1">
      <c r="A383" s="5" t="str">
        <f t="shared" si="87"/>
        <v>PiècesVentes Pneus</v>
      </c>
      <c r="B383" s="48" t="s">
        <v>178</v>
      </c>
      <c r="C383" s="656" t="s">
        <v>188</v>
      </c>
      <c r="D383" s="483">
        <v>0.0</v>
      </c>
      <c r="E383" s="602">
        <f t="shared" ref="E383:E384" si="98">IF(D383=0,0,F383/D383)</f>
        <v>0</v>
      </c>
      <c r="F383" s="523">
        <v>0.0</v>
      </c>
      <c r="G383" s="483">
        <v>0.0</v>
      </c>
      <c r="H383" s="602">
        <f t="shared" ref="H383:H384" si="99">IF(G383=0,0,I383/G383)</f>
        <v>0</v>
      </c>
      <c r="I383" s="523">
        <v>0.0</v>
      </c>
      <c r="J383" s="483">
        <v>59391.92999999999</v>
      </c>
      <c r="K383" s="602">
        <f t="shared" ref="K383:K384" si="100">IF(J383=0,0,L383/J383)</f>
        <v>0.1791697963</v>
      </c>
      <c r="L383" s="523">
        <v>10641.23999999999</v>
      </c>
      <c r="M383" s="515" t="str">
        <f t="shared" ref="M383:M385" si="101">(+J383-D383)/D383</f>
        <v>#DIV/0!</v>
      </c>
      <c r="N383" s="484">
        <f t="shared" ref="N383:N385" si="102">L383-F383</f>
        <v>10641.24</v>
      </c>
      <c r="O383" s="483">
        <v>31082.119999999995</v>
      </c>
      <c r="P383" s="602">
        <f t="shared" ref="P383:P384" si="103">IF(O383=0,0,Q383/O383)</f>
        <v>0.02961413185</v>
      </c>
      <c r="Q383" s="523">
        <v>920.4699999999975</v>
      </c>
      <c r="R383" s="515">
        <f t="shared" ref="R383:R385" si="104">IF(O383=0,0,(J383-O383)/O383)</f>
        <v>0.9108069205</v>
      </c>
      <c r="S383" s="484">
        <f t="shared" ref="S383:S385" si="105">L383-Q383</f>
        <v>9720.77</v>
      </c>
      <c r="T383" s="48"/>
      <c r="U383" s="48"/>
      <c r="V383" s="48"/>
      <c r="W383" s="48"/>
      <c r="X383" s="48"/>
      <c r="Y383" s="48"/>
      <c r="Z383" s="48"/>
      <c r="AA383" s="48"/>
      <c r="AB383" s="48"/>
      <c r="AC383" s="48"/>
      <c r="AD383" s="48"/>
      <c r="AE383" s="48"/>
      <c r="AF383" s="48"/>
      <c r="AG383" s="48"/>
      <c r="AH383" s="48"/>
      <c r="AI383" s="48"/>
      <c r="AJ383" s="48"/>
      <c r="AK383" s="48"/>
      <c r="AL383" s="48"/>
      <c r="AM383" s="48"/>
      <c r="AN383" s="48"/>
    </row>
    <row r="384" ht="15.75" customHeight="1">
      <c r="A384" s="5" t="str">
        <f t="shared" si="87"/>
        <v>PiècesHuiles et Graisse</v>
      </c>
      <c r="B384" s="48" t="s">
        <v>178</v>
      </c>
      <c r="C384" s="657" t="s">
        <v>189</v>
      </c>
      <c r="D384" s="483">
        <v>0.0</v>
      </c>
      <c r="E384" s="602">
        <f t="shared" si="98"/>
        <v>0</v>
      </c>
      <c r="F384" s="476">
        <v>0.0</v>
      </c>
      <c r="G384" s="483">
        <v>0.0</v>
      </c>
      <c r="H384" s="602">
        <f t="shared" si="99"/>
        <v>0</v>
      </c>
      <c r="I384" s="476">
        <v>0.0</v>
      </c>
      <c r="J384" s="483">
        <v>37925.14</v>
      </c>
      <c r="K384" s="602">
        <f t="shared" si="100"/>
        <v>0.2762613401</v>
      </c>
      <c r="L384" s="476">
        <v>10477.25</v>
      </c>
      <c r="M384" s="515" t="str">
        <f t="shared" si="101"/>
        <v>#DIV/0!</v>
      </c>
      <c r="N384" s="484">
        <f t="shared" si="102"/>
        <v>10477.25</v>
      </c>
      <c r="O384" s="483">
        <v>16914.82</v>
      </c>
      <c r="P384" s="602">
        <f t="shared" si="103"/>
        <v>0.06223418281</v>
      </c>
      <c r="Q384" s="476">
        <v>1052.6799999999985</v>
      </c>
      <c r="R384" s="515">
        <f t="shared" si="104"/>
        <v>1.242124953</v>
      </c>
      <c r="S384" s="484">
        <f t="shared" si="105"/>
        <v>9424.57</v>
      </c>
      <c r="T384" s="48"/>
      <c r="U384" s="48"/>
      <c r="V384" s="48"/>
      <c r="W384" s="48"/>
      <c r="X384" s="48"/>
      <c r="Y384" s="48"/>
      <c r="Z384" s="48"/>
      <c r="AA384" s="48"/>
      <c r="AB384" s="48"/>
      <c r="AC384" s="48"/>
      <c r="AD384" s="48"/>
      <c r="AE384" s="48"/>
      <c r="AF384" s="48"/>
      <c r="AG384" s="48"/>
      <c r="AH384" s="48"/>
      <c r="AI384" s="48"/>
      <c r="AJ384" s="48"/>
      <c r="AK384" s="48"/>
      <c r="AL384" s="48"/>
      <c r="AM384" s="48"/>
      <c r="AN384" s="48"/>
    </row>
    <row r="385" ht="15.75" customHeight="1">
      <c r="A385" s="5" t="str">
        <f t="shared" si="87"/>
        <v>PiècesSous-total Pièces et Acc.</v>
      </c>
      <c r="B385" s="48" t="s">
        <v>178</v>
      </c>
      <c r="C385" s="500" t="s">
        <v>190</v>
      </c>
      <c r="D385" s="495">
        <f>D380+D383+D384</f>
        <v>0</v>
      </c>
      <c r="E385" s="659">
        <f>IF(D385&lt;=0,0,F385/D385)</f>
        <v>0</v>
      </c>
      <c r="F385" s="497">
        <f t="shared" ref="F385:G385" si="106">F380+F383+F384</f>
        <v>0</v>
      </c>
      <c r="G385" s="489">
        <f t="shared" si="106"/>
        <v>0</v>
      </c>
      <c r="H385" s="659">
        <f>IF(G385&lt;=0,0,I385/G385)</f>
        <v>0</v>
      </c>
      <c r="I385" s="497">
        <f t="shared" ref="I385:J385" si="107">I380+I383+I384</f>
        <v>0</v>
      </c>
      <c r="J385" s="489">
        <f t="shared" si="107"/>
        <v>1039627.18</v>
      </c>
      <c r="K385" s="659">
        <f>IF(J385&lt;=0,0,L385/J385)</f>
        <v>0.2873824249</v>
      </c>
      <c r="L385" s="497">
        <f>L380+L383+L384</f>
        <v>298770.58</v>
      </c>
      <c r="M385" s="660" t="str">
        <f t="shared" si="101"/>
        <v>#DIV/0!</v>
      </c>
      <c r="N385" s="497">
        <f t="shared" si="102"/>
        <v>298770.58</v>
      </c>
      <c r="O385" s="489">
        <f>O380+O383+O384</f>
        <v>1118304.98</v>
      </c>
      <c r="P385" s="659">
        <f>IF(O385&lt;=0,0,Q385/O385)</f>
        <v>0.2639592824</v>
      </c>
      <c r="Q385" s="497">
        <f>Q380+Q383+Q384</f>
        <v>295186.98</v>
      </c>
      <c r="R385" s="660">
        <f t="shared" si="104"/>
        <v>-0.07035451099</v>
      </c>
      <c r="S385" s="497">
        <f t="shared" si="105"/>
        <v>3583.6</v>
      </c>
      <c r="T385" s="48"/>
      <c r="U385" s="483"/>
      <c r="V385" s="48"/>
      <c r="W385" s="48"/>
      <c r="X385" s="48"/>
      <c r="Y385" s="48"/>
      <c r="Z385" s="48"/>
      <c r="AA385" s="48"/>
      <c r="AB385" s="48"/>
      <c r="AC385" s="48"/>
      <c r="AD385" s="48"/>
      <c r="AE385" s="48"/>
      <c r="AF385" s="48"/>
      <c r="AG385" s="48"/>
      <c r="AH385" s="48"/>
      <c r="AI385" s="48"/>
      <c r="AJ385" s="48"/>
      <c r="AK385" s="48"/>
      <c r="AL385" s="48"/>
      <c r="AM385" s="48"/>
      <c r="AN385" s="48"/>
    </row>
    <row r="386" ht="21.0" hidden="1" customHeight="1">
      <c r="A386" s="5" t="str">
        <f t="shared" si="87"/>
        <v>Pièces</v>
      </c>
      <c r="B386" s="48" t="s">
        <v>178</v>
      </c>
      <c r="C386" s="480"/>
      <c r="D386" s="48"/>
      <c r="E386" s="48"/>
      <c r="F386" s="514"/>
      <c r="G386" s="480"/>
      <c r="H386" s="48"/>
      <c r="I386" s="514"/>
      <c r="J386" s="486"/>
      <c r="K386" s="48"/>
      <c r="L386" s="484"/>
      <c r="M386" s="480"/>
      <c r="N386" s="507" t="str">
        <f>N385/F385</f>
        <v>#DIV/0!</v>
      </c>
      <c r="O386" s="486"/>
      <c r="P386" s="48"/>
      <c r="Q386" s="484"/>
      <c r="R386" s="480"/>
      <c r="S386" s="504">
        <f>IF(Q385=0,0,S385/Q385)</f>
        <v>0.01214010184</v>
      </c>
      <c r="T386" s="48"/>
      <c r="U386" s="48"/>
      <c r="V386" s="48"/>
      <c r="W386" s="48"/>
      <c r="X386" s="48"/>
      <c r="Y386" s="48"/>
      <c r="Z386" s="48"/>
      <c r="AA386" s="48"/>
      <c r="AB386" s="48"/>
      <c r="AC386" s="48"/>
      <c r="AD386" s="48"/>
      <c r="AE386" s="48"/>
      <c r="AF386" s="48"/>
      <c r="AG386" s="48"/>
      <c r="AH386" s="48"/>
      <c r="AI386" s="48"/>
      <c r="AJ386" s="48"/>
      <c r="AK386" s="48"/>
      <c r="AL386" s="48"/>
      <c r="AM386" s="48"/>
      <c r="AN386" s="48"/>
    </row>
    <row r="387" ht="21.0" hidden="1" customHeight="1">
      <c r="A387" s="5" t="str">
        <f t="shared" si="87"/>
        <v>PiècesPièces recond. MCPA</v>
      </c>
      <c r="B387" s="48" t="s">
        <v>178</v>
      </c>
      <c r="C387" s="480" t="s">
        <v>224</v>
      </c>
      <c r="D387" s="48">
        <v>0.0</v>
      </c>
      <c r="E387" s="48">
        <f t="shared" ref="E387:E388" si="108">IF(D387=0,0,F387/D387)</f>
        <v>0</v>
      </c>
      <c r="F387" s="514">
        <v>0.0</v>
      </c>
      <c r="G387" s="480">
        <v>0.0</v>
      </c>
      <c r="H387" s="48">
        <f t="shared" ref="H387:H388" si="109">IF(G387=0,0,I387/G387)</f>
        <v>0</v>
      </c>
      <c r="I387" s="514">
        <v>0.0</v>
      </c>
      <c r="J387" s="486">
        <v>0.0</v>
      </c>
      <c r="K387" s="48">
        <f t="shared" ref="K387:K388" si="110">IF(J387=0,0,L387/J387)</f>
        <v>0</v>
      </c>
      <c r="L387" s="484">
        <v>0.0</v>
      </c>
      <c r="M387" s="480"/>
      <c r="N387" s="507"/>
      <c r="O387" s="486">
        <v>0.0</v>
      </c>
      <c r="P387" s="48">
        <f t="shared" ref="P387:P388" si="111">IF(O387=0,0,Q387/O387)</f>
        <v>0</v>
      </c>
      <c r="Q387" s="484">
        <v>0.0</v>
      </c>
      <c r="R387" s="480"/>
      <c r="S387" s="504"/>
      <c r="T387" s="48"/>
      <c r="U387" s="48"/>
      <c r="V387" s="48"/>
      <c r="W387" s="48"/>
      <c r="X387" s="48"/>
      <c r="Y387" s="48"/>
      <c r="Z387" s="48"/>
      <c r="AA387" s="48"/>
      <c r="AB387" s="48"/>
      <c r="AC387" s="48"/>
      <c r="AD387" s="48"/>
      <c r="AE387" s="48"/>
      <c r="AF387" s="48"/>
      <c r="AG387" s="48"/>
      <c r="AH387" s="48"/>
      <c r="AI387" s="48"/>
      <c r="AJ387" s="48"/>
      <c r="AK387" s="48"/>
      <c r="AL387" s="48"/>
      <c r="AM387" s="48"/>
      <c r="AN387" s="48"/>
    </row>
    <row r="388" ht="20.25" hidden="1" customHeight="1">
      <c r="A388" s="5" t="str">
        <f t="shared" si="87"/>
        <v>PiècesAutostock</v>
      </c>
      <c r="B388" s="48" t="s">
        <v>178</v>
      </c>
      <c r="C388" s="471" t="s">
        <v>191</v>
      </c>
      <c r="D388" s="513">
        <v>0.0</v>
      </c>
      <c r="E388" s="662">
        <f t="shared" si="108"/>
        <v>0</v>
      </c>
      <c r="F388" s="476">
        <v>0.0</v>
      </c>
      <c r="G388" s="622">
        <v>0.0</v>
      </c>
      <c r="H388" s="662">
        <f t="shared" si="109"/>
        <v>0</v>
      </c>
      <c r="I388" s="476">
        <v>0.0</v>
      </c>
      <c r="J388" s="622">
        <v>0.0</v>
      </c>
      <c r="K388" s="662">
        <f t="shared" si="110"/>
        <v>0</v>
      </c>
      <c r="L388" s="476">
        <v>0.0</v>
      </c>
      <c r="M388" s="662">
        <f>IF(F388=0,0,(+L388-F388)/F388)</f>
        <v>0</v>
      </c>
      <c r="N388" s="476">
        <f>L388-F388</f>
        <v>0</v>
      </c>
      <c r="O388" s="622">
        <v>0.0</v>
      </c>
      <c r="P388" s="662">
        <f t="shared" si="111"/>
        <v>0</v>
      </c>
      <c r="Q388" s="476">
        <v>0.0</v>
      </c>
      <c r="R388" s="662">
        <f>IF(S388=0,0,(+O388-K388)/K388)</f>
        <v>0</v>
      </c>
      <c r="S388" s="476">
        <f>L388-Q388</f>
        <v>0</v>
      </c>
      <c r="T388" s="48"/>
      <c r="U388" s="483"/>
      <c r="V388" s="48"/>
      <c r="W388" s="48"/>
      <c r="X388" s="48"/>
      <c r="Y388" s="48"/>
      <c r="Z388" s="48"/>
      <c r="AA388" s="48"/>
      <c r="AB388" s="48"/>
      <c r="AC388" s="48"/>
      <c r="AD388" s="48"/>
      <c r="AE388" s="48"/>
      <c r="AF388" s="48"/>
      <c r="AG388" s="48"/>
      <c r="AH388" s="48"/>
      <c r="AI388" s="48"/>
      <c r="AJ388" s="48"/>
      <c r="AK388" s="48"/>
      <c r="AL388" s="48"/>
      <c r="AM388" s="48"/>
      <c r="AN388" s="48"/>
    </row>
    <row r="389" ht="15.75" customHeight="1">
      <c r="A389" s="5" t="str">
        <f t="shared" si="87"/>
        <v>Pièces</v>
      </c>
      <c r="B389" s="48" t="s">
        <v>178</v>
      </c>
      <c r="C389" s="480"/>
      <c r="D389" s="483"/>
      <c r="E389" s="602"/>
      <c r="F389" s="484"/>
      <c r="G389" s="486"/>
      <c r="H389" s="602"/>
      <c r="I389" s="484"/>
      <c r="J389" s="486"/>
      <c r="K389" s="602"/>
      <c r="L389" s="484"/>
      <c r="M389" s="515"/>
      <c r="N389" s="484"/>
      <c r="O389" s="486"/>
      <c r="P389" s="602"/>
      <c r="Q389" s="484"/>
      <c r="R389" s="515"/>
      <c r="S389" s="484"/>
      <c r="T389" s="48"/>
      <c r="U389" s="48"/>
      <c r="V389" s="48"/>
      <c r="W389" s="48"/>
      <c r="X389" s="48"/>
      <c r="Y389" s="48"/>
      <c r="Z389" s="48"/>
      <c r="AA389" s="48"/>
      <c r="AB389" s="48"/>
      <c r="AC389" s="48"/>
      <c r="AD389" s="48"/>
      <c r="AE389" s="48"/>
      <c r="AF389" s="48"/>
      <c r="AG389" s="48"/>
      <c r="AH389" s="48"/>
      <c r="AI389" s="48"/>
      <c r="AJ389" s="48"/>
      <c r="AK389" s="48"/>
      <c r="AL389" s="48"/>
      <c r="AM389" s="48"/>
      <c r="AN389" s="48"/>
    </row>
    <row r="390" ht="18.0" customHeight="1">
      <c r="A390" s="5" t="str">
        <f t="shared" si="87"/>
        <v>PiècesTotal Dépt. Pièces</v>
      </c>
      <c r="B390" s="48" t="s">
        <v>178</v>
      </c>
      <c r="C390" s="526" t="s">
        <v>192</v>
      </c>
      <c r="D390" s="527">
        <f>D385+D388+D387</f>
        <v>0</v>
      </c>
      <c r="E390" s="528">
        <f>IF(D390&lt;=0,0,F390/D390)</f>
        <v>0</v>
      </c>
      <c r="F390" s="529">
        <f t="shared" ref="F390:G390" si="112">F385+F388+F387</f>
        <v>0</v>
      </c>
      <c r="G390" s="530">
        <f t="shared" si="112"/>
        <v>0</v>
      </c>
      <c r="H390" s="528">
        <f>IF(G390&lt;=0,0,I390/G390)</f>
        <v>0</v>
      </c>
      <c r="I390" s="529">
        <f t="shared" ref="I390:J390" si="113">I385+I388+I387</f>
        <v>0</v>
      </c>
      <c r="J390" s="530">
        <f t="shared" si="113"/>
        <v>1039627.18</v>
      </c>
      <c r="K390" s="663">
        <f>IF(J390&lt;=0,0,L390/J390)</f>
        <v>0.2873824249</v>
      </c>
      <c r="L390" s="529">
        <f>L385+L388+L387</f>
        <v>298770.58</v>
      </c>
      <c r="M390" s="530" t="str">
        <f>(+J390-D390)/D390</f>
        <v>#DIV/0!</v>
      </c>
      <c r="N390" s="529">
        <f>L390-F390</f>
        <v>298770.58</v>
      </c>
      <c r="O390" s="530">
        <f>O385+O388+O387</f>
        <v>1118304.98</v>
      </c>
      <c r="P390" s="663">
        <f>IF(O390&lt;=0,0,Q390/O390)</f>
        <v>0.2639592824</v>
      </c>
      <c r="Q390" s="529">
        <f>Q385+Q388+Q387</f>
        <v>295186.98</v>
      </c>
      <c r="R390" s="664">
        <f>IF(O390=0,0,(J390-O390)/O390)</f>
        <v>-0.07035451099</v>
      </c>
      <c r="S390" s="529">
        <f>L390-Q390</f>
        <v>3583.6</v>
      </c>
      <c r="T390" s="48"/>
      <c r="U390" s="48"/>
      <c r="V390" s="48"/>
      <c r="W390" s="48"/>
      <c r="X390" s="48"/>
      <c r="Y390" s="48"/>
      <c r="Z390" s="48"/>
      <c r="AA390" s="48"/>
      <c r="AB390" s="48"/>
      <c r="AC390" s="48"/>
      <c r="AD390" s="48"/>
      <c r="AE390" s="48"/>
      <c r="AF390" s="48"/>
      <c r="AG390" s="48"/>
      <c r="AH390" s="48"/>
      <c r="AI390" s="48"/>
      <c r="AJ390" s="48"/>
      <c r="AK390" s="48"/>
      <c r="AL390" s="48"/>
      <c r="AM390" s="48"/>
      <c r="AN390" s="48"/>
    </row>
    <row r="391" ht="22.5" customHeight="1">
      <c r="A391" s="5" t="str">
        <f t="shared" si="87"/>
        <v>Pièces</v>
      </c>
      <c r="B391" s="48" t="s">
        <v>178</v>
      </c>
      <c r="C391" s="531"/>
      <c r="D391" s="532"/>
      <c r="E391" s="532"/>
      <c r="F391" s="533"/>
      <c r="G391" s="531"/>
      <c r="H391" s="532"/>
      <c r="I391" s="533"/>
      <c r="J391" s="531"/>
      <c r="K391" s="534"/>
      <c r="L391" s="535"/>
      <c r="M391" s="536"/>
      <c r="N391" s="537" t="str">
        <f>N390/F390</f>
        <v>#DIV/0!</v>
      </c>
      <c r="O391" s="531"/>
      <c r="P391" s="534"/>
      <c r="Q391" s="538"/>
      <c r="R391" s="536"/>
      <c r="S391" s="538">
        <f>IF(Q390=0,0,S390/Q390)</f>
        <v>0.01214010184</v>
      </c>
      <c r="T391" s="48"/>
      <c r="U391" s="48"/>
      <c r="V391" s="48"/>
      <c r="W391" s="48"/>
      <c r="X391" s="48"/>
      <c r="Y391" s="48"/>
      <c r="Z391" s="48"/>
      <c r="AA391" s="48"/>
      <c r="AB391" s="48"/>
      <c r="AC391" s="48"/>
      <c r="AD391" s="48"/>
      <c r="AE391" s="48"/>
      <c r="AF391" s="48"/>
      <c r="AG391" s="48"/>
      <c r="AH391" s="48"/>
      <c r="AI391" s="48"/>
      <c r="AJ391" s="48"/>
      <c r="AK391" s="48"/>
      <c r="AL391" s="48"/>
      <c r="AM391" s="48"/>
      <c r="AN391" s="48"/>
    </row>
    <row r="392" ht="15.75" customHeight="1">
      <c r="A392" s="5" t="str">
        <f t="shared" si="87"/>
        <v>Pièces</v>
      </c>
      <c r="B392" s="48" t="s">
        <v>178</v>
      </c>
      <c r="C392" s="500"/>
      <c r="D392" s="503"/>
      <c r="E392" s="599"/>
      <c r="F392" s="504"/>
      <c r="G392" s="600"/>
      <c r="H392" s="599"/>
      <c r="I392" s="504"/>
      <c r="J392" s="600"/>
      <c r="K392" s="599"/>
      <c r="L392" s="504"/>
      <c r="M392" s="480"/>
      <c r="N392" s="507"/>
      <c r="O392" s="600"/>
      <c r="P392" s="599"/>
      <c r="Q392" s="504"/>
      <c r="R392" s="480"/>
      <c r="S392" s="507"/>
      <c r="T392" s="48"/>
      <c r="U392" s="48"/>
      <c r="V392" s="48"/>
      <c r="W392" s="48"/>
      <c r="X392" s="48"/>
      <c r="Y392" s="48"/>
      <c r="Z392" s="48"/>
      <c r="AA392" s="48"/>
      <c r="AB392" s="48"/>
      <c r="AC392" s="48"/>
      <c r="AD392" s="48"/>
      <c r="AE392" s="48"/>
      <c r="AF392" s="48"/>
      <c r="AG392" s="48"/>
      <c r="AH392" s="48"/>
      <c r="AI392" s="48"/>
      <c r="AJ392" s="48"/>
      <c r="AK392" s="48"/>
      <c r="AL392" s="48"/>
      <c r="AM392" s="48"/>
      <c r="AN392" s="48"/>
    </row>
    <row r="393" ht="15.75" customHeight="1">
      <c r="A393" s="5" t="str">
        <f t="shared" si="87"/>
        <v>PiècesDEPENSES</v>
      </c>
      <c r="B393" s="48" t="s">
        <v>178</v>
      </c>
      <c r="C393" s="541" t="s">
        <v>110</v>
      </c>
      <c r="D393" s="48"/>
      <c r="E393" s="48"/>
      <c r="F393" s="484"/>
      <c r="G393" s="480"/>
      <c r="H393" s="48"/>
      <c r="I393" s="484"/>
      <c r="J393" s="480"/>
      <c r="K393" s="48"/>
      <c r="L393" s="514"/>
      <c r="M393" s="480"/>
      <c r="N393" s="514"/>
      <c r="O393" s="480"/>
      <c r="P393" s="48"/>
      <c r="Q393" s="514"/>
      <c r="R393" s="480"/>
      <c r="S393" s="514"/>
      <c r="T393" s="48"/>
      <c r="U393" s="48"/>
      <c r="V393" s="48"/>
      <c r="W393" s="48"/>
      <c r="X393" s="48"/>
      <c r="Y393" s="48"/>
      <c r="Z393" s="48"/>
      <c r="AA393" s="48"/>
      <c r="AB393" s="48"/>
      <c r="AC393" s="48"/>
      <c r="AD393" s="48"/>
      <c r="AE393" s="48"/>
      <c r="AF393" s="48"/>
      <c r="AG393" s="48"/>
      <c r="AH393" s="48"/>
      <c r="AI393" s="48"/>
      <c r="AJ393" s="48"/>
      <c r="AK393" s="48"/>
      <c r="AL393" s="48"/>
      <c r="AM393" s="48"/>
      <c r="AN393" s="48"/>
    </row>
    <row r="394" ht="15.75" customHeight="1">
      <c r="A394" s="5" t="str">
        <f t="shared" si="87"/>
        <v>PiècesSalaires cadres</v>
      </c>
      <c r="B394" s="48" t="s">
        <v>178</v>
      </c>
      <c r="C394" s="559" t="s">
        <v>119</v>
      </c>
      <c r="D394" s="48"/>
      <c r="E394" s="48"/>
      <c r="F394" s="481">
        <v>0.0</v>
      </c>
      <c r="G394" s="480"/>
      <c r="H394" s="48"/>
      <c r="I394" s="481">
        <v>0.0</v>
      </c>
      <c r="J394" s="480"/>
      <c r="K394" s="48"/>
      <c r="L394" s="484">
        <v>8363.61</v>
      </c>
      <c r="M394" s="480"/>
      <c r="N394" s="485">
        <f t="shared" ref="N394:N424" si="114">L394-F394</f>
        <v>8363.61</v>
      </c>
      <c r="O394" s="480"/>
      <c r="P394" s="48"/>
      <c r="Q394" s="484">
        <v>2058.7000000000007</v>
      </c>
      <c r="R394" s="480"/>
      <c r="S394" s="484">
        <f t="shared" ref="S394:S424" si="115">L394-Q394</f>
        <v>6304.91</v>
      </c>
      <c r="T394" s="48"/>
      <c r="U394" s="48"/>
      <c r="V394" s="48"/>
      <c r="W394" s="48"/>
      <c r="X394" s="48"/>
      <c r="Y394" s="48"/>
      <c r="Z394" s="48"/>
      <c r="AA394" s="48"/>
      <c r="AB394" s="48"/>
      <c r="AC394" s="48"/>
      <c r="AD394" s="48"/>
      <c r="AE394" s="48"/>
      <c r="AF394" s="48"/>
      <c r="AG394" s="48"/>
      <c r="AH394" s="48"/>
      <c r="AI394" s="48"/>
      <c r="AJ394" s="48"/>
      <c r="AK394" s="48"/>
      <c r="AL394" s="48"/>
      <c r="AM394" s="48"/>
      <c r="AN394" s="48"/>
    </row>
    <row r="395" ht="15.75" customHeight="1">
      <c r="A395" s="5" t="str">
        <f t="shared" si="87"/>
        <v>PiècesSalaires commis</v>
      </c>
      <c r="B395" s="48" t="s">
        <v>178</v>
      </c>
      <c r="C395" s="560" t="s">
        <v>120</v>
      </c>
      <c r="D395" s="546"/>
      <c r="E395" s="48"/>
      <c r="F395" s="473">
        <v>0.0</v>
      </c>
      <c r="G395" s="547"/>
      <c r="H395" s="48"/>
      <c r="I395" s="473">
        <v>0.0</v>
      </c>
      <c r="J395" s="480"/>
      <c r="K395" s="48"/>
      <c r="L395" s="484">
        <v>8527.729999999998</v>
      </c>
      <c r="M395" s="480"/>
      <c r="N395" s="485">
        <f t="shared" si="114"/>
        <v>8527.73</v>
      </c>
      <c r="O395" s="480"/>
      <c r="P395" s="48"/>
      <c r="Q395" s="484">
        <v>7546.89</v>
      </c>
      <c r="R395" s="480"/>
      <c r="S395" s="484">
        <f t="shared" si="115"/>
        <v>980.84</v>
      </c>
      <c r="T395" s="48"/>
      <c r="U395" s="48"/>
      <c r="V395" s="48"/>
      <c r="W395" s="48"/>
      <c r="X395" s="48"/>
      <c r="Y395" s="48"/>
      <c r="Z395" s="48"/>
      <c r="AA395" s="48"/>
      <c r="AB395" s="48"/>
      <c r="AC395" s="48"/>
      <c r="AD395" s="48"/>
      <c r="AE395" s="48"/>
      <c r="AF395" s="48"/>
      <c r="AG395" s="48"/>
      <c r="AH395" s="48"/>
      <c r="AI395" s="48"/>
      <c r="AJ395" s="48"/>
      <c r="AK395" s="48"/>
      <c r="AL395" s="48"/>
      <c r="AM395" s="48"/>
      <c r="AN395" s="48"/>
    </row>
    <row r="396" ht="15.75" customHeight="1">
      <c r="A396" s="5" t="str">
        <f t="shared" si="87"/>
        <v>PiècesSalaires autres</v>
      </c>
      <c r="B396" s="48" t="s">
        <v>178</v>
      </c>
      <c r="C396" s="559" t="s">
        <v>121</v>
      </c>
      <c r="D396" s="561"/>
      <c r="E396" s="562"/>
      <c r="F396" s="481">
        <v>0.0</v>
      </c>
      <c r="G396" s="563"/>
      <c r="H396" s="562"/>
      <c r="I396" s="481">
        <v>0.0</v>
      </c>
      <c r="J396" s="466"/>
      <c r="K396" s="562"/>
      <c r="L396" s="523">
        <v>57571.439999999995</v>
      </c>
      <c r="M396" s="466"/>
      <c r="N396" s="520">
        <f t="shared" si="114"/>
        <v>57571.44</v>
      </c>
      <c r="O396" s="466"/>
      <c r="P396" s="562"/>
      <c r="Q396" s="523">
        <v>56630.189999999995</v>
      </c>
      <c r="R396" s="466"/>
      <c r="S396" s="523">
        <f t="shared" si="115"/>
        <v>941.25</v>
      </c>
      <c r="T396" s="48"/>
      <c r="U396" s="666"/>
      <c r="V396" s="666"/>
      <c r="W396" s="48"/>
      <c r="X396" s="48"/>
      <c r="Y396" s="48"/>
      <c r="Z396" s="48"/>
      <c r="AA396" s="48"/>
      <c r="AB396" s="48"/>
      <c r="AC396" s="48"/>
      <c r="AD396" s="48"/>
      <c r="AE396" s="48"/>
      <c r="AF396" s="48"/>
      <c r="AG396" s="48"/>
      <c r="AH396" s="48"/>
      <c r="AI396" s="48"/>
      <c r="AJ396" s="48"/>
      <c r="AK396" s="48"/>
      <c r="AL396" s="48"/>
      <c r="AM396" s="48"/>
      <c r="AN396" s="48"/>
    </row>
    <row r="397" ht="20.25" hidden="1" customHeight="1">
      <c r="A397" s="5" t="str">
        <f t="shared" si="87"/>
        <v>PiècesSalaires spécialistes</v>
      </c>
      <c r="B397" s="48" t="s">
        <v>178</v>
      </c>
      <c r="C397" s="559" t="s">
        <v>122</v>
      </c>
      <c r="D397" s="546"/>
      <c r="E397" s="48"/>
      <c r="F397" s="481">
        <v>0.0</v>
      </c>
      <c r="G397" s="547"/>
      <c r="H397" s="48"/>
      <c r="I397" s="481">
        <v>0.0</v>
      </c>
      <c r="J397" s="480"/>
      <c r="K397" s="48"/>
      <c r="L397" s="484">
        <v>0.0</v>
      </c>
      <c r="M397" s="480"/>
      <c r="N397" s="485">
        <f t="shared" si="114"/>
        <v>0</v>
      </c>
      <c r="O397" s="480"/>
      <c r="P397" s="48"/>
      <c r="Q397" s="484">
        <v>0.0</v>
      </c>
      <c r="R397" s="480"/>
      <c r="S397" s="484">
        <f t="shared" si="115"/>
        <v>0</v>
      </c>
      <c r="T397" s="48"/>
      <c r="U397" s="48"/>
      <c r="V397" s="48"/>
      <c r="W397" s="48"/>
      <c r="X397" s="48"/>
      <c r="Y397" s="48"/>
      <c r="Z397" s="48"/>
      <c r="AA397" s="48"/>
      <c r="AB397" s="48"/>
      <c r="AC397" s="48"/>
      <c r="AD397" s="48"/>
      <c r="AE397" s="48"/>
      <c r="AF397" s="48"/>
      <c r="AG397" s="48"/>
      <c r="AH397" s="48"/>
      <c r="AI397" s="48"/>
      <c r="AJ397" s="48"/>
      <c r="AK397" s="48"/>
      <c r="AL397" s="48"/>
      <c r="AM397" s="48"/>
      <c r="AN397" s="48"/>
    </row>
    <row r="398" ht="20.25" hidden="1" customHeight="1">
      <c r="A398" s="5" t="str">
        <f t="shared" si="87"/>
        <v>Pièces[...]</v>
      </c>
      <c r="B398" s="48" t="s">
        <v>178</v>
      </c>
      <c r="C398" s="480" t="s">
        <v>56</v>
      </c>
      <c r="D398" s="546"/>
      <c r="E398" s="48"/>
      <c r="F398" s="481">
        <v>0.0</v>
      </c>
      <c r="G398" s="547"/>
      <c r="H398" s="48"/>
      <c r="I398" s="481">
        <v>0.0</v>
      </c>
      <c r="J398" s="480"/>
      <c r="K398" s="48"/>
      <c r="L398" s="484">
        <v>0.0</v>
      </c>
      <c r="M398" s="480"/>
      <c r="N398" s="485">
        <f t="shared" si="114"/>
        <v>0</v>
      </c>
      <c r="O398" s="480"/>
      <c r="P398" s="48"/>
      <c r="Q398" s="484">
        <v>0.0</v>
      </c>
      <c r="R398" s="480"/>
      <c r="S398" s="484">
        <f t="shared" si="115"/>
        <v>0</v>
      </c>
      <c r="T398" s="48"/>
      <c r="U398" s="48"/>
      <c r="V398" s="48"/>
      <c r="W398" s="48"/>
      <c r="X398" s="48"/>
      <c r="Y398" s="48"/>
      <c r="Z398" s="48"/>
      <c r="AA398" s="48"/>
      <c r="AB398" s="48"/>
      <c r="AC398" s="48"/>
      <c r="AD398" s="48"/>
      <c r="AE398" s="48"/>
      <c r="AF398" s="48"/>
      <c r="AG398" s="48"/>
      <c r="AH398" s="48"/>
      <c r="AI398" s="48"/>
      <c r="AJ398" s="48"/>
      <c r="AK398" s="48"/>
      <c r="AL398" s="48"/>
      <c r="AM398" s="48"/>
      <c r="AN398" s="48"/>
    </row>
    <row r="399" ht="20.25" hidden="1" customHeight="1">
      <c r="A399" s="5" t="str">
        <f t="shared" si="87"/>
        <v>Pièces[...]</v>
      </c>
      <c r="B399" s="48" t="s">
        <v>178</v>
      </c>
      <c r="C399" s="480" t="s">
        <v>56</v>
      </c>
      <c r="D399" s="546"/>
      <c r="E399" s="48"/>
      <c r="F399" s="481">
        <v>0.0</v>
      </c>
      <c r="G399" s="547"/>
      <c r="H399" s="48"/>
      <c r="I399" s="481">
        <v>0.0</v>
      </c>
      <c r="J399" s="480"/>
      <c r="K399" s="48"/>
      <c r="L399" s="484">
        <v>0.0</v>
      </c>
      <c r="M399" s="480"/>
      <c r="N399" s="485">
        <f t="shared" si="114"/>
        <v>0</v>
      </c>
      <c r="O399" s="480"/>
      <c r="P399" s="48"/>
      <c r="Q399" s="484">
        <v>0.0</v>
      </c>
      <c r="R399" s="480"/>
      <c r="S399" s="484">
        <f t="shared" si="115"/>
        <v>0</v>
      </c>
      <c r="T399" s="48"/>
      <c r="U399" s="48"/>
      <c r="V399" s="48"/>
      <c r="W399" s="48"/>
      <c r="X399" s="48"/>
      <c r="Y399" s="48"/>
      <c r="Z399" s="48"/>
      <c r="AA399" s="48"/>
      <c r="AB399" s="48"/>
      <c r="AC399" s="48"/>
      <c r="AD399" s="48"/>
      <c r="AE399" s="48"/>
      <c r="AF399" s="48"/>
      <c r="AG399" s="48"/>
      <c r="AH399" s="48"/>
      <c r="AI399" s="48"/>
      <c r="AJ399" s="48"/>
      <c r="AK399" s="48"/>
      <c r="AL399" s="48"/>
      <c r="AM399" s="48"/>
      <c r="AN399" s="48"/>
    </row>
    <row r="400" ht="20.25" hidden="1" customHeight="1">
      <c r="A400" s="5" t="str">
        <f t="shared" si="87"/>
        <v>Pièces[...]</v>
      </c>
      <c r="B400" s="48" t="s">
        <v>178</v>
      </c>
      <c r="C400" s="480" t="s">
        <v>56</v>
      </c>
      <c r="D400" s="546"/>
      <c r="E400" s="48"/>
      <c r="F400" s="481">
        <v>0.0</v>
      </c>
      <c r="G400" s="547"/>
      <c r="H400" s="48"/>
      <c r="I400" s="481">
        <v>0.0</v>
      </c>
      <c r="J400" s="480"/>
      <c r="K400" s="48"/>
      <c r="L400" s="484">
        <v>0.0</v>
      </c>
      <c r="M400" s="480"/>
      <c r="N400" s="485">
        <f t="shared" si="114"/>
        <v>0</v>
      </c>
      <c r="O400" s="480"/>
      <c r="P400" s="48"/>
      <c r="Q400" s="484">
        <v>0.0</v>
      </c>
      <c r="R400" s="480"/>
      <c r="S400" s="484">
        <f t="shared" si="115"/>
        <v>0</v>
      </c>
      <c r="T400" s="48"/>
      <c r="U400" s="48"/>
      <c r="V400" s="48"/>
      <c r="W400" s="48"/>
      <c r="X400" s="48"/>
      <c r="Y400" s="48"/>
      <c r="Z400" s="48"/>
      <c r="AA400" s="48"/>
      <c r="AB400" s="48"/>
      <c r="AC400" s="48"/>
      <c r="AD400" s="48"/>
      <c r="AE400" s="48"/>
      <c r="AF400" s="48"/>
      <c r="AG400" s="48"/>
      <c r="AH400" s="48"/>
      <c r="AI400" s="48"/>
      <c r="AJ400" s="48"/>
      <c r="AK400" s="48"/>
      <c r="AL400" s="48"/>
      <c r="AM400" s="48"/>
      <c r="AN400" s="48"/>
    </row>
    <row r="401" ht="15.75" customHeight="1">
      <c r="A401" s="5" t="str">
        <f t="shared" si="87"/>
        <v>PiècesSalaires en absences</v>
      </c>
      <c r="B401" s="48" t="s">
        <v>178</v>
      </c>
      <c r="C401" s="560" t="s">
        <v>123</v>
      </c>
      <c r="D401" s="546"/>
      <c r="E401" s="48"/>
      <c r="F401" s="473">
        <v>0.0</v>
      </c>
      <c r="G401" s="547"/>
      <c r="H401" s="48"/>
      <c r="I401" s="473">
        <v>0.0</v>
      </c>
      <c r="J401" s="480"/>
      <c r="K401" s="48"/>
      <c r="L401" s="484">
        <v>8645.7</v>
      </c>
      <c r="M401" s="480"/>
      <c r="N401" s="485">
        <f t="shared" si="114"/>
        <v>8645.7</v>
      </c>
      <c r="O401" s="480"/>
      <c r="P401" s="48"/>
      <c r="Q401" s="484">
        <v>6591.910000000001</v>
      </c>
      <c r="R401" s="480"/>
      <c r="S401" s="484">
        <f t="shared" si="115"/>
        <v>2053.79</v>
      </c>
      <c r="T401" s="48"/>
      <c r="U401" s="48"/>
      <c r="V401" s="48"/>
      <c r="W401" s="48"/>
      <c r="X401" s="48"/>
      <c r="Y401" s="48"/>
      <c r="Z401" s="48"/>
      <c r="AA401" s="48"/>
      <c r="AB401" s="48"/>
      <c r="AC401" s="48"/>
      <c r="AD401" s="48"/>
      <c r="AE401" s="48"/>
      <c r="AF401" s="48"/>
      <c r="AG401" s="48"/>
      <c r="AH401" s="48"/>
      <c r="AI401" s="48"/>
      <c r="AJ401" s="48"/>
      <c r="AK401" s="48"/>
      <c r="AL401" s="48"/>
      <c r="AM401" s="48"/>
      <c r="AN401" s="48"/>
    </row>
    <row r="402" ht="15.75" customHeight="1">
      <c r="A402" s="5" t="str">
        <f t="shared" si="87"/>
        <v>PiècesDéduction à la source</v>
      </c>
      <c r="B402" s="48" t="s">
        <v>178</v>
      </c>
      <c r="C402" s="559" t="s">
        <v>124</v>
      </c>
      <c r="D402" s="561"/>
      <c r="E402" s="562"/>
      <c r="F402" s="481">
        <v>0.0</v>
      </c>
      <c r="G402" s="563"/>
      <c r="H402" s="562"/>
      <c r="I402" s="481">
        <v>0.0</v>
      </c>
      <c r="J402" s="466"/>
      <c r="K402" s="562"/>
      <c r="L402" s="523">
        <v>9706.640000000001</v>
      </c>
      <c r="M402" s="466"/>
      <c r="N402" s="520">
        <f t="shared" si="114"/>
        <v>9706.64</v>
      </c>
      <c r="O402" s="466"/>
      <c r="P402" s="562"/>
      <c r="Q402" s="523">
        <v>9081.240000000002</v>
      </c>
      <c r="R402" s="466"/>
      <c r="S402" s="523">
        <f t="shared" si="115"/>
        <v>625.4</v>
      </c>
      <c r="T402" s="48"/>
      <c r="U402" s="48"/>
      <c r="V402" s="48"/>
      <c r="W402" s="48"/>
      <c r="X402" s="48"/>
      <c r="Y402" s="48"/>
      <c r="Z402" s="48"/>
      <c r="AA402" s="48"/>
      <c r="AB402" s="48"/>
      <c r="AC402" s="48"/>
      <c r="AD402" s="48"/>
      <c r="AE402" s="48"/>
      <c r="AF402" s="48"/>
      <c r="AG402" s="48"/>
      <c r="AH402" s="48"/>
      <c r="AI402" s="48"/>
      <c r="AJ402" s="48"/>
      <c r="AK402" s="48"/>
      <c r="AL402" s="48"/>
      <c r="AM402" s="48"/>
      <c r="AN402" s="48"/>
    </row>
    <row r="403" ht="15.75" customHeight="1">
      <c r="A403" s="5" t="str">
        <f t="shared" si="87"/>
        <v>PiècesBénéfices marginaux</v>
      </c>
      <c r="B403" s="48" t="s">
        <v>178</v>
      </c>
      <c r="C403" s="559" t="s">
        <v>125</v>
      </c>
      <c r="D403" s="546"/>
      <c r="E403" s="48"/>
      <c r="F403" s="481">
        <v>0.0</v>
      </c>
      <c r="G403" s="547"/>
      <c r="H403" s="48"/>
      <c r="I403" s="481">
        <v>0.0</v>
      </c>
      <c r="J403" s="480"/>
      <c r="K403" s="48"/>
      <c r="L403" s="484">
        <v>2190.0599999999995</v>
      </c>
      <c r="M403" s="480"/>
      <c r="N403" s="485">
        <f t="shared" si="114"/>
        <v>2190.06</v>
      </c>
      <c r="O403" s="480"/>
      <c r="P403" s="48"/>
      <c r="Q403" s="484">
        <v>4828.92</v>
      </c>
      <c r="R403" s="480"/>
      <c r="S403" s="484">
        <f t="shared" si="115"/>
        <v>-2638.86</v>
      </c>
      <c r="T403" s="48"/>
      <c r="U403" s="48"/>
      <c r="V403" s="48"/>
      <c r="W403" s="48"/>
      <c r="X403" s="48"/>
      <c r="Y403" s="48"/>
      <c r="Z403" s="48"/>
      <c r="AA403" s="48"/>
      <c r="AB403" s="48"/>
      <c r="AC403" s="48"/>
      <c r="AD403" s="48"/>
      <c r="AE403" s="48"/>
      <c r="AF403" s="48"/>
      <c r="AG403" s="48"/>
      <c r="AH403" s="48"/>
      <c r="AI403" s="48"/>
      <c r="AJ403" s="48"/>
      <c r="AK403" s="48"/>
      <c r="AL403" s="48"/>
      <c r="AM403" s="48"/>
      <c r="AN403" s="48"/>
    </row>
    <row r="404" ht="15.75" customHeight="1">
      <c r="A404" s="5" t="str">
        <f t="shared" si="87"/>
        <v>PiècesCsst</v>
      </c>
      <c r="B404" s="48" t="s">
        <v>178</v>
      </c>
      <c r="C404" s="559" t="s">
        <v>126</v>
      </c>
      <c r="D404" s="546"/>
      <c r="E404" s="48"/>
      <c r="F404" s="481">
        <v>0.0</v>
      </c>
      <c r="G404" s="547"/>
      <c r="H404" s="48"/>
      <c r="I404" s="481">
        <v>0.0</v>
      </c>
      <c r="J404" s="480"/>
      <c r="K404" s="48"/>
      <c r="L404" s="484">
        <v>3176.4100000000003</v>
      </c>
      <c r="M404" s="480"/>
      <c r="N404" s="485">
        <f t="shared" si="114"/>
        <v>3176.41</v>
      </c>
      <c r="O404" s="480"/>
      <c r="P404" s="48"/>
      <c r="Q404" s="484">
        <v>319.99</v>
      </c>
      <c r="R404" s="480"/>
      <c r="S404" s="484">
        <f t="shared" si="115"/>
        <v>2856.42</v>
      </c>
      <c r="T404" s="48"/>
      <c r="U404" s="48"/>
      <c r="V404" s="48"/>
      <c r="W404" s="48"/>
      <c r="X404" s="48"/>
      <c r="Y404" s="48"/>
      <c r="Z404" s="48"/>
      <c r="AA404" s="48"/>
      <c r="AB404" s="48"/>
      <c r="AC404" s="48"/>
      <c r="AD404" s="48"/>
      <c r="AE404" s="48"/>
      <c r="AF404" s="48"/>
      <c r="AG404" s="48"/>
      <c r="AH404" s="48"/>
      <c r="AI404" s="48"/>
      <c r="AJ404" s="48"/>
      <c r="AK404" s="48"/>
      <c r="AL404" s="48"/>
      <c r="AM404" s="48"/>
      <c r="AN404" s="48"/>
    </row>
    <row r="405" ht="20.25" hidden="1" customHeight="1">
      <c r="A405" s="5" t="str">
        <f t="shared" si="87"/>
        <v>Pièces[...]</v>
      </c>
      <c r="B405" s="48" t="s">
        <v>178</v>
      </c>
      <c r="C405" s="480" t="s">
        <v>56</v>
      </c>
      <c r="D405" s="549"/>
      <c r="E405" s="564"/>
      <c r="F405" s="481">
        <v>0.0</v>
      </c>
      <c r="G405" s="550"/>
      <c r="H405" s="564"/>
      <c r="I405" s="481">
        <v>0.0</v>
      </c>
      <c r="J405" s="471"/>
      <c r="K405" s="564"/>
      <c r="L405" s="484">
        <v>0.0</v>
      </c>
      <c r="M405" s="471"/>
      <c r="N405" s="476">
        <f t="shared" si="114"/>
        <v>0</v>
      </c>
      <c r="O405" s="471"/>
      <c r="P405" s="564"/>
      <c r="Q405" s="484">
        <v>0.0</v>
      </c>
      <c r="R405" s="471"/>
      <c r="S405" s="476">
        <f t="shared" si="115"/>
        <v>0</v>
      </c>
      <c r="T405" s="48"/>
      <c r="U405" s="48"/>
      <c r="V405" s="48"/>
      <c r="W405" s="48"/>
      <c r="X405" s="48"/>
      <c r="Y405" s="48"/>
      <c r="Z405" s="48"/>
      <c r="AA405" s="48"/>
      <c r="AB405" s="48"/>
      <c r="AC405" s="48"/>
      <c r="AD405" s="48"/>
      <c r="AE405" s="48"/>
      <c r="AF405" s="48"/>
      <c r="AG405" s="48"/>
      <c r="AH405" s="48"/>
      <c r="AI405" s="48"/>
      <c r="AJ405" s="48"/>
      <c r="AK405" s="48"/>
      <c r="AL405" s="48"/>
      <c r="AM405" s="48"/>
      <c r="AN405" s="48"/>
    </row>
    <row r="406" ht="18.0" customHeight="1">
      <c r="A406" s="5" t="str">
        <f t="shared" si="87"/>
        <v>PiècesTOTAL PERSONNEL</v>
      </c>
      <c r="B406" s="48" t="s">
        <v>178</v>
      </c>
      <c r="C406" s="552" t="s">
        <v>127</v>
      </c>
      <c r="D406" s="553" t="s">
        <v>225</v>
      </c>
      <c r="E406" s="554" t="str">
        <f>F406/F$314</f>
        <v>#DIV/0!</v>
      </c>
      <c r="F406" s="555">
        <f>+SUM(F394:F405)</f>
        <v>0</v>
      </c>
      <c r="G406" s="556" t="s">
        <v>225</v>
      </c>
      <c r="H406" s="554" t="str">
        <f>I406/I$314</f>
        <v>#DIV/0!</v>
      </c>
      <c r="I406" s="555">
        <f>+SUM(I394:I405)</f>
        <v>0</v>
      </c>
      <c r="J406" s="556" t="s">
        <v>225</v>
      </c>
      <c r="K406" s="554" t="str">
        <f>L406/L$314</f>
        <v>#DIV/0!</v>
      </c>
      <c r="L406" s="555">
        <f>+SUM(L394:L405)</f>
        <v>98181.59</v>
      </c>
      <c r="M406" s="557"/>
      <c r="N406" s="555">
        <f t="shared" si="114"/>
        <v>98181.59</v>
      </c>
      <c r="O406" s="556" t="s">
        <v>225</v>
      </c>
      <c r="P406" s="554" t="str">
        <f>Q406/Q$314</f>
        <v>#DIV/0!</v>
      </c>
      <c r="Q406" s="555">
        <f>+SUM(Q394:Q405)</f>
        <v>87057.84</v>
      </c>
      <c r="R406" s="558"/>
      <c r="S406" s="555">
        <f t="shared" si="115"/>
        <v>11123.75</v>
      </c>
      <c r="T406" s="48"/>
      <c r="U406" s="48"/>
      <c r="V406" s="48"/>
      <c r="W406" s="48"/>
      <c r="X406" s="48"/>
      <c r="Y406" s="48"/>
      <c r="Z406" s="48"/>
      <c r="AA406" s="48"/>
      <c r="AB406" s="48"/>
      <c r="AC406" s="48"/>
      <c r="AD406" s="48"/>
      <c r="AE406" s="48"/>
      <c r="AF406" s="48"/>
      <c r="AG406" s="48"/>
      <c r="AH406" s="48"/>
      <c r="AI406" s="48"/>
      <c r="AJ406" s="48"/>
      <c r="AK406" s="48"/>
      <c r="AL406" s="48"/>
      <c r="AM406" s="48"/>
      <c r="AN406" s="48"/>
    </row>
    <row r="407" ht="15.75" customHeight="1">
      <c r="A407" s="5" t="str">
        <f t="shared" si="87"/>
        <v>PiècesPublicité 2</v>
      </c>
      <c r="B407" s="48" t="s">
        <v>178</v>
      </c>
      <c r="C407" s="654" t="s">
        <v>128</v>
      </c>
      <c r="D407" s="546"/>
      <c r="E407" s="48"/>
      <c r="F407" s="481">
        <v>0.0</v>
      </c>
      <c r="G407" s="547"/>
      <c r="H407" s="48"/>
      <c r="I407" s="481">
        <v>0.0</v>
      </c>
      <c r="J407" s="480"/>
      <c r="K407" s="48"/>
      <c r="L407" s="484">
        <v>2629.95</v>
      </c>
      <c r="M407" s="480"/>
      <c r="N407" s="484">
        <f t="shared" si="114"/>
        <v>2629.95</v>
      </c>
      <c r="O407" s="480"/>
      <c r="P407" s="48"/>
      <c r="Q407" s="484">
        <v>3535.96</v>
      </c>
      <c r="R407" s="480"/>
      <c r="S407" s="484">
        <f t="shared" si="115"/>
        <v>-906.01</v>
      </c>
      <c r="T407" s="48"/>
      <c r="U407" s="48"/>
      <c r="V407" s="48"/>
      <c r="W407" s="483"/>
      <c r="X407" s="48"/>
      <c r="Y407" s="48"/>
      <c r="Z407" s="48"/>
      <c r="AA407" s="48"/>
      <c r="AB407" s="48"/>
      <c r="AC407" s="48"/>
      <c r="AD407" s="48"/>
      <c r="AE407" s="48"/>
      <c r="AF407" s="48"/>
      <c r="AG407" s="48"/>
      <c r="AH407" s="48"/>
      <c r="AI407" s="48"/>
      <c r="AJ407" s="48"/>
      <c r="AK407" s="48"/>
      <c r="AL407" s="48"/>
      <c r="AM407" s="48"/>
      <c r="AN407" s="48"/>
    </row>
    <row r="408" ht="15.75" customHeight="1">
      <c r="A408" s="5" t="str">
        <f t="shared" si="87"/>
        <v>PiècesService gratuit 2</v>
      </c>
      <c r="B408" s="48" t="s">
        <v>178</v>
      </c>
      <c r="C408" s="559" t="s">
        <v>129</v>
      </c>
      <c r="D408" s="546"/>
      <c r="E408" s="48"/>
      <c r="F408" s="481">
        <v>0.0</v>
      </c>
      <c r="G408" s="547"/>
      <c r="H408" s="48"/>
      <c r="I408" s="481">
        <v>0.0</v>
      </c>
      <c r="J408" s="480"/>
      <c r="K408" s="48"/>
      <c r="L408" s="484">
        <v>0.0</v>
      </c>
      <c r="M408" s="480"/>
      <c r="N408" s="484">
        <f t="shared" si="114"/>
        <v>0</v>
      </c>
      <c r="O408" s="480"/>
      <c r="P408" s="48"/>
      <c r="Q408" s="484">
        <v>231.95000000000005</v>
      </c>
      <c r="R408" s="480"/>
      <c r="S408" s="484">
        <f t="shared" si="115"/>
        <v>-231.95</v>
      </c>
      <c r="T408" s="48"/>
      <c r="U408" s="48"/>
      <c r="V408" s="48"/>
      <c r="W408" s="48"/>
      <c r="X408" s="48"/>
      <c r="Y408" s="48"/>
      <c r="Z408" s="48"/>
      <c r="AA408" s="48"/>
      <c r="AB408" s="48"/>
      <c r="AC408" s="48"/>
      <c r="AD408" s="48"/>
      <c r="AE408" s="48"/>
      <c r="AF408" s="48"/>
      <c r="AG408" s="48"/>
      <c r="AH408" s="48"/>
      <c r="AI408" s="48"/>
      <c r="AJ408" s="48"/>
      <c r="AK408" s="48"/>
      <c r="AL408" s="48"/>
      <c r="AM408" s="48"/>
      <c r="AN408" s="48"/>
    </row>
    <row r="409" ht="15.75" customHeight="1">
      <c r="A409" s="5" t="str">
        <f t="shared" si="87"/>
        <v>PiècesFrais véhicules de cie</v>
      </c>
      <c r="B409" s="48" t="s">
        <v>178</v>
      </c>
      <c r="C409" s="560" t="s">
        <v>130</v>
      </c>
      <c r="D409" s="549"/>
      <c r="E409" s="564"/>
      <c r="F409" s="473">
        <v>0.0</v>
      </c>
      <c r="G409" s="550"/>
      <c r="H409" s="564"/>
      <c r="I409" s="473">
        <v>0.0</v>
      </c>
      <c r="J409" s="471"/>
      <c r="K409" s="564"/>
      <c r="L409" s="476">
        <v>7453.13</v>
      </c>
      <c r="M409" s="471"/>
      <c r="N409" s="476">
        <f t="shared" si="114"/>
        <v>7453.13</v>
      </c>
      <c r="O409" s="471"/>
      <c r="P409" s="564"/>
      <c r="Q409" s="476">
        <v>6708.850000000002</v>
      </c>
      <c r="R409" s="471"/>
      <c r="S409" s="476">
        <f t="shared" si="115"/>
        <v>744.28</v>
      </c>
      <c r="T409" s="48"/>
      <c r="U409" s="48"/>
      <c r="V409" s="48"/>
      <c r="W409" s="48"/>
      <c r="X409" s="48"/>
      <c r="Y409" s="48"/>
      <c r="Z409" s="48"/>
      <c r="AA409" s="48"/>
      <c r="AB409" s="48"/>
      <c r="AC409" s="48"/>
      <c r="AD409" s="48"/>
      <c r="AE409" s="48"/>
      <c r="AF409" s="48"/>
      <c r="AG409" s="48"/>
      <c r="AH409" s="48"/>
      <c r="AI409" s="48"/>
      <c r="AJ409" s="48"/>
      <c r="AK409" s="48"/>
      <c r="AL409" s="48"/>
      <c r="AM409" s="48"/>
      <c r="AN409" s="48"/>
    </row>
    <row r="410" ht="15.75" customHeight="1">
      <c r="A410" s="5" t="str">
        <f t="shared" si="87"/>
        <v>PiècesInformatique</v>
      </c>
      <c r="B410" s="48" t="s">
        <v>178</v>
      </c>
      <c r="C410" s="559" t="s">
        <v>131</v>
      </c>
      <c r="D410" s="546"/>
      <c r="E410" s="48"/>
      <c r="F410" s="481">
        <v>0.0</v>
      </c>
      <c r="G410" s="547"/>
      <c r="H410" s="48"/>
      <c r="I410" s="481">
        <v>0.0</v>
      </c>
      <c r="J410" s="480"/>
      <c r="K410" s="48"/>
      <c r="L410" s="484">
        <v>6118.789999999999</v>
      </c>
      <c r="M410" s="480"/>
      <c r="N410" s="484">
        <f t="shared" si="114"/>
        <v>6118.79</v>
      </c>
      <c r="O410" s="480"/>
      <c r="P410" s="48"/>
      <c r="Q410" s="484">
        <v>5254.7300000000005</v>
      </c>
      <c r="R410" s="480"/>
      <c r="S410" s="484">
        <f t="shared" si="115"/>
        <v>864.06</v>
      </c>
      <c r="T410" s="48"/>
      <c r="U410" s="48"/>
      <c r="V410" s="48"/>
      <c r="W410" s="48"/>
      <c r="X410" s="48"/>
      <c r="Y410" s="48"/>
      <c r="Z410" s="48"/>
      <c r="AA410" s="48"/>
      <c r="AB410" s="48"/>
      <c r="AC410" s="48"/>
      <c r="AD410" s="48"/>
      <c r="AE410" s="48"/>
      <c r="AF410" s="48"/>
      <c r="AG410" s="48"/>
      <c r="AH410" s="48"/>
      <c r="AI410" s="48"/>
      <c r="AJ410" s="48"/>
      <c r="AK410" s="48"/>
      <c r="AL410" s="48"/>
      <c r="AM410" s="48"/>
      <c r="AN410" s="48"/>
    </row>
    <row r="411" ht="15.75" customHeight="1">
      <c r="A411" s="5" t="str">
        <f t="shared" si="87"/>
        <v>PiècesFrais de déplacement</v>
      </c>
      <c r="B411" s="48" t="s">
        <v>178</v>
      </c>
      <c r="C411" s="559" t="s">
        <v>132</v>
      </c>
      <c r="D411" s="546"/>
      <c r="E411" s="48"/>
      <c r="F411" s="481">
        <v>0.0</v>
      </c>
      <c r="G411" s="547"/>
      <c r="H411" s="48"/>
      <c r="I411" s="481">
        <v>0.0</v>
      </c>
      <c r="J411" s="480"/>
      <c r="K411" s="48"/>
      <c r="L411" s="484">
        <v>3834.3599999999997</v>
      </c>
      <c r="M411" s="480"/>
      <c r="N411" s="484">
        <f t="shared" si="114"/>
        <v>3834.36</v>
      </c>
      <c r="O411" s="480"/>
      <c r="P411" s="48"/>
      <c r="Q411" s="484">
        <v>5810.219999999999</v>
      </c>
      <c r="R411" s="480"/>
      <c r="S411" s="484">
        <f t="shared" si="115"/>
        <v>-1975.86</v>
      </c>
      <c r="T411" s="48"/>
      <c r="U411" s="48"/>
      <c r="V411" s="48"/>
      <c r="W411" s="48"/>
      <c r="X411" s="48"/>
      <c r="Y411" s="48"/>
      <c r="Z411" s="48"/>
      <c r="AA411" s="48"/>
      <c r="AB411" s="48"/>
      <c r="AC411" s="48"/>
      <c r="AD411" s="48"/>
      <c r="AE411" s="48"/>
      <c r="AF411" s="48"/>
      <c r="AG411" s="48"/>
      <c r="AH411" s="48"/>
      <c r="AI411" s="48"/>
      <c r="AJ411" s="48"/>
      <c r="AK411" s="48"/>
      <c r="AL411" s="48"/>
      <c r="AM411" s="48"/>
      <c r="AN411" s="48"/>
    </row>
    <row r="412" ht="15.75" customHeight="1">
      <c r="A412" s="5" t="str">
        <f t="shared" si="87"/>
        <v>PiècesServices extérieurs</v>
      </c>
      <c r="B412" s="48" t="s">
        <v>178</v>
      </c>
      <c r="C412" s="560" t="s">
        <v>133</v>
      </c>
      <c r="D412" s="549"/>
      <c r="E412" s="564"/>
      <c r="F412" s="473">
        <v>0.0</v>
      </c>
      <c r="G412" s="550"/>
      <c r="H412" s="564"/>
      <c r="I412" s="473">
        <v>0.0</v>
      </c>
      <c r="J412" s="471"/>
      <c r="K412" s="564"/>
      <c r="L412" s="476">
        <v>7734.52</v>
      </c>
      <c r="M412" s="471"/>
      <c r="N412" s="476">
        <f t="shared" si="114"/>
        <v>7734.52</v>
      </c>
      <c r="O412" s="471"/>
      <c r="P412" s="564"/>
      <c r="Q412" s="476">
        <v>7819.93</v>
      </c>
      <c r="R412" s="471"/>
      <c r="S412" s="476">
        <f t="shared" si="115"/>
        <v>-85.41</v>
      </c>
      <c r="T412" s="48"/>
      <c r="U412" s="5"/>
      <c r="V412" s="48"/>
      <c r="W412" s="48"/>
      <c r="X412" s="48"/>
      <c r="Y412" s="48"/>
      <c r="Z412" s="48"/>
      <c r="AA412" s="48"/>
      <c r="AB412" s="48"/>
      <c r="AC412" s="48"/>
      <c r="AD412" s="48"/>
      <c r="AE412" s="48"/>
      <c r="AF412" s="48"/>
      <c r="AG412" s="48"/>
      <c r="AH412" s="48"/>
      <c r="AI412" s="48"/>
      <c r="AJ412" s="48"/>
      <c r="AK412" s="48"/>
      <c r="AL412" s="48"/>
      <c r="AM412" s="48"/>
      <c r="AN412" s="48"/>
    </row>
    <row r="413" ht="15.75" customHeight="1">
      <c r="A413" s="5" t="str">
        <f t="shared" si="87"/>
        <v>PiècesFournitures d'atelier</v>
      </c>
      <c r="B413" s="48" t="s">
        <v>178</v>
      </c>
      <c r="C413" s="559" t="s">
        <v>173</v>
      </c>
      <c r="D413" s="546"/>
      <c r="E413" s="48"/>
      <c r="F413" s="481">
        <v>0.0</v>
      </c>
      <c r="G413" s="547"/>
      <c r="H413" s="48"/>
      <c r="I413" s="481">
        <v>0.0</v>
      </c>
      <c r="J413" s="480"/>
      <c r="K413" s="48"/>
      <c r="L413" s="484">
        <v>0.0</v>
      </c>
      <c r="M413" s="480"/>
      <c r="N413" s="484">
        <f t="shared" si="114"/>
        <v>0</v>
      </c>
      <c r="O413" s="480"/>
      <c r="P413" s="48"/>
      <c r="Q413" s="484">
        <v>0.0</v>
      </c>
      <c r="R413" s="480"/>
      <c r="S413" s="484">
        <f t="shared" si="115"/>
        <v>0</v>
      </c>
      <c r="T413" s="48"/>
      <c r="U413" s="48"/>
      <c r="V413" s="48"/>
      <c r="W413" s="48"/>
      <c r="X413" s="48"/>
      <c r="Y413" s="48"/>
      <c r="Z413" s="48"/>
      <c r="AA413" s="48"/>
      <c r="AB413" s="48"/>
      <c r="AC413" s="48"/>
      <c r="AD413" s="48"/>
      <c r="AE413" s="48"/>
      <c r="AF413" s="48"/>
      <c r="AG413" s="48"/>
      <c r="AH413" s="48"/>
      <c r="AI413" s="48"/>
      <c r="AJ413" s="48"/>
      <c r="AK413" s="48"/>
      <c r="AL413" s="48"/>
      <c r="AM413" s="48"/>
      <c r="AN413" s="48"/>
    </row>
    <row r="414" ht="15.75" customHeight="1">
      <c r="A414" s="5" t="str">
        <f t="shared" si="87"/>
        <v>PiècesFournitures autres</v>
      </c>
      <c r="B414" s="48" t="s">
        <v>178</v>
      </c>
      <c r="C414" s="559" t="s">
        <v>134</v>
      </c>
      <c r="D414" s="546"/>
      <c r="E414" s="48"/>
      <c r="F414" s="481">
        <v>0.0</v>
      </c>
      <c r="G414" s="547"/>
      <c r="H414" s="48"/>
      <c r="I414" s="481">
        <v>0.0</v>
      </c>
      <c r="J414" s="480"/>
      <c r="K414" s="48"/>
      <c r="L414" s="484">
        <v>412.96000000000004</v>
      </c>
      <c r="M414" s="480"/>
      <c r="N414" s="484">
        <f t="shared" si="114"/>
        <v>412.96</v>
      </c>
      <c r="O414" s="480"/>
      <c r="P414" s="48"/>
      <c r="Q414" s="484">
        <v>402.19000000000005</v>
      </c>
      <c r="R414" s="480"/>
      <c r="S414" s="484">
        <f t="shared" si="115"/>
        <v>10.77</v>
      </c>
      <c r="T414" s="48"/>
      <c r="U414" s="48"/>
      <c r="V414" s="48"/>
      <c r="W414" s="48"/>
      <c r="X414" s="48"/>
      <c r="Y414" s="48"/>
      <c r="Z414" s="48"/>
      <c r="AA414" s="48"/>
      <c r="AB414" s="48"/>
      <c r="AC414" s="48"/>
      <c r="AD414" s="48"/>
      <c r="AE414" s="48"/>
      <c r="AF414" s="48"/>
      <c r="AG414" s="48"/>
      <c r="AH414" s="48"/>
      <c r="AI414" s="48"/>
      <c r="AJ414" s="48"/>
      <c r="AK414" s="48"/>
      <c r="AL414" s="48"/>
      <c r="AM414" s="48"/>
      <c r="AN414" s="48"/>
    </row>
    <row r="415" ht="15.75" customHeight="1">
      <c r="A415" s="5" t="str">
        <f t="shared" si="87"/>
        <v>PiècesUniformes</v>
      </c>
      <c r="B415" s="48" t="s">
        <v>178</v>
      </c>
      <c r="C415" s="559" t="s">
        <v>135</v>
      </c>
      <c r="D415" s="546"/>
      <c r="E415" s="48"/>
      <c r="F415" s="481">
        <v>0.0</v>
      </c>
      <c r="G415" s="547"/>
      <c r="H415" s="48"/>
      <c r="I415" s="481">
        <v>0.0</v>
      </c>
      <c r="J415" s="480"/>
      <c r="K415" s="48"/>
      <c r="L415" s="484">
        <v>0.0</v>
      </c>
      <c r="M415" s="480"/>
      <c r="N415" s="484">
        <f t="shared" si="114"/>
        <v>0</v>
      </c>
      <c r="O415" s="480"/>
      <c r="P415" s="48"/>
      <c r="Q415" s="484">
        <v>0.0</v>
      </c>
      <c r="R415" s="480"/>
      <c r="S415" s="484">
        <f t="shared" si="115"/>
        <v>0</v>
      </c>
      <c r="T415" s="48"/>
      <c r="U415" s="48"/>
      <c r="V415" s="48"/>
      <c r="W415" s="48"/>
      <c r="X415" s="48"/>
      <c r="Y415" s="48"/>
      <c r="Z415" s="48"/>
      <c r="AA415" s="48"/>
      <c r="AB415" s="48"/>
      <c r="AC415" s="48"/>
      <c r="AD415" s="48"/>
      <c r="AE415" s="48"/>
      <c r="AF415" s="48"/>
      <c r="AG415" s="48"/>
      <c r="AH415" s="48"/>
      <c r="AI415" s="48"/>
      <c r="AJ415" s="48"/>
      <c r="AK415" s="48"/>
      <c r="AL415" s="48"/>
      <c r="AM415" s="48"/>
      <c r="AN415" s="48"/>
    </row>
    <row r="416" ht="15.75" customHeight="1">
      <c r="A416" s="5" t="str">
        <f t="shared" si="87"/>
        <v>PiècesPapeterie</v>
      </c>
      <c r="B416" s="48" t="s">
        <v>178</v>
      </c>
      <c r="C416" s="559" t="s">
        <v>136</v>
      </c>
      <c r="D416" s="546"/>
      <c r="E416" s="48"/>
      <c r="F416" s="481">
        <v>0.0</v>
      </c>
      <c r="G416" s="547"/>
      <c r="H416" s="48"/>
      <c r="I416" s="481">
        <v>0.0</v>
      </c>
      <c r="J416" s="480"/>
      <c r="K416" s="48"/>
      <c r="L416" s="484">
        <v>1209.7600000000002</v>
      </c>
      <c r="M416" s="480"/>
      <c r="N416" s="484">
        <f t="shared" si="114"/>
        <v>1209.76</v>
      </c>
      <c r="O416" s="480"/>
      <c r="P416" s="48"/>
      <c r="Q416" s="484">
        <v>1383.46</v>
      </c>
      <c r="R416" s="480"/>
      <c r="S416" s="484">
        <f t="shared" si="115"/>
        <v>-173.7</v>
      </c>
      <c r="T416" s="48"/>
      <c r="U416" s="48"/>
      <c r="V416" s="48"/>
      <c r="W416" s="48"/>
      <c r="X416" s="48"/>
      <c r="Y416" s="48"/>
      <c r="Z416" s="48"/>
      <c r="AA416" s="48"/>
      <c r="AB416" s="48"/>
      <c r="AC416" s="48"/>
      <c r="AD416" s="48"/>
      <c r="AE416" s="48"/>
      <c r="AF416" s="48"/>
      <c r="AG416" s="48"/>
      <c r="AH416" s="48"/>
      <c r="AI416" s="48"/>
      <c r="AJ416" s="48"/>
      <c r="AK416" s="48"/>
      <c r="AL416" s="48"/>
      <c r="AM416" s="48"/>
      <c r="AN416" s="48"/>
    </row>
    <row r="417" ht="15.75" customHeight="1">
      <c r="A417" s="5" t="str">
        <f t="shared" si="87"/>
        <v>PiècesTéléphone</v>
      </c>
      <c r="B417" s="48" t="s">
        <v>178</v>
      </c>
      <c r="C417" s="559" t="s">
        <v>137</v>
      </c>
      <c r="D417" s="546"/>
      <c r="E417" s="48"/>
      <c r="F417" s="481">
        <v>0.0</v>
      </c>
      <c r="G417" s="547"/>
      <c r="H417" s="48"/>
      <c r="I417" s="481">
        <v>0.0</v>
      </c>
      <c r="J417" s="480"/>
      <c r="K417" s="48"/>
      <c r="L417" s="484">
        <v>686.89</v>
      </c>
      <c r="M417" s="480"/>
      <c r="N417" s="484">
        <f t="shared" si="114"/>
        <v>686.89</v>
      </c>
      <c r="O417" s="480"/>
      <c r="P417" s="48"/>
      <c r="Q417" s="484">
        <v>1097.6299999999999</v>
      </c>
      <c r="R417" s="480"/>
      <c r="S417" s="484">
        <f t="shared" si="115"/>
        <v>-410.74</v>
      </c>
      <c r="T417" s="48"/>
      <c r="U417" s="48"/>
      <c r="V417" s="48"/>
      <c r="W417" s="48"/>
      <c r="X417" s="48"/>
      <c r="Y417" s="48"/>
      <c r="Z417" s="48"/>
      <c r="AA417" s="48"/>
      <c r="AB417" s="48"/>
      <c r="AC417" s="48"/>
      <c r="AD417" s="48"/>
      <c r="AE417" s="48"/>
      <c r="AF417" s="48"/>
      <c r="AG417" s="48"/>
      <c r="AH417" s="48"/>
      <c r="AI417" s="48"/>
      <c r="AJ417" s="48"/>
      <c r="AK417" s="48"/>
      <c r="AL417" s="48"/>
      <c r="AM417" s="48"/>
      <c r="AN417" s="48"/>
    </row>
    <row r="418" ht="15.75" customHeight="1">
      <c r="A418" s="5" t="str">
        <f t="shared" si="87"/>
        <v>PiècesFrais postaux</v>
      </c>
      <c r="B418" s="48" t="s">
        <v>178</v>
      </c>
      <c r="C418" s="559" t="s">
        <v>138</v>
      </c>
      <c r="D418" s="546"/>
      <c r="E418" s="48"/>
      <c r="F418" s="481">
        <v>0.0</v>
      </c>
      <c r="G418" s="547"/>
      <c r="H418" s="48"/>
      <c r="I418" s="481">
        <v>0.0</v>
      </c>
      <c r="J418" s="480"/>
      <c r="K418" s="48"/>
      <c r="L418" s="484">
        <v>2554.25</v>
      </c>
      <c r="M418" s="480"/>
      <c r="N418" s="484">
        <f t="shared" si="114"/>
        <v>2554.25</v>
      </c>
      <c r="O418" s="480"/>
      <c r="P418" s="48"/>
      <c r="Q418" s="484">
        <v>1759.48</v>
      </c>
      <c r="R418" s="480"/>
      <c r="S418" s="484">
        <f t="shared" si="115"/>
        <v>794.77</v>
      </c>
      <c r="T418" s="48"/>
      <c r="U418" s="48"/>
      <c r="V418" s="48"/>
      <c r="W418" s="48"/>
      <c r="X418" s="48"/>
      <c r="Y418" s="48"/>
      <c r="Z418" s="48"/>
      <c r="AA418" s="48"/>
      <c r="AB418" s="48"/>
      <c r="AC418" s="48"/>
      <c r="AD418" s="48"/>
      <c r="AE418" s="48"/>
      <c r="AF418" s="48"/>
      <c r="AG418" s="48"/>
      <c r="AH418" s="48"/>
      <c r="AI418" s="48"/>
      <c r="AJ418" s="48"/>
      <c r="AK418" s="48"/>
      <c r="AL418" s="48"/>
      <c r="AM418" s="48"/>
      <c r="AN418" s="48"/>
    </row>
    <row r="419" ht="15.75" customHeight="1">
      <c r="A419" s="5" t="str">
        <f t="shared" si="87"/>
        <v>PiècesDivers</v>
      </c>
      <c r="B419" s="48" t="s">
        <v>178</v>
      </c>
      <c r="C419" s="559" t="s">
        <v>139</v>
      </c>
      <c r="D419" s="546"/>
      <c r="E419" s="48"/>
      <c r="F419" s="481">
        <v>0.0</v>
      </c>
      <c r="G419" s="547"/>
      <c r="H419" s="48"/>
      <c r="I419" s="481">
        <v>0.0</v>
      </c>
      <c r="J419" s="480"/>
      <c r="K419" s="48"/>
      <c r="L419" s="484">
        <v>7250.85</v>
      </c>
      <c r="M419" s="480"/>
      <c r="N419" s="484">
        <f t="shared" si="114"/>
        <v>7250.85</v>
      </c>
      <c r="O419" s="480"/>
      <c r="P419" s="48"/>
      <c r="Q419" s="484">
        <v>5457.1</v>
      </c>
      <c r="R419" s="480"/>
      <c r="S419" s="484">
        <f t="shared" si="115"/>
        <v>1793.75</v>
      </c>
      <c r="T419" s="48"/>
      <c r="U419" s="48"/>
      <c r="V419" s="48"/>
      <c r="W419" s="48"/>
      <c r="X419" s="48"/>
      <c r="Y419" s="48"/>
      <c r="Z419" s="48"/>
      <c r="AA419" s="48"/>
      <c r="AB419" s="48"/>
      <c r="AC419" s="48"/>
      <c r="AD419" s="48"/>
      <c r="AE419" s="48"/>
      <c r="AF419" s="48"/>
      <c r="AG419" s="48"/>
      <c r="AH419" s="48"/>
      <c r="AI419" s="48"/>
      <c r="AJ419" s="48"/>
      <c r="AK419" s="48"/>
      <c r="AL419" s="48"/>
      <c r="AM419" s="48"/>
      <c r="AN419" s="48"/>
    </row>
    <row r="420" ht="15.75" customHeight="1">
      <c r="A420" s="5" t="str">
        <f t="shared" si="87"/>
        <v>PiècesFormation</v>
      </c>
      <c r="B420" s="48" t="s">
        <v>178</v>
      </c>
      <c r="C420" s="559" t="s">
        <v>140</v>
      </c>
      <c r="D420" s="546"/>
      <c r="E420" s="48"/>
      <c r="F420" s="481">
        <v>0.0</v>
      </c>
      <c r="G420" s="547"/>
      <c r="H420" s="48"/>
      <c r="I420" s="481">
        <v>0.0</v>
      </c>
      <c r="J420" s="480"/>
      <c r="K420" s="48"/>
      <c r="L420" s="484">
        <v>0.0</v>
      </c>
      <c r="M420" s="480"/>
      <c r="N420" s="484">
        <f t="shared" si="114"/>
        <v>0</v>
      </c>
      <c r="O420" s="480"/>
      <c r="P420" s="48"/>
      <c r="Q420" s="484">
        <v>6793.0</v>
      </c>
      <c r="R420" s="480"/>
      <c r="S420" s="484">
        <f t="shared" si="115"/>
        <v>-6793</v>
      </c>
      <c r="T420" s="48"/>
      <c r="X420" s="48"/>
      <c r="Y420" s="48"/>
      <c r="Z420" s="48"/>
      <c r="AA420" s="48"/>
      <c r="AB420" s="48"/>
      <c r="AC420" s="48"/>
      <c r="AD420" s="48"/>
      <c r="AE420" s="48"/>
      <c r="AF420" s="48"/>
      <c r="AG420" s="48"/>
      <c r="AH420" s="48"/>
      <c r="AI420" s="48"/>
      <c r="AJ420" s="48"/>
      <c r="AK420" s="48"/>
      <c r="AL420" s="48"/>
      <c r="AM420" s="48"/>
      <c r="AN420" s="48"/>
    </row>
    <row r="421" ht="15.75" customHeight="1">
      <c r="A421" s="5" t="str">
        <f t="shared" si="87"/>
        <v>PiècesFrais bancaires</v>
      </c>
      <c r="B421" s="48" t="s">
        <v>178</v>
      </c>
      <c r="C421" s="559" t="s">
        <v>141</v>
      </c>
      <c r="D421" s="546"/>
      <c r="E421" s="48"/>
      <c r="F421" s="481">
        <v>0.0</v>
      </c>
      <c r="G421" s="547"/>
      <c r="H421" s="48"/>
      <c r="I421" s="481">
        <v>0.0</v>
      </c>
      <c r="J421" s="480"/>
      <c r="K421" s="48"/>
      <c r="L421" s="484">
        <v>1760.59</v>
      </c>
      <c r="M421" s="480"/>
      <c r="N421" s="484">
        <f t="shared" si="114"/>
        <v>1760.59</v>
      </c>
      <c r="O421" s="480"/>
      <c r="P421" s="48"/>
      <c r="Q421" s="484">
        <v>315.78999999999996</v>
      </c>
      <c r="R421" s="480"/>
      <c r="S421" s="484">
        <f t="shared" si="115"/>
        <v>1444.8</v>
      </c>
      <c r="T421" s="48"/>
      <c r="X421" s="48"/>
      <c r="Y421" s="48"/>
      <c r="Z421" s="48"/>
      <c r="AA421" s="48"/>
      <c r="AB421" s="48"/>
      <c r="AC421" s="48"/>
      <c r="AD421" s="48"/>
      <c r="AE421" s="48"/>
      <c r="AF421" s="48"/>
      <c r="AG421" s="48"/>
      <c r="AH421" s="48"/>
      <c r="AI421" s="48"/>
      <c r="AJ421" s="48"/>
      <c r="AK421" s="48"/>
      <c r="AL421" s="48"/>
      <c r="AM421" s="48"/>
      <c r="AN421" s="48"/>
    </row>
    <row r="422" ht="20.25" hidden="1" customHeight="1">
      <c r="A422" s="5" t="str">
        <f t="shared" si="87"/>
        <v>Pièces[...]</v>
      </c>
      <c r="B422" s="48" t="s">
        <v>178</v>
      </c>
      <c r="C422" s="559" t="s">
        <v>56</v>
      </c>
      <c r="D422" s="546"/>
      <c r="E422" s="48"/>
      <c r="F422" s="481">
        <v>0.0</v>
      </c>
      <c r="G422" s="547"/>
      <c r="H422" s="48"/>
      <c r="I422" s="481">
        <v>0.0</v>
      </c>
      <c r="J422" s="480"/>
      <c r="K422" s="48"/>
      <c r="L422" s="484">
        <v>0.0</v>
      </c>
      <c r="M422" s="480"/>
      <c r="N422" s="484">
        <f t="shared" si="114"/>
        <v>0</v>
      </c>
      <c r="O422" s="480"/>
      <c r="P422" s="48"/>
      <c r="Q422" s="484">
        <v>0.0</v>
      </c>
      <c r="R422" s="480"/>
      <c r="S422" s="484">
        <f t="shared" si="115"/>
        <v>0</v>
      </c>
      <c r="T422" s="48"/>
      <c r="X422" s="48"/>
      <c r="Y422" s="48"/>
      <c r="Z422" s="48"/>
      <c r="AA422" s="48"/>
      <c r="AB422" s="48"/>
      <c r="AC422" s="48"/>
      <c r="AD422" s="48"/>
      <c r="AE422" s="48"/>
      <c r="AF422" s="48"/>
      <c r="AG422" s="48"/>
      <c r="AH422" s="48"/>
      <c r="AI422" s="48"/>
      <c r="AJ422" s="48"/>
      <c r="AK422" s="48"/>
      <c r="AL422" s="48"/>
      <c r="AM422" s="48"/>
      <c r="AN422" s="48"/>
    </row>
    <row r="423" ht="20.25" hidden="1" customHeight="1">
      <c r="A423" s="5" t="str">
        <f t="shared" si="87"/>
        <v>Pièces[...]</v>
      </c>
      <c r="B423" s="48" t="s">
        <v>178</v>
      </c>
      <c r="C423" s="559" t="s">
        <v>56</v>
      </c>
      <c r="D423" s="546"/>
      <c r="E423" s="48"/>
      <c r="F423" s="481">
        <v>0.0</v>
      </c>
      <c r="G423" s="547"/>
      <c r="H423" s="48"/>
      <c r="I423" s="481">
        <v>0.0</v>
      </c>
      <c r="J423" s="480"/>
      <c r="K423" s="48"/>
      <c r="L423" s="484">
        <v>0.0</v>
      </c>
      <c r="M423" s="480"/>
      <c r="N423" s="484">
        <f t="shared" si="114"/>
        <v>0</v>
      </c>
      <c r="O423" s="480"/>
      <c r="P423" s="48"/>
      <c r="Q423" s="484">
        <v>0.0</v>
      </c>
      <c r="R423" s="480"/>
      <c r="S423" s="484">
        <f t="shared" si="115"/>
        <v>0</v>
      </c>
      <c r="T423" s="48"/>
      <c r="X423" s="48"/>
      <c r="Y423" s="48"/>
      <c r="Z423" s="48"/>
      <c r="AA423" s="48"/>
      <c r="AB423" s="48"/>
      <c r="AC423" s="48"/>
      <c r="AD423" s="48"/>
      <c r="AE423" s="48"/>
      <c r="AF423" s="48"/>
      <c r="AG423" s="48"/>
      <c r="AH423" s="48"/>
      <c r="AI423" s="48"/>
      <c r="AJ423" s="48"/>
      <c r="AK423" s="48"/>
      <c r="AL423" s="48"/>
      <c r="AM423" s="48"/>
      <c r="AN423" s="48"/>
    </row>
    <row r="424" ht="20.25" hidden="1" customHeight="1">
      <c r="A424" s="5" t="str">
        <f t="shared" si="87"/>
        <v>Pièces[...]</v>
      </c>
      <c r="B424" s="48" t="s">
        <v>178</v>
      </c>
      <c r="C424" s="559" t="s">
        <v>56</v>
      </c>
      <c r="D424" s="546"/>
      <c r="E424" s="48"/>
      <c r="F424" s="481">
        <v>0.0</v>
      </c>
      <c r="G424" s="547"/>
      <c r="H424" s="48"/>
      <c r="I424" s="481">
        <v>0.0</v>
      </c>
      <c r="J424" s="480"/>
      <c r="K424" s="48"/>
      <c r="L424" s="484">
        <v>0.0</v>
      </c>
      <c r="M424" s="480"/>
      <c r="N424" s="484">
        <f t="shared" si="114"/>
        <v>0</v>
      </c>
      <c r="O424" s="480"/>
      <c r="P424" s="48"/>
      <c r="Q424" s="484">
        <v>0.0</v>
      </c>
      <c r="R424" s="480"/>
      <c r="S424" s="484">
        <f t="shared" si="115"/>
        <v>0</v>
      </c>
      <c r="T424" s="48"/>
      <c r="X424" s="48"/>
      <c r="Y424" s="48"/>
      <c r="Z424" s="48"/>
      <c r="AA424" s="48"/>
      <c r="AB424" s="48"/>
      <c r="AC424" s="48"/>
      <c r="AD424" s="48"/>
      <c r="AE424" s="48"/>
      <c r="AF424" s="48"/>
      <c r="AG424" s="48"/>
      <c r="AH424" s="48"/>
      <c r="AI424" s="48"/>
      <c r="AJ424" s="48"/>
      <c r="AK424" s="48"/>
      <c r="AL424" s="48"/>
      <c r="AM424" s="48"/>
      <c r="AN424" s="48"/>
    </row>
    <row r="425" ht="18.0" customHeight="1">
      <c r="A425" s="5"/>
      <c r="B425" s="48"/>
      <c r="C425" s="552" t="s">
        <v>142</v>
      </c>
      <c r="D425" s="553" t="s">
        <v>225</v>
      </c>
      <c r="E425" s="554" t="str">
        <f>F425/F$314</f>
        <v>#DIV/0!</v>
      </c>
      <c r="F425" s="555">
        <f>+SUM(F407:F424)</f>
        <v>0</v>
      </c>
      <c r="G425" s="556" t="s">
        <v>225</v>
      </c>
      <c r="H425" s="554" t="str">
        <f>I425/I$314</f>
        <v>#DIV/0!</v>
      </c>
      <c r="I425" s="555">
        <f>+SUM(I407:I424)</f>
        <v>0</v>
      </c>
      <c r="J425" s="556" t="s">
        <v>225</v>
      </c>
      <c r="K425" s="554" t="str">
        <f>L425/L$314</f>
        <v>#DIV/0!</v>
      </c>
      <c r="L425" s="555">
        <f>+SUM(L407:L424)</f>
        <v>41646.05</v>
      </c>
      <c r="M425" s="557"/>
      <c r="N425" s="555">
        <f>+SUM(N407:N424)</f>
        <v>41646.05</v>
      </c>
      <c r="O425" s="556" t="s">
        <v>225</v>
      </c>
      <c r="P425" s="554" t="str">
        <f>Q425/Q$314</f>
        <v>#DIV/0!</v>
      </c>
      <c r="Q425" s="555">
        <f>+SUM(Q407:Q424)</f>
        <v>46570.29</v>
      </c>
      <c r="R425" s="558"/>
      <c r="S425" s="555">
        <f>+SUM(S407:S424)</f>
        <v>-4924.24</v>
      </c>
      <c r="T425" s="48"/>
      <c r="U425" s="48"/>
      <c r="V425" s="48"/>
      <c r="W425" s="48"/>
      <c r="X425" s="48"/>
      <c r="Y425" s="48"/>
      <c r="Z425" s="48"/>
      <c r="AA425" s="48"/>
      <c r="AB425" s="48"/>
      <c r="AC425" s="48"/>
      <c r="AD425" s="48"/>
      <c r="AE425" s="48"/>
      <c r="AF425" s="48"/>
      <c r="AG425" s="48"/>
      <c r="AH425" s="48"/>
      <c r="AI425" s="48"/>
      <c r="AJ425" s="48"/>
      <c r="AK425" s="48"/>
      <c r="AL425" s="48"/>
      <c r="AM425" s="48"/>
      <c r="AN425" s="48"/>
    </row>
    <row r="426" ht="15.75" customHeight="1">
      <c r="B426" s="3"/>
      <c r="C426" s="471"/>
      <c r="D426" s="549"/>
      <c r="E426" s="564"/>
      <c r="F426" s="484"/>
      <c r="G426" s="550"/>
      <c r="H426" s="564"/>
      <c r="I426" s="484"/>
      <c r="J426" s="471"/>
      <c r="K426" s="564"/>
      <c r="L426" s="476"/>
      <c r="M426" s="471"/>
      <c r="N426" s="476"/>
      <c r="O426" s="471"/>
      <c r="P426" s="564"/>
      <c r="Q426" s="476"/>
      <c r="R426" s="471"/>
      <c r="S426" s="476"/>
      <c r="T426" s="48"/>
      <c r="U426" s="48"/>
      <c r="V426" s="48"/>
      <c r="W426" s="48"/>
      <c r="X426" s="48"/>
      <c r="Y426" s="48"/>
      <c r="Z426" s="48"/>
      <c r="AA426" s="48"/>
      <c r="AB426" s="48"/>
      <c r="AC426" s="48"/>
      <c r="AD426" s="48"/>
      <c r="AE426" s="48"/>
      <c r="AF426" s="48"/>
      <c r="AG426" s="48"/>
      <c r="AH426" s="48"/>
      <c r="AI426" s="48"/>
      <c r="AJ426" s="48"/>
      <c r="AK426" s="48"/>
      <c r="AL426" s="48"/>
      <c r="AM426" s="48"/>
      <c r="AN426" s="48"/>
    </row>
    <row r="427" ht="18.0" customHeight="1">
      <c r="A427" s="5"/>
      <c r="B427" s="48"/>
      <c r="C427" s="552" t="s">
        <v>143</v>
      </c>
      <c r="D427" s="553" t="s">
        <v>225</v>
      </c>
      <c r="E427" s="554" t="str">
        <f>F427/F$314</f>
        <v>#DIV/0!</v>
      </c>
      <c r="F427" s="555">
        <f>F406+F425</f>
        <v>0</v>
      </c>
      <c r="G427" s="556" t="s">
        <v>225</v>
      </c>
      <c r="H427" s="554" t="str">
        <f>I427/I$314</f>
        <v>#DIV/0!</v>
      </c>
      <c r="I427" s="555">
        <f>I406+I425</f>
        <v>0</v>
      </c>
      <c r="J427" s="556" t="s">
        <v>225</v>
      </c>
      <c r="K427" s="554" t="str">
        <f>L427/L$314</f>
        <v>#DIV/0!</v>
      </c>
      <c r="L427" s="555">
        <f>L406+L425</f>
        <v>139827.64</v>
      </c>
      <c r="M427" s="557"/>
      <c r="N427" s="555">
        <f t="shared" ref="N427:N429" si="116">L427-F427</f>
        <v>139827.64</v>
      </c>
      <c r="O427" s="556" t="s">
        <v>225</v>
      </c>
      <c r="P427" s="554" t="str">
        <f>Q427/Q$314</f>
        <v>#DIV/0!</v>
      </c>
      <c r="Q427" s="555">
        <f>Q406+Q425</f>
        <v>133628.13</v>
      </c>
      <c r="R427" s="558"/>
      <c r="S427" s="555">
        <f>L427-Q427</f>
        <v>6199.51</v>
      </c>
      <c r="T427" s="48"/>
      <c r="U427" s="48"/>
      <c r="V427" s="48"/>
      <c r="W427" s="48"/>
      <c r="X427" s="48"/>
      <c r="Y427" s="48"/>
      <c r="Z427" s="48"/>
      <c r="AA427" s="48"/>
      <c r="AB427" s="48"/>
      <c r="AC427" s="48"/>
      <c r="AD427" s="48"/>
      <c r="AE427" s="48"/>
      <c r="AF427" s="48"/>
      <c r="AG427" s="48"/>
      <c r="AH427" s="48"/>
      <c r="AI427" s="48"/>
      <c r="AJ427" s="48"/>
      <c r="AK427" s="48"/>
      <c r="AL427" s="48"/>
      <c r="AM427" s="48"/>
      <c r="AN427" s="48"/>
    </row>
    <row r="428" ht="15.75" customHeight="1">
      <c r="B428" s="3"/>
      <c r="C428" s="480"/>
      <c r="D428" s="546"/>
      <c r="E428" s="48"/>
      <c r="F428" s="484"/>
      <c r="G428" s="547"/>
      <c r="H428" s="48"/>
      <c r="I428" s="484"/>
      <c r="J428" s="480"/>
      <c r="K428" s="48"/>
      <c r="L428" s="484"/>
      <c r="M428" s="480"/>
      <c r="N428" s="484">
        <f t="shared" si="116"/>
        <v>0</v>
      </c>
      <c r="O428" s="480"/>
      <c r="P428" s="48"/>
      <c r="Q428" s="484"/>
      <c r="R428" s="480"/>
      <c r="S428" s="484"/>
      <c r="T428" s="48"/>
      <c r="U428" s="48"/>
      <c r="V428" s="48"/>
      <c r="W428" s="48"/>
      <c r="X428" s="48"/>
      <c r="Y428" s="48"/>
      <c r="Z428" s="48"/>
      <c r="AA428" s="48"/>
      <c r="AB428" s="48"/>
      <c r="AC428" s="48"/>
      <c r="AD428" s="48"/>
      <c r="AE428" s="48"/>
      <c r="AF428" s="48"/>
      <c r="AG428" s="48"/>
      <c r="AH428" s="48"/>
      <c r="AI428" s="48"/>
      <c r="AJ428" s="48"/>
      <c r="AK428" s="48"/>
      <c r="AL428" s="48"/>
      <c r="AM428" s="48"/>
      <c r="AN428" s="48"/>
    </row>
    <row r="429" ht="18.0" customHeight="1">
      <c r="A429" s="5"/>
      <c r="B429" s="48"/>
      <c r="C429" s="579" t="s">
        <v>150</v>
      </c>
      <c r="D429" s="580"/>
      <c r="E429" s="581"/>
      <c r="F429" s="582">
        <f>F390-F427</f>
        <v>0</v>
      </c>
      <c r="G429" s="583"/>
      <c r="H429" s="581"/>
      <c r="I429" s="582">
        <f>I390-I427</f>
        <v>0</v>
      </c>
      <c r="J429" s="583"/>
      <c r="K429" s="581"/>
      <c r="L429" s="582">
        <f>L390-L427</f>
        <v>158942.94</v>
      </c>
      <c r="M429" s="584"/>
      <c r="N429" s="582">
        <f t="shared" si="116"/>
        <v>158942.94</v>
      </c>
      <c r="O429" s="583"/>
      <c r="P429" s="581"/>
      <c r="Q429" s="582">
        <f>Q390-Q427</f>
        <v>161558.85</v>
      </c>
      <c r="R429" s="585"/>
      <c r="S429" s="582">
        <f>L429-Q429</f>
        <v>-2615.91</v>
      </c>
      <c r="T429" s="48"/>
      <c r="U429" s="48"/>
      <c r="V429" s="48"/>
      <c r="W429" s="48"/>
      <c r="X429" s="48"/>
      <c r="Y429" s="48"/>
      <c r="Z429" s="48"/>
      <c r="AA429" s="48"/>
      <c r="AB429" s="48"/>
      <c r="AC429" s="48"/>
      <c r="AD429" s="48"/>
      <c r="AE429" s="48"/>
      <c r="AF429" s="48"/>
      <c r="AG429" s="48"/>
      <c r="AH429" s="48"/>
      <c r="AI429" s="48"/>
      <c r="AJ429" s="48"/>
      <c r="AK429" s="48"/>
      <c r="AL429" s="48"/>
      <c r="AM429" s="48"/>
      <c r="AN429" s="48"/>
    </row>
    <row r="430" ht="15.75" customHeight="1">
      <c r="B430" s="3"/>
      <c r="C430" s="11"/>
      <c r="D430" s="546"/>
      <c r="E430" s="48"/>
      <c r="F430" s="503"/>
      <c r="G430" s="546"/>
      <c r="H430" s="48"/>
      <c r="I430" s="503"/>
      <c r="J430" s="11"/>
      <c r="K430" s="11"/>
      <c r="L430" s="503"/>
      <c r="M430" s="11"/>
      <c r="N430" s="503"/>
      <c r="O430" s="11"/>
      <c r="P430" s="11"/>
      <c r="Q430" s="503"/>
      <c r="R430" s="11"/>
      <c r="S430" s="503"/>
      <c r="T430" s="48"/>
      <c r="U430" s="48"/>
      <c r="V430" s="48"/>
      <c r="W430" s="48"/>
      <c r="X430" s="48"/>
      <c r="Y430" s="48"/>
      <c r="Z430" s="48"/>
      <c r="AA430" s="48"/>
      <c r="AB430" s="48"/>
      <c r="AC430" s="48"/>
      <c r="AD430" s="48"/>
      <c r="AE430" s="48"/>
      <c r="AF430" s="48"/>
      <c r="AG430" s="48"/>
      <c r="AH430" s="48"/>
      <c r="AI430" s="48"/>
      <c r="AJ430" s="48"/>
      <c r="AK430" s="48"/>
      <c r="AL430" s="48"/>
      <c r="AM430" s="48"/>
      <c r="AN430" s="48"/>
    </row>
    <row r="431" ht="15.75" customHeight="1">
      <c r="B431" s="3"/>
      <c r="C431" s="11"/>
      <c r="D431" s="546"/>
      <c r="E431" s="48"/>
      <c r="F431" s="503"/>
      <c r="G431" s="546"/>
      <c r="H431" s="48"/>
      <c r="I431" s="503"/>
      <c r="J431" s="11"/>
      <c r="K431" s="11"/>
      <c r="L431" s="503"/>
      <c r="M431" s="11"/>
      <c r="N431" s="503"/>
      <c r="O431" s="11"/>
      <c r="P431" s="11"/>
      <c r="Q431" s="503"/>
      <c r="R431" s="11"/>
      <c r="S431" s="503"/>
      <c r="T431" s="48"/>
      <c r="U431" s="48"/>
      <c r="V431" s="48"/>
      <c r="W431" s="48"/>
      <c r="X431" s="48"/>
      <c r="Y431" s="48"/>
      <c r="Z431" s="48"/>
      <c r="AA431" s="48"/>
      <c r="AB431" s="48"/>
      <c r="AC431" s="48"/>
      <c r="AD431" s="48"/>
      <c r="AE431" s="48"/>
      <c r="AF431" s="48"/>
      <c r="AG431" s="48"/>
      <c r="AH431" s="48"/>
      <c r="AI431" s="48"/>
      <c r="AJ431" s="48"/>
      <c r="AK431" s="48"/>
      <c r="AL431" s="48"/>
      <c r="AM431" s="48"/>
      <c r="AN431" s="48"/>
    </row>
    <row r="432" ht="34.5" customHeight="1">
      <c r="B432" s="3"/>
      <c r="C432" s="450" t="str">
        <f>C1</f>
        <v>Ste-Marie Auto</v>
      </c>
      <c r="D432" s="451"/>
      <c r="E432" s="452"/>
      <c r="F432" s="451"/>
      <c r="G432" s="451"/>
      <c r="H432" s="450"/>
      <c r="I432" s="451"/>
      <c r="J432" s="450"/>
      <c r="K432" s="453" t="s">
        <v>1025</v>
      </c>
      <c r="L432" s="451"/>
      <c r="M432" s="451"/>
      <c r="N432" s="454"/>
      <c r="O432" s="450"/>
      <c r="P432" s="451"/>
      <c r="Q432" s="450"/>
      <c r="R432" s="451"/>
      <c r="S432" s="455" t="str">
        <f>$S$1</f>
        <v>Réalisé  Q2 2026</v>
      </c>
      <c r="T432" s="40"/>
      <c r="U432" s="40"/>
      <c r="V432" s="48"/>
      <c r="W432" s="40"/>
      <c r="X432" s="40"/>
      <c r="Y432" s="40"/>
      <c r="Z432" s="40"/>
      <c r="AA432" s="40"/>
      <c r="AB432" s="40"/>
      <c r="AC432" s="40"/>
      <c r="AD432" s="40"/>
      <c r="AE432" s="40"/>
      <c r="AF432" s="40"/>
      <c r="AG432" s="40"/>
      <c r="AH432" s="40"/>
      <c r="AI432" s="40"/>
      <c r="AJ432" s="40"/>
      <c r="AK432" s="40"/>
      <c r="AL432" s="40"/>
      <c r="AM432" s="40"/>
      <c r="AN432" s="40"/>
    </row>
    <row r="433" ht="15.75" customHeight="1">
      <c r="B433" s="3"/>
      <c r="C433" s="39"/>
      <c r="D433" s="40"/>
      <c r="E433" s="40"/>
      <c r="F433" s="40"/>
      <c r="G433" s="40"/>
      <c r="H433" s="40"/>
      <c r="I433" s="40"/>
      <c r="J433" s="40"/>
      <c r="K433" s="40"/>
      <c r="L433" s="40"/>
      <c r="M433" s="40"/>
      <c r="N433" s="40"/>
      <c r="O433" s="40"/>
      <c r="P433" s="40"/>
      <c r="Q433" s="40"/>
      <c r="R433" s="40"/>
      <c r="S433" s="40"/>
      <c r="T433" s="40"/>
      <c r="U433" s="40"/>
      <c r="V433" s="48"/>
      <c r="W433" s="40"/>
      <c r="X433" s="40"/>
      <c r="Y433" s="40"/>
      <c r="Z433" s="40"/>
      <c r="AA433" s="40"/>
      <c r="AB433" s="40"/>
      <c r="AC433" s="40"/>
      <c r="AD433" s="40"/>
      <c r="AE433" s="40"/>
      <c r="AF433" s="40"/>
      <c r="AG433" s="40"/>
      <c r="AH433" s="40"/>
      <c r="AI433" s="40"/>
      <c r="AJ433" s="40"/>
      <c r="AK433" s="40"/>
      <c r="AL433" s="40"/>
      <c r="AM433" s="40"/>
      <c r="AN433" s="40"/>
    </row>
    <row r="434" ht="15.75" customHeight="1">
      <c r="B434" s="3"/>
      <c r="C434" s="461"/>
      <c r="D434" s="462" t="s">
        <v>774</v>
      </c>
      <c r="E434" s="44"/>
      <c r="F434" s="45"/>
      <c r="G434" s="463"/>
      <c r="H434" s="44"/>
      <c r="I434" s="45"/>
      <c r="J434" s="463" t="s">
        <v>775</v>
      </c>
      <c r="K434" s="44"/>
      <c r="L434" s="45"/>
      <c r="M434" s="463"/>
      <c r="N434" s="45"/>
      <c r="O434" s="462" t="s">
        <v>777</v>
      </c>
      <c r="P434" s="44"/>
      <c r="Q434" s="45"/>
      <c r="R434" s="463" t="s">
        <v>1026</v>
      </c>
      <c r="S434" s="45"/>
      <c r="T434" s="40"/>
      <c r="U434" s="40"/>
      <c r="V434" s="48"/>
      <c r="W434" s="40"/>
      <c r="X434" s="40"/>
      <c r="Y434" s="40"/>
      <c r="Z434" s="40"/>
      <c r="AA434" s="40"/>
      <c r="AB434" s="40"/>
      <c r="AC434" s="40"/>
      <c r="AD434" s="40"/>
      <c r="AE434" s="40"/>
      <c r="AF434" s="40"/>
      <c r="AG434" s="40"/>
      <c r="AH434" s="40"/>
      <c r="AI434" s="40"/>
      <c r="AJ434" s="40"/>
      <c r="AK434" s="40"/>
      <c r="AL434" s="40"/>
      <c r="AM434" s="40"/>
      <c r="AN434" s="40"/>
    </row>
    <row r="435" ht="15.75" customHeight="1">
      <c r="A435" s="5" t="s">
        <v>193</v>
      </c>
      <c r="B435" s="48" t="s">
        <v>1025</v>
      </c>
      <c r="C435" s="655"/>
      <c r="D435" s="41" t="s">
        <v>222</v>
      </c>
      <c r="E435" s="41" t="s">
        <v>223</v>
      </c>
      <c r="F435" s="611" t="s">
        <v>95</v>
      </c>
      <c r="G435" s="610"/>
      <c r="H435" s="41"/>
      <c r="I435" s="611"/>
      <c r="J435" s="610" t="s">
        <v>221</v>
      </c>
      <c r="K435" s="41" t="s">
        <v>222</v>
      </c>
      <c r="L435" s="611" t="s">
        <v>95</v>
      </c>
      <c r="M435" s="610" t="s">
        <v>221</v>
      </c>
      <c r="N435" s="611" t="s">
        <v>908</v>
      </c>
      <c r="O435" s="41" t="s">
        <v>221</v>
      </c>
      <c r="P435" s="41" t="s">
        <v>222</v>
      </c>
      <c r="Q435" s="611" t="s">
        <v>95</v>
      </c>
      <c r="R435" s="610" t="s">
        <v>909</v>
      </c>
      <c r="S435" s="611" t="s">
        <v>95</v>
      </c>
      <c r="T435" s="40"/>
      <c r="U435" s="40"/>
      <c r="V435" s="48"/>
      <c r="W435" s="40"/>
      <c r="X435" s="40"/>
      <c r="Y435" s="40"/>
      <c r="Z435" s="40"/>
      <c r="AA435" s="40"/>
      <c r="AB435" s="40"/>
      <c r="AC435" s="40"/>
      <c r="AD435" s="40"/>
      <c r="AE435" s="40"/>
      <c r="AF435" s="40"/>
      <c r="AG435" s="40"/>
      <c r="AH435" s="40"/>
      <c r="AI435" s="40"/>
      <c r="AJ435" s="40"/>
      <c r="AK435" s="40"/>
      <c r="AL435" s="40"/>
      <c r="AM435" s="40"/>
      <c r="AN435" s="40"/>
    </row>
    <row r="436" ht="15.75" customHeight="1">
      <c r="A436" s="5"/>
      <c r="B436" s="48" t="s">
        <v>1025</v>
      </c>
      <c r="C436" s="480"/>
      <c r="D436" s="41"/>
      <c r="E436" s="41"/>
      <c r="F436" s="611"/>
      <c r="G436" s="41"/>
      <c r="H436" s="41"/>
      <c r="I436" s="41"/>
      <c r="J436" s="610"/>
      <c r="K436" s="41"/>
      <c r="L436" s="611"/>
      <c r="M436" s="610"/>
      <c r="N436" s="611"/>
      <c r="O436" s="610"/>
      <c r="P436" s="41"/>
      <c r="Q436" s="611"/>
      <c r="R436" s="610"/>
      <c r="S436" s="611"/>
      <c r="T436" s="40"/>
      <c r="U436" s="40"/>
      <c r="V436" s="48"/>
      <c r="W436" s="40"/>
      <c r="X436" s="40"/>
      <c r="Y436" s="40"/>
      <c r="Z436" s="40"/>
      <c r="AA436" s="40"/>
      <c r="AB436" s="40"/>
      <c r="AC436" s="40"/>
      <c r="AD436" s="40"/>
      <c r="AE436" s="40"/>
      <c r="AF436" s="40"/>
      <c r="AG436" s="40"/>
      <c r="AH436" s="40"/>
      <c r="AI436" s="40"/>
      <c r="AJ436" s="40"/>
      <c r="AK436" s="40"/>
      <c r="AL436" s="40"/>
      <c r="AM436" s="40"/>
      <c r="AN436" s="40"/>
    </row>
    <row r="437" ht="15.75" customHeight="1">
      <c r="A437" s="5"/>
      <c r="B437" s="48" t="s">
        <v>1025</v>
      </c>
      <c r="C437" s="480" t="s">
        <v>1027</v>
      </c>
      <c r="D437" s="483">
        <v>0.0</v>
      </c>
      <c r="E437" s="483">
        <v>0.0</v>
      </c>
      <c r="F437" s="483">
        <v>0.0</v>
      </c>
      <c r="G437" s="649"/>
      <c r="H437" s="483"/>
      <c r="I437" s="483"/>
      <c r="J437" s="486">
        <v>595.0</v>
      </c>
      <c r="K437" s="483">
        <v>97132.5</v>
      </c>
      <c r="L437" s="484">
        <v>73227.25</v>
      </c>
      <c r="M437" s="515">
        <f>IFERROR((K437-E437)/E437,0)</f>
        <v>0</v>
      </c>
      <c r="N437" s="484">
        <f>L437-F437</f>
        <v>73227.25</v>
      </c>
      <c r="O437" s="486">
        <v>0.0</v>
      </c>
      <c r="P437" s="483">
        <v>0.0</v>
      </c>
      <c r="Q437" s="484">
        <v>0.0</v>
      </c>
      <c r="R437" s="515">
        <f>IF(O437=0,0,J437/O437)</f>
        <v>0</v>
      </c>
      <c r="S437" s="484">
        <f>L437-Q437</f>
        <v>73227.25</v>
      </c>
      <c r="T437" s="40"/>
      <c r="U437" s="40"/>
      <c r="V437" s="48"/>
      <c r="W437" s="40"/>
      <c r="X437" s="40"/>
      <c r="Y437" s="40"/>
      <c r="Z437" s="40"/>
      <c r="AA437" s="40"/>
      <c r="AB437" s="40"/>
      <c r="AC437" s="40"/>
      <c r="AD437" s="40"/>
      <c r="AE437" s="40"/>
      <c r="AF437" s="40"/>
      <c r="AG437" s="40"/>
      <c r="AH437" s="40"/>
      <c r="AI437" s="40"/>
      <c r="AJ437" s="40"/>
      <c r="AK437" s="40"/>
      <c r="AL437" s="40"/>
      <c r="AM437" s="40"/>
      <c r="AN437" s="40"/>
    </row>
    <row r="438" ht="15.75" customHeight="1">
      <c r="A438" s="5"/>
      <c r="B438" s="48" t="s">
        <v>1025</v>
      </c>
      <c r="C438" s="480" t="s">
        <v>163</v>
      </c>
      <c r="D438" s="41"/>
      <c r="E438" s="601"/>
      <c r="F438" s="516">
        <f>IFERROR(F437/E437,0)</f>
        <v>0</v>
      </c>
      <c r="G438" s="480"/>
      <c r="H438" s="601"/>
      <c r="I438" s="516"/>
      <c r="J438" s="486"/>
      <c r="K438" s="48"/>
      <c r="L438" s="516">
        <f>IFERROR(L437/K437,0)</f>
        <v>0.7538903045</v>
      </c>
      <c r="M438" s="515"/>
      <c r="N438" s="484">
        <f>IFERROR(N437/M437,0)</f>
        <v>0</v>
      </c>
      <c r="O438" s="486"/>
      <c r="P438" s="48"/>
      <c r="Q438" s="516">
        <f>IFERROR(Q437/P437,0)</f>
        <v>0</v>
      </c>
      <c r="R438" s="486"/>
      <c r="S438" s="484"/>
      <c r="T438" s="40"/>
      <c r="U438" s="40"/>
      <c r="V438" s="48"/>
      <c r="W438" s="40"/>
      <c r="X438" s="40"/>
      <c r="Y438" s="40"/>
      <c r="Z438" s="40"/>
      <c r="AA438" s="40"/>
      <c r="AB438" s="40"/>
      <c r="AC438" s="40"/>
      <c r="AD438" s="40"/>
      <c r="AE438" s="40"/>
      <c r="AF438" s="40"/>
      <c r="AG438" s="40"/>
      <c r="AH438" s="40"/>
      <c r="AI438" s="40"/>
      <c r="AJ438" s="40"/>
      <c r="AK438" s="40"/>
      <c r="AL438" s="40"/>
      <c r="AM438" s="40"/>
      <c r="AN438" s="40"/>
    </row>
    <row r="439" ht="15.75" customHeight="1">
      <c r="A439" s="5"/>
      <c r="B439" s="48" t="s">
        <v>1025</v>
      </c>
      <c r="C439" s="480"/>
      <c r="D439" s="41"/>
      <c r="E439" s="650"/>
      <c r="F439" s="590"/>
      <c r="G439" s="610"/>
      <c r="H439" s="650"/>
      <c r="I439" s="590"/>
      <c r="J439" s="610"/>
      <c r="K439" s="41"/>
      <c r="L439" s="611"/>
      <c r="M439" s="610"/>
      <c r="N439" s="611"/>
      <c r="O439" s="610"/>
      <c r="P439" s="41"/>
      <c r="Q439" s="611"/>
      <c r="R439" s="589"/>
      <c r="S439" s="590"/>
      <c r="T439" s="40"/>
      <c r="U439" s="40"/>
      <c r="V439" s="48"/>
      <c r="W439" s="40"/>
      <c r="X439" s="40"/>
      <c r="Y439" s="40"/>
      <c r="Z439" s="40"/>
      <c r="AA439" s="40"/>
      <c r="AB439" s="40"/>
      <c r="AC439" s="40"/>
      <c r="AD439" s="40"/>
      <c r="AE439" s="40"/>
      <c r="AF439" s="40"/>
      <c r="AG439" s="40"/>
      <c r="AH439" s="40"/>
      <c r="AI439" s="40"/>
      <c r="AJ439" s="40"/>
      <c r="AK439" s="40"/>
      <c r="AL439" s="40"/>
      <c r="AM439" s="40"/>
      <c r="AN439" s="40"/>
    </row>
    <row r="440" ht="15.75" customHeight="1">
      <c r="A440" s="5"/>
      <c r="B440" s="48" t="s">
        <v>1025</v>
      </c>
      <c r="C440" s="466" t="s">
        <v>1028</v>
      </c>
      <c r="D440" s="522">
        <v>0.0</v>
      </c>
      <c r="E440" s="483">
        <v>0.0</v>
      </c>
      <c r="F440" s="483">
        <v>0.0</v>
      </c>
      <c r="G440" s="651"/>
      <c r="H440" s="483"/>
      <c r="I440" s="483"/>
      <c r="J440" s="252">
        <v>1287.0</v>
      </c>
      <c r="K440" s="522">
        <v>198990.41999999998</v>
      </c>
      <c r="L440" s="523">
        <v>151538.84999999998</v>
      </c>
      <c r="M440" s="624">
        <f>IFERROR((K440-E440)/E440,0)</f>
        <v>0</v>
      </c>
      <c r="N440" s="523">
        <f>L440-F440</f>
        <v>151538.85</v>
      </c>
      <c r="O440" s="252">
        <v>1763.0</v>
      </c>
      <c r="P440" s="522">
        <v>259698.5</v>
      </c>
      <c r="Q440" s="523">
        <v>198306.34999999998</v>
      </c>
      <c r="R440" s="515">
        <f>IF(O440=0,0,J440/O440)</f>
        <v>0.7300056721</v>
      </c>
      <c r="S440" s="484">
        <f>L440-Q440</f>
        <v>-46767.5</v>
      </c>
      <c r="T440" s="40"/>
      <c r="U440" s="40"/>
      <c r="V440" s="48"/>
      <c r="W440" s="40"/>
      <c r="X440" s="40"/>
      <c r="Y440" s="40"/>
      <c r="Z440" s="40"/>
      <c r="AA440" s="40"/>
      <c r="AB440" s="40"/>
      <c r="AC440" s="40"/>
      <c r="AD440" s="40"/>
      <c r="AE440" s="40"/>
      <c r="AF440" s="40"/>
      <c r="AG440" s="40"/>
      <c r="AH440" s="40"/>
      <c r="AI440" s="40"/>
      <c r="AJ440" s="40"/>
      <c r="AK440" s="40"/>
      <c r="AL440" s="40"/>
      <c r="AM440" s="40"/>
      <c r="AN440" s="40"/>
    </row>
    <row r="441" ht="15.75" customHeight="1">
      <c r="A441" s="5"/>
      <c r="B441" s="48" t="s">
        <v>1025</v>
      </c>
      <c r="C441" s="480" t="s">
        <v>163</v>
      </c>
      <c r="D441" s="48"/>
      <c r="E441" s="601"/>
      <c r="F441" s="516">
        <f>IFERROR(F440/E440,0)</f>
        <v>0</v>
      </c>
      <c r="G441" s="480"/>
      <c r="H441" s="601"/>
      <c r="I441" s="516"/>
      <c r="J441" s="486"/>
      <c r="K441" s="48"/>
      <c r="L441" s="516">
        <f>IFERROR(L440/K440,0)</f>
        <v>0.7615384198</v>
      </c>
      <c r="M441" s="515"/>
      <c r="N441" s="484">
        <f>IFERROR(N440/M440,0)</f>
        <v>0</v>
      </c>
      <c r="O441" s="486"/>
      <c r="P441" s="48"/>
      <c r="Q441" s="516">
        <f>IFERROR(Q440/P440,0)</f>
        <v>0.7636022156</v>
      </c>
      <c r="R441" s="486"/>
      <c r="S441" s="484"/>
      <c r="T441" s="40"/>
      <c r="U441" s="40"/>
      <c r="V441" s="48"/>
      <c r="W441" s="40"/>
      <c r="X441" s="40"/>
      <c r="Y441" s="40"/>
      <c r="Z441" s="40"/>
      <c r="AA441" s="40"/>
      <c r="AB441" s="40"/>
      <c r="AC441" s="40"/>
      <c r="AD441" s="40"/>
      <c r="AE441" s="40"/>
      <c r="AF441" s="40"/>
      <c r="AG441" s="40"/>
      <c r="AH441" s="40"/>
      <c r="AI441" s="40"/>
      <c r="AJ441" s="40"/>
      <c r="AK441" s="40"/>
      <c r="AL441" s="40"/>
      <c r="AM441" s="40"/>
      <c r="AN441" s="40"/>
    </row>
    <row r="442" ht="15.75" customHeight="1">
      <c r="A442" s="5"/>
      <c r="B442" s="48" t="s">
        <v>1025</v>
      </c>
      <c r="C442" s="471"/>
      <c r="D442" s="564"/>
      <c r="E442" s="625"/>
      <c r="F442" s="614"/>
      <c r="G442" s="471"/>
      <c r="H442" s="625"/>
      <c r="I442" s="614"/>
      <c r="J442" s="622"/>
      <c r="K442" s="652"/>
      <c r="L442" s="614"/>
      <c r="M442" s="545"/>
      <c r="N442" s="476"/>
      <c r="O442" s="622"/>
      <c r="P442" s="652"/>
      <c r="Q442" s="614"/>
      <c r="R442" s="622"/>
      <c r="S442" s="476"/>
      <c r="T442" s="40"/>
      <c r="U442" s="40"/>
      <c r="V442" s="48"/>
      <c r="W442" s="40"/>
      <c r="X442" s="40"/>
      <c r="Y442" s="40"/>
      <c r="Z442" s="40"/>
      <c r="AA442" s="40"/>
      <c r="AB442" s="40"/>
      <c r="AC442" s="40"/>
      <c r="AD442" s="40"/>
      <c r="AE442" s="40"/>
      <c r="AF442" s="40"/>
      <c r="AG442" s="40"/>
      <c r="AH442" s="40"/>
      <c r="AI442" s="40"/>
      <c r="AJ442" s="40"/>
      <c r="AK442" s="40"/>
      <c r="AL442" s="40"/>
      <c r="AM442" s="40"/>
      <c r="AN442" s="40"/>
    </row>
    <row r="443" ht="15.75" customHeight="1">
      <c r="A443" s="5"/>
      <c r="B443" s="48" t="s">
        <v>1025</v>
      </c>
      <c r="C443" s="466" t="s">
        <v>1029</v>
      </c>
      <c r="D443" s="522">
        <v>0.0</v>
      </c>
      <c r="E443" s="483">
        <v>0.0</v>
      </c>
      <c r="F443" s="483">
        <v>0.0</v>
      </c>
      <c r="G443" s="252"/>
      <c r="H443" s="483"/>
      <c r="I443" s="483"/>
      <c r="J443" s="252">
        <v>4.0</v>
      </c>
      <c r="K443" s="483">
        <v>540.0</v>
      </c>
      <c r="L443" s="484">
        <v>373.93000000000006</v>
      </c>
      <c r="M443" s="515">
        <f>IFERROR((K443-E443)/E443,0)</f>
        <v>0</v>
      </c>
      <c r="N443" s="523">
        <f>L443-F443</f>
        <v>373.93</v>
      </c>
      <c r="O443" s="252">
        <v>25.0</v>
      </c>
      <c r="P443" s="483">
        <v>2890.0</v>
      </c>
      <c r="Q443" s="484">
        <v>1883.0</v>
      </c>
      <c r="R443" s="515">
        <f>IF(O443=0,0,J443/O443)</f>
        <v>0.16</v>
      </c>
      <c r="S443" s="484">
        <f>L443-Q443</f>
        <v>-1509.07</v>
      </c>
      <c r="T443" s="40"/>
      <c r="U443" s="40"/>
      <c r="V443" s="48"/>
      <c r="W443" s="40"/>
      <c r="X443" s="40"/>
      <c r="Y443" s="40"/>
      <c r="Z443" s="40"/>
      <c r="AA443" s="40"/>
      <c r="AB443" s="40"/>
      <c r="AC443" s="40"/>
      <c r="AD443" s="40"/>
      <c r="AE443" s="40"/>
      <c r="AF443" s="40"/>
      <c r="AG443" s="40"/>
      <c r="AH443" s="40"/>
      <c r="AI443" s="40"/>
      <c r="AJ443" s="40"/>
      <c r="AK443" s="40"/>
      <c r="AL443" s="40"/>
      <c r="AM443" s="40"/>
      <c r="AN443" s="40"/>
    </row>
    <row r="444" ht="15.75" customHeight="1">
      <c r="A444" s="5"/>
      <c r="B444" s="48" t="s">
        <v>1025</v>
      </c>
      <c r="C444" s="480" t="s">
        <v>163</v>
      </c>
      <c r="D444" s="48"/>
      <c r="E444" s="48"/>
      <c r="F444" s="516">
        <f>IFERROR(F443/E443,0)</f>
        <v>0</v>
      </c>
      <c r="G444" s="480"/>
      <c r="H444" s="601"/>
      <c r="I444" s="516"/>
      <c r="J444" s="486"/>
      <c r="K444" s="48"/>
      <c r="L444" s="516">
        <f>IFERROR(L443/K443,0)</f>
        <v>0.692462963</v>
      </c>
      <c r="M444" s="515"/>
      <c r="N444" s="484">
        <f>IFERROR(N443/M443,0)</f>
        <v>0</v>
      </c>
      <c r="O444" s="486"/>
      <c r="P444" s="48"/>
      <c r="Q444" s="516">
        <f>IFERROR(Q443/P443,0)</f>
        <v>0.6515570934</v>
      </c>
      <c r="R444" s="486"/>
      <c r="S444" s="484"/>
      <c r="T444" s="40"/>
      <c r="U444" s="40"/>
      <c r="V444" s="48"/>
      <c r="W444" s="40"/>
      <c r="X444" s="40"/>
      <c r="Y444" s="40"/>
      <c r="Z444" s="40"/>
      <c r="AA444" s="40"/>
      <c r="AB444" s="40"/>
      <c r="AC444" s="40"/>
      <c r="AD444" s="40"/>
      <c r="AE444" s="40"/>
      <c r="AF444" s="40"/>
      <c r="AG444" s="40"/>
      <c r="AH444" s="40"/>
      <c r="AI444" s="40"/>
      <c r="AJ444" s="40"/>
      <c r="AK444" s="40"/>
      <c r="AL444" s="40"/>
      <c r="AM444" s="40"/>
      <c r="AN444" s="40"/>
    </row>
    <row r="445" ht="15.75" customHeight="1">
      <c r="A445" s="5"/>
      <c r="B445" s="48" t="s">
        <v>1025</v>
      </c>
      <c r="C445" s="480"/>
      <c r="D445" s="48"/>
      <c r="E445" s="48"/>
      <c r="F445" s="516"/>
      <c r="G445" s="48"/>
      <c r="H445" s="601"/>
      <c r="I445" s="602"/>
      <c r="J445" s="486"/>
      <c r="K445" s="48"/>
      <c r="L445" s="516"/>
      <c r="M445" s="515"/>
      <c r="N445" s="484"/>
      <c r="O445" s="486"/>
      <c r="P445" s="48"/>
      <c r="Q445" s="516"/>
      <c r="R445" s="486"/>
      <c r="S445" s="484"/>
      <c r="T445" s="40"/>
      <c r="U445" s="40"/>
      <c r="V445" s="48"/>
      <c r="W445" s="40"/>
      <c r="X445" s="40"/>
      <c r="Y445" s="40"/>
      <c r="Z445" s="40"/>
      <c r="AA445" s="40"/>
      <c r="AB445" s="40"/>
      <c r="AC445" s="40"/>
      <c r="AD445" s="40"/>
      <c r="AE445" s="40"/>
      <c r="AF445" s="40"/>
      <c r="AG445" s="40"/>
      <c r="AH445" s="40"/>
      <c r="AI445" s="40"/>
      <c r="AJ445" s="40"/>
      <c r="AK445" s="40"/>
      <c r="AL445" s="40"/>
      <c r="AM445" s="40"/>
      <c r="AN445" s="40"/>
    </row>
    <row r="446" ht="15.75" customHeight="1">
      <c r="A446" s="5"/>
      <c r="B446" s="48" t="s">
        <v>1025</v>
      </c>
      <c r="C446" s="480" t="s">
        <v>1030</v>
      </c>
      <c r="D446" s="48"/>
      <c r="E446" s="48"/>
      <c r="F446" s="516">
        <v>0.0</v>
      </c>
      <c r="G446" s="48"/>
      <c r="H446" s="601"/>
      <c r="I446" s="602"/>
      <c r="J446" s="486"/>
      <c r="K446" s="48"/>
      <c r="L446" s="516"/>
      <c r="M446" s="515"/>
      <c r="N446" s="484"/>
      <c r="O446" s="486"/>
      <c r="P446" s="48"/>
      <c r="Q446" s="516"/>
      <c r="R446" s="486"/>
      <c r="S446" s="484"/>
      <c r="T446" s="40"/>
      <c r="U446" s="40"/>
      <c r="V446" s="48"/>
      <c r="W446" s="40"/>
      <c r="X446" s="40"/>
      <c r="Y446" s="40"/>
      <c r="Z446" s="40"/>
      <c r="AA446" s="40"/>
      <c r="AB446" s="40"/>
      <c r="AC446" s="40"/>
      <c r="AD446" s="40"/>
      <c r="AE446" s="40"/>
      <c r="AF446" s="40"/>
      <c r="AG446" s="40"/>
      <c r="AH446" s="40"/>
      <c r="AI446" s="40"/>
      <c r="AJ446" s="40"/>
      <c r="AK446" s="40"/>
      <c r="AL446" s="40"/>
      <c r="AM446" s="40"/>
      <c r="AN446" s="40"/>
    </row>
    <row r="447" ht="15.75" customHeight="1">
      <c r="A447" s="5"/>
      <c r="B447" s="48" t="s">
        <v>1025</v>
      </c>
      <c r="C447" s="480"/>
      <c r="D447" s="41"/>
      <c r="E447" s="41"/>
      <c r="F447" s="611"/>
      <c r="G447" s="41"/>
      <c r="H447" s="41"/>
      <c r="I447" s="41"/>
      <c r="J447" s="610"/>
      <c r="K447" s="41"/>
      <c r="L447" s="611"/>
      <c r="M447" s="610"/>
      <c r="N447" s="611"/>
      <c r="O447" s="610"/>
      <c r="P447" s="41"/>
      <c r="Q447" s="611"/>
      <c r="R447" s="610"/>
      <c r="S447" s="611"/>
      <c r="T447" s="40"/>
      <c r="U447" s="40"/>
      <c r="V447" s="48"/>
      <c r="W447" s="40"/>
      <c r="X447" s="40"/>
      <c r="Y447" s="40"/>
      <c r="Z447" s="40"/>
      <c r="AA447" s="40"/>
      <c r="AB447" s="40"/>
      <c r="AC447" s="40"/>
      <c r="AD447" s="40"/>
      <c r="AE447" s="40"/>
      <c r="AF447" s="40"/>
      <c r="AG447" s="40"/>
      <c r="AH447" s="40"/>
      <c r="AI447" s="40"/>
      <c r="AJ447" s="40"/>
      <c r="AK447" s="40"/>
      <c r="AL447" s="40"/>
      <c r="AM447" s="40"/>
      <c r="AN447" s="40"/>
    </row>
    <row r="448" ht="18.0" customHeight="1">
      <c r="A448" s="5" t="s">
        <v>1031</v>
      </c>
      <c r="B448" s="48" t="s">
        <v>1025</v>
      </c>
      <c r="C448" s="526" t="s">
        <v>1032</v>
      </c>
      <c r="D448" s="527"/>
      <c r="E448" s="528">
        <f t="shared" ref="E448:F448" si="117">E437+E440+E443</f>
        <v>0</v>
      </c>
      <c r="F448" s="529">
        <f t="shared" si="117"/>
        <v>0</v>
      </c>
      <c r="G448" s="530"/>
      <c r="H448" s="528"/>
      <c r="I448" s="529"/>
      <c r="J448" s="530"/>
      <c r="K448" s="527">
        <f t="shared" ref="K448:L448" si="118">K437+K440+K443</f>
        <v>296662.92</v>
      </c>
      <c r="L448" s="529">
        <f t="shared" si="118"/>
        <v>225140.03</v>
      </c>
      <c r="M448" s="530"/>
      <c r="N448" s="529"/>
      <c r="O448" s="530"/>
      <c r="P448" s="527">
        <f t="shared" ref="P448:Q448" si="119">P437+P440+P443</f>
        <v>262588.5</v>
      </c>
      <c r="Q448" s="529">
        <f t="shared" si="119"/>
        <v>200189.35</v>
      </c>
      <c r="R448" s="530">
        <f>IF(O448=0,0,(J448-O448)/O448)</f>
        <v>0</v>
      </c>
      <c r="S448" s="529">
        <f>L448-Q448</f>
        <v>24950.68</v>
      </c>
      <c r="T448" s="48"/>
      <c r="U448" s="48"/>
      <c r="V448" s="48"/>
      <c r="W448" s="48"/>
      <c r="X448" s="48"/>
      <c r="Y448" s="48"/>
      <c r="Z448" s="48"/>
      <c r="AA448" s="48"/>
      <c r="AB448" s="48"/>
      <c r="AC448" s="48"/>
      <c r="AD448" s="48"/>
      <c r="AE448" s="48"/>
      <c r="AF448" s="48"/>
      <c r="AG448" s="48"/>
      <c r="AH448" s="48"/>
      <c r="AI448" s="48"/>
      <c r="AJ448" s="48"/>
      <c r="AK448" s="48"/>
      <c r="AL448" s="48"/>
      <c r="AM448" s="48"/>
      <c r="AN448" s="48"/>
    </row>
    <row r="449" ht="22.5" customHeight="1">
      <c r="A449" s="5" t="s">
        <v>193</v>
      </c>
      <c r="B449" s="48" t="s">
        <v>1025</v>
      </c>
      <c r="C449" s="531"/>
      <c r="D449" s="532"/>
      <c r="E449" s="532"/>
      <c r="F449" s="533" t="str">
        <f>F448/E448</f>
        <v>#DIV/0!</v>
      </c>
      <c r="G449" s="531"/>
      <c r="H449" s="532"/>
      <c r="I449" s="533"/>
      <c r="J449" s="531"/>
      <c r="K449" s="534"/>
      <c r="L449" s="538">
        <f>L448/K448</f>
        <v>0.7589085619</v>
      </c>
      <c r="M449" s="536"/>
      <c r="N449" s="537"/>
      <c r="O449" s="531"/>
      <c r="P449" s="534"/>
      <c r="Q449" s="538">
        <f>Q448/P448</f>
        <v>0.762369068</v>
      </c>
      <c r="R449" s="536"/>
      <c r="S449" s="538">
        <f>IF(Q448=0,0,S448/Q448)</f>
        <v>0.1246354014</v>
      </c>
      <c r="T449" s="48"/>
      <c r="U449" s="48"/>
      <c r="V449" s="48"/>
      <c r="W449" s="48"/>
      <c r="X449" s="48"/>
      <c r="Y449" s="48"/>
      <c r="Z449" s="48"/>
      <c r="AA449" s="48"/>
      <c r="AB449" s="48"/>
      <c r="AC449" s="48"/>
      <c r="AD449" s="48"/>
      <c r="AE449" s="48"/>
      <c r="AF449" s="48"/>
      <c r="AG449" s="48"/>
      <c r="AH449" s="48"/>
      <c r="AI449" s="48"/>
      <c r="AJ449" s="48"/>
      <c r="AK449" s="48"/>
      <c r="AL449" s="48"/>
      <c r="AM449" s="48"/>
      <c r="AN449" s="48"/>
    </row>
    <row r="450" ht="15.75" customHeight="1">
      <c r="A450" s="5" t="s">
        <v>193</v>
      </c>
      <c r="B450" s="48" t="s">
        <v>1025</v>
      </c>
      <c r="C450" s="541"/>
      <c r="D450" s="48"/>
      <c r="E450" s="48"/>
      <c r="F450" s="484"/>
      <c r="G450" s="480"/>
      <c r="H450" s="48"/>
      <c r="I450" s="484"/>
      <c r="J450" s="480"/>
      <c r="K450" s="48"/>
      <c r="L450" s="514"/>
      <c r="M450" s="480"/>
      <c r="N450" s="516"/>
      <c r="O450" s="480"/>
      <c r="P450" s="48"/>
      <c r="Q450" s="514"/>
      <c r="R450" s="480"/>
      <c r="S450" s="514"/>
      <c r="T450" s="40"/>
      <c r="U450" s="40"/>
      <c r="V450" s="48"/>
      <c r="W450" s="40"/>
      <c r="X450" s="40"/>
      <c r="Y450" s="40"/>
      <c r="Z450" s="40"/>
      <c r="AA450" s="40"/>
      <c r="AB450" s="40"/>
      <c r="AC450" s="40"/>
      <c r="AD450" s="40"/>
      <c r="AE450" s="40"/>
      <c r="AF450" s="40"/>
      <c r="AG450" s="40"/>
      <c r="AH450" s="40"/>
      <c r="AI450" s="40"/>
      <c r="AJ450" s="40"/>
      <c r="AK450" s="40"/>
      <c r="AL450" s="40"/>
      <c r="AM450" s="40"/>
      <c r="AN450" s="40"/>
    </row>
    <row r="451" ht="15.75" customHeight="1">
      <c r="A451" s="5" t="s">
        <v>1033</v>
      </c>
      <c r="B451" s="48" t="s">
        <v>1025</v>
      </c>
      <c r="C451" s="541" t="s">
        <v>110</v>
      </c>
      <c r="D451" s="48"/>
      <c r="E451" s="48"/>
      <c r="F451" s="484"/>
      <c r="G451" s="480"/>
      <c r="H451" s="48"/>
      <c r="I451" s="484"/>
      <c r="J451" s="480"/>
      <c r="K451" s="48"/>
      <c r="L451" s="514"/>
      <c r="M451" s="480"/>
      <c r="N451" s="514"/>
      <c r="O451" s="480"/>
      <c r="P451" s="48"/>
      <c r="Q451" s="514"/>
      <c r="R451" s="480"/>
      <c r="S451" s="514"/>
      <c r="T451" s="40"/>
      <c r="U451" s="40"/>
      <c r="V451" s="48"/>
      <c r="W451" s="40"/>
      <c r="X451" s="40"/>
      <c r="Y451" s="40"/>
      <c r="Z451" s="40"/>
      <c r="AA451" s="40"/>
      <c r="AB451" s="40"/>
      <c r="AC451" s="40"/>
      <c r="AD451" s="40"/>
      <c r="AE451" s="40"/>
      <c r="AF451" s="40"/>
      <c r="AG451" s="40"/>
      <c r="AH451" s="40"/>
      <c r="AI451" s="40"/>
      <c r="AJ451" s="40"/>
      <c r="AK451" s="40"/>
      <c r="AL451" s="40"/>
      <c r="AM451" s="40"/>
      <c r="AN451" s="40"/>
    </row>
    <row r="452" ht="15.75" customHeight="1">
      <c r="A452" s="5" t="s">
        <v>1034</v>
      </c>
      <c r="B452" s="48" t="s">
        <v>1025</v>
      </c>
      <c r="C452" s="559" t="s">
        <v>119</v>
      </c>
      <c r="D452" s="48"/>
      <c r="E452" s="48"/>
      <c r="F452" s="481">
        <v>0.0</v>
      </c>
      <c r="G452" s="480"/>
      <c r="H452" s="48"/>
      <c r="I452" s="481"/>
      <c r="J452" s="480"/>
      <c r="K452" s="48"/>
      <c r="L452" s="484">
        <v>1560.0</v>
      </c>
      <c r="M452" s="480"/>
      <c r="N452" s="514"/>
      <c r="O452" s="480"/>
      <c r="P452" s="48"/>
      <c r="Q452" s="484">
        <v>0.0</v>
      </c>
      <c r="R452" s="480"/>
      <c r="S452" s="484">
        <f t="shared" ref="S452:S481" si="120">L452-Q452</f>
        <v>1560</v>
      </c>
      <c r="T452" s="40"/>
      <c r="U452" s="40"/>
      <c r="V452" s="48"/>
      <c r="W452" s="40"/>
      <c r="X452" s="40"/>
      <c r="Y452" s="40"/>
      <c r="Z452" s="40"/>
      <c r="AA452" s="40"/>
      <c r="AB452" s="40"/>
      <c r="AC452" s="40"/>
      <c r="AD452" s="40"/>
      <c r="AE452" s="40"/>
      <c r="AF452" s="40"/>
      <c r="AG452" s="40"/>
      <c r="AH452" s="40"/>
      <c r="AI452" s="40"/>
      <c r="AJ452" s="40"/>
      <c r="AK452" s="40"/>
      <c r="AL452" s="40"/>
      <c r="AM452" s="40"/>
      <c r="AN452" s="40"/>
    </row>
    <row r="453" ht="15.75" customHeight="1">
      <c r="A453" s="5" t="s">
        <v>1035</v>
      </c>
      <c r="B453" s="48" t="s">
        <v>1025</v>
      </c>
      <c r="C453" s="560" t="s">
        <v>120</v>
      </c>
      <c r="D453" s="546"/>
      <c r="E453" s="48"/>
      <c r="F453" s="473">
        <v>0.0</v>
      </c>
      <c r="G453" s="547"/>
      <c r="H453" s="48"/>
      <c r="I453" s="473"/>
      <c r="J453" s="480"/>
      <c r="K453" s="48"/>
      <c r="L453" s="476">
        <v>15663.04</v>
      </c>
      <c r="M453" s="480"/>
      <c r="N453" s="484"/>
      <c r="O453" s="480"/>
      <c r="P453" s="48"/>
      <c r="Q453" s="476">
        <v>0.0</v>
      </c>
      <c r="R453" s="480"/>
      <c r="S453" s="484">
        <f t="shared" si="120"/>
        <v>15663.04</v>
      </c>
      <c r="T453" s="40"/>
      <c r="U453" s="40"/>
      <c r="V453" s="48"/>
      <c r="W453" s="40"/>
      <c r="X453" s="40"/>
      <c r="Y453" s="40"/>
      <c r="Z453" s="40"/>
      <c r="AA453" s="40"/>
      <c r="AB453" s="40"/>
      <c r="AC453" s="40"/>
      <c r="AD453" s="40"/>
      <c r="AE453" s="40"/>
      <c r="AF453" s="40"/>
      <c r="AG453" s="40"/>
      <c r="AH453" s="40"/>
      <c r="AI453" s="40"/>
      <c r="AJ453" s="40"/>
      <c r="AK453" s="40"/>
      <c r="AL453" s="40"/>
      <c r="AM453" s="40"/>
      <c r="AN453" s="40"/>
    </row>
    <row r="454" ht="15.75" customHeight="1">
      <c r="A454" s="5" t="s">
        <v>1036</v>
      </c>
      <c r="B454" s="48" t="s">
        <v>1025</v>
      </c>
      <c r="C454" s="559" t="s">
        <v>121</v>
      </c>
      <c r="D454" s="561"/>
      <c r="E454" s="562"/>
      <c r="F454" s="481">
        <v>0.0</v>
      </c>
      <c r="G454" s="563"/>
      <c r="H454" s="562"/>
      <c r="I454" s="481"/>
      <c r="J454" s="466"/>
      <c r="K454" s="562"/>
      <c r="L454" s="484">
        <v>0.0</v>
      </c>
      <c r="M454" s="466"/>
      <c r="N454" s="523"/>
      <c r="O454" s="466"/>
      <c r="P454" s="562"/>
      <c r="Q454" s="484">
        <v>0.0</v>
      </c>
      <c r="R454" s="466"/>
      <c r="S454" s="523">
        <f t="shared" si="120"/>
        <v>0</v>
      </c>
      <c r="T454" s="40"/>
      <c r="U454" s="40"/>
      <c r="V454" s="48"/>
      <c r="W454" s="40"/>
      <c r="X454" s="40"/>
      <c r="Y454" s="40"/>
      <c r="Z454" s="40"/>
      <c r="AA454" s="40"/>
      <c r="AB454" s="40"/>
      <c r="AC454" s="40"/>
      <c r="AD454" s="40"/>
      <c r="AE454" s="40"/>
      <c r="AF454" s="40"/>
      <c r="AG454" s="40"/>
      <c r="AH454" s="40"/>
      <c r="AI454" s="40"/>
      <c r="AJ454" s="40"/>
      <c r="AK454" s="40"/>
      <c r="AL454" s="40"/>
      <c r="AM454" s="40"/>
      <c r="AN454" s="40"/>
    </row>
    <row r="455" ht="15.75" customHeight="1">
      <c r="A455" s="5" t="s">
        <v>1037</v>
      </c>
      <c r="B455" s="48" t="s">
        <v>1025</v>
      </c>
      <c r="C455" s="559" t="s">
        <v>122</v>
      </c>
      <c r="D455" s="546"/>
      <c r="E455" s="48"/>
      <c r="F455" s="481">
        <v>0.0</v>
      </c>
      <c r="G455" s="547"/>
      <c r="H455" s="48"/>
      <c r="I455" s="481"/>
      <c r="J455" s="480"/>
      <c r="K455" s="48"/>
      <c r="L455" s="484">
        <v>0.0</v>
      </c>
      <c r="M455" s="480"/>
      <c r="N455" s="484"/>
      <c r="O455" s="480"/>
      <c r="P455" s="48"/>
      <c r="Q455" s="484">
        <v>0.0</v>
      </c>
      <c r="R455" s="480"/>
      <c r="S455" s="484">
        <f t="shared" si="120"/>
        <v>0</v>
      </c>
      <c r="T455" s="40"/>
      <c r="U455" s="40"/>
      <c r="V455" s="48"/>
      <c r="W455" s="40"/>
      <c r="X455" s="40"/>
      <c r="Y455" s="40"/>
      <c r="Z455" s="40"/>
      <c r="AA455" s="40"/>
      <c r="AB455" s="40"/>
      <c r="AC455" s="40"/>
      <c r="AD455" s="40"/>
      <c r="AE455" s="40"/>
      <c r="AF455" s="40"/>
      <c r="AG455" s="40"/>
      <c r="AH455" s="40"/>
      <c r="AI455" s="40"/>
      <c r="AJ455" s="40"/>
      <c r="AK455" s="40"/>
      <c r="AL455" s="40"/>
      <c r="AM455" s="40"/>
      <c r="AN455" s="40"/>
    </row>
    <row r="456" ht="20.25" hidden="1" customHeight="1">
      <c r="A456" s="5" t="s">
        <v>1038</v>
      </c>
      <c r="B456" s="48" t="s">
        <v>1025</v>
      </c>
      <c r="C456" s="480" t="s">
        <v>56</v>
      </c>
      <c r="D456" s="546"/>
      <c r="E456" s="48"/>
      <c r="F456" s="481">
        <v>0.0</v>
      </c>
      <c r="G456" s="547"/>
      <c r="H456" s="48"/>
      <c r="I456" s="481"/>
      <c r="J456" s="480"/>
      <c r="K456" s="48"/>
      <c r="L456" s="484">
        <v>0.0</v>
      </c>
      <c r="M456" s="480"/>
      <c r="N456" s="484"/>
      <c r="O456" s="480"/>
      <c r="P456" s="48"/>
      <c r="Q456" s="484">
        <v>0.0</v>
      </c>
      <c r="R456" s="480"/>
      <c r="S456" s="484">
        <f t="shared" si="120"/>
        <v>0</v>
      </c>
      <c r="T456" s="40"/>
      <c r="U456" s="40"/>
      <c r="V456" s="48"/>
      <c r="W456" s="40"/>
      <c r="X456" s="40"/>
      <c r="Y456" s="40"/>
      <c r="Z456" s="40"/>
      <c r="AA456" s="40"/>
      <c r="AB456" s="40"/>
      <c r="AC456" s="40"/>
      <c r="AD456" s="40"/>
      <c r="AE456" s="40"/>
      <c r="AF456" s="40"/>
      <c r="AG456" s="40"/>
      <c r="AH456" s="40"/>
      <c r="AI456" s="40"/>
      <c r="AJ456" s="40"/>
      <c r="AK456" s="40"/>
      <c r="AL456" s="40"/>
      <c r="AM456" s="40"/>
      <c r="AN456" s="40"/>
    </row>
    <row r="457" ht="20.25" hidden="1" customHeight="1">
      <c r="A457" s="5" t="s">
        <v>1038</v>
      </c>
      <c r="B457" s="48" t="s">
        <v>1025</v>
      </c>
      <c r="C457" s="480" t="s">
        <v>56</v>
      </c>
      <c r="D457" s="546"/>
      <c r="E457" s="48"/>
      <c r="F457" s="481">
        <v>0.0</v>
      </c>
      <c r="G457" s="547"/>
      <c r="H457" s="48"/>
      <c r="I457" s="481"/>
      <c r="J457" s="480"/>
      <c r="K457" s="48"/>
      <c r="L457" s="484">
        <v>0.0</v>
      </c>
      <c r="M457" s="480"/>
      <c r="N457" s="484"/>
      <c r="O457" s="480"/>
      <c r="P457" s="48"/>
      <c r="Q457" s="484">
        <v>0.0</v>
      </c>
      <c r="R457" s="480"/>
      <c r="S457" s="484">
        <f t="shared" si="120"/>
        <v>0</v>
      </c>
      <c r="T457" s="40"/>
      <c r="U457" s="40"/>
      <c r="V457" s="48"/>
      <c r="W457" s="40"/>
      <c r="X457" s="40"/>
      <c r="Y457" s="40"/>
      <c r="Z457" s="40"/>
      <c r="AA457" s="40"/>
      <c r="AB457" s="40"/>
      <c r="AC457" s="40"/>
      <c r="AD457" s="40"/>
      <c r="AE457" s="40"/>
      <c r="AF457" s="40"/>
      <c r="AG457" s="40"/>
      <c r="AH457" s="40"/>
      <c r="AI457" s="40"/>
      <c r="AJ457" s="40"/>
      <c r="AK457" s="40"/>
      <c r="AL457" s="40"/>
      <c r="AM457" s="40"/>
      <c r="AN457" s="40"/>
    </row>
    <row r="458" ht="20.25" hidden="1" customHeight="1">
      <c r="A458" s="5" t="s">
        <v>1038</v>
      </c>
      <c r="B458" s="48" t="s">
        <v>1025</v>
      </c>
      <c r="C458" s="480" t="s">
        <v>56</v>
      </c>
      <c r="D458" s="546"/>
      <c r="E458" s="48"/>
      <c r="F458" s="481">
        <v>0.0</v>
      </c>
      <c r="G458" s="547"/>
      <c r="H458" s="48"/>
      <c r="I458" s="481"/>
      <c r="J458" s="480"/>
      <c r="K458" s="48"/>
      <c r="L458" s="484">
        <v>0.0</v>
      </c>
      <c r="M458" s="480"/>
      <c r="N458" s="484"/>
      <c r="O458" s="480"/>
      <c r="P458" s="48"/>
      <c r="Q458" s="484">
        <v>0.0</v>
      </c>
      <c r="R458" s="480"/>
      <c r="S458" s="484">
        <f t="shared" si="120"/>
        <v>0</v>
      </c>
      <c r="T458" s="40"/>
      <c r="U458" s="40"/>
      <c r="V458" s="48"/>
      <c r="W458" s="40"/>
      <c r="X458" s="40"/>
      <c r="Y458" s="40"/>
      <c r="Z458" s="40"/>
      <c r="AA458" s="40"/>
      <c r="AB458" s="40"/>
      <c r="AC458" s="40"/>
      <c r="AD458" s="40"/>
      <c r="AE458" s="40"/>
      <c r="AF458" s="40"/>
      <c r="AG458" s="40"/>
      <c r="AH458" s="40"/>
      <c r="AI458" s="40"/>
      <c r="AJ458" s="40"/>
      <c r="AK458" s="40"/>
      <c r="AL458" s="40"/>
      <c r="AM458" s="40"/>
      <c r="AN458" s="40"/>
    </row>
    <row r="459" ht="15.75" customHeight="1">
      <c r="A459" s="5" t="s">
        <v>1039</v>
      </c>
      <c r="B459" s="48" t="s">
        <v>1025</v>
      </c>
      <c r="C459" s="560" t="s">
        <v>123</v>
      </c>
      <c r="D459" s="546"/>
      <c r="E459" s="48"/>
      <c r="F459" s="473">
        <v>0.0</v>
      </c>
      <c r="G459" s="547"/>
      <c r="H459" s="48"/>
      <c r="I459" s="473"/>
      <c r="J459" s="480"/>
      <c r="K459" s="48"/>
      <c r="L459" s="476">
        <v>4902.36</v>
      </c>
      <c r="M459" s="480"/>
      <c r="N459" s="484"/>
      <c r="O459" s="480"/>
      <c r="P459" s="48"/>
      <c r="Q459" s="476">
        <v>0.0</v>
      </c>
      <c r="R459" s="480"/>
      <c r="S459" s="484">
        <f t="shared" si="120"/>
        <v>4902.36</v>
      </c>
      <c r="T459" s="40"/>
      <c r="U459" s="40"/>
      <c r="V459" s="48"/>
      <c r="W459" s="40"/>
      <c r="X459" s="40"/>
      <c r="Y459" s="40"/>
      <c r="Z459" s="40"/>
      <c r="AA459" s="40"/>
      <c r="AB459" s="40"/>
      <c r="AC459" s="40"/>
      <c r="AD459" s="40"/>
      <c r="AE459" s="40"/>
      <c r="AF459" s="40"/>
      <c r="AG459" s="40"/>
      <c r="AH459" s="40"/>
      <c r="AI459" s="40"/>
      <c r="AJ459" s="40"/>
      <c r="AK459" s="40"/>
      <c r="AL459" s="40"/>
      <c r="AM459" s="40"/>
      <c r="AN459" s="40"/>
    </row>
    <row r="460" ht="15.75" customHeight="1">
      <c r="A460" s="5" t="s">
        <v>1040</v>
      </c>
      <c r="B460" s="48" t="s">
        <v>1025</v>
      </c>
      <c r="C460" s="559" t="s">
        <v>124</v>
      </c>
      <c r="D460" s="561"/>
      <c r="E460" s="562"/>
      <c r="F460" s="481">
        <v>0.0</v>
      </c>
      <c r="G460" s="563"/>
      <c r="H460" s="562"/>
      <c r="I460" s="481"/>
      <c r="J460" s="466"/>
      <c r="K460" s="562"/>
      <c r="L460" s="484">
        <v>4971.96</v>
      </c>
      <c r="M460" s="466"/>
      <c r="N460" s="523"/>
      <c r="O460" s="466"/>
      <c r="P460" s="562"/>
      <c r="Q460" s="484">
        <v>0.0</v>
      </c>
      <c r="R460" s="466"/>
      <c r="S460" s="523">
        <f t="shared" si="120"/>
        <v>4971.96</v>
      </c>
      <c r="T460" s="40"/>
      <c r="U460" s="40"/>
      <c r="V460" s="48"/>
      <c r="W460" s="40"/>
      <c r="X460" s="40"/>
      <c r="Y460" s="40"/>
      <c r="Z460" s="40"/>
      <c r="AA460" s="40"/>
      <c r="AB460" s="40"/>
      <c r="AC460" s="40"/>
      <c r="AD460" s="40"/>
      <c r="AE460" s="40"/>
      <c r="AF460" s="40"/>
      <c r="AG460" s="40"/>
      <c r="AH460" s="40"/>
      <c r="AI460" s="40"/>
      <c r="AJ460" s="40"/>
      <c r="AK460" s="40"/>
      <c r="AL460" s="40"/>
      <c r="AM460" s="40"/>
      <c r="AN460" s="40"/>
    </row>
    <row r="461" ht="15.75" customHeight="1">
      <c r="A461" s="5" t="s">
        <v>1041</v>
      </c>
      <c r="B461" s="48" t="s">
        <v>1025</v>
      </c>
      <c r="C461" s="559" t="s">
        <v>125</v>
      </c>
      <c r="D461" s="546"/>
      <c r="E461" s="48"/>
      <c r="F461" s="481">
        <v>0.0</v>
      </c>
      <c r="G461" s="547"/>
      <c r="H461" s="48"/>
      <c r="I461" s="481"/>
      <c r="J461" s="480"/>
      <c r="K461" s="48"/>
      <c r="L461" s="484">
        <v>1046.9</v>
      </c>
      <c r="M461" s="480"/>
      <c r="N461" s="484"/>
      <c r="O461" s="480"/>
      <c r="P461" s="48"/>
      <c r="Q461" s="484">
        <v>0.0</v>
      </c>
      <c r="R461" s="480"/>
      <c r="S461" s="484">
        <f t="shared" si="120"/>
        <v>1046.9</v>
      </c>
      <c r="T461" s="40"/>
      <c r="U461" s="40"/>
      <c r="V461" s="48"/>
      <c r="W461" s="40"/>
      <c r="X461" s="40"/>
      <c r="Y461" s="40"/>
      <c r="Z461" s="40"/>
      <c r="AA461" s="40"/>
      <c r="AB461" s="40"/>
      <c r="AC461" s="40"/>
      <c r="AD461" s="40"/>
      <c r="AE461" s="40"/>
      <c r="AF461" s="40"/>
      <c r="AG461" s="40"/>
      <c r="AH461" s="40"/>
      <c r="AI461" s="40"/>
      <c r="AJ461" s="40"/>
      <c r="AK461" s="40"/>
      <c r="AL461" s="40"/>
      <c r="AM461" s="40"/>
      <c r="AN461" s="40"/>
    </row>
    <row r="462" ht="15.75" customHeight="1">
      <c r="A462" s="5" t="s">
        <v>1042</v>
      </c>
      <c r="B462" s="48" t="s">
        <v>1025</v>
      </c>
      <c r="C462" s="559" t="s">
        <v>126</v>
      </c>
      <c r="D462" s="546"/>
      <c r="E462" s="48"/>
      <c r="F462" s="481">
        <v>0.0</v>
      </c>
      <c r="G462" s="547"/>
      <c r="H462" s="48"/>
      <c r="I462" s="481"/>
      <c r="J462" s="480"/>
      <c r="K462" s="48"/>
      <c r="L462" s="484">
        <v>665.01</v>
      </c>
      <c r="M462" s="480"/>
      <c r="N462" s="484"/>
      <c r="O462" s="480"/>
      <c r="P462" s="48"/>
      <c r="Q462" s="484">
        <v>0.0</v>
      </c>
      <c r="R462" s="480"/>
      <c r="S462" s="484">
        <f t="shared" si="120"/>
        <v>665.01</v>
      </c>
      <c r="T462" s="40"/>
      <c r="U462" s="40"/>
      <c r="V462" s="48"/>
      <c r="W462" s="40"/>
      <c r="X462" s="40"/>
      <c r="Y462" s="40"/>
      <c r="Z462" s="40"/>
      <c r="AA462" s="40"/>
      <c r="AB462" s="40"/>
      <c r="AC462" s="40"/>
      <c r="AD462" s="40"/>
      <c r="AE462" s="40"/>
      <c r="AF462" s="40"/>
      <c r="AG462" s="40"/>
      <c r="AH462" s="40"/>
      <c r="AI462" s="40"/>
      <c r="AJ462" s="40"/>
      <c r="AK462" s="40"/>
      <c r="AL462" s="40"/>
      <c r="AM462" s="40"/>
      <c r="AN462" s="40"/>
    </row>
    <row r="463" ht="20.25" hidden="1" customHeight="1">
      <c r="A463" s="5" t="s">
        <v>1038</v>
      </c>
      <c r="B463" s="48" t="s">
        <v>1025</v>
      </c>
      <c r="C463" s="480" t="s">
        <v>56</v>
      </c>
      <c r="D463" s="549"/>
      <c r="E463" s="564"/>
      <c r="F463" s="481">
        <v>0.0</v>
      </c>
      <c r="G463" s="550"/>
      <c r="H463" s="564"/>
      <c r="I463" s="481"/>
      <c r="J463" s="471"/>
      <c r="K463" s="564"/>
      <c r="L463" s="484">
        <v>0.0</v>
      </c>
      <c r="M463" s="471"/>
      <c r="N463" s="476"/>
      <c r="O463" s="471"/>
      <c r="P463" s="564"/>
      <c r="Q463" s="484">
        <v>0.0</v>
      </c>
      <c r="R463" s="471"/>
      <c r="S463" s="476">
        <f t="shared" si="120"/>
        <v>0</v>
      </c>
      <c r="T463" s="40"/>
      <c r="U463" s="40"/>
      <c r="V463" s="48"/>
      <c r="W463" s="40"/>
      <c r="X463" s="40"/>
      <c r="Y463" s="40"/>
      <c r="Z463" s="40"/>
      <c r="AA463" s="40"/>
      <c r="AB463" s="40"/>
      <c r="AC463" s="40"/>
      <c r="AD463" s="40"/>
      <c r="AE463" s="40"/>
      <c r="AF463" s="40"/>
      <c r="AG463" s="40"/>
      <c r="AH463" s="40"/>
      <c r="AI463" s="40"/>
      <c r="AJ463" s="40"/>
      <c r="AK463" s="40"/>
      <c r="AL463" s="40"/>
      <c r="AM463" s="40"/>
      <c r="AN463" s="40"/>
    </row>
    <row r="464" ht="18.0" customHeight="1">
      <c r="A464" s="5" t="s">
        <v>1043</v>
      </c>
      <c r="B464" s="48" t="s">
        <v>1025</v>
      </c>
      <c r="C464" s="552" t="s">
        <v>127</v>
      </c>
      <c r="D464" s="553" t="s">
        <v>225</v>
      </c>
      <c r="E464" s="554">
        <f>IFERROR(F464/F$448,0)</f>
        <v>0</v>
      </c>
      <c r="F464" s="555">
        <f>+SUM(F452:F463)</f>
        <v>0</v>
      </c>
      <c r="G464" s="556"/>
      <c r="H464" s="554"/>
      <c r="I464" s="555"/>
      <c r="J464" s="556" t="s">
        <v>225</v>
      </c>
      <c r="K464" s="554">
        <f>IFERROR(L464/L$448,0)</f>
        <v>0.1279615624</v>
      </c>
      <c r="L464" s="555">
        <f>+SUM(L452:L463)</f>
        <v>28809.27</v>
      </c>
      <c r="M464" s="557"/>
      <c r="N464" s="555"/>
      <c r="O464" s="556" t="s">
        <v>225</v>
      </c>
      <c r="P464" s="554">
        <f>IFERROR(Q464/Q$448,0)</f>
        <v>0</v>
      </c>
      <c r="Q464" s="555">
        <f>+SUM(Q452:Q463)</f>
        <v>0</v>
      </c>
      <c r="R464" s="558"/>
      <c r="S464" s="555">
        <f t="shared" si="120"/>
        <v>28809.27</v>
      </c>
      <c r="T464" s="48"/>
      <c r="U464" s="48"/>
      <c r="V464" s="48"/>
      <c r="W464" s="48"/>
      <c r="X464" s="48"/>
      <c r="Y464" s="48"/>
      <c r="Z464" s="48"/>
      <c r="AA464" s="48"/>
      <c r="AB464" s="48"/>
      <c r="AC464" s="48"/>
      <c r="AD464" s="48"/>
      <c r="AE464" s="48"/>
      <c r="AF464" s="48"/>
      <c r="AG464" s="48"/>
      <c r="AH464" s="48"/>
      <c r="AI464" s="48"/>
      <c r="AJ464" s="48"/>
      <c r="AK464" s="48"/>
      <c r="AL464" s="48"/>
      <c r="AM464" s="48"/>
      <c r="AN464" s="48"/>
    </row>
    <row r="465" ht="15.75" customHeight="1">
      <c r="A465" s="5" t="s">
        <v>1044</v>
      </c>
      <c r="B465" s="48" t="s">
        <v>1025</v>
      </c>
      <c r="C465" s="654" t="s">
        <v>128</v>
      </c>
      <c r="D465" s="546"/>
      <c r="E465" s="48"/>
      <c r="F465" s="481">
        <v>0.0</v>
      </c>
      <c r="G465" s="547"/>
      <c r="H465" s="48"/>
      <c r="I465" s="481"/>
      <c r="J465" s="480"/>
      <c r="K465" s="48"/>
      <c r="L465" s="484">
        <v>0.0</v>
      </c>
      <c r="M465" s="480"/>
      <c r="N465" s="484"/>
      <c r="O465" s="480"/>
      <c r="P465" s="48"/>
      <c r="Q465" s="484">
        <v>0.0</v>
      </c>
      <c r="R465" s="480"/>
      <c r="S465" s="484">
        <f t="shared" si="120"/>
        <v>0</v>
      </c>
      <c r="T465" s="40"/>
      <c r="U465" s="40"/>
      <c r="V465" s="48"/>
      <c r="W465" s="40"/>
      <c r="X465" s="40"/>
      <c r="Y465" s="40"/>
      <c r="Z465" s="40"/>
      <c r="AA465" s="40"/>
      <c r="AB465" s="40"/>
      <c r="AC465" s="40"/>
      <c r="AD465" s="40"/>
      <c r="AE465" s="40"/>
      <c r="AF465" s="40"/>
      <c r="AG465" s="40"/>
      <c r="AH465" s="40"/>
      <c r="AI465" s="40"/>
      <c r="AJ465" s="40"/>
      <c r="AK465" s="40"/>
      <c r="AL465" s="40"/>
      <c r="AM465" s="40"/>
      <c r="AN465" s="40"/>
    </row>
    <row r="466" ht="15.75" customHeight="1">
      <c r="A466" s="5" t="s">
        <v>1045</v>
      </c>
      <c r="B466" s="48" t="s">
        <v>1025</v>
      </c>
      <c r="C466" s="559" t="s">
        <v>129</v>
      </c>
      <c r="D466" s="546"/>
      <c r="E466" s="48"/>
      <c r="F466" s="481">
        <v>0.0</v>
      </c>
      <c r="G466" s="547"/>
      <c r="H466" s="48"/>
      <c r="I466" s="481"/>
      <c r="J466" s="480"/>
      <c r="K466" s="48"/>
      <c r="L466" s="484">
        <v>80.48</v>
      </c>
      <c r="M466" s="480"/>
      <c r="N466" s="484"/>
      <c r="O466" s="480"/>
      <c r="P466" s="48"/>
      <c r="Q466" s="484">
        <v>0.0</v>
      </c>
      <c r="R466" s="480"/>
      <c r="S466" s="484">
        <f t="shared" si="120"/>
        <v>80.48</v>
      </c>
      <c r="T466" s="40"/>
      <c r="U466" s="40"/>
      <c r="V466" s="48"/>
      <c r="W466" s="40"/>
      <c r="X466" s="40"/>
      <c r="Y466" s="40"/>
      <c r="Z466" s="40"/>
      <c r="AA466" s="40"/>
      <c r="AB466" s="40"/>
      <c r="AC466" s="40"/>
      <c r="AD466" s="40"/>
      <c r="AE466" s="40"/>
      <c r="AF466" s="40"/>
      <c r="AG466" s="40"/>
      <c r="AH466" s="40"/>
      <c r="AI466" s="40"/>
      <c r="AJ466" s="40"/>
      <c r="AK466" s="40"/>
      <c r="AL466" s="40"/>
      <c r="AM466" s="40"/>
      <c r="AN466" s="40"/>
    </row>
    <row r="467" ht="15.75" customHeight="1">
      <c r="A467" s="5" t="s">
        <v>1046</v>
      </c>
      <c r="B467" s="48" t="s">
        <v>1025</v>
      </c>
      <c r="C467" s="560" t="s">
        <v>130</v>
      </c>
      <c r="D467" s="549"/>
      <c r="E467" s="564"/>
      <c r="F467" s="473">
        <v>0.0</v>
      </c>
      <c r="G467" s="550"/>
      <c r="H467" s="564"/>
      <c r="I467" s="473"/>
      <c r="J467" s="471"/>
      <c r="K467" s="564"/>
      <c r="L467" s="476">
        <v>0.0</v>
      </c>
      <c r="M467" s="471"/>
      <c r="N467" s="476"/>
      <c r="O467" s="471"/>
      <c r="P467" s="564"/>
      <c r="Q467" s="476">
        <v>0.0</v>
      </c>
      <c r="R467" s="471"/>
      <c r="S467" s="476">
        <f t="shared" si="120"/>
        <v>0</v>
      </c>
      <c r="T467" s="40"/>
      <c r="U467" s="40"/>
      <c r="V467" s="48"/>
      <c r="W467" s="40"/>
      <c r="X467" s="40"/>
      <c r="Y467" s="40"/>
      <c r="Z467" s="40"/>
      <c r="AA467" s="40"/>
      <c r="AB467" s="40"/>
      <c r="AC467" s="40"/>
      <c r="AD467" s="40"/>
      <c r="AE467" s="40"/>
      <c r="AF467" s="40"/>
      <c r="AG467" s="40"/>
      <c r="AH467" s="40"/>
      <c r="AI467" s="40"/>
      <c r="AJ467" s="40"/>
      <c r="AK467" s="40"/>
      <c r="AL467" s="40"/>
      <c r="AM467" s="40"/>
      <c r="AN467" s="40"/>
    </row>
    <row r="468" ht="15.75" customHeight="1">
      <c r="A468" s="5" t="s">
        <v>1047</v>
      </c>
      <c r="B468" s="48" t="s">
        <v>1025</v>
      </c>
      <c r="C468" s="559" t="s">
        <v>131</v>
      </c>
      <c r="D468" s="546"/>
      <c r="E468" s="48"/>
      <c r="F468" s="481">
        <v>0.0</v>
      </c>
      <c r="G468" s="547"/>
      <c r="H468" s="48"/>
      <c r="I468" s="481"/>
      <c r="J468" s="480"/>
      <c r="K468" s="48"/>
      <c r="L468" s="484">
        <v>0.0</v>
      </c>
      <c r="M468" s="480"/>
      <c r="N468" s="484"/>
      <c r="O468" s="480"/>
      <c r="P468" s="48"/>
      <c r="Q468" s="484">
        <v>0.0</v>
      </c>
      <c r="R468" s="480"/>
      <c r="S468" s="484">
        <f t="shared" si="120"/>
        <v>0</v>
      </c>
      <c r="T468" s="40"/>
      <c r="U468" s="40"/>
      <c r="V468" s="48"/>
      <c r="W468" s="40"/>
      <c r="X468" s="40"/>
      <c r="Y468" s="40"/>
      <c r="Z468" s="40"/>
      <c r="AA468" s="40"/>
      <c r="AB468" s="40"/>
      <c r="AC468" s="40"/>
      <c r="AD468" s="40"/>
      <c r="AE468" s="40"/>
      <c r="AF468" s="40"/>
      <c r="AG468" s="40"/>
      <c r="AH468" s="40"/>
      <c r="AI468" s="40"/>
      <c r="AJ468" s="40"/>
      <c r="AK468" s="40"/>
      <c r="AL468" s="40"/>
      <c r="AM468" s="40"/>
      <c r="AN468" s="40"/>
    </row>
    <row r="469" ht="15.75" customHeight="1">
      <c r="A469" s="5" t="s">
        <v>1048</v>
      </c>
      <c r="B469" s="48" t="s">
        <v>1025</v>
      </c>
      <c r="C469" s="559" t="s">
        <v>132</v>
      </c>
      <c r="D469" s="546"/>
      <c r="E469" s="48"/>
      <c r="F469" s="481">
        <v>0.0</v>
      </c>
      <c r="G469" s="547"/>
      <c r="H469" s="48"/>
      <c r="I469" s="481"/>
      <c r="J469" s="480"/>
      <c r="K469" s="48"/>
      <c r="L469" s="484">
        <v>0.0</v>
      </c>
      <c r="M469" s="480"/>
      <c r="N469" s="484"/>
      <c r="O469" s="480"/>
      <c r="P469" s="48"/>
      <c r="Q469" s="484">
        <v>0.0</v>
      </c>
      <c r="R469" s="480"/>
      <c r="S469" s="484">
        <f t="shared" si="120"/>
        <v>0</v>
      </c>
      <c r="T469" s="40"/>
      <c r="U469" s="40"/>
      <c r="V469" s="48"/>
      <c r="W469" s="40"/>
      <c r="X469" s="40"/>
      <c r="Y469" s="40"/>
      <c r="Z469" s="40"/>
      <c r="AA469" s="40"/>
      <c r="AB469" s="40"/>
      <c r="AC469" s="40"/>
      <c r="AD469" s="40"/>
      <c r="AE469" s="40"/>
      <c r="AF469" s="40"/>
      <c r="AG469" s="40"/>
      <c r="AH469" s="40"/>
      <c r="AI469" s="40"/>
      <c r="AJ469" s="40"/>
      <c r="AK469" s="40"/>
      <c r="AL469" s="40"/>
      <c r="AM469" s="40"/>
      <c r="AN469" s="40"/>
    </row>
    <row r="470" ht="15.75" customHeight="1">
      <c r="A470" s="5" t="s">
        <v>1049</v>
      </c>
      <c r="B470" s="48" t="s">
        <v>1025</v>
      </c>
      <c r="C470" s="559" t="s">
        <v>133</v>
      </c>
      <c r="D470" s="549"/>
      <c r="E470" s="564"/>
      <c r="F470" s="473">
        <v>0.0</v>
      </c>
      <c r="G470" s="550"/>
      <c r="H470" s="564"/>
      <c r="I470" s="473"/>
      <c r="J470" s="471"/>
      <c r="K470" s="564"/>
      <c r="L470" s="476">
        <v>0.0</v>
      </c>
      <c r="M470" s="471"/>
      <c r="N470" s="476"/>
      <c r="O470" s="471"/>
      <c r="P470" s="564"/>
      <c r="Q470" s="476">
        <v>0.0</v>
      </c>
      <c r="R470" s="471"/>
      <c r="S470" s="476">
        <f t="shared" si="120"/>
        <v>0</v>
      </c>
      <c r="T470" s="40"/>
      <c r="U470" s="40"/>
      <c r="V470" s="48"/>
      <c r="W470" s="40"/>
      <c r="X470" s="40"/>
      <c r="Y470" s="40"/>
      <c r="Z470" s="40"/>
      <c r="AA470" s="40"/>
      <c r="AB470" s="40"/>
      <c r="AC470" s="40"/>
      <c r="AD470" s="40"/>
      <c r="AE470" s="40"/>
      <c r="AF470" s="40"/>
      <c r="AG470" s="40"/>
      <c r="AH470" s="40"/>
      <c r="AI470" s="40"/>
      <c r="AJ470" s="40"/>
      <c r="AK470" s="40"/>
      <c r="AL470" s="40"/>
      <c r="AM470" s="40"/>
      <c r="AN470" s="40"/>
    </row>
    <row r="471" ht="20.25" customHeight="1">
      <c r="A471" s="5" t="s">
        <v>1050</v>
      </c>
      <c r="B471" s="48" t="s">
        <v>1025</v>
      </c>
      <c r="C471" s="654" t="s">
        <v>134</v>
      </c>
      <c r="D471" s="546"/>
      <c r="E471" s="48"/>
      <c r="F471" s="481">
        <v>0.0</v>
      </c>
      <c r="G471" s="547"/>
      <c r="H471" s="48"/>
      <c r="I471" s="481"/>
      <c r="J471" s="480"/>
      <c r="K471" s="48"/>
      <c r="L471" s="484">
        <v>0.0</v>
      </c>
      <c r="M471" s="480"/>
      <c r="N471" s="484"/>
      <c r="O471" s="480"/>
      <c r="P471" s="48"/>
      <c r="Q471" s="484">
        <v>0.0</v>
      </c>
      <c r="R471" s="480"/>
      <c r="S471" s="484">
        <f t="shared" si="120"/>
        <v>0</v>
      </c>
      <c r="T471" s="40"/>
      <c r="U471" s="40"/>
      <c r="V471" s="48"/>
      <c r="W471" s="40"/>
      <c r="X471" s="40"/>
      <c r="Y471" s="40"/>
      <c r="Z471" s="40"/>
      <c r="AA471" s="40"/>
      <c r="AB471" s="40"/>
      <c r="AC471" s="40"/>
      <c r="AD471" s="40"/>
      <c r="AE471" s="40"/>
      <c r="AF471" s="40"/>
      <c r="AG471" s="40"/>
      <c r="AH471" s="40"/>
      <c r="AI471" s="40"/>
      <c r="AJ471" s="40"/>
      <c r="AK471" s="40"/>
      <c r="AL471" s="40"/>
      <c r="AM471" s="40"/>
      <c r="AN471" s="40"/>
    </row>
    <row r="472" ht="20.25" customHeight="1">
      <c r="A472" s="5" t="s">
        <v>1051</v>
      </c>
      <c r="B472" s="48" t="s">
        <v>1025</v>
      </c>
      <c r="C472" s="559" t="s">
        <v>135</v>
      </c>
      <c r="D472" s="546"/>
      <c r="E472" s="48"/>
      <c r="F472" s="481">
        <v>0.0</v>
      </c>
      <c r="G472" s="547"/>
      <c r="H472" s="48"/>
      <c r="I472" s="481"/>
      <c r="J472" s="480"/>
      <c r="K472" s="48"/>
      <c r="L472" s="484">
        <v>0.0</v>
      </c>
      <c r="M472" s="480"/>
      <c r="N472" s="484"/>
      <c r="O472" s="480"/>
      <c r="P472" s="48"/>
      <c r="Q472" s="484">
        <v>0.0</v>
      </c>
      <c r="R472" s="480"/>
      <c r="S472" s="484">
        <f t="shared" si="120"/>
        <v>0</v>
      </c>
      <c r="T472" s="40"/>
      <c r="U472" s="40"/>
      <c r="V472" s="48"/>
      <c r="W472" s="40"/>
      <c r="X472" s="40"/>
      <c r="Y472" s="40"/>
      <c r="Z472" s="40"/>
      <c r="AA472" s="40"/>
      <c r="AB472" s="40"/>
      <c r="AC472" s="40"/>
      <c r="AD472" s="40"/>
      <c r="AE472" s="40"/>
      <c r="AF472" s="40"/>
      <c r="AG472" s="40"/>
      <c r="AH472" s="40"/>
      <c r="AI472" s="40"/>
      <c r="AJ472" s="40"/>
      <c r="AK472" s="40"/>
      <c r="AL472" s="40"/>
      <c r="AM472" s="40"/>
      <c r="AN472" s="40"/>
    </row>
    <row r="473" ht="20.25" customHeight="1">
      <c r="A473" s="5" t="s">
        <v>1052</v>
      </c>
      <c r="B473" s="48" t="s">
        <v>1025</v>
      </c>
      <c r="C473" s="559" t="s">
        <v>136</v>
      </c>
      <c r="D473" s="546"/>
      <c r="E473" s="48"/>
      <c r="F473" s="481">
        <v>0.0</v>
      </c>
      <c r="G473" s="547"/>
      <c r="H473" s="48"/>
      <c r="I473" s="481"/>
      <c r="J473" s="480"/>
      <c r="K473" s="48"/>
      <c r="L473" s="484">
        <v>0.0</v>
      </c>
      <c r="M473" s="480"/>
      <c r="N473" s="484"/>
      <c r="O473" s="480"/>
      <c r="P473" s="48"/>
      <c r="Q473" s="484">
        <v>0.0</v>
      </c>
      <c r="R473" s="480"/>
      <c r="S473" s="484">
        <f t="shared" si="120"/>
        <v>0</v>
      </c>
      <c r="T473" s="40"/>
      <c r="U473" s="40"/>
      <c r="V473" s="48"/>
      <c r="W473" s="40"/>
      <c r="X473" s="40"/>
      <c r="Y473" s="40"/>
      <c r="Z473" s="40"/>
      <c r="AA473" s="40"/>
      <c r="AB473" s="40"/>
      <c r="AC473" s="40"/>
      <c r="AD473" s="40"/>
      <c r="AE473" s="40"/>
      <c r="AF473" s="40"/>
      <c r="AG473" s="40"/>
      <c r="AH473" s="40"/>
      <c r="AI473" s="40"/>
      <c r="AJ473" s="40"/>
      <c r="AK473" s="40"/>
      <c r="AL473" s="40"/>
      <c r="AM473" s="40"/>
      <c r="AN473" s="40"/>
    </row>
    <row r="474" ht="20.25" customHeight="1">
      <c r="A474" s="5" t="s">
        <v>1053</v>
      </c>
      <c r="B474" s="48" t="s">
        <v>1025</v>
      </c>
      <c r="C474" s="559" t="s">
        <v>137</v>
      </c>
      <c r="D474" s="546"/>
      <c r="E474" s="48"/>
      <c r="F474" s="481">
        <v>0.0</v>
      </c>
      <c r="G474" s="547"/>
      <c r="H474" s="48"/>
      <c r="I474" s="481"/>
      <c r="J474" s="480"/>
      <c r="K474" s="48"/>
      <c r="L474" s="484">
        <v>0.0</v>
      </c>
      <c r="M474" s="480"/>
      <c r="N474" s="484"/>
      <c r="O474" s="480"/>
      <c r="P474" s="48"/>
      <c r="Q474" s="484">
        <v>0.0</v>
      </c>
      <c r="R474" s="480"/>
      <c r="S474" s="484">
        <f t="shared" si="120"/>
        <v>0</v>
      </c>
      <c r="T474" s="40"/>
      <c r="U474" s="40"/>
      <c r="V474" s="48"/>
      <c r="W474" s="40"/>
      <c r="X474" s="40"/>
      <c r="Y474" s="40"/>
      <c r="Z474" s="40"/>
      <c r="AA474" s="40"/>
      <c r="AB474" s="40"/>
      <c r="AC474" s="40"/>
      <c r="AD474" s="40"/>
      <c r="AE474" s="40"/>
      <c r="AF474" s="40"/>
      <c r="AG474" s="40"/>
      <c r="AH474" s="40"/>
      <c r="AI474" s="40"/>
      <c r="AJ474" s="40"/>
      <c r="AK474" s="40"/>
      <c r="AL474" s="40"/>
      <c r="AM474" s="40"/>
      <c r="AN474" s="40"/>
    </row>
    <row r="475" ht="20.25" customHeight="1">
      <c r="A475" s="5" t="s">
        <v>1054</v>
      </c>
      <c r="B475" s="48" t="s">
        <v>1025</v>
      </c>
      <c r="C475" s="559" t="s">
        <v>138</v>
      </c>
      <c r="D475" s="546"/>
      <c r="E475" s="48"/>
      <c r="F475" s="481">
        <v>0.0</v>
      </c>
      <c r="G475" s="547"/>
      <c r="H475" s="48"/>
      <c r="I475" s="481"/>
      <c r="J475" s="480"/>
      <c r="K475" s="48"/>
      <c r="L475" s="484">
        <v>0.0</v>
      </c>
      <c r="M475" s="480"/>
      <c r="N475" s="484"/>
      <c r="O475" s="480"/>
      <c r="P475" s="48"/>
      <c r="Q475" s="484">
        <v>0.0</v>
      </c>
      <c r="R475" s="480"/>
      <c r="S475" s="484">
        <f t="shared" si="120"/>
        <v>0</v>
      </c>
      <c r="T475" s="40"/>
      <c r="U475" s="40"/>
      <c r="V475" s="48"/>
      <c r="W475" s="40"/>
      <c r="X475" s="40"/>
      <c r="Y475" s="40"/>
      <c r="Z475" s="40"/>
      <c r="AA475" s="40"/>
      <c r="AB475" s="40"/>
      <c r="AC475" s="40"/>
      <c r="AD475" s="40"/>
      <c r="AE475" s="40"/>
      <c r="AF475" s="40"/>
      <c r="AG475" s="40"/>
      <c r="AH475" s="40"/>
      <c r="AI475" s="40"/>
      <c r="AJ475" s="40"/>
      <c r="AK475" s="40"/>
      <c r="AL475" s="40"/>
      <c r="AM475" s="40"/>
      <c r="AN475" s="40"/>
    </row>
    <row r="476" ht="20.25" customHeight="1">
      <c r="A476" s="5" t="s">
        <v>1055</v>
      </c>
      <c r="B476" s="48" t="s">
        <v>1025</v>
      </c>
      <c r="C476" s="559" t="s">
        <v>139</v>
      </c>
      <c r="D476" s="546"/>
      <c r="E476" s="48"/>
      <c r="F476" s="481">
        <v>0.0</v>
      </c>
      <c r="G476" s="547"/>
      <c r="H476" s="48"/>
      <c r="I476" s="481"/>
      <c r="J476" s="480"/>
      <c r="K476" s="48"/>
      <c r="L476" s="484">
        <v>0.0</v>
      </c>
      <c r="M476" s="480"/>
      <c r="N476" s="484"/>
      <c r="O476" s="480"/>
      <c r="P476" s="48"/>
      <c r="Q476" s="484">
        <v>0.0</v>
      </c>
      <c r="R476" s="480"/>
      <c r="S476" s="484">
        <f t="shared" si="120"/>
        <v>0</v>
      </c>
      <c r="T476" s="40"/>
      <c r="U476" s="40"/>
      <c r="V476" s="48"/>
      <c r="W476" s="40"/>
      <c r="X476" s="40"/>
      <c r="Y476" s="40"/>
      <c r="Z476" s="40"/>
      <c r="AA476" s="40"/>
      <c r="AB476" s="40"/>
      <c r="AC476" s="40"/>
      <c r="AD476" s="40"/>
      <c r="AE476" s="40"/>
      <c r="AF476" s="40"/>
      <c r="AG476" s="40"/>
      <c r="AH476" s="40"/>
      <c r="AI476" s="40"/>
      <c r="AJ476" s="40"/>
      <c r="AK476" s="40"/>
      <c r="AL476" s="40"/>
      <c r="AM476" s="40"/>
      <c r="AN476" s="40"/>
    </row>
    <row r="477" ht="20.25" customHeight="1">
      <c r="A477" s="5" t="s">
        <v>1056</v>
      </c>
      <c r="B477" s="48" t="s">
        <v>1025</v>
      </c>
      <c r="C477" s="559" t="s">
        <v>140</v>
      </c>
      <c r="D477" s="546"/>
      <c r="E477" s="48"/>
      <c r="F477" s="481">
        <v>0.0</v>
      </c>
      <c r="G477" s="547"/>
      <c r="H477" s="48"/>
      <c r="I477" s="481"/>
      <c r="J477" s="480"/>
      <c r="K477" s="48"/>
      <c r="L477" s="484">
        <v>0.0</v>
      </c>
      <c r="M477" s="480"/>
      <c r="N477" s="484"/>
      <c r="O477" s="480"/>
      <c r="P477" s="48"/>
      <c r="Q477" s="484">
        <v>0.0</v>
      </c>
      <c r="R477" s="480"/>
      <c r="S477" s="484">
        <f t="shared" si="120"/>
        <v>0</v>
      </c>
      <c r="T477" s="40"/>
      <c r="U477" s="40"/>
      <c r="V477" s="48"/>
      <c r="W477" s="40"/>
      <c r="X477" s="40"/>
      <c r="Y477" s="40"/>
      <c r="Z477" s="40"/>
      <c r="AA477" s="40"/>
      <c r="AB477" s="40"/>
      <c r="AC477" s="40"/>
      <c r="AD477" s="40"/>
      <c r="AE477" s="40"/>
      <c r="AF477" s="40"/>
      <c r="AG477" s="40"/>
      <c r="AH477" s="40"/>
      <c r="AI477" s="40"/>
      <c r="AJ477" s="40"/>
      <c r="AK477" s="40"/>
      <c r="AL477" s="40"/>
      <c r="AM477" s="40"/>
      <c r="AN477" s="40"/>
    </row>
    <row r="478" ht="19.5" customHeight="1">
      <c r="A478" s="5" t="s">
        <v>1057</v>
      </c>
      <c r="B478" s="48" t="s">
        <v>1025</v>
      </c>
      <c r="C478" s="559" t="s">
        <v>141</v>
      </c>
      <c r="D478" s="546"/>
      <c r="E478" s="48"/>
      <c r="F478" s="481">
        <v>0.0</v>
      </c>
      <c r="G478" s="547"/>
      <c r="H478" s="48"/>
      <c r="I478" s="481"/>
      <c r="J478" s="480"/>
      <c r="K478" s="48"/>
      <c r="L478" s="484">
        <v>0.0</v>
      </c>
      <c r="M478" s="480"/>
      <c r="N478" s="484"/>
      <c r="O478" s="480"/>
      <c r="P478" s="48"/>
      <c r="Q478" s="484">
        <v>0.0</v>
      </c>
      <c r="R478" s="480"/>
      <c r="S478" s="484">
        <f t="shared" si="120"/>
        <v>0</v>
      </c>
      <c r="T478" s="40"/>
      <c r="U478" s="40"/>
      <c r="V478" s="48"/>
      <c r="W478" s="40"/>
      <c r="X478" s="40"/>
      <c r="Y478" s="40"/>
      <c r="Z478" s="40"/>
      <c r="AA478" s="40"/>
      <c r="AB478" s="40"/>
      <c r="AC478" s="40"/>
      <c r="AD478" s="40"/>
      <c r="AE478" s="40"/>
      <c r="AF478" s="40"/>
      <c r="AG478" s="40"/>
      <c r="AH478" s="40"/>
      <c r="AI478" s="40"/>
      <c r="AJ478" s="40"/>
      <c r="AK478" s="40"/>
      <c r="AL478" s="40"/>
      <c r="AM478" s="40"/>
      <c r="AN478" s="40"/>
    </row>
    <row r="479" ht="20.25" hidden="1" customHeight="1">
      <c r="A479" s="5" t="s">
        <v>1038</v>
      </c>
      <c r="B479" s="48" t="s">
        <v>1025</v>
      </c>
      <c r="C479" s="559" t="s">
        <v>56</v>
      </c>
      <c r="D479" s="546"/>
      <c r="E479" s="48"/>
      <c r="F479" s="481">
        <v>0.0</v>
      </c>
      <c r="G479" s="547"/>
      <c r="H479" s="48"/>
      <c r="I479" s="481"/>
      <c r="J479" s="480"/>
      <c r="K479" s="48"/>
      <c r="L479" s="484">
        <v>0.0</v>
      </c>
      <c r="M479" s="480"/>
      <c r="N479" s="484"/>
      <c r="O479" s="480"/>
      <c r="P479" s="48"/>
      <c r="Q479" s="484">
        <v>0.0</v>
      </c>
      <c r="R479" s="480"/>
      <c r="S479" s="484">
        <f t="shared" si="120"/>
        <v>0</v>
      </c>
      <c r="T479" s="40"/>
      <c r="U479" s="40"/>
      <c r="V479" s="48"/>
      <c r="W479" s="40"/>
      <c r="X479" s="40"/>
      <c r="Y479" s="40"/>
      <c r="Z479" s="40"/>
      <c r="AA479" s="40"/>
      <c r="AB479" s="40"/>
      <c r="AC479" s="40"/>
      <c r="AD479" s="40"/>
      <c r="AE479" s="40"/>
      <c r="AF479" s="40"/>
      <c r="AG479" s="40"/>
      <c r="AH479" s="40"/>
      <c r="AI479" s="40"/>
      <c r="AJ479" s="40"/>
      <c r="AK479" s="40"/>
      <c r="AL479" s="40"/>
      <c r="AM479" s="40"/>
      <c r="AN479" s="40"/>
    </row>
    <row r="480" ht="20.25" hidden="1" customHeight="1">
      <c r="A480" s="5" t="s">
        <v>1038</v>
      </c>
      <c r="B480" s="48" t="s">
        <v>1025</v>
      </c>
      <c r="C480" s="559" t="s">
        <v>56</v>
      </c>
      <c r="D480" s="546"/>
      <c r="E480" s="48"/>
      <c r="F480" s="481">
        <v>0.0</v>
      </c>
      <c r="G480" s="547"/>
      <c r="H480" s="48"/>
      <c r="I480" s="481"/>
      <c r="J480" s="480"/>
      <c r="K480" s="48"/>
      <c r="L480" s="484">
        <v>0.0</v>
      </c>
      <c r="M480" s="480"/>
      <c r="N480" s="484"/>
      <c r="O480" s="480"/>
      <c r="P480" s="48"/>
      <c r="Q480" s="484">
        <v>0.0</v>
      </c>
      <c r="R480" s="480"/>
      <c r="S480" s="484">
        <f t="shared" si="120"/>
        <v>0</v>
      </c>
      <c r="T480" s="40"/>
      <c r="U480" s="40"/>
      <c r="V480" s="48"/>
      <c r="W480" s="40"/>
      <c r="X480" s="40"/>
      <c r="Y480" s="40"/>
      <c r="Z480" s="40"/>
      <c r="AA480" s="40"/>
      <c r="AB480" s="40"/>
      <c r="AC480" s="40"/>
      <c r="AD480" s="40"/>
      <c r="AE480" s="40"/>
      <c r="AF480" s="40"/>
      <c r="AG480" s="40"/>
      <c r="AH480" s="40"/>
      <c r="AI480" s="40"/>
      <c r="AJ480" s="40"/>
      <c r="AK480" s="40"/>
      <c r="AL480" s="40"/>
      <c r="AM480" s="40"/>
      <c r="AN480" s="40"/>
    </row>
    <row r="481" ht="20.25" hidden="1" customHeight="1">
      <c r="A481" s="5" t="s">
        <v>1038</v>
      </c>
      <c r="B481" s="48" t="s">
        <v>1025</v>
      </c>
      <c r="C481" s="559" t="s">
        <v>56</v>
      </c>
      <c r="D481" s="549"/>
      <c r="E481" s="564"/>
      <c r="F481" s="481">
        <v>0.0</v>
      </c>
      <c r="G481" s="550"/>
      <c r="H481" s="564"/>
      <c r="I481" s="481"/>
      <c r="J481" s="471"/>
      <c r="K481" s="564"/>
      <c r="L481" s="484">
        <v>0.0</v>
      </c>
      <c r="M481" s="471"/>
      <c r="N481" s="476"/>
      <c r="O481" s="471"/>
      <c r="P481" s="564"/>
      <c r="Q481" s="484">
        <v>0.0</v>
      </c>
      <c r="R481" s="471"/>
      <c r="S481" s="476">
        <f t="shared" si="120"/>
        <v>0</v>
      </c>
      <c r="T481" s="40"/>
      <c r="U481" s="40"/>
      <c r="V481" s="48"/>
      <c r="W481" s="40"/>
      <c r="X481" s="40"/>
      <c r="Y481" s="40"/>
      <c r="Z481" s="40"/>
      <c r="AA481" s="40"/>
      <c r="AB481" s="40"/>
      <c r="AC481" s="40"/>
      <c r="AD481" s="40"/>
      <c r="AE481" s="40"/>
      <c r="AF481" s="40"/>
      <c r="AG481" s="40"/>
      <c r="AH481" s="40"/>
      <c r="AI481" s="40"/>
      <c r="AJ481" s="40"/>
      <c r="AK481" s="40"/>
      <c r="AL481" s="40"/>
      <c r="AM481" s="40"/>
      <c r="AN481" s="40"/>
    </row>
    <row r="482" ht="18.0" customHeight="1">
      <c r="A482" s="5"/>
      <c r="B482" s="48"/>
      <c r="C482" s="552" t="s">
        <v>142</v>
      </c>
      <c r="D482" s="553" t="s">
        <v>225</v>
      </c>
      <c r="E482" s="554">
        <f>IFERROR(F482/F$448,0)</f>
        <v>0</v>
      </c>
      <c r="F482" s="555">
        <f>+SUM(F465:F481)</f>
        <v>0</v>
      </c>
      <c r="G482" s="556"/>
      <c r="H482" s="554"/>
      <c r="I482" s="555"/>
      <c r="J482" s="556" t="s">
        <v>225</v>
      </c>
      <c r="K482" s="554">
        <f>IFERROR(L482/L$448,0)</f>
        <v>0.0003574664177</v>
      </c>
      <c r="L482" s="555">
        <f>+SUM(L465:L481)</f>
        <v>80.48</v>
      </c>
      <c r="M482" s="557"/>
      <c r="N482" s="555"/>
      <c r="O482" s="556" t="s">
        <v>225</v>
      </c>
      <c r="P482" s="554">
        <f>IFERROR(Q482/Q$448,0)</f>
        <v>0</v>
      </c>
      <c r="Q482" s="555">
        <f>+SUM(Q465:Q481)</f>
        <v>0</v>
      </c>
      <c r="R482" s="558"/>
      <c r="S482" s="555">
        <f>+SUM(S465:S481)</f>
        <v>80.48</v>
      </c>
      <c r="T482" s="48"/>
      <c r="U482" s="48"/>
      <c r="V482" s="48"/>
      <c r="W482" s="48"/>
      <c r="X482" s="48"/>
      <c r="Y482" s="48"/>
      <c r="Z482" s="48"/>
      <c r="AA482" s="48"/>
      <c r="AB482" s="48"/>
      <c r="AC482" s="48"/>
      <c r="AD482" s="48"/>
      <c r="AE482" s="48"/>
      <c r="AF482" s="48"/>
      <c r="AG482" s="48"/>
      <c r="AH482" s="48"/>
      <c r="AI482" s="48"/>
      <c r="AJ482" s="48"/>
      <c r="AK482" s="48"/>
      <c r="AL482" s="48"/>
      <c r="AM482" s="48"/>
      <c r="AN482" s="48"/>
    </row>
    <row r="483" ht="15.75" customHeight="1">
      <c r="B483" s="3"/>
      <c r="C483" s="480"/>
      <c r="D483" s="48"/>
      <c r="E483" s="48"/>
      <c r="F483" s="514"/>
      <c r="G483" s="480"/>
      <c r="H483" s="48"/>
      <c r="I483" s="514"/>
      <c r="J483" s="480"/>
      <c r="K483" s="48"/>
      <c r="L483" s="484"/>
      <c r="M483" s="500"/>
      <c r="N483" s="502"/>
      <c r="O483" s="480"/>
      <c r="P483" s="48"/>
      <c r="Q483" s="484"/>
      <c r="R483" s="480"/>
      <c r="S483" s="504"/>
      <c r="T483" s="40"/>
      <c r="U483" s="40"/>
      <c r="V483" s="48"/>
      <c r="W483" s="40"/>
      <c r="X483" s="40"/>
      <c r="Y483" s="40"/>
      <c r="Z483" s="40"/>
      <c r="AA483" s="40"/>
      <c r="AB483" s="40"/>
      <c r="AC483" s="40"/>
      <c r="AD483" s="40"/>
      <c r="AE483" s="40"/>
      <c r="AF483" s="40"/>
      <c r="AG483" s="40"/>
      <c r="AH483" s="40"/>
      <c r="AI483" s="40"/>
      <c r="AJ483" s="40"/>
      <c r="AK483" s="40"/>
      <c r="AL483" s="40"/>
      <c r="AM483" s="40"/>
      <c r="AN483" s="40"/>
    </row>
    <row r="484" ht="18.0" customHeight="1">
      <c r="A484" s="5"/>
      <c r="B484" s="48"/>
      <c r="C484" s="552" t="s">
        <v>143</v>
      </c>
      <c r="D484" s="553" t="s">
        <v>225</v>
      </c>
      <c r="E484" s="554">
        <f>IFERROR(F484/F$448,0)</f>
        <v>0</v>
      </c>
      <c r="F484" s="555">
        <f>F464+F482</f>
        <v>0</v>
      </c>
      <c r="G484" s="556"/>
      <c r="H484" s="554"/>
      <c r="I484" s="555"/>
      <c r="J484" s="556" t="s">
        <v>225</v>
      </c>
      <c r="K484" s="554">
        <f>IFERROR(L484/L$448,0)</f>
        <v>0.1283190288</v>
      </c>
      <c r="L484" s="555">
        <f>L464+L482</f>
        <v>28889.75</v>
      </c>
      <c r="M484" s="557"/>
      <c r="N484" s="555"/>
      <c r="O484" s="556" t="s">
        <v>225</v>
      </c>
      <c r="P484" s="554">
        <f>IFERROR(Q484/Q$448,0)</f>
        <v>0</v>
      </c>
      <c r="Q484" s="555">
        <f>Q464+Q482</f>
        <v>0</v>
      </c>
      <c r="R484" s="558"/>
      <c r="S484" s="555">
        <f>L484-Q484</f>
        <v>28889.75</v>
      </c>
      <c r="T484" s="48"/>
      <c r="U484" s="48"/>
      <c r="V484" s="48"/>
      <c r="W484" s="48"/>
      <c r="X484" s="48"/>
      <c r="Y484" s="48"/>
      <c r="Z484" s="48"/>
      <c r="AA484" s="48"/>
      <c r="AB484" s="48"/>
      <c r="AC484" s="48"/>
      <c r="AD484" s="48"/>
      <c r="AE484" s="48"/>
      <c r="AF484" s="48"/>
      <c r="AG484" s="48"/>
      <c r="AH484" s="48"/>
      <c r="AI484" s="48"/>
      <c r="AJ484" s="48"/>
      <c r="AK484" s="48"/>
      <c r="AL484" s="48"/>
      <c r="AM484" s="48"/>
      <c r="AN484" s="48"/>
    </row>
    <row r="485" ht="15.75" customHeight="1">
      <c r="B485" s="3"/>
      <c r="C485" s="480"/>
      <c r="D485" s="48"/>
      <c r="E485" s="48"/>
      <c r="F485" s="484"/>
      <c r="G485" s="480"/>
      <c r="H485" s="48"/>
      <c r="I485" s="484"/>
      <c r="J485" s="480"/>
      <c r="K485" s="48"/>
      <c r="L485" s="484"/>
      <c r="M485" s="500"/>
      <c r="N485" s="502"/>
      <c r="O485" s="480"/>
      <c r="P485" s="48"/>
      <c r="Q485" s="484"/>
      <c r="R485" s="480"/>
      <c r="S485" s="504"/>
      <c r="T485" s="40"/>
      <c r="U485" s="40"/>
      <c r="V485" s="48"/>
      <c r="W485" s="40"/>
      <c r="X485" s="40"/>
      <c r="Y485" s="40"/>
      <c r="Z485" s="40"/>
      <c r="AA485" s="40"/>
      <c r="AB485" s="40"/>
      <c r="AC485" s="40"/>
      <c r="AD485" s="40"/>
      <c r="AE485" s="40"/>
      <c r="AF485" s="40"/>
      <c r="AG485" s="40"/>
      <c r="AH485" s="40"/>
      <c r="AI485" s="40"/>
      <c r="AJ485" s="40"/>
      <c r="AK485" s="40"/>
      <c r="AL485" s="40"/>
      <c r="AM485" s="40"/>
      <c r="AN485" s="40"/>
    </row>
    <row r="486" ht="18.0" customHeight="1">
      <c r="A486" s="5"/>
      <c r="B486" s="48"/>
      <c r="C486" s="579" t="s">
        <v>150</v>
      </c>
      <c r="D486" s="580"/>
      <c r="E486" s="581"/>
      <c r="F486" s="582" t="str">
        <f>#REF!-F484</f>
        <v>#REF!</v>
      </c>
      <c r="G486" s="583"/>
      <c r="H486" s="581"/>
      <c r="I486" s="582"/>
      <c r="J486" s="583"/>
      <c r="K486" s="581"/>
      <c r="L486" s="582">
        <f>L448-L484</f>
        <v>196250.28</v>
      </c>
      <c r="M486" s="584"/>
      <c r="N486" s="582"/>
      <c r="O486" s="583"/>
      <c r="P486" s="581"/>
      <c r="Q486" s="582">
        <f>Q448-Q484</f>
        <v>200189.35</v>
      </c>
      <c r="R486" s="585"/>
      <c r="S486" s="582">
        <f>L486-Q486</f>
        <v>-3939.07</v>
      </c>
      <c r="T486" s="48"/>
      <c r="U486" s="48"/>
      <c r="V486" s="48"/>
      <c r="W486" s="48"/>
      <c r="X486" s="48"/>
      <c r="Y486" s="48"/>
      <c r="Z486" s="48"/>
      <c r="AA486" s="48"/>
      <c r="AB486" s="48"/>
      <c r="AC486" s="48"/>
      <c r="AD486" s="48"/>
      <c r="AE486" s="48"/>
      <c r="AF486" s="483"/>
      <c r="AG486" s="48"/>
      <c r="AH486" s="48"/>
      <c r="AI486" s="48"/>
      <c r="AJ486" s="483"/>
      <c r="AK486" s="48"/>
      <c r="AL486" s="48"/>
      <c r="AM486" s="48"/>
      <c r="AN486" s="48"/>
    </row>
    <row r="487" ht="15.75" customHeight="1">
      <c r="B487" s="3"/>
      <c r="C487" s="11"/>
      <c r="D487" s="501"/>
      <c r="E487" s="48"/>
      <c r="F487" s="503"/>
      <c r="G487" s="546"/>
      <c r="H487" s="48"/>
      <c r="I487" s="503"/>
      <c r="J487" s="501"/>
      <c r="K487" s="11"/>
      <c r="L487" s="503"/>
      <c r="M487" s="11"/>
      <c r="N487" s="503"/>
      <c r="O487" s="11"/>
      <c r="P487" s="11"/>
      <c r="Q487" s="503"/>
      <c r="R487" s="11"/>
      <c r="S487" s="503"/>
      <c r="T487" s="48"/>
      <c r="U487" s="48"/>
      <c r="V487" s="48"/>
      <c r="W487" s="48"/>
      <c r="X487" s="48"/>
      <c r="Y487" s="48"/>
      <c r="Z487" s="48"/>
      <c r="AA487" s="48"/>
      <c r="AB487" s="48"/>
      <c r="AC487" s="48"/>
      <c r="AD487" s="48"/>
      <c r="AE487" s="48"/>
      <c r="AF487" s="483"/>
      <c r="AG487" s="48"/>
      <c r="AH487" s="48"/>
      <c r="AI487" s="48"/>
      <c r="AJ487" s="48"/>
      <c r="AK487" s="48"/>
      <c r="AL487" s="48"/>
      <c r="AM487" s="48"/>
      <c r="AN487" s="48"/>
    </row>
    <row r="488" ht="15.75" customHeight="1">
      <c r="B488" s="3"/>
      <c r="F488" s="503"/>
      <c r="L488" s="503"/>
      <c r="V488" s="48"/>
      <c r="W488" s="40"/>
      <c r="X488" s="40"/>
      <c r="Y488" s="40"/>
      <c r="Z488" s="40"/>
      <c r="AA488" s="40"/>
      <c r="AB488" s="40"/>
      <c r="AC488" s="40"/>
      <c r="AD488" s="40"/>
      <c r="AE488" s="40"/>
      <c r="AF488" s="40"/>
      <c r="AG488" s="40"/>
      <c r="AH488" s="40"/>
      <c r="AI488" s="40"/>
      <c r="AJ488" s="40"/>
      <c r="AK488" s="40"/>
      <c r="AL488" s="40"/>
      <c r="AM488" s="40"/>
      <c r="AN488" s="40"/>
    </row>
    <row r="489" ht="14.25" customHeight="1">
      <c r="B489" s="3"/>
      <c r="C489" s="668"/>
      <c r="F489" s="669"/>
      <c r="L489" s="669"/>
      <c r="V489" s="670" t="str">
        <f>C1</f>
        <v>Ste-Marie Auto</v>
      </c>
      <c r="W489" s="450"/>
      <c r="X489" s="450"/>
      <c r="Y489" s="450"/>
      <c r="Z489" s="450"/>
      <c r="AA489" s="450"/>
      <c r="AB489" s="450"/>
      <c r="AC489" s="450"/>
      <c r="AD489" s="450"/>
      <c r="AE489" s="671" t="s">
        <v>195</v>
      </c>
      <c r="AF489" s="671"/>
      <c r="AG489" s="450"/>
      <c r="AH489" s="450"/>
      <c r="AI489" s="450"/>
      <c r="AJ489" s="672"/>
      <c r="AK489" s="451"/>
      <c r="AL489" s="450"/>
      <c r="AM489" s="450"/>
      <c r="AN489" s="450"/>
      <c r="AO489" s="672"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ht="15.75" customHeight="1">
      <c r="B490" s="3"/>
      <c r="C490" s="668"/>
      <c r="V490" s="673"/>
      <c r="W490" s="458"/>
      <c r="X490" s="458"/>
      <c r="Y490" s="458"/>
      <c r="Z490" s="458"/>
      <c r="AA490" s="458"/>
      <c r="AB490" s="458"/>
      <c r="AC490" s="458"/>
      <c r="AD490" s="458"/>
      <c r="AE490" s="458"/>
      <c r="AF490" s="458"/>
      <c r="AG490" s="458"/>
      <c r="AH490" s="458"/>
      <c r="AI490" s="458"/>
      <c r="AJ490" s="458"/>
      <c r="AK490" s="458"/>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ht="15.75" customHeight="1">
      <c r="A491" s="5" t="str">
        <f t="shared" ref="A491:A492" si="121">+U491&amp;V491</f>
        <v/>
      </c>
      <c r="B491" s="3"/>
      <c r="C491" s="668"/>
      <c r="V491" s="674"/>
      <c r="W491" s="675"/>
      <c r="X491" s="675" t="s">
        <v>1061</v>
      </c>
      <c r="Y491" s="676"/>
      <c r="Z491" s="677"/>
      <c r="AA491" s="678" t="s">
        <v>1114</v>
      </c>
      <c r="AB491" s="676"/>
      <c r="AC491" s="677"/>
      <c r="AD491" s="678" t="s">
        <v>775</v>
      </c>
      <c r="AE491" s="676"/>
      <c r="AF491" s="677"/>
      <c r="AG491" s="678" t="s">
        <v>776</v>
      </c>
      <c r="AH491" s="676"/>
      <c r="AI491" s="677"/>
      <c r="AJ491" s="678" t="s">
        <v>1062</v>
      </c>
      <c r="AK491" s="676"/>
      <c r="AL491" s="676"/>
      <c r="AM491" s="678" t="s">
        <v>1063</v>
      </c>
      <c r="AN491" s="676"/>
      <c r="AO491" s="679"/>
      <c r="AP491" s="40"/>
      <c r="AQ491" s="40"/>
      <c r="AR491" s="40"/>
      <c r="AS491" s="40"/>
      <c r="AT491" s="40"/>
      <c r="AU491" s="40"/>
      <c r="AV491" s="40"/>
      <c r="AW491" s="40"/>
      <c r="AX491" s="40"/>
      <c r="AY491" s="40"/>
      <c r="AZ491" s="40"/>
      <c r="BA491" s="40"/>
      <c r="BB491" s="40"/>
      <c r="BC491" s="40"/>
      <c r="BD491" s="40"/>
      <c r="BE491" s="40"/>
      <c r="BF491" s="40"/>
      <c r="BG491" s="40"/>
      <c r="BH491" s="40"/>
      <c r="BI491" s="40"/>
    </row>
    <row r="492" ht="15.75" customHeight="1">
      <c r="A492" s="5" t="str">
        <f t="shared" si="121"/>
        <v/>
      </c>
      <c r="B492" s="3"/>
      <c r="C492" s="668"/>
      <c r="V492" s="471"/>
      <c r="W492" s="650" t="s">
        <v>1064</v>
      </c>
      <c r="X492" s="650" t="s">
        <v>226</v>
      </c>
      <c r="Y492" s="650" t="s">
        <v>227</v>
      </c>
      <c r="Z492" s="680" t="s">
        <v>228</v>
      </c>
      <c r="AA492" s="650" t="s">
        <v>226</v>
      </c>
      <c r="AB492" s="650" t="s">
        <v>227</v>
      </c>
      <c r="AC492" s="680" t="s">
        <v>228</v>
      </c>
      <c r="AD492" s="681" t="s">
        <v>226</v>
      </c>
      <c r="AE492" s="650" t="s">
        <v>227</v>
      </c>
      <c r="AF492" s="650" t="s">
        <v>228</v>
      </c>
      <c r="AG492" s="681" t="s">
        <v>1065</v>
      </c>
      <c r="AH492" s="650" t="s">
        <v>1066</v>
      </c>
      <c r="AI492" s="650" t="s">
        <v>1067</v>
      </c>
      <c r="AJ492" s="681" t="s">
        <v>226</v>
      </c>
      <c r="AK492" s="650" t="s">
        <v>227</v>
      </c>
      <c r="AL492" s="650" t="s">
        <v>228</v>
      </c>
      <c r="AM492" s="682" t="s">
        <v>1065</v>
      </c>
      <c r="AN492" s="650" t="s">
        <v>1066</v>
      </c>
      <c r="AO492" s="590"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ht="15.75" customHeight="1">
      <c r="A493" s="5" t="s">
        <v>96</v>
      </c>
      <c r="B493" s="3"/>
      <c r="C493" s="668" t="s">
        <v>1058</v>
      </c>
      <c r="V493" s="560" t="s">
        <v>96</v>
      </c>
      <c r="W493" s="683"/>
      <c r="X493" s="683"/>
      <c r="Y493" s="683"/>
      <c r="Z493" s="684" t="str">
        <f>F5+F93+E268+E326+D390+#REF!</f>
        <v>#REF!</v>
      </c>
      <c r="AA493" s="683"/>
      <c r="AB493" s="683"/>
      <c r="AC493" s="684"/>
      <c r="AD493" s="685"/>
      <c r="AE493" s="686"/>
      <c r="AF493" s="684">
        <f>L5+L93+L173+K268+K326+J390+K448</f>
        <v>76228552.18</v>
      </c>
      <c r="AG493" s="685"/>
      <c r="AH493" s="686"/>
      <c r="AI493" s="687"/>
      <c r="AJ493" s="685"/>
      <c r="AK493" s="686"/>
      <c r="AL493" s="684">
        <f>Q5+Q93+Q173+P268+P326+O390+P448</f>
        <v>89182965.5</v>
      </c>
      <c r="AM493" s="688"/>
      <c r="AN493" s="686"/>
      <c r="AO493" s="689"/>
      <c r="AP493" s="40"/>
      <c r="AQ493" s="40"/>
      <c r="AR493" s="40"/>
      <c r="AS493" s="40"/>
      <c r="AT493" s="40"/>
      <c r="AU493" s="40"/>
      <c r="AV493" s="40"/>
      <c r="AW493" s="40"/>
      <c r="AX493" s="40"/>
      <c r="AY493" s="40"/>
      <c r="AZ493" s="40"/>
      <c r="BA493" s="40"/>
      <c r="BB493" s="40"/>
      <c r="BC493" s="40"/>
      <c r="BD493" s="40"/>
      <c r="BE493" s="40"/>
      <c r="BF493" s="40"/>
      <c r="BG493" s="40"/>
      <c r="BH493" s="40"/>
      <c r="BI493" s="40"/>
    </row>
    <row r="494" ht="21.0" customHeight="1">
      <c r="A494" s="5" t="s">
        <v>196</v>
      </c>
      <c r="B494" s="3"/>
      <c r="C494" s="668" t="s">
        <v>1058</v>
      </c>
      <c r="V494" s="690" t="s">
        <v>196</v>
      </c>
      <c r="W494" s="691"/>
      <c r="X494" s="692" t="str">
        <f>Z494/Z493</f>
        <v>#REF!</v>
      </c>
      <c r="Y494" s="691"/>
      <c r="Z494" s="693" t="str">
        <f>F27+F109+F268+F326+F390+#REF!</f>
        <v>#REF!</v>
      </c>
      <c r="AA494" s="691"/>
      <c r="AB494" s="691"/>
      <c r="AC494" s="693"/>
      <c r="AD494" s="692">
        <f>AF494/AF493</f>
        <v>0.03387014191</v>
      </c>
      <c r="AE494" s="694"/>
      <c r="AF494" s="693">
        <f>L27+L109+L182+L268+L326+L390+L448</f>
        <v>2581871.88</v>
      </c>
      <c r="AG494" s="695"/>
      <c r="AH494" s="694" t="str">
        <f>AF494-Z494</f>
        <v>#REF!</v>
      </c>
      <c r="AI494" s="696" t="str">
        <f>AH494/Z494</f>
        <v>#REF!</v>
      </c>
      <c r="AJ494" s="692">
        <f>AL494/AL493</f>
        <v>0.03550171451</v>
      </c>
      <c r="AK494" s="694"/>
      <c r="AL494" s="693">
        <f>Q27+Q109+Q182+Q268+Q326+Q390+Q448</f>
        <v>3166148.18</v>
      </c>
      <c r="AM494" s="697"/>
      <c r="AN494" s="694">
        <f>AF494-AL494</f>
        <v>-584276.3</v>
      </c>
      <c r="AO494" s="698">
        <f>IF(AL494=0,0,AN494/AL494)</f>
        <v>-0.1845385202</v>
      </c>
      <c r="AP494" s="40"/>
      <c r="AQ494" s="40"/>
      <c r="AR494" s="40"/>
      <c r="AS494" s="40"/>
      <c r="AT494" s="40"/>
      <c r="AU494" s="40"/>
      <c r="AV494" s="40"/>
      <c r="AW494" s="40"/>
      <c r="AX494" s="40"/>
      <c r="AY494" s="40"/>
      <c r="AZ494" s="40"/>
      <c r="BA494" s="40"/>
      <c r="BB494" s="40"/>
      <c r="BC494" s="40"/>
      <c r="BD494" s="40"/>
      <c r="BE494" s="40"/>
      <c r="BF494" s="40"/>
      <c r="BG494" s="40"/>
      <c r="BH494" s="40"/>
      <c r="BI494" s="40"/>
    </row>
    <row r="495" ht="15.75" customHeight="1">
      <c r="A495" s="5" t="str">
        <f t="shared" ref="A495:A526" si="122">+U495&amp;V495</f>
        <v>DÉPENSES</v>
      </c>
      <c r="B495" s="3"/>
      <c r="C495" s="668"/>
      <c r="V495" s="699" t="s">
        <v>197</v>
      </c>
      <c r="W495" s="700"/>
      <c r="X495" s="700"/>
      <c r="Y495" s="700"/>
      <c r="Z495" s="701"/>
      <c r="AA495" s="700"/>
      <c r="AB495" s="700"/>
      <c r="AC495" s="701"/>
      <c r="AD495" s="702"/>
      <c r="AE495" s="703"/>
      <c r="AF495" s="701"/>
      <c r="AG495" s="702"/>
      <c r="AH495" s="703"/>
      <c r="AI495" s="704"/>
      <c r="AJ495" s="702"/>
      <c r="AK495" s="703"/>
      <c r="AL495" s="701"/>
      <c r="AM495" s="705"/>
      <c r="AN495" s="703"/>
      <c r="AO495" s="706"/>
      <c r="AP495" s="40"/>
      <c r="AQ495" s="40"/>
      <c r="AR495" s="40"/>
      <c r="AS495" s="40"/>
      <c r="AT495" s="40"/>
      <c r="AU495" s="40"/>
      <c r="AV495" s="40"/>
      <c r="AW495" s="40"/>
      <c r="AX495" s="40"/>
      <c r="AY495" s="40"/>
      <c r="AZ495" s="40"/>
      <c r="BA495" s="40"/>
      <c r="BB495" s="40"/>
      <c r="BC495" s="40"/>
      <c r="BD495" s="40"/>
      <c r="BE495" s="40"/>
      <c r="BF495" s="40"/>
      <c r="BG495" s="40"/>
      <c r="BH495" s="40"/>
      <c r="BI495" s="40"/>
    </row>
    <row r="496" ht="15.75" customHeight="1">
      <c r="A496" s="5" t="str">
        <f t="shared" si="122"/>
        <v>Comm. vendeurs</v>
      </c>
      <c r="B496" s="3"/>
      <c r="C496" s="668"/>
      <c r="V496" s="559" t="s">
        <v>111</v>
      </c>
      <c r="W496" s="707" t="s">
        <v>1068</v>
      </c>
      <c r="X496" s="700"/>
      <c r="Y496" s="708" t="str">
        <f t="shared" ref="Y496:Y505" si="124">Z496/(D$13+D$97)</f>
        <v>#DIV/0!</v>
      </c>
      <c r="Z496" s="701">
        <v>0.0</v>
      </c>
      <c r="AA496" s="700"/>
      <c r="AB496" s="708">
        <f t="shared" ref="AB496:AB505" si="125">IF(AC496=0,0,AC496/(G$13+G$97))</f>
        <v>0</v>
      </c>
      <c r="AC496" s="701">
        <v>0.0</v>
      </c>
      <c r="AD496" s="709"/>
      <c r="AE496" s="703">
        <f t="shared" ref="AE496:AE505" si="126">IF(AF496=0,0,AF496/(J$13+J$97))</f>
        <v>1611.658253</v>
      </c>
      <c r="AF496" s="701">
        <v>369069.74</v>
      </c>
      <c r="AG496" s="702" t="str">
        <f t="shared" ref="AG496:AH496" si="123">AE496-Y496</f>
        <v>#DIV/0!</v>
      </c>
      <c r="AH496" s="703">
        <f t="shared" si="123"/>
        <v>369069.74</v>
      </c>
      <c r="AI496" s="704">
        <f t="shared" ref="AI496:AI505" si="128">IF(Z496=0,0,AH496/Z496)</f>
        <v>0</v>
      </c>
      <c r="AJ496" s="709"/>
      <c r="AK496" s="703">
        <f t="shared" ref="AK496:AK505" si="129">AL496/(O$13+O$97)</f>
        <v>823.9588211</v>
      </c>
      <c r="AL496" s="701">
        <f t="shared" ref="AL496:AL504" si="130">+SUMIF($C:$C,$V496,Q:Q)</f>
        <v>202693.87</v>
      </c>
      <c r="AM496" s="705" t="str">
        <f t="shared" ref="AM496:AM505" si="131">AE496-Y496</f>
        <v>#DIV/0!</v>
      </c>
      <c r="AN496" s="703">
        <f t="shared" ref="AN496:AN518" si="132">AF496-AL496</f>
        <v>166375.87</v>
      </c>
      <c r="AO496" s="710">
        <f t="shared" ref="AO496:AO518" si="133">IF(AL496=0,0,AN496/AL496)</f>
        <v>0.8208233924</v>
      </c>
      <c r="AP496" s="40"/>
      <c r="AQ496" s="40"/>
      <c r="AR496" s="3"/>
      <c r="AS496" s="40"/>
      <c r="AT496" s="40"/>
      <c r="AU496" s="40"/>
      <c r="AV496" s="40"/>
      <c r="AW496" s="40"/>
      <c r="AX496" s="40"/>
      <c r="AY496" s="40"/>
      <c r="AZ496" s="40"/>
      <c r="BA496" s="40"/>
      <c r="BB496" s="40"/>
      <c r="BC496" s="40"/>
      <c r="BD496" s="40"/>
      <c r="BE496" s="40"/>
      <c r="BF496" s="40"/>
      <c r="BG496" s="40"/>
      <c r="BH496" s="40"/>
      <c r="BI496" s="40"/>
    </row>
    <row r="497" ht="15.75" customHeight="1">
      <c r="A497" s="5" t="str">
        <f t="shared" si="122"/>
        <v>Comm. F&amp;I</v>
      </c>
      <c r="B497" s="3"/>
      <c r="C497" s="668"/>
      <c r="V497" s="560" t="s">
        <v>112</v>
      </c>
      <c r="W497" s="711" t="s">
        <v>1069</v>
      </c>
      <c r="X497" s="683"/>
      <c r="Y497" s="712" t="str">
        <f t="shared" si="124"/>
        <v>#DIV/0!</v>
      </c>
      <c r="Z497" s="684">
        <v>0.0</v>
      </c>
      <c r="AA497" s="683"/>
      <c r="AB497" s="712">
        <f t="shared" si="125"/>
        <v>0</v>
      </c>
      <c r="AC497" s="684">
        <v>0.0</v>
      </c>
      <c r="AD497" s="713"/>
      <c r="AE497" s="686">
        <f t="shared" si="126"/>
        <v>300.6951965</v>
      </c>
      <c r="AF497" s="684">
        <v>68859.20000000001</v>
      </c>
      <c r="AG497" s="685" t="str">
        <f t="shared" ref="AG497:AH497" si="127">AE497-Y497</f>
        <v>#DIV/0!</v>
      </c>
      <c r="AH497" s="686">
        <f t="shared" si="127"/>
        <v>68859.2</v>
      </c>
      <c r="AI497" s="714">
        <f t="shared" si="128"/>
        <v>0</v>
      </c>
      <c r="AJ497" s="713"/>
      <c r="AK497" s="686">
        <f t="shared" si="129"/>
        <v>153.3704472</v>
      </c>
      <c r="AL497" s="684">
        <f t="shared" si="130"/>
        <v>37729.13</v>
      </c>
      <c r="AM497" s="688" t="str">
        <f t="shared" si="131"/>
        <v>#DIV/0!</v>
      </c>
      <c r="AN497" s="686">
        <f t="shared" si="132"/>
        <v>31130.07</v>
      </c>
      <c r="AO497" s="689">
        <f t="shared" si="133"/>
        <v>0.8250937671</v>
      </c>
      <c r="AP497" s="40"/>
      <c r="AQ497" s="40"/>
      <c r="AR497" s="48"/>
      <c r="AS497" s="40"/>
      <c r="AT497" s="40"/>
      <c r="AU497" s="40"/>
      <c r="AV497" s="40"/>
      <c r="AW497" s="40"/>
      <c r="AX497" s="40"/>
      <c r="AY497" s="40"/>
      <c r="AZ497" s="40"/>
      <c r="BA497" s="40"/>
      <c r="BB497" s="40"/>
      <c r="BC497" s="40"/>
      <c r="BD497" s="40"/>
      <c r="BE497" s="40"/>
      <c r="BF497" s="40"/>
      <c r="BG497" s="40"/>
      <c r="BH497" s="40"/>
      <c r="BI497" s="40"/>
    </row>
    <row r="498" ht="15.75" customHeight="1">
      <c r="A498" s="5" t="str">
        <f t="shared" si="122"/>
        <v>Frais de livraison</v>
      </c>
      <c r="B498" s="3"/>
      <c r="C498" s="668"/>
      <c r="V498" s="559" t="s">
        <v>113</v>
      </c>
      <c r="W498" s="707" t="s">
        <v>1070</v>
      </c>
      <c r="X498" s="700"/>
      <c r="Y498" s="708" t="str">
        <f t="shared" si="124"/>
        <v>#DIV/0!</v>
      </c>
      <c r="Z498" s="701">
        <v>0.0</v>
      </c>
      <c r="AA498" s="700"/>
      <c r="AB498" s="708">
        <f t="shared" si="125"/>
        <v>0</v>
      </c>
      <c r="AC498" s="701">
        <v>0.0</v>
      </c>
      <c r="AD498" s="709"/>
      <c r="AE498" s="703">
        <f t="shared" si="126"/>
        <v>198.469738</v>
      </c>
      <c r="AF498" s="701">
        <v>45449.569999999985</v>
      </c>
      <c r="AG498" s="702" t="str">
        <f t="shared" ref="AG498:AH498" si="134">AE498-Y498</f>
        <v>#DIV/0!</v>
      </c>
      <c r="AH498" s="703">
        <f t="shared" si="134"/>
        <v>45449.57</v>
      </c>
      <c r="AI498" s="704">
        <f t="shared" si="128"/>
        <v>0</v>
      </c>
      <c r="AJ498" s="709"/>
      <c r="AK498" s="703">
        <f t="shared" si="129"/>
        <v>81.81089431</v>
      </c>
      <c r="AL498" s="701">
        <f t="shared" si="130"/>
        <v>20125.48</v>
      </c>
      <c r="AM498" s="705" t="str">
        <f t="shared" si="131"/>
        <v>#DIV/0!</v>
      </c>
      <c r="AN498" s="703">
        <f t="shared" si="132"/>
        <v>25324.09</v>
      </c>
      <c r="AO498" s="710">
        <f t="shared" si="133"/>
        <v>1.258309864</v>
      </c>
      <c r="AP498" s="40"/>
      <c r="AQ498" s="40"/>
      <c r="AR498" s="48"/>
      <c r="AS498" s="40"/>
      <c r="AT498" s="40"/>
      <c r="AU498" s="40"/>
      <c r="AV498" s="40"/>
      <c r="AW498" s="40"/>
      <c r="AX498" s="40"/>
      <c r="AY498" s="40"/>
      <c r="AZ498" s="40"/>
      <c r="BA498" s="40"/>
      <c r="BB498" s="40"/>
      <c r="BC498" s="40"/>
      <c r="BD498" s="40"/>
      <c r="BE498" s="40"/>
      <c r="BF498" s="40"/>
      <c r="BG498" s="40"/>
      <c r="BH498" s="40"/>
      <c r="BI498" s="40"/>
    </row>
    <row r="499" ht="15.75" customHeight="1">
      <c r="A499" s="5" t="str">
        <f t="shared" si="122"/>
        <v>Service gratuit 1</v>
      </c>
      <c r="B499" s="3"/>
      <c r="C499" s="668"/>
      <c r="V499" s="559" t="s">
        <v>114</v>
      </c>
      <c r="W499" s="707" t="s">
        <v>1071</v>
      </c>
      <c r="X499" s="700"/>
      <c r="Y499" s="708" t="str">
        <f t="shared" si="124"/>
        <v>#DIV/0!</v>
      </c>
      <c r="Z499" s="701">
        <v>0.0</v>
      </c>
      <c r="AA499" s="700"/>
      <c r="AB499" s="708">
        <f t="shared" si="125"/>
        <v>0</v>
      </c>
      <c r="AC499" s="701">
        <v>0.0</v>
      </c>
      <c r="AD499" s="709"/>
      <c r="AE499" s="703">
        <f t="shared" si="126"/>
        <v>64.54759825</v>
      </c>
      <c r="AF499" s="701">
        <v>14781.400000000001</v>
      </c>
      <c r="AG499" s="702" t="str">
        <f t="shared" ref="AG499:AH499" si="135">AE499-Y499</f>
        <v>#DIV/0!</v>
      </c>
      <c r="AH499" s="703">
        <f t="shared" si="135"/>
        <v>14781.4</v>
      </c>
      <c r="AI499" s="704">
        <f t="shared" si="128"/>
        <v>0</v>
      </c>
      <c r="AJ499" s="709"/>
      <c r="AK499" s="703">
        <f t="shared" si="129"/>
        <v>11.3395935</v>
      </c>
      <c r="AL499" s="701">
        <f t="shared" si="130"/>
        <v>2789.54</v>
      </c>
      <c r="AM499" s="705" t="str">
        <f t="shared" si="131"/>
        <v>#DIV/0!</v>
      </c>
      <c r="AN499" s="703">
        <f t="shared" si="132"/>
        <v>11991.86</v>
      </c>
      <c r="AO499" s="710">
        <f t="shared" si="133"/>
        <v>4.29886648</v>
      </c>
      <c r="AP499" s="40"/>
      <c r="AQ499" s="40"/>
      <c r="AR499" s="48"/>
      <c r="AS499" s="40"/>
      <c r="AT499" s="40"/>
      <c r="AU499" s="40"/>
      <c r="AV499" s="40"/>
      <c r="AW499" s="40"/>
      <c r="AX499" s="40"/>
      <c r="AY499" s="40"/>
      <c r="AZ499" s="40"/>
      <c r="BA499" s="40"/>
      <c r="BB499" s="40"/>
      <c r="BC499" s="40"/>
      <c r="BD499" s="40"/>
      <c r="BE499" s="40"/>
      <c r="BF499" s="40"/>
      <c r="BG499" s="40"/>
      <c r="BH499" s="40"/>
      <c r="BI499" s="40"/>
    </row>
    <row r="500" ht="15.75" customHeight="1">
      <c r="A500" s="5" t="str">
        <f t="shared" si="122"/>
        <v>Entretien stock</v>
      </c>
      <c r="B500" s="3"/>
      <c r="C500" s="668"/>
      <c r="V500" s="560" t="s">
        <v>115</v>
      </c>
      <c r="W500" s="711"/>
      <c r="X500" s="683"/>
      <c r="Y500" s="712" t="str">
        <f t="shared" si="124"/>
        <v>#DIV/0!</v>
      </c>
      <c r="Z500" s="684">
        <v>0.0</v>
      </c>
      <c r="AA500" s="683"/>
      <c r="AB500" s="712">
        <f t="shared" si="125"/>
        <v>0</v>
      </c>
      <c r="AC500" s="684">
        <v>0.0</v>
      </c>
      <c r="AD500" s="713"/>
      <c r="AE500" s="686">
        <f t="shared" si="126"/>
        <v>10.06384279</v>
      </c>
      <c r="AF500" s="684">
        <v>2304.62</v>
      </c>
      <c r="AG500" s="685" t="str">
        <f t="shared" ref="AG500:AH500" si="136">AE500-Y500</f>
        <v>#DIV/0!</v>
      </c>
      <c r="AH500" s="686">
        <f t="shared" si="136"/>
        <v>2304.62</v>
      </c>
      <c r="AI500" s="714">
        <f t="shared" si="128"/>
        <v>0</v>
      </c>
      <c r="AJ500" s="713"/>
      <c r="AK500" s="686">
        <f t="shared" si="129"/>
        <v>0</v>
      </c>
      <c r="AL500" s="684">
        <f t="shared" si="130"/>
        <v>0</v>
      </c>
      <c r="AM500" s="688" t="str">
        <f t="shared" si="131"/>
        <v>#DIV/0!</v>
      </c>
      <c r="AN500" s="686">
        <f t="shared" si="132"/>
        <v>2304.62</v>
      </c>
      <c r="AO500" s="689">
        <f t="shared" si="133"/>
        <v>0</v>
      </c>
      <c r="AP500" s="40"/>
      <c r="AQ500" s="40"/>
      <c r="AR500" s="48"/>
      <c r="AS500" s="40"/>
      <c r="AT500" s="40"/>
      <c r="AU500" s="40"/>
      <c r="AV500" s="40"/>
      <c r="AW500" s="40"/>
      <c r="AX500" s="40"/>
      <c r="AY500" s="40"/>
      <c r="AZ500" s="40"/>
      <c r="BA500" s="40"/>
      <c r="BB500" s="40"/>
      <c r="BC500" s="40"/>
      <c r="BD500" s="40"/>
      <c r="BE500" s="40"/>
      <c r="BF500" s="40"/>
      <c r="BG500" s="40"/>
      <c r="BH500" s="40"/>
      <c r="BI500" s="40"/>
    </row>
    <row r="501" ht="15.75" customHeight="1">
      <c r="A501" s="5" t="str">
        <f t="shared" si="122"/>
        <v>Publicité 1</v>
      </c>
      <c r="B501" s="3"/>
      <c r="C501" s="668"/>
      <c r="V501" s="559" t="s">
        <v>116</v>
      </c>
      <c r="W501" s="707" t="s">
        <v>1072</v>
      </c>
      <c r="X501" s="704"/>
      <c r="Y501" s="708" t="str">
        <f t="shared" si="124"/>
        <v>#DIV/0!</v>
      </c>
      <c r="Z501" s="701">
        <v>0.0</v>
      </c>
      <c r="AA501" s="704"/>
      <c r="AB501" s="708">
        <f t="shared" si="125"/>
        <v>0</v>
      </c>
      <c r="AC501" s="701">
        <v>0.0</v>
      </c>
      <c r="AD501" s="709"/>
      <c r="AE501" s="703">
        <f t="shared" si="126"/>
        <v>-179.2491703</v>
      </c>
      <c r="AF501" s="701">
        <v>-41048.05999999999</v>
      </c>
      <c r="AG501" s="702" t="str">
        <f t="shared" ref="AG501:AH501" si="137">AE501-Y501</f>
        <v>#DIV/0!</v>
      </c>
      <c r="AH501" s="703">
        <f t="shared" si="137"/>
        <v>-41048.06</v>
      </c>
      <c r="AI501" s="704">
        <f t="shared" si="128"/>
        <v>0</v>
      </c>
      <c r="AJ501" s="709"/>
      <c r="AK501" s="703">
        <f t="shared" si="129"/>
        <v>-362.166626</v>
      </c>
      <c r="AL501" s="701">
        <f t="shared" si="130"/>
        <v>-89092.99</v>
      </c>
      <c r="AM501" s="705" t="str">
        <f t="shared" si="131"/>
        <v>#DIV/0!</v>
      </c>
      <c r="AN501" s="703">
        <f t="shared" si="132"/>
        <v>48044.93</v>
      </c>
      <c r="AO501" s="710">
        <f t="shared" si="133"/>
        <v>-0.5392672308</v>
      </c>
      <c r="AP501" s="40"/>
      <c r="AQ501" s="40"/>
      <c r="AR501" s="48"/>
      <c r="AS501" s="40"/>
      <c r="AT501" s="40"/>
      <c r="AU501" s="40"/>
      <c r="AV501" s="40"/>
      <c r="AW501" s="40"/>
      <c r="AX501" s="40"/>
      <c r="AY501" s="40"/>
      <c r="AZ501" s="40"/>
      <c r="BA501" s="40"/>
      <c r="BB501" s="40"/>
      <c r="BC501" s="40"/>
      <c r="BD501" s="40"/>
      <c r="BE501" s="40"/>
      <c r="BF501" s="40"/>
      <c r="BG501" s="40"/>
      <c r="BH501" s="40"/>
      <c r="BI501" s="40"/>
    </row>
    <row r="502" ht="15.75" customHeight="1">
      <c r="A502" s="5" t="str">
        <f t="shared" si="122"/>
        <v>Intérêt de gros</v>
      </c>
      <c r="B502" s="3"/>
      <c r="C502" s="668"/>
      <c r="V502" s="559" t="s">
        <v>117</v>
      </c>
      <c r="W502" s="707" t="s">
        <v>1073</v>
      </c>
      <c r="X502" s="700"/>
      <c r="Y502" s="708" t="str">
        <f t="shared" si="124"/>
        <v>#DIV/0!</v>
      </c>
      <c r="Z502" s="701">
        <v>0.0</v>
      </c>
      <c r="AA502" s="700"/>
      <c r="AB502" s="708">
        <f t="shared" si="125"/>
        <v>0</v>
      </c>
      <c r="AC502" s="701">
        <v>0.0</v>
      </c>
      <c r="AD502" s="709"/>
      <c r="AE502" s="703">
        <f t="shared" si="126"/>
        <v>1162.507642</v>
      </c>
      <c r="AF502" s="701">
        <v>266214.25</v>
      </c>
      <c r="AG502" s="702" t="str">
        <f t="shared" ref="AG502:AH502" si="138">AE502-Y502</f>
        <v>#DIV/0!</v>
      </c>
      <c r="AH502" s="703">
        <f t="shared" si="138"/>
        <v>266214.25</v>
      </c>
      <c r="AI502" s="704">
        <f t="shared" si="128"/>
        <v>0</v>
      </c>
      <c r="AJ502" s="709"/>
      <c r="AK502" s="703">
        <f t="shared" si="129"/>
        <v>2309.37687</v>
      </c>
      <c r="AL502" s="701">
        <f t="shared" si="130"/>
        <v>568106.71</v>
      </c>
      <c r="AM502" s="705" t="str">
        <f t="shared" si="131"/>
        <v>#DIV/0!</v>
      </c>
      <c r="AN502" s="703">
        <f t="shared" si="132"/>
        <v>-301892.46</v>
      </c>
      <c r="AO502" s="710">
        <f t="shared" si="133"/>
        <v>-0.5314009757</v>
      </c>
      <c r="AP502" s="40"/>
      <c r="AQ502" s="40"/>
      <c r="AR502" s="48"/>
      <c r="AS502" s="40"/>
      <c r="AT502" s="40"/>
      <c r="AU502" s="40"/>
      <c r="AV502" s="40"/>
      <c r="AW502" s="40"/>
      <c r="AX502" s="40"/>
      <c r="AY502" s="40"/>
      <c r="AZ502" s="40"/>
      <c r="BA502" s="40"/>
      <c r="BB502" s="40"/>
      <c r="BC502" s="40"/>
      <c r="BD502" s="40"/>
      <c r="BE502" s="40"/>
      <c r="BF502" s="40"/>
      <c r="BG502" s="40"/>
      <c r="BH502" s="40"/>
      <c r="BI502" s="40"/>
    </row>
    <row r="503" ht="15.75" customHeight="1">
      <c r="A503" s="5" t="str">
        <f t="shared" si="122"/>
        <v>Crédit Intérêts Floor Plan</v>
      </c>
      <c r="B503" s="3"/>
      <c r="C503" s="668"/>
      <c r="V503" s="559" t="s">
        <v>813</v>
      </c>
      <c r="W503" s="707"/>
      <c r="X503" s="704"/>
      <c r="Y503" s="708" t="str">
        <f t="shared" si="124"/>
        <v>#DIV/0!</v>
      </c>
      <c r="Z503" s="701">
        <v>0.0</v>
      </c>
      <c r="AA503" s="700"/>
      <c r="AB503" s="708">
        <f t="shared" si="125"/>
        <v>0</v>
      </c>
      <c r="AC503" s="701">
        <v>0.0</v>
      </c>
      <c r="AD503" s="709"/>
      <c r="AE503" s="703">
        <f t="shared" si="126"/>
        <v>-2177.219956</v>
      </c>
      <c r="AF503" s="701">
        <v>-498583.3700000001</v>
      </c>
      <c r="AG503" s="702" t="str">
        <f t="shared" ref="AG503:AH503" si="139">AE503-Y503</f>
        <v>#DIV/0!</v>
      </c>
      <c r="AH503" s="703">
        <f t="shared" si="139"/>
        <v>-498583.37</v>
      </c>
      <c r="AI503" s="704">
        <f t="shared" si="128"/>
        <v>0</v>
      </c>
      <c r="AJ503" s="709"/>
      <c r="AK503" s="703">
        <f t="shared" si="129"/>
        <v>-3019.519878</v>
      </c>
      <c r="AL503" s="701">
        <f t="shared" si="130"/>
        <v>-742801.89</v>
      </c>
      <c r="AM503" s="705" t="str">
        <f t="shared" si="131"/>
        <v>#DIV/0!</v>
      </c>
      <c r="AN503" s="703">
        <f t="shared" si="132"/>
        <v>244218.52</v>
      </c>
      <c r="AO503" s="710">
        <f t="shared" si="133"/>
        <v>-0.3287801543</v>
      </c>
      <c r="AP503" s="40"/>
      <c r="AQ503" s="40"/>
      <c r="AR503" s="48"/>
      <c r="AS503" s="40"/>
      <c r="AT503" s="40"/>
      <c r="AU503" s="40"/>
      <c r="AV503" s="40"/>
      <c r="AW503" s="40"/>
      <c r="AX503" s="40"/>
      <c r="AY503" s="40"/>
      <c r="AZ503" s="40"/>
      <c r="BA503" s="40"/>
      <c r="BB503" s="40"/>
      <c r="BC503" s="40"/>
      <c r="BD503" s="40"/>
      <c r="BE503" s="40"/>
      <c r="BF503" s="40"/>
      <c r="BG503" s="40"/>
      <c r="BH503" s="40"/>
      <c r="BI503" s="40"/>
    </row>
    <row r="504" ht="15.75" customHeight="1">
      <c r="A504" s="5" t="str">
        <f t="shared" si="122"/>
        <v>Crédit Boni TD</v>
      </c>
      <c r="B504" s="3"/>
      <c r="C504" s="668"/>
      <c r="V504" s="559" t="s">
        <v>814</v>
      </c>
      <c r="W504" s="707"/>
      <c r="X504" s="704"/>
      <c r="Y504" s="708" t="str">
        <f t="shared" si="124"/>
        <v>#DIV/0!</v>
      </c>
      <c r="Z504" s="701">
        <v>0.0</v>
      </c>
      <c r="AA504" s="700"/>
      <c r="AB504" s="708">
        <f t="shared" si="125"/>
        <v>0</v>
      </c>
      <c r="AC504" s="701">
        <v>0.0</v>
      </c>
      <c r="AD504" s="709"/>
      <c r="AE504" s="703">
        <f t="shared" si="126"/>
        <v>-191.7173799</v>
      </c>
      <c r="AF504" s="701">
        <v>-43903.28</v>
      </c>
      <c r="AG504" s="702" t="str">
        <f t="shared" ref="AG504:AH504" si="140">AE504-Y504</f>
        <v>#DIV/0!</v>
      </c>
      <c r="AH504" s="703">
        <f t="shared" si="140"/>
        <v>-43903.28</v>
      </c>
      <c r="AI504" s="704">
        <f t="shared" si="128"/>
        <v>0</v>
      </c>
      <c r="AJ504" s="709"/>
      <c r="AK504" s="703">
        <f t="shared" si="129"/>
        <v>0</v>
      </c>
      <c r="AL504" s="701">
        <f t="shared" si="130"/>
        <v>0</v>
      </c>
      <c r="AM504" s="705" t="str">
        <f t="shared" si="131"/>
        <v>#DIV/0!</v>
      </c>
      <c r="AN504" s="703">
        <f t="shared" si="132"/>
        <v>-43903.28</v>
      </c>
      <c r="AO504" s="710">
        <f t="shared" si="133"/>
        <v>0</v>
      </c>
      <c r="AP504" s="40"/>
      <c r="AQ504" s="40"/>
      <c r="AR504" s="48"/>
      <c r="AS504" s="40"/>
      <c r="AT504" s="40"/>
      <c r="AU504" s="40"/>
      <c r="AV504" s="40"/>
      <c r="AW504" s="40"/>
      <c r="AX504" s="40"/>
      <c r="AY504" s="40"/>
      <c r="AZ504" s="40"/>
      <c r="BA504" s="40"/>
      <c r="BB504" s="40"/>
      <c r="BC504" s="40"/>
      <c r="BD504" s="40"/>
      <c r="BE504" s="40"/>
      <c r="BF504" s="40"/>
      <c r="BG504" s="40"/>
      <c r="BH504" s="40"/>
      <c r="BI504" s="40"/>
    </row>
    <row r="505" ht="20.25" hidden="1" customHeight="1">
      <c r="A505" s="5" t="str">
        <f t="shared" si="122"/>
        <v>[...]</v>
      </c>
      <c r="B505" s="3"/>
      <c r="C505" s="668"/>
      <c r="V505" s="559" t="s">
        <v>56</v>
      </c>
      <c r="W505" s="707"/>
      <c r="X505" s="700"/>
      <c r="Y505" s="708" t="str">
        <f t="shared" si="124"/>
        <v>#DIV/0!</v>
      </c>
      <c r="Z505" s="701">
        <v>0.0</v>
      </c>
      <c r="AA505" s="700"/>
      <c r="AB505" s="708">
        <f t="shared" si="125"/>
        <v>0</v>
      </c>
      <c r="AC505" s="701">
        <v>0.0</v>
      </c>
      <c r="AD505" s="709"/>
      <c r="AE505" s="703">
        <f t="shared" si="126"/>
        <v>0</v>
      </c>
      <c r="AF505" s="701">
        <v>0.0</v>
      </c>
      <c r="AG505" s="702" t="str">
        <f t="shared" ref="AG505:AH505" si="141">AE505-Y505</f>
        <v>#DIV/0!</v>
      </c>
      <c r="AH505" s="703">
        <f t="shared" si="141"/>
        <v>0</v>
      </c>
      <c r="AI505" s="704">
        <f t="shared" si="128"/>
        <v>0</v>
      </c>
      <c r="AJ505" s="709"/>
      <c r="AK505" s="703">
        <f t="shared" si="129"/>
        <v>0</v>
      </c>
      <c r="AL505" s="701"/>
      <c r="AM505" s="705" t="str">
        <f t="shared" si="131"/>
        <v>#DIV/0!</v>
      </c>
      <c r="AN505" s="703">
        <f t="shared" si="132"/>
        <v>0</v>
      </c>
      <c r="AO505" s="710">
        <f t="shared" si="133"/>
        <v>0</v>
      </c>
      <c r="AP505" s="40"/>
      <c r="AQ505" s="40"/>
      <c r="AR505" s="48"/>
      <c r="AS505" s="40"/>
      <c r="AT505" s="40"/>
      <c r="AU505" s="40"/>
      <c r="AV505" s="40"/>
      <c r="AW505" s="40"/>
      <c r="AX505" s="40"/>
      <c r="AY505" s="40"/>
      <c r="AZ505" s="40"/>
      <c r="BA505" s="40"/>
      <c r="BB505" s="40"/>
      <c r="BC505" s="40"/>
      <c r="BD505" s="40"/>
      <c r="BE505" s="40"/>
      <c r="BF505" s="40"/>
      <c r="BG505" s="40"/>
      <c r="BH505" s="40"/>
      <c r="BI505" s="40"/>
    </row>
    <row r="506" ht="21.0" customHeight="1">
      <c r="A506" s="5" t="str">
        <f t="shared" si="122"/>
        <v>TOTAL VARIABLES</v>
      </c>
      <c r="B506" s="3"/>
      <c r="C506" s="668"/>
      <c r="V506" s="715" t="s">
        <v>118</v>
      </c>
      <c r="W506" s="716"/>
      <c r="X506" s="717" t="str">
        <f>Z506/Z494</f>
        <v>#REF!</v>
      </c>
      <c r="Y506" s="716"/>
      <c r="Z506" s="718">
        <f>SUM(Z496:Z505)</f>
        <v>0</v>
      </c>
      <c r="AA506" s="717" t="str">
        <f>AC506/AC494</f>
        <v>#DIV/0!</v>
      </c>
      <c r="AB506" s="716"/>
      <c r="AC506" s="718">
        <f>SUM(AC496:AC505)</f>
        <v>0</v>
      </c>
      <c r="AD506" s="719">
        <f>AF506/AF494</f>
        <v>0.07093460811</v>
      </c>
      <c r="AE506" s="720"/>
      <c r="AF506" s="718">
        <f>SUM(AF496:AF505)</f>
        <v>183144.07</v>
      </c>
      <c r="AG506" s="721"/>
      <c r="AH506" s="720">
        <f t="shared" ref="AH506:AH538" si="142">AF506-Z506</f>
        <v>183144.07</v>
      </c>
      <c r="AI506" s="717" t="str">
        <f>AH506/Z506</f>
        <v>#DIV/0!</v>
      </c>
      <c r="AJ506" s="719">
        <f>IF($AL$407=0,0,AL506/$AL$407)</f>
        <v>0</v>
      </c>
      <c r="AK506" s="720"/>
      <c r="AL506" s="718">
        <f>SUM(AL496:AL505)</f>
        <v>-450.15</v>
      </c>
      <c r="AM506" s="722"/>
      <c r="AN506" s="720">
        <f t="shared" si="132"/>
        <v>183594.22</v>
      </c>
      <c r="AO506" s="698">
        <f t="shared" si="133"/>
        <v>-407.8512052</v>
      </c>
      <c r="AP506" s="40"/>
      <c r="AQ506" s="40"/>
      <c r="AR506" s="48"/>
      <c r="AS506" s="40"/>
      <c r="AT506" s="40"/>
      <c r="AU506" s="40"/>
      <c r="AV506" s="40"/>
      <c r="AW506" s="40"/>
      <c r="AX506" s="40"/>
      <c r="AY506" s="40"/>
      <c r="AZ506" s="40"/>
      <c r="BA506" s="40"/>
      <c r="BB506" s="40"/>
      <c r="BC506" s="40"/>
      <c r="BD506" s="40"/>
      <c r="BE506" s="40"/>
      <c r="BF506" s="40"/>
      <c r="BG506" s="40"/>
      <c r="BH506" s="40"/>
      <c r="BI506" s="40"/>
    </row>
    <row r="507" ht="15.75" customHeight="1">
      <c r="A507" s="5" t="str">
        <f t="shared" si="122"/>
        <v>Salaires propriétaire</v>
      </c>
      <c r="B507" s="3"/>
      <c r="C507" s="668"/>
      <c r="V507" s="559" t="s">
        <v>198</v>
      </c>
      <c r="W507" s="707" t="s">
        <v>1074</v>
      </c>
      <c r="X507" s="700"/>
      <c r="Y507" s="700"/>
      <c r="Z507" s="701">
        <v>0.0</v>
      </c>
      <c r="AA507" s="700"/>
      <c r="AB507" s="700">
        <f t="shared" ref="AB507:AB519" si="143">IF(AC507=0,0,AC507/(G$13+G$97))</f>
        <v>0</v>
      </c>
      <c r="AC507" s="701">
        <v>0.0</v>
      </c>
      <c r="AD507" s="709"/>
      <c r="AE507" s="708"/>
      <c r="AF507" s="701">
        <v>51203.55</v>
      </c>
      <c r="AG507" s="702"/>
      <c r="AH507" s="703">
        <f t="shared" si="142"/>
        <v>51203.55</v>
      </c>
      <c r="AI507" s="704">
        <f t="shared" ref="AI507:AI519" si="144">IF(Z507=0,0,AH507/Z507)</f>
        <v>0</v>
      </c>
      <c r="AJ507" s="709"/>
      <c r="AK507" s="708"/>
      <c r="AL507" s="701">
        <v>242841.64</v>
      </c>
      <c r="AM507" s="705"/>
      <c r="AN507" s="703">
        <f t="shared" si="132"/>
        <v>-191638.09</v>
      </c>
      <c r="AO507" s="710">
        <f t="shared" si="133"/>
        <v>-0.7891483932</v>
      </c>
      <c r="AP507" s="40"/>
      <c r="AQ507" s="40"/>
      <c r="AR507" s="40"/>
      <c r="AS507" s="40"/>
      <c r="AT507" s="40"/>
      <c r="AU507" s="40"/>
      <c r="AV507" s="40"/>
      <c r="AW507" s="40"/>
      <c r="AX507" s="40"/>
      <c r="AY507" s="40"/>
      <c r="AZ507" s="40"/>
      <c r="BA507" s="40"/>
      <c r="BB507" s="40"/>
      <c r="BC507" s="40"/>
      <c r="BD507" s="40"/>
      <c r="BE507" s="40"/>
      <c r="BF507" s="40"/>
      <c r="BG507" s="40"/>
      <c r="BH507" s="40"/>
      <c r="BI507" s="40"/>
    </row>
    <row r="508" ht="15.75" customHeight="1">
      <c r="A508" s="5" t="str">
        <f t="shared" si="122"/>
        <v>Salaires cadres</v>
      </c>
      <c r="B508" s="3"/>
      <c r="C508" s="668"/>
      <c r="V508" s="559" t="s">
        <v>119</v>
      </c>
      <c r="W508" s="707" t="s">
        <v>1075</v>
      </c>
      <c r="X508" s="700"/>
      <c r="Y508" s="700"/>
      <c r="Z508" s="701">
        <v>0.0</v>
      </c>
      <c r="AA508" s="700"/>
      <c r="AB508" s="700">
        <f t="shared" si="143"/>
        <v>0</v>
      </c>
      <c r="AC508" s="701">
        <v>0.0</v>
      </c>
      <c r="AD508" s="709"/>
      <c r="AE508" s="708"/>
      <c r="AF508" s="701">
        <v>204112.86</v>
      </c>
      <c r="AG508" s="702"/>
      <c r="AH508" s="703">
        <f t="shared" si="142"/>
        <v>204112.86</v>
      </c>
      <c r="AI508" s="704">
        <f t="shared" si="144"/>
        <v>0</v>
      </c>
      <c r="AJ508" s="709"/>
      <c r="AK508" s="708"/>
      <c r="AL508" s="701">
        <f t="shared" ref="AL508:AL511" si="145">+SUMIF($C:$C,$V508,Q:Q)</f>
        <v>312467.27</v>
      </c>
      <c r="AM508" s="705"/>
      <c r="AN508" s="703">
        <f t="shared" si="132"/>
        <v>-108354.41</v>
      </c>
      <c r="AO508" s="710">
        <f t="shared" si="133"/>
        <v>-0.3467704313</v>
      </c>
      <c r="AP508" s="40"/>
      <c r="AQ508" s="40"/>
      <c r="AR508" s="40"/>
      <c r="AS508" s="40"/>
      <c r="AT508" s="40"/>
      <c r="AU508" s="40"/>
      <c r="AV508" s="40"/>
      <c r="AW508" s="40"/>
      <c r="AX508" s="40"/>
      <c r="AY508" s="40"/>
      <c r="AZ508" s="40"/>
      <c r="BA508" s="40"/>
      <c r="BB508" s="40"/>
      <c r="BC508" s="40"/>
      <c r="BD508" s="40"/>
      <c r="BE508" s="40"/>
      <c r="BF508" s="40"/>
      <c r="BG508" s="40"/>
      <c r="BH508" s="40"/>
      <c r="BI508" s="40"/>
    </row>
    <row r="509" ht="15.75" customHeight="1">
      <c r="A509" s="5" t="str">
        <f t="shared" si="122"/>
        <v>Salaires commis</v>
      </c>
      <c r="B509" s="3"/>
      <c r="C509" s="668"/>
      <c r="V509" s="560" t="s">
        <v>120</v>
      </c>
      <c r="W509" s="711" t="s">
        <v>1076</v>
      </c>
      <c r="X509" s="683"/>
      <c r="Y509" s="683"/>
      <c r="Z509" s="684">
        <v>0.0</v>
      </c>
      <c r="AA509" s="683"/>
      <c r="AB509" s="683">
        <f t="shared" si="143"/>
        <v>0</v>
      </c>
      <c r="AC509" s="684">
        <v>0.0</v>
      </c>
      <c r="AD509" s="713"/>
      <c r="AE509" s="712"/>
      <c r="AF509" s="684">
        <v>191846.80999999997</v>
      </c>
      <c r="AG509" s="685"/>
      <c r="AH509" s="686">
        <f t="shared" si="142"/>
        <v>191846.81</v>
      </c>
      <c r="AI509" s="714">
        <f t="shared" si="144"/>
        <v>0</v>
      </c>
      <c r="AJ509" s="713"/>
      <c r="AK509" s="712"/>
      <c r="AL509" s="684">
        <f t="shared" si="145"/>
        <v>243109.23</v>
      </c>
      <c r="AM509" s="688"/>
      <c r="AN509" s="686">
        <f t="shared" si="132"/>
        <v>-51262.42</v>
      </c>
      <c r="AO509" s="689">
        <f t="shared" si="133"/>
        <v>-0.2108616773</v>
      </c>
      <c r="AP509" s="40"/>
      <c r="AQ509" s="40"/>
      <c r="AR509" s="40"/>
      <c r="AS509" s="40"/>
      <c r="AT509" s="40"/>
      <c r="AU509" s="40"/>
      <c r="AV509" s="40"/>
      <c r="AW509" s="40"/>
      <c r="AX509" s="40"/>
      <c r="AY509" s="40"/>
      <c r="AZ509" s="40"/>
      <c r="BA509" s="40"/>
      <c r="BB509" s="40"/>
      <c r="BC509" s="40"/>
      <c r="BD509" s="40"/>
      <c r="BE509" s="40"/>
      <c r="BF509" s="40"/>
      <c r="BG509" s="40"/>
      <c r="BH509" s="40"/>
      <c r="BI509" s="40"/>
    </row>
    <row r="510" ht="15.75" customHeight="1">
      <c r="A510" s="5" t="str">
        <f t="shared" si="122"/>
        <v>Salaires autres</v>
      </c>
      <c r="B510" s="3"/>
      <c r="C510" s="668"/>
      <c r="V510" s="559" t="s">
        <v>121</v>
      </c>
      <c r="W510" s="707" t="s">
        <v>1077</v>
      </c>
      <c r="X510" s="700"/>
      <c r="Y510" s="700"/>
      <c r="Z510" s="701">
        <v>0.0</v>
      </c>
      <c r="AA510" s="700"/>
      <c r="AB510" s="700">
        <f t="shared" si="143"/>
        <v>0</v>
      </c>
      <c r="AC510" s="701">
        <v>0.0</v>
      </c>
      <c r="AD510" s="709"/>
      <c r="AE510" s="708"/>
      <c r="AF510" s="701">
        <v>-37693.08000000003</v>
      </c>
      <c r="AG510" s="702"/>
      <c r="AH510" s="703">
        <f t="shared" si="142"/>
        <v>-37693.08</v>
      </c>
      <c r="AI510" s="704">
        <f t="shared" si="144"/>
        <v>0</v>
      </c>
      <c r="AJ510" s="709"/>
      <c r="AK510" s="708"/>
      <c r="AL510" s="701">
        <f t="shared" si="145"/>
        <v>324616.02</v>
      </c>
      <c r="AM510" s="705"/>
      <c r="AN510" s="703">
        <f t="shared" si="132"/>
        <v>-362309.1</v>
      </c>
      <c r="AO510" s="710">
        <f t="shared" si="133"/>
        <v>-1.116115896</v>
      </c>
      <c r="AP510" s="40"/>
      <c r="AQ510" s="40"/>
      <c r="AR510" s="40"/>
      <c r="AS510" s="40"/>
      <c r="AT510" s="40"/>
      <c r="AU510" s="40"/>
      <c r="AV510" s="40"/>
      <c r="AW510" s="40"/>
      <c r="AX510" s="40"/>
      <c r="AY510" s="40"/>
      <c r="AZ510" s="40"/>
      <c r="BA510" s="40"/>
      <c r="BB510" s="40"/>
      <c r="BC510" s="40"/>
      <c r="BD510" s="40"/>
      <c r="BE510" s="40"/>
      <c r="BF510" s="40"/>
      <c r="BG510" s="40"/>
      <c r="BH510" s="40"/>
      <c r="BI510" s="40"/>
    </row>
    <row r="511" ht="15.75" customHeight="1">
      <c r="A511" s="5" t="str">
        <f t="shared" si="122"/>
        <v>Salaires spécialistes</v>
      </c>
      <c r="B511" s="3"/>
      <c r="C511" s="668"/>
      <c r="V511" s="559" t="s">
        <v>122</v>
      </c>
      <c r="W511" s="707" t="s">
        <v>1078</v>
      </c>
      <c r="X511" s="700"/>
      <c r="Y511" s="700"/>
      <c r="Z511" s="701">
        <v>0.0</v>
      </c>
      <c r="AA511" s="700"/>
      <c r="AB511" s="700">
        <f t="shared" si="143"/>
        <v>0</v>
      </c>
      <c r="AC511" s="701">
        <v>0.0</v>
      </c>
      <c r="AD511" s="709"/>
      <c r="AE511" s="708"/>
      <c r="AF511" s="701">
        <v>15838.4</v>
      </c>
      <c r="AG511" s="702"/>
      <c r="AH511" s="703">
        <f t="shared" si="142"/>
        <v>15838.4</v>
      </c>
      <c r="AI511" s="704">
        <f t="shared" si="144"/>
        <v>0</v>
      </c>
      <c r="AJ511" s="709"/>
      <c r="AK511" s="708"/>
      <c r="AL511" s="701">
        <f t="shared" si="145"/>
        <v>0</v>
      </c>
      <c r="AM511" s="705"/>
      <c r="AN511" s="703">
        <f t="shared" si="132"/>
        <v>15838.4</v>
      </c>
      <c r="AO511" s="710">
        <f t="shared" si="133"/>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ht="17.25" hidden="1" customHeight="1">
      <c r="A512" s="5" t="str">
        <f t="shared" si="122"/>
        <v>[...]</v>
      </c>
      <c r="B512" s="3"/>
      <c r="C512" s="668"/>
      <c r="V512" s="559" t="s">
        <v>56</v>
      </c>
      <c r="W512" s="707"/>
      <c r="X512" s="700"/>
      <c r="Y512" s="700"/>
      <c r="Z512" s="701">
        <v>0.0</v>
      </c>
      <c r="AA512" s="700"/>
      <c r="AB512" s="700">
        <f t="shared" si="143"/>
        <v>0</v>
      </c>
      <c r="AC512" s="701">
        <v>0.0</v>
      </c>
      <c r="AD512" s="709"/>
      <c r="AE512" s="708"/>
      <c r="AF512" s="701">
        <v>0.0</v>
      </c>
      <c r="AG512" s="702"/>
      <c r="AH512" s="703">
        <f t="shared" si="142"/>
        <v>0</v>
      </c>
      <c r="AI512" s="704">
        <f t="shared" si="144"/>
        <v>0</v>
      </c>
      <c r="AJ512" s="709"/>
      <c r="AK512" s="708"/>
      <c r="AL512" s="701"/>
      <c r="AM512" s="705"/>
      <c r="AN512" s="703">
        <f t="shared" si="132"/>
        <v>0</v>
      </c>
      <c r="AO512" s="710">
        <f t="shared" si="133"/>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ht="17.25" hidden="1" customHeight="1">
      <c r="A513" s="5" t="str">
        <f t="shared" si="122"/>
        <v>[...]</v>
      </c>
      <c r="B513" s="3"/>
      <c r="C513" s="668"/>
      <c r="V513" s="559" t="s">
        <v>56</v>
      </c>
      <c r="W513" s="707"/>
      <c r="X513" s="700"/>
      <c r="Y513" s="700"/>
      <c r="Z513" s="701">
        <v>0.0</v>
      </c>
      <c r="AA513" s="700"/>
      <c r="AB513" s="700">
        <f t="shared" si="143"/>
        <v>0</v>
      </c>
      <c r="AC513" s="701">
        <v>0.0</v>
      </c>
      <c r="AD513" s="709"/>
      <c r="AE513" s="708"/>
      <c r="AF513" s="701">
        <v>0.0</v>
      </c>
      <c r="AG513" s="702"/>
      <c r="AH513" s="703">
        <f t="shared" si="142"/>
        <v>0</v>
      </c>
      <c r="AI513" s="704">
        <f t="shared" si="144"/>
        <v>0</v>
      </c>
      <c r="AJ513" s="709"/>
      <c r="AK513" s="708"/>
      <c r="AL513" s="701"/>
      <c r="AM513" s="705"/>
      <c r="AN513" s="703">
        <f t="shared" si="132"/>
        <v>0</v>
      </c>
      <c r="AO513" s="710">
        <f t="shared" si="133"/>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ht="17.25" hidden="1" customHeight="1">
      <c r="A514" s="5" t="str">
        <f t="shared" si="122"/>
        <v>[...]</v>
      </c>
      <c r="B514" s="3"/>
      <c r="C514" s="668"/>
      <c r="V514" s="559" t="s">
        <v>56</v>
      </c>
      <c r="W514" s="707"/>
      <c r="X514" s="700"/>
      <c r="Y514" s="700"/>
      <c r="Z514" s="701">
        <v>0.0</v>
      </c>
      <c r="AA514" s="700"/>
      <c r="AB514" s="700">
        <f t="shared" si="143"/>
        <v>0</v>
      </c>
      <c r="AC514" s="701">
        <v>0.0</v>
      </c>
      <c r="AD514" s="709"/>
      <c r="AE514" s="708"/>
      <c r="AF514" s="701">
        <v>0.0</v>
      </c>
      <c r="AG514" s="702"/>
      <c r="AH514" s="703">
        <f t="shared" si="142"/>
        <v>0</v>
      </c>
      <c r="AI514" s="704">
        <f t="shared" si="144"/>
        <v>0</v>
      </c>
      <c r="AJ514" s="709"/>
      <c r="AK514" s="708"/>
      <c r="AL514" s="701"/>
      <c r="AM514" s="705"/>
      <c r="AN514" s="703">
        <f t="shared" si="132"/>
        <v>0</v>
      </c>
      <c r="AO514" s="710">
        <f t="shared" si="133"/>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ht="15.75" customHeight="1">
      <c r="A515" s="5" t="str">
        <f t="shared" si="122"/>
        <v>Salaires en absences</v>
      </c>
      <c r="B515" s="3"/>
      <c r="C515" s="668"/>
      <c r="V515" s="560" t="s">
        <v>123</v>
      </c>
      <c r="W515" s="711" t="s">
        <v>1079</v>
      </c>
      <c r="X515" s="683"/>
      <c r="Y515" s="687"/>
      <c r="Z515" s="684">
        <v>0.0</v>
      </c>
      <c r="AA515" s="683"/>
      <c r="AB515" s="683">
        <f t="shared" si="143"/>
        <v>0</v>
      </c>
      <c r="AC515" s="684">
        <v>0.0</v>
      </c>
      <c r="AD515" s="713"/>
      <c r="AE515" s="712"/>
      <c r="AF515" s="684">
        <v>115796.9</v>
      </c>
      <c r="AG515" s="685"/>
      <c r="AH515" s="686">
        <f t="shared" si="142"/>
        <v>115796.9</v>
      </c>
      <c r="AI515" s="714">
        <f t="shared" si="144"/>
        <v>0</v>
      </c>
      <c r="AJ515" s="713"/>
      <c r="AK515" s="712"/>
      <c r="AL515" s="684">
        <f t="shared" ref="AL515:AL518" si="146">+SUMIF($C:$C,$V515,Q:Q)</f>
        <v>118620.51</v>
      </c>
      <c r="AM515" s="688"/>
      <c r="AN515" s="686">
        <f t="shared" si="132"/>
        <v>-2823.61</v>
      </c>
      <c r="AO515" s="689">
        <f t="shared" si="133"/>
        <v>-0.02380372501</v>
      </c>
      <c r="AP515" s="40"/>
      <c r="AQ515" s="40"/>
      <c r="AR515" s="40"/>
      <c r="AS515" s="40"/>
      <c r="AT515" s="40"/>
      <c r="AU515" s="40"/>
      <c r="AV515" s="40"/>
      <c r="AW515" s="40"/>
      <c r="AX515" s="40"/>
      <c r="AY515" s="40"/>
      <c r="AZ515" s="40"/>
      <c r="BA515" s="40"/>
      <c r="BB515" s="40"/>
      <c r="BC515" s="40"/>
      <c r="BD515" s="40"/>
      <c r="BE515" s="40"/>
      <c r="BF515" s="40"/>
      <c r="BG515" s="40"/>
      <c r="BH515" s="40"/>
      <c r="BI515" s="40"/>
    </row>
    <row r="516" ht="15.75" customHeight="1">
      <c r="A516" s="5" t="str">
        <f t="shared" si="122"/>
        <v>Déduction à la source</v>
      </c>
      <c r="B516" s="3"/>
      <c r="C516" s="668"/>
      <c r="V516" s="559" t="s">
        <v>124</v>
      </c>
      <c r="W516" s="707" t="s">
        <v>1080</v>
      </c>
      <c r="X516" s="700"/>
      <c r="Y516" s="704"/>
      <c r="Z516" s="701">
        <v>0.0</v>
      </c>
      <c r="AA516" s="700"/>
      <c r="AB516" s="700">
        <f t="shared" si="143"/>
        <v>0</v>
      </c>
      <c r="AC516" s="701">
        <v>0.0</v>
      </c>
      <c r="AD516" s="709"/>
      <c r="AE516" s="708"/>
      <c r="AF516" s="701">
        <v>164556.69</v>
      </c>
      <c r="AG516" s="702"/>
      <c r="AH516" s="703">
        <f t="shared" si="142"/>
        <v>164556.69</v>
      </c>
      <c r="AI516" s="704">
        <f t="shared" si="144"/>
        <v>0</v>
      </c>
      <c r="AJ516" s="709"/>
      <c r="AK516" s="708"/>
      <c r="AL516" s="701">
        <f t="shared" si="146"/>
        <v>167758.51</v>
      </c>
      <c r="AM516" s="705"/>
      <c r="AN516" s="703">
        <f t="shared" si="132"/>
        <v>-3201.82</v>
      </c>
      <c r="AO516" s="710">
        <f t="shared" si="133"/>
        <v>-0.01908588721</v>
      </c>
      <c r="AP516" s="40"/>
      <c r="AQ516" s="40"/>
      <c r="AR516" s="40"/>
      <c r="AS516" s="40"/>
      <c r="AT516" s="40"/>
      <c r="AU516" s="40"/>
      <c r="AV516" s="40"/>
      <c r="AW516" s="40"/>
      <c r="AX516" s="40"/>
      <c r="AY516" s="40"/>
      <c r="AZ516" s="40"/>
      <c r="BA516" s="40"/>
      <c r="BB516" s="40"/>
      <c r="BC516" s="40"/>
      <c r="BD516" s="40"/>
      <c r="BE516" s="40"/>
      <c r="BF516" s="40"/>
      <c r="BG516" s="40"/>
      <c r="BH516" s="40"/>
      <c r="BI516" s="40"/>
    </row>
    <row r="517" ht="15.75" customHeight="1">
      <c r="A517" s="5" t="str">
        <f t="shared" si="122"/>
        <v>Bénéfices marginaux</v>
      </c>
      <c r="B517" s="3"/>
      <c r="C517" s="668"/>
      <c r="V517" s="559" t="s">
        <v>125</v>
      </c>
      <c r="W517" s="707" t="s">
        <v>1081</v>
      </c>
      <c r="X517" s="700"/>
      <c r="Y517" s="704"/>
      <c r="Z517" s="701">
        <v>0.0</v>
      </c>
      <c r="AA517" s="700"/>
      <c r="AB517" s="700">
        <f t="shared" si="143"/>
        <v>0</v>
      </c>
      <c r="AC517" s="701">
        <v>0.0</v>
      </c>
      <c r="AD517" s="709"/>
      <c r="AE517" s="708"/>
      <c r="AF517" s="701">
        <v>37707.10999999999</v>
      </c>
      <c r="AG517" s="702"/>
      <c r="AH517" s="703">
        <f t="shared" si="142"/>
        <v>37707.11</v>
      </c>
      <c r="AI517" s="704">
        <f t="shared" si="144"/>
        <v>0</v>
      </c>
      <c r="AJ517" s="709"/>
      <c r="AK517" s="708"/>
      <c r="AL517" s="701">
        <f t="shared" si="146"/>
        <v>84945.16</v>
      </c>
      <c r="AM517" s="705"/>
      <c r="AN517" s="703">
        <f t="shared" si="132"/>
        <v>-47238.05</v>
      </c>
      <c r="AO517" s="710">
        <f t="shared" si="133"/>
        <v>-0.5561005477</v>
      </c>
      <c r="AP517" s="40"/>
      <c r="AQ517" s="40"/>
      <c r="AR517" s="40"/>
      <c r="AS517" s="40"/>
      <c r="AT517" s="40"/>
      <c r="AU517" s="40"/>
      <c r="AV517" s="40"/>
      <c r="AW517" s="40"/>
      <c r="AX517" s="40"/>
      <c r="AY517" s="40"/>
      <c r="AZ517" s="40"/>
      <c r="BA517" s="40"/>
      <c r="BB517" s="40"/>
      <c r="BC517" s="40"/>
      <c r="BD517" s="40"/>
      <c r="BE517" s="40"/>
      <c r="BF517" s="40"/>
      <c r="BG517" s="40"/>
      <c r="BH517" s="40"/>
      <c r="BI517" s="40"/>
    </row>
    <row r="518" ht="15.75" customHeight="1">
      <c r="A518" s="5" t="str">
        <f t="shared" si="122"/>
        <v>Csst</v>
      </c>
      <c r="B518" s="3"/>
      <c r="C518" s="668"/>
      <c r="V518" s="559" t="s">
        <v>126</v>
      </c>
      <c r="W518" s="707"/>
      <c r="X518" s="700"/>
      <c r="Y518" s="700"/>
      <c r="Z518" s="701">
        <v>0.0</v>
      </c>
      <c r="AA518" s="700"/>
      <c r="AB518" s="700">
        <f t="shared" si="143"/>
        <v>0</v>
      </c>
      <c r="AC518" s="701">
        <v>0.0</v>
      </c>
      <c r="AD518" s="709"/>
      <c r="AE518" s="708"/>
      <c r="AF518" s="701">
        <v>33834.06</v>
      </c>
      <c r="AG518" s="702"/>
      <c r="AH518" s="703">
        <f t="shared" si="142"/>
        <v>33834.06</v>
      </c>
      <c r="AI518" s="723">
        <f t="shared" si="144"/>
        <v>0</v>
      </c>
      <c r="AJ518" s="709"/>
      <c r="AK518" s="708"/>
      <c r="AL518" s="701">
        <f t="shared" si="146"/>
        <v>3800.41</v>
      </c>
      <c r="AM518" s="705"/>
      <c r="AN518" s="703">
        <f t="shared" si="132"/>
        <v>30033.65</v>
      </c>
      <c r="AO518" s="710">
        <f t="shared" si="133"/>
        <v>7.902739441</v>
      </c>
      <c r="AP518" s="40"/>
      <c r="AQ518" s="40"/>
      <c r="AR518" s="40"/>
      <c r="AS518" s="40"/>
      <c r="AT518" s="40"/>
      <c r="AU518" s="40"/>
      <c r="AV518" s="40"/>
      <c r="AW518" s="40"/>
      <c r="AX518" s="40"/>
      <c r="AY518" s="40"/>
      <c r="AZ518" s="40"/>
      <c r="BA518" s="40"/>
      <c r="BB518" s="40"/>
      <c r="BC518" s="40"/>
      <c r="BD518" s="40"/>
      <c r="BE518" s="40"/>
      <c r="BF518" s="40"/>
      <c r="BG518" s="40"/>
      <c r="BH518" s="40"/>
      <c r="BI518" s="40"/>
    </row>
    <row r="519" ht="20.25" hidden="1" customHeight="1">
      <c r="A519" s="5" t="str">
        <f t="shared" si="122"/>
        <v>[...]</v>
      </c>
      <c r="B519" s="3"/>
      <c r="C519" s="668"/>
      <c r="V519" s="480" t="s">
        <v>56</v>
      </c>
      <c r="W519" s="707"/>
      <c r="X519" s="700"/>
      <c r="Y519" s="708"/>
      <c r="Z519" s="701">
        <v>0.0</v>
      </c>
      <c r="AA519" s="700"/>
      <c r="AB519" s="700">
        <f t="shared" si="143"/>
        <v>0</v>
      </c>
      <c r="AC519" s="701">
        <v>0.0</v>
      </c>
      <c r="AD519" s="709"/>
      <c r="AE519" s="708"/>
      <c r="AF519" s="701">
        <v>0.0</v>
      </c>
      <c r="AG519" s="702"/>
      <c r="AH519" s="703">
        <f t="shared" si="142"/>
        <v>0</v>
      </c>
      <c r="AI519" s="704">
        <f t="shared" si="144"/>
        <v>0</v>
      </c>
      <c r="AJ519" s="709"/>
      <c r="AK519" s="708">
        <f>AL519/(O$13+O$97)</f>
        <v>0</v>
      </c>
      <c r="AL519" s="701"/>
      <c r="AM519" s="705"/>
      <c r="AN519" s="703"/>
      <c r="AO519" s="689"/>
      <c r="AP519" s="40"/>
      <c r="AQ519" s="40"/>
      <c r="AR519" s="40"/>
      <c r="AS519" s="40"/>
      <c r="AT519" s="40"/>
      <c r="AU519" s="40"/>
      <c r="AV519" s="40"/>
      <c r="AW519" s="40"/>
      <c r="AX519" s="40"/>
      <c r="AY519" s="40"/>
      <c r="AZ519" s="40"/>
      <c r="BA519" s="40"/>
      <c r="BB519" s="40"/>
      <c r="BC519" s="40"/>
      <c r="BD519" s="40"/>
      <c r="BE519" s="40"/>
      <c r="BF519" s="40"/>
      <c r="BG519" s="40"/>
      <c r="BH519" s="40"/>
      <c r="BI519" s="40"/>
    </row>
    <row r="520" ht="21.0" customHeight="1">
      <c r="A520" s="5" t="str">
        <f t="shared" si="122"/>
        <v>TOTAL PERSONNEL</v>
      </c>
      <c r="B520" s="3"/>
      <c r="C520" s="668"/>
      <c r="V520" s="715" t="s">
        <v>127</v>
      </c>
      <c r="W520" s="716"/>
      <c r="X520" s="717" t="str">
        <f>Z520/Z494</f>
        <v>#REF!</v>
      </c>
      <c r="Y520" s="716"/>
      <c r="Z520" s="718">
        <f>SUM(Z507:Z519)</f>
        <v>0</v>
      </c>
      <c r="AA520" s="717" t="str">
        <f>AC520/AC494</f>
        <v>#DIV/0!</v>
      </c>
      <c r="AB520" s="716"/>
      <c r="AC520" s="718">
        <f>SUM(AC507:AC519)</f>
        <v>0</v>
      </c>
      <c r="AD520" s="719">
        <f>AF520/AF494</f>
        <v>0.3010231863</v>
      </c>
      <c r="AE520" s="724"/>
      <c r="AF520" s="718">
        <f>SUM(AF507:AF519)</f>
        <v>777203.3</v>
      </c>
      <c r="AG520" s="721"/>
      <c r="AH520" s="720">
        <f t="shared" si="142"/>
        <v>777203.3</v>
      </c>
      <c r="AI520" s="717" t="str">
        <f>AH520/Z520</f>
        <v>#DIV/0!</v>
      </c>
      <c r="AJ520" s="719">
        <f>IF($AL$407=0,0,AL520/$AL$407)</f>
        <v>0</v>
      </c>
      <c r="AK520" s="724"/>
      <c r="AL520" s="718">
        <f>SUM(AL507:AL519)</f>
        <v>1498158.75</v>
      </c>
      <c r="AM520" s="722"/>
      <c r="AN520" s="720">
        <f t="shared" ref="AN520:AN538" si="147">AF520-AL520</f>
        <v>-720955.45</v>
      </c>
      <c r="AO520" s="698">
        <f t="shared" ref="AO520:AO548" si="148">IF(AL520=0,0,AN520/AL520)</f>
        <v>-0.4812276736</v>
      </c>
      <c r="AP520" s="40"/>
      <c r="AQ520" s="40"/>
      <c r="AR520" s="40"/>
      <c r="AS520" s="40"/>
      <c r="AT520" s="40"/>
      <c r="AU520" s="40"/>
      <c r="AV520" s="40"/>
      <c r="AW520" s="40"/>
      <c r="AX520" s="40"/>
      <c r="AY520" s="40"/>
      <c r="AZ520" s="40"/>
      <c r="BA520" s="40"/>
      <c r="BB520" s="40"/>
      <c r="BC520" s="40"/>
      <c r="BD520" s="40"/>
      <c r="BE520" s="40"/>
      <c r="BF520" s="40"/>
      <c r="BG520" s="40"/>
      <c r="BH520" s="40"/>
      <c r="BI520" s="40"/>
    </row>
    <row r="521" ht="15.75" customHeight="1">
      <c r="A521" s="5" t="str">
        <f t="shared" si="122"/>
        <v>Publicité 2</v>
      </c>
      <c r="B521" s="3"/>
      <c r="C521" s="668"/>
      <c r="V521" s="654" t="s">
        <v>128</v>
      </c>
      <c r="W521" s="725" t="s">
        <v>1072</v>
      </c>
      <c r="X521" s="726"/>
      <c r="Y521" s="726"/>
      <c r="Z521" s="727">
        <v>0.0</v>
      </c>
      <c r="AA521" s="726"/>
      <c r="AB521" s="726">
        <f t="shared" ref="AB521:AB538" si="149">IF(AC521=0,0,AC521/(G$13+G$97))</f>
        <v>0</v>
      </c>
      <c r="AC521" s="727">
        <v>0.0</v>
      </c>
      <c r="AD521" s="728"/>
      <c r="AE521" s="729"/>
      <c r="AF521" s="727">
        <v>17120.9</v>
      </c>
      <c r="AG521" s="728"/>
      <c r="AH521" s="730">
        <f t="shared" si="142"/>
        <v>17120.9</v>
      </c>
      <c r="AI521" s="731">
        <f t="shared" ref="AI521:AI538" si="150">IF(Z521=0,0,AH521/Z521)</f>
        <v>0</v>
      </c>
      <c r="AJ521" s="728"/>
      <c r="AK521" s="729"/>
      <c r="AL521" s="727">
        <f t="shared" ref="AL521:AL534" si="151">+SUMIF($C:$C,$V521,Q:Q)</f>
        <v>9073.76</v>
      </c>
      <c r="AM521" s="732"/>
      <c r="AN521" s="730">
        <f t="shared" si="147"/>
        <v>8047.14</v>
      </c>
      <c r="AO521" s="706">
        <f t="shared" si="148"/>
        <v>0.8868583696</v>
      </c>
      <c r="AP521" s="40"/>
      <c r="AQ521" s="40"/>
      <c r="AR521" s="40"/>
      <c r="AS521" s="40"/>
      <c r="AT521" s="40"/>
      <c r="AU521" s="40"/>
      <c r="AV521" s="40"/>
      <c r="AW521" s="40"/>
      <c r="AX521" s="40"/>
      <c r="AY521" s="40"/>
      <c r="AZ521" s="40"/>
      <c r="BA521" s="40"/>
      <c r="BB521" s="40"/>
      <c r="BC521" s="40"/>
      <c r="BD521" s="40"/>
      <c r="BE521" s="40"/>
      <c r="BF521" s="40"/>
      <c r="BG521" s="40"/>
      <c r="BH521" s="40"/>
      <c r="BI521" s="40"/>
    </row>
    <row r="522" ht="15.75" customHeight="1">
      <c r="A522" s="5" t="str">
        <f t="shared" si="122"/>
        <v>Service gratuit 2</v>
      </c>
      <c r="B522" s="3"/>
      <c r="C522" s="668"/>
      <c r="V522" s="559" t="s">
        <v>129</v>
      </c>
      <c r="W522" s="707" t="s">
        <v>1082</v>
      </c>
      <c r="X522" s="700"/>
      <c r="Y522" s="700"/>
      <c r="Z522" s="701">
        <v>0.0</v>
      </c>
      <c r="AA522" s="700"/>
      <c r="AB522" s="700">
        <f t="shared" si="149"/>
        <v>0</v>
      </c>
      <c r="AC522" s="701">
        <v>0.0</v>
      </c>
      <c r="AD522" s="709"/>
      <c r="AE522" s="708"/>
      <c r="AF522" s="701">
        <v>14499.279999999999</v>
      </c>
      <c r="AG522" s="702"/>
      <c r="AH522" s="703">
        <f t="shared" si="142"/>
        <v>14499.28</v>
      </c>
      <c r="AI522" s="704">
        <f t="shared" si="150"/>
        <v>0</v>
      </c>
      <c r="AJ522" s="709"/>
      <c r="AK522" s="708"/>
      <c r="AL522" s="701">
        <f t="shared" si="151"/>
        <v>13045.91</v>
      </c>
      <c r="AM522" s="705"/>
      <c r="AN522" s="703">
        <f t="shared" si="147"/>
        <v>1453.37</v>
      </c>
      <c r="AO522" s="710">
        <f t="shared" si="148"/>
        <v>0.1114042639</v>
      </c>
      <c r="AP522" s="40"/>
      <c r="AQ522" s="40"/>
      <c r="AR522" s="40"/>
      <c r="AS522" s="40"/>
      <c r="AT522" s="40"/>
      <c r="AU522" s="40"/>
      <c r="AV522" s="40"/>
      <c r="AW522" s="40"/>
      <c r="AX522" s="40"/>
      <c r="AY522" s="40"/>
      <c r="AZ522" s="40"/>
      <c r="BA522" s="40"/>
      <c r="BB522" s="40"/>
      <c r="BC522" s="40"/>
      <c r="BD522" s="40"/>
      <c r="BE522" s="40"/>
      <c r="BF522" s="40"/>
      <c r="BG522" s="40"/>
      <c r="BH522" s="40"/>
      <c r="BI522" s="40"/>
    </row>
    <row r="523" ht="15.75" customHeight="1">
      <c r="A523" s="5" t="str">
        <f t="shared" si="122"/>
        <v>Frais véhicules de cie</v>
      </c>
      <c r="B523" s="3"/>
      <c r="C523" s="668"/>
      <c r="U523" s="799"/>
      <c r="V523" s="560" t="s">
        <v>130</v>
      </c>
      <c r="W523" s="711" t="s">
        <v>1083</v>
      </c>
      <c r="X523" s="683"/>
      <c r="Y523" s="683"/>
      <c r="Z523" s="684">
        <v>0.0</v>
      </c>
      <c r="AA523" s="683"/>
      <c r="AB523" s="683">
        <f t="shared" si="149"/>
        <v>0</v>
      </c>
      <c r="AC523" s="684">
        <v>0.0</v>
      </c>
      <c r="AD523" s="713"/>
      <c r="AE523" s="712"/>
      <c r="AF523" s="684">
        <v>83464.25</v>
      </c>
      <c r="AG523" s="685"/>
      <c r="AH523" s="686">
        <f t="shared" si="142"/>
        <v>83464.25</v>
      </c>
      <c r="AI523" s="714">
        <f t="shared" si="150"/>
        <v>0</v>
      </c>
      <c r="AJ523" s="713"/>
      <c r="AK523" s="712"/>
      <c r="AL523" s="684">
        <f t="shared" si="151"/>
        <v>47798.07</v>
      </c>
      <c r="AM523" s="688"/>
      <c r="AN523" s="686">
        <f t="shared" si="147"/>
        <v>35666.18</v>
      </c>
      <c r="AO523" s="689">
        <f t="shared" si="148"/>
        <v>0.7461845217</v>
      </c>
      <c r="AP523" s="40"/>
      <c r="AQ523" s="40"/>
      <c r="AR523" s="40"/>
      <c r="AS523" s="40"/>
      <c r="AT523" s="40"/>
      <c r="AU523" s="40"/>
      <c r="AV523" s="40"/>
      <c r="AW523" s="40"/>
      <c r="AX523" s="40"/>
      <c r="AY523" s="40"/>
      <c r="AZ523" s="40"/>
      <c r="BA523" s="40"/>
      <c r="BB523" s="40"/>
      <c r="BC523" s="40"/>
      <c r="BD523" s="40"/>
      <c r="BE523" s="40"/>
      <c r="BF523" s="40"/>
      <c r="BG523" s="40"/>
      <c r="BH523" s="40"/>
      <c r="BI523" s="40"/>
    </row>
    <row r="524" ht="15.75" customHeight="1">
      <c r="A524" s="5" t="str">
        <f t="shared" si="122"/>
        <v>Informatique</v>
      </c>
      <c r="B524" s="3"/>
      <c r="C524" s="668"/>
      <c r="U524" s="799"/>
      <c r="V524" s="559" t="s">
        <v>131</v>
      </c>
      <c r="W524" s="707" t="s">
        <v>1084</v>
      </c>
      <c r="X524" s="700"/>
      <c r="Y524" s="700"/>
      <c r="Z524" s="701">
        <v>0.0</v>
      </c>
      <c r="AA524" s="700"/>
      <c r="AB524" s="700">
        <f t="shared" si="149"/>
        <v>0</v>
      </c>
      <c r="AC524" s="701">
        <v>0.0</v>
      </c>
      <c r="AD524" s="709"/>
      <c r="AE524" s="708"/>
      <c r="AF524" s="701">
        <v>35422.69</v>
      </c>
      <c r="AG524" s="702"/>
      <c r="AH524" s="703">
        <f t="shared" si="142"/>
        <v>35422.69</v>
      </c>
      <c r="AI524" s="704">
        <f t="shared" si="150"/>
        <v>0</v>
      </c>
      <c r="AJ524" s="709"/>
      <c r="AK524" s="708"/>
      <c r="AL524" s="701">
        <f t="shared" si="151"/>
        <v>41020.42</v>
      </c>
      <c r="AM524" s="705"/>
      <c r="AN524" s="703">
        <f t="shared" si="147"/>
        <v>-5597.73</v>
      </c>
      <c r="AO524" s="710">
        <f t="shared" si="148"/>
        <v>-0.1364620352</v>
      </c>
      <c r="AP524" s="40"/>
      <c r="AQ524" s="40"/>
      <c r="AR524" s="40"/>
      <c r="AS524" s="40"/>
      <c r="AT524" s="40"/>
      <c r="AU524" s="40"/>
      <c r="AV524" s="40"/>
      <c r="AW524" s="40"/>
      <c r="AX524" s="40"/>
      <c r="AY524" s="40"/>
      <c r="AZ524" s="40"/>
      <c r="BA524" s="40"/>
      <c r="BB524" s="40"/>
      <c r="BC524" s="40"/>
      <c r="BD524" s="40"/>
      <c r="BE524" s="40"/>
      <c r="BF524" s="40"/>
      <c r="BG524" s="40"/>
      <c r="BH524" s="40"/>
      <c r="BI524" s="40"/>
    </row>
    <row r="525" ht="15.75" customHeight="1">
      <c r="A525" s="5" t="str">
        <f t="shared" si="122"/>
        <v>Frais de déplacement</v>
      </c>
      <c r="B525" s="3"/>
      <c r="C525" s="668"/>
      <c r="U525" s="799"/>
      <c r="V525" s="559" t="s">
        <v>132</v>
      </c>
      <c r="W525" s="707" t="s">
        <v>1085</v>
      </c>
      <c r="X525" s="700"/>
      <c r="Y525" s="700"/>
      <c r="Z525" s="701">
        <v>0.0</v>
      </c>
      <c r="AA525" s="700"/>
      <c r="AB525" s="700">
        <f t="shared" si="149"/>
        <v>0</v>
      </c>
      <c r="AC525" s="701">
        <v>0.0</v>
      </c>
      <c r="AD525" s="709"/>
      <c r="AE525" s="708"/>
      <c r="AF525" s="701">
        <v>40298.159999999996</v>
      </c>
      <c r="AG525" s="702"/>
      <c r="AH525" s="703">
        <f t="shared" si="142"/>
        <v>40298.16</v>
      </c>
      <c r="AI525" s="704">
        <f t="shared" si="150"/>
        <v>0</v>
      </c>
      <c r="AJ525" s="709"/>
      <c r="AK525" s="708"/>
      <c r="AL525" s="701">
        <f t="shared" si="151"/>
        <v>62226.43</v>
      </c>
      <c r="AM525" s="705"/>
      <c r="AN525" s="703">
        <f t="shared" si="147"/>
        <v>-21928.27</v>
      </c>
      <c r="AO525" s="710">
        <f t="shared" si="148"/>
        <v>-0.3523947943</v>
      </c>
      <c r="AP525" s="40"/>
      <c r="AQ525" s="40"/>
      <c r="AR525" s="40"/>
      <c r="AS525" s="40"/>
      <c r="AT525" s="40"/>
      <c r="AU525" s="40"/>
      <c r="AV525" s="40"/>
      <c r="AW525" s="40"/>
      <c r="AX525" s="40"/>
      <c r="AY525" s="40"/>
      <c r="AZ525" s="40"/>
      <c r="BA525" s="40"/>
      <c r="BB525" s="40"/>
      <c r="BC525" s="40"/>
      <c r="BD525" s="40"/>
      <c r="BE525" s="40"/>
      <c r="BF525" s="40"/>
      <c r="BG525" s="40"/>
      <c r="BH525" s="40"/>
      <c r="BI525" s="40"/>
    </row>
    <row r="526" ht="15.75" customHeight="1">
      <c r="A526" s="5" t="str">
        <f t="shared" si="122"/>
        <v>Services extérieurs</v>
      </c>
      <c r="B526" s="3"/>
      <c r="C526" s="668"/>
      <c r="V526" s="559" t="s">
        <v>133</v>
      </c>
      <c r="W526" s="707" t="s">
        <v>1086</v>
      </c>
      <c r="X526" s="700"/>
      <c r="Y526" s="700"/>
      <c r="Z526" s="701">
        <v>0.0</v>
      </c>
      <c r="AA526" s="700"/>
      <c r="AB526" s="700">
        <f t="shared" si="149"/>
        <v>0</v>
      </c>
      <c r="AC526" s="701">
        <v>0.0</v>
      </c>
      <c r="AD526" s="709"/>
      <c r="AE526" s="708"/>
      <c r="AF526" s="701">
        <v>87316.20999999999</v>
      </c>
      <c r="AG526" s="702"/>
      <c r="AH526" s="703">
        <f t="shared" si="142"/>
        <v>87316.21</v>
      </c>
      <c r="AI526" s="704">
        <f t="shared" si="150"/>
        <v>0</v>
      </c>
      <c r="AJ526" s="709"/>
      <c r="AK526" s="708"/>
      <c r="AL526" s="701">
        <f t="shared" si="151"/>
        <v>92586.1</v>
      </c>
      <c r="AM526" s="705"/>
      <c r="AN526" s="703">
        <f t="shared" si="147"/>
        <v>-5269.89</v>
      </c>
      <c r="AO526" s="710">
        <f t="shared" si="148"/>
        <v>-0.05691880315</v>
      </c>
      <c r="AP526" s="40"/>
      <c r="AQ526" s="40"/>
      <c r="AR526" s="40"/>
      <c r="AS526" s="40"/>
      <c r="AT526" s="40"/>
      <c r="AU526" s="40"/>
      <c r="AV526" s="40"/>
      <c r="AW526" s="40"/>
      <c r="AX526" s="40"/>
      <c r="AY526" s="40"/>
      <c r="AZ526" s="40"/>
      <c r="BA526" s="40"/>
      <c r="BB526" s="40"/>
      <c r="BC526" s="40"/>
      <c r="BD526" s="40"/>
      <c r="BE526" s="40"/>
      <c r="BF526" s="40"/>
      <c r="BG526" s="40"/>
      <c r="BH526" s="40"/>
      <c r="BI526" s="40"/>
    </row>
    <row r="527" ht="15.75" customHeight="1">
      <c r="B527" s="3"/>
      <c r="C527" s="668"/>
      <c r="V527" s="654" t="s">
        <v>173</v>
      </c>
      <c r="W527" s="725"/>
      <c r="X527" s="726"/>
      <c r="Y527" s="726"/>
      <c r="Z527" s="727">
        <v>0.0</v>
      </c>
      <c r="AA527" s="726"/>
      <c r="AB527" s="726">
        <f t="shared" si="149"/>
        <v>0</v>
      </c>
      <c r="AC527" s="727">
        <v>0.0</v>
      </c>
      <c r="AD527" s="728"/>
      <c r="AE527" s="729"/>
      <c r="AF527" s="727">
        <v>0.0</v>
      </c>
      <c r="AG527" s="734"/>
      <c r="AH527" s="730">
        <f t="shared" si="142"/>
        <v>0</v>
      </c>
      <c r="AI527" s="731">
        <f t="shared" si="150"/>
        <v>0</v>
      </c>
      <c r="AJ527" s="728"/>
      <c r="AK527" s="729"/>
      <c r="AL527" s="727">
        <f t="shared" si="151"/>
        <v>0</v>
      </c>
      <c r="AM527" s="732"/>
      <c r="AN527" s="730">
        <f t="shared" si="147"/>
        <v>0</v>
      </c>
      <c r="AO527" s="706">
        <f t="shared" si="148"/>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ht="15.75" customHeight="1">
      <c r="A528" s="5" t="str">
        <f t="shared" ref="A528:A586" si="152">+U528&amp;V528</f>
        <v>Fournitures autres</v>
      </c>
      <c r="B528" s="3"/>
      <c r="C528" s="668"/>
      <c r="V528" s="559" t="s">
        <v>134</v>
      </c>
      <c r="W528" s="707" t="s">
        <v>1087</v>
      </c>
      <c r="X528" s="700"/>
      <c r="Y528" s="708"/>
      <c r="Z528" s="701">
        <v>0.0</v>
      </c>
      <c r="AA528" s="700"/>
      <c r="AB528" s="708">
        <f t="shared" si="149"/>
        <v>0</v>
      </c>
      <c r="AC528" s="701">
        <v>0.0</v>
      </c>
      <c r="AD528" s="709"/>
      <c r="AE528" s="708"/>
      <c r="AF528" s="701">
        <v>49381.16</v>
      </c>
      <c r="AG528" s="702"/>
      <c r="AH528" s="703">
        <f t="shared" si="142"/>
        <v>49381.16</v>
      </c>
      <c r="AI528" s="704">
        <f t="shared" si="150"/>
        <v>0</v>
      </c>
      <c r="AJ528" s="709"/>
      <c r="AK528" s="708"/>
      <c r="AL528" s="701">
        <f t="shared" si="151"/>
        <v>27484.2</v>
      </c>
      <c r="AM528" s="705"/>
      <c r="AN528" s="703">
        <f t="shared" si="147"/>
        <v>21896.96</v>
      </c>
      <c r="AO528" s="710">
        <f t="shared" si="148"/>
        <v>0.7967108375</v>
      </c>
      <c r="AP528" s="40"/>
      <c r="AQ528" s="40"/>
      <c r="AR528" s="40"/>
      <c r="AS528" s="40"/>
      <c r="AT528" s="40"/>
      <c r="AU528" s="40"/>
      <c r="AV528" s="40"/>
      <c r="AW528" s="40"/>
      <c r="AX528" s="40"/>
      <c r="AY528" s="40"/>
      <c r="AZ528" s="40"/>
      <c r="BA528" s="40"/>
      <c r="BB528" s="40"/>
      <c r="BC528" s="40"/>
      <c r="BD528" s="40"/>
      <c r="BE528" s="40"/>
      <c r="BF528" s="40"/>
      <c r="BG528" s="40"/>
      <c r="BH528" s="40"/>
      <c r="BI528" s="40"/>
    </row>
    <row r="529" ht="15.75" customHeight="1">
      <c r="A529" s="5" t="str">
        <f t="shared" si="152"/>
        <v>Uniformes</v>
      </c>
      <c r="B529" s="3"/>
      <c r="C529" s="668"/>
      <c r="U529" s="40"/>
      <c r="V529" s="559" t="s">
        <v>135</v>
      </c>
      <c r="W529" s="707" t="s">
        <v>1088</v>
      </c>
      <c r="X529" s="700"/>
      <c r="Y529" s="700"/>
      <c r="Z529" s="701">
        <v>0.0</v>
      </c>
      <c r="AA529" s="700"/>
      <c r="AB529" s="700">
        <f t="shared" si="149"/>
        <v>0</v>
      </c>
      <c r="AC529" s="701">
        <v>0.0</v>
      </c>
      <c r="AD529" s="709"/>
      <c r="AE529" s="708"/>
      <c r="AF529" s="701">
        <v>0.0</v>
      </c>
      <c r="AG529" s="702"/>
      <c r="AH529" s="703">
        <f t="shared" si="142"/>
        <v>0</v>
      </c>
      <c r="AI529" s="723">
        <f t="shared" si="150"/>
        <v>0</v>
      </c>
      <c r="AJ529" s="709"/>
      <c r="AK529" s="708"/>
      <c r="AL529" s="701">
        <f t="shared" si="151"/>
        <v>0</v>
      </c>
      <c r="AM529" s="705"/>
      <c r="AN529" s="703">
        <f t="shared" si="147"/>
        <v>0</v>
      </c>
      <c r="AO529" s="710">
        <f t="shared" si="148"/>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ht="15.75" customHeight="1">
      <c r="A530" s="5" t="str">
        <f t="shared" si="152"/>
        <v>Papeterie</v>
      </c>
      <c r="B530" s="3"/>
      <c r="C530" s="668"/>
      <c r="T530" s="40"/>
      <c r="U530" s="40"/>
      <c r="V530" s="559" t="s">
        <v>136</v>
      </c>
      <c r="W530" s="707" t="s">
        <v>1089</v>
      </c>
      <c r="X530" s="700"/>
      <c r="Y530" s="700"/>
      <c r="Z530" s="701">
        <v>0.0</v>
      </c>
      <c r="AA530" s="700"/>
      <c r="AB530" s="700">
        <f t="shared" si="149"/>
        <v>0</v>
      </c>
      <c r="AC530" s="701">
        <v>0.0</v>
      </c>
      <c r="AD530" s="709"/>
      <c r="AE530" s="708"/>
      <c r="AF530" s="701">
        <v>17559.670000000002</v>
      </c>
      <c r="AG530" s="702"/>
      <c r="AH530" s="703">
        <f t="shared" si="142"/>
        <v>17559.67</v>
      </c>
      <c r="AI530" s="704">
        <f t="shared" si="150"/>
        <v>0</v>
      </c>
      <c r="AJ530" s="709"/>
      <c r="AK530" s="708"/>
      <c r="AL530" s="701">
        <f t="shared" si="151"/>
        <v>18801.99</v>
      </c>
      <c r="AM530" s="705"/>
      <c r="AN530" s="703">
        <f t="shared" si="147"/>
        <v>-1242.32</v>
      </c>
      <c r="AO530" s="710">
        <f t="shared" si="148"/>
        <v>-0.06607385708</v>
      </c>
      <c r="AP530" s="40"/>
      <c r="AQ530" s="40"/>
      <c r="AR530" s="40"/>
      <c r="AS530" s="40"/>
      <c r="AT530" s="40"/>
      <c r="AU530" s="40"/>
      <c r="AV530" s="40"/>
      <c r="AW530" s="40"/>
      <c r="AX530" s="40"/>
      <c r="AY530" s="40"/>
      <c r="AZ530" s="40"/>
      <c r="BA530" s="40"/>
      <c r="BB530" s="40"/>
      <c r="BC530" s="40"/>
      <c r="BD530" s="40"/>
      <c r="BE530" s="40"/>
      <c r="BF530" s="40"/>
      <c r="BG530" s="40"/>
      <c r="BH530" s="40"/>
      <c r="BI530" s="40"/>
    </row>
    <row r="531" ht="15.75" customHeight="1">
      <c r="A531" s="5" t="str">
        <f t="shared" si="152"/>
        <v>Téléphone</v>
      </c>
      <c r="B531" s="3"/>
      <c r="C531" s="668"/>
      <c r="T531" s="40"/>
      <c r="U531" s="40"/>
      <c r="V531" s="559" t="s">
        <v>137</v>
      </c>
      <c r="W531" s="707" t="s">
        <v>1090</v>
      </c>
      <c r="X531" s="700"/>
      <c r="Y531" s="700"/>
      <c r="Z531" s="701">
        <v>0.0</v>
      </c>
      <c r="AA531" s="700"/>
      <c r="AB531" s="700">
        <f t="shared" si="149"/>
        <v>0</v>
      </c>
      <c r="AC531" s="701">
        <v>0.0</v>
      </c>
      <c r="AD531" s="709"/>
      <c r="AE531" s="708"/>
      <c r="AF531" s="701">
        <v>7754.68</v>
      </c>
      <c r="AG531" s="702"/>
      <c r="AH531" s="703">
        <f t="shared" si="142"/>
        <v>7754.68</v>
      </c>
      <c r="AI531" s="723">
        <f t="shared" si="150"/>
        <v>0</v>
      </c>
      <c r="AJ531" s="709"/>
      <c r="AK531" s="708"/>
      <c r="AL531" s="701">
        <f t="shared" si="151"/>
        <v>12420.6</v>
      </c>
      <c r="AM531" s="705"/>
      <c r="AN531" s="703">
        <f t="shared" si="147"/>
        <v>-4665.92</v>
      </c>
      <c r="AO531" s="710">
        <f t="shared" si="148"/>
        <v>-0.375659791</v>
      </c>
      <c r="AP531" s="40"/>
      <c r="AQ531" s="40"/>
      <c r="AR531" s="40"/>
      <c r="AS531" s="40"/>
      <c r="AT531" s="40"/>
      <c r="AU531" s="40"/>
      <c r="AV531" s="40"/>
      <c r="AW531" s="40"/>
      <c r="AX531" s="40"/>
      <c r="AY531" s="40"/>
      <c r="AZ531" s="40"/>
      <c r="BA531" s="40"/>
      <c r="BB531" s="40"/>
      <c r="BC531" s="40"/>
      <c r="BD531" s="40"/>
      <c r="BE531" s="40"/>
      <c r="BF531" s="40"/>
      <c r="BG531" s="40"/>
      <c r="BH531" s="40"/>
      <c r="BI531" s="40"/>
    </row>
    <row r="532" ht="15.75" customHeight="1">
      <c r="A532" s="5" t="str">
        <f t="shared" si="152"/>
        <v>Frais postaux</v>
      </c>
      <c r="B532" s="3"/>
      <c r="C532" s="668"/>
      <c r="T532" s="40"/>
      <c r="U532" s="40"/>
      <c r="V532" s="559" t="s">
        <v>138</v>
      </c>
      <c r="W532" s="707" t="s">
        <v>1091</v>
      </c>
      <c r="X532" s="700"/>
      <c r="Y532" s="700"/>
      <c r="Z532" s="701">
        <v>0.0</v>
      </c>
      <c r="AA532" s="700"/>
      <c r="AB532" s="700">
        <f t="shared" si="149"/>
        <v>0</v>
      </c>
      <c r="AC532" s="701">
        <v>0.0</v>
      </c>
      <c r="AD532" s="709"/>
      <c r="AE532" s="708"/>
      <c r="AF532" s="701">
        <v>20440.36</v>
      </c>
      <c r="AG532" s="702"/>
      <c r="AH532" s="703">
        <f t="shared" si="142"/>
        <v>20440.36</v>
      </c>
      <c r="AI532" s="704">
        <f t="shared" si="150"/>
        <v>0</v>
      </c>
      <c r="AJ532" s="709"/>
      <c r="AK532" s="708"/>
      <c r="AL532" s="701">
        <f t="shared" si="151"/>
        <v>14177.96</v>
      </c>
      <c r="AM532" s="705"/>
      <c r="AN532" s="703">
        <f t="shared" si="147"/>
        <v>6262.4</v>
      </c>
      <c r="AO532" s="710">
        <f t="shared" si="148"/>
        <v>0.4416996521</v>
      </c>
      <c r="AP532" s="40"/>
      <c r="AQ532" s="40"/>
      <c r="AR532" s="40"/>
      <c r="AS532" s="40"/>
      <c r="AT532" s="40"/>
      <c r="AU532" s="40"/>
      <c r="AV532" s="40"/>
      <c r="AW532" s="40"/>
      <c r="AX532" s="40"/>
      <c r="AY532" s="40"/>
      <c r="AZ532" s="40"/>
      <c r="BA532" s="40"/>
      <c r="BB532" s="40"/>
      <c r="BC532" s="40"/>
      <c r="BD532" s="40"/>
      <c r="BE532" s="40"/>
      <c r="BF532" s="40"/>
      <c r="BG532" s="40"/>
      <c r="BH532" s="40"/>
      <c r="BI532" s="40"/>
    </row>
    <row r="533" ht="15.75" customHeight="1">
      <c r="A533" s="5" t="str">
        <f t="shared" si="152"/>
        <v>Divers</v>
      </c>
      <c r="B533" s="3"/>
      <c r="C533" s="668"/>
      <c r="T533" s="40"/>
      <c r="U533" s="40"/>
      <c r="V533" s="559" t="s">
        <v>139</v>
      </c>
      <c r="W533" s="707" t="s">
        <v>1092</v>
      </c>
      <c r="X533" s="700"/>
      <c r="Y533" s="708"/>
      <c r="Z533" s="701">
        <v>0.0</v>
      </c>
      <c r="AA533" s="700"/>
      <c r="AB533" s="708">
        <f t="shared" si="149"/>
        <v>0</v>
      </c>
      <c r="AC533" s="701">
        <v>0.0</v>
      </c>
      <c r="AD533" s="709"/>
      <c r="AE533" s="708"/>
      <c r="AF533" s="701">
        <v>27897.49000000001</v>
      </c>
      <c r="AG533" s="702"/>
      <c r="AH533" s="703">
        <f t="shared" si="142"/>
        <v>27897.49</v>
      </c>
      <c r="AI533" s="723">
        <f t="shared" si="150"/>
        <v>0</v>
      </c>
      <c r="AJ533" s="709"/>
      <c r="AK533" s="708"/>
      <c r="AL533" s="701">
        <f t="shared" si="151"/>
        <v>40673.44</v>
      </c>
      <c r="AM533" s="705"/>
      <c r="AN533" s="703">
        <f t="shared" si="147"/>
        <v>-12775.95</v>
      </c>
      <c r="AO533" s="710">
        <f t="shared" si="148"/>
        <v>-0.3141103875</v>
      </c>
      <c r="AP533" s="40"/>
      <c r="AQ533" s="40"/>
      <c r="AR533" s="40"/>
      <c r="AS533" s="40"/>
      <c r="AT533" s="40"/>
      <c r="AU533" s="40"/>
      <c r="AV533" s="40"/>
      <c r="AW533" s="40"/>
      <c r="AX533" s="40"/>
      <c r="AY533" s="40"/>
      <c r="AZ533" s="40"/>
      <c r="BA533" s="40"/>
      <c r="BB533" s="40"/>
      <c r="BC533" s="40"/>
      <c r="BD533" s="40"/>
      <c r="BE533" s="40"/>
      <c r="BF533" s="40"/>
      <c r="BG533" s="40"/>
      <c r="BH533" s="40"/>
      <c r="BI533" s="40"/>
    </row>
    <row r="534" ht="15.75" customHeight="1">
      <c r="A534" s="5" t="str">
        <f t="shared" si="152"/>
        <v>Formation</v>
      </c>
      <c r="B534" s="3"/>
      <c r="C534" s="668"/>
      <c r="T534" s="40"/>
      <c r="U534" s="40"/>
      <c r="V534" s="559" t="s">
        <v>140</v>
      </c>
      <c r="W534" s="707" t="s">
        <v>1093</v>
      </c>
      <c r="X534" s="700"/>
      <c r="Y534" s="708"/>
      <c r="Z534" s="701">
        <v>0.0</v>
      </c>
      <c r="AA534" s="700"/>
      <c r="AB534" s="708">
        <f t="shared" si="149"/>
        <v>0</v>
      </c>
      <c r="AC534" s="701">
        <v>0.0</v>
      </c>
      <c r="AD534" s="709"/>
      <c r="AE534" s="708"/>
      <c r="AF534" s="701">
        <v>11455.809999999998</v>
      </c>
      <c r="AG534" s="702"/>
      <c r="AH534" s="703">
        <f t="shared" si="142"/>
        <v>11455.81</v>
      </c>
      <c r="AI534" s="704">
        <f t="shared" si="150"/>
        <v>0</v>
      </c>
      <c r="AJ534" s="709"/>
      <c r="AK534" s="708"/>
      <c r="AL534" s="701">
        <f t="shared" si="151"/>
        <v>15879.49</v>
      </c>
      <c r="AM534" s="705"/>
      <c r="AN534" s="703">
        <f t="shared" si="147"/>
        <v>-4423.68</v>
      </c>
      <c r="AO534" s="710">
        <f t="shared" si="148"/>
        <v>-0.2785782163</v>
      </c>
      <c r="AQ534" s="40"/>
      <c r="AR534" s="40"/>
      <c r="AS534" s="40"/>
      <c r="AT534" s="40"/>
      <c r="AU534" s="40"/>
      <c r="AV534" s="40"/>
      <c r="AW534" s="40"/>
      <c r="AX534" s="40"/>
      <c r="AY534" s="40"/>
      <c r="AZ534" s="40"/>
      <c r="BA534" s="40"/>
      <c r="BB534" s="40"/>
      <c r="BC534" s="40"/>
      <c r="BD534" s="40"/>
      <c r="BE534" s="40"/>
      <c r="BF534" s="40"/>
      <c r="BG534" s="40"/>
      <c r="BH534" s="40"/>
      <c r="BI534" s="40"/>
    </row>
    <row r="535" ht="15.75" customHeight="1">
      <c r="A535" s="5" t="str">
        <f t="shared" si="152"/>
        <v>Frais bancaires</v>
      </c>
      <c r="B535" s="3"/>
      <c r="C535" s="668"/>
      <c r="T535" s="40"/>
      <c r="U535" s="40"/>
      <c r="V535" s="559" t="s">
        <v>141</v>
      </c>
      <c r="W535" s="707" t="s">
        <v>1094</v>
      </c>
      <c r="X535" s="700"/>
      <c r="Y535" s="704"/>
      <c r="Z535" s="701">
        <v>0.0</v>
      </c>
      <c r="AA535" s="700"/>
      <c r="AB535" s="708">
        <f t="shared" si="149"/>
        <v>0</v>
      </c>
      <c r="AC535" s="701">
        <v>0.0</v>
      </c>
      <c r="AD535" s="709"/>
      <c r="AE535" s="708"/>
      <c r="AF535" s="701">
        <v>18062.35</v>
      </c>
      <c r="AG535" s="702"/>
      <c r="AH535" s="703">
        <f t="shared" si="142"/>
        <v>18062.35</v>
      </c>
      <c r="AI535" s="704">
        <f t="shared" si="150"/>
        <v>0</v>
      </c>
      <c r="AJ535" s="709"/>
      <c r="AK535" s="708"/>
      <c r="AL535" s="701">
        <v>3312.4300000000003</v>
      </c>
      <c r="AM535" s="705"/>
      <c r="AN535" s="703">
        <f t="shared" si="147"/>
        <v>14749.92</v>
      </c>
      <c r="AO535" s="710">
        <f t="shared" si="148"/>
        <v>4.452900137</v>
      </c>
      <c r="AQ535" s="40"/>
      <c r="AR535" s="40"/>
      <c r="AS535" s="40"/>
      <c r="AT535" s="40"/>
      <c r="AU535" s="40"/>
      <c r="AV535" s="40"/>
      <c r="AW535" s="40"/>
      <c r="AX535" s="40"/>
      <c r="AY535" s="40"/>
      <c r="AZ535" s="40"/>
      <c r="BA535" s="40"/>
      <c r="BB535" s="40"/>
      <c r="BC535" s="40"/>
      <c r="BD535" s="40"/>
      <c r="BE535" s="40"/>
      <c r="BF535" s="40"/>
      <c r="BG535" s="40"/>
      <c r="BH535" s="40"/>
      <c r="BI535" s="40"/>
    </row>
    <row r="536" ht="17.25" customHeight="1">
      <c r="A536" s="5" t="str">
        <f t="shared" si="152"/>
        <v>Mitsubishi</v>
      </c>
      <c r="B536" s="3"/>
      <c r="C536" s="668"/>
      <c r="T536" s="40"/>
      <c r="U536" s="40"/>
      <c r="V536" s="559" t="s">
        <v>1118</v>
      </c>
      <c r="W536" s="707"/>
      <c r="X536" s="700"/>
      <c r="Y536" s="708"/>
      <c r="Z536" s="701">
        <v>0.0</v>
      </c>
      <c r="AA536" s="700"/>
      <c r="AB536" s="700">
        <f t="shared" si="149"/>
        <v>0</v>
      </c>
      <c r="AC536" s="701">
        <v>0.0</v>
      </c>
      <c r="AD536" s="709"/>
      <c r="AE536" s="708"/>
      <c r="AF536" s="701">
        <v>5439.79</v>
      </c>
      <c r="AG536" s="702"/>
      <c r="AH536" s="703">
        <f t="shared" si="142"/>
        <v>5439.79</v>
      </c>
      <c r="AI536" s="704">
        <f t="shared" si="150"/>
        <v>0</v>
      </c>
      <c r="AJ536" s="709"/>
      <c r="AK536" s="708"/>
      <c r="AL536" s="701">
        <f>+SUMIF($C:$C,$V536,Q:Q)</f>
        <v>0</v>
      </c>
      <c r="AM536" s="705"/>
      <c r="AN536" s="703">
        <f t="shared" si="147"/>
        <v>5439.79</v>
      </c>
      <c r="AO536" s="710">
        <f t="shared" si="148"/>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ht="17.25" hidden="1" customHeight="1">
      <c r="A537" s="5" t="str">
        <f t="shared" si="152"/>
        <v>[...]</v>
      </c>
      <c r="B537" s="3"/>
      <c r="C537" s="668"/>
      <c r="T537" s="40"/>
      <c r="U537" s="40"/>
      <c r="V537" s="559" t="s">
        <v>56</v>
      </c>
      <c r="W537" s="707"/>
      <c r="X537" s="700"/>
      <c r="Y537" s="708"/>
      <c r="Z537" s="701">
        <v>0.0</v>
      </c>
      <c r="AA537" s="700"/>
      <c r="AB537" s="700">
        <f t="shared" si="149"/>
        <v>0</v>
      </c>
      <c r="AC537" s="701">
        <v>0.0</v>
      </c>
      <c r="AD537" s="709"/>
      <c r="AE537" s="708"/>
      <c r="AF537" s="701">
        <v>0.0</v>
      </c>
      <c r="AG537" s="702"/>
      <c r="AH537" s="703">
        <f t="shared" si="142"/>
        <v>0</v>
      </c>
      <c r="AI537" s="704">
        <f t="shared" si="150"/>
        <v>0</v>
      </c>
      <c r="AJ537" s="709"/>
      <c r="AK537" s="708"/>
      <c r="AL537" s="701"/>
      <c r="AM537" s="705"/>
      <c r="AN537" s="703">
        <f t="shared" si="147"/>
        <v>0</v>
      </c>
      <c r="AO537" s="710">
        <f t="shared" si="148"/>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ht="17.25" hidden="1" customHeight="1">
      <c r="A538" s="5" t="str">
        <f t="shared" si="152"/>
        <v>[...]</v>
      </c>
      <c r="B538" s="3"/>
      <c r="C538" s="668"/>
      <c r="T538" s="40"/>
      <c r="U538" s="40"/>
      <c r="V538" s="559" t="s">
        <v>56</v>
      </c>
      <c r="W538" s="707"/>
      <c r="X538" s="700"/>
      <c r="Y538" s="708"/>
      <c r="Z538" s="701">
        <v>0.0</v>
      </c>
      <c r="AA538" s="700"/>
      <c r="AB538" s="700">
        <f t="shared" si="149"/>
        <v>0</v>
      </c>
      <c r="AC538" s="701">
        <v>0.0</v>
      </c>
      <c r="AD538" s="709"/>
      <c r="AE538" s="708"/>
      <c r="AF538" s="701">
        <v>0.0</v>
      </c>
      <c r="AG538" s="702"/>
      <c r="AH538" s="703">
        <f t="shared" si="142"/>
        <v>0</v>
      </c>
      <c r="AI538" s="704">
        <f t="shared" si="150"/>
        <v>0</v>
      </c>
      <c r="AJ538" s="709"/>
      <c r="AK538" s="708"/>
      <c r="AL538" s="701"/>
      <c r="AM538" s="705"/>
      <c r="AN538" s="703">
        <f t="shared" si="147"/>
        <v>0</v>
      </c>
      <c r="AO538" s="710">
        <f t="shared" si="148"/>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ht="21.0" customHeight="1">
      <c r="A539" s="5" t="str">
        <f t="shared" si="152"/>
        <v>TOTAL SEMI-FIXES</v>
      </c>
      <c r="B539" s="3"/>
      <c r="C539" s="668"/>
      <c r="T539" s="40"/>
      <c r="U539" s="40"/>
      <c r="V539" s="715" t="s">
        <v>142</v>
      </c>
      <c r="W539" s="735"/>
      <c r="X539" s="717" t="str">
        <f>Z539/+Z494</f>
        <v>#REF!</v>
      </c>
      <c r="Y539" s="716"/>
      <c r="Z539" s="718">
        <f>+SUM(Z521:Z538)</f>
        <v>0</v>
      </c>
      <c r="AA539" s="717" t="str">
        <f>AC539/+AC494</f>
        <v>#DIV/0!</v>
      </c>
      <c r="AB539" s="716"/>
      <c r="AC539" s="718">
        <v>0.0</v>
      </c>
      <c r="AD539" s="719">
        <f>AF539/AF494</f>
        <v>0.1689134164</v>
      </c>
      <c r="AE539" s="716"/>
      <c r="AF539" s="718">
        <f>+SUM(AF521:AF538)</f>
        <v>436112.8</v>
      </c>
      <c r="AG539" s="736"/>
      <c r="AH539" s="737">
        <f>+SUM(AH521:AH538)</f>
        <v>436112.8</v>
      </c>
      <c r="AI539" s="717" t="str">
        <f>AH539/Z539</f>
        <v>#DIV/0!</v>
      </c>
      <c r="AJ539" s="719">
        <f>IF($AL$407=0,0,AL539/$AL$407)</f>
        <v>0</v>
      </c>
      <c r="AK539" s="716"/>
      <c r="AL539" s="718">
        <f>+SUM(AL521:AL538)</f>
        <v>398500.8</v>
      </c>
      <c r="AM539" s="722"/>
      <c r="AN539" s="720">
        <f>+SUM(AN521:AN538)</f>
        <v>37612</v>
      </c>
      <c r="AO539" s="738">
        <f t="shared" si="148"/>
        <v>0.0943837503</v>
      </c>
      <c r="AP539" s="40"/>
      <c r="AQ539" s="40"/>
      <c r="AR539" s="40"/>
      <c r="AS539" s="40"/>
      <c r="AT539" s="40"/>
      <c r="AU539" s="40"/>
      <c r="AV539" s="40"/>
      <c r="AW539" s="40"/>
      <c r="AX539" s="40"/>
      <c r="AY539" s="40"/>
      <c r="AZ539" s="40"/>
      <c r="BA539" s="40"/>
      <c r="BB539" s="40"/>
      <c r="BC539" s="40"/>
      <c r="BD539" s="40"/>
      <c r="BE539" s="40"/>
      <c r="BF539" s="40"/>
      <c r="BG539" s="40"/>
      <c r="BH539" s="40"/>
      <c r="BI539" s="40"/>
    </row>
    <row r="540" ht="15.75" customHeight="1">
      <c r="A540" s="5" t="str">
        <f t="shared" si="152"/>
        <v>Loyer</v>
      </c>
      <c r="B540" s="3"/>
      <c r="C540" s="668"/>
      <c r="D540" s="40"/>
      <c r="E540" s="40"/>
      <c r="F540" s="40"/>
      <c r="G540" s="40"/>
      <c r="H540" s="40"/>
      <c r="I540" s="40"/>
      <c r="J540" s="40"/>
      <c r="K540" s="40"/>
      <c r="L540" s="40"/>
      <c r="M540" s="40"/>
      <c r="N540" s="40"/>
      <c r="O540" s="40"/>
      <c r="P540" s="40"/>
      <c r="Q540" s="40"/>
      <c r="R540" s="40"/>
      <c r="S540" s="40"/>
      <c r="T540" s="40"/>
      <c r="U540" s="40"/>
      <c r="V540" s="559" t="s">
        <v>199</v>
      </c>
      <c r="W540" s="707" t="s">
        <v>1095</v>
      </c>
      <c r="X540" s="700"/>
      <c r="Y540" s="708"/>
      <c r="Z540" s="701">
        <v>0.0</v>
      </c>
      <c r="AA540" s="700"/>
      <c r="AB540" s="708">
        <f t="shared" ref="AB540:AB549" si="153">IF(AC540=0,0,AC540/(G$13+G$97))</f>
        <v>0</v>
      </c>
      <c r="AC540" s="701">
        <v>0.0</v>
      </c>
      <c r="AD540" s="709"/>
      <c r="AE540" s="708"/>
      <c r="AF540" s="701">
        <v>233252.0</v>
      </c>
      <c r="AG540" s="702"/>
      <c r="AH540" s="703">
        <f t="shared" ref="AH540:AH548" si="154">AF540-Z540</f>
        <v>233252</v>
      </c>
      <c r="AI540" s="704">
        <f t="shared" ref="AI540:AI548" si="155">IF(Z540=0,0,AH540/Z540)</f>
        <v>0</v>
      </c>
      <c r="AJ540" s="709"/>
      <c r="AK540" s="708"/>
      <c r="AL540" s="701">
        <v>312150.5</v>
      </c>
      <c r="AM540" s="705"/>
      <c r="AN540" s="703">
        <f t="shared" ref="AN540:AN548" si="156">AF540-AL540</f>
        <v>-78898.5</v>
      </c>
      <c r="AO540" s="710">
        <f t="shared" si="148"/>
        <v>-0.2527578844</v>
      </c>
      <c r="AP540" s="40"/>
      <c r="AQ540" s="40"/>
      <c r="AR540" s="40"/>
      <c r="AS540" s="40"/>
      <c r="AT540" s="40"/>
      <c r="AU540" s="40"/>
      <c r="AV540" s="40"/>
      <c r="AW540" s="40"/>
      <c r="AX540" s="40"/>
      <c r="AY540" s="40"/>
      <c r="AZ540" s="40"/>
      <c r="BA540" s="40"/>
      <c r="BB540" s="40"/>
      <c r="BC540" s="40"/>
      <c r="BD540" s="40"/>
      <c r="BE540" s="40"/>
      <c r="BF540" s="40"/>
      <c r="BG540" s="40"/>
      <c r="BH540" s="40"/>
      <c r="BI540" s="40"/>
    </row>
    <row r="541" ht="15.75" customHeight="1">
      <c r="A541" s="5" t="str">
        <f t="shared" si="152"/>
        <v>Taxes foncières</v>
      </c>
      <c r="B541" s="3"/>
      <c r="C541" s="668"/>
      <c r="D541" s="40"/>
      <c r="E541" s="40"/>
      <c r="F541" s="40"/>
      <c r="G541" s="40"/>
      <c r="H541" s="40"/>
      <c r="I541" s="40"/>
      <c r="J541" s="40"/>
      <c r="K541" s="40"/>
      <c r="L541" s="40"/>
      <c r="M541" s="40"/>
      <c r="N541" s="40"/>
      <c r="O541" s="40"/>
      <c r="P541" s="40"/>
      <c r="Q541" s="40"/>
      <c r="R541" s="40"/>
      <c r="S541" s="40"/>
      <c r="T541" s="40"/>
      <c r="U541" s="40"/>
      <c r="V541" s="559" t="s">
        <v>200</v>
      </c>
      <c r="W541" s="707" t="s">
        <v>1096</v>
      </c>
      <c r="X541" s="700"/>
      <c r="Y541" s="708"/>
      <c r="Z541" s="701">
        <v>0.0</v>
      </c>
      <c r="AA541" s="700"/>
      <c r="AB541" s="708">
        <f t="shared" si="153"/>
        <v>0</v>
      </c>
      <c r="AC541" s="701">
        <v>0.0</v>
      </c>
      <c r="AD541" s="709"/>
      <c r="AE541" s="708"/>
      <c r="AF541" s="701">
        <v>22050.0</v>
      </c>
      <c r="AG541" s="702"/>
      <c r="AH541" s="703">
        <f t="shared" si="154"/>
        <v>22050</v>
      </c>
      <c r="AI541" s="704">
        <f t="shared" si="155"/>
        <v>0</v>
      </c>
      <c r="AJ541" s="709"/>
      <c r="AK541" s="708"/>
      <c r="AL541" s="701">
        <v>13674.0</v>
      </c>
      <c r="AM541" s="705"/>
      <c r="AN541" s="703">
        <f t="shared" si="156"/>
        <v>8376</v>
      </c>
      <c r="AO541" s="710">
        <f t="shared" si="148"/>
        <v>0.6125493638</v>
      </c>
      <c r="AP541" s="40"/>
      <c r="AQ541" s="40"/>
      <c r="AR541" s="40"/>
      <c r="AS541" s="40"/>
      <c r="AT541" s="40"/>
      <c r="AU541" s="40"/>
      <c r="AV541" s="40"/>
      <c r="AW541" s="40"/>
      <c r="AX541" s="40"/>
      <c r="AY541" s="40"/>
      <c r="AZ541" s="40"/>
      <c r="BA541" s="40"/>
      <c r="BB541" s="40"/>
      <c r="BC541" s="40"/>
      <c r="BD541" s="40"/>
      <c r="BE541" s="40"/>
      <c r="BF541" s="40"/>
      <c r="BG541" s="40"/>
      <c r="BH541" s="40"/>
      <c r="BI541" s="40"/>
    </row>
    <row r="542" ht="15.75" customHeight="1">
      <c r="A542" s="5" t="str">
        <f t="shared" si="152"/>
        <v>Taxes d`affaires</v>
      </c>
      <c r="B542" s="3"/>
      <c r="C542" s="668"/>
      <c r="D542" s="40"/>
      <c r="E542" s="40"/>
      <c r="F542" s="40"/>
      <c r="G542" s="40"/>
      <c r="H542" s="40"/>
      <c r="I542" s="40"/>
      <c r="J542" s="40"/>
      <c r="K542" s="40"/>
      <c r="L542" s="40"/>
      <c r="M542" s="40"/>
      <c r="N542" s="40"/>
      <c r="O542" s="40"/>
      <c r="P542" s="40"/>
      <c r="Q542" s="40"/>
      <c r="R542" s="40"/>
      <c r="S542" s="40"/>
      <c r="T542" s="40"/>
      <c r="U542" s="40"/>
      <c r="V542" s="560" t="s">
        <v>201</v>
      </c>
      <c r="W542" s="711" t="s">
        <v>1097</v>
      </c>
      <c r="X542" s="683"/>
      <c r="Y542" s="712"/>
      <c r="Z542" s="684">
        <v>0.0</v>
      </c>
      <c r="AA542" s="683"/>
      <c r="AB542" s="712">
        <f t="shared" si="153"/>
        <v>0</v>
      </c>
      <c r="AC542" s="684">
        <v>0.0</v>
      </c>
      <c r="AD542" s="713"/>
      <c r="AE542" s="712"/>
      <c r="AF542" s="684">
        <v>44182.83</v>
      </c>
      <c r="AG542" s="685"/>
      <c r="AH542" s="686">
        <f t="shared" si="154"/>
        <v>44182.83</v>
      </c>
      <c r="AI542" s="714">
        <f t="shared" si="155"/>
        <v>0</v>
      </c>
      <c r="AJ542" s="713"/>
      <c r="AK542" s="712"/>
      <c r="AL542" s="684">
        <v>39907.52</v>
      </c>
      <c r="AM542" s="688"/>
      <c r="AN542" s="686">
        <f t="shared" si="156"/>
        <v>4275.31</v>
      </c>
      <c r="AO542" s="689">
        <f t="shared" si="148"/>
        <v>0.1071304356</v>
      </c>
      <c r="AP542" s="40"/>
      <c r="AQ542" s="40"/>
      <c r="AR542" s="40"/>
      <c r="AS542" s="40"/>
      <c r="AT542" s="40"/>
      <c r="AU542" s="40"/>
      <c r="AV542" s="40"/>
      <c r="AW542" s="40"/>
      <c r="AX542" s="40"/>
      <c r="AY542" s="40"/>
      <c r="AZ542" s="40"/>
      <c r="BA542" s="40"/>
      <c r="BB542" s="40"/>
      <c r="BC542" s="40"/>
      <c r="BD542" s="40"/>
      <c r="BE542" s="40"/>
      <c r="BF542" s="40"/>
      <c r="BG542" s="40"/>
      <c r="BH542" s="40"/>
      <c r="BI542" s="40"/>
    </row>
    <row r="543" ht="17.25" hidden="1" customHeight="1">
      <c r="A543" s="5" t="str">
        <f t="shared" si="152"/>
        <v>Taxe sur le capital</v>
      </c>
      <c r="B543" s="3"/>
      <c r="C543" s="668"/>
      <c r="D543" s="40"/>
      <c r="E543" s="40"/>
      <c r="F543" s="40"/>
      <c r="G543" s="40"/>
      <c r="H543" s="40"/>
      <c r="I543" s="40"/>
      <c r="J543" s="40"/>
      <c r="K543" s="40"/>
      <c r="L543" s="40"/>
      <c r="M543" s="40"/>
      <c r="N543" s="40"/>
      <c r="O543" s="40"/>
      <c r="P543" s="40"/>
      <c r="Q543" s="40"/>
      <c r="R543" s="40"/>
      <c r="S543" s="40"/>
      <c r="T543" s="40"/>
      <c r="U543" s="40"/>
      <c r="V543" s="559" t="s">
        <v>202</v>
      </c>
      <c r="W543" s="707"/>
      <c r="X543" s="700"/>
      <c r="Y543" s="708"/>
      <c r="Z543" s="701">
        <v>0.0</v>
      </c>
      <c r="AA543" s="700"/>
      <c r="AB543" s="708">
        <f t="shared" si="153"/>
        <v>0</v>
      </c>
      <c r="AC543" s="701">
        <v>0.0</v>
      </c>
      <c r="AD543" s="709"/>
      <c r="AE543" s="708"/>
      <c r="AF543" s="701">
        <v>0.0</v>
      </c>
      <c r="AG543" s="702"/>
      <c r="AH543" s="703">
        <f t="shared" si="154"/>
        <v>0</v>
      </c>
      <c r="AI543" s="704">
        <f t="shared" si="155"/>
        <v>0</v>
      </c>
      <c r="AJ543" s="709"/>
      <c r="AK543" s="708"/>
      <c r="AL543" s="701">
        <v>0.0</v>
      </c>
      <c r="AM543" s="705"/>
      <c r="AN543" s="703">
        <f t="shared" si="156"/>
        <v>0</v>
      </c>
      <c r="AO543" s="710">
        <f t="shared" si="148"/>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ht="15.75" customHeight="1">
      <c r="A544" s="5" t="str">
        <f t="shared" si="152"/>
        <v>Assurances</v>
      </c>
      <c r="B544" s="3"/>
      <c r="C544" s="668"/>
      <c r="D544" s="40"/>
      <c r="E544" s="40"/>
      <c r="F544" s="40"/>
      <c r="G544" s="40"/>
      <c r="H544" s="40"/>
      <c r="I544" s="40"/>
      <c r="J544" s="40"/>
      <c r="K544" s="40"/>
      <c r="L544" s="40"/>
      <c r="M544" s="40"/>
      <c r="N544" s="40"/>
      <c r="O544" s="40"/>
      <c r="P544" s="40"/>
      <c r="Q544" s="40"/>
      <c r="R544" s="40"/>
      <c r="S544" s="40"/>
      <c r="T544" s="40"/>
      <c r="U544" s="40"/>
      <c r="V544" s="560" t="s">
        <v>203</v>
      </c>
      <c r="W544" s="711" t="s">
        <v>1098</v>
      </c>
      <c r="X544" s="683"/>
      <c r="Y544" s="712"/>
      <c r="Z544" s="684">
        <v>0.0</v>
      </c>
      <c r="AA544" s="683"/>
      <c r="AB544" s="712">
        <f t="shared" si="153"/>
        <v>0</v>
      </c>
      <c r="AC544" s="684">
        <v>0.0</v>
      </c>
      <c r="AD544" s="713"/>
      <c r="AE544" s="712"/>
      <c r="AF544" s="684">
        <v>20198.260000000002</v>
      </c>
      <c r="AG544" s="685"/>
      <c r="AH544" s="686">
        <f t="shared" si="154"/>
        <v>20198.26</v>
      </c>
      <c r="AI544" s="714">
        <f t="shared" si="155"/>
        <v>0</v>
      </c>
      <c r="AJ544" s="713"/>
      <c r="AK544" s="712"/>
      <c r="AL544" s="684">
        <v>39220.829999999994</v>
      </c>
      <c r="AM544" s="688"/>
      <c r="AN544" s="686">
        <f t="shared" si="156"/>
        <v>-19022.57</v>
      </c>
      <c r="AO544" s="689">
        <f t="shared" si="148"/>
        <v>-0.4850119184</v>
      </c>
      <c r="AP544" s="40"/>
      <c r="AQ544" s="40"/>
      <c r="AR544" s="40"/>
      <c r="AS544" s="40"/>
      <c r="AT544" s="40"/>
      <c r="AU544" s="40"/>
      <c r="AV544" s="40"/>
      <c r="AW544" s="40"/>
      <c r="AX544" s="40"/>
      <c r="AY544" s="40"/>
      <c r="AZ544" s="40"/>
      <c r="BA544" s="40"/>
      <c r="BB544" s="40"/>
      <c r="BC544" s="40"/>
      <c r="BD544" s="40"/>
      <c r="BE544" s="40"/>
      <c r="BF544" s="40"/>
      <c r="BG544" s="40"/>
      <c r="BH544" s="40"/>
      <c r="BI544" s="40"/>
    </row>
    <row r="545" ht="15.75" customHeight="1">
      <c r="A545" s="5" t="str">
        <f t="shared" si="152"/>
        <v>Chauffage, éclairage</v>
      </c>
      <c r="B545" s="3"/>
      <c r="C545" s="668"/>
      <c r="D545" s="40"/>
      <c r="E545" s="40"/>
      <c r="F545" s="40"/>
      <c r="G545" s="40"/>
      <c r="H545" s="40"/>
      <c r="I545" s="40"/>
      <c r="J545" s="40"/>
      <c r="K545" s="40"/>
      <c r="L545" s="40"/>
      <c r="M545" s="40"/>
      <c r="N545" s="40"/>
      <c r="O545" s="40"/>
      <c r="P545" s="40"/>
      <c r="Q545" s="40"/>
      <c r="R545" s="40"/>
      <c r="S545" s="40"/>
      <c r="T545" s="40"/>
      <c r="U545" s="40"/>
      <c r="V545" s="559" t="s">
        <v>204</v>
      </c>
      <c r="W545" s="707" t="s">
        <v>1099</v>
      </c>
      <c r="X545" s="740"/>
      <c r="Y545" s="741"/>
      <c r="Z545" s="701">
        <v>0.0</v>
      </c>
      <c r="AA545" s="740"/>
      <c r="AB545" s="741">
        <f t="shared" si="153"/>
        <v>0</v>
      </c>
      <c r="AC545" s="701">
        <v>0.0</v>
      </c>
      <c r="AD545" s="709"/>
      <c r="AE545" s="708"/>
      <c r="AF545" s="701">
        <v>33300.0</v>
      </c>
      <c r="AG545" s="702"/>
      <c r="AH545" s="703">
        <f t="shared" si="154"/>
        <v>33300</v>
      </c>
      <c r="AI545" s="704">
        <f t="shared" si="155"/>
        <v>0</v>
      </c>
      <c r="AJ545" s="709"/>
      <c r="AK545" s="708"/>
      <c r="AL545" s="701">
        <v>21249.31</v>
      </c>
      <c r="AM545" s="705"/>
      <c r="AN545" s="703">
        <f t="shared" si="156"/>
        <v>12050.69</v>
      </c>
      <c r="AO545" s="710">
        <f t="shared" si="148"/>
        <v>0.5671097085</v>
      </c>
      <c r="AP545" s="40"/>
      <c r="AQ545" s="40"/>
      <c r="AR545" s="40"/>
      <c r="AS545" s="40"/>
      <c r="AT545" s="40"/>
      <c r="AU545" s="40"/>
      <c r="AV545" s="40"/>
      <c r="AW545" s="40"/>
      <c r="AX545" s="40"/>
      <c r="AY545" s="40"/>
      <c r="AZ545" s="40"/>
      <c r="BA545" s="40"/>
      <c r="BB545" s="40"/>
      <c r="BC545" s="40"/>
      <c r="BD545" s="40"/>
      <c r="BE545" s="40"/>
      <c r="BF545" s="40"/>
      <c r="BG545" s="40"/>
      <c r="BH545" s="40"/>
      <c r="BI545" s="40"/>
    </row>
    <row r="546" ht="15.75" customHeight="1">
      <c r="A546" s="5" t="str">
        <f t="shared" si="152"/>
        <v>Honoraires</v>
      </c>
      <c r="B546" s="3"/>
      <c r="C546" s="668"/>
      <c r="D546" s="40"/>
      <c r="E546" s="40"/>
      <c r="F546" s="40"/>
      <c r="G546" s="40"/>
      <c r="H546" s="40"/>
      <c r="I546" s="40"/>
      <c r="J546" s="40"/>
      <c r="K546" s="40"/>
      <c r="L546" s="40"/>
      <c r="M546" s="40"/>
      <c r="N546" s="40"/>
      <c r="O546" s="40"/>
      <c r="P546" s="40"/>
      <c r="Q546" s="40"/>
      <c r="R546" s="40"/>
      <c r="S546" s="40"/>
      <c r="T546" s="40"/>
      <c r="U546" s="40"/>
      <c r="V546" s="559" t="s">
        <v>205</v>
      </c>
      <c r="W546" s="707" t="s">
        <v>1100</v>
      </c>
      <c r="X546" s="700"/>
      <c r="Y546" s="708"/>
      <c r="Z546" s="701">
        <v>0.0</v>
      </c>
      <c r="AA546" s="700"/>
      <c r="AB546" s="708">
        <f t="shared" si="153"/>
        <v>0</v>
      </c>
      <c r="AC546" s="701">
        <v>0.0</v>
      </c>
      <c r="AD546" s="709"/>
      <c r="AE546" s="708"/>
      <c r="AF546" s="701">
        <v>13716.8</v>
      </c>
      <c r="AG546" s="702"/>
      <c r="AH546" s="703">
        <f t="shared" si="154"/>
        <v>13716.8</v>
      </c>
      <c r="AI546" s="704">
        <f t="shared" si="155"/>
        <v>0</v>
      </c>
      <c r="AJ546" s="709"/>
      <c r="AK546" s="708"/>
      <c r="AL546" s="701">
        <v>5398.25</v>
      </c>
      <c r="AM546" s="705"/>
      <c r="AN546" s="703">
        <f t="shared" si="156"/>
        <v>8318.55</v>
      </c>
      <c r="AO546" s="710">
        <f t="shared" si="148"/>
        <v>1.540971611</v>
      </c>
      <c r="AP546" s="40"/>
      <c r="AQ546" s="40"/>
      <c r="AR546" s="40"/>
      <c r="AS546" s="40"/>
      <c r="AT546" s="40"/>
      <c r="AU546" s="40"/>
      <c r="AV546" s="40"/>
      <c r="AW546" s="40"/>
      <c r="AX546" s="40"/>
      <c r="AY546" s="40"/>
      <c r="AZ546" s="40"/>
      <c r="BA546" s="40"/>
      <c r="BB546" s="40"/>
      <c r="BC546" s="40"/>
      <c r="BD546" s="40"/>
      <c r="BE546" s="40"/>
      <c r="BF546" s="40"/>
      <c r="BG546" s="40"/>
      <c r="BH546" s="40"/>
      <c r="BI546" s="40"/>
    </row>
    <row r="547" ht="15.75" customHeight="1">
      <c r="A547" s="5" t="str">
        <f t="shared" si="152"/>
        <v>Réparation équipement</v>
      </c>
      <c r="B547" s="3"/>
      <c r="C547" s="668"/>
      <c r="D547" s="40"/>
      <c r="E547" s="40"/>
      <c r="F547" s="40"/>
      <c r="G547" s="40"/>
      <c r="H547" s="40"/>
      <c r="I547" s="40"/>
      <c r="J547" s="40"/>
      <c r="K547" s="40"/>
      <c r="L547" s="40"/>
      <c r="M547" s="40"/>
      <c r="N547" s="40"/>
      <c r="O547" s="40"/>
      <c r="P547" s="40"/>
      <c r="Q547" s="40"/>
      <c r="R547" s="40"/>
      <c r="S547" s="40"/>
      <c r="T547" s="40"/>
      <c r="U547" s="40"/>
      <c r="V547" s="560" t="s">
        <v>206</v>
      </c>
      <c r="W547" s="711" t="s">
        <v>1101</v>
      </c>
      <c r="X547" s="683"/>
      <c r="Y547" s="712"/>
      <c r="Z547" s="684">
        <v>0.0</v>
      </c>
      <c r="AA547" s="683"/>
      <c r="AB547" s="712">
        <f t="shared" si="153"/>
        <v>0</v>
      </c>
      <c r="AC547" s="684">
        <v>0.0</v>
      </c>
      <c r="AD547" s="713"/>
      <c r="AE547" s="712"/>
      <c r="AF547" s="684">
        <v>6562.27</v>
      </c>
      <c r="AG547" s="685"/>
      <c r="AH547" s="686">
        <f t="shared" si="154"/>
        <v>6562.27</v>
      </c>
      <c r="AI547" s="714">
        <f t="shared" si="155"/>
        <v>0</v>
      </c>
      <c r="AJ547" s="713"/>
      <c r="AK547" s="712"/>
      <c r="AL547" s="684">
        <v>15044.02</v>
      </c>
      <c r="AM547" s="688"/>
      <c r="AN547" s="686">
        <f t="shared" si="156"/>
        <v>-8481.75</v>
      </c>
      <c r="AO547" s="689">
        <f t="shared" si="148"/>
        <v>-0.5637954483</v>
      </c>
      <c r="AP547" s="40"/>
      <c r="AQ547" s="40"/>
      <c r="AR547" s="40"/>
      <c r="AS547" s="40"/>
      <c r="AT547" s="40"/>
      <c r="AU547" s="40"/>
      <c r="AV547" s="40"/>
      <c r="AW547" s="40"/>
      <c r="AX547" s="40"/>
      <c r="AY547" s="40"/>
      <c r="AZ547" s="40"/>
      <c r="BA547" s="40"/>
      <c r="BB547" s="40"/>
      <c r="BC547" s="40"/>
      <c r="BD547" s="40"/>
      <c r="BE547" s="40"/>
      <c r="BF547" s="40"/>
      <c r="BG547" s="40"/>
      <c r="BH547" s="40"/>
      <c r="BI547" s="40"/>
    </row>
    <row r="548" ht="15.75" customHeight="1">
      <c r="A548" s="5" t="str">
        <f t="shared" si="152"/>
        <v>Location équipement</v>
      </c>
      <c r="B548" s="3"/>
      <c r="C548" s="668"/>
      <c r="D548" s="40"/>
      <c r="E548" s="40"/>
      <c r="F548" s="40"/>
      <c r="G548" s="40"/>
      <c r="H548" s="40"/>
      <c r="I548" s="40"/>
      <c r="J548" s="40"/>
      <c r="K548" s="40"/>
      <c r="L548" s="40"/>
      <c r="M548" s="40"/>
      <c r="N548" s="40"/>
      <c r="O548" s="40"/>
      <c r="P548" s="40"/>
      <c r="Q548" s="40"/>
      <c r="R548" s="40"/>
      <c r="S548" s="40"/>
      <c r="T548" s="40"/>
      <c r="U548" s="228"/>
      <c r="V548" s="559" t="s">
        <v>207</v>
      </c>
      <c r="W548" s="707" t="s">
        <v>1102</v>
      </c>
      <c r="X548" s="700"/>
      <c r="Y548" s="708"/>
      <c r="Z548" s="701">
        <v>0.0</v>
      </c>
      <c r="AA548" s="700"/>
      <c r="AB548" s="708">
        <f t="shared" si="153"/>
        <v>0</v>
      </c>
      <c r="AC548" s="701">
        <v>0.0</v>
      </c>
      <c r="AD548" s="709"/>
      <c r="AE548" s="708"/>
      <c r="AF548" s="701">
        <v>1964.28</v>
      </c>
      <c r="AG548" s="702"/>
      <c r="AH548" s="703">
        <f t="shared" si="154"/>
        <v>1964.28</v>
      </c>
      <c r="AI548" s="742">
        <f t="shared" si="155"/>
        <v>0</v>
      </c>
      <c r="AJ548" s="709"/>
      <c r="AK548" s="708"/>
      <c r="AL548" s="701">
        <v>2053.1100000000006</v>
      </c>
      <c r="AM548" s="705"/>
      <c r="AN548" s="703">
        <f t="shared" si="156"/>
        <v>-88.83</v>
      </c>
      <c r="AO548" s="710">
        <f t="shared" si="148"/>
        <v>-0.04326606952</v>
      </c>
      <c r="AP548" s="40"/>
      <c r="AQ548" s="40"/>
      <c r="AR548" s="40"/>
      <c r="AS548" s="40"/>
      <c r="AT548" s="40"/>
      <c r="AU548" s="40"/>
      <c r="AV548" s="40"/>
      <c r="AW548" s="40"/>
      <c r="AX548" s="40"/>
      <c r="AY548" s="40"/>
      <c r="AZ548" s="40"/>
      <c r="BA548" s="40"/>
      <c r="BB548" s="40"/>
      <c r="BC548" s="40"/>
      <c r="BD548" s="40"/>
      <c r="BE548" s="40"/>
      <c r="BF548" s="40"/>
      <c r="BG548" s="40"/>
      <c r="BH548" s="40"/>
      <c r="BI548" s="40"/>
    </row>
    <row r="549" ht="17.25" hidden="1" customHeight="1">
      <c r="A549" s="5" t="str">
        <f t="shared" si="152"/>
        <v>Dons</v>
      </c>
      <c r="B549" s="3"/>
      <c r="C549" s="668"/>
      <c r="D549" s="40"/>
      <c r="E549" s="40"/>
      <c r="F549" s="40"/>
      <c r="G549" s="40"/>
      <c r="H549" s="40"/>
      <c r="I549" s="40"/>
      <c r="J549" s="40"/>
      <c r="K549" s="40"/>
      <c r="L549" s="40"/>
      <c r="M549" s="40"/>
      <c r="N549" s="40"/>
      <c r="O549" s="40"/>
      <c r="P549" s="40"/>
      <c r="Q549" s="40"/>
      <c r="R549" s="40"/>
      <c r="S549" s="40"/>
      <c r="T549" s="40"/>
      <c r="U549" s="228"/>
      <c r="V549" s="559" t="s">
        <v>208</v>
      </c>
      <c r="W549" s="707" t="s">
        <v>1103</v>
      </c>
      <c r="X549" s="700"/>
      <c r="Y549" s="708"/>
      <c r="Z549" s="701">
        <v>0.0</v>
      </c>
      <c r="AA549" s="700"/>
      <c r="AB549" s="708">
        <f t="shared" si="153"/>
        <v>0</v>
      </c>
      <c r="AC549" s="701">
        <v>0.0</v>
      </c>
      <c r="AD549" s="709"/>
      <c r="AE549" s="708"/>
      <c r="AF549" s="701">
        <v>0.0</v>
      </c>
      <c r="AG549" s="702"/>
      <c r="AH549" s="703">
        <v>0.0</v>
      </c>
      <c r="AI549" s="723">
        <v>0.0</v>
      </c>
      <c r="AJ549" s="709"/>
      <c r="AK549" s="708"/>
      <c r="AL549" s="701">
        <v>0.0</v>
      </c>
      <c r="AM549" s="705"/>
      <c r="AN549" s="703">
        <v>0.0</v>
      </c>
      <c r="AO549" s="710">
        <v>0.0</v>
      </c>
      <c r="AP549" s="40"/>
      <c r="AQ549" s="40"/>
      <c r="AR549" s="40"/>
      <c r="AS549" s="40"/>
      <c r="AT549" s="40"/>
      <c r="AU549" s="40"/>
      <c r="AV549" s="40"/>
      <c r="AW549" s="40"/>
      <c r="AX549" s="40"/>
      <c r="AY549" s="40"/>
      <c r="AZ549" s="40"/>
      <c r="BA549" s="40"/>
      <c r="BB549" s="40"/>
      <c r="BC549" s="40"/>
      <c r="BD549" s="40"/>
      <c r="BE549" s="40"/>
      <c r="BF549" s="40"/>
      <c r="BG549" s="40"/>
      <c r="BH549" s="40"/>
      <c r="BI549" s="40"/>
    </row>
    <row r="550" ht="17.25" hidden="1" customHeight="1">
      <c r="A550" s="5" t="str">
        <f t="shared" si="152"/>
        <v>[...]</v>
      </c>
      <c r="B550" s="3"/>
      <c r="C550" s="668"/>
      <c r="D550" s="40"/>
      <c r="E550" s="40"/>
      <c r="F550" s="40"/>
      <c r="G550" s="40"/>
      <c r="H550" s="40"/>
      <c r="I550" s="40"/>
      <c r="J550" s="40"/>
      <c r="K550" s="40"/>
      <c r="L550" s="40"/>
      <c r="M550" s="40"/>
      <c r="N550" s="40"/>
      <c r="O550" s="40"/>
      <c r="P550" s="40"/>
      <c r="Q550" s="40"/>
      <c r="R550" s="40"/>
      <c r="S550" s="40"/>
      <c r="T550" s="40"/>
      <c r="U550" s="228"/>
      <c r="V550" s="559" t="s">
        <v>56</v>
      </c>
      <c r="W550" s="707"/>
      <c r="X550" s="700"/>
      <c r="Y550" s="708"/>
      <c r="Z550" s="701">
        <v>0.0</v>
      </c>
      <c r="AA550" s="700"/>
      <c r="AB550" s="700"/>
      <c r="AC550" s="701">
        <v>0.0</v>
      </c>
      <c r="AD550" s="709"/>
      <c r="AE550" s="708"/>
      <c r="AF550" s="701">
        <v>0.0</v>
      </c>
      <c r="AG550" s="702"/>
      <c r="AH550" s="703">
        <f t="shared" ref="AH550:AH552" si="157">AF550-Z550</f>
        <v>0</v>
      </c>
      <c r="AI550" s="704">
        <f t="shared" ref="AI550:AI553" si="158">IF(Z550=0,0,AH550/Z550)</f>
        <v>0</v>
      </c>
      <c r="AJ550" s="709"/>
      <c r="AK550" s="708"/>
      <c r="AL550" s="701">
        <v>0.0</v>
      </c>
      <c r="AM550" s="705"/>
      <c r="AN550" s="703">
        <v>0.0</v>
      </c>
      <c r="AO550" s="710">
        <v>1.0</v>
      </c>
      <c r="AP550" s="40"/>
      <c r="AQ550" s="40"/>
      <c r="AR550" s="40"/>
      <c r="AS550" s="40"/>
      <c r="AT550" s="40"/>
      <c r="AU550" s="40"/>
      <c r="AV550" s="40"/>
      <c r="AW550" s="40"/>
      <c r="AX550" s="40"/>
      <c r="AY550" s="40"/>
      <c r="AZ550" s="40"/>
      <c r="BA550" s="40"/>
      <c r="BB550" s="40"/>
      <c r="BC550" s="40"/>
      <c r="BD550" s="40"/>
      <c r="BE550" s="40"/>
      <c r="BF550" s="40"/>
      <c r="BG550" s="40"/>
      <c r="BH550" s="40"/>
      <c r="BI550" s="40"/>
    </row>
    <row r="551" ht="17.25" hidden="1" customHeight="1">
      <c r="A551" s="5" t="str">
        <f t="shared" si="152"/>
        <v>[...]</v>
      </c>
      <c r="B551" s="3"/>
      <c r="C551" s="668"/>
      <c r="D551" s="40"/>
      <c r="E551" s="40"/>
      <c r="F551" s="40"/>
      <c r="G551" s="40"/>
      <c r="H551" s="40"/>
      <c r="I551" s="40"/>
      <c r="J551" s="40"/>
      <c r="K551" s="40"/>
      <c r="L551" s="40"/>
      <c r="M551" s="40"/>
      <c r="N551" s="40"/>
      <c r="O551" s="40"/>
      <c r="P551" s="40"/>
      <c r="Q551" s="40"/>
      <c r="R551" s="40"/>
      <c r="S551" s="40"/>
      <c r="T551" s="40"/>
      <c r="U551" s="228"/>
      <c r="V551" s="559" t="s">
        <v>56</v>
      </c>
      <c r="W551" s="707"/>
      <c r="X551" s="700"/>
      <c r="Y551" s="708"/>
      <c r="Z551" s="701">
        <v>0.0</v>
      </c>
      <c r="AA551" s="700"/>
      <c r="AB551" s="700"/>
      <c r="AC551" s="701">
        <v>0.0</v>
      </c>
      <c r="AD551" s="709"/>
      <c r="AE551" s="708"/>
      <c r="AF551" s="701">
        <v>0.0</v>
      </c>
      <c r="AG551" s="702"/>
      <c r="AH551" s="703">
        <f t="shared" si="157"/>
        <v>0</v>
      </c>
      <c r="AI551" s="704">
        <f t="shared" si="158"/>
        <v>0</v>
      </c>
      <c r="AJ551" s="709"/>
      <c r="AK551" s="708"/>
      <c r="AL551" s="701">
        <v>0.0</v>
      </c>
      <c r="AM551" s="705"/>
      <c r="AN551" s="703">
        <v>0.0</v>
      </c>
      <c r="AO551" s="710">
        <v>2.0</v>
      </c>
      <c r="AP551" s="40"/>
      <c r="AQ551" s="40"/>
      <c r="AR551" s="40"/>
      <c r="AS551" s="40"/>
      <c r="AT551" s="40"/>
      <c r="AU551" s="40"/>
      <c r="AV551" s="40"/>
      <c r="AW551" s="40"/>
      <c r="AX551" s="40"/>
      <c r="AY551" s="40"/>
      <c r="AZ551" s="40"/>
      <c r="BA551" s="40"/>
      <c r="BB551" s="40"/>
      <c r="BC551" s="40"/>
      <c r="BD551" s="40"/>
      <c r="BE551" s="40"/>
      <c r="BF551" s="40"/>
      <c r="BG551" s="40"/>
      <c r="BH551" s="40"/>
      <c r="BI551" s="40"/>
    </row>
    <row r="552" ht="17.25" hidden="1" customHeight="1">
      <c r="A552" s="5" t="str">
        <f t="shared" si="152"/>
        <v>[...]</v>
      </c>
      <c r="B552" s="3"/>
      <c r="C552" s="668"/>
      <c r="D552" s="40"/>
      <c r="E552" s="40"/>
      <c r="F552" s="40"/>
      <c r="G552" s="40"/>
      <c r="H552" s="40"/>
      <c r="I552" s="40"/>
      <c r="J552" s="40"/>
      <c r="K552" s="40"/>
      <c r="L552" s="40"/>
      <c r="M552" s="40"/>
      <c r="N552" s="40"/>
      <c r="O552" s="40"/>
      <c r="P552" s="40"/>
      <c r="Q552" s="40"/>
      <c r="R552" s="40"/>
      <c r="S552" s="40"/>
      <c r="T552" s="40"/>
      <c r="U552" s="40"/>
      <c r="V552" s="559" t="s">
        <v>56</v>
      </c>
      <c r="W552" s="707"/>
      <c r="X552" s="700"/>
      <c r="Y552" s="708"/>
      <c r="Z552" s="701">
        <v>0.0</v>
      </c>
      <c r="AA552" s="700"/>
      <c r="AB552" s="700"/>
      <c r="AC552" s="701">
        <v>0.0</v>
      </c>
      <c r="AD552" s="709"/>
      <c r="AE552" s="708"/>
      <c r="AF552" s="701">
        <v>0.0</v>
      </c>
      <c r="AG552" s="702"/>
      <c r="AH552" s="703">
        <f t="shared" si="157"/>
        <v>0</v>
      </c>
      <c r="AI552" s="704">
        <f t="shared" si="158"/>
        <v>0</v>
      </c>
      <c r="AJ552" s="709"/>
      <c r="AK552" s="708"/>
      <c r="AL552" s="701">
        <v>0.0</v>
      </c>
      <c r="AM552" s="705"/>
      <c r="AN552" s="703">
        <v>0.0</v>
      </c>
      <c r="AO552" s="710">
        <v>3.0</v>
      </c>
      <c r="AP552" s="40"/>
      <c r="AQ552" s="40"/>
      <c r="AR552" s="40"/>
      <c r="AS552" s="40"/>
      <c r="AT552" s="40"/>
      <c r="AU552" s="40"/>
      <c r="AV552" s="40"/>
      <c r="AW552" s="40"/>
      <c r="AX552" s="40"/>
      <c r="AY552" s="40"/>
      <c r="AZ552" s="40"/>
      <c r="BA552" s="40"/>
      <c r="BB552" s="40"/>
      <c r="BC552" s="40"/>
      <c r="BD552" s="40"/>
      <c r="BE552" s="40"/>
      <c r="BF552" s="40"/>
      <c r="BG552" s="40"/>
      <c r="BH552" s="40"/>
      <c r="BI552" s="40"/>
    </row>
    <row r="553" ht="21.0" customHeight="1">
      <c r="A553" s="5" t="str">
        <f t="shared" si="152"/>
        <v>TOTAL DÉPENSES FIXES</v>
      </c>
      <c r="B553" s="3"/>
      <c r="C553" s="668"/>
      <c r="D553" s="40"/>
      <c r="E553" s="40"/>
      <c r="F553" s="40"/>
      <c r="G553" s="40"/>
      <c r="H553" s="40"/>
      <c r="I553" s="40"/>
      <c r="J553" s="40"/>
      <c r="K553" s="40"/>
      <c r="L553" s="40"/>
      <c r="M553" s="40"/>
      <c r="N553" s="40"/>
      <c r="O553" s="40"/>
      <c r="P553" s="40"/>
      <c r="Q553" s="40"/>
      <c r="R553" s="40"/>
      <c r="S553" s="40"/>
      <c r="T553" s="40"/>
      <c r="U553" s="40"/>
      <c r="V553" s="715" t="s">
        <v>209</v>
      </c>
      <c r="W553" s="716"/>
      <c r="X553" s="717" t="str">
        <f>Z553/+Z494</f>
        <v>#REF!</v>
      </c>
      <c r="Y553" s="716"/>
      <c r="Z553" s="718">
        <f>SUM(Z540:Z552)</f>
        <v>0</v>
      </c>
      <c r="AA553" s="717" t="str">
        <f>AC553/+AC494</f>
        <v>#DIV/0!</v>
      </c>
      <c r="AB553" s="716"/>
      <c r="AC553" s="718">
        <f>SUM(AC540:AC552)</f>
        <v>0</v>
      </c>
      <c r="AD553" s="719">
        <f>AF553/AF494</f>
        <v>0.1453311618</v>
      </c>
      <c r="AE553" s="716"/>
      <c r="AF553" s="718">
        <f>SUM(AF540:AF552)</f>
        <v>375226.44</v>
      </c>
      <c r="AG553" s="736"/>
      <c r="AH553" s="737">
        <f>SUM(AH540:AH552)</f>
        <v>375226.44</v>
      </c>
      <c r="AI553" s="717">
        <f t="shared" si="158"/>
        <v>0</v>
      </c>
      <c r="AJ553" s="719">
        <f>IF($AL$407=0,0,AL553/$AL$407)</f>
        <v>0</v>
      </c>
      <c r="AK553" s="716"/>
      <c r="AL553" s="718">
        <f>SUM(AL540:AL552)</f>
        <v>448697.54</v>
      </c>
      <c r="AM553" s="722"/>
      <c r="AN553" s="720">
        <f>SUM(AN540:AN552)</f>
        <v>-73471.1</v>
      </c>
      <c r="AO553" s="738">
        <f t="shared" ref="AO553:AO570" si="159">IF(AL553=0,0,AN553/AL553)</f>
        <v>-0.1637430417</v>
      </c>
      <c r="AP553" s="40"/>
      <c r="AQ553" s="40"/>
      <c r="AR553" s="40"/>
      <c r="AS553" s="40"/>
      <c r="AT553" s="40"/>
      <c r="AU553" s="40"/>
      <c r="AV553" s="40"/>
      <c r="AW553" s="40"/>
      <c r="AX553" s="40"/>
      <c r="AY553" s="40"/>
      <c r="AZ553" s="40"/>
      <c r="BA553" s="40"/>
      <c r="BB553" s="40"/>
      <c r="BC553" s="40"/>
      <c r="BD553" s="40"/>
      <c r="BE553" s="40"/>
      <c r="BF553" s="40"/>
      <c r="BG553" s="40"/>
      <c r="BH553" s="40"/>
      <c r="BI553" s="40"/>
    </row>
    <row r="554" ht="15.75" customHeight="1">
      <c r="A554" s="5" t="str">
        <f t="shared" si="152"/>
        <v/>
      </c>
      <c r="B554" s="3"/>
      <c r="C554" s="668"/>
      <c r="D554" s="40"/>
      <c r="E554" s="40"/>
      <c r="F554" s="40"/>
      <c r="G554" s="40"/>
      <c r="H554" s="40"/>
      <c r="I554" s="40"/>
      <c r="J554" s="40"/>
      <c r="K554" s="40"/>
      <c r="L554" s="40"/>
      <c r="M554" s="40"/>
      <c r="N554" s="40"/>
      <c r="O554" s="40"/>
      <c r="P554" s="40"/>
      <c r="Q554" s="40"/>
      <c r="R554" s="40"/>
      <c r="S554" s="40"/>
      <c r="T554" s="40"/>
      <c r="U554" s="40"/>
      <c r="V554" s="559"/>
      <c r="W554" s="700"/>
      <c r="X554" s="700"/>
      <c r="Y554" s="700"/>
      <c r="Z554" s="743"/>
      <c r="AA554" s="700"/>
      <c r="AB554" s="700"/>
      <c r="AC554" s="743"/>
      <c r="AD554" s="709"/>
      <c r="AE554" s="700"/>
      <c r="AF554" s="701"/>
      <c r="AG554" s="709"/>
      <c r="AH554" s="703">
        <f t="shared" ref="AH554:AH568" si="160">AF554-Z554</f>
        <v>0</v>
      </c>
      <c r="AI554" s="704"/>
      <c r="AJ554" s="709"/>
      <c r="AK554" s="700"/>
      <c r="AL554" s="701"/>
      <c r="AM554" s="744"/>
      <c r="AN554" s="703">
        <f t="shared" ref="AN554:AN570" si="161">AF554-AL554</f>
        <v>0</v>
      </c>
      <c r="AO554" s="745">
        <f t="shared" si="159"/>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ht="21.0" customHeight="1">
      <c r="A555" s="5" t="str">
        <f t="shared" si="152"/>
        <v>TOTAL DES DÉPENSES</v>
      </c>
      <c r="B555" s="3"/>
      <c r="C555" s="668"/>
      <c r="D555" s="40"/>
      <c r="E555" s="40"/>
      <c r="F555" s="40"/>
      <c r="G555" s="40"/>
      <c r="H555" s="40"/>
      <c r="I555" s="40"/>
      <c r="J555" s="40"/>
      <c r="K555" s="40"/>
      <c r="L555" s="40"/>
      <c r="M555" s="40"/>
      <c r="N555" s="40"/>
      <c r="O555" s="40"/>
      <c r="P555" s="40"/>
      <c r="Q555" s="40"/>
      <c r="R555" s="40"/>
      <c r="S555" s="40"/>
      <c r="T555" s="40"/>
      <c r="U555" s="40"/>
      <c r="V555" s="715" t="s">
        <v>143</v>
      </c>
      <c r="W555" s="716"/>
      <c r="X555" s="717" t="str">
        <f>Z555/+Z494</f>
        <v>#REF!</v>
      </c>
      <c r="Y555" s="716"/>
      <c r="Z555" s="718">
        <f>Z506+Z520+Z539+Z553</f>
        <v>0</v>
      </c>
      <c r="AA555" s="717" t="str">
        <f>AC555/+AC494</f>
        <v>#DIV/0!</v>
      </c>
      <c r="AB555" s="716"/>
      <c r="AC555" s="718">
        <f>AC506+AC520+AC539+AC553</f>
        <v>0</v>
      </c>
      <c r="AD555" s="719">
        <f>AF555/AF494</f>
        <v>0.6862023727</v>
      </c>
      <c r="AE555" s="716"/>
      <c r="AF555" s="718">
        <f>AF506+AF520+AF539+AF553</f>
        <v>1771686.61</v>
      </c>
      <c r="AG555" s="736"/>
      <c r="AH555" s="737">
        <f t="shared" si="160"/>
        <v>1771686.61</v>
      </c>
      <c r="AI555" s="717" t="str">
        <f>AH555/Z555</f>
        <v>#DIV/0!</v>
      </c>
      <c r="AJ555" s="719">
        <f>IF($AL$407=0,0,AL555/$AL$407)</f>
        <v>0</v>
      </c>
      <c r="AK555" s="716"/>
      <c r="AL555" s="718">
        <f>AL506+AL520+AL539+AL553</f>
        <v>2344906.94</v>
      </c>
      <c r="AM555" s="722"/>
      <c r="AN555" s="720">
        <f t="shared" si="161"/>
        <v>-573220.33</v>
      </c>
      <c r="AO555" s="698">
        <f t="shared" si="159"/>
        <v>-0.2444533385</v>
      </c>
      <c r="AP555" s="40"/>
      <c r="AQ555" s="40"/>
      <c r="AR555" s="40"/>
      <c r="AS555" s="40"/>
      <c r="AT555" s="40"/>
      <c r="AU555" s="40"/>
      <c r="AV555" s="40"/>
      <c r="AW555" s="40"/>
      <c r="AX555" s="40"/>
      <c r="AY555" s="40"/>
      <c r="AZ555" s="40"/>
      <c r="BA555" s="40"/>
      <c r="BB555" s="40"/>
      <c r="BC555" s="40"/>
      <c r="BD555" s="40"/>
      <c r="BE555" s="40"/>
      <c r="BF555" s="40"/>
      <c r="BG555" s="40"/>
      <c r="BH555" s="40"/>
      <c r="BI555" s="40"/>
    </row>
    <row r="556" ht="15.75" customHeight="1">
      <c r="A556" s="5" t="str">
        <f t="shared" si="152"/>
        <v>Revenus autres</v>
      </c>
      <c r="B556" s="3"/>
      <c r="C556" s="668"/>
      <c r="D556" s="40"/>
      <c r="E556" s="40"/>
      <c r="F556" s="40"/>
      <c r="G556" s="40"/>
      <c r="H556" s="40"/>
      <c r="I556" s="40"/>
      <c r="J556" s="40"/>
      <c r="K556" s="40"/>
      <c r="L556" s="40"/>
      <c r="M556" s="40"/>
      <c r="N556" s="40"/>
      <c r="O556" s="40"/>
      <c r="P556" s="40"/>
      <c r="Q556" s="40"/>
      <c r="R556" s="40"/>
      <c r="S556" s="40"/>
      <c r="T556" s="40"/>
      <c r="U556" s="40"/>
      <c r="V556" s="559" t="s">
        <v>210</v>
      </c>
      <c r="W556" s="741"/>
      <c r="X556" s="741"/>
      <c r="Y556" s="700"/>
      <c r="Z556" s="727">
        <v>0.0</v>
      </c>
      <c r="AA556" s="746"/>
      <c r="AB556" s="747">
        <f t="shared" ref="AB556:AB567" si="162">IF(AC556=0,0,AC556/(G$13+G$97))</f>
        <v>0</v>
      </c>
      <c r="AC556" s="727">
        <v>0.0</v>
      </c>
      <c r="AD556" s="748"/>
      <c r="AE556" s="747"/>
      <c r="AF556" s="727">
        <v>-16039.360000000008</v>
      </c>
      <c r="AG556" s="749"/>
      <c r="AH556" s="703">
        <f t="shared" si="160"/>
        <v>-16039.36</v>
      </c>
      <c r="AI556" s="742" t="str">
        <f>IF(AH556=0,0,AH556/Z556)</f>
        <v>#DIV/0!</v>
      </c>
      <c r="AJ556" s="748"/>
      <c r="AK556" s="747"/>
      <c r="AL556" s="727">
        <v>160742.47999999998</v>
      </c>
      <c r="AM556" s="750"/>
      <c r="AN556" s="703">
        <f t="shared" si="161"/>
        <v>-176781.84</v>
      </c>
      <c r="AO556" s="710">
        <f t="shared" si="159"/>
        <v>-1.099782957</v>
      </c>
      <c r="AP556" s="40"/>
      <c r="AQ556" s="40"/>
      <c r="AR556" s="40"/>
      <c r="AS556" s="40"/>
      <c r="AT556" s="40"/>
      <c r="AU556" s="40"/>
      <c r="AV556" s="40"/>
      <c r="AW556" s="40"/>
      <c r="AX556" s="40"/>
      <c r="AY556" s="40"/>
      <c r="AZ556" s="40"/>
      <c r="BA556" s="40"/>
      <c r="BB556" s="40"/>
      <c r="BC556" s="40"/>
      <c r="BD556" s="40"/>
      <c r="BE556" s="40"/>
      <c r="BF556" s="40"/>
      <c r="BG556" s="40"/>
      <c r="BH556" s="40"/>
      <c r="BI556" s="40"/>
    </row>
    <row r="557" ht="17.25" hidden="1" customHeight="1">
      <c r="A557" s="5" t="str">
        <f t="shared" si="152"/>
        <v>Holdbacks</v>
      </c>
      <c r="B557" s="3"/>
      <c r="C557" s="668"/>
      <c r="D557" s="40"/>
      <c r="E557" s="40"/>
      <c r="F557" s="40"/>
      <c r="G557" s="40"/>
      <c r="H557" s="40"/>
      <c r="I557" s="40"/>
      <c r="J557" s="40"/>
      <c r="K557" s="40"/>
      <c r="L557" s="40"/>
      <c r="M557" s="40"/>
      <c r="N557" s="40"/>
      <c r="O557" s="40"/>
      <c r="P557" s="40"/>
      <c r="Q557" s="40"/>
      <c r="R557" s="40"/>
      <c r="S557" s="40"/>
      <c r="T557" s="40"/>
      <c r="U557" s="40"/>
      <c r="V557" s="559" t="s">
        <v>147</v>
      </c>
      <c r="W557" s="700"/>
      <c r="X557" s="700"/>
      <c r="Y557" s="700"/>
      <c r="Z557" s="701">
        <v>0.0</v>
      </c>
      <c r="AA557" s="740"/>
      <c r="AB557" s="703">
        <f t="shared" si="162"/>
        <v>0</v>
      </c>
      <c r="AC557" s="701">
        <v>0.0</v>
      </c>
      <c r="AD557" s="751"/>
      <c r="AE557" s="752"/>
      <c r="AF557" s="701">
        <v>0.0</v>
      </c>
      <c r="AG557" s="753"/>
      <c r="AH557" s="703">
        <f t="shared" si="160"/>
        <v>0</v>
      </c>
      <c r="AI557" s="723">
        <f>IF(Z557=0,0,AH557/Z557)</f>
        <v>0</v>
      </c>
      <c r="AJ557" s="751"/>
      <c r="AK557" s="752"/>
      <c r="AL557" s="701">
        <v>0.0</v>
      </c>
      <c r="AM557" s="751"/>
      <c r="AN557" s="703">
        <f t="shared" si="161"/>
        <v>0</v>
      </c>
      <c r="AO557" s="710">
        <f t="shared" si="159"/>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ht="15.75" customHeight="1">
      <c r="A558" s="5" t="str">
        <f t="shared" si="152"/>
        <v>RBSC neuf</v>
      </c>
      <c r="B558" s="3"/>
      <c r="C558" s="668"/>
      <c r="D558" s="40"/>
      <c r="E558" s="40"/>
      <c r="F558" s="40"/>
      <c r="G558" s="40"/>
      <c r="H558" s="40"/>
      <c r="I558" s="40"/>
      <c r="J558" s="40"/>
      <c r="K558" s="40"/>
      <c r="L558" s="40"/>
      <c r="M558" s="40"/>
      <c r="N558" s="40"/>
      <c r="O558" s="40"/>
      <c r="P558" s="40"/>
      <c r="Q558" s="40"/>
      <c r="R558" s="40"/>
      <c r="S558" s="40"/>
      <c r="T558" s="40"/>
      <c r="U558" s="40"/>
      <c r="V558" s="559" t="s">
        <v>1113</v>
      </c>
      <c r="W558" s="700"/>
      <c r="X558" s="700"/>
      <c r="Y558" s="700"/>
      <c r="Z558" s="701">
        <v>0.0</v>
      </c>
      <c r="AA558" s="740"/>
      <c r="AB558" s="741">
        <f t="shared" si="162"/>
        <v>0</v>
      </c>
      <c r="AC558" s="701">
        <v>0.0</v>
      </c>
      <c r="AD558" s="754"/>
      <c r="AF558" s="701">
        <v>64325.369999999995</v>
      </c>
      <c r="AG558" s="753"/>
      <c r="AH558" s="703">
        <f t="shared" si="160"/>
        <v>64325.37</v>
      </c>
      <c r="AI558" s="723" t="str">
        <f t="shared" ref="AI558:AI567" si="163">IF(AH558=0,0,AH558/Z558)</f>
        <v>#DIV/0!</v>
      </c>
      <c r="AJ558" s="754"/>
      <c r="AL558" s="701">
        <v>107656.29999999999</v>
      </c>
      <c r="AM558" s="751"/>
      <c r="AN558" s="703">
        <f t="shared" si="161"/>
        <v>-43330.93</v>
      </c>
      <c r="AO558" s="710">
        <f t="shared" si="159"/>
        <v>-0.4024932122</v>
      </c>
      <c r="AP558" s="40"/>
      <c r="AQ558" s="40"/>
      <c r="AR558" s="40"/>
      <c r="AS558" s="40"/>
      <c r="AT558" s="40"/>
      <c r="AU558" s="40"/>
      <c r="AV558" s="40"/>
      <c r="AW558" s="40"/>
      <c r="AX558" s="40"/>
      <c r="AY558" s="40"/>
      <c r="AZ558" s="40"/>
      <c r="BA558" s="40"/>
      <c r="BB558" s="40"/>
      <c r="BC558" s="40"/>
      <c r="BD558" s="40"/>
      <c r="BE558" s="40"/>
      <c r="BF558" s="40"/>
      <c r="BG558" s="40"/>
      <c r="BH558" s="40"/>
      <c r="BI558" s="40"/>
    </row>
    <row r="559" ht="17.25" hidden="1" customHeight="1">
      <c r="A559" s="5" t="str">
        <f t="shared" si="152"/>
        <v>Programme neuf 2</v>
      </c>
      <c r="B559" s="3"/>
      <c r="C559" s="668"/>
      <c r="D559" s="40"/>
      <c r="E559" s="40"/>
      <c r="F559" s="40"/>
      <c r="G559" s="40"/>
      <c r="H559" s="40"/>
      <c r="I559" s="40"/>
      <c r="J559" s="40"/>
      <c r="K559" s="40"/>
      <c r="L559" s="40"/>
      <c r="M559" s="40"/>
      <c r="N559" s="40"/>
      <c r="O559" s="40"/>
      <c r="P559" s="40"/>
      <c r="Q559" s="40"/>
      <c r="R559" s="40"/>
      <c r="S559" s="40"/>
      <c r="T559" s="40"/>
      <c r="U559" s="40"/>
      <c r="V559" s="559" t="s">
        <v>145</v>
      </c>
      <c r="W559" s="700"/>
      <c r="X559" s="700"/>
      <c r="Y559" s="700"/>
      <c r="Z559" s="701">
        <v>0.0</v>
      </c>
      <c r="AA559" s="740"/>
      <c r="AB559" s="741">
        <f t="shared" si="162"/>
        <v>0</v>
      </c>
      <c r="AC559" s="701">
        <v>0.0</v>
      </c>
      <c r="AD559" s="754"/>
      <c r="AE559" s="741"/>
      <c r="AF559" s="701">
        <v>0.0</v>
      </c>
      <c r="AG559" s="753"/>
      <c r="AH559" s="703">
        <f t="shared" si="160"/>
        <v>0</v>
      </c>
      <c r="AI559" s="723">
        <f t="shared" si="163"/>
        <v>0</v>
      </c>
      <c r="AJ559" s="754"/>
      <c r="AK559" s="741"/>
      <c r="AL559" s="701">
        <v>0.0</v>
      </c>
      <c r="AM559" s="751"/>
      <c r="AN559" s="703">
        <f t="shared" si="161"/>
        <v>0</v>
      </c>
      <c r="AO559" s="710">
        <f t="shared" si="159"/>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ht="17.25" hidden="1" customHeight="1">
      <c r="A560" s="5" t="str">
        <f t="shared" si="152"/>
        <v>Programme neuf 3</v>
      </c>
      <c r="B560" s="3"/>
      <c r="C560" s="668"/>
      <c r="D560" s="40"/>
      <c r="E560" s="40"/>
      <c r="F560" s="40"/>
      <c r="G560" s="40"/>
      <c r="H560" s="40"/>
      <c r="I560" s="40"/>
      <c r="J560" s="40"/>
      <c r="K560" s="40"/>
      <c r="L560" s="40"/>
      <c r="M560" s="40"/>
      <c r="N560" s="40"/>
      <c r="O560" s="40"/>
      <c r="P560" s="40"/>
      <c r="Q560" s="40"/>
      <c r="R560" s="40"/>
      <c r="S560" s="40"/>
      <c r="T560" s="40"/>
      <c r="U560" s="40"/>
      <c r="V560" s="559" t="s">
        <v>146</v>
      </c>
      <c r="W560" s="700"/>
      <c r="X560" s="700"/>
      <c r="Y560" s="700"/>
      <c r="Z560" s="701">
        <v>0.0</v>
      </c>
      <c r="AA560" s="740"/>
      <c r="AB560" s="741">
        <f t="shared" si="162"/>
        <v>0</v>
      </c>
      <c r="AC560" s="701">
        <v>0.0</v>
      </c>
      <c r="AD560" s="754"/>
      <c r="AE560" s="741"/>
      <c r="AF560" s="701">
        <v>0.0</v>
      </c>
      <c r="AG560" s="753"/>
      <c r="AH560" s="703">
        <f t="shared" si="160"/>
        <v>0</v>
      </c>
      <c r="AI560" s="723">
        <f t="shared" si="163"/>
        <v>0</v>
      </c>
      <c r="AJ560" s="754"/>
      <c r="AK560" s="741"/>
      <c r="AL560" s="701">
        <v>0.0</v>
      </c>
      <c r="AM560" s="751"/>
      <c r="AN560" s="703">
        <f t="shared" si="161"/>
        <v>0</v>
      </c>
      <c r="AO560" s="710">
        <f t="shared" si="159"/>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ht="17.25" hidden="1" customHeight="1">
      <c r="A561" s="5" t="str">
        <f t="shared" si="152"/>
        <v>RBSC used</v>
      </c>
      <c r="B561" s="3"/>
      <c r="C561" s="668"/>
      <c r="D561" s="40"/>
      <c r="E561" s="40"/>
      <c r="F561" s="40"/>
      <c r="G561" s="40"/>
      <c r="H561" s="40"/>
      <c r="I561" s="40"/>
      <c r="J561" s="40"/>
      <c r="K561" s="40"/>
      <c r="L561" s="40"/>
      <c r="M561" s="40"/>
      <c r="N561" s="40"/>
      <c r="O561" s="40"/>
      <c r="P561" s="40"/>
      <c r="Q561" s="40"/>
      <c r="R561" s="40"/>
      <c r="S561" s="40"/>
      <c r="T561" s="40"/>
      <c r="U561" s="40"/>
      <c r="V561" s="559" t="s">
        <v>1116</v>
      </c>
      <c r="W561" s="700"/>
      <c r="X561" s="700"/>
      <c r="Y561" s="700"/>
      <c r="Z561" s="701">
        <v>0.0</v>
      </c>
      <c r="AA561" s="740"/>
      <c r="AB561" s="741">
        <f t="shared" si="162"/>
        <v>0</v>
      </c>
      <c r="AC561" s="701">
        <v>0.0</v>
      </c>
      <c r="AD561" s="754"/>
      <c r="AE561" s="741"/>
      <c r="AF561" s="701">
        <v>0.0</v>
      </c>
      <c r="AG561" s="753"/>
      <c r="AH561" s="703">
        <f t="shared" si="160"/>
        <v>0</v>
      </c>
      <c r="AI561" s="723">
        <f t="shared" si="163"/>
        <v>0</v>
      </c>
      <c r="AJ561" s="754"/>
      <c r="AK561" s="741"/>
      <c r="AL561" s="701">
        <v>0.0</v>
      </c>
      <c r="AM561" s="751"/>
      <c r="AN561" s="703">
        <f t="shared" si="161"/>
        <v>0</v>
      </c>
      <c r="AO561" s="710">
        <f t="shared" si="159"/>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ht="17.25" hidden="1" customHeight="1">
      <c r="A562" s="5" t="str">
        <f t="shared" si="152"/>
        <v>Programme 360</v>
      </c>
      <c r="B562" s="3"/>
      <c r="C562" s="668"/>
      <c r="D562" s="40"/>
      <c r="E562" s="40"/>
      <c r="F562" s="40"/>
      <c r="G562" s="40"/>
      <c r="H562" s="40"/>
      <c r="I562" s="40"/>
      <c r="J562" s="40"/>
      <c r="K562" s="40"/>
      <c r="L562" s="40"/>
      <c r="M562" s="40"/>
      <c r="N562" s="40"/>
      <c r="O562" s="40"/>
      <c r="P562" s="40"/>
      <c r="Q562" s="40"/>
      <c r="R562" s="40"/>
      <c r="S562" s="40"/>
      <c r="T562" s="40"/>
      <c r="U562" s="40"/>
      <c r="V562" s="559" t="s">
        <v>1117</v>
      </c>
      <c r="W562" s="700"/>
      <c r="X562" s="700"/>
      <c r="Y562" s="700"/>
      <c r="Z562" s="701">
        <v>0.0</v>
      </c>
      <c r="AA562" s="740"/>
      <c r="AB562" s="741">
        <f t="shared" si="162"/>
        <v>0</v>
      </c>
      <c r="AC562" s="701">
        <v>0.0</v>
      </c>
      <c r="AD562" s="754"/>
      <c r="AE562" s="741"/>
      <c r="AF562" s="701">
        <v>0.0</v>
      </c>
      <c r="AG562" s="753"/>
      <c r="AH562" s="703">
        <f t="shared" si="160"/>
        <v>0</v>
      </c>
      <c r="AI562" s="723">
        <f t="shared" si="163"/>
        <v>0</v>
      </c>
      <c r="AJ562" s="754"/>
      <c r="AK562" s="741"/>
      <c r="AL562" s="701">
        <v>0.0</v>
      </c>
      <c r="AM562" s="751"/>
      <c r="AN562" s="703">
        <f t="shared" si="161"/>
        <v>0</v>
      </c>
      <c r="AO562" s="710">
        <f t="shared" si="159"/>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ht="17.25" hidden="1" customHeight="1">
      <c r="A563" s="5" t="str">
        <f t="shared" si="152"/>
        <v>Programme used 3</v>
      </c>
      <c r="B563" s="3"/>
      <c r="C563" s="668"/>
      <c r="D563" s="40"/>
      <c r="E563" s="40"/>
      <c r="F563" s="40"/>
      <c r="G563" s="40"/>
      <c r="H563" s="40"/>
      <c r="I563" s="40"/>
      <c r="J563" s="40"/>
      <c r="K563" s="40"/>
      <c r="L563" s="40"/>
      <c r="M563" s="40"/>
      <c r="N563" s="40"/>
      <c r="O563" s="40"/>
      <c r="P563" s="40"/>
      <c r="Q563" s="40"/>
      <c r="R563" s="40"/>
      <c r="S563" s="40"/>
      <c r="T563" s="40"/>
      <c r="U563" s="40"/>
      <c r="V563" s="559" t="s">
        <v>160</v>
      </c>
      <c r="W563" s="700"/>
      <c r="X563" s="700"/>
      <c r="Y563" s="700"/>
      <c r="Z563" s="701">
        <v>0.0</v>
      </c>
      <c r="AA563" s="740"/>
      <c r="AB563" s="741">
        <f t="shared" si="162"/>
        <v>0</v>
      </c>
      <c r="AC563" s="701">
        <v>0.0</v>
      </c>
      <c r="AD563" s="754"/>
      <c r="AE563" s="741"/>
      <c r="AF563" s="701">
        <v>0.0</v>
      </c>
      <c r="AG563" s="753"/>
      <c r="AH563" s="703">
        <f t="shared" si="160"/>
        <v>0</v>
      </c>
      <c r="AI563" s="723">
        <f t="shared" si="163"/>
        <v>0</v>
      </c>
      <c r="AJ563" s="754"/>
      <c r="AK563" s="741"/>
      <c r="AL563" s="701">
        <v>0.0</v>
      </c>
      <c r="AM563" s="751"/>
      <c r="AN563" s="703">
        <f t="shared" si="161"/>
        <v>0</v>
      </c>
      <c r="AO563" s="710">
        <f t="shared" si="159"/>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ht="17.25" hidden="1" customHeight="1">
      <c r="A564" s="5" t="str">
        <f t="shared" si="152"/>
        <v>Facility Fund</v>
      </c>
      <c r="B564" s="3"/>
      <c r="C564" s="668"/>
      <c r="D564" s="40"/>
      <c r="E564" s="40"/>
      <c r="F564" s="40"/>
      <c r="G564" s="40"/>
      <c r="H564" s="40"/>
      <c r="I564" s="40"/>
      <c r="J564" s="40"/>
      <c r="K564" s="40"/>
      <c r="L564" s="40"/>
      <c r="M564" s="40"/>
      <c r="N564" s="40"/>
      <c r="O564" s="40"/>
      <c r="P564" s="40"/>
      <c r="Q564" s="40"/>
      <c r="R564" s="40"/>
      <c r="S564" s="40"/>
      <c r="T564" s="40"/>
      <c r="U564" s="40"/>
      <c r="V564" s="559" t="s">
        <v>1119</v>
      </c>
      <c r="W564" s="700"/>
      <c r="X564" s="700"/>
      <c r="Y564" s="700"/>
      <c r="Z564" s="701">
        <v>0.0</v>
      </c>
      <c r="AA564" s="700"/>
      <c r="AB564" s="700">
        <f t="shared" si="162"/>
        <v>0</v>
      </c>
      <c r="AC564" s="701">
        <v>0.0</v>
      </c>
      <c r="AD564" s="709"/>
      <c r="AE564" s="708"/>
      <c r="AF564" s="701">
        <v>0.0</v>
      </c>
      <c r="AG564" s="702"/>
      <c r="AH564" s="703">
        <f t="shared" si="160"/>
        <v>0</v>
      </c>
      <c r="AI564" s="704">
        <f t="shared" si="163"/>
        <v>0</v>
      </c>
      <c r="AJ564" s="709"/>
      <c r="AK564" s="708"/>
      <c r="AL564" s="701">
        <v>0.0</v>
      </c>
      <c r="AM564" s="751"/>
      <c r="AN564" s="703">
        <f t="shared" si="161"/>
        <v>0</v>
      </c>
      <c r="AO564" s="710">
        <f t="shared" si="159"/>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ht="17.25" hidden="1" customHeight="1">
      <c r="A565" s="5" t="str">
        <f t="shared" si="152"/>
        <v>[...]</v>
      </c>
      <c r="B565" s="3"/>
      <c r="C565" s="668"/>
      <c r="D565" s="40"/>
      <c r="E565" s="40"/>
      <c r="F565" s="40"/>
      <c r="G565" s="40"/>
      <c r="H565" s="40"/>
      <c r="I565" s="40"/>
      <c r="J565" s="40"/>
      <c r="K565" s="40"/>
      <c r="L565" s="40"/>
      <c r="M565" s="40"/>
      <c r="N565" s="40"/>
      <c r="O565" s="40"/>
      <c r="P565" s="40"/>
      <c r="Q565" s="40"/>
      <c r="R565" s="40"/>
      <c r="S565" s="40"/>
      <c r="T565" s="40"/>
      <c r="U565" s="40"/>
      <c r="V565" s="559" t="s">
        <v>56</v>
      </c>
      <c r="W565" s="700"/>
      <c r="X565" s="700"/>
      <c r="Y565" s="700"/>
      <c r="Z565" s="701">
        <v>0.0</v>
      </c>
      <c r="AA565" s="700"/>
      <c r="AB565" s="700">
        <f t="shared" si="162"/>
        <v>0</v>
      </c>
      <c r="AC565" s="701">
        <v>0.0</v>
      </c>
      <c r="AD565" s="709"/>
      <c r="AE565" s="708"/>
      <c r="AF565" s="701">
        <v>0.0</v>
      </c>
      <c r="AG565" s="702"/>
      <c r="AH565" s="703">
        <f t="shared" si="160"/>
        <v>0</v>
      </c>
      <c r="AI565" s="704">
        <f t="shared" si="163"/>
        <v>0</v>
      </c>
      <c r="AJ565" s="709"/>
      <c r="AK565" s="708"/>
      <c r="AL565" s="701">
        <v>0.0</v>
      </c>
      <c r="AM565" s="751"/>
      <c r="AN565" s="703">
        <f t="shared" si="161"/>
        <v>0</v>
      </c>
      <c r="AO565" s="710">
        <f t="shared" si="159"/>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ht="17.25" hidden="1" customHeight="1">
      <c r="A566" s="5" t="str">
        <f t="shared" si="152"/>
        <v>[...]</v>
      </c>
      <c r="B566" s="3"/>
      <c r="C566" s="668"/>
      <c r="D566" s="40"/>
      <c r="E566" s="40"/>
      <c r="F566" s="40"/>
      <c r="G566" s="40"/>
      <c r="H566" s="40"/>
      <c r="I566" s="40"/>
      <c r="J566" s="40"/>
      <c r="K566" s="40"/>
      <c r="L566" s="40"/>
      <c r="M566" s="40"/>
      <c r="N566" s="40"/>
      <c r="O566" s="40"/>
      <c r="P566" s="40"/>
      <c r="Q566" s="40"/>
      <c r="R566" s="40"/>
      <c r="S566" s="40"/>
      <c r="T566" s="40"/>
      <c r="U566" s="40"/>
      <c r="V566" s="559" t="s">
        <v>56</v>
      </c>
      <c r="W566" s="700"/>
      <c r="X566" s="700"/>
      <c r="Y566" s="700"/>
      <c r="Z566" s="701">
        <v>0.0</v>
      </c>
      <c r="AA566" s="700"/>
      <c r="AB566" s="700">
        <f t="shared" si="162"/>
        <v>0</v>
      </c>
      <c r="AC566" s="701">
        <v>0.0</v>
      </c>
      <c r="AD566" s="709"/>
      <c r="AE566" s="708"/>
      <c r="AF566" s="701">
        <v>0.0</v>
      </c>
      <c r="AG566" s="702"/>
      <c r="AH566" s="703">
        <f t="shared" si="160"/>
        <v>0</v>
      </c>
      <c r="AI566" s="704">
        <f t="shared" si="163"/>
        <v>0</v>
      </c>
      <c r="AJ566" s="709"/>
      <c r="AK566" s="708"/>
      <c r="AL566" s="701">
        <v>0.0</v>
      </c>
      <c r="AM566" s="751"/>
      <c r="AN566" s="703">
        <f t="shared" si="161"/>
        <v>0</v>
      </c>
      <c r="AO566" s="710">
        <f t="shared" si="159"/>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ht="15.75" customHeight="1">
      <c r="A567" s="5" t="str">
        <f t="shared" si="152"/>
        <v>Frais administration</v>
      </c>
      <c r="B567" s="3"/>
      <c r="C567" s="668"/>
      <c r="D567" s="40"/>
      <c r="E567" s="40"/>
      <c r="F567" s="40"/>
      <c r="G567" s="40"/>
      <c r="H567" s="40"/>
      <c r="I567" s="40"/>
      <c r="J567" s="40"/>
      <c r="K567" s="40"/>
      <c r="L567" s="40"/>
      <c r="M567" s="40"/>
      <c r="N567" s="40"/>
      <c r="O567" s="40"/>
      <c r="P567" s="40"/>
      <c r="Q567" s="40"/>
      <c r="R567" s="40"/>
      <c r="S567" s="40"/>
      <c r="T567" s="40"/>
      <c r="U567" s="40"/>
      <c r="V567" s="560" t="s">
        <v>148</v>
      </c>
      <c r="W567" s="700"/>
      <c r="X567" s="700"/>
      <c r="Y567" s="700"/>
      <c r="Z567" s="701">
        <v>0.0</v>
      </c>
      <c r="AA567" s="740"/>
      <c r="AB567" s="741">
        <f t="shared" si="162"/>
        <v>0</v>
      </c>
      <c r="AC567" s="701">
        <v>0.0</v>
      </c>
      <c r="AD567" s="755"/>
      <c r="AE567" s="740"/>
      <c r="AF567" s="701">
        <v>77318.0</v>
      </c>
      <c r="AG567" s="753"/>
      <c r="AH567" s="703">
        <f t="shared" si="160"/>
        <v>77318</v>
      </c>
      <c r="AI567" s="723" t="str">
        <f t="shared" si="163"/>
        <v>#DIV/0!</v>
      </c>
      <c r="AJ567" s="755"/>
      <c r="AK567" s="740"/>
      <c r="AL567" s="701">
        <v>0.0</v>
      </c>
      <c r="AM567" s="751"/>
      <c r="AN567" s="703">
        <f t="shared" si="161"/>
        <v>77318</v>
      </c>
      <c r="AO567" s="710">
        <f t="shared" si="159"/>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ht="21.0" customHeight="1">
      <c r="A568" s="5" t="str">
        <f t="shared" si="152"/>
        <v>TOTAL AUTRES REVENUS</v>
      </c>
      <c r="B568" s="3"/>
      <c r="C568" s="668"/>
      <c r="D568" s="40"/>
      <c r="E568" s="40"/>
      <c r="F568" s="40"/>
      <c r="G568" s="40"/>
      <c r="H568" s="40"/>
      <c r="I568" s="40"/>
      <c r="J568" s="40"/>
      <c r="K568" s="40"/>
      <c r="L568" s="40"/>
      <c r="M568" s="40"/>
      <c r="N568" s="40"/>
      <c r="O568" s="40"/>
      <c r="P568" s="40"/>
      <c r="Q568" s="40"/>
      <c r="R568" s="40"/>
      <c r="S568" s="40"/>
      <c r="T568" s="40"/>
      <c r="U568" s="40"/>
      <c r="V568" s="715" t="s">
        <v>211</v>
      </c>
      <c r="W568" s="716"/>
      <c r="X568" s="717" t="str">
        <f>Z568/+Z494</f>
        <v>#REF!</v>
      </c>
      <c r="Y568" s="735"/>
      <c r="Z568" s="718">
        <f>SUM(Z556:Z567)</f>
        <v>0</v>
      </c>
      <c r="AA568" s="717" t="str">
        <f>AC568/+AC494</f>
        <v>#DIV/0!</v>
      </c>
      <c r="AB568" s="735"/>
      <c r="AC568" s="718">
        <f>SUM(AC556:AC567)</f>
        <v>0</v>
      </c>
      <c r="AD568" s="717">
        <f>AF568/+AF494</f>
        <v>0.04864842867</v>
      </c>
      <c r="AE568" s="735"/>
      <c r="AF568" s="718">
        <f>SUM(AF556:AF567)</f>
        <v>125604.01</v>
      </c>
      <c r="AG568" s="736"/>
      <c r="AH568" s="720">
        <f t="shared" si="160"/>
        <v>125604.01</v>
      </c>
      <c r="AI568" s="717" t="str">
        <f>AH568/Z568</f>
        <v>#DIV/0!</v>
      </c>
      <c r="AJ568" s="717"/>
      <c r="AK568" s="735"/>
      <c r="AL568" s="718">
        <f>SUM(AL556:AL567)</f>
        <v>268398.78</v>
      </c>
      <c r="AM568" s="756"/>
      <c r="AN568" s="720">
        <f t="shared" si="161"/>
        <v>-142794.77</v>
      </c>
      <c r="AO568" s="738">
        <f t="shared" si="159"/>
        <v>-0.5320246612</v>
      </c>
      <c r="AP568" s="40"/>
      <c r="AQ568" s="40"/>
      <c r="AR568" s="40"/>
      <c r="AS568" s="40"/>
      <c r="AT568" s="40"/>
      <c r="AU568" s="40"/>
      <c r="AV568" s="40"/>
      <c r="AW568" s="40"/>
      <c r="AX568" s="40"/>
      <c r="AY568" s="40"/>
      <c r="AZ568" s="40"/>
      <c r="BA568" s="40"/>
      <c r="BB568" s="40"/>
      <c r="BC568" s="40"/>
      <c r="BD568" s="40"/>
      <c r="BE568" s="40"/>
      <c r="BF568" s="40"/>
      <c r="BG568" s="40"/>
      <c r="BH568" s="40"/>
      <c r="BI568" s="40"/>
    </row>
    <row r="569" ht="6.0" customHeight="1">
      <c r="A569" s="5" t="str">
        <f t="shared" si="152"/>
        <v/>
      </c>
      <c r="B569" s="3"/>
      <c r="C569" s="668"/>
      <c r="D569" s="40"/>
      <c r="E569" s="40"/>
      <c r="F569" s="40"/>
      <c r="G569" s="40"/>
      <c r="H569" s="40"/>
      <c r="I569" s="40"/>
      <c r="J569" s="40"/>
      <c r="K569" s="40"/>
      <c r="L569" s="40"/>
      <c r="M569" s="40"/>
      <c r="N569" s="40"/>
      <c r="O569" s="40"/>
      <c r="P569" s="40"/>
      <c r="Q569" s="40"/>
      <c r="R569" s="40"/>
      <c r="S569" s="40"/>
      <c r="T569" s="40"/>
      <c r="U569" s="40"/>
      <c r="V569" s="757"/>
      <c r="W569" s="758"/>
      <c r="X569" s="758"/>
      <c r="Y569" s="759"/>
      <c r="Z569" s="760"/>
      <c r="AA569" s="758"/>
      <c r="AB569" s="761"/>
      <c r="AC569" s="760"/>
      <c r="AD569" s="758"/>
      <c r="AE569" s="761"/>
      <c r="AF569" s="760"/>
      <c r="AG569" s="762"/>
      <c r="AH569" s="763"/>
      <c r="AI569" s="764"/>
      <c r="AJ569" s="758"/>
      <c r="AK569" s="761"/>
      <c r="AL569" s="760"/>
      <c r="AM569" s="765"/>
      <c r="AN569" s="763">
        <f t="shared" si="161"/>
        <v>0</v>
      </c>
      <c r="AO569" s="766">
        <f t="shared" si="159"/>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ht="21.0" customHeight="1">
      <c r="A570" s="5" t="str">
        <f t="shared" si="152"/>
        <v>BAIIA OPÉRATIONNEL</v>
      </c>
      <c r="B570" s="3"/>
      <c r="C570" s="668"/>
      <c r="D570" s="40"/>
      <c r="E570" s="40"/>
      <c r="F570" s="40"/>
      <c r="G570" s="40"/>
      <c r="H570" s="40"/>
      <c r="I570" s="40"/>
      <c r="J570" s="40"/>
      <c r="K570" s="40"/>
      <c r="L570" s="40"/>
      <c r="M570" s="40"/>
      <c r="N570" s="40"/>
      <c r="O570" s="40"/>
      <c r="P570" s="40"/>
      <c r="Q570" s="40"/>
      <c r="R570" s="40"/>
      <c r="S570" s="40"/>
      <c r="T570" s="40"/>
      <c r="U570" s="40"/>
      <c r="V570" s="767" t="s">
        <v>212</v>
      </c>
      <c r="W570" s="768"/>
      <c r="X570" s="769" t="s">
        <v>1104</v>
      </c>
      <c r="Y570" s="770" t="str">
        <f>Z570/Z493</f>
        <v>#REF!</v>
      </c>
      <c r="Z570" s="771" t="str">
        <f>Z494-Z555+Z568</f>
        <v>#REF!</v>
      </c>
      <c r="AA570" s="769" t="s">
        <v>1104</v>
      </c>
      <c r="AB570" s="770" t="str">
        <f>AC570/AC493</f>
        <v>#DIV/0!</v>
      </c>
      <c r="AC570" s="771">
        <f>AC494-AC555+AC568</f>
        <v>0</v>
      </c>
      <c r="AD570" s="769" t="s">
        <v>1104</v>
      </c>
      <c r="AE570" s="770">
        <f>AF570/AF493</f>
        <v>0.01227609935</v>
      </c>
      <c r="AF570" s="771">
        <f>AF494-AF555+AF568</f>
        <v>935789.28</v>
      </c>
      <c r="AG570" s="772"/>
      <c r="AH570" s="772" t="str">
        <f>AF570-Z570</f>
        <v>#REF!</v>
      </c>
      <c r="AI570" s="773" t="str">
        <f>AH570/Z570</f>
        <v>#REF!</v>
      </c>
      <c r="AJ570" s="769" t="s">
        <v>1104</v>
      </c>
      <c r="AK570" s="770">
        <f>IF($AL$406=0,0,AL570/$AL$406)</f>
        <v>0</v>
      </c>
      <c r="AL570" s="771">
        <f>AL494-AL555+AL568</f>
        <v>1089640.02</v>
      </c>
      <c r="AM570" s="774"/>
      <c r="AN570" s="775">
        <f t="shared" si="161"/>
        <v>-153850.74</v>
      </c>
      <c r="AO570" s="776">
        <f t="shared" si="159"/>
        <v>-0.1411940982</v>
      </c>
      <c r="AP570" s="40"/>
      <c r="AQ570" s="40"/>
      <c r="AR570" s="40"/>
      <c r="AS570" s="40"/>
      <c r="AT570" s="40"/>
      <c r="AU570" s="40"/>
      <c r="AV570" s="40"/>
      <c r="AW570" s="40"/>
      <c r="AX570" s="40"/>
      <c r="AY570" s="40"/>
      <c r="AZ570" s="40"/>
      <c r="BA570" s="40"/>
      <c r="BB570" s="40"/>
      <c r="BC570" s="40"/>
      <c r="BD570" s="40"/>
      <c r="BE570" s="40"/>
      <c r="BF570" s="40"/>
      <c r="BG570" s="40"/>
      <c r="BH570" s="40"/>
      <c r="BI570" s="40"/>
    </row>
    <row r="571" ht="8.25" customHeight="1">
      <c r="A571" s="5" t="str">
        <f t="shared" si="152"/>
        <v/>
      </c>
      <c r="B571" s="3"/>
      <c r="C571" s="668"/>
      <c r="D571" s="40"/>
      <c r="E571" s="40"/>
      <c r="F571" s="40"/>
      <c r="G571" s="40"/>
      <c r="H571" s="40"/>
      <c r="I571" s="40"/>
      <c r="J571" s="40"/>
      <c r="K571" s="40"/>
      <c r="L571" s="40"/>
      <c r="M571" s="40"/>
      <c r="N571" s="40"/>
      <c r="O571" s="40"/>
      <c r="P571" s="40"/>
      <c r="Q571" s="40"/>
      <c r="R571" s="40"/>
      <c r="S571" s="40"/>
      <c r="T571" s="40"/>
      <c r="U571" s="40"/>
      <c r="V571" s="38"/>
      <c r="W571" s="38"/>
      <c r="X571" s="38"/>
      <c r="Y571" s="38"/>
      <c r="Z571" s="483"/>
      <c r="AA571" s="48"/>
      <c r="AB571" s="48"/>
      <c r="AC571" s="483"/>
      <c r="AD571" s="48"/>
      <c r="AE571" s="48"/>
      <c r="AF571" s="483"/>
      <c r="AG571" s="48"/>
      <c r="AH571" s="48"/>
      <c r="AI571" s="48"/>
      <c r="AJ571" s="48"/>
      <c r="AK571" s="48"/>
      <c r="AL571" s="483"/>
      <c r="AM571" s="48"/>
      <c r="AN571" s="48"/>
      <c r="AO571" s="48"/>
      <c r="AP571" s="40"/>
      <c r="AQ571" s="40"/>
      <c r="AR571" s="40"/>
      <c r="AS571" s="40"/>
      <c r="AT571" s="40"/>
      <c r="AU571" s="40"/>
      <c r="AV571" s="40"/>
      <c r="AW571" s="40"/>
      <c r="AX571" s="40"/>
      <c r="AY571" s="40"/>
      <c r="AZ571" s="40"/>
      <c r="BA571" s="40"/>
      <c r="BB571" s="40"/>
      <c r="BC571" s="40"/>
      <c r="BD571" s="40"/>
      <c r="BE571" s="40"/>
      <c r="BF571" s="40"/>
      <c r="BG571" s="40"/>
      <c r="BH571" s="40"/>
      <c r="BI571" s="40"/>
    </row>
    <row r="572" ht="14.25" customHeight="1">
      <c r="A572" s="5" t="str">
        <f t="shared" si="152"/>
        <v>Ste-Marie Auto</v>
      </c>
      <c r="B572" s="3"/>
      <c r="C572" s="668"/>
      <c r="D572" s="40"/>
      <c r="E572" s="40"/>
      <c r="F572" s="40"/>
      <c r="G572" s="40"/>
      <c r="H572" s="40"/>
      <c r="I572" s="40"/>
      <c r="J572" s="40"/>
      <c r="K572" s="40"/>
      <c r="L572" s="40"/>
      <c r="M572" s="40"/>
      <c r="N572" s="40"/>
      <c r="O572" s="40"/>
      <c r="P572" s="40"/>
      <c r="Q572" s="40"/>
      <c r="R572" s="40"/>
      <c r="S572" s="40"/>
      <c r="T572" s="40"/>
      <c r="U572" s="40"/>
      <c r="V572" s="777" t="str">
        <f>C1</f>
        <v>Ste-Marie Auto</v>
      </c>
      <c r="W572" s="777"/>
      <c r="X572" s="777"/>
      <c r="Y572" s="777"/>
      <c r="Z572" s="777"/>
      <c r="AA572" s="777"/>
      <c r="AB572" s="777"/>
      <c r="AC572" s="777"/>
      <c r="AD572" s="777"/>
      <c r="AE572" s="778" t="s">
        <v>213</v>
      </c>
      <c r="AF572" s="777"/>
      <c r="AG572" s="777"/>
      <c r="AH572" s="777"/>
      <c r="AI572" s="777"/>
      <c r="AJ572" s="777"/>
      <c r="AK572" s="778"/>
      <c r="AL572" s="777"/>
      <c r="AM572" s="777"/>
      <c r="AN572" s="777"/>
      <c r="AO572" s="779"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ht="19.5" customHeight="1">
      <c r="A573" s="5" t="str">
        <f t="shared" si="152"/>
        <v/>
      </c>
      <c r="B573" s="3"/>
      <c r="C573" s="668"/>
      <c r="D573" s="40"/>
      <c r="E573" s="40"/>
      <c r="F573" s="40"/>
      <c r="G573" s="40"/>
      <c r="H573" s="40"/>
      <c r="I573" s="40"/>
      <c r="J573" s="40"/>
      <c r="K573" s="40"/>
      <c r="L573" s="40"/>
      <c r="M573" s="40"/>
      <c r="N573" s="40"/>
      <c r="O573" s="40"/>
      <c r="P573" s="40"/>
      <c r="Q573" s="40"/>
      <c r="R573" s="40"/>
      <c r="S573" s="40"/>
      <c r="T573" s="40"/>
      <c r="U573" s="40"/>
      <c r="V573" s="38"/>
      <c r="W573" s="38"/>
      <c r="X573" s="38"/>
      <c r="Y573" s="38"/>
      <c r="Z573" s="483"/>
      <c r="AA573" s="48"/>
      <c r="AB573" s="48"/>
      <c r="AC573" s="483"/>
      <c r="AD573" s="48"/>
      <c r="AE573" s="48"/>
      <c r="AF573" s="483"/>
      <c r="AG573" s="48"/>
      <c r="AH573" s="48"/>
      <c r="AI573" s="48"/>
      <c r="AJ573" s="48"/>
      <c r="AK573" s="48"/>
      <c r="AL573" s="483"/>
      <c r="AM573" s="48"/>
      <c r="AN573" s="48"/>
      <c r="AO573" s="48"/>
      <c r="AP573" s="40"/>
      <c r="AQ573" s="40"/>
      <c r="AR573" s="40"/>
      <c r="AS573" s="40"/>
      <c r="AT573" s="40"/>
      <c r="AU573" s="40"/>
      <c r="AV573" s="40"/>
      <c r="AW573" s="40"/>
      <c r="AX573" s="40"/>
      <c r="AY573" s="40"/>
      <c r="AZ573" s="40"/>
      <c r="BA573" s="40"/>
      <c r="BB573" s="40"/>
      <c r="BC573" s="40"/>
      <c r="BD573" s="40"/>
      <c r="BE573" s="40"/>
      <c r="BF573" s="40"/>
      <c r="BG573" s="40"/>
      <c r="BH573" s="40"/>
      <c r="BI573" s="40"/>
    </row>
    <row r="574" ht="19.5" customHeight="1">
      <c r="A574" s="5" t="str">
        <f t="shared" si="152"/>
        <v/>
      </c>
      <c r="B574" s="3"/>
      <c r="C574" s="668"/>
      <c r="D574" s="40"/>
      <c r="E574" s="40"/>
      <c r="F574" s="40"/>
      <c r="G574" s="40"/>
      <c r="H574" s="40"/>
      <c r="I574" s="40"/>
      <c r="J574" s="40"/>
      <c r="K574" s="40"/>
      <c r="L574" s="40"/>
      <c r="M574" s="40"/>
      <c r="N574" s="40"/>
      <c r="O574" s="40"/>
      <c r="P574" s="40"/>
      <c r="Q574" s="40"/>
      <c r="R574" s="40"/>
      <c r="S574" s="40"/>
      <c r="T574" s="40"/>
      <c r="U574" s="40"/>
      <c r="V574" s="38"/>
      <c r="W574" s="38"/>
      <c r="X574" s="38"/>
      <c r="Y574" s="38"/>
      <c r="Z574" s="483"/>
      <c r="AA574" s="48"/>
      <c r="AB574" s="48"/>
      <c r="AC574" s="483"/>
      <c r="AD574" s="48"/>
      <c r="AE574" s="48"/>
      <c r="AF574" s="483"/>
      <c r="AG574" s="48"/>
      <c r="AH574" s="48"/>
      <c r="AI574" s="48"/>
      <c r="AJ574" s="48"/>
      <c r="AK574" s="48"/>
      <c r="AL574" s="483"/>
      <c r="AM574" s="48"/>
      <c r="AN574" s="48"/>
      <c r="AO574" s="48"/>
      <c r="AP574" s="40"/>
      <c r="AQ574" s="40"/>
      <c r="AR574" s="40"/>
      <c r="AS574" s="40"/>
      <c r="AT574" s="40"/>
      <c r="AU574" s="40"/>
      <c r="AV574" s="40"/>
      <c r="AW574" s="40"/>
      <c r="AX574" s="40"/>
      <c r="AY574" s="40"/>
      <c r="AZ574" s="40"/>
      <c r="BA574" s="40"/>
      <c r="BB574" s="40"/>
      <c r="BC574" s="40"/>
      <c r="BD574" s="40"/>
      <c r="BE574" s="40"/>
      <c r="BF574" s="40"/>
      <c r="BG574" s="40"/>
      <c r="BH574" s="40"/>
      <c r="BI574" s="40"/>
    </row>
    <row r="575" ht="18.75" hidden="1" customHeight="1">
      <c r="A575" s="5" t="str">
        <f t="shared" si="152"/>
        <v>BAIIA Corpo</v>
      </c>
      <c r="B575" s="3"/>
      <c r="C575" s="668"/>
      <c r="D575" s="40"/>
      <c r="E575" s="40"/>
      <c r="F575" s="40"/>
      <c r="G575" s="40"/>
      <c r="H575" s="40"/>
      <c r="I575" s="40"/>
      <c r="J575" s="40"/>
      <c r="K575" s="40"/>
      <c r="L575" s="40"/>
      <c r="M575" s="40"/>
      <c r="N575" s="40"/>
      <c r="O575" s="40"/>
      <c r="P575" s="40"/>
      <c r="Q575" s="40"/>
      <c r="R575" s="40"/>
      <c r="S575" s="40"/>
      <c r="T575" s="40"/>
      <c r="U575" s="40"/>
      <c r="V575" s="767" t="s">
        <v>229</v>
      </c>
      <c r="W575" s="768"/>
      <c r="X575" s="769" t="s">
        <v>1104</v>
      </c>
      <c r="Y575" s="770" t="str">
        <f>Z575/Z493</f>
        <v>#REF!</v>
      </c>
      <c r="Z575" s="775" t="str">
        <f>+Z576+Z502</f>
        <v>#REF!</v>
      </c>
      <c r="AA575" s="769"/>
      <c r="AB575" s="770"/>
      <c r="AC575" s="771"/>
      <c r="AD575" s="769" t="s">
        <v>1104</v>
      </c>
      <c r="AE575" s="770">
        <f>AF575/AF493</f>
        <v>0.01576841611</v>
      </c>
      <c r="AF575" s="775">
        <f>+AF576+AF502</f>
        <v>1202003.53</v>
      </c>
      <c r="AG575" s="772"/>
      <c r="AH575" s="772" t="str">
        <f t="shared" ref="AH575:AH576" si="164">AF575-Z575</f>
        <v>#REF!</v>
      </c>
      <c r="AI575" s="773" t="str">
        <f t="shared" ref="AI575:AI576" si="165">AH575/Z575</f>
        <v>#REF!</v>
      </c>
      <c r="AJ575" s="769" t="s">
        <v>1104</v>
      </c>
      <c r="AK575" s="770">
        <f>AL575/AL493</f>
        <v>0.01858815437</v>
      </c>
      <c r="AL575" s="775">
        <f>+AL576+AL502</f>
        <v>1657746.73</v>
      </c>
      <c r="AM575" s="774"/>
      <c r="AN575" s="775">
        <f t="shared" ref="AN575:AN576" si="166">AF575-AL575</f>
        <v>-455743.2</v>
      </c>
      <c r="AO575" s="780">
        <f t="shared" ref="AO575:AO576" si="167">IF(AL575=0,0,AN575/AL575)</f>
        <v>-0.2749172668</v>
      </c>
      <c r="AP575" s="40"/>
      <c r="AQ575" s="40"/>
      <c r="AR575" s="40"/>
      <c r="AS575" s="40"/>
      <c r="AT575" s="40"/>
      <c r="AU575" s="40"/>
      <c r="AV575" s="40"/>
      <c r="AW575" s="40"/>
      <c r="AX575" s="40"/>
      <c r="AY575" s="40"/>
      <c r="AZ575" s="40"/>
      <c r="BA575" s="40"/>
      <c r="BB575" s="40"/>
      <c r="BC575" s="40"/>
      <c r="BD575" s="40"/>
      <c r="BE575" s="40"/>
      <c r="BF575" s="40"/>
      <c r="BG575" s="40"/>
      <c r="BH575" s="40"/>
      <c r="BI575" s="40"/>
    </row>
    <row r="576" ht="21.0" customHeight="1">
      <c r="A576" s="5" t="str">
        <f t="shared" si="152"/>
        <v>BAIIA OPÉRATIONNEL</v>
      </c>
      <c r="B576" s="3"/>
      <c r="C576" s="668"/>
      <c r="D576" s="40"/>
      <c r="E576" s="40"/>
      <c r="F576" s="40"/>
      <c r="G576" s="40"/>
      <c r="H576" s="40"/>
      <c r="I576" s="40"/>
      <c r="J576" s="40"/>
      <c r="K576" s="40"/>
      <c r="L576" s="40"/>
      <c r="M576" s="40"/>
      <c r="N576" s="40"/>
      <c r="O576" s="40"/>
      <c r="P576" s="40"/>
      <c r="Q576" s="40"/>
      <c r="R576" s="40"/>
      <c r="S576" s="40"/>
      <c r="T576" s="40"/>
      <c r="U576" s="40"/>
      <c r="V576" s="767" t="s">
        <v>212</v>
      </c>
      <c r="W576" s="768"/>
      <c r="X576" s="769" t="s">
        <v>1104</v>
      </c>
      <c r="Y576" s="770" t="str">
        <f>Z576/Z493</f>
        <v>#REF!</v>
      </c>
      <c r="Z576" s="771" t="str">
        <f>Z570</f>
        <v>#REF!</v>
      </c>
      <c r="AA576" s="769" t="s">
        <v>1104</v>
      </c>
      <c r="AB576" s="770" t="str">
        <f>AC576/AC493</f>
        <v>#DIV/0!</v>
      </c>
      <c r="AC576" s="771">
        <f>AC570</f>
        <v>0</v>
      </c>
      <c r="AD576" s="769" t="s">
        <v>1104</v>
      </c>
      <c r="AE576" s="770">
        <f>AF576/AF493</f>
        <v>0.01227609935</v>
      </c>
      <c r="AF576" s="771">
        <f>AF570</f>
        <v>935789.28</v>
      </c>
      <c r="AG576" s="775"/>
      <c r="AH576" s="772" t="str">
        <f t="shared" si="164"/>
        <v>#REF!</v>
      </c>
      <c r="AI576" s="773" t="str">
        <f t="shared" si="165"/>
        <v>#REF!</v>
      </c>
      <c r="AJ576" s="769" t="s">
        <v>1104</v>
      </c>
      <c r="AK576" s="770">
        <f>IF($AL$406=0,0,AL576/$AL$406)</f>
        <v>0</v>
      </c>
      <c r="AL576" s="771">
        <f>AL570</f>
        <v>1089640.02</v>
      </c>
      <c r="AM576" s="781"/>
      <c r="AN576" s="782">
        <f t="shared" si="166"/>
        <v>-153850.74</v>
      </c>
      <c r="AO576" s="783">
        <f t="shared" si="167"/>
        <v>-0.1411940982</v>
      </c>
      <c r="AP576" s="40"/>
      <c r="AQ576" s="40"/>
      <c r="AR576" s="40"/>
      <c r="AS576" s="40"/>
      <c r="AT576" s="40"/>
      <c r="AU576" s="40"/>
      <c r="AV576" s="40"/>
      <c r="AW576" s="40"/>
      <c r="AX576" s="40"/>
      <c r="AY576" s="40"/>
      <c r="AZ576" s="40"/>
      <c r="BA576" s="40"/>
      <c r="BB576" s="40"/>
      <c r="BC576" s="40"/>
      <c r="BD576" s="40"/>
      <c r="BE576" s="40"/>
      <c r="BF576" s="40"/>
      <c r="BG576" s="40"/>
      <c r="BH576" s="40"/>
      <c r="BI576" s="40"/>
    </row>
    <row r="577" ht="15.75" customHeight="1">
      <c r="A577" s="5" t="str">
        <f t="shared" si="152"/>
        <v/>
      </c>
      <c r="B577" s="3"/>
      <c r="C577" s="668"/>
      <c r="D577" s="40"/>
      <c r="E577" s="40"/>
      <c r="F577" s="540"/>
      <c r="G577" s="40"/>
      <c r="H577" s="40"/>
      <c r="I577" s="540"/>
      <c r="J577" s="40"/>
      <c r="K577" s="40"/>
      <c r="L577" s="40"/>
      <c r="M577" s="540"/>
      <c r="N577" s="40"/>
      <c r="O577" s="40"/>
      <c r="P577" s="40"/>
      <c r="Q577" s="540"/>
      <c r="R577" s="540"/>
      <c r="S577" s="540"/>
      <c r="T577" s="228"/>
      <c r="U577" s="228"/>
      <c r="V577" s="784"/>
      <c r="W577" s="40"/>
      <c r="X577" s="40"/>
      <c r="Y577" s="40"/>
      <c r="Z577" s="785"/>
      <c r="AA577" s="40"/>
      <c r="AB577" s="40"/>
      <c r="AC577" s="787"/>
      <c r="AD577" s="40"/>
      <c r="AE577" s="40"/>
      <c r="AF577" s="785"/>
      <c r="AG577" s="40"/>
      <c r="AH577" s="40"/>
      <c r="AI577" s="787"/>
      <c r="AJ577" s="40"/>
      <c r="AK577" s="40"/>
      <c r="AL577" s="785"/>
      <c r="AM577" s="788"/>
      <c r="AN577" s="540"/>
      <c r="AO577" s="789"/>
      <c r="AP577" s="40"/>
      <c r="AQ577" s="40"/>
      <c r="AR577" s="40"/>
      <c r="AS577" s="40"/>
      <c r="AT577" s="40"/>
      <c r="AU577" s="40"/>
      <c r="AV577" s="40"/>
      <c r="AW577" s="40"/>
      <c r="AX577" s="40"/>
      <c r="AY577" s="40"/>
      <c r="AZ577" s="40"/>
      <c r="BA577" s="40"/>
      <c r="BB577" s="40"/>
      <c r="BC577" s="40"/>
      <c r="BD577" s="40"/>
      <c r="BE577" s="40"/>
      <c r="BF577" s="40"/>
      <c r="BG577" s="40"/>
      <c r="BH577" s="40"/>
      <c r="BI577" s="40"/>
    </row>
    <row r="578" ht="15.75" customHeight="1">
      <c r="A578" s="5" t="str">
        <f t="shared" si="152"/>
        <v>Amortissement</v>
      </c>
      <c r="B578" s="3"/>
      <c r="C578" s="668"/>
      <c r="D578" s="40"/>
      <c r="E578" s="40"/>
      <c r="F578" s="40"/>
      <c r="G578" s="40"/>
      <c r="H578" s="40"/>
      <c r="I578" s="40"/>
      <c r="J578" s="40"/>
      <c r="K578" s="40"/>
      <c r="L578" s="40"/>
      <c r="M578" s="40"/>
      <c r="N578" s="40"/>
      <c r="O578" s="40"/>
      <c r="P578" s="40"/>
      <c r="Q578" s="40"/>
      <c r="R578" s="40"/>
      <c r="S578" s="40"/>
      <c r="T578" s="40"/>
      <c r="U578" s="40"/>
      <c r="V578" s="559" t="s">
        <v>214</v>
      </c>
      <c r="W578" s="707"/>
      <c r="X578" s="700"/>
      <c r="Y578" s="708"/>
      <c r="Z578" s="701">
        <v>0.0</v>
      </c>
      <c r="AA578" s="700"/>
      <c r="AB578" s="708">
        <f t="shared" ref="AB578:AB584" si="168">IF(AC578=0,0,AC578/(G$13+G$97))</f>
        <v>0</v>
      </c>
      <c r="AC578" s="701">
        <v>0.0</v>
      </c>
      <c r="AD578" s="700"/>
      <c r="AE578" s="708"/>
      <c r="AF578" s="701">
        <v>32430.0</v>
      </c>
      <c r="AG578" s="700"/>
      <c r="AH578" s="703">
        <f t="shared" ref="AH578:AH585" si="169">AF578-Z578</f>
        <v>32430</v>
      </c>
      <c r="AI578" s="723">
        <f t="shared" ref="AI578:AI584" si="170">IF(Z578=0,0,AH578/Z578)</f>
        <v>0</v>
      </c>
      <c r="AJ578" s="700"/>
      <c r="AK578" s="708"/>
      <c r="AL578" s="701">
        <v>36006.64</v>
      </c>
      <c r="AM578" s="705"/>
      <c r="AN578" s="703">
        <f t="shared" ref="AN578:AN585" si="171">AF578-AL578</f>
        <v>-3576.64</v>
      </c>
      <c r="AO578" s="710">
        <f t="shared" ref="AO578:AO585" si="172">IF(AL578=0,0,AN578/AL578)</f>
        <v>-0.09933278973</v>
      </c>
      <c r="AP578" s="40"/>
      <c r="AQ578" s="40"/>
      <c r="AR578" s="40"/>
      <c r="AS578" s="40"/>
      <c r="AT578" s="40"/>
      <c r="AU578" s="40"/>
      <c r="AV578" s="40"/>
      <c r="AW578" s="40"/>
      <c r="AX578" s="40"/>
      <c r="AY578" s="40"/>
      <c r="AZ578" s="40"/>
      <c r="BA578" s="40"/>
      <c r="BB578" s="40"/>
      <c r="BC578" s="40"/>
      <c r="BD578" s="40"/>
      <c r="BE578" s="40"/>
      <c r="BF578" s="40"/>
      <c r="BG578" s="40"/>
      <c r="BH578" s="40"/>
      <c r="BI578" s="40"/>
    </row>
    <row r="579" ht="15.75" customHeight="1">
      <c r="A579" s="5" t="str">
        <f t="shared" si="152"/>
        <v>Intérêts sur marge</v>
      </c>
      <c r="B579" s="3"/>
      <c r="C579" s="668"/>
      <c r="D579" s="40"/>
      <c r="E579" s="40"/>
      <c r="F579" s="540"/>
      <c r="G579" s="40"/>
      <c r="H579" s="40"/>
      <c r="I579" s="540"/>
      <c r="J579" s="40"/>
      <c r="K579" s="40"/>
      <c r="L579" s="40"/>
      <c r="M579" s="540"/>
      <c r="N579" s="40"/>
      <c r="O579" s="40"/>
      <c r="P579" s="40"/>
      <c r="Q579" s="540"/>
      <c r="R579" s="540"/>
      <c r="S579" s="540"/>
      <c r="T579" s="40"/>
      <c r="U579" s="40"/>
      <c r="V579" s="559" t="s">
        <v>215</v>
      </c>
      <c r="W579" s="40"/>
      <c r="X579" s="40"/>
      <c r="Y579" s="40"/>
      <c r="Z579" s="701">
        <v>0.0</v>
      </c>
      <c r="AA579" s="40"/>
      <c r="AB579" s="40">
        <f t="shared" si="168"/>
        <v>0</v>
      </c>
      <c r="AC579" s="701">
        <v>0.0</v>
      </c>
      <c r="AD579" s="40"/>
      <c r="AE579" s="48"/>
      <c r="AF579" s="701">
        <v>0.0</v>
      </c>
      <c r="AG579" s="40"/>
      <c r="AH579" s="703">
        <f t="shared" si="169"/>
        <v>0</v>
      </c>
      <c r="AI579" s="723">
        <f t="shared" si="170"/>
        <v>0</v>
      </c>
      <c r="AJ579" s="40"/>
      <c r="AK579" s="48"/>
      <c r="AL579" s="701">
        <v>0.0</v>
      </c>
      <c r="AM579" s="788"/>
      <c r="AN579" s="703">
        <f t="shared" si="171"/>
        <v>0</v>
      </c>
      <c r="AO579" s="710">
        <f t="shared" si="172"/>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ht="15.75" customHeight="1">
      <c r="A580" s="5" t="str">
        <f t="shared" si="152"/>
        <v>Intérêts sur prêt</v>
      </c>
      <c r="B580" s="3"/>
      <c r="C580" s="668"/>
      <c r="D580" s="40"/>
      <c r="E580" s="40"/>
      <c r="F580" s="540"/>
      <c r="G580" s="40"/>
      <c r="H580" s="40"/>
      <c r="I580" s="540"/>
      <c r="J580" s="40"/>
      <c r="K580" s="40"/>
      <c r="L580" s="40"/>
      <c r="M580" s="540"/>
      <c r="N580" s="40"/>
      <c r="O580" s="40"/>
      <c r="P580" s="40"/>
      <c r="Q580" s="540"/>
      <c r="R580" s="540"/>
      <c r="S580" s="540"/>
      <c r="T580" s="40"/>
      <c r="U580" s="40"/>
      <c r="V580" s="559" t="s">
        <v>216</v>
      </c>
      <c r="W580" s="48"/>
      <c r="X580" s="48"/>
      <c r="Y580" s="48"/>
      <c r="Z580" s="701">
        <v>0.0</v>
      </c>
      <c r="AA580" s="40"/>
      <c r="AB580" s="40">
        <f t="shared" si="168"/>
        <v>0</v>
      </c>
      <c r="AC580" s="701">
        <v>0.0</v>
      </c>
      <c r="AD580" s="40"/>
      <c r="AE580" s="48"/>
      <c r="AF580" s="701">
        <v>24305.36</v>
      </c>
      <c r="AG580" s="40"/>
      <c r="AH580" s="703">
        <f t="shared" si="169"/>
        <v>24305.36</v>
      </c>
      <c r="AI580" s="723">
        <f t="shared" si="170"/>
        <v>0</v>
      </c>
      <c r="AJ580" s="40"/>
      <c r="AK580" s="48"/>
      <c r="AL580" s="701">
        <v>0.0</v>
      </c>
      <c r="AM580" s="788"/>
      <c r="AN580" s="703">
        <f t="shared" si="171"/>
        <v>24305.36</v>
      </c>
      <c r="AO580" s="710">
        <f t="shared" si="172"/>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ht="15.75" customHeight="1">
      <c r="A581" s="5" t="str">
        <f t="shared" si="152"/>
        <v>Intérêts sur avance</v>
      </c>
      <c r="B581" s="3"/>
      <c r="C581" s="668"/>
      <c r="D581" s="40"/>
      <c r="E581" s="40"/>
      <c r="F581" s="540"/>
      <c r="G581" s="40"/>
      <c r="H581" s="40"/>
      <c r="I581" s="540"/>
      <c r="J581" s="40"/>
      <c r="K581" s="40"/>
      <c r="L581" s="40"/>
      <c r="M581" s="540"/>
      <c r="N581" s="40"/>
      <c r="O581" s="40"/>
      <c r="P581" s="40"/>
      <c r="Q581" s="540"/>
      <c r="R581" s="540"/>
      <c r="S581" s="540"/>
      <c r="T581" s="40"/>
      <c r="U581" s="40"/>
      <c r="V581" s="559" t="s">
        <v>217</v>
      </c>
      <c r="W581" s="48"/>
      <c r="X581" s="48"/>
      <c r="Y581" s="48"/>
      <c r="Z581" s="701">
        <v>0.0</v>
      </c>
      <c r="AA581" s="40"/>
      <c r="AB581" s="40">
        <f t="shared" si="168"/>
        <v>0</v>
      </c>
      <c r="AC581" s="701">
        <v>0.0</v>
      </c>
      <c r="AD581" s="40"/>
      <c r="AE581" s="48"/>
      <c r="AF581" s="701">
        <v>0.0</v>
      </c>
      <c r="AG581" s="40"/>
      <c r="AH581" s="703">
        <f t="shared" si="169"/>
        <v>0</v>
      </c>
      <c r="AI581" s="723">
        <f t="shared" si="170"/>
        <v>0</v>
      </c>
      <c r="AJ581" s="40"/>
      <c r="AK581" s="48"/>
      <c r="AL581" s="701">
        <v>0.0</v>
      </c>
      <c r="AM581" s="788"/>
      <c r="AN581" s="703">
        <f t="shared" si="171"/>
        <v>0</v>
      </c>
      <c r="AO581" s="710">
        <f t="shared" si="172"/>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ht="20.25" hidden="1" customHeight="1">
      <c r="A582" s="5" t="str">
        <f t="shared" si="152"/>
        <v>[...]</v>
      </c>
      <c r="B582" s="3"/>
      <c r="C582" s="668"/>
      <c r="D582" s="40"/>
      <c r="E582" s="40"/>
      <c r="F582" s="540"/>
      <c r="G582" s="40"/>
      <c r="H582" s="40"/>
      <c r="I582" s="540"/>
      <c r="J582" s="40"/>
      <c r="K582" s="40"/>
      <c r="L582" s="40"/>
      <c r="M582" s="540"/>
      <c r="N582" s="40"/>
      <c r="O582" s="40"/>
      <c r="P582" s="40"/>
      <c r="Q582" s="540"/>
      <c r="R582" s="540"/>
      <c r="S582" s="540"/>
      <c r="T582" s="40"/>
      <c r="U582" s="40"/>
      <c r="V582" s="559" t="s">
        <v>56</v>
      </c>
      <c r="W582" s="48"/>
      <c r="X582" s="48"/>
      <c r="Y582" s="48"/>
      <c r="Z582" s="701">
        <v>0.0</v>
      </c>
      <c r="AA582" s="700"/>
      <c r="AB582" s="700">
        <f t="shared" si="168"/>
        <v>0</v>
      </c>
      <c r="AC582" s="701">
        <v>0.0</v>
      </c>
      <c r="AD582" s="709"/>
      <c r="AE582" s="708"/>
      <c r="AF582" s="701">
        <v>0.0</v>
      </c>
      <c r="AG582" s="702"/>
      <c r="AH582" s="703">
        <f t="shared" si="169"/>
        <v>0</v>
      </c>
      <c r="AI582" s="704">
        <f t="shared" si="170"/>
        <v>0</v>
      </c>
      <c r="AJ582" s="709"/>
      <c r="AK582" s="708"/>
      <c r="AL582" s="701">
        <v>0.0</v>
      </c>
      <c r="AM582" s="788"/>
      <c r="AN582" s="703">
        <f t="shared" si="171"/>
        <v>0</v>
      </c>
      <c r="AO582" s="710">
        <f t="shared" si="172"/>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ht="15.75" customHeight="1">
      <c r="A583" s="559" t="str">
        <f t="shared" si="152"/>
        <v>Revenus d'intérêts Floor plan</v>
      </c>
      <c r="B583" s="3"/>
      <c r="C583" s="668"/>
      <c r="D583" s="40"/>
      <c r="E583" s="40"/>
      <c r="F583" s="540"/>
      <c r="G583" s="40"/>
      <c r="H583" s="40"/>
      <c r="I583" s="540"/>
      <c r="J583" s="40"/>
      <c r="K583" s="40"/>
      <c r="L583" s="40"/>
      <c r="M583" s="540"/>
      <c r="N583" s="40"/>
      <c r="O583" s="40"/>
      <c r="P583" s="40"/>
      <c r="Q583" s="540"/>
      <c r="R583" s="540"/>
      <c r="S583" s="540"/>
      <c r="T583" s="40"/>
      <c r="U583" s="40"/>
      <c r="V583" s="559" t="s">
        <v>231</v>
      </c>
      <c r="W583" s="48"/>
      <c r="X583" s="48"/>
      <c r="Y583" s="48"/>
      <c r="Z583" s="701">
        <v>0.0</v>
      </c>
      <c r="AA583" s="700"/>
      <c r="AB583" s="700">
        <f t="shared" si="168"/>
        <v>0</v>
      </c>
      <c r="AC583" s="701">
        <v>0.0</v>
      </c>
      <c r="AD583" s="709"/>
      <c r="AE583" s="708"/>
      <c r="AF583" s="701">
        <v>-5930.14</v>
      </c>
      <c r="AG583" s="702"/>
      <c r="AH583" s="703">
        <f t="shared" si="169"/>
        <v>-5930.14</v>
      </c>
      <c r="AI583" s="704">
        <f t="shared" si="170"/>
        <v>0</v>
      </c>
      <c r="AJ583" s="709"/>
      <c r="AK583" s="708"/>
      <c r="AL583" s="701">
        <v>0.0</v>
      </c>
      <c r="AM583" s="788"/>
      <c r="AN583" s="703">
        <f t="shared" si="171"/>
        <v>-5930.14</v>
      </c>
      <c r="AO583" s="710">
        <f t="shared" si="172"/>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ht="21.0" hidden="1" customHeight="1">
      <c r="A584" s="5" t="str">
        <f t="shared" si="152"/>
        <v>[...]</v>
      </c>
      <c r="B584" s="3"/>
      <c r="C584" s="668"/>
      <c r="D584" s="40"/>
      <c r="E584" s="40"/>
      <c r="F584" s="540"/>
      <c r="G584" s="40"/>
      <c r="H584" s="40"/>
      <c r="I584" s="540"/>
      <c r="J584" s="40"/>
      <c r="K584" s="40"/>
      <c r="L584" s="40"/>
      <c r="M584" s="540"/>
      <c r="N584" s="40"/>
      <c r="O584" s="40"/>
      <c r="P584" s="40"/>
      <c r="Q584" s="540"/>
      <c r="R584" s="540"/>
      <c r="S584" s="540"/>
      <c r="T584" s="40"/>
      <c r="U584" s="40"/>
      <c r="V584" s="559" t="s">
        <v>56</v>
      </c>
      <c r="W584" s="48"/>
      <c r="X584" s="40"/>
      <c r="Y584" s="48"/>
      <c r="Z584" s="701">
        <v>0.0</v>
      </c>
      <c r="AA584" s="700"/>
      <c r="AB584" s="700">
        <f t="shared" si="168"/>
        <v>0</v>
      </c>
      <c r="AC584" s="701">
        <v>0.0</v>
      </c>
      <c r="AD584" s="709"/>
      <c r="AE584" s="708">
        <f>IF(AF584=0,0,AF584/(J$13+J$97))</f>
        <v>0</v>
      </c>
      <c r="AF584" s="701">
        <v>0.0</v>
      </c>
      <c r="AG584" s="702"/>
      <c r="AH584" s="703">
        <f t="shared" si="169"/>
        <v>0</v>
      </c>
      <c r="AI584" s="704">
        <f t="shared" si="170"/>
        <v>0</v>
      </c>
      <c r="AJ584" s="709"/>
      <c r="AK584" s="708">
        <f>AL584/(O$13+O$97)</f>
        <v>0</v>
      </c>
      <c r="AL584" s="701">
        <v>0.0</v>
      </c>
      <c r="AM584" s="788"/>
      <c r="AN584" s="703">
        <f t="shared" si="171"/>
        <v>0</v>
      </c>
      <c r="AO584" s="710">
        <f t="shared" si="172"/>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ht="21.0" customHeight="1">
      <c r="A585" s="5" t="str">
        <f t="shared" si="152"/>
        <v>Profit Net</v>
      </c>
      <c r="B585" s="3"/>
      <c r="C585" s="668"/>
      <c r="D585" s="40"/>
      <c r="E585" s="40"/>
      <c r="F585" s="540"/>
      <c r="G585" s="40"/>
      <c r="H585" s="40"/>
      <c r="I585" s="540"/>
      <c r="J585" s="40"/>
      <c r="K585" s="40"/>
      <c r="L585" s="40"/>
      <c r="M585" s="540"/>
      <c r="N585" s="40"/>
      <c r="O585" s="40"/>
      <c r="P585" s="40"/>
      <c r="Q585" s="540"/>
      <c r="R585" s="540"/>
      <c r="S585" s="540"/>
      <c r="T585" s="40"/>
      <c r="U585" s="40"/>
      <c r="V585" s="767" t="s">
        <v>219</v>
      </c>
      <c r="W585" s="768"/>
      <c r="X585" s="769" t="s">
        <v>1104</v>
      </c>
      <c r="Y585" s="770" t="str">
        <f>Z585/Z493</f>
        <v>#REF!</v>
      </c>
      <c r="Z585" s="771" t="str">
        <f>Z576-Z578-Z579-Z580-Z584-Z583-Z581-Z582</f>
        <v>#REF!</v>
      </c>
      <c r="AA585" s="769"/>
      <c r="AB585" s="770"/>
      <c r="AC585" s="771"/>
      <c r="AD585" s="769" t="s">
        <v>1104</v>
      </c>
      <c r="AE585" s="770">
        <f>AF585/AF493</f>
        <v>0.01160961391</v>
      </c>
      <c r="AF585" s="771">
        <f>AF576-AF578-AF579-AF580-AF584-AF583-AF581-AF582</f>
        <v>884984.06</v>
      </c>
      <c r="AG585" s="772"/>
      <c r="AH585" s="772" t="str">
        <f t="shared" si="169"/>
        <v>#REF!</v>
      </c>
      <c r="AI585" s="773" t="str">
        <f>AH585/Z585</f>
        <v>#REF!</v>
      </c>
      <c r="AJ585" s="769" t="s">
        <v>1104</v>
      </c>
      <c r="AK585" s="770">
        <f>IF($AL$407=0,0,AL585/$AL$407)</f>
        <v>0</v>
      </c>
      <c r="AL585" s="771">
        <f>AL576-AL578-AL579-AL580-AL584-AL583-AL581-AL582</f>
        <v>1053633.38</v>
      </c>
      <c r="AM585" s="774"/>
      <c r="AN585" s="775">
        <f t="shared" si="171"/>
        <v>-168649.32</v>
      </c>
      <c r="AO585" s="780">
        <f t="shared" si="172"/>
        <v>-0.1600645188</v>
      </c>
      <c r="AP585" s="40"/>
      <c r="AQ585" s="40"/>
      <c r="AR585" s="40"/>
      <c r="AS585" s="40"/>
      <c r="AT585" s="40"/>
      <c r="AU585" s="40"/>
      <c r="AV585" s="40"/>
      <c r="AW585" s="40"/>
      <c r="AX585" s="40"/>
      <c r="AY585" s="40"/>
      <c r="AZ585" s="40"/>
      <c r="BA585" s="40"/>
      <c r="BB585" s="40"/>
      <c r="BC585" s="40"/>
      <c r="BD585" s="40"/>
      <c r="BE585" s="40"/>
      <c r="BF585" s="40"/>
      <c r="BG585" s="40"/>
      <c r="BH585" s="40"/>
      <c r="BI585" s="40"/>
    </row>
    <row r="586" ht="15.75" customHeight="1">
      <c r="A586" s="5" t="str">
        <f t="shared" si="152"/>
        <v/>
      </c>
      <c r="B586" s="3"/>
      <c r="C586" s="40"/>
      <c r="D586" s="40"/>
      <c r="E586" s="40"/>
      <c r="F586" s="540"/>
      <c r="G586" s="40"/>
      <c r="H586" s="40"/>
      <c r="I586" s="540"/>
      <c r="J586" s="40"/>
      <c r="K586" s="40"/>
      <c r="L586" s="40"/>
      <c r="M586" s="540"/>
      <c r="N586" s="40"/>
      <c r="O586" s="40"/>
      <c r="P586" s="40"/>
      <c r="Q586" s="540"/>
      <c r="R586" s="540"/>
      <c r="S586" s="540"/>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ht="15.75" customHeight="1">
      <c r="B587" s="3"/>
      <c r="T587" s="40"/>
      <c r="U587" s="40"/>
      <c r="V587" s="40"/>
      <c r="W587" s="40"/>
      <c r="X587" s="40"/>
      <c r="Y587" s="40"/>
      <c r="Z587" s="540"/>
      <c r="AA587" s="40"/>
      <c r="AB587" s="40"/>
      <c r="AC587" s="540"/>
      <c r="AE587" s="791"/>
      <c r="AF587" s="791"/>
      <c r="AG587" s="40"/>
      <c r="AH587" s="40"/>
      <c r="AI587" s="40"/>
      <c r="AJ587" s="792"/>
      <c r="AK587" s="793"/>
      <c r="AL587" s="791"/>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ht="15.75" customHeight="1">
      <c r="B588" s="3"/>
      <c r="C588" s="40"/>
      <c r="S588" s="540"/>
      <c r="W588" s="40"/>
      <c r="X588" s="40"/>
      <c r="Y588" s="40"/>
      <c r="Z588" s="540"/>
      <c r="AA588" s="40"/>
      <c r="AB588" s="40"/>
      <c r="AC588" s="540"/>
      <c r="AD588" s="40"/>
      <c r="AE588" s="40"/>
      <c r="AF588" s="791"/>
      <c r="AG588" s="40"/>
      <c r="AH588" s="40"/>
      <c r="AI588" s="40"/>
      <c r="AJ588" s="40"/>
      <c r="AL588" s="791"/>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ht="15.75" customHeight="1">
      <c r="B589" s="3"/>
      <c r="C589" s="700"/>
      <c r="W589" s="40"/>
      <c r="X589" s="40"/>
      <c r="Y589" s="40"/>
      <c r="AE589" s="40"/>
      <c r="AF589" s="794"/>
      <c r="AL589" s="794"/>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ht="15.75" customHeight="1">
      <c r="B590" s="3"/>
      <c r="C590" s="700"/>
      <c r="W590" s="40"/>
      <c r="X590" s="40"/>
      <c r="Y590" s="40"/>
      <c r="Z590" s="40"/>
      <c r="AA590" s="40"/>
      <c r="AB590" s="40"/>
      <c r="AC590" s="40"/>
      <c r="AD590" s="40"/>
      <c r="AE590" s="540"/>
      <c r="AG590" s="40"/>
      <c r="AH590" s="40"/>
      <c r="AI590" s="40"/>
      <c r="AJ590" s="800"/>
      <c r="AK590" s="793"/>
      <c r="AL590" s="791"/>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ht="15.75" customHeight="1">
      <c r="B591" s="3"/>
      <c r="C591" s="700"/>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ht="15.75" customHeight="1">
      <c r="B592" s="3"/>
      <c r="C592" s="70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ht="15.75" customHeight="1">
      <c r="B593" s="3"/>
      <c r="C593" s="70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ht="15.75" customHeight="1">
      <c r="B594" s="3"/>
      <c r="C594" s="70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ht="15.75" customHeight="1">
      <c r="B595" s="3"/>
      <c r="C595" s="700"/>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ht="15.75" customHeight="1">
      <c r="B596" s="3"/>
      <c r="C596" s="70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ht="15.75" customHeight="1">
      <c r="B597" s="3"/>
      <c r="C597" s="700"/>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ht="15.75" customHeight="1">
      <c r="B598" s="3"/>
      <c r="C598" s="700"/>
      <c r="W598" s="40"/>
      <c r="X598" s="40"/>
      <c r="Y598" s="40"/>
      <c r="Z598" s="40"/>
      <c r="AA598" s="40"/>
      <c r="AB598" s="40"/>
      <c r="AC598" s="40"/>
      <c r="AD598" s="40"/>
      <c r="AE598" s="40"/>
      <c r="AF598" s="791"/>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ht="15.75" customHeight="1">
      <c r="B599" s="3"/>
      <c r="C599" s="700"/>
      <c r="W599" s="40"/>
      <c r="X599" s="40"/>
      <c r="Y599" s="40"/>
      <c r="Z599" s="40"/>
      <c r="AA599" s="40"/>
      <c r="AB599" s="40"/>
      <c r="AC599" s="40"/>
      <c r="AD599" s="40"/>
      <c r="AE599" s="40"/>
      <c r="AF599" s="795"/>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ht="15.75" customHeight="1">
      <c r="B600" s="3"/>
      <c r="C600" s="700"/>
      <c r="W600" s="40"/>
      <c r="X600" s="40"/>
      <c r="Y600" s="40"/>
      <c r="Z600" s="40"/>
      <c r="AA600" s="40"/>
      <c r="AB600" s="40"/>
      <c r="AC600" s="40"/>
      <c r="AD600" s="40"/>
      <c r="AE600" s="40"/>
      <c r="AF600" s="795"/>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ht="15.75" customHeight="1">
      <c r="B601" s="3"/>
      <c r="C601" s="700"/>
      <c r="W601" s="40"/>
      <c r="X601" s="40"/>
      <c r="Y601" s="40"/>
      <c r="Z601" s="40"/>
      <c r="AA601" s="40"/>
      <c r="AB601" s="40"/>
      <c r="AC601" s="40"/>
      <c r="AD601" s="40"/>
      <c r="AE601" s="40"/>
      <c r="AF601" s="795"/>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ht="15.75" customHeight="1">
      <c r="B602" s="3"/>
      <c r="C602" s="70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ht="15.75" customHeight="1">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ht="15.75" customHeight="1">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ht="15.75" customHeight="1">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ht="15.75" customHeight="1">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ht="15.75" customHeight="1">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ht="15.75" customHeight="1">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ht="15.75" customHeight="1">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ht="15.75" customHeight="1">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ht="15.75" customHeight="1">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ht="15.75" customHeight="1">
      <c r="B612" s="3"/>
      <c r="C612" s="70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ht="15.75" customHeight="1">
      <c r="B613" s="3"/>
      <c r="C613" s="70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ht="15.75" customHeight="1">
      <c r="B614" s="3"/>
      <c r="C614" s="70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ht="15.75" customHeight="1">
      <c r="B615" s="3"/>
      <c r="C615" s="70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ht="15.75" customHeight="1">
      <c r="B616" s="3"/>
      <c r="C616" s="70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ht="15.75" customHeight="1">
      <c r="B617" s="3"/>
      <c r="C617" s="70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ht="15.75" customHeight="1">
      <c r="B618" s="3"/>
      <c r="C618" s="70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ht="15.75" customHeight="1">
      <c r="B619" s="3"/>
      <c r="C619" s="70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ht="15.75" customHeight="1">
      <c r="B620" s="3"/>
      <c r="C620" s="70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ht="15.75" customHeight="1">
      <c r="B621" s="3"/>
      <c r="C621" s="70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ht="15.75" customHeight="1">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ht="15.75" customHeight="1">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ht="15.75" customHeight="1">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ht="15.75" customHeight="1">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M91:N91"/>
    <mergeCell ref="O91:Q91"/>
    <mergeCell ref="D3:F3"/>
    <mergeCell ref="G3:I3"/>
    <mergeCell ref="J3:L3"/>
    <mergeCell ref="M3:N3"/>
    <mergeCell ref="O3:Q3"/>
    <mergeCell ref="R3:S3"/>
    <mergeCell ref="D91:F91"/>
    <mergeCell ref="R91:S91"/>
    <mergeCell ref="G91:I91"/>
    <mergeCell ref="J91:L91"/>
    <mergeCell ref="G171:I171"/>
    <mergeCell ref="J171:L171"/>
    <mergeCell ref="M171:N171"/>
    <mergeCell ref="O171:Q171"/>
    <mergeCell ref="R171:S171"/>
    <mergeCell ref="D171:F171"/>
    <mergeCell ref="D244:F244"/>
    <mergeCell ref="G244:I244"/>
    <mergeCell ref="J244:L244"/>
    <mergeCell ref="M244:N244"/>
    <mergeCell ref="O244:Q244"/>
    <mergeCell ref="R244:S244"/>
    <mergeCell ref="G369:I369"/>
    <mergeCell ref="J369:L369"/>
    <mergeCell ref="D434:F434"/>
    <mergeCell ref="G434:I434"/>
    <mergeCell ref="J434:L434"/>
    <mergeCell ref="M434:N434"/>
    <mergeCell ref="O434:Q434"/>
    <mergeCell ref="R434:S434"/>
    <mergeCell ref="M369:N369"/>
    <mergeCell ref="O369:Q369"/>
    <mergeCell ref="X491:Z491"/>
    <mergeCell ref="AA491:AC491"/>
    <mergeCell ref="AD491:AF491"/>
    <mergeCell ref="AG491:AI491"/>
    <mergeCell ref="AJ491:AL491"/>
    <mergeCell ref="AM491:AO491"/>
    <mergeCell ref="D312:F312"/>
    <mergeCell ref="G312:I312"/>
    <mergeCell ref="J312:L312"/>
    <mergeCell ref="M312:N312"/>
    <mergeCell ref="O312:Q312"/>
    <mergeCell ref="R312:S312"/>
    <mergeCell ref="D369:F369"/>
    <mergeCell ref="R369:S369"/>
  </mergeCells>
  <conditionalFormatting sqref="D113 H180:L181 I184:L185">
    <cfRule type="expression" dxfId="0" priority="1" stopIfTrue="1">
      <formula>"esterreur(reference)"</formula>
    </cfRule>
  </conditionalFormatting>
  <conditionalFormatting sqref="D246:D255">
    <cfRule type="expression" dxfId="0" priority="2" stopIfTrue="1">
      <formula>"esterreur(reference)"</formula>
    </cfRule>
  </conditionalFormatting>
  <conditionalFormatting sqref="D487">
    <cfRule type="expression" dxfId="0" priority="3" stopIfTrue="1">
      <formula>"esterreur(reference)"</formula>
    </cfRule>
  </conditionalFormatting>
  <conditionalFormatting sqref="D186:E192">
    <cfRule type="expression" dxfId="0" priority="4" stopIfTrue="1">
      <formula>"esterreur(reference)"</formula>
    </cfRule>
  </conditionalFormatting>
  <conditionalFormatting sqref="E260">
    <cfRule type="expression" dxfId="0" priority="5" stopIfTrue="1">
      <formula>"esterreur(reference)"</formula>
    </cfRule>
  </conditionalFormatting>
  <conditionalFormatting sqref="F5">
    <cfRule type="expression" dxfId="0" priority="6" stopIfTrue="1">
      <formula>"esterreur(reference)"</formula>
    </cfRule>
  </conditionalFormatting>
  <conditionalFormatting sqref="F84">
    <cfRule type="expression" dxfId="0" priority="7" stopIfTrue="1">
      <formula>"esterreur(reference)"</formula>
    </cfRule>
  </conditionalFormatting>
  <conditionalFormatting sqref="F102">
    <cfRule type="expression" dxfId="0" priority="8" stopIfTrue="1">
      <formula>"esterreur(reference)"</formula>
    </cfRule>
  </conditionalFormatting>
  <conditionalFormatting sqref="F258">
    <cfRule type="expression" dxfId="0" priority="9" stopIfTrue="1">
      <formula>"esterreur(reference)"</formula>
    </cfRule>
  </conditionalFormatting>
  <conditionalFormatting sqref="G31:G32">
    <cfRule type="expression" dxfId="0" priority="10" stopIfTrue="1">
      <formula>"esterreur(reference)"</formula>
    </cfRule>
  </conditionalFormatting>
  <conditionalFormatting sqref="G113:G114">
    <cfRule type="expression" dxfId="0" priority="11" stopIfTrue="1">
      <formula>"esterreur(reference)"</formula>
    </cfRule>
  </conditionalFormatting>
  <conditionalFormatting sqref="G186:G187">
    <cfRule type="expression" dxfId="0" priority="12" stopIfTrue="1">
      <formula>"esterreur(reference)"</formula>
    </cfRule>
  </conditionalFormatting>
  <conditionalFormatting sqref="G246:G255">
    <cfRule type="expression" dxfId="0" priority="13" stopIfTrue="1">
      <formula>"esterreur(reference)"</formula>
    </cfRule>
  </conditionalFormatting>
  <conditionalFormatting sqref="H25:H26 H28:H72">
    <cfRule type="expression" dxfId="0" priority="14" stopIfTrue="1">
      <formula>"esterreur(reference)"</formula>
    </cfRule>
  </conditionalFormatting>
  <conditionalFormatting sqref="H74">
    <cfRule type="expression" dxfId="0" priority="15" stopIfTrue="1">
      <formula>"esterreur(reference)"</formula>
    </cfRule>
  </conditionalFormatting>
  <conditionalFormatting sqref="H83">
    <cfRule type="expression" dxfId="0" priority="16" stopIfTrue="1">
      <formula>"esterreur(reference)"</formula>
    </cfRule>
  </conditionalFormatting>
  <conditionalFormatting sqref="H85">
    <cfRule type="expression" dxfId="0" priority="17" stopIfTrue="1">
      <formula>"esterreur(reference)"</formula>
    </cfRule>
  </conditionalFormatting>
  <conditionalFormatting sqref="H110:H154">
    <cfRule type="expression" dxfId="0" priority="18" stopIfTrue="1">
      <formula>"esterreur(reference)"</formula>
    </cfRule>
  </conditionalFormatting>
  <conditionalFormatting sqref="H156:H158">
    <cfRule type="expression" dxfId="0" priority="19" stopIfTrue="1">
      <formula>"esterreur(reference)"</formula>
    </cfRule>
  </conditionalFormatting>
  <conditionalFormatting sqref="H164">
    <cfRule type="expression" dxfId="0" priority="20" stopIfTrue="1">
      <formula>"esterreur(reference)"</formula>
    </cfRule>
  </conditionalFormatting>
  <conditionalFormatting sqref="H166">
    <cfRule type="expression" dxfId="0" priority="21" stopIfTrue="1">
      <formula>"esterreur(reference)"</formula>
    </cfRule>
  </conditionalFormatting>
  <conditionalFormatting sqref="H183:H227">
    <cfRule type="expression" dxfId="0" priority="22" stopIfTrue="1">
      <formula>"esterreur(reference)"</formula>
    </cfRule>
  </conditionalFormatting>
  <conditionalFormatting sqref="H229:H231">
    <cfRule type="expression" dxfId="0" priority="23" stopIfTrue="1">
      <formula>"esterreur(reference)"</formula>
    </cfRule>
  </conditionalFormatting>
  <conditionalFormatting sqref="H237">
    <cfRule type="expression" dxfId="0" priority="24" stopIfTrue="1">
      <formula>"esterreur(reference)"</formula>
    </cfRule>
  </conditionalFormatting>
  <conditionalFormatting sqref="H239">
    <cfRule type="expression" dxfId="0" priority="25" stopIfTrue="1">
      <formula>"esterreur(reference)"</formula>
    </cfRule>
  </conditionalFormatting>
  <conditionalFormatting sqref="H269">
    <cfRule type="expression" dxfId="0" priority="26" stopIfTrue="1">
      <formula>"esterreur(reference)"</formula>
    </cfRule>
  </conditionalFormatting>
  <conditionalFormatting sqref="H272:H303">
    <cfRule type="expression" dxfId="0" priority="27" stopIfTrue="1">
      <formula>"esterreur(reference)"</formula>
    </cfRule>
  </conditionalFormatting>
  <conditionalFormatting sqref="H305">
    <cfRule type="expression" dxfId="0" priority="28" stopIfTrue="1">
      <formula>"esterreur(reference)"</formula>
    </cfRule>
  </conditionalFormatting>
  <conditionalFormatting sqref="H307">
    <cfRule type="expression" dxfId="0" priority="29" stopIfTrue="1">
      <formula>"esterreur(reference)"</formula>
    </cfRule>
  </conditionalFormatting>
  <conditionalFormatting sqref="H327">
    <cfRule type="expression" dxfId="0" priority="30" stopIfTrue="1">
      <formula>"esterreur(reference)"</formula>
    </cfRule>
  </conditionalFormatting>
  <conditionalFormatting sqref="H330:H361">
    <cfRule type="expression" dxfId="0" priority="31" stopIfTrue="1">
      <formula>"esterreur(reference)"</formula>
    </cfRule>
  </conditionalFormatting>
  <conditionalFormatting sqref="H363">
    <cfRule type="expression" dxfId="0" priority="32" stopIfTrue="1">
      <formula>"esterreur(reference)"</formula>
    </cfRule>
  </conditionalFormatting>
  <conditionalFormatting sqref="H365">
    <cfRule type="expression" dxfId="0" priority="33" stopIfTrue="1">
      <formula>"esterreur(reference)"</formula>
    </cfRule>
  </conditionalFormatting>
  <conditionalFormatting sqref="H391">
    <cfRule type="expression" dxfId="0" priority="34" stopIfTrue="1">
      <formula>"esterreur(reference)"</formula>
    </cfRule>
  </conditionalFormatting>
  <conditionalFormatting sqref="H394:H425">
    <cfRule type="expression" dxfId="0" priority="35" stopIfTrue="1">
      <formula>"esterreur(reference)"</formula>
    </cfRule>
  </conditionalFormatting>
  <conditionalFormatting sqref="H427">
    <cfRule type="expression" dxfId="0" priority="36" stopIfTrue="1">
      <formula>"esterreur(reference)"</formula>
    </cfRule>
  </conditionalFormatting>
  <conditionalFormatting sqref="H429:H431">
    <cfRule type="expression" dxfId="0" priority="37" stopIfTrue="1">
      <formula>"esterreur(reference)"</formula>
    </cfRule>
  </conditionalFormatting>
  <conditionalFormatting sqref="H449">
    <cfRule type="expression" dxfId="0" priority="38" stopIfTrue="1">
      <formula>"esterreur(reference)"</formula>
    </cfRule>
  </conditionalFormatting>
  <conditionalFormatting sqref="H452:H482">
    <cfRule type="expression" dxfId="0" priority="39" stopIfTrue="1">
      <formula>"esterreur(reference)"</formula>
    </cfRule>
  </conditionalFormatting>
  <conditionalFormatting sqref="H484">
    <cfRule type="expression" dxfId="0" priority="40" stopIfTrue="1">
      <formula>"esterreur(reference)"</formula>
    </cfRule>
  </conditionalFormatting>
  <conditionalFormatting sqref="H486:H487">
    <cfRule type="expression" dxfId="0" priority="41" stopIfTrue="1">
      <formula>"esterreur(reference)"</formula>
    </cfRule>
  </conditionalFormatting>
  <conditionalFormatting sqref="H433:I433 J433:J434 K433:L433">
    <cfRule type="expression" dxfId="0" priority="42" stopIfTrue="1">
      <formula>"esterreur(reference)"</formula>
    </cfRule>
  </conditionalFormatting>
  <conditionalFormatting sqref="H317:J317">
    <cfRule type="expression" dxfId="0" priority="43" stopIfTrue="1">
      <formula>"esterreur(reference)"</formula>
    </cfRule>
  </conditionalFormatting>
  <conditionalFormatting sqref="H439:J439">
    <cfRule type="expression" dxfId="0" priority="44" stopIfTrue="1">
      <formula>"esterreur(reference)"</formula>
    </cfRule>
  </conditionalFormatting>
  <conditionalFormatting sqref="H435:L436">
    <cfRule type="expression" dxfId="0" priority="45" stopIfTrue="1">
      <formula>"esterreur(reference)"</formula>
    </cfRule>
  </conditionalFormatting>
  <conditionalFormatting sqref="H447:L447 H450:L451">
    <cfRule type="expression" dxfId="0" priority="46" stopIfTrue="1">
      <formula>"esterreur(reference)"</formula>
    </cfRule>
  </conditionalFormatting>
  <conditionalFormatting sqref="H483:L483 H485:L485">
    <cfRule type="expression" dxfId="0" priority="47" stopIfTrue="1">
      <formula>"esterreur(reference)"</formula>
    </cfRule>
  </conditionalFormatting>
  <conditionalFormatting sqref="I16:I18 I20 I24:I30">
    <cfRule type="expression" dxfId="0" priority="48" stopIfTrue="1">
      <formula>"esterreur(reference)"</formula>
    </cfRule>
  </conditionalFormatting>
  <conditionalFormatting sqref="I109:I110">
    <cfRule type="expression" dxfId="0" priority="49" stopIfTrue="1">
      <formula>"esterreur(reference)"</formula>
    </cfRule>
  </conditionalFormatting>
  <conditionalFormatting sqref="I182:I183">
    <cfRule type="expression" dxfId="0" priority="50" stopIfTrue="1">
      <formula>"esterreur(reference)"</formula>
    </cfRule>
  </conditionalFormatting>
  <conditionalFormatting sqref="I268:I269">
    <cfRule type="expression" dxfId="0" priority="51" stopIfTrue="1">
      <formula>"esterreur(reference)"</formula>
    </cfRule>
  </conditionalFormatting>
  <conditionalFormatting sqref="I326:I327">
    <cfRule type="expression" dxfId="0" priority="52" stopIfTrue="1">
      <formula>"esterreur(reference)"</formula>
    </cfRule>
  </conditionalFormatting>
  <conditionalFormatting sqref="I390:I391">
    <cfRule type="expression" dxfId="0" priority="53" stopIfTrue="1">
      <formula>"esterreur(reference)"</formula>
    </cfRule>
  </conditionalFormatting>
  <conditionalFormatting sqref="I448:I449">
    <cfRule type="expression" dxfId="0" priority="54" stopIfTrue="1">
      <formula>"esterreur(reference)"</formula>
    </cfRule>
  </conditionalFormatting>
  <conditionalFormatting sqref="H84:L84 H86:L88 H90:I90 H97:I97 H98:L98 H102:H105 H107:H108 H165:L165 H167:K168 H170:I170 H238:L238 H240:K240 H241:L241 H243:I243 H245:I245 H247:I247 H250:J250 H253:L253 H256:I257 H259:I261 H263:J264 H266:J267 H270:L271 H306:L306 H308:L309 H311:I311 H313:I314 H328:L329 H364:L364 H366:L366 H368:I368 H370:I370 H380:I382 H385:I387 H389:I389 H392:L393 H428:L428 I13:J14 I102:L102 I106:L108 I111:L112 I248 I251:J251 I254:J254 J3 J18:J24 J25:L26 J27 J28:L30 J31:K36 J37 J38:K52 J83:K83 J90:J91 J103:L105 J109 J110:L110 J113:L122 J123:K133 J134:L135 J136:K136 J137:L153 J154:K154 J170:J171 J186:L195 J196:K206 J207:L208 J209:K209 J210:L226 J227:K227 J243:J245 J247:J248 J256:J261 J268 J269:K269 J272:K274 J275 J276:K303 J311:J314 J330:K361 J368:J369 J391:L391 J394:L405 J406:K425 J452:L463 K90:L90 K93:L95 K99:L101 K170:L170 K173:L179 K243:L243 K245:L247 K249:L250 K252:L252 K255:L256 K258 K259:L267 K311:L311 K313:L315 K317:L318 K368:L368 K370:L370 K371:K379 K380:L382 K383:K384 K385:L387 K388:M388 K389:L389 L96 L248 L251 L254 L257 L343:L360 O98:Q98 O102:Q108 O134:Q135 O137:Q153 O165:Q165 O207:Q208 O210:Q226 O238:Q238 P93:Q95 P99:Q101 P173:Q179 Q96">
    <cfRule type="expression" dxfId="0" priority="55" stopIfTrue="1">
      <formula>"esterreur(reference)"</formula>
    </cfRule>
  </conditionalFormatting>
  <conditionalFormatting sqref="J16 L16:L24">
    <cfRule type="expression" dxfId="0" priority="56" stopIfTrue="1">
      <formula>"esterreur(reference)"</formula>
    </cfRule>
  </conditionalFormatting>
  <conditionalFormatting sqref="J182 J183:L183">
    <cfRule type="expression" dxfId="0" priority="57" stopIfTrue="1">
      <formula>"esterreur(reference)"</formula>
    </cfRule>
  </conditionalFormatting>
  <conditionalFormatting sqref="J326 J327:K327">
    <cfRule type="expression" dxfId="0" priority="58" stopIfTrue="1">
      <formula>"esterreur(reference)"</formula>
    </cfRule>
  </conditionalFormatting>
  <conditionalFormatting sqref="J371:J390">
    <cfRule type="expression" dxfId="0" priority="59" stopIfTrue="1">
      <formula>"esterreur(reference)"</formula>
    </cfRule>
  </conditionalFormatting>
  <conditionalFormatting sqref="J448 J449:K449">
    <cfRule type="expression" dxfId="0" priority="60" stopIfTrue="1">
      <formula>"esterreur(reference)"</formula>
    </cfRule>
  </conditionalFormatting>
  <conditionalFormatting sqref="J54:K54">
    <cfRule type="expression" dxfId="0" priority="61" stopIfTrue="1">
      <formula>"esterreur(reference)"</formula>
    </cfRule>
  </conditionalFormatting>
  <conditionalFormatting sqref="J72:K72">
    <cfRule type="expression" dxfId="0" priority="62" stopIfTrue="1">
      <formula>"esterreur(reference)"</formula>
    </cfRule>
  </conditionalFormatting>
  <conditionalFormatting sqref="J74:K74">
    <cfRule type="expression" dxfId="0" priority="63" stopIfTrue="1">
      <formula>"esterreur(reference)"</formula>
    </cfRule>
  </conditionalFormatting>
  <conditionalFormatting sqref="J85:K85">
    <cfRule type="expression" dxfId="0" priority="64" stopIfTrue="1">
      <formula>"esterreur(reference)"</formula>
    </cfRule>
  </conditionalFormatting>
  <conditionalFormatting sqref="J156:K158">
    <cfRule type="expression" dxfId="0" priority="65" stopIfTrue="1">
      <formula>"esterreur(reference)"</formula>
    </cfRule>
  </conditionalFormatting>
  <conditionalFormatting sqref="J164:K164">
    <cfRule type="expression" dxfId="0" priority="66" stopIfTrue="1">
      <formula>"esterreur(reference)"</formula>
    </cfRule>
  </conditionalFormatting>
  <conditionalFormatting sqref="J166:K166">
    <cfRule type="expression" dxfId="0" priority="67" stopIfTrue="1">
      <formula>"esterreur(reference)"</formula>
    </cfRule>
  </conditionalFormatting>
  <conditionalFormatting sqref="J229:K231">
    <cfRule type="expression" dxfId="0" priority="68" stopIfTrue="1">
      <formula>"esterreur(reference)"</formula>
    </cfRule>
  </conditionalFormatting>
  <conditionalFormatting sqref="J237:K237">
    <cfRule type="expression" dxfId="0" priority="69" stopIfTrue="1">
      <formula>"esterreur(reference)"</formula>
    </cfRule>
  </conditionalFormatting>
  <conditionalFormatting sqref="J239:K239">
    <cfRule type="expression" dxfId="0" priority="70" stopIfTrue="1">
      <formula>"esterreur(reference)"</formula>
    </cfRule>
  </conditionalFormatting>
  <conditionalFormatting sqref="J305:K305">
    <cfRule type="expression" dxfId="0" priority="71" stopIfTrue="1">
      <formula>"esterreur(reference)"</formula>
    </cfRule>
  </conditionalFormatting>
  <conditionalFormatting sqref="J307:K307">
    <cfRule type="expression" dxfId="0" priority="72" stopIfTrue="1">
      <formula>"esterreur(reference)"</formula>
    </cfRule>
  </conditionalFormatting>
  <conditionalFormatting sqref="J363:K363">
    <cfRule type="expression" dxfId="0" priority="73" stopIfTrue="1">
      <formula>"esterreur(reference)"</formula>
    </cfRule>
  </conditionalFormatting>
  <conditionalFormatting sqref="J365:K365">
    <cfRule type="expression" dxfId="0" priority="74" stopIfTrue="1">
      <formula>"esterreur(reference)"</formula>
    </cfRule>
  </conditionalFormatting>
  <conditionalFormatting sqref="J427:K427">
    <cfRule type="expression" dxfId="0" priority="75" stopIfTrue="1">
      <formula>"esterreur(reference)"</formula>
    </cfRule>
  </conditionalFormatting>
  <conditionalFormatting sqref="J429:K431">
    <cfRule type="expression" dxfId="0" priority="76" stopIfTrue="1">
      <formula>"esterreur(reference)"</formula>
    </cfRule>
  </conditionalFormatting>
  <conditionalFormatting sqref="J464:K464">
    <cfRule type="expression" dxfId="0" priority="77" stopIfTrue="1">
      <formula>"esterreur(reference)"</formula>
    </cfRule>
  </conditionalFormatting>
  <conditionalFormatting sqref="J482:K482">
    <cfRule type="expression" dxfId="0" priority="78" stopIfTrue="1">
      <formula>"esterreur(reference)"</formula>
    </cfRule>
  </conditionalFormatting>
  <conditionalFormatting sqref="J484:K484">
    <cfRule type="expression" dxfId="0" priority="79" stopIfTrue="1">
      <formula>"esterreur(reference)"</formula>
    </cfRule>
  </conditionalFormatting>
  <conditionalFormatting sqref="J486:K487">
    <cfRule type="expression" dxfId="0" priority="80" stopIfTrue="1">
      <formula>"esterreur(reference)"</formula>
    </cfRule>
  </conditionalFormatting>
  <conditionalFormatting sqref="J53:L53 J55:L71">
    <cfRule type="expression" dxfId="0" priority="81" stopIfTrue="1">
      <formula>"esterreur(reference)"</formula>
    </cfRule>
  </conditionalFormatting>
  <conditionalFormatting sqref="J465:L481">
    <cfRule type="expression" dxfId="0" priority="82" stopIfTrue="1">
      <formula>"esterreur(reference)"</formula>
    </cfRule>
  </conditionalFormatting>
  <conditionalFormatting sqref="K5">
    <cfRule type="expression" dxfId="0" priority="83" stopIfTrue="1">
      <formula>"esterreur(reference)"</formula>
    </cfRule>
  </conditionalFormatting>
  <conditionalFormatting sqref="K321:L321">
    <cfRule type="expression" dxfId="0" priority="84" stopIfTrue="1">
      <formula>"esterreur(reference)"</formula>
    </cfRule>
  </conditionalFormatting>
  <conditionalFormatting sqref="K437:L437 K439:L440">
    <cfRule type="expression" dxfId="0" priority="85" stopIfTrue="1">
      <formula>"esterreur(reference)"</formula>
    </cfRule>
  </conditionalFormatting>
  <conditionalFormatting sqref="K443:L443">
    <cfRule type="expression" dxfId="0" priority="86" stopIfTrue="1">
      <formula>"esterreur(reference)"</formula>
    </cfRule>
  </conditionalFormatting>
  <conditionalFormatting sqref="L5:L14">
    <cfRule type="expression" dxfId="0" priority="87" stopIfTrue="1">
      <formula>"esterreur(reference)"</formula>
    </cfRule>
  </conditionalFormatting>
  <conditionalFormatting sqref="L75:L82">
    <cfRule type="expression" dxfId="0" priority="88" stopIfTrue="1">
      <formula>"esterreur(reference)"</formula>
    </cfRule>
  </conditionalFormatting>
  <conditionalFormatting sqref="L157:L163">
    <cfRule type="expression" dxfId="0" priority="89" stopIfTrue="1">
      <formula>"esterreur(reference)"</formula>
    </cfRule>
  </conditionalFormatting>
  <conditionalFormatting sqref="L230:L236">
    <cfRule type="expression" dxfId="0" priority="90" stopIfTrue="1">
      <formula>"esterreur(reference)"</formula>
    </cfRule>
  </conditionalFormatting>
  <conditionalFormatting sqref="L272:L283">
    <cfRule type="expression" dxfId="0" priority="91" stopIfTrue="1">
      <formula>"esterreur(reference)"</formula>
    </cfRule>
  </conditionalFormatting>
  <conditionalFormatting sqref="L285:L302">
    <cfRule type="expression" dxfId="0" priority="92" stopIfTrue="1">
      <formula>"esterreur(reference)"</formula>
    </cfRule>
  </conditionalFormatting>
  <conditionalFormatting sqref="L324">
    <cfRule type="expression" dxfId="0" priority="93" stopIfTrue="1">
      <formula>"esterreur(reference)"</formula>
    </cfRule>
  </conditionalFormatting>
  <conditionalFormatting sqref="L330:L341">
    <cfRule type="expression" dxfId="0" priority="94" stopIfTrue="1">
      <formula>"esterreur(reference)"</formula>
    </cfRule>
  </conditionalFormatting>
  <conditionalFormatting sqref="L422:L424">
    <cfRule type="expression" dxfId="0" priority="95" stopIfTrue="1">
      <formula>"esterreur(reference)"</formula>
    </cfRule>
  </conditionalFormatting>
  <conditionalFormatting sqref="M95:M97">
    <cfRule type="expression" dxfId="0" priority="96" stopIfTrue="1">
      <formula>"esterreur(reference)"</formula>
    </cfRule>
  </conditionalFormatting>
  <conditionalFormatting sqref="M177:M179">
    <cfRule type="expression" dxfId="0" priority="97" stopIfTrue="1">
      <formula>"esterreur(reference)"</formula>
    </cfRule>
  </conditionalFormatting>
  <conditionalFormatting sqref="N283">
    <cfRule type="expression" dxfId="0" priority="98" stopIfTrue="1">
      <formula>"esterreur(reference)"</formula>
    </cfRule>
  </conditionalFormatting>
  <conditionalFormatting sqref="N394:N404">
    <cfRule type="expression" dxfId="0" priority="99" stopIfTrue="1">
      <formula>"esterreur(reference)"</formula>
    </cfRule>
  </conditionalFormatting>
  <conditionalFormatting sqref="N271:Q271">
    <cfRule type="expression" dxfId="0" priority="100" stopIfTrue="1">
      <formula>"esterreur(reference)"</formula>
    </cfRule>
  </conditionalFormatting>
  <conditionalFormatting sqref="O16 Q16:Q24">
    <cfRule type="expression" dxfId="0" priority="101" stopIfTrue="1">
      <formula>"esterreur(reference)"</formula>
    </cfRule>
  </conditionalFormatting>
  <conditionalFormatting sqref="O109 O110:Q122">
    <cfRule type="expression" dxfId="0" priority="102" stopIfTrue="1">
      <formula>"esterreur(reference)"</formula>
    </cfRule>
  </conditionalFormatting>
  <conditionalFormatting sqref="O182 O183:Q195">
    <cfRule type="expression" dxfId="0" priority="103" stopIfTrue="1">
      <formula>"esterreur(reference)"</formula>
    </cfRule>
  </conditionalFormatting>
  <conditionalFormatting sqref="O245 O247:O248 O250:O251 O253:Q253 O254 O256:O261 O263:O264 O270:Q270 O272:P274 O275 O306:Q306 P245:Q247 P249:Q250 P252:Q252 P255:Q256 P258:P259 P260:Q267 Q248 Q251 Q254 Q257">
    <cfRule type="expression" dxfId="0" priority="104" stopIfTrue="1">
      <formula>"esterreur(reference)"</formula>
    </cfRule>
  </conditionalFormatting>
  <conditionalFormatting sqref="O266:O268 O269:P269">
    <cfRule type="expression" dxfId="0" priority="105" stopIfTrue="1">
      <formula>"esterreur(reference)"</formula>
    </cfRule>
  </conditionalFormatting>
  <conditionalFormatting sqref="O317">
    <cfRule type="expression" dxfId="0" priority="106" stopIfTrue="1">
      <formula>"esterreur(reference)"</formula>
    </cfRule>
  </conditionalFormatting>
  <conditionalFormatting sqref="O326 O327:P327">
    <cfRule type="expression" dxfId="0" priority="107" stopIfTrue="1">
      <formula>"esterreur(reference)"</formula>
    </cfRule>
  </conditionalFormatting>
  <conditionalFormatting sqref="O390 O391:P391">
    <cfRule type="expression" dxfId="0" priority="108" stopIfTrue="1">
      <formula>"esterreur(reference)"</formula>
    </cfRule>
  </conditionalFormatting>
  <conditionalFormatting sqref="O439">
    <cfRule type="expression" dxfId="0" priority="109" stopIfTrue="1">
      <formula>"esterreur(reference)"</formula>
    </cfRule>
  </conditionalFormatting>
  <conditionalFormatting sqref="O448 O449:P449">
    <cfRule type="expression" dxfId="0" priority="110" stopIfTrue="1">
      <formula>"esterreur(reference)"</formula>
    </cfRule>
  </conditionalFormatting>
  <conditionalFormatting sqref="O54:P54">
    <cfRule type="expression" dxfId="0" priority="111" stopIfTrue="1">
      <formula>"esterreur(reference)"</formula>
    </cfRule>
  </conditionalFormatting>
  <conditionalFormatting sqref="O72:P72">
    <cfRule type="expression" dxfId="0" priority="112" stopIfTrue="1">
      <formula>"esterreur(reference)"</formula>
    </cfRule>
  </conditionalFormatting>
  <conditionalFormatting sqref="O74:P74">
    <cfRule type="expression" dxfId="0" priority="113" stopIfTrue="1">
      <formula>"esterreur(reference)"</formula>
    </cfRule>
  </conditionalFormatting>
  <conditionalFormatting sqref="O85:P85">
    <cfRule type="expression" dxfId="0" priority="114" stopIfTrue="1">
      <formula>"esterreur(reference)"</formula>
    </cfRule>
  </conditionalFormatting>
  <conditionalFormatting sqref="O123:P133">
    <cfRule type="expression" dxfId="0" priority="115" stopIfTrue="1">
      <formula>"esterreur(reference)"</formula>
    </cfRule>
  </conditionalFormatting>
  <conditionalFormatting sqref="O136:P136">
    <cfRule type="expression" dxfId="0" priority="116" stopIfTrue="1">
      <formula>"esterreur(reference)"</formula>
    </cfRule>
  </conditionalFormatting>
  <conditionalFormatting sqref="O154:P154">
    <cfRule type="expression" dxfId="0" priority="117" stopIfTrue="1">
      <formula>"esterreur(reference)"</formula>
    </cfRule>
  </conditionalFormatting>
  <conditionalFormatting sqref="O156:P158">
    <cfRule type="expression" dxfId="0" priority="118" stopIfTrue="1">
      <formula>"esterreur(reference)"</formula>
    </cfRule>
  </conditionalFormatting>
  <conditionalFormatting sqref="O164:P164">
    <cfRule type="expression" dxfId="0" priority="119" stopIfTrue="1">
      <formula>"esterreur(reference)"</formula>
    </cfRule>
  </conditionalFormatting>
  <conditionalFormatting sqref="O166:P166">
    <cfRule type="expression" dxfId="0" priority="120" stopIfTrue="1">
      <formula>"esterreur(reference)"</formula>
    </cfRule>
  </conditionalFormatting>
  <conditionalFormatting sqref="O196:P206">
    <cfRule type="expression" dxfId="0" priority="121" stopIfTrue="1">
      <formula>"esterreur(reference)"</formula>
    </cfRule>
  </conditionalFormatting>
  <conditionalFormatting sqref="O209:P209">
    <cfRule type="expression" dxfId="0" priority="122" stopIfTrue="1">
      <formula>"esterreur(reference)"</formula>
    </cfRule>
  </conditionalFormatting>
  <conditionalFormatting sqref="O227:P227">
    <cfRule type="expression" dxfId="0" priority="123" stopIfTrue="1">
      <formula>"esterreur(reference)"</formula>
    </cfRule>
  </conditionalFormatting>
  <conditionalFormatting sqref="O229:P231">
    <cfRule type="expression" dxfId="0" priority="124" stopIfTrue="1">
      <formula>"esterreur(reference)"</formula>
    </cfRule>
  </conditionalFormatting>
  <conditionalFormatting sqref="O237:P237">
    <cfRule type="expression" dxfId="0" priority="125" stopIfTrue="1">
      <formula>"esterreur(reference)"</formula>
    </cfRule>
  </conditionalFormatting>
  <conditionalFormatting sqref="O239:P239">
    <cfRule type="expression" dxfId="0" priority="126" stopIfTrue="1">
      <formula>"esterreur(reference)"</formula>
    </cfRule>
  </conditionalFormatting>
  <conditionalFormatting sqref="O276:P303">
    <cfRule type="expression" dxfId="0" priority="127" stopIfTrue="1">
      <formula>"esterreur(reference)"</formula>
    </cfRule>
  </conditionalFormatting>
  <conditionalFormatting sqref="O305:P305">
    <cfRule type="expression" dxfId="0" priority="128" stopIfTrue="1">
      <formula>"esterreur(reference)"</formula>
    </cfRule>
  </conditionalFormatting>
  <conditionalFormatting sqref="O307:P307">
    <cfRule type="expression" dxfId="0" priority="129" stopIfTrue="1">
      <formula>"esterreur(reference)"</formula>
    </cfRule>
  </conditionalFormatting>
  <conditionalFormatting sqref="O330:P342">
    <cfRule type="expression" dxfId="0" priority="130" stopIfTrue="1">
      <formula>"esterreur(reference)"</formula>
    </cfRule>
  </conditionalFormatting>
  <conditionalFormatting sqref="O361:P361">
    <cfRule type="expression" dxfId="0" priority="131" stopIfTrue="1">
      <formula>"esterreur(reference)"</formula>
    </cfRule>
  </conditionalFormatting>
  <conditionalFormatting sqref="O363:P363">
    <cfRule type="expression" dxfId="0" priority="132" stopIfTrue="1">
      <formula>"esterreur(reference)"</formula>
    </cfRule>
  </conditionalFormatting>
  <conditionalFormatting sqref="O365:P365">
    <cfRule type="expression" dxfId="0" priority="133" stopIfTrue="1">
      <formula>"esterreur(reference)"</formula>
    </cfRule>
  </conditionalFormatting>
  <conditionalFormatting sqref="O371:P379 O380:Q382 O383:P384 O385:Q389 O392:Q405 O428:Q428">
    <cfRule type="expression" dxfId="0" priority="134" stopIfTrue="1">
      <formula>"esterreur(reference)"</formula>
    </cfRule>
  </conditionalFormatting>
  <conditionalFormatting sqref="O406:P425">
    <cfRule type="expression" dxfId="0" priority="135" stopIfTrue="1">
      <formula>"esterreur(reference)"</formula>
    </cfRule>
  </conditionalFormatting>
  <conditionalFormatting sqref="O427:P427">
    <cfRule type="expression" dxfId="0" priority="136" stopIfTrue="1">
      <formula>"esterreur(reference)"</formula>
    </cfRule>
  </conditionalFormatting>
  <conditionalFormatting sqref="O429:P429">
    <cfRule type="expression" dxfId="0" priority="137" stopIfTrue="1">
      <formula>"esterreur(reference)"</formula>
    </cfRule>
  </conditionalFormatting>
  <conditionalFormatting sqref="O464:P464">
    <cfRule type="expression" dxfId="0" priority="138" stopIfTrue="1">
      <formula>"esterreur(reference)"</formula>
    </cfRule>
  </conditionalFormatting>
  <conditionalFormatting sqref="O482:P482">
    <cfRule type="expression" dxfId="0" priority="139" stopIfTrue="1">
      <formula>"esterreur(reference)"</formula>
    </cfRule>
  </conditionalFormatting>
  <conditionalFormatting sqref="O484:P484">
    <cfRule type="expression" dxfId="0" priority="140" stopIfTrue="1">
      <formula>"esterreur(reference)"</formula>
    </cfRule>
  </conditionalFormatting>
  <conditionalFormatting sqref="O486:P486">
    <cfRule type="expression" dxfId="0" priority="141" stopIfTrue="1">
      <formula>"esterreur(reference)"</formula>
    </cfRule>
  </conditionalFormatting>
  <conditionalFormatting sqref="O53:Q53 O55:Q71">
    <cfRule type="expression" dxfId="0" priority="142" stopIfTrue="1">
      <formula>"esterreur(reference)"</formula>
    </cfRule>
  </conditionalFormatting>
  <conditionalFormatting sqref="O180:Q181">
    <cfRule type="expression" dxfId="0" priority="143" stopIfTrue="1">
      <formula>"esterreur(reference)"</formula>
    </cfRule>
  </conditionalFormatting>
  <conditionalFormatting sqref="O436:Q436">
    <cfRule type="expression" dxfId="0" priority="144" stopIfTrue="1">
      <formula>"esterreur(reference)"</formula>
    </cfRule>
  </conditionalFormatting>
  <conditionalFormatting sqref="O447:Q447 O450:Q463 O465:Q481">
    <cfRule type="expression" dxfId="0" priority="145" stopIfTrue="1">
      <formula>"esterreur(reference)"</formula>
    </cfRule>
  </conditionalFormatting>
  <conditionalFormatting sqref="O483:Q483 O485:Q485">
    <cfRule type="expression" dxfId="0" priority="146" stopIfTrue="1">
      <formula>"esterreur(reference)"</formula>
    </cfRule>
  </conditionalFormatting>
  <conditionalFormatting sqref="P5:Q5">
    <cfRule type="expression" dxfId="0" priority="147" stopIfTrue="1">
      <formula>"esterreur(reference)"</formula>
    </cfRule>
  </conditionalFormatting>
  <conditionalFormatting sqref="O328:Q329 O343:Q360 O364:Q364 P315:Q315 P317:Q318">
    <cfRule type="expression" dxfId="0" priority="148" stopIfTrue="1">
      <formula>"esterreur(reference)"</formula>
    </cfRule>
  </conditionalFormatting>
  <conditionalFormatting sqref="P321:Q321">
    <cfRule type="expression" dxfId="0" priority="149" stopIfTrue="1">
      <formula>"esterreur(reference)"</formula>
    </cfRule>
  </conditionalFormatting>
  <conditionalFormatting sqref="P437:Q437 P439:Q440">
    <cfRule type="expression" dxfId="0" priority="150" stopIfTrue="1">
      <formula>"esterreur(reference)"</formula>
    </cfRule>
  </conditionalFormatting>
  <conditionalFormatting sqref="P443:Q443">
    <cfRule type="expression" dxfId="0" priority="151" stopIfTrue="1">
      <formula>"esterreur(reference)"</formula>
    </cfRule>
  </conditionalFormatting>
  <conditionalFormatting sqref="O13:O14 O18:O24 O25:Q26 O27 O28:Q30 O31:P36 O37 O38:P52 O83:P83 O84:Q84 Q6:Q14">
    <cfRule type="expression" dxfId="0" priority="152" stopIfTrue="1">
      <formula>"esterreur(reference)"</formula>
    </cfRule>
  </conditionalFormatting>
  <conditionalFormatting sqref="Q75:Q82">
    <cfRule type="expression" dxfId="0" priority="153" stopIfTrue="1">
      <formula>"esterreur(reference)"</formula>
    </cfRule>
  </conditionalFormatting>
  <conditionalFormatting sqref="Q157:Q163">
    <cfRule type="expression" dxfId="0" priority="154" stopIfTrue="1">
      <formula>"esterreur(reference)"</formula>
    </cfRule>
  </conditionalFormatting>
  <conditionalFormatting sqref="Q230:Q236">
    <cfRule type="expression" dxfId="0" priority="155" stopIfTrue="1">
      <formula>"esterreur(reference)"</formula>
    </cfRule>
  </conditionalFormatting>
  <conditionalFormatting sqref="Q259">
    <cfRule type="expression" dxfId="0" priority="156" stopIfTrue="1">
      <formula>"esterreur(reference)"</formula>
    </cfRule>
  </conditionalFormatting>
  <conditionalFormatting sqref="Q272:Q283">
    <cfRule type="expression" dxfId="0" priority="157" stopIfTrue="1">
      <formula>"esterreur(reference)"</formula>
    </cfRule>
  </conditionalFormatting>
  <conditionalFormatting sqref="Q285:Q302">
    <cfRule type="expression" dxfId="0" priority="158" stopIfTrue="1">
      <formula>"esterreur(reference)"</formula>
    </cfRule>
  </conditionalFormatting>
  <conditionalFormatting sqref="Q324">
    <cfRule type="expression" dxfId="0" priority="159" stopIfTrue="1">
      <formula>"esterreur(reference)"</formula>
    </cfRule>
  </conditionalFormatting>
  <conditionalFormatting sqref="Q330:Q341">
    <cfRule type="expression" dxfId="0" priority="160" stopIfTrue="1">
      <formula>"esterreur(reference)"</formula>
    </cfRule>
  </conditionalFormatting>
  <conditionalFormatting sqref="Q422:Q424">
    <cfRule type="expression" dxfId="0" priority="161" stopIfTrue="1">
      <formula>"esterreur(reference)"</formula>
    </cfRule>
  </conditionalFormatting>
  <conditionalFormatting sqref="R388">
    <cfRule type="expression" dxfId="0" priority="162" stopIfTrue="1">
      <formula>"esterreur(reference)"</formula>
    </cfRule>
  </conditionalFormatting>
  <conditionalFormatting sqref="S260">
    <cfRule type="expression" dxfId="0" priority="163" stopIfTrue="1">
      <formula>"esterreur(reference)"</formula>
    </cfRule>
  </conditionalFormatting>
  <conditionalFormatting sqref="AG496:AI505 AH507:AI519 AH521:AI538 AH540:AI547 AH548:AH549 AH550:AI552 AH554:AI554 AH578:AI584">
    <cfRule type="cellIs" dxfId="1" priority="164" operator="greaterThan">
      <formula>0</formula>
    </cfRule>
  </conditionalFormatting>
  <conditionalFormatting sqref="AH556:AI563 AH567:AI567">
    <cfRule type="cellIs" dxfId="1" priority="165" operator="lessThan">
      <formula>0</formula>
    </cfRule>
  </conditionalFormatting>
  <conditionalFormatting sqref="AH564:AI566">
    <cfRule type="cellIs" dxfId="1" priority="166" operator="greaterThan">
      <formula>0</formula>
    </cfRule>
  </conditionalFormatting>
  <conditionalFormatting sqref="AO496:AO505">
    <cfRule type="cellIs" dxfId="1" priority="167" operator="greaterThan">
      <formula>0</formula>
    </cfRule>
  </conditionalFormatting>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sheetViews>
  <sheetFormatPr customHeight="1" defaultColWidth="12.63" defaultRowHeight="15.0"/>
  <cols>
    <col customWidth="1" min="1" max="1" width="10.63"/>
    <col customWidth="1" hidden="1" min="2" max="2" width="15.25"/>
    <col customWidth="1" min="3" max="3" width="36.0"/>
    <col customWidth="1" hidden="1" min="4" max="5" width="10.63"/>
    <col customWidth="1" hidden="1" min="6" max="6" width="12.75"/>
    <col customWidth="1" hidden="1" min="7" max="7" width="12.25"/>
    <col customWidth="1" hidden="1" min="8" max="11" width="10.63"/>
    <col customWidth="1" min="12" max="12" width="11.25"/>
    <col customWidth="1" min="13" max="13" width="11.88"/>
    <col customWidth="1" min="14" max="14" width="12.75"/>
    <col customWidth="1" min="15" max="15" width="13.25"/>
    <col customWidth="1" hidden="1" min="16" max="16" width="10.63"/>
    <col customWidth="1" hidden="1" min="17" max="17" width="13.5"/>
    <col customWidth="1" min="18" max="18" width="10.63"/>
    <col customWidth="1" min="19" max="19" width="11.25"/>
    <col customWidth="1" min="20" max="20" width="12.75"/>
    <col customWidth="1" min="21" max="21" width="12.25"/>
    <col customWidth="1" min="22" max="22" width="13.38"/>
    <col customWidth="1" min="23" max="23" width="14.13"/>
    <col customWidth="1" min="24" max="24" width="10.63"/>
    <col customWidth="1" min="25" max="26" width="11.25"/>
    <col customWidth="1" min="27" max="44" width="10.63"/>
  </cols>
  <sheetData>
    <row r="1" ht="33.0" customHeight="1">
      <c r="B1" s="48"/>
      <c r="C1" s="450" t="str">
        <f>Print_Mois!C1</f>
        <v>Ste-Marie Auto</v>
      </c>
      <c r="D1" s="451"/>
      <c r="E1" s="452"/>
      <c r="F1" s="452"/>
      <c r="G1" s="451"/>
      <c r="H1" s="451"/>
      <c r="I1" s="450"/>
      <c r="J1" s="450"/>
      <c r="K1" s="451"/>
      <c r="L1" s="450"/>
      <c r="M1" s="453" t="s">
        <v>174</v>
      </c>
      <c r="N1" s="453"/>
      <c r="O1" s="451"/>
      <c r="P1" s="451"/>
      <c r="Q1" s="454"/>
      <c r="R1" s="450"/>
      <c r="S1" s="451"/>
      <c r="T1" s="451"/>
      <c r="U1" s="450"/>
      <c r="V1" s="451"/>
      <c r="W1" s="455" t="str">
        <f>Print_Mois!S1</f>
        <v>Réalisé, Septembre 2026</v>
      </c>
      <c r="X1" s="796"/>
      <c r="Y1" s="741"/>
      <c r="Z1" s="741"/>
      <c r="AA1" s="40"/>
      <c r="AB1" s="40"/>
      <c r="AC1" s="40"/>
      <c r="AD1" s="40"/>
      <c r="AE1" s="40"/>
      <c r="AF1" s="40"/>
      <c r="AG1" s="40"/>
      <c r="AH1" s="40"/>
      <c r="AI1" s="40"/>
      <c r="AJ1" s="40"/>
      <c r="AK1" s="40"/>
      <c r="AL1" s="40"/>
      <c r="AM1" s="40"/>
      <c r="AN1" s="40"/>
      <c r="AO1" s="40"/>
      <c r="AP1" s="40"/>
      <c r="AQ1" s="40"/>
      <c r="AR1" s="40"/>
    </row>
    <row r="2" ht="24.0" customHeight="1">
      <c r="A2" s="700"/>
      <c r="B2" s="700"/>
      <c r="C2" s="804"/>
      <c r="D2" s="700"/>
      <c r="E2" s="700"/>
      <c r="F2" s="700"/>
      <c r="G2" s="700"/>
      <c r="H2" s="700"/>
      <c r="I2" s="700"/>
      <c r="J2" s="700"/>
      <c r="K2" s="700"/>
      <c r="L2" s="700"/>
      <c r="M2" s="700"/>
      <c r="N2" s="700"/>
      <c r="O2" s="700"/>
      <c r="P2" s="700"/>
      <c r="Q2" s="700"/>
      <c r="R2" s="700"/>
      <c r="S2" s="700"/>
      <c r="T2" s="700"/>
      <c r="U2" s="700"/>
      <c r="V2" s="700"/>
      <c r="W2" s="700"/>
      <c r="X2" s="700"/>
      <c r="Y2" s="700"/>
      <c r="Z2" s="700"/>
      <c r="AA2" s="741"/>
      <c r="AB2" s="741"/>
      <c r="AC2" s="741"/>
      <c r="AD2" s="741"/>
      <c r="AE2" s="741"/>
      <c r="AF2" s="741"/>
      <c r="AG2" s="741"/>
      <c r="AH2" s="741"/>
      <c r="AI2" s="741"/>
      <c r="AJ2" s="741"/>
      <c r="AK2" s="741"/>
      <c r="AL2" s="741"/>
      <c r="AM2" s="741"/>
      <c r="AN2" s="741"/>
      <c r="AO2" s="741"/>
      <c r="AP2" s="741"/>
      <c r="AQ2" s="741"/>
      <c r="AR2" s="741"/>
    </row>
    <row r="3" ht="18.0" customHeight="1">
      <c r="A3" s="700"/>
      <c r="B3" s="700"/>
      <c r="C3" s="805"/>
      <c r="D3" s="806" t="s">
        <v>774</v>
      </c>
      <c r="E3" s="44"/>
      <c r="F3" s="44"/>
      <c r="G3" s="45"/>
      <c r="H3" s="807"/>
      <c r="I3" s="44"/>
      <c r="J3" s="44"/>
      <c r="K3" s="45"/>
      <c r="L3" s="807" t="s">
        <v>775</v>
      </c>
      <c r="M3" s="44"/>
      <c r="N3" s="44"/>
      <c r="O3" s="45"/>
      <c r="P3" s="807" t="s">
        <v>776</v>
      </c>
      <c r="Q3" s="45"/>
      <c r="R3" s="806" t="s">
        <v>777</v>
      </c>
      <c r="S3" s="44"/>
      <c r="T3" s="44"/>
      <c r="U3" s="45"/>
      <c r="V3" s="807" t="s">
        <v>778</v>
      </c>
      <c r="W3" s="45"/>
      <c r="X3" s="808"/>
      <c r="Y3" s="700"/>
      <c r="Z3" s="700"/>
      <c r="AA3" s="700"/>
      <c r="AB3" s="700"/>
      <c r="AC3" s="700"/>
      <c r="AD3" s="700"/>
      <c r="AE3" s="700"/>
      <c r="AF3" s="700"/>
      <c r="AG3" s="700"/>
      <c r="AH3" s="700"/>
      <c r="AI3" s="700"/>
      <c r="AJ3" s="700"/>
      <c r="AK3" s="700"/>
      <c r="AL3" s="700"/>
      <c r="AM3" s="700"/>
      <c r="AN3" s="700"/>
      <c r="AO3" s="700"/>
      <c r="AP3" s="700"/>
      <c r="AQ3" s="700"/>
      <c r="AR3" s="700"/>
    </row>
    <row r="4" ht="15.75" customHeight="1">
      <c r="A4" s="700"/>
      <c r="B4" s="700"/>
      <c r="C4" s="559"/>
      <c r="D4" s="809" t="s">
        <v>221</v>
      </c>
      <c r="E4" s="809" t="s">
        <v>222</v>
      </c>
      <c r="F4" s="809" t="s">
        <v>223</v>
      </c>
      <c r="G4" s="810" t="s">
        <v>95</v>
      </c>
      <c r="H4" s="811"/>
      <c r="I4" s="809"/>
      <c r="J4" s="809"/>
      <c r="K4" s="810"/>
      <c r="L4" s="811" t="s">
        <v>221</v>
      </c>
      <c r="M4" s="809" t="s">
        <v>222</v>
      </c>
      <c r="N4" s="809" t="s">
        <v>223</v>
      </c>
      <c r="O4" s="810" t="s">
        <v>95</v>
      </c>
      <c r="P4" s="811" t="s">
        <v>221</v>
      </c>
      <c r="Q4" s="810" t="s">
        <v>908</v>
      </c>
      <c r="R4" s="809" t="s">
        <v>221</v>
      </c>
      <c r="S4" s="809" t="s">
        <v>222</v>
      </c>
      <c r="T4" s="809" t="s">
        <v>223</v>
      </c>
      <c r="U4" s="810" t="s">
        <v>95</v>
      </c>
      <c r="V4" s="811" t="s">
        <v>909</v>
      </c>
      <c r="W4" s="810" t="s">
        <v>95</v>
      </c>
      <c r="X4" s="809"/>
      <c r="Y4" s="700"/>
      <c r="Z4" s="700"/>
      <c r="AA4" s="700"/>
      <c r="AB4" s="700"/>
      <c r="AC4" s="700"/>
      <c r="AD4" s="700"/>
      <c r="AE4" s="700"/>
      <c r="AF4" s="700"/>
      <c r="AG4" s="700"/>
      <c r="AH4" s="700"/>
      <c r="AI4" s="700"/>
      <c r="AJ4" s="700"/>
      <c r="AK4" s="700"/>
      <c r="AL4" s="700"/>
      <c r="AM4" s="700"/>
      <c r="AN4" s="700"/>
      <c r="AO4" s="700"/>
      <c r="AP4" s="700"/>
      <c r="AQ4" s="700"/>
      <c r="AR4" s="700"/>
    </row>
    <row r="5" ht="15.75" customHeight="1">
      <c r="A5" s="700"/>
      <c r="B5" s="700"/>
      <c r="C5" s="559"/>
      <c r="D5" s="809"/>
      <c r="E5" s="809"/>
      <c r="F5" s="812"/>
      <c r="G5" s="810"/>
      <c r="H5" s="811"/>
      <c r="I5" s="809"/>
      <c r="J5" s="809"/>
      <c r="K5" s="810"/>
      <c r="L5" s="811"/>
      <c r="M5" s="813"/>
      <c r="N5" s="813"/>
      <c r="O5" s="814"/>
      <c r="P5" s="811"/>
      <c r="Q5" s="810"/>
      <c r="R5" s="809"/>
      <c r="S5" s="815"/>
      <c r="T5" s="809"/>
      <c r="U5" s="816"/>
      <c r="V5" s="811"/>
      <c r="W5" s="816"/>
      <c r="X5" s="809"/>
      <c r="Y5" s="700"/>
      <c r="Z5" s="700"/>
      <c r="AA5" s="700"/>
      <c r="AB5" s="700"/>
      <c r="AC5" s="700"/>
      <c r="AD5" s="700"/>
      <c r="AE5" s="700"/>
      <c r="AF5" s="700"/>
      <c r="AG5" s="700"/>
      <c r="AH5" s="700"/>
      <c r="AI5" s="700"/>
      <c r="AJ5" s="700"/>
      <c r="AK5" s="700"/>
      <c r="AL5" s="700"/>
      <c r="AM5" s="700"/>
      <c r="AN5" s="700"/>
      <c r="AO5" s="700"/>
      <c r="AP5" s="700"/>
      <c r="AQ5" s="700"/>
      <c r="AR5" s="700"/>
    </row>
    <row r="6" ht="15.75" customHeight="1">
      <c r="A6" s="700"/>
      <c r="B6" s="700"/>
      <c r="C6" s="559" t="s">
        <v>1120</v>
      </c>
      <c r="D6" s="809"/>
      <c r="E6" s="809"/>
      <c r="F6" s="812"/>
      <c r="G6" s="809"/>
      <c r="H6" s="811"/>
      <c r="I6" s="809"/>
      <c r="J6" s="809"/>
      <c r="K6" s="809"/>
      <c r="L6" s="811">
        <f>SUMIFS(BV_Data_An_Cour!$AW:$AW,BV_Data_An_Cour!$AO:$AO,$Y6)</f>
        <v>48</v>
      </c>
      <c r="M6" s="703">
        <f>-SUMIFS(BV_Data_An_Cour!$AM:$AM,BV_Data_An_Cour!$AO:$AO,$Y6)</f>
        <v>41634.11</v>
      </c>
      <c r="N6" s="704">
        <f t="shared" ref="N6:N14" si="1">IFERROR(O6/M6,0)</f>
        <v>0.7041161682</v>
      </c>
      <c r="O6" s="814">
        <f>-SUMIFS(BV_Data_An_Cour!$AM:$AM,BV_Data_An_Cour!$AO:$AO,$Y6)-SUMIFS(BV_Data_An_Cour!$AM:$AM,BV_Data_An_Cour!$AO:$AO,$Z6)</f>
        <v>29315.25</v>
      </c>
      <c r="P6" s="817">
        <f t="shared" ref="P6:P14" si="2">IFERROR((M6-E6)/E6,0)</f>
        <v>0</v>
      </c>
      <c r="Q6" s="814">
        <f t="shared" ref="Q6:Q14" si="3">O6-G6</f>
        <v>29315.25</v>
      </c>
      <c r="R6" s="811">
        <f>SUMIFS(BV_Data_An_Prec!$AW:$AW,BV_Data_An_Prec!$AO:$AO,$Y6)</f>
        <v>43</v>
      </c>
      <c r="S6" s="703">
        <f>-SUMIFS(BV_Data_An_Prec!$AM:$AM,BV_Data_An_Prec!$AO:$AO,$Y6)</f>
        <v>54442.4</v>
      </c>
      <c r="T6" s="704">
        <f t="shared" ref="T6:T14" si="4">IFERROR(U6/S6,0)</f>
        <v>0.6167211585</v>
      </c>
      <c r="U6" s="814">
        <f>-SUMIFS(BV_Data_An_Prec!$AM:$AM,BV_Data_An_Prec!$AO:$AO,$Y6)-SUMIFS(BV_Data_An_Prec!$AM:$AM,BV_Data_An_Prec!$AO:$AO,$Z6)</f>
        <v>33575.78</v>
      </c>
      <c r="V6" s="817">
        <f t="shared" ref="V6:V14" si="5">IF(R6=0,0,L6/R6)</f>
        <v>1.11627907</v>
      </c>
      <c r="W6" s="814">
        <f t="shared" ref="W6:W13" si="6">O6-U6</f>
        <v>-4260.53</v>
      </c>
      <c r="X6" s="809"/>
      <c r="Y6" s="700" t="s">
        <v>1121</v>
      </c>
      <c r="Z6" s="700" t="s">
        <v>1122</v>
      </c>
      <c r="AA6" s="700"/>
      <c r="AB6" s="700"/>
      <c r="AC6" s="700"/>
      <c r="AD6" s="700"/>
      <c r="AE6" s="700"/>
      <c r="AF6" s="700"/>
      <c r="AG6" s="700"/>
      <c r="AH6" s="700"/>
      <c r="AI6" s="700"/>
      <c r="AJ6" s="700"/>
      <c r="AK6" s="700"/>
      <c r="AL6" s="700"/>
      <c r="AM6" s="700"/>
      <c r="AN6" s="700"/>
      <c r="AO6" s="700"/>
      <c r="AP6" s="700"/>
      <c r="AQ6" s="700"/>
      <c r="AR6" s="700"/>
    </row>
    <row r="7" ht="15.75" customHeight="1">
      <c r="A7" s="700"/>
      <c r="B7" s="700"/>
      <c r="C7" s="559" t="s">
        <v>1123</v>
      </c>
      <c r="D7" s="809"/>
      <c r="E7" s="809"/>
      <c r="F7" s="812"/>
      <c r="G7" s="809"/>
      <c r="H7" s="811"/>
      <c r="I7" s="809"/>
      <c r="J7" s="809"/>
      <c r="K7" s="809"/>
      <c r="L7" s="811">
        <f>SUMIFS(BV_Data_An_Cour!$AW:$AW,BV_Data_An_Cour!$AO:$AO,$Y7)</f>
        <v>35</v>
      </c>
      <c r="M7" s="703">
        <f>-SUMIFS(BV_Data_An_Cour!$AM:$AM,BV_Data_An_Cour!$AO:$AO,$Y7)</f>
        <v>20483.9</v>
      </c>
      <c r="N7" s="704">
        <f t="shared" si="1"/>
        <v>0.8611021339</v>
      </c>
      <c r="O7" s="814">
        <f>-SUMIFS(BV_Data_An_Cour!$AM:$AM,BV_Data_An_Cour!$AO:$AO,$Y7)-SUMIFS(BV_Data_An_Cour!$AM:$AM,BV_Data_An_Cour!$AO:$AO,$Z7)</f>
        <v>17638.73</v>
      </c>
      <c r="P7" s="817">
        <f t="shared" si="2"/>
        <v>0</v>
      </c>
      <c r="Q7" s="814">
        <f t="shared" si="3"/>
        <v>17638.73</v>
      </c>
      <c r="R7" s="809">
        <f>SUMIFS(BV_Data_An_Prec!$AW:$AW,BV_Data_An_Prec!$AO:$AO,$Y7)</f>
        <v>0</v>
      </c>
      <c r="S7" s="815">
        <f>-SUMIFS(BV_Data_An_Prec!$AM:$AM,BV_Data_An_Prec!$AO:$AO,$Y7)</f>
        <v>0</v>
      </c>
      <c r="T7" s="704">
        <f t="shared" si="4"/>
        <v>0</v>
      </c>
      <c r="U7" s="816">
        <f>-SUMIFS(BV_Data_An_Prec!$AM:$AM,BV_Data_An_Prec!$AO:$AO,$Y7)-SUMIFS(BV_Data_An_Prec!$AM:$AM,BV_Data_An_Prec!$AO:$AO,$Z7)</f>
        <v>0</v>
      </c>
      <c r="V7" s="817">
        <f t="shared" si="5"/>
        <v>0</v>
      </c>
      <c r="W7" s="814">
        <f t="shared" si="6"/>
        <v>17638.73</v>
      </c>
      <c r="X7" s="809"/>
      <c r="Y7" s="700" t="s">
        <v>1124</v>
      </c>
      <c r="Z7" s="700" t="s">
        <v>1125</v>
      </c>
      <c r="AA7" s="700"/>
      <c r="AB7" s="700"/>
      <c r="AC7" s="700"/>
      <c r="AD7" s="700"/>
      <c r="AE7" s="700"/>
      <c r="AF7" s="700"/>
      <c r="AG7" s="700"/>
      <c r="AH7" s="700"/>
      <c r="AI7" s="700"/>
      <c r="AJ7" s="700"/>
      <c r="AK7" s="700"/>
      <c r="AL7" s="700"/>
      <c r="AM7" s="700"/>
      <c r="AN7" s="700"/>
      <c r="AO7" s="700"/>
      <c r="AP7" s="700"/>
      <c r="AQ7" s="700"/>
      <c r="AR7" s="700"/>
    </row>
    <row r="8" ht="15.75" customHeight="1">
      <c r="A8" s="700"/>
      <c r="B8" s="700"/>
      <c r="C8" s="559" t="s">
        <v>1126</v>
      </c>
      <c r="D8" s="809"/>
      <c r="E8" s="809"/>
      <c r="F8" s="812"/>
      <c r="G8" s="809"/>
      <c r="H8" s="811"/>
      <c r="I8" s="809"/>
      <c r="J8" s="809"/>
      <c r="K8" s="809"/>
      <c r="L8" s="811">
        <f>SUMIFS(BV_Data_An_Cour!$AW:$AW,BV_Data_An_Cour!$AO:$AO,$Y8)</f>
        <v>8</v>
      </c>
      <c r="M8" s="703">
        <f>-SUMIFS(BV_Data_An_Cour!$AM:$AM,BV_Data_An_Cour!$AO:$AO,$Y8)</f>
        <v>1249.06</v>
      </c>
      <c r="N8" s="704">
        <f t="shared" si="1"/>
        <v>0.6731221879</v>
      </c>
      <c r="O8" s="814">
        <f>-SUMIFS(BV_Data_An_Cour!$AM:$AM,BV_Data_An_Cour!$AO:$AO,$Y8)-SUMIFS(BV_Data_An_Cour!$AM:$AM,BV_Data_An_Cour!$AO:$AO,$Z8)</f>
        <v>840.77</v>
      </c>
      <c r="P8" s="817">
        <f t="shared" si="2"/>
        <v>0</v>
      </c>
      <c r="Q8" s="814">
        <f t="shared" si="3"/>
        <v>840.77</v>
      </c>
      <c r="R8" s="809">
        <f>SUMIFS(BV_Data_An_Prec!$AW:$AW,BV_Data_An_Prec!$AO:$AO,$Y8)</f>
        <v>0</v>
      </c>
      <c r="S8" s="815">
        <f>-SUMIFS(BV_Data_An_Prec!$AM:$AM,BV_Data_An_Prec!$AO:$AO,$Y8)</f>
        <v>0</v>
      </c>
      <c r="T8" s="704">
        <f t="shared" si="4"/>
        <v>0</v>
      </c>
      <c r="U8" s="816">
        <f>-SUMIFS(BV_Data_An_Prec!$AM:$AM,BV_Data_An_Prec!$AO:$AO,$Y8)-SUMIFS(BV_Data_An_Prec!$AM:$AM,BV_Data_An_Prec!$AO:$AO,$Z8)</f>
        <v>0</v>
      </c>
      <c r="V8" s="817">
        <f t="shared" si="5"/>
        <v>0</v>
      </c>
      <c r="W8" s="814">
        <f t="shared" si="6"/>
        <v>840.77</v>
      </c>
      <c r="X8" s="809"/>
      <c r="Y8" s="700" t="s">
        <v>1127</v>
      </c>
      <c r="Z8" s="700" t="s">
        <v>1128</v>
      </c>
      <c r="AA8" s="700"/>
      <c r="AB8" s="700"/>
      <c r="AC8" s="700"/>
      <c r="AD8" s="700"/>
      <c r="AE8" s="700"/>
      <c r="AF8" s="700"/>
      <c r="AG8" s="700"/>
      <c r="AH8" s="700"/>
      <c r="AI8" s="700"/>
      <c r="AJ8" s="700"/>
      <c r="AK8" s="700"/>
      <c r="AL8" s="700"/>
      <c r="AM8" s="700"/>
      <c r="AN8" s="700"/>
      <c r="AO8" s="700"/>
      <c r="AP8" s="700"/>
      <c r="AQ8" s="700"/>
      <c r="AR8" s="700"/>
    </row>
    <row r="9" ht="15.75" customHeight="1">
      <c r="A9" s="700"/>
      <c r="B9" s="700"/>
      <c r="C9" s="559" t="s">
        <v>1129</v>
      </c>
      <c r="D9" s="809"/>
      <c r="E9" s="809"/>
      <c r="F9" s="812"/>
      <c r="G9" s="809"/>
      <c r="H9" s="811"/>
      <c r="I9" s="809"/>
      <c r="J9" s="809"/>
      <c r="K9" s="809"/>
      <c r="L9" s="811">
        <f>SUMIFS(BV_Data_An_Cour!$AW:$AW,BV_Data_An_Cour!$AO:$AO,$Y9)</f>
        <v>0</v>
      </c>
      <c r="M9" s="703">
        <f>-SUMIFS(BV_Data_An_Cour!$AM:$AM,BV_Data_An_Cour!$AO:$AO,$Y9)</f>
        <v>0</v>
      </c>
      <c r="N9" s="704">
        <f t="shared" si="1"/>
        <v>0</v>
      </c>
      <c r="O9" s="814">
        <f>-SUMIFS(BV_Data_An_Cour!$AM:$AM,BV_Data_An_Cour!$AO:$AO,$Y9)-SUMIFS(BV_Data_An_Cour!$AM:$AM,BV_Data_An_Cour!$AO:$AO,$Z9)</f>
        <v>0</v>
      </c>
      <c r="P9" s="817">
        <f t="shared" si="2"/>
        <v>0</v>
      </c>
      <c r="Q9" s="814">
        <f t="shared" si="3"/>
        <v>0</v>
      </c>
      <c r="R9" s="809">
        <f>SUMIFS(BV_Data_An_Prec!$AW:$AW,BV_Data_An_Prec!$AO:$AO,$Y9)</f>
        <v>0</v>
      </c>
      <c r="S9" s="815">
        <f>-SUMIFS(BV_Data_An_Prec!$AM:$AM,BV_Data_An_Prec!$AO:$AO,$Y9)</f>
        <v>0</v>
      </c>
      <c r="T9" s="704">
        <f t="shared" si="4"/>
        <v>0</v>
      </c>
      <c r="U9" s="816">
        <f>-SUMIFS(BV_Data_An_Prec!$AM:$AM,BV_Data_An_Prec!$AO:$AO,$Y9)-SUMIFS(BV_Data_An_Prec!$AM:$AM,BV_Data_An_Prec!$AO:$AO,$Z9)</f>
        <v>0</v>
      </c>
      <c r="V9" s="817">
        <f t="shared" si="5"/>
        <v>0</v>
      </c>
      <c r="W9" s="814">
        <f t="shared" si="6"/>
        <v>0</v>
      </c>
      <c r="X9" s="809"/>
      <c r="Y9" s="700" t="s">
        <v>1130</v>
      </c>
      <c r="Z9" s="700" t="s">
        <v>1131</v>
      </c>
      <c r="AA9" s="700"/>
      <c r="AB9" s="700"/>
      <c r="AC9" s="700"/>
      <c r="AD9" s="700"/>
      <c r="AE9" s="700"/>
      <c r="AF9" s="700"/>
      <c r="AG9" s="700"/>
      <c r="AH9" s="700"/>
      <c r="AI9" s="700"/>
      <c r="AJ9" s="700"/>
      <c r="AK9" s="700"/>
      <c r="AL9" s="700"/>
      <c r="AM9" s="700"/>
      <c r="AN9" s="700"/>
      <c r="AO9" s="700"/>
      <c r="AP9" s="700"/>
      <c r="AQ9" s="700"/>
      <c r="AR9" s="700"/>
    </row>
    <row r="10" ht="15.75" customHeight="1">
      <c r="A10" s="700"/>
      <c r="B10" s="700"/>
      <c r="C10" s="559" t="s">
        <v>1132</v>
      </c>
      <c r="D10" s="809"/>
      <c r="E10" s="809"/>
      <c r="F10" s="812"/>
      <c r="G10" s="809"/>
      <c r="H10" s="811"/>
      <c r="I10" s="809"/>
      <c r="J10" s="809"/>
      <c r="K10" s="809"/>
      <c r="L10" s="811">
        <f>SUMIFS(BV_Data_An_Cour!$AW:$AW,BV_Data_An_Cour!$AO:$AO,$Y10)</f>
        <v>39</v>
      </c>
      <c r="M10" s="703">
        <f>-SUMIFS(BV_Data_An_Cour!$AM:$AM,BV_Data_An_Cour!$AO:$AO,$Y10)</f>
        <v>18305.38</v>
      </c>
      <c r="N10" s="704">
        <f t="shared" si="1"/>
        <v>0.4215913573</v>
      </c>
      <c r="O10" s="814">
        <f>-SUMIFS(BV_Data_An_Cour!$AM:$AM,BV_Data_An_Cour!$AO:$AO,$Y10)-SUMIFS(BV_Data_An_Cour!$AM:$AM,BV_Data_An_Cour!$AO:$AO,$Z10)</f>
        <v>7717.39</v>
      </c>
      <c r="P10" s="817">
        <f t="shared" si="2"/>
        <v>0</v>
      </c>
      <c r="Q10" s="814">
        <f t="shared" si="3"/>
        <v>7717.39</v>
      </c>
      <c r="R10" s="809">
        <f>SUMIFS(BV_Data_An_Prec!$AW:$AW,BV_Data_An_Prec!$AO:$AO,$Y10)</f>
        <v>51</v>
      </c>
      <c r="S10" s="815">
        <f>-SUMIFS(BV_Data_An_Prec!$AM:$AM,BV_Data_An_Prec!$AO:$AO,$Y10)</f>
        <v>21348.91</v>
      </c>
      <c r="T10" s="704">
        <f t="shared" si="4"/>
        <v>0.7172965739</v>
      </c>
      <c r="U10" s="816">
        <f>-SUMIFS(BV_Data_An_Prec!$AM:$AM,BV_Data_An_Prec!$AO:$AO,$Y10)-SUMIFS(BV_Data_An_Prec!$AM:$AM,BV_Data_An_Prec!$AO:$AO,$Z10)</f>
        <v>15313.5</v>
      </c>
      <c r="V10" s="817">
        <f t="shared" si="5"/>
        <v>0.7647058824</v>
      </c>
      <c r="W10" s="814">
        <f t="shared" si="6"/>
        <v>-7596.11</v>
      </c>
      <c r="X10" s="809"/>
      <c r="Y10" s="700" t="s">
        <v>1133</v>
      </c>
      <c r="Z10" s="700" t="s">
        <v>1134</v>
      </c>
      <c r="AA10" s="700"/>
      <c r="AB10" s="700"/>
      <c r="AC10" s="700"/>
      <c r="AD10" s="700"/>
      <c r="AE10" s="700"/>
      <c r="AF10" s="700"/>
      <c r="AG10" s="700"/>
      <c r="AH10" s="700"/>
      <c r="AI10" s="700"/>
      <c r="AJ10" s="700"/>
      <c r="AK10" s="700"/>
      <c r="AL10" s="700"/>
      <c r="AM10" s="700"/>
      <c r="AN10" s="700"/>
      <c r="AO10" s="700"/>
      <c r="AP10" s="700"/>
      <c r="AQ10" s="700"/>
      <c r="AR10" s="700"/>
    </row>
    <row r="11" ht="15.75" customHeight="1">
      <c r="A11" s="700"/>
      <c r="B11" s="700"/>
      <c r="C11" s="559" t="s">
        <v>1135</v>
      </c>
      <c r="D11" s="809"/>
      <c r="E11" s="809"/>
      <c r="F11" s="812"/>
      <c r="G11" s="809"/>
      <c r="H11" s="811"/>
      <c r="I11" s="809"/>
      <c r="J11" s="809"/>
      <c r="K11" s="809"/>
      <c r="L11" s="811">
        <f>SUMIFS(BV_Data_An_Cour!$AW:$AW,BV_Data_An_Cour!$AO:$AO,$Y11)</f>
        <v>48</v>
      </c>
      <c r="M11" s="703">
        <f>-SUMIFS(BV_Data_An_Cour!$AM:$AM,BV_Data_An_Cour!$AO:$AO,$Y11)</f>
        <v>10109.61</v>
      </c>
      <c r="N11" s="704">
        <f t="shared" si="1"/>
        <v>0.1675732298</v>
      </c>
      <c r="O11" s="814">
        <f>-SUMIFS(BV_Data_An_Cour!$AM:$AM,BV_Data_An_Cour!$AO:$AO,$Y11)-SUMIFS(BV_Data_An_Cour!$AM:$AM,BV_Data_An_Cour!$AO:$AO,$Z11)</f>
        <v>1694.1</v>
      </c>
      <c r="P11" s="817">
        <f t="shared" si="2"/>
        <v>0</v>
      </c>
      <c r="Q11" s="814">
        <f t="shared" si="3"/>
        <v>1694.1</v>
      </c>
      <c r="R11" s="809">
        <f>SUMIFS(BV_Data_An_Prec!$AW:$AW,BV_Data_An_Prec!$AO:$AO,$Y11)</f>
        <v>0</v>
      </c>
      <c r="S11" s="815">
        <f>-SUMIFS(BV_Data_An_Prec!$AM:$AM,BV_Data_An_Prec!$AO:$AO,$Y11)</f>
        <v>0</v>
      </c>
      <c r="T11" s="704">
        <f t="shared" si="4"/>
        <v>0</v>
      </c>
      <c r="U11" s="816">
        <f>-SUMIFS(BV_Data_An_Prec!$AM:$AM,BV_Data_An_Prec!$AO:$AO,$Y11)-SUMIFS(BV_Data_An_Prec!$AM:$AM,BV_Data_An_Prec!$AO:$AO,$Z11)</f>
        <v>0</v>
      </c>
      <c r="V11" s="817">
        <f t="shared" si="5"/>
        <v>0</v>
      </c>
      <c r="W11" s="814">
        <f t="shared" si="6"/>
        <v>1694.1</v>
      </c>
      <c r="X11" s="809"/>
      <c r="Y11" s="700" t="s">
        <v>1136</v>
      </c>
      <c r="Z11" s="700" t="s">
        <v>1137</v>
      </c>
      <c r="AA11" s="700"/>
      <c r="AB11" s="700"/>
      <c r="AC11" s="700"/>
      <c r="AD11" s="700"/>
      <c r="AE11" s="700"/>
      <c r="AF11" s="700"/>
      <c r="AG11" s="700"/>
      <c r="AH11" s="700"/>
      <c r="AI11" s="700"/>
      <c r="AJ11" s="700"/>
      <c r="AK11" s="700"/>
      <c r="AL11" s="700"/>
      <c r="AM11" s="700"/>
      <c r="AN11" s="700"/>
      <c r="AO11" s="700"/>
      <c r="AP11" s="700"/>
      <c r="AQ11" s="700"/>
      <c r="AR11" s="700"/>
    </row>
    <row r="12" ht="15.75" customHeight="1">
      <c r="A12" s="700"/>
      <c r="B12" s="700"/>
      <c r="C12" s="559" t="s">
        <v>1138</v>
      </c>
      <c r="D12" s="809"/>
      <c r="E12" s="809"/>
      <c r="F12" s="812"/>
      <c r="G12" s="809"/>
      <c r="H12" s="811"/>
      <c r="I12" s="809"/>
      <c r="J12" s="809"/>
      <c r="K12" s="809"/>
      <c r="L12" s="811">
        <f>SUMIFS(BV_Data_An_Cour!$AW:$AW,BV_Data_An_Cour!$AO:$AO,$Y12)</f>
        <v>38</v>
      </c>
      <c r="M12" s="703">
        <f>-SUMIFS(BV_Data_An_Cour!$AM:$AM,BV_Data_An_Cour!$AO:$AO,$Y12)</f>
        <v>60811.61</v>
      </c>
      <c r="N12" s="704">
        <f t="shared" si="1"/>
        <v>0.1792235068</v>
      </c>
      <c r="O12" s="814">
        <f>-SUMIFS(BV_Data_An_Cour!$AM:$AM,BV_Data_An_Cour!$AO:$AO,$Y12)-SUMIFS(BV_Data_An_Cour!$AM:$AM,BV_Data_An_Cour!$AO:$AO,$Z12)</f>
        <v>10898.87</v>
      </c>
      <c r="P12" s="817">
        <f t="shared" si="2"/>
        <v>0</v>
      </c>
      <c r="Q12" s="814">
        <f t="shared" si="3"/>
        <v>10898.87</v>
      </c>
      <c r="R12" s="809">
        <f>SUMIFS(BV_Data_An_Prec!$AW:$AW,BV_Data_An_Prec!$AO:$AO,$Y12)</f>
        <v>44</v>
      </c>
      <c r="S12" s="815">
        <f>-SUMIFS(BV_Data_An_Prec!$AM:$AM,BV_Data_An_Prec!$AO:$AO,$Y12)</f>
        <v>87065.47</v>
      </c>
      <c r="T12" s="704">
        <f t="shared" si="4"/>
        <v>0.2318207207</v>
      </c>
      <c r="U12" s="816">
        <f>-SUMIFS(BV_Data_An_Prec!$AM:$AM,BV_Data_An_Prec!$AO:$AO,$Y12)-SUMIFS(BV_Data_An_Prec!$AM:$AM,BV_Data_An_Prec!$AO:$AO,$Z12)</f>
        <v>20183.58</v>
      </c>
      <c r="V12" s="817">
        <f t="shared" si="5"/>
        <v>0.8636363636</v>
      </c>
      <c r="W12" s="814">
        <f t="shared" si="6"/>
        <v>-9284.71</v>
      </c>
      <c r="X12" s="809"/>
      <c r="Y12" s="700" t="s">
        <v>1139</v>
      </c>
      <c r="Z12" s="700" t="s">
        <v>1140</v>
      </c>
      <c r="AA12" s="700"/>
      <c r="AB12" s="700"/>
      <c r="AC12" s="700"/>
      <c r="AD12" s="700"/>
      <c r="AE12" s="700"/>
      <c r="AF12" s="700"/>
      <c r="AG12" s="700"/>
      <c r="AH12" s="700"/>
      <c r="AI12" s="700"/>
      <c r="AJ12" s="700"/>
      <c r="AK12" s="700"/>
      <c r="AL12" s="700"/>
      <c r="AM12" s="700"/>
      <c r="AN12" s="700"/>
      <c r="AO12" s="700"/>
      <c r="AP12" s="700"/>
      <c r="AQ12" s="700"/>
      <c r="AR12" s="700"/>
    </row>
    <row r="13" ht="15.75" customHeight="1">
      <c r="A13" s="700"/>
      <c r="B13" s="700"/>
      <c r="C13" s="560" t="s">
        <v>1141</v>
      </c>
      <c r="D13" s="818"/>
      <c r="E13" s="818"/>
      <c r="F13" s="819"/>
      <c r="G13" s="818"/>
      <c r="H13" s="820"/>
      <c r="I13" s="818"/>
      <c r="J13" s="818"/>
      <c r="K13" s="818"/>
      <c r="L13" s="820">
        <f>SUMIFS(BV_Data_An_Cour!$AW:$AW,BV_Data_An_Cour!$AO:$AO,$Y13)</f>
        <v>0</v>
      </c>
      <c r="M13" s="703">
        <f>-SUMIFS(BV_Data_An_Cour!$AM:$AM,BV_Data_An_Cour!$AO:$AO,$Y13)</f>
        <v>0</v>
      </c>
      <c r="N13" s="704">
        <f t="shared" si="1"/>
        <v>0</v>
      </c>
      <c r="O13" s="814">
        <f>-SUMIFS(BV_Data_An_Cour!$AM:$AM,BV_Data_An_Cour!$AO:$AO,$Y13)-SUMIFS(BV_Data_An_Cour!$AM:$AM,BV_Data_An_Cour!$AO:$AO,$Z13)</f>
        <v>0</v>
      </c>
      <c r="P13" s="821">
        <f t="shared" si="2"/>
        <v>0</v>
      </c>
      <c r="Q13" s="822">
        <f t="shared" si="3"/>
        <v>0</v>
      </c>
      <c r="R13" s="818">
        <f>SUMIFS(BV_Data_An_Prec!$AW:$AW,BV_Data_An_Prec!$AO:$AO,$Y13)</f>
        <v>0</v>
      </c>
      <c r="S13" s="823">
        <f>-SUMIFS(BV_Data_An_Prec!$AM:$AM,BV_Data_An_Prec!$AO:$AO,$Y13)</f>
        <v>0</v>
      </c>
      <c r="T13" s="704">
        <f t="shared" si="4"/>
        <v>0</v>
      </c>
      <c r="U13" s="824">
        <f>-SUMIFS(BV_Data_An_Prec!$AM:$AM,BV_Data_An_Prec!$AO:$AO,$Y13)-SUMIFS(BV_Data_An_Prec!$AM:$AM,BV_Data_An_Prec!$AO:$AO,$Z13)</f>
        <v>0</v>
      </c>
      <c r="V13" s="821">
        <f t="shared" si="5"/>
        <v>0</v>
      </c>
      <c r="W13" s="822">
        <f t="shared" si="6"/>
        <v>0</v>
      </c>
      <c r="X13" s="809"/>
      <c r="Y13" s="700" t="s">
        <v>1142</v>
      </c>
      <c r="Z13" s="700" t="s">
        <v>1143</v>
      </c>
      <c r="AA13" s="700"/>
      <c r="AB13" s="700"/>
      <c r="AC13" s="700"/>
      <c r="AD13" s="700"/>
      <c r="AE13" s="700"/>
      <c r="AF13" s="700"/>
      <c r="AG13" s="700"/>
      <c r="AH13" s="700"/>
      <c r="AI13" s="700"/>
      <c r="AJ13" s="700"/>
      <c r="AK13" s="700"/>
      <c r="AL13" s="700"/>
      <c r="AM13" s="700"/>
      <c r="AN13" s="700"/>
      <c r="AO13" s="700"/>
      <c r="AP13" s="700"/>
      <c r="AQ13" s="700"/>
      <c r="AR13" s="700"/>
    </row>
    <row r="14" ht="18.0" customHeight="1">
      <c r="A14" s="700"/>
      <c r="B14" s="700"/>
      <c r="C14" s="825" t="s">
        <v>949</v>
      </c>
      <c r="D14" s="826"/>
      <c r="E14" s="827">
        <f>SUM(E6:E12)</f>
        <v>0</v>
      </c>
      <c r="F14" s="828" t="str">
        <f>G14/E14</f>
        <v>#DIV/0!</v>
      </c>
      <c r="G14" s="827">
        <f>SUM(G6:G12)</f>
        <v>0</v>
      </c>
      <c r="H14" s="829"/>
      <c r="I14" s="827"/>
      <c r="J14" s="827"/>
      <c r="K14" s="827"/>
      <c r="L14" s="830"/>
      <c r="M14" s="827">
        <f>SUM(M6:M13)</f>
        <v>152593.67</v>
      </c>
      <c r="N14" s="828">
        <f t="shared" si="1"/>
        <v>0.4463167443</v>
      </c>
      <c r="O14" s="827">
        <f>SUM(O6:O13)</f>
        <v>68105.11</v>
      </c>
      <c r="P14" s="831">
        <f t="shared" si="2"/>
        <v>0</v>
      </c>
      <c r="Q14" s="832">
        <f t="shared" si="3"/>
        <v>68105.11</v>
      </c>
      <c r="R14" s="830"/>
      <c r="S14" s="827">
        <f>SUM(S6:S13)</f>
        <v>162856.78</v>
      </c>
      <c r="T14" s="828">
        <f t="shared" si="4"/>
        <v>0.4241325415</v>
      </c>
      <c r="U14" s="827">
        <f>SUM(U6:U13)</f>
        <v>69072.86</v>
      </c>
      <c r="V14" s="831">
        <f t="shared" si="5"/>
        <v>0</v>
      </c>
      <c r="W14" s="832">
        <f>SUM(W6:W13)</f>
        <v>-967.75</v>
      </c>
      <c r="X14" s="809"/>
      <c r="Y14" s="700"/>
      <c r="Z14" s="700"/>
      <c r="AA14" s="700"/>
      <c r="AB14" s="700"/>
      <c r="AC14" s="700"/>
      <c r="AD14" s="700"/>
      <c r="AE14" s="700"/>
      <c r="AF14" s="700"/>
      <c r="AG14" s="700"/>
      <c r="AH14" s="700"/>
      <c r="AI14" s="700"/>
      <c r="AJ14" s="700"/>
      <c r="AK14" s="700"/>
      <c r="AL14" s="700"/>
      <c r="AM14" s="700"/>
      <c r="AN14" s="700"/>
      <c r="AO14" s="700"/>
      <c r="AP14" s="700"/>
      <c r="AQ14" s="700"/>
      <c r="AR14" s="700"/>
    </row>
    <row r="15" ht="15.75" customHeight="1">
      <c r="A15" s="700"/>
      <c r="B15" s="700"/>
      <c r="C15" s="559"/>
      <c r="D15" s="809"/>
      <c r="E15" s="708"/>
      <c r="F15" s="833"/>
      <c r="G15" s="710"/>
      <c r="H15" s="559"/>
      <c r="I15" s="708"/>
      <c r="J15" s="708"/>
      <c r="K15" s="710"/>
      <c r="L15" s="834"/>
      <c r="M15" s="703"/>
      <c r="N15" s="700"/>
      <c r="O15" s="814"/>
      <c r="P15" s="817"/>
      <c r="Q15" s="814"/>
      <c r="R15" s="834"/>
      <c r="S15" s="703"/>
      <c r="T15" s="700"/>
      <c r="U15" s="814"/>
      <c r="V15" s="834"/>
      <c r="W15" s="814"/>
      <c r="X15" s="809"/>
      <c r="Y15" s="700"/>
      <c r="Z15" s="700"/>
      <c r="AA15" s="700"/>
      <c r="AB15" s="700"/>
      <c r="AC15" s="700"/>
      <c r="AD15" s="700"/>
      <c r="AE15" s="700"/>
      <c r="AF15" s="700"/>
      <c r="AG15" s="700"/>
      <c r="AH15" s="700"/>
      <c r="AI15" s="700"/>
      <c r="AJ15" s="700"/>
      <c r="AK15" s="700"/>
      <c r="AL15" s="700"/>
      <c r="AM15" s="700"/>
      <c r="AN15" s="700"/>
      <c r="AO15" s="700"/>
      <c r="AP15" s="700"/>
      <c r="AQ15" s="700"/>
      <c r="AR15" s="700"/>
    </row>
    <row r="16" ht="15.75" customHeight="1">
      <c r="A16" s="700"/>
      <c r="B16" s="700"/>
      <c r="C16" s="559" t="s">
        <v>1144</v>
      </c>
      <c r="D16" s="809"/>
      <c r="E16" s="809"/>
      <c r="F16" s="812"/>
      <c r="G16" s="809"/>
      <c r="H16" s="811"/>
      <c r="I16" s="809"/>
      <c r="J16" s="809"/>
      <c r="K16" s="809"/>
      <c r="L16" s="811">
        <f>SUMIFS(BV_Data_An_Cour!$AW:$AW,BV_Data_An_Cour!$AO:$AO,$Y16)</f>
        <v>13</v>
      </c>
      <c r="M16" s="703">
        <f>-SUMIFS(BV_Data_An_Cour!$AM:$AM,BV_Data_An_Cour!$AO:$AO,$Y16)</f>
        <v>2493</v>
      </c>
      <c r="N16" s="704">
        <f t="shared" ref="N16:N25" si="7">IFERROR(O16/M16,0)</f>
        <v>0.1795186522</v>
      </c>
      <c r="O16" s="814">
        <f>-SUMIFS(BV_Data_An_Cour!$AM:$AM,BV_Data_An_Cour!$AO:$AO,$Y16)-SUMIFS(BV_Data_An_Cour!$AM:$AM,BV_Data_An_Cour!$AO:$AO,$Z16)</f>
        <v>447.54</v>
      </c>
      <c r="P16" s="817">
        <f t="shared" ref="P16:P25" si="8">IFERROR((M16-E16)/E16,0)</f>
        <v>0</v>
      </c>
      <c r="Q16" s="814">
        <f t="shared" ref="Q16:Q25" si="9">O16-G16</f>
        <v>447.54</v>
      </c>
      <c r="R16" s="809">
        <f>SUMIFS(BV_Data_An_Prec!$AW:$AW,BV_Data_An_Prec!$AO:$AO,$Y16)</f>
        <v>13</v>
      </c>
      <c r="S16" s="815">
        <f>-SUMIFS(BV_Data_An_Prec!$AM:$AM,BV_Data_An_Prec!$AO:$AO,$Y16)</f>
        <v>9764.26</v>
      </c>
      <c r="T16" s="704">
        <f t="shared" ref="T16:T25" si="10">IFERROR(U16/S16,0)</f>
        <v>0.4831200726</v>
      </c>
      <c r="U16" s="816">
        <f>-SUMIFS(BV_Data_An_Prec!$AM:$AM,BV_Data_An_Prec!$AO:$AO,$Y16)-SUMIFS(BV_Data_An_Prec!$AM:$AM,BV_Data_An_Prec!$AO:$AO,$Z16)</f>
        <v>4717.31</v>
      </c>
      <c r="V16" s="817">
        <f t="shared" ref="V16:V25" si="11">IF(R16=0,0,L16/R16)</f>
        <v>1</v>
      </c>
      <c r="W16" s="814">
        <f t="shared" ref="W16:W24" si="12">O16-U16</f>
        <v>-4269.77</v>
      </c>
      <c r="X16" s="809"/>
      <c r="Y16" s="700" t="s">
        <v>1145</v>
      </c>
      <c r="Z16" s="700" t="s">
        <v>1146</v>
      </c>
      <c r="AA16" s="700"/>
      <c r="AB16" s="700"/>
      <c r="AC16" s="700"/>
      <c r="AD16" s="700"/>
      <c r="AE16" s="700"/>
      <c r="AF16" s="700"/>
      <c r="AG16" s="700"/>
      <c r="AH16" s="700"/>
      <c r="AI16" s="700"/>
      <c r="AJ16" s="700"/>
      <c r="AK16" s="700"/>
      <c r="AL16" s="700"/>
      <c r="AM16" s="700"/>
      <c r="AN16" s="700"/>
      <c r="AO16" s="700"/>
      <c r="AP16" s="700"/>
      <c r="AQ16" s="700"/>
      <c r="AR16" s="700"/>
    </row>
    <row r="17" ht="15.75" customHeight="1">
      <c r="A17" s="700"/>
      <c r="B17" s="700"/>
      <c r="C17" s="559" t="s">
        <v>1147</v>
      </c>
      <c r="D17" s="809"/>
      <c r="E17" s="809"/>
      <c r="F17" s="812"/>
      <c r="G17" s="809"/>
      <c r="H17" s="811"/>
      <c r="I17" s="809"/>
      <c r="J17" s="809"/>
      <c r="K17" s="809"/>
      <c r="L17" s="811">
        <f>SUMIFS(BV_Data_An_Cour!$AW:$AW,BV_Data_An_Cour!$AO:$AO,$Y17)</f>
        <v>6</v>
      </c>
      <c r="M17" s="703">
        <f>-SUMIFS(BV_Data_An_Cour!$AM:$AM,BV_Data_An_Cour!$AO:$AO,$Y17)</f>
        <v>1252</v>
      </c>
      <c r="N17" s="704">
        <f t="shared" si="7"/>
        <v>0.62014377</v>
      </c>
      <c r="O17" s="814">
        <f>-SUMIFS(BV_Data_An_Cour!$AM:$AM,BV_Data_An_Cour!$AO:$AO,$Y17)-SUMIFS(BV_Data_An_Cour!$AM:$AM,BV_Data_An_Cour!$AO:$AO,$Z17)</f>
        <v>776.42</v>
      </c>
      <c r="P17" s="817">
        <f t="shared" si="8"/>
        <v>0</v>
      </c>
      <c r="Q17" s="814">
        <f t="shared" si="9"/>
        <v>776.42</v>
      </c>
      <c r="R17" s="809">
        <f>SUMIFS(BV_Data_An_Prec!$AW:$AW,BV_Data_An_Prec!$AO:$AO,$Y17)</f>
        <v>0</v>
      </c>
      <c r="S17" s="815">
        <f>-SUMIFS(BV_Data_An_Prec!$AM:$AM,BV_Data_An_Prec!$AO:$AO,$Y17)</f>
        <v>0</v>
      </c>
      <c r="T17" s="704">
        <f t="shared" si="10"/>
        <v>0</v>
      </c>
      <c r="U17" s="816">
        <f>-SUMIFS(BV_Data_An_Prec!$AM:$AM,BV_Data_An_Prec!$AO:$AO,$Y17)-SUMIFS(BV_Data_An_Prec!$AM:$AM,BV_Data_An_Prec!$AO:$AO,$Z17)</f>
        <v>0</v>
      </c>
      <c r="V17" s="817">
        <f t="shared" si="11"/>
        <v>0</v>
      </c>
      <c r="W17" s="814">
        <f t="shared" si="12"/>
        <v>776.42</v>
      </c>
      <c r="X17" s="809"/>
      <c r="Y17" s="700" t="s">
        <v>1148</v>
      </c>
      <c r="Z17" s="700" t="s">
        <v>1149</v>
      </c>
      <c r="AA17" s="700"/>
      <c r="AB17" s="700"/>
      <c r="AC17" s="700"/>
      <c r="AD17" s="700"/>
      <c r="AE17" s="700"/>
      <c r="AF17" s="700"/>
      <c r="AG17" s="700"/>
      <c r="AH17" s="700"/>
      <c r="AI17" s="700"/>
      <c r="AJ17" s="700"/>
      <c r="AK17" s="700"/>
      <c r="AL17" s="700"/>
      <c r="AM17" s="700"/>
      <c r="AN17" s="700"/>
      <c r="AO17" s="700"/>
      <c r="AP17" s="700"/>
      <c r="AQ17" s="700"/>
      <c r="AR17" s="700"/>
    </row>
    <row r="18" ht="15.75" customHeight="1">
      <c r="A18" s="700"/>
      <c r="B18" s="700"/>
      <c r="C18" s="559" t="s">
        <v>1150</v>
      </c>
      <c r="D18" s="809"/>
      <c r="E18" s="809"/>
      <c r="F18" s="812"/>
      <c r="G18" s="809"/>
      <c r="H18" s="811"/>
      <c r="I18" s="809"/>
      <c r="J18" s="809"/>
      <c r="K18" s="809"/>
      <c r="L18" s="811">
        <f>SUMIFS(BV_Data_An_Cour!$AW:$AW,BV_Data_An_Cour!$AO:$AO,$Y18)</f>
        <v>1</v>
      </c>
      <c r="M18" s="703">
        <f>-SUMIFS(BV_Data_An_Cour!$AM:$AM,BV_Data_An_Cour!$AO:$AO,$Y18)</f>
        <v>792</v>
      </c>
      <c r="N18" s="704">
        <f t="shared" si="7"/>
        <v>0.05273989899</v>
      </c>
      <c r="O18" s="814">
        <f>-SUMIFS(BV_Data_An_Cour!$AM:$AM,BV_Data_An_Cour!$AO:$AO,$Y18)-SUMIFS(BV_Data_An_Cour!$AM:$AM,BV_Data_An_Cour!$AO:$AO,$Z18)</f>
        <v>41.77</v>
      </c>
      <c r="P18" s="817">
        <f t="shared" si="8"/>
        <v>0</v>
      </c>
      <c r="Q18" s="814">
        <f t="shared" si="9"/>
        <v>41.77</v>
      </c>
      <c r="R18" s="809">
        <f>SUMIFS(BV_Data_An_Prec!$AW:$AW,BV_Data_An_Prec!$AO:$AO,$Y18)</f>
        <v>0</v>
      </c>
      <c r="S18" s="815">
        <f>-SUMIFS(BV_Data_An_Prec!$AM:$AM,BV_Data_An_Prec!$AO:$AO,$Y18)</f>
        <v>0</v>
      </c>
      <c r="T18" s="704">
        <f t="shared" si="10"/>
        <v>0</v>
      </c>
      <c r="U18" s="816">
        <f>-SUMIFS(BV_Data_An_Prec!$AM:$AM,BV_Data_An_Prec!$AO:$AO,$Y18)-SUMIFS(BV_Data_An_Prec!$AM:$AM,BV_Data_An_Prec!$AO:$AO,$Z18)</f>
        <v>0</v>
      </c>
      <c r="V18" s="817">
        <f t="shared" si="11"/>
        <v>0</v>
      </c>
      <c r="W18" s="814">
        <f t="shared" si="12"/>
        <v>41.77</v>
      </c>
      <c r="X18" s="809"/>
      <c r="Y18" s="700" t="s">
        <v>1151</v>
      </c>
      <c r="Z18" s="700" t="s">
        <v>1152</v>
      </c>
      <c r="AA18" s="700"/>
      <c r="AB18" s="700"/>
      <c r="AC18" s="700"/>
      <c r="AD18" s="700"/>
      <c r="AE18" s="700"/>
      <c r="AF18" s="700"/>
      <c r="AG18" s="700"/>
      <c r="AH18" s="700"/>
      <c r="AI18" s="700"/>
      <c r="AJ18" s="700"/>
      <c r="AK18" s="700"/>
      <c r="AL18" s="700"/>
      <c r="AM18" s="700"/>
      <c r="AN18" s="700"/>
      <c r="AO18" s="700"/>
      <c r="AP18" s="700"/>
      <c r="AQ18" s="700"/>
      <c r="AR18" s="700"/>
    </row>
    <row r="19" ht="15.75" customHeight="1">
      <c r="A19" s="700"/>
      <c r="B19" s="700"/>
      <c r="C19" s="559" t="s">
        <v>1153</v>
      </c>
      <c r="D19" s="809"/>
      <c r="E19" s="809"/>
      <c r="F19" s="812"/>
      <c r="G19" s="809"/>
      <c r="H19" s="811"/>
      <c r="I19" s="809"/>
      <c r="J19" s="809"/>
      <c r="K19" s="809"/>
      <c r="L19" s="811">
        <f>SUMIFS(BV_Data_An_Cour!$AW:$AW,BV_Data_An_Cour!$AO:$AO,$Y19)</f>
        <v>0</v>
      </c>
      <c r="M19" s="703">
        <f>-SUMIFS(BV_Data_An_Cour!$AM:$AM,BV_Data_An_Cour!$AO:$AO,$Y19)</f>
        <v>0</v>
      </c>
      <c r="N19" s="704">
        <f t="shared" si="7"/>
        <v>0</v>
      </c>
      <c r="O19" s="814">
        <f>-SUMIFS(BV_Data_An_Cour!$AM:$AM,BV_Data_An_Cour!$AO:$AO,$Y19)-SUMIFS(BV_Data_An_Cour!$AM:$AM,BV_Data_An_Cour!$AO:$AO,$Z19)</f>
        <v>0</v>
      </c>
      <c r="P19" s="817">
        <f t="shared" si="8"/>
        <v>0</v>
      </c>
      <c r="Q19" s="814">
        <f t="shared" si="9"/>
        <v>0</v>
      </c>
      <c r="R19" s="809">
        <f>SUMIFS(BV_Data_An_Prec!$AW:$AW,BV_Data_An_Prec!$AO:$AO,$Y19)</f>
        <v>0</v>
      </c>
      <c r="S19" s="815">
        <f>-SUMIFS(BV_Data_An_Prec!$AM:$AM,BV_Data_An_Prec!$AO:$AO,$Y19)</f>
        <v>0</v>
      </c>
      <c r="T19" s="704">
        <f t="shared" si="10"/>
        <v>0</v>
      </c>
      <c r="U19" s="816">
        <f>-SUMIFS(BV_Data_An_Prec!$AM:$AM,BV_Data_An_Prec!$AO:$AO,$Y19)-SUMIFS(BV_Data_An_Prec!$AM:$AM,BV_Data_An_Prec!$AO:$AO,$Z19)</f>
        <v>0</v>
      </c>
      <c r="V19" s="817">
        <f t="shared" si="11"/>
        <v>0</v>
      </c>
      <c r="W19" s="814">
        <f t="shared" si="12"/>
        <v>0</v>
      </c>
      <c r="X19" s="809"/>
      <c r="Y19" s="700" t="s">
        <v>1154</v>
      </c>
      <c r="Z19" s="700" t="s">
        <v>1155</v>
      </c>
      <c r="AA19" s="700"/>
      <c r="AB19" s="700"/>
      <c r="AC19" s="700"/>
      <c r="AD19" s="700"/>
      <c r="AE19" s="700"/>
      <c r="AF19" s="700"/>
      <c r="AG19" s="700"/>
      <c r="AH19" s="700"/>
      <c r="AI19" s="700"/>
      <c r="AJ19" s="700"/>
      <c r="AK19" s="700"/>
      <c r="AL19" s="700"/>
      <c r="AM19" s="700"/>
      <c r="AN19" s="700"/>
      <c r="AO19" s="700"/>
      <c r="AP19" s="700"/>
      <c r="AQ19" s="700"/>
      <c r="AR19" s="700"/>
    </row>
    <row r="20" ht="15.75" customHeight="1">
      <c r="A20" s="700"/>
      <c r="B20" s="700"/>
      <c r="C20" s="559" t="s">
        <v>1156</v>
      </c>
      <c r="D20" s="809"/>
      <c r="E20" s="809"/>
      <c r="F20" s="812"/>
      <c r="G20" s="809"/>
      <c r="H20" s="811"/>
      <c r="I20" s="809"/>
      <c r="J20" s="809"/>
      <c r="K20" s="809"/>
      <c r="L20" s="811">
        <f>SUMIFS(BV_Data_An_Cour!$AW:$AW,BV_Data_An_Cour!$AO:$AO,$Y20)</f>
        <v>9</v>
      </c>
      <c r="M20" s="703">
        <f>-SUMIFS(BV_Data_An_Cour!$AM:$AM,BV_Data_An_Cour!$AO:$AO,$Y20)</f>
        <v>1151.96</v>
      </c>
      <c r="N20" s="704">
        <f t="shared" si="7"/>
        <v>0.4939234001</v>
      </c>
      <c r="O20" s="814">
        <f>-SUMIFS(BV_Data_An_Cour!$AM:$AM,BV_Data_An_Cour!$AO:$AO,$Y20)-SUMIFS(BV_Data_An_Cour!$AM:$AM,BV_Data_An_Cour!$AO:$AO,$Z20)</f>
        <v>568.98</v>
      </c>
      <c r="P20" s="817">
        <f t="shared" si="8"/>
        <v>0</v>
      </c>
      <c r="Q20" s="814">
        <f t="shared" si="9"/>
        <v>568.98</v>
      </c>
      <c r="R20" s="809">
        <f>SUMIFS(BV_Data_An_Prec!$AW:$AW,BV_Data_An_Prec!$AO:$AO,$Y20)</f>
        <v>0</v>
      </c>
      <c r="S20" s="815">
        <f>-SUMIFS(BV_Data_An_Prec!$AM:$AM,BV_Data_An_Prec!$AO:$AO,$Y20)</f>
        <v>0</v>
      </c>
      <c r="T20" s="704">
        <f t="shared" si="10"/>
        <v>0</v>
      </c>
      <c r="U20" s="816">
        <f>-SUMIFS(BV_Data_An_Prec!$AM:$AM,BV_Data_An_Prec!$AO:$AO,$Y20)-SUMIFS(BV_Data_An_Prec!$AM:$AM,BV_Data_An_Prec!$AO:$AO,$Z20)</f>
        <v>0</v>
      </c>
      <c r="V20" s="817">
        <f t="shared" si="11"/>
        <v>0</v>
      </c>
      <c r="W20" s="814">
        <f t="shared" si="12"/>
        <v>568.98</v>
      </c>
      <c r="X20" s="809"/>
      <c r="Y20" s="700" t="s">
        <v>1157</v>
      </c>
      <c r="Z20" s="700" t="s">
        <v>1158</v>
      </c>
      <c r="AA20" s="700"/>
      <c r="AB20" s="700"/>
      <c r="AC20" s="700"/>
      <c r="AD20" s="700"/>
      <c r="AE20" s="700"/>
      <c r="AF20" s="700"/>
      <c r="AG20" s="700"/>
      <c r="AH20" s="700"/>
      <c r="AI20" s="700"/>
      <c r="AJ20" s="700"/>
      <c r="AK20" s="700"/>
      <c r="AL20" s="700"/>
      <c r="AM20" s="700"/>
      <c r="AN20" s="700"/>
      <c r="AO20" s="700"/>
      <c r="AP20" s="700"/>
      <c r="AQ20" s="700"/>
      <c r="AR20" s="700"/>
    </row>
    <row r="21" ht="15.75" customHeight="1">
      <c r="A21" s="700"/>
      <c r="B21" s="700"/>
      <c r="C21" s="559" t="s">
        <v>1159</v>
      </c>
      <c r="D21" s="809"/>
      <c r="E21" s="809"/>
      <c r="F21" s="812"/>
      <c r="G21" s="809"/>
      <c r="H21" s="811"/>
      <c r="I21" s="809"/>
      <c r="J21" s="809"/>
      <c r="K21" s="809"/>
      <c r="L21" s="811">
        <f>SUMIFS(BV_Data_An_Cour!$AW:$AW,BV_Data_An_Cour!$AO:$AO,$Y21)</f>
        <v>9</v>
      </c>
      <c r="M21" s="703">
        <f>-SUMIFS(BV_Data_An_Cour!$AM:$AM,BV_Data_An_Cour!$AO:$AO,$Y21)</f>
        <v>576.88</v>
      </c>
      <c r="N21" s="704">
        <f t="shared" si="7"/>
        <v>0.4914193593</v>
      </c>
      <c r="O21" s="814">
        <f>-SUMIFS(BV_Data_An_Cour!$AM:$AM,BV_Data_An_Cour!$AO:$AO,$Y21)-SUMIFS(BV_Data_An_Cour!$AM:$AM,BV_Data_An_Cour!$AO:$AO,$Z21)</f>
        <v>283.49</v>
      </c>
      <c r="P21" s="817">
        <f t="shared" si="8"/>
        <v>0</v>
      </c>
      <c r="Q21" s="814">
        <f t="shared" si="9"/>
        <v>283.49</v>
      </c>
      <c r="R21" s="809">
        <f>SUMIFS(BV_Data_An_Prec!$AW:$AW,BV_Data_An_Prec!$AO:$AO,$Y21)</f>
        <v>0</v>
      </c>
      <c r="S21" s="815">
        <f>-SUMIFS(BV_Data_An_Prec!$AM:$AM,BV_Data_An_Prec!$AO:$AO,$Y21)</f>
        <v>0</v>
      </c>
      <c r="T21" s="704">
        <f t="shared" si="10"/>
        <v>0</v>
      </c>
      <c r="U21" s="816">
        <f>-SUMIFS(BV_Data_An_Prec!$AM:$AM,BV_Data_An_Prec!$AO:$AO,$Y21)-SUMIFS(BV_Data_An_Prec!$AM:$AM,BV_Data_An_Prec!$AO:$AO,$Z21)</f>
        <v>0</v>
      </c>
      <c r="V21" s="817">
        <f t="shared" si="11"/>
        <v>0</v>
      </c>
      <c r="W21" s="814">
        <f t="shared" si="12"/>
        <v>283.49</v>
      </c>
      <c r="X21" s="809"/>
      <c r="Y21" s="700" t="s">
        <v>1160</v>
      </c>
      <c r="Z21" s="700" t="s">
        <v>1161</v>
      </c>
      <c r="AA21" s="700"/>
      <c r="AB21" s="700"/>
      <c r="AC21" s="700"/>
      <c r="AD21" s="700"/>
      <c r="AE21" s="700"/>
      <c r="AF21" s="700"/>
      <c r="AG21" s="700"/>
      <c r="AH21" s="700"/>
      <c r="AI21" s="700"/>
      <c r="AJ21" s="700"/>
      <c r="AK21" s="700"/>
      <c r="AL21" s="700"/>
      <c r="AM21" s="700"/>
      <c r="AN21" s="700"/>
      <c r="AO21" s="700"/>
      <c r="AP21" s="700"/>
      <c r="AQ21" s="700"/>
      <c r="AR21" s="700"/>
    </row>
    <row r="22" ht="15.75" customHeight="1">
      <c r="A22" s="700"/>
      <c r="B22" s="700"/>
      <c r="C22" s="559" t="s">
        <v>1162</v>
      </c>
      <c r="D22" s="809"/>
      <c r="E22" s="809"/>
      <c r="F22" s="812"/>
      <c r="G22" s="809"/>
      <c r="H22" s="811"/>
      <c r="I22" s="809"/>
      <c r="J22" s="809"/>
      <c r="K22" s="809"/>
      <c r="L22" s="811">
        <f>SUMIFS(BV_Data_An_Cour!$AW:$AW,BV_Data_An_Cour!$AO:$AO,$Y22)</f>
        <v>5</v>
      </c>
      <c r="M22" s="703">
        <f>-SUMIFS(BV_Data_An_Cour!$AM:$AM,BV_Data_An_Cour!$AO:$AO,$Y22)</f>
        <v>4386.61</v>
      </c>
      <c r="N22" s="704">
        <f t="shared" si="7"/>
        <v>1</v>
      </c>
      <c r="O22" s="814">
        <f>-SUMIFS(BV_Data_An_Cour!$AM:$AM,BV_Data_An_Cour!$AO:$AO,$Y22)-SUMIFS(BV_Data_An_Cour!$AM:$AM,BV_Data_An_Cour!$AO:$AO,$Z22)</f>
        <v>4386.61</v>
      </c>
      <c r="P22" s="817">
        <f t="shared" si="8"/>
        <v>0</v>
      </c>
      <c r="Q22" s="814">
        <f t="shared" si="9"/>
        <v>4386.61</v>
      </c>
      <c r="R22" s="809">
        <f>SUMIFS(BV_Data_An_Prec!$AW:$AW,BV_Data_An_Prec!$AO:$AO,$Y22)</f>
        <v>0</v>
      </c>
      <c r="S22" s="815">
        <f>-SUMIFS(BV_Data_An_Prec!$AM:$AM,BV_Data_An_Prec!$AO:$AO,$Y22)</f>
        <v>0</v>
      </c>
      <c r="T22" s="704">
        <f t="shared" si="10"/>
        <v>0</v>
      </c>
      <c r="U22" s="816">
        <f>-SUMIFS(BV_Data_An_Prec!$AM:$AM,BV_Data_An_Prec!$AO:$AO,$Y22)-SUMIFS(BV_Data_An_Prec!$AM:$AM,BV_Data_An_Prec!$AO:$AO,$Z22)</f>
        <v>0</v>
      </c>
      <c r="V22" s="817">
        <f t="shared" si="11"/>
        <v>0</v>
      </c>
      <c r="W22" s="814">
        <f t="shared" si="12"/>
        <v>4386.61</v>
      </c>
      <c r="X22" s="809"/>
      <c r="Y22" s="700" t="s">
        <v>1163</v>
      </c>
      <c r="Z22" s="700" t="s">
        <v>1164</v>
      </c>
      <c r="AA22" s="700"/>
      <c r="AB22" s="700"/>
      <c r="AC22" s="700"/>
      <c r="AD22" s="700"/>
      <c r="AE22" s="700"/>
      <c r="AF22" s="700"/>
      <c r="AG22" s="700"/>
      <c r="AH22" s="700"/>
      <c r="AI22" s="700"/>
      <c r="AJ22" s="700"/>
      <c r="AK22" s="700"/>
      <c r="AL22" s="700"/>
      <c r="AM22" s="700"/>
      <c r="AN22" s="700"/>
      <c r="AO22" s="700"/>
      <c r="AP22" s="700"/>
      <c r="AQ22" s="700"/>
      <c r="AR22" s="700"/>
    </row>
    <row r="23" ht="15.75" customHeight="1">
      <c r="A23" s="700"/>
      <c r="B23" s="700"/>
      <c r="C23" s="559" t="s">
        <v>1165</v>
      </c>
      <c r="D23" s="809"/>
      <c r="E23" s="809"/>
      <c r="F23" s="812"/>
      <c r="G23" s="809"/>
      <c r="H23" s="811"/>
      <c r="I23" s="809"/>
      <c r="J23" s="809"/>
      <c r="K23" s="809"/>
      <c r="L23" s="811">
        <f>SUMIFS(BV_Data_An_Cour!$AW:$AW,BV_Data_An_Cour!$AO:$AO,$Y23)</f>
        <v>0</v>
      </c>
      <c r="M23" s="703">
        <f>-SUMIFS(BV_Data_An_Cour!$AM:$AM,BV_Data_An_Cour!$AO:$AO,$Y23)</f>
        <v>0</v>
      </c>
      <c r="N23" s="704">
        <f t="shared" si="7"/>
        <v>0</v>
      </c>
      <c r="O23" s="814">
        <f>-SUMIFS(BV_Data_An_Cour!$AM:$AM,BV_Data_An_Cour!$AO:$AO,$Y23)-SUMIFS(BV_Data_An_Cour!$AM:$AM,BV_Data_An_Cour!$AO:$AO,$Z23)</f>
        <v>0</v>
      </c>
      <c r="P23" s="817">
        <f t="shared" si="8"/>
        <v>0</v>
      </c>
      <c r="Q23" s="814">
        <f t="shared" si="9"/>
        <v>0</v>
      </c>
      <c r="R23" s="809">
        <f>SUMIFS(BV_Data_An_Prec!$AW:$AW,BV_Data_An_Prec!$AO:$AO,$Y23)</f>
        <v>0</v>
      </c>
      <c r="S23" s="815">
        <f>-SUMIFS(BV_Data_An_Prec!$AM:$AM,BV_Data_An_Prec!$AO:$AO,$Y23)</f>
        <v>0</v>
      </c>
      <c r="T23" s="704">
        <f t="shared" si="10"/>
        <v>0</v>
      </c>
      <c r="U23" s="816">
        <f>-SUMIFS(BV_Data_An_Prec!$AM:$AM,BV_Data_An_Prec!$AO:$AO,$Y23)-SUMIFS(BV_Data_An_Prec!$AM:$AM,BV_Data_An_Prec!$AO:$AO,$Z23)</f>
        <v>0</v>
      </c>
      <c r="V23" s="817">
        <f t="shared" si="11"/>
        <v>0</v>
      </c>
      <c r="W23" s="814">
        <f t="shared" si="12"/>
        <v>0</v>
      </c>
      <c r="X23" s="809"/>
      <c r="Y23" s="700" t="s">
        <v>1166</v>
      </c>
      <c r="Z23" s="700" t="s">
        <v>1167</v>
      </c>
      <c r="AA23" s="700"/>
      <c r="AB23" s="700"/>
      <c r="AC23" s="700"/>
      <c r="AD23" s="700"/>
      <c r="AE23" s="700"/>
      <c r="AF23" s="700"/>
      <c r="AG23" s="700"/>
      <c r="AH23" s="700"/>
      <c r="AI23" s="700"/>
      <c r="AJ23" s="700"/>
      <c r="AK23" s="700"/>
      <c r="AL23" s="700"/>
      <c r="AM23" s="700"/>
      <c r="AN23" s="700"/>
      <c r="AO23" s="700"/>
      <c r="AP23" s="700"/>
      <c r="AQ23" s="700"/>
      <c r="AR23" s="700"/>
    </row>
    <row r="24" ht="15.75" customHeight="1">
      <c r="A24" s="700"/>
      <c r="B24" s="700"/>
      <c r="C24" s="560" t="s">
        <v>1141</v>
      </c>
      <c r="D24" s="818"/>
      <c r="E24" s="818"/>
      <c r="F24" s="819"/>
      <c r="G24" s="818"/>
      <c r="H24" s="820"/>
      <c r="I24" s="818"/>
      <c r="J24" s="818"/>
      <c r="K24" s="818"/>
      <c r="L24" s="820">
        <f>SUMIFS(BV_Data_An_Cour!$AW:$AW,BV_Data_An_Cour!$AO:$AO,$Y24)</f>
        <v>0</v>
      </c>
      <c r="M24" s="703">
        <f>-SUMIFS(BV_Data_An_Cour!$AM:$AM,BV_Data_An_Cour!$AO:$AO,$Y24)</f>
        <v>0</v>
      </c>
      <c r="N24" s="704">
        <f t="shared" si="7"/>
        <v>0</v>
      </c>
      <c r="O24" s="814">
        <f>-SUMIFS(BV_Data_An_Cour!$AM:$AM,BV_Data_An_Cour!$AO:$AO,$Y24)-SUMIFS(BV_Data_An_Cour!$AM:$AM,BV_Data_An_Cour!$AO:$AO,$Z24)</f>
        <v>0</v>
      </c>
      <c r="P24" s="821">
        <f t="shared" si="8"/>
        <v>0</v>
      </c>
      <c r="Q24" s="822">
        <f t="shared" si="9"/>
        <v>0</v>
      </c>
      <c r="R24" s="818">
        <f>SUMIFS(BV_Data_An_Prec!$AW:$AW,BV_Data_An_Prec!$AO:$AO,$Y24)</f>
        <v>0</v>
      </c>
      <c r="S24" s="823">
        <f>-SUMIFS(BV_Data_An_Prec!$AM:$AM,BV_Data_An_Prec!$AO:$AO,$Y24)</f>
        <v>0</v>
      </c>
      <c r="T24" s="704">
        <f t="shared" si="10"/>
        <v>0</v>
      </c>
      <c r="U24" s="824">
        <f>-SUMIFS(BV_Data_An_Prec!$AM:$AM,BV_Data_An_Prec!$AO:$AO,$Y24)-SUMIFS(BV_Data_An_Prec!$AM:$AM,BV_Data_An_Prec!$AO:$AO,$Z24)</f>
        <v>0</v>
      </c>
      <c r="V24" s="821">
        <f t="shared" si="11"/>
        <v>0</v>
      </c>
      <c r="W24" s="822">
        <f t="shared" si="12"/>
        <v>0</v>
      </c>
      <c r="X24" s="809"/>
      <c r="Y24" s="700" t="s">
        <v>1168</v>
      </c>
      <c r="Z24" s="700" t="s">
        <v>1169</v>
      </c>
      <c r="AA24" s="700"/>
      <c r="AB24" s="700"/>
      <c r="AC24" s="700"/>
      <c r="AD24" s="700"/>
      <c r="AE24" s="700"/>
      <c r="AF24" s="700"/>
      <c r="AG24" s="700"/>
      <c r="AH24" s="700"/>
      <c r="AI24" s="700"/>
      <c r="AJ24" s="700"/>
      <c r="AK24" s="700"/>
      <c r="AL24" s="700"/>
      <c r="AM24" s="700"/>
      <c r="AN24" s="700"/>
      <c r="AO24" s="700"/>
      <c r="AP24" s="700"/>
      <c r="AQ24" s="700"/>
      <c r="AR24" s="700"/>
    </row>
    <row r="25" ht="18.0" customHeight="1">
      <c r="A25" s="700"/>
      <c r="B25" s="700"/>
      <c r="C25" s="825" t="s">
        <v>952</v>
      </c>
      <c r="D25" s="826"/>
      <c r="E25" s="827">
        <f>SUM(E16:E22)</f>
        <v>0</v>
      </c>
      <c r="F25" s="828" t="str">
        <f>G25/E25</f>
        <v>#DIV/0!</v>
      </c>
      <c r="G25" s="827">
        <f>SUM(G16:G22)</f>
        <v>0</v>
      </c>
      <c r="H25" s="829"/>
      <c r="I25" s="827"/>
      <c r="J25" s="827"/>
      <c r="K25" s="827"/>
      <c r="L25" s="830"/>
      <c r="M25" s="827">
        <f>SUM(M16:M24)</f>
        <v>10652.45</v>
      </c>
      <c r="N25" s="828">
        <f t="shared" si="7"/>
        <v>0.6106398059</v>
      </c>
      <c r="O25" s="827">
        <f>SUM(O16:O24)</f>
        <v>6504.81</v>
      </c>
      <c r="P25" s="831">
        <f t="shared" si="8"/>
        <v>0</v>
      </c>
      <c r="Q25" s="832">
        <f t="shared" si="9"/>
        <v>6504.81</v>
      </c>
      <c r="R25" s="830"/>
      <c r="S25" s="827">
        <f>SUM(S16:S24)</f>
        <v>9764.26</v>
      </c>
      <c r="T25" s="828">
        <f t="shared" si="10"/>
        <v>0.4831200726</v>
      </c>
      <c r="U25" s="827">
        <f>SUM(U16:U24)</f>
        <v>4717.31</v>
      </c>
      <c r="V25" s="831">
        <f t="shared" si="11"/>
        <v>0</v>
      </c>
      <c r="W25" s="832">
        <f>SUM(W16:W24)</f>
        <v>1787.5</v>
      </c>
      <c r="X25" s="809"/>
      <c r="Y25" s="700"/>
      <c r="Z25" s="700"/>
      <c r="AA25" s="700"/>
      <c r="AB25" s="700"/>
      <c r="AC25" s="700"/>
      <c r="AD25" s="700"/>
      <c r="AE25" s="700"/>
      <c r="AF25" s="700"/>
      <c r="AG25" s="700"/>
      <c r="AH25" s="700"/>
      <c r="AI25" s="700"/>
      <c r="AJ25" s="700"/>
      <c r="AK25" s="700"/>
      <c r="AL25" s="700"/>
      <c r="AM25" s="700"/>
      <c r="AN25" s="700"/>
      <c r="AO25" s="700"/>
      <c r="AP25" s="700"/>
      <c r="AQ25" s="700"/>
      <c r="AR25" s="700"/>
    </row>
    <row r="26" ht="15.75" customHeight="1">
      <c r="A26" s="700"/>
      <c r="B26" s="700"/>
      <c r="C26" s="559"/>
      <c r="D26" s="809"/>
      <c r="E26" s="708"/>
      <c r="F26" s="833"/>
      <c r="G26" s="710"/>
      <c r="H26" s="559"/>
      <c r="I26" s="708"/>
      <c r="J26" s="708"/>
      <c r="K26" s="710"/>
      <c r="L26" s="834"/>
      <c r="M26" s="703"/>
      <c r="N26" s="700"/>
      <c r="O26" s="814"/>
      <c r="P26" s="817"/>
      <c r="Q26" s="814"/>
      <c r="R26" s="834"/>
      <c r="S26" s="703"/>
      <c r="T26" s="700"/>
      <c r="U26" s="814"/>
      <c r="V26" s="834"/>
      <c r="W26" s="814"/>
      <c r="X26" s="809"/>
      <c r="Y26" s="700"/>
      <c r="Z26" s="700"/>
      <c r="AA26" s="700"/>
      <c r="AB26" s="700"/>
      <c r="AC26" s="700"/>
      <c r="AD26" s="700"/>
      <c r="AE26" s="700"/>
      <c r="AF26" s="700"/>
      <c r="AG26" s="700"/>
      <c r="AH26" s="700"/>
      <c r="AI26" s="700"/>
      <c r="AJ26" s="700"/>
      <c r="AK26" s="700"/>
      <c r="AL26" s="700"/>
      <c r="AM26" s="700"/>
      <c r="AN26" s="700"/>
      <c r="AO26" s="700"/>
      <c r="AP26" s="700"/>
      <c r="AQ26" s="700"/>
      <c r="AR26" s="700"/>
    </row>
    <row r="27" ht="15.75" customHeight="1">
      <c r="A27" s="700"/>
      <c r="B27" s="700"/>
      <c r="C27" s="559" t="s">
        <v>1170</v>
      </c>
      <c r="D27" s="809"/>
      <c r="E27" s="809"/>
      <c r="F27" s="812"/>
      <c r="G27" s="809"/>
      <c r="H27" s="811"/>
      <c r="I27" s="809"/>
      <c r="J27" s="809"/>
      <c r="K27" s="809"/>
      <c r="L27" s="811">
        <f>SUMIFS(BV_Data_An_Cour!$AW:$AW,BV_Data_An_Cour!$AO:$AO,$Y27)</f>
        <v>13</v>
      </c>
      <c r="M27" s="703">
        <f>-SUMIFS(BV_Data_An_Cour!$AM:$AM,BV_Data_An_Cour!$AO:$AO,$Y27)</f>
        <v>15228.61</v>
      </c>
      <c r="N27" s="704">
        <f t="shared" ref="N27:N36" si="13">IFERROR(O27/M27,0)</f>
        <v>0.7013056346</v>
      </c>
      <c r="O27" s="814">
        <f>-SUMIFS(BV_Data_An_Cour!$AM:$AM,BV_Data_An_Cour!$AO:$AO,$Y27)-SUMIFS(BV_Data_An_Cour!$AM:$AM,BV_Data_An_Cour!$AO:$AO,$Z27)</f>
        <v>10679.91</v>
      </c>
      <c r="P27" s="817">
        <f t="shared" ref="P27:P36" si="14">IFERROR((M27-E27)/E27,0)</f>
        <v>0</v>
      </c>
      <c r="Q27" s="814">
        <f t="shared" ref="Q27:Q36" si="15">O27-G27</f>
        <v>10679.91</v>
      </c>
      <c r="R27" s="809">
        <f>SUMIFS(BV_Data_An_Prec!$AW:$AW,BV_Data_An_Prec!$AO:$AO,$Y27)</f>
        <v>0</v>
      </c>
      <c r="S27" s="815">
        <f>-SUMIFS(BV_Data_An_Prec!$AM:$AM,BV_Data_An_Prec!$AO:$AO,$Y27)</f>
        <v>0</v>
      </c>
      <c r="T27" s="704">
        <f t="shared" ref="T27:T36" si="16">IFERROR(U27/S27,0)</f>
        <v>0</v>
      </c>
      <c r="U27" s="816">
        <f>-SUMIFS(BV_Data_An_Prec!$AM:$AM,BV_Data_An_Prec!$AO:$AO,$Y27)-SUMIFS(BV_Data_An_Prec!$AM:$AM,BV_Data_An_Prec!$AO:$AO,$Z27)</f>
        <v>0</v>
      </c>
      <c r="V27" s="817">
        <f t="shared" ref="V27:V36" si="17">IF(R27=0,0,L27/R27)</f>
        <v>0</v>
      </c>
      <c r="W27" s="814">
        <f t="shared" ref="W27:W36" si="18">O27-U27</f>
        <v>10679.91</v>
      </c>
      <c r="X27" s="809"/>
      <c r="Y27" s="700" t="s">
        <v>1171</v>
      </c>
      <c r="Z27" s="700" t="s">
        <v>1172</v>
      </c>
      <c r="AA27" s="700"/>
      <c r="AB27" s="700"/>
      <c r="AC27" s="700"/>
      <c r="AD27" s="700"/>
      <c r="AE27" s="700"/>
      <c r="AF27" s="700"/>
      <c r="AG27" s="700"/>
      <c r="AH27" s="700"/>
      <c r="AI27" s="700"/>
      <c r="AJ27" s="700"/>
      <c r="AK27" s="700"/>
      <c r="AL27" s="700"/>
      <c r="AM27" s="700"/>
      <c r="AN27" s="700"/>
      <c r="AO27" s="700"/>
      <c r="AP27" s="700"/>
      <c r="AQ27" s="700"/>
      <c r="AR27" s="700"/>
    </row>
    <row r="28" ht="15.75" customHeight="1">
      <c r="A28" s="700"/>
      <c r="B28" s="700"/>
      <c r="C28" s="559" t="s">
        <v>1173</v>
      </c>
      <c r="D28" s="809"/>
      <c r="E28" s="809"/>
      <c r="F28" s="812"/>
      <c r="G28" s="809"/>
      <c r="H28" s="811"/>
      <c r="I28" s="809"/>
      <c r="J28" s="809"/>
      <c r="K28" s="809"/>
      <c r="L28" s="811">
        <f>SUMIFS(BV_Data_An_Cour!$AW:$AW,BV_Data_An_Cour!$AO:$AO,$Y28)</f>
        <v>15</v>
      </c>
      <c r="M28" s="703">
        <f>-SUMIFS(BV_Data_An_Cour!$AM:$AM,BV_Data_An_Cour!$AO:$AO,$Y28)</f>
        <v>6684.13</v>
      </c>
      <c r="N28" s="704">
        <f t="shared" si="13"/>
        <v>0.759104027</v>
      </c>
      <c r="O28" s="814">
        <f>-SUMIFS(BV_Data_An_Cour!$AM:$AM,BV_Data_An_Cour!$AO:$AO,$Y28)-SUMIFS(BV_Data_An_Cour!$AM:$AM,BV_Data_An_Cour!$AO:$AO,$Z28)</f>
        <v>5073.95</v>
      </c>
      <c r="P28" s="817">
        <f t="shared" si="14"/>
        <v>0</v>
      </c>
      <c r="Q28" s="814">
        <f t="shared" si="15"/>
        <v>5073.95</v>
      </c>
      <c r="R28" s="809">
        <f>SUMIFS(BV_Data_An_Prec!$AW:$AW,BV_Data_An_Prec!$AO:$AO,$Y28)</f>
        <v>0</v>
      </c>
      <c r="S28" s="815">
        <f>-SUMIFS(BV_Data_An_Prec!$AM:$AM,BV_Data_An_Prec!$AO:$AO,$Y28)</f>
        <v>0</v>
      </c>
      <c r="T28" s="704">
        <f t="shared" si="16"/>
        <v>0</v>
      </c>
      <c r="U28" s="816">
        <f>-SUMIFS(BV_Data_An_Prec!$AM:$AM,BV_Data_An_Prec!$AO:$AO,$Y28)-SUMIFS(BV_Data_An_Prec!$AM:$AM,BV_Data_An_Prec!$AO:$AO,$Z28)</f>
        <v>0</v>
      </c>
      <c r="V28" s="817">
        <f t="shared" si="17"/>
        <v>0</v>
      </c>
      <c r="W28" s="814">
        <f t="shared" si="18"/>
        <v>5073.95</v>
      </c>
      <c r="X28" s="809"/>
      <c r="Y28" s="700" t="s">
        <v>1174</v>
      </c>
      <c r="Z28" s="700" t="s">
        <v>1175</v>
      </c>
      <c r="AA28" s="700"/>
      <c r="AB28" s="700"/>
      <c r="AC28" s="700"/>
      <c r="AD28" s="700"/>
      <c r="AE28" s="700"/>
      <c r="AF28" s="700"/>
      <c r="AG28" s="700"/>
      <c r="AH28" s="700"/>
      <c r="AI28" s="700"/>
      <c r="AJ28" s="700"/>
      <c r="AK28" s="700"/>
      <c r="AL28" s="700"/>
      <c r="AM28" s="700"/>
      <c r="AN28" s="700"/>
      <c r="AO28" s="700"/>
      <c r="AP28" s="700"/>
      <c r="AQ28" s="700"/>
      <c r="AR28" s="700"/>
    </row>
    <row r="29" ht="15.75" customHeight="1">
      <c r="A29" s="700"/>
      <c r="B29" s="700"/>
      <c r="C29" s="559" t="s">
        <v>1176</v>
      </c>
      <c r="D29" s="809"/>
      <c r="E29" s="809"/>
      <c r="F29" s="812"/>
      <c r="G29" s="809"/>
      <c r="H29" s="811"/>
      <c r="I29" s="809"/>
      <c r="J29" s="809"/>
      <c r="K29" s="809"/>
      <c r="L29" s="811">
        <f>SUMIFS(BV_Data_An_Cour!$AW:$AW,BV_Data_An_Cour!$AO:$AO,$Y29)</f>
        <v>0</v>
      </c>
      <c r="M29" s="703">
        <f>-SUMIFS(BV_Data_An_Cour!$AM:$AM,BV_Data_An_Cour!$AO:$AO,$Y29)</f>
        <v>0</v>
      </c>
      <c r="N29" s="704">
        <f t="shared" si="13"/>
        <v>0</v>
      </c>
      <c r="O29" s="814">
        <f>-SUMIFS(BV_Data_An_Cour!$AM:$AM,BV_Data_An_Cour!$AO:$AO,$Y29)-SUMIFS(BV_Data_An_Cour!$AM:$AM,BV_Data_An_Cour!$AO:$AO,$Z29)</f>
        <v>0</v>
      </c>
      <c r="P29" s="817">
        <f t="shared" si="14"/>
        <v>0</v>
      </c>
      <c r="Q29" s="814">
        <f t="shared" si="15"/>
        <v>0</v>
      </c>
      <c r="R29" s="809">
        <f>SUMIFS(BV_Data_An_Prec!$AW:$AW,BV_Data_An_Prec!$AO:$AO,$Y29)</f>
        <v>0</v>
      </c>
      <c r="S29" s="815">
        <f>-SUMIFS(BV_Data_An_Prec!$AM:$AM,BV_Data_An_Prec!$AO:$AO,$Y29)</f>
        <v>0</v>
      </c>
      <c r="T29" s="704">
        <f t="shared" si="16"/>
        <v>0</v>
      </c>
      <c r="U29" s="816">
        <f>-SUMIFS(BV_Data_An_Prec!$AM:$AM,BV_Data_An_Prec!$AO:$AO,$Y29)-SUMIFS(BV_Data_An_Prec!$AM:$AM,BV_Data_An_Prec!$AO:$AO,$Z29)</f>
        <v>0</v>
      </c>
      <c r="V29" s="817">
        <f t="shared" si="17"/>
        <v>0</v>
      </c>
      <c r="W29" s="814">
        <f t="shared" si="18"/>
        <v>0</v>
      </c>
      <c r="X29" s="809"/>
      <c r="Y29" s="700" t="s">
        <v>1177</v>
      </c>
      <c r="Z29" s="700" t="s">
        <v>1178</v>
      </c>
      <c r="AA29" s="700"/>
      <c r="AB29" s="700"/>
      <c r="AC29" s="700"/>
      <c r="AD29" s="700"/>
      <c r="AE29" s="700"/>
      <c r="AF29" s="700"/>
      <c r="AG29" s="700"/>
      <c r="AH29" s="700"/>
      <c r="AI29" s="700"/>
      <c r="AJ29" s="700"/>
      <c r="AK29" s="700"/>
      <c r="AL29" s="700"/>
      <c r="AM29" s="700"/>
      <c r="AN29" s="700"/>
      <c r="AO29" s="700"/>
      <c r="AP29" s="700"/>
      <c r="AQ29" s="700"/>
      <c r="AR29" s="700"/>
    </row>
    <row r="30" ht="15.75" customHeight="1">
      <c r="A30" s="700"/>
      <c r="B30" s="700"/>
      <c r="C30" s="559" t="s">
        <v>1179</v>
      </c>
      <c r="D30" s="809"/>
      <c r="E30" s="809"/>
      <c r="F30" s="812"/>
      <c r="G30" s="809"/>
      <c r="H30" s="811"/>
      <c r="I30" s="809"/>
      <c r="J30" s="809"/>
      <c r="K30" s="809"/>
      <c r="L30" s="811">
        <f>SUMIFS(BV_Data_An_Cour!$AW:$AW,BV_Data_An_Cour!$AO:$AO,$Y30)</f>
        <v>0</v>
      </c>
      <c r="M30" s="703">
        <f>-SUMIFS(BV_Data_An_Cour!$AM:$AM,BV_Data_An_Cour!$AO:$AO,$Y30)</f>
        <v>0</v>
      </c>
      <c r="N30" s="704">
        <f t="shared" si="13"/>
        <v>0</v>
      </c>
      <c r="O30" s="814">
        <f>-SUMIFS(BV_Data_An_Cour!$AM:$AM,BV_Data_An_Cour!$AO:$AO,$Y30)-SUMIFS(BV_Data_An_Cour!$AM:$AM,BV_Data_An_Cour!$AO:$AO,$Z30)</f>
        <v>0</v>
      </c>
      <c r="P30" s="817">
        <f t="shared" si="14"/>
        <v>0</v>
      </c>
      <c r="Q30" s="814">
        <f t="shared" si="15"/>
        <v>0</v>
      </c>
      <c r="R30" s="809">
        <f>SUMIFS(BV_Data_An_Prec!$AW:$AW,BV_Data_An_Prec!$AO:$AO,$Y30)</f>
        <v>0</v>
      </c>
      <c r="S30" s="815">
        <f>-SUMIFS(BV_Data_An_Prec!$AM:$AM,BV_Data_An_Prec!$AO:$AO,$Y30)</f>
        <v>0</v>
      </c>
      <c r="T30" s="704">
        <f t="shared" si="16"/>
        <v>0</v>
      </c>
      <c r="U30" s="816">
        <f>-SUMIFS(BV_Data_An_Prec!$AM:$AM,BV_Data_An_Prec!$AO:$AO,$Y30)-SUMIFS(BV_Data_An_Prec!$AM:$AM,BV_Data_An_Prec!$AO:$AO,$Z30)</f>
        <v>0</v>
      </c>
      <c r="V30" s="817">
        <f t="shared" si="17"/>
        <v>0</v>
      </c>
      <c r="W30" s="814">
        <f t="shared" si="18"/>
        <v>0</v>
      </c>
      <c r="X30" s="809"/>
      <c r="Y30" s="700" t="s">
        <v>1180</v>
      </c>
      <c r="Z30" s="700" t="s">
        <v>1181</v>
      </c>
      <c r="AA30" s="700"/>
      <c r="AB30" s="700"/>
      <c r="AC30" s="700"/>
      <c r="AD30" s="700"/>
      <c r="AE30" s="700"/>
      <c r="AF30" s="700"/>
      <c r="AG30" s="700"/>
      <c r="AH30" s="700"/>
      <c r="AI30" s="700"/>
      <c r="AJ30" s="700"/>
      <c r="AK30" s="700"/>
      <c r="AL30" s="700"/>
      <c r="AM30" s="700"/>
      <c r="AN30" s="700"/>
      <c r="AO30" s="700"/>
      <c r="AP30" s="700"/>
      <c r="AQ30" s="700"/>
      <c r="AR30" s="700"/>
    </row>
    <row r="31" ht="15.75" customHeight="1">
      <c r="A31" s="700"/>
      <c r="B31" s="700"/>
      <c r="C31" s="559" t="s">
        <v>1182</v>
      </c>
      <c r="D31" s="809"/>
      <c r="E31" s="809"/>
      <c r="F31" s="812"/>
      <c r="G31" s="809"/>
      <c r="H31" s="811"/>
      <c r="I31" s="809"/>
      <c r="J31" s="809"/>
      <c r="K31" s="809"/>
      <c r="L31" s="811">
        <f>SUMIFS(BV_Data_An_Cour!$AW:$AW,BV_Data_An_Cour!$AO:$AO,$Y31)</f>
        <v>17</v>
      </c>
      <c r="M31" s="703">
        <f>-SUMIFS(BV_Data_An_Cour!$AM:$AM,BV_Data_An_Cour!$AO:$AO,$Y31)</f>
        <v>4549.08</v>
      </c>
      <c r="N31" s="704">
        <f t="shared" si="13"/>
        <v>0.3039559647</v>
      </c>
      <c r="O31" s="814">
        <f>-SUMIFS(BV_Data_An_Cour!$AM:$AM,BV_Data_An_Cour!$AO:$AO,$Y31)-SUMIFS(BV_Data_An_Cour!$AM:$AM,BV_Data_An_Cour!$AO:$AO,$Z31)</f>
        <v>1382.72</v>
      </c>
      <c r="P31" s="817">
        <f t="shared" si="14"/>
        <v>0</v>
      </c>
      <c r="Q31" s="814">
        <f t="shared" si="15"/>
        <v>1382.72</v>
      </c>
      <c r="R31" s="809">
        <f>SUMIFS(BV_Data_An_Prec!$AW:$AW,BV_Data_An_Prec!$AO:$AO,$Y31)</f>
        <v>0</v>
      </c>
      <c r="S31" s="815">
        <f>-SUMIFS(BV_Data_An_Prec!$AM:$AM,BV_Data_An_Prec!$AO:$AO,$Y31)</f>
        <v>0</v>
      </c>
      <c r="T31" s="704">
        <f t="shared" si="16"/>
        <v>0</v>
      </c>
      <c r="U31" s="816">
        <f>-SUMIFS(BV_Data_An_Prec!$AM:$AM,BV_Data_An_Prec!$AO:$AO,$Y31)-SUMIFS(BV_Data_An_Prec!$AM:$AM,BV_Data_An_Prec!$AO:$AO,$Z31)</f>
        <v>0</v>
      </c>
      <c r="V31" s="817">
        <f t="shared" si="17"/>
        <v>0</v>
      </c>
      <c r="W31" s="814">
        <f t="shared" si="18"/>
        <v>1382.72</v>
      </c>
      <c r="X31" s="809"/>
      <c r="Y31" s="700" t="s">
        <v>1183</v>
      </c>
      <c r="Z31" s="700" t="s">
        <v>1184</v>
      </c>
      <c r="AA31" s="700"/>
      <c r="AB31" s="700"/>
      <c r="AC31" s="700"/>
      <c r="AD31" s="700"/>
      <c r="AE31" s="700"/>
      <c r="AF31" s="700"/>
      <c r="AG31" s="700"/>
      <c r="AH31" s="700"/>
      <c r="AI31" s="700"/>
      <c r="AJ31" s="700"/>
      <c r="AK31" s="700"/>
      <c r="AL31" s="700"/>
      <c r="AM31" s="700"/>
      <c r="AN31" s="700"/>
      <c r="AO31" s="700"/>
      <c r="AP31" s="700"/>
      <c r="AQ31" s="700"/>
      <c r="AR31" s="700"/>
    </row>
    <row r="32" ht="15.75" customHeight="1">
      <c r="A32" s="700"/>
      <c r="B32" s="700"/>
      <c r="C32" s="559" t="s">
        <v>1185</v>
      </c>
      <c r="D32" s="809"/>
      <c r="E32" s="809"/>
      <c r="F32" s="812"/>
      <c r="G32" s="809"/>
      <c r="H32" s="811"/>
      <c r="I32" s="809"/>
      <c r="J32" s="809"/>
      <c r="K32" s="809"/>
      <c r="L32" s="811">
        <f>SUMIFS(BV_Data_An_Cour!$AW:$AW,BV_Data_An_Cour!$AO:$AO,$Y32)</f>
        <v>14</v>
      </c>
      <c r="M32" s="703">
        <f>-SUMIFS(BV_Data_An_Cour!$AM:$AM,BV_Data_An_Cour!$AO:$AO,$Y32)</f>
        <v>1980.51</v>
      </c>
      <c r="N32" s="704">
        <f t="shared" si="13"/>
        <v>0.174934739</v>
      </c>
      <c r="O32" s="814">
        <f>-SUMIFS(BV_Data_An_Cour!$AM:$AM,BV_Data_An_Cour!$AO:$AO,$Y32)-SUMIFS(BV_Data_An_Cour!$AM:$AM,BV_Data_An_Cour!$AO:$AO,$Z32)</f>
        <v>346.46</v>
      </c>
      <c r="P32" s="817">
        <f t="shared" si="14"/>
        <v>0</v>
      </c>
      <c r="Q32" s="814">
        <f t="shared" si="15"/>
        <v>346.46</v>
      </c>
      <c r="R32" s="809">
        <f>SUMIFS(BV_Data_An_Prec!$AW:$AW,BV_Data_An_Prec!$AO:$AO,$Y32)</f>
        <v>0</v>
      </c>
      <c r="S32" s="815">
        <f>-SUMIFS(BV_Data_An_Prec!$AM:$AM,BV_Data_An_Prec!$AO:$AO,$Y32)</f>
        <v>0</v>
      </c>
      <c r="T32" s="704">
        <f t="shared" si="16"/>
        <v>0</v>
      </c>
      <c r="U32" s="816">
        <f>-SUMIFS(BV_Data_An_Prec!$AM:$AM,BV_Data_An_Prec!$AO:$AO,$Y32)-SUMIFS(BV_Data_An_Prec!$AM:$AM,BV_Data_An_Prec!$AO:$AO,$Z32)</f>
        <v>0</v>
      </c>
      <c r="V32" s="817">
        <f t="shared" si="17"/>
        <v>0</v>
      </c>
      <c r="W32" s="814">
        <f t="shared" si="18"/>
        <v>346.46</v>
      </c>
      <c r="X32" s="809"/>
      <c r="Y32" s="700" t="s">
        <v>1186</v>
      </c>
      <c r="Z32" s="700" t="s">
        <v>1187</v>
      </c>
      <c r="AA32" s="700"/>
      <c r="AB32" s="700"/>
      <c r="AC32" s="700"/>
      <c r="AD32" s="700"/>
      <c r="AE32" s="700"/>
      <c r="AF32" s="700"/>
      <c r="AG32" s="700"/>
      <c r="AH32" s="700"/>
      <c r="AI32" s="700"/>
      <c r="AJ32" s="700"/>
      <c r="AK32" s="700"/>
      <c r="AL32" s="700"/>
      <c r="AM32" s="700"/>
      <c r="AN32" s="700"/>
      <c r="AO32" s="700"/>
      <c r="AP32" s="700"/>
      <c r="AQ32" s="700"/>
      <c r="AR32" s="700"/>
    </row>
    <row r="33" ht="15.75" customHeight="1">
      <c r="A33" s="700"/>
      <c r="B33" s="700"/>
      <c r="C33" s="559" t="s">
        <v>1188</v>
      </c>
      <c r="D33" s="809"/>
      <c r="E33" s="809"/>
      <c r="F33" s="812"/>
      <c r="G33" s="809"/>
      <c r="H33" s="811"/>
      <c r="I33" s="809"/>
      <c r="J33" s="809"/>
      <c r="K33" s="809"/>
      <c r="L33" s="811">
        <f>SUMIFS(BV_Data_An_Cour!$AW:$AW,BV_Data_An_Cour!$AO:$AO,$Y33)</f>
        <v>3</v>
      </c>
      <c r="M33" s="703">
        <f>-SUMIFS(BV_Data_An_Cour!$AM:$AM,BV_Data_An_Cour!$AO:$AO,$Y33)</f>
        <v>823</v>
      </c>
      <c r="N33" s="704">
        <f t="shared" si="13"/>
        <v>-0.008505467801</v>
      </c>
      <c r="O33" s="814">
        <f>-SUMIFS(BV_Data_An_Cour!$AM:$AM,BV_Data_An_Cour!$AO:$AO,$Y33)-SUMIFS(BV_Data_An_Cour!$AM:$AM,BV_Data_An_Cour!$AO:$AO,$Z33)</f>
        <v>-7</v>
      </c>
      <c r="P33" s="817">
        <f t="shared" si="14"/>
        <v>0</v>
      </c>
      <c r="Q33" s="814">
        <f t="shared" si="15"/>
        <v>-7</v>
      </c>
      <c r="R33" s="809">
        <f>SUMIFS(BV_Data_An_Prec!$AW:$AW,BV_Data_An_Prec!$AO:$AO,$Y33)</f>
        <v>0</v>
      </c>
      <c r="S33" s="815">
        <f>-SUMIFS(BV_Data_An_Prec!$AM:$AM,BV_Data_An_Prec!$AO:$AO,$Y33)</f>
        <v>0</v>
      </c>
      <c r="T33" s="704">
        <f t="shared" si="16"/>
        <v>0</v>
      </c>
      <c r="U33" s="816">
        <f>-SUMIFS(BV_Data_An_Prec!$AM:$AM,BV_Data_An_Prec!$AO:$AO,$Y33)-SUMIFS(BV_Data_An_Prec!$AM:$AM,BV_Data_An_Prec!$AO:$AO,$Z33)</f>
        <v>0</v>
      </c>
      <c r="V33" s="817">
        <f t="shared" si="17"/>
        <v>0</v>
      </c>
      <c r="W33" s="814">
        <f t="shared" si="18"/>
        <v>-7</v>
      </c>
      <c r="X33" s="809"/>
      <c r="Y33" s="700" t="s">
        <v>1189</v>
      </c>
      <c r="Z33" s="700" t="s">
        <v>1190</v>
      </c>
      <c r="AA33" s="700"/>
      <c r="AB33" s="700"/>
      <c r="AC33" s="700"/>
      <c r="AD33" s="700"/>
      <c r="AE33" s="700"/>
      <c r="AF33" s="700"/>
      <c r="AG33" s="700"/>
      <c r="AH33" s="700"/>
      <c r="AI33" s="700"/>
      <c r="AJ33" s="700"/>
      <c r="AK33" s="700"/>
      <c r="AL33" s="700"/>
      <c r="AM33" s="700"/>
      <c r="AN33" s="700"/>
      <c r="AO33" s="700"/>
      <c r="AP33" s="700"/>
      <c r="AQ33" s="700"/>
      <c r="AR33" s="700"/>
    </row>
    <row r="34" ht="15.75" customHeight="1">
      <c r="A34" s="700"/>
      <c r="B34" s="700"/>
      <c r="C34" s="559" t="s">
        <v>1141</v>
      </c>
      <c r="D34" s="809"/>
      <c r="E34" s="809"/>
      <c r="F34" s="812"/>
      <c r="G34" s="809"/>
      <c r="H34" s="811"/>
      <c r="I34" s="809"/>
      <c r="J34" s="809"/>
      <c r="K34" s="809"/>
      <c r="L34" s="811">
        <f>SUMIFS(BV_Data_An_Cour!$AW:$AW,BV_Data_An_Cour!$AO:$AO,$Y34)</f>
        <v>0</v>
      </c>
      <c r="M34" s="703">
        <f>-SUMIFS(BV_Data_An_Cour!$AM:$AM,BV_Data_An_Cour!$AO:$AO,$Y34)</f>
        <v>0</v>
      </c>
      <c r="N34" s="704">
        <f t="shared" si="13"/>
        <v>0</v>
      </c>
      <c r="O34" s="814">
        <f>-SUMIFS(BV_Data_An_Cour!$AM:$AM,BV_Data_An_Cour!$AO:$AO,$Y34)-SUMIFS(BV_Data_An_Cour!$AM:$AM,BV_Data_An_Cour!$AO:$AO,$Z34)</f>
        <v>0</v>
      </c>
      <c r="P34" s="817">
        <f t="shared" si="14"/>
        <v>0</v>
      </c>
      <c r="Q34" s="814">
        <f t="shared" si="15"/>
        <v>0</v>
      </c>
      <c r="R34" s="809">
        <f>SUMIFS(BV_Data_An_Prec!$AW:$AW,BV_Data_An_Prec!$AO:$AO,$Y34)</f>
        <v>0</v>
      </c>
      <c r="S34" s="815">
        <f>-SUMIFS(BV_Data_An_Prec!$AM:$AM,BV_Data_An_Prec!$AO:$AO,$Y34)</f>
        <v>0</v>
      </c>
      <c r="T34" s="704">
        <f t="shared" si="16"/>
        <v>0</v>
      </c>
      <c r="U34" s="816">
        <f>-SUMIFS(BV_Data_An_Prec!$AM:$AM,BV_Data_An_Prec!$AO:$AO,$Y34)-SUMIFS(BV_Data_An_Prec!$AM:$AM,BV_Data_An_Prec!$AO:$AO,$Z34)</f>
        <v>0</v>
      </c>
      <c r="V34" s="817">
        <f t="shared" si="17"/>
        <v>0</v>
      </c>
      <c r="W34" s="814">
        <f t="shared" si="18"/>
        <v>0</v>
      </c>
      <c r="X34" s="809"/>
      <c r="Y34" s="700" t="s">
        <v>1191</v>
      </c>
      <c r="Z34" s="700" t="s">
        <v>1192</v>
      </c>
      <c r="AA34" s="700"/>
      <c r="AB34" s="700"/>
      <c r="AC34" s="700"/>
      <c r="AD34" s="700"/>
      <c r="AE34" s="700"/>
      <c r="AF34" s="700"/>
      <c r="AG34" s="700"/>
      <c r="AH34" s="700"/>
      <c r="AI34" s="700"/>
      <c r="AJ34" s="700"/>
      <c r="AK34" s="700"/>
      <c r="AL34" s="700"/>
      <c r="AM34" s="700"/>
      <c r="AN34" s="700"/>
      <c r="AO34" s="700"/>
      <c r="AP34" s="700"/>
      <c r="AQ34" s="700"/>
      <c r="AR34" s="700"/>
    </row>
    <row r="35" ht="15.75" customHeight="1">
      <c r="A35" s="700"/>
      <c r="B35" s="700"/>
      <c r="C35" s="560" t="s">
        <v>1193</v>
      </c>
      <c r="D35" s="818"/>
      <c r="E35" s="818"/>
      <c r="F35" s="819"/>
      <c r="G35" s="818"/>
      <c r="H35" s="820"/>
      <c r="I35" s="818"/>
      <c r="J35" s="818"/>
      <c r="K35" s="818"/>
      <c r="L35" s="820">
        <f>SUMIFS(BV_Data_An_Cour!$AW:$AW,BV_Data_An_Cour!$AO:$AO,$Y35)</f>
        <v>-1</v>
      </c>
      <c r="M35" s="703">
        <f>-SUMIFS(BV_Data_An_Cour!$AM:$AM,BV_Data_An_Cour!$AO:$AO,$Y35)</f>
        <v>-1981.6</v>
      </c>
      <c r="N35" s="704">
        <f t="shared" si="13"/>
        <v>1</v>
      </c>
      <c r="O35" s="814">
        <f>-SUMIFS(BV_Data_An_Cour!$AM:$AM,BV_Data_An_Cour!$AO:$AO,$Y35)-SUMIFS(BV_Data_An_Cour!$AM:$AM,BV_Data_An_Cour!$AO:$AO,$Z35)</f>
        <v>-1981.6</v>
      </c>
      <c r="P35" s="821">
        <f t="shared" si="14"/>
        <v>0</v>
      </c>
      <c r="Q35" s="822">
        <f t="shared" si="15"/>
        <v>-1981.6</v>
      </c>
      <c r="R35" s="818">
        <f>SUMIFS(BV_Data_An_Prec!$AW:$AW,BV_Data_An_Prec!$AO:$AO,$Y35)</f>
        <v>0</v>
      </c>
      <c r="S35" s="823">
        <f>-SUMIFS(BV_Data_An_Prec!$AM:$AM,BV_Data_An_Prec!$AO:$AO,$Y35)</f>
        <v>0</v>
      </c>
      <c r="T35" s="704">
        <f t="shared" si="16"/>
        <v>0</v>
      </c>
      <c r="U35" s="824">
        <f>-SUMIFS(BV_Data_An_Prec!$AM:$AM,BV_Data_An_Prec!$AO:$AO,$Y35)-SUMIFS(BV_Data_An_Prec!$AM:$AM,BV_Data_An_Prec!$AO:$AO,$Z35)</f>
        <v>0</v>
      </c>
      <c r="V35" s="821">
        <f t="shared" si="17"/>
        <v>0</v>
      </c>
      <c r="W35" s="822">
        <f t="shared" si="18"/>
        <v>-1981.6</v>
      </c>
      <c r="X35" s="809"/>
      <c r="Y35" s="700" t="s">
        <v>1194</v>
      </c>
      <c r="Z35" s="700" t="s">
        <v>1195</v>
      </c>
      <c r="AA35" s="700"/>
      <c r="AB35" s="700"/>
      <c r="AC35" s="700"/>
      <c r="AD35" s="700"/>
      <c r="AE35" s="700"/>
      <c r="AF35" s="700"/>
      <c r="AG35" s="700"/>
      <c r="AH35" s="700"/>
      <c r="AI35" s="700"/>
      <c r="AJ35" s="700"/>
      <c r="AK35" s="700"/>
      <c r="AL35" s="700"/>
      <c r="AM35" s="700"/>
      <c r="AN35" s="700"/>
      <c r="AO35" s="700"/>
      <c r="AP35" s="700"/>
      <c r="AQ35" s="700"/>
      <c r="AR35" s="700"/>
    </row>
    <row r="36" ht="18.0" customHeight="1">
      <c r="A36" s="700"/>
      <c r="B36" s="700"/>
      <c r="C36" s="825" t="s">
        <v>954</v>
      </c>
      <c r="D36" s="826"/>
      <c r="E36" s="827">
        <f>SUM(E27:E35)</f>
        <v>0</v>
      </c>
      <c r="F36" s="828" t="str">
        <f>G36/E36</f>
        <v>#DIV/0!</v>
      </c>
      <c r="G36" s="827">
        <f>SUM(G27:G35)</f>
        <v>0</v>
      </c>
      <c r="H36" s="829"/>
      <c r="I36" s="827"/>
      <c r="J36" s="827"/>
      <c r="K36" s="827"/>
      <c r="L36" s="830"/>
      <c r="M36" s="827">
        <f>SUM(M27:M35)</f>
        <v>27283.73</v>
      </c>
      <c r="N36" s="828">
        <f t="shared" si="13"/>
        <v>0.5679003567</v>
      </c>
      <c r="O36" s="827">
        <f>SUM(O27:O35)</f>
        <v>15494.44</v>
      </c>
      <c r="P36" s="831">
        <f t="shared" si="14"/>
        <v>0</v>
      </c>
      <c r="Q36" s="832">
        <f t="shared" si="15"/>
        <v>15494.44</v>
      </c>
      <c r="R36" s="830"/>
      <c r="S36" s="827">
        <f>SUM(S27:S35)</f>
        <v>0</v>
      </c>
      <c r="T36" s="828">
        <f t="shared" si="16"/>
        <v>0</v>
      </c>
      <c r="U36" s="827">
        <f>SUM(U27:U35)</f>
        <v>0</v>
      </c>
      <c r="V36" s="831">
        <f t="shared" si="17"/>
        <v>0</v>
      </c>
      <c r="W36" s="832">
        <f t="shared" si="18"/>
        <v>15494.44</v>
      </c>
      <c r="X36" s="809"/>
      <c r="Y36" s="700"/>
      <c r="Z36" s="700"/>
      <c r="AA36" s="700"/>
      <c r="AB36" s="700"/>
      <c r="AC36" s="700"/>
      <c r="AD36" s="700"/>
      <c r="AE36" s="700"/>
      <c r="AF36" s="700"/>
      <c r="AG36" s="700"/>
      <c r="AH36" s="700"/>
      <c r="AI36" s="700"/>
      <c r="AJ36" s="700"/>
      <c r="AK36" s="700"/>
      <c r="AL36" s="700"/>
      <c r="AM36" s="700"/>
      <c r="AN36" s="700"/>
      <c r="AO36" s="700"/>
      <c r="AP36" s="700"/>
      <c r="AQ36" s="700"/>
      <c r="AR36" s="700"/>
    </row>
    <row r="37" ht="15.75" customHeight="1">
      <c r="A37" s="700"/>
      <c r="B37" s="700"/>
      <c r="C37" s="559"/>
      <c r="D37" s="700"/>
      <c r="E37" s="700"/>
      <c r="F37" s="833"/>
      <c r="G37" s="710"/>
      <c r="H37" s="559"/>
      <c r="I37" s="700"/>
      <c r="J37" s="700"/>
      <c r="K37" s="710"/>
      <c r="L37" s="559"/>
      <c r="M37" s="703"/>
      <c r="N37" s="700"/>
      <c r="O37" s="814"/>
      <c r="P37" s="593"/>
      <c r="Q37" s="594"/>
      <c r="R37" s="559"/>
      <c r="S37" s="703"/>
      <c r="T37" s="700"/>
      <c r="U37" s="814"/>
      <c r="V37" s="593"/>
      <c r="W37" s="835"/>
      <c r="X37" s="704"/>
      <c r="Y37" s="700"/>
      <c r="Z37" s="700"/>
      <c r="AA37" s="700"/>
      <c r="AB37" s="700"/>
      <c r="AC37" s="700"/>
      <c r="AD37" s="700"/>
      <c r="AE37" s="700"/>
      <c r="AF37" s="700"/>
      <c r="AG37" s="700"/>
      <c r="AH37" s="700"/>
      <c r="AI37" s="700"/>
      <c r="AJ37" s="700"/>
      <c r="AK37" s="700"/>
      <c r="AL37" s="700"/>
      <c r="AM37" s="700"/>
      <c r="AN37" s="700"/>
      <c r="AO37" s="700"/>
      <c r="AP37" s="700"/>
      <c r="AQ37" s="700"/>
      <c r="AR37" s="700"/>
    </row>
    <row r="38" ht="18.0" customHeight="1">
      <c r="A38" s="700"/>
      <c r="B38" s="700"/>
      <c r="C38" s="559" t="s">
        <v>955</v>
      </c>
      <c r="D38" s="700"/>
      <c r="E38" s="700"/>
      <c r="F38" s="833"/>
      <c r="G38" s="710"/>
      <c r="H38" s="559"/>
      <c r="I38" s="700"/>
      <c r="J38" s="700"/>
      <c r="K38" s="710"/>
      <c r="L38" s="559"/>
      <c r="M38" s="703"/>
      <c r="N38" s="700"/>
      <c r="O38" s="814">
        <f>-SUMIFS(BV_Data_An_Cour!$AM:$AM,BV_Data_An_Cour!$AO:$AO,$Z38)</f>
        <v>0</v>
      </c>
      <c r="P38" s="593"/>
      <c r="Q38" s="594"/>
      <c r="R38" s="559"/>
      <c r="S38" s="703"/>
      <c r="T38" s="700"/>
      <c r="U38" s="814">
        <f>-SUMIFS(BV_Data_An_Prec!$AM:$AM,BV_Data_An_Prec!$AO:$AO,$Y38)-SUMIFS(BV_Data_An_Prec!$AM:$AM,BV_Data_An_Prec!$AO:$AO,$Z38)</f>
        <v>1697.59</v>
      </c>
      <c r="V38" s="593"/>
      <c r="W38" s="835">
        <f>O38-U38</f>
        <v>-1697.59</v>
      </c>
      <c r="X38" s="704"/>
      <c r="Y38" s="700"/>
      <c r="Z38" s="700" t="s">
        <v>1196</v>
      </c>
      <c r="AA38" s="700"/>
      <c r="AB38" s="700"/>
      <c r="AC38" s="700"/>
      <c r="AD38" s="700"/>
      <c r="AE38" s="700"/>
      <c r="AF38" s="700"/>
      <c r="AG38" s="700"/>
      <c r="AH38" s="700"/>
      <c r="AI38" s="700"/>
      <c r="AJ38" s="700"/>
      <c r="AK38" s="700"/>
      <c r="AL38" s="700"/>
      <c r="AM38" s="700"/>
      <c r="AN38" s="700"/>
      <c r="AO38" s="700"/>
      <c r="AP38" s="700"/>
      <c r="AQ38" s="700"/>
      <c r="AR38" s="700"/>
    </row>
    <row r="39" ht="15.75" customHeight="1">
      <c r="A39" s="700"/>
      <c r="B39" s="700"/>
      <c r="C39" s="559"/>
      <c r="D39" s="700"/>
      <c r="E39" s="700"/>
      <c r="F39" s="833"/>
      <c r="G39" s="710"/>
      <c r="H39" s="559"/>
      <c r="I39" s="700"/>
      <c r="J39" s="700"/>
      <c r="K39" s="710"/>
      <c r="L39" s="559"/>
      <c r="M39" s="703"/>
      <c r="N39" s="700"/>
      <c r="O39" s="814"/>
      <c r="P39" s="593"/>
      <c r="Q39" s="594"/>
      <c r="R39" s="559"/>
      <c r="S39" s="703"/>
      <c r="T39" s="700"/>
      <c r="U39" s="814"/>
      <c r="V39" s="593"/>
      <c r="W39" s="835"/>
      <c r="X39" s="704"/>
      <c r="Y39" s="700"/>
      <c r="Z39" s="700"/>
      <c r="AA39" s="700"/>
      <c r="AB39" s="700"/>
      <c r="AC39" s="700"/>
      <c r="AD39" s="700"/>
      <c r="AE39" s="700"/>
      <c r="AF39" s="700"/>
      <c r="AG39" s="700"/>
      <c r="AH39" s="700"/>
      <c r="AI39" s="700"/>
      <c r="AJ39" s="700"/>
      <c r="AK39" s="700"/>
      <c r="AL39" s="700"/>
      <c r="AM39" s="700"/>
      <c r="AN39" s="700"/>
      <c r="AO39" s="700"/>
      <c r="AP39" s="700"/>
      <c r="AQ39" s="700"/>
      <c r="AR39" s="700"/>
    </row>
    <row r="40" ht="15.75" customHeight="1">
      <c r="A40" s="700"/>
      <c r="B40" s="700"/>
      <c r="C40" s="836" t="s">
        <v>957</v>
      </c>
      <c r="D40" s="837"/>
      <c r="E40" s="837">
        <f>E25+E36+E14</f>
        <v>0</v>
      </c>
      <c r="F40" s="838" t="str">
        <f>G40/E40</f>
        <v>#DIV/0!</v>
      </c>
      <c r="G40" s="839">
        <f>G25+G36+G14</f>
        <v>0</v>
      </c>
      <c r="H40" s="840"/>
      <c r="I40" s="837"/>
      <c r="J40" s="837"/>
      <c r="K40" s="839"/>
      <c r="L40" s="840"/>
      <c r="M40" s="837">
        <f>M25+M36+M14</f>
        <v>190529.85</v>
      </c>
      <c r="N40" s="838">
        <f>O40/M40</f>
        <v>0.472914664</v>
      </c>
      <c r="O40" s="839">
        <f>O25+O36+O14+O38</f>
        <v>90104.36</v>
      </c>
      <c r="P40" s="841">
        <f>O41-G41</f>
        <v>0.472914664</v>
      </c>
      <c r="Q40" s="839">
        <f>O40-G40</f>
        <v>90104.36</v>
      </c>
      <c r="R40" s="840"/>
      <c r="S40" s="837">
        <f>S25+S36+S14</f>
        <v>172621.04</v>
      </c>
      <c r="T40" s="838">
        <f>IFERROR(U40/S40,0)</f>
        <v>0.4373033554</v>
      </c>
      <c r="U40" s="839">
        <f>U25+U36+U14+U38</f>
        <v>75487.76</v>
      </c>
      <c r="V40" s="842">
        <f>O41-U41</f>
        <v>0.03561130865</v>
      </c>
      <c r="W40" s="839">
        <f>O40-U40</f>
        <v>14616.6</v>
      </c>
      <c r="X40" s="704"/>
      <c r="Y40" s="700"/>
      <c r="Z40" s="700"/>
      <c r="AA40" s="700"/>
      <c r="AB40" s="700"/>
      <c r="AC40" s="700"/>
      <c r="AD40" s="700"/>
      <c r="AE40" s="700"/>
      <c r="AF40" s="700"/>
      <c r="AG40" s="700"/>
      <c r="AH40" s="700"/>
      <c r="AI40" s="700"/>
      <c r="AJ40" s="700"/>
      <c r="AK40" s="700"/>
      <c r="AL40" s="700"/>
      <c r="AM40" s="700"/>
      <c r="AN40" s="700"/>
      <c r="AO40" s="700"/>
      <c r="AP40" s="700"/>
      <c r="AQ40" s="700"/>
      <c r="AR40" s="700"/>
    </row>
    <row r="41" ht="23.25" customHeight="1">
      <c r="A41" s="700"/>
      <c r="B41" s="700"/>
      <c r="C41" s="843"/>
      <c r="D41" s="844"/>
      <c r="E41" s="844"/>
      <c r="F41" s="845"/>
      <c r="G41" s="776"/>
      <c r="H41" s="843"/>
      <c r="I41" s="844"/>
      <c r="J41" s="844"/>
      <c r="K41" s="776"/>
      <c r="L41" s="843"/>
      <c r="M41" s="846"/>
      <c r="N41" s="844"/>
      <c r="O41" s="776">
        <f>IF(M40=0,0,O40/M40)</f>
        <v>0.472914664</v>
      </c>
      <c r="P41" s="847"/>
      <c r="Q41" s="776" t="str">
        <f>Q40/G40</f>
        <v>#DIV/0!</v>
      </c>
      <c r="R41" s="843"/>
      <c r="S41" s="846"/>
      <c r="T41" s="844"/>
      <c r="U41" s="776">
        <f>IF(S40=0,0,U40/S40)</f>
        <v>0.4373033554</v>
      </c>
      <c r="V41" s="847"/>
      <c r="W41" s="776">
        <f>W40/U40</f>
        <v>0.1936287419</v>
      </c>
      <c r="X41" s="704"/>
      <c r="Y41" s="700"/>
      <c r="Z41" s="700"/>
      <c r="AA41" s="700"/>
      <c r="AB41" s="700"/>
      <c r="AC41" s="700"/>
      <c r="AD41" s="700"/>
      <c r="AE41" s="700"/>
      <c r="AF41" s="700"/>
      <c r="AG41" s="700"/>
      <c r="AH41" s="700"/>
      <c r="AI41" s="700"/>
      <c r="AJ41" s="700"/>
      <c r="AK41" s="700"/>
      <c r="AL41" s="700"/>
      <c r="AM41" s="700"/>
      <c r="AN41" s="700"/>
      <c r="AO41" s="700"/>
      <c r="AP41" s="700"/>
      <c r="AQ41" s="700"/>
      <c r="AR41" s="700"/>
    </row>
    <row r="42" ht="18.0" customHeight="1">
      <c r="A42" s="700"/>
      <c r="B42" s="700"/>
      <c r="C42" s="700"/>
      <c r="D42" s="700"/>
      <c r="E42" s="700"/>
      <c r="F42" s="700"/>
      <c r="G42" s="700"/>
      <c r="H42" s="700"/>
      <c r="I42" s="700"/>
      <c r="J42" s="700"/>
      <c r="K42" s="700"/>
      <c r="L42" s="700"/>
      <c r="M42" s="700"/>
      <c r="N42" s="700"/>
      <c r="O42" s="700"/>
      <c r="P42" s="700"/>
      <c r="Q42" s="700"/>
      <c r="R42" s="700"/>
      <c r="S42" s="700"/>
      <c r="T42" s="700"/>
      <c r="U42" s="700"/>
      <c r="V42" s="700"/>
      <c r="W42" s="700"/>
      <c r="X42" s="700"/>
      <c r="Y42" s="700"/>
      <c r="Z42" s="700"/>
      <c r="AA42" s="700"/>
      <c r="AB42" s="700"/>
      <c r="AC42" s="700"/>
      <c r="AD42" s="700"/>
      <c r="AE42" s="700"/>
      <c r="AF42" s="700"/>
      <c r="AG42" s="700"/>
      <c r="AH42" s="700"/>
      <c r="AI42" s="700"/>
      <c r="AJ42" s="700"/>
      <c r="AK42" s="700"/>
      <c r="AL42" s="700"/>
      <c r="AM42" s="700"/>
      <c r="AN42" s="700"/>
      <c r="AO42" s="700"/>
      <c r="AP42" s="700"/>
      <c r="AQ42" s="700"/>
      <c r="AR42" s="700"/>
    </row>
    <row r="43" ht="18.0" customHeight="1">
      <c r="A43" s="700"/>
      <c r="B43" s="700"/>
      <c r="C43" s="700"/>
      <c r="D43" s="700"/>
      <c r="E43" s="700"/>
      <c r="F43" s="700"/>
      <c r="G43" s="700"/>
      <c r="H43" s="700"/>
      <c r="I43" s="700"/>
      <c r="J43" s="700"/>
      <c r="K43" s="700"/>
      <c r="L43" s="700"/>
      <c r="M43" s="703">
        <f>M40-Print_Mois!K326</f>
        <v>0</v>
      </c>
      <c r="N43" s="700"/>
      <c r="O43" s="848">
        <f>O40-Print_Mois!L326</f>
        <v>0</v>
      </c>
      <c r="P43" s="700"/>
      <c r="Q43" s="700"/>
      <c r="R43" s="700"/>
      <c r="S43" s="703">
        <f>S40-Print_Mois!P326</f>
        <v>0</v>
      </c>
      <c r="T43" s="700"/>
      <c r="U43" s="703">
        <f>U40-Print_Mois!Q326</f>
        <v>0</v>
      </c>
      <c r="V43" s="700"/>
      <c r="W43" s="700"/>
      <c r="X43" s="700"/>
      <c r="Y43" s="700"/>
      <c r="Z43" s="700"/>
      <c r="AA43" s="700"/>
      <c r="AB43" s="700"/>
      <c r="AC43" s="700"/>
      <c r="AD43" s="700"/>
      <c r="AE43" s="700"/>
      <c r="AF43" s="700"/>
      <c r="AG43" s="700"/>
      <c r="AH43" s="700"/>
      <c r="AI43" s="700"/>
      <c r="AJ43" s="700"/>
      <c r="AK43" s="700"/>
      <c r="AL43" s="700"/>
      <c r="AM43" s="700"/>
      <c r="AN43" s="700"/>
      <c r="AO43" s="700"/>
      <c r="AP43" s="700"/>
      <c r="AQ43" s="700"/>
      <c r="AR43" s="700"/>
    </row>
    <row r="44" ht="18.0" customHeight="1">
      <c r="Y44" s="700"/>
      <c r="Z44" s="700"/>
    </row>
    <row r="45" ht="18.0" customHeight="1">
      <c r="Y45" s="700"/>
      <c r="Z45" s="700"/>
    </row>
    <row r="46" ht="18.0" customHeight="1">
      <c r="Y46" s="700"/>
      <c r="Z46" s="700"/>
    </row>
    <row r="47" ht="18.0" customHeight="1">
      <c r="Y47" s="700"/>
      <c r="Z47" s="700"/>
    </row>
    <row r="48" ht="18.0" customHeight="1">
      <c r="Y48" s="700"/>
      <c r="Z48" s="700"/>
    </row>
    <row r="49" ht="18.0" customHeight="1">
      <c r="Y49" s="700"/>
      <c r="Z49" s="700"/>
    </row>
    <row r="50" ht="18.0" customHeight="1">
      <c r="Y50" s="700"/>
      <c r="Z50" s="700"/>
    </row>
    <row r="51" ht="18.0" customHeight="1">
      <c r="Y51" s="700"/>
      <c r="Z51" s="700"/>
    </row>
    <row r="52" ht="18.0" customHeight="1">
      <c r="Y52" s="700"/>
      <c r="Z52" s="700"/>
    </row>
    <row r="53" ht="18.0" customHeight="1">
      <c r="Y53" s="700"/>
      <c r="Z53" s="700"/>
    </row>
    <row r="54" ht="18.0" customHeight="1">
      <c r="Y54" s="700"/>
      <c r="Z54" s="700"/>
    </row>
    <row r="55" ht="18.0" customHeight="1">
      <c r="Y55" s="700"/>
      <c r="Z55" s="700"/>
    </row>
    <row r="56" ht="18.0" customHeight="1">
      <c r="Y56" s="700"/>
      <c r="Z56" s="700"/>
    </row>
    <row r="57" ht="18.0" customHeight="1">
      <c r="Y57" s="700"/>
      <c r="Z57" s="700"/>
    </row>
    <row r="58" ht="18.0" customHeight="1">
      <c r="Y58" s="700"/>
      <c r="Z58" s="700"/>
    </row>
    <row r="59" ht="18.0" customHeight="1">
      <c r="Y59" s="700"/>
      <c r="Z59" s="700"/>
    </row>
    <row r="60" ht="18.0" customHeight="1">
      <c r="Y60" s="700"/>
      <c r="Z60" s="700"/>
    </row>
    <row r="61" ht="18.0" customHeight="1">
      <c r="Y61" s="700"/>
      <c r="Z61" s="700"/>
    </row>
    <row r="62" ht="18.0" customHeight="1">
      <c r="Y62" s="700"/>
      <c r="Z62" s="700"/>
    </row>
    <row r="63" ht="18.0" customHeight="1">
      <c r="Y63" s="700"/>
      <c r="Z63" s="700"/>
    </row>
    <row r="64" ht="18.0" customHeight="1">
      <c r="Y64" s="700"/>
      <c r="Z64" s="700"/>
    </row>
    <row r="65" ht="18.0" customHeight="1">
      <c r="Y65" s="700"/>
      <c r="Z65" s="700"/>
    </row>
    <row r="66" ht="18.0" customHeight="1">
      <c r="Y66" s="700"/>
      <c r="Z66" s="700"/>
    </row>
    <row r="67" ht="18.0" customHeight="1">
      <c r="Y67" s="700"/>
      <c r="Z67" s="700"/>
    </row>
    <row r="68" ht="18.0" customHeight="1">
      <c r="Y68" s="700"/>
      <c r="Z68" s="700"/>
    </row>
    <row r="69" ht="18.0" customHeight="1">
      <c r="Y69" s="700"/>
      <c r="Z69" s="700"/>
    </row>
    <row r="70" ht="18.0" customHeight="1">
      <c r="Y70" s="700"/>
      <c r="Z70" s="700"/>
    </row>
    <row r="71" ht="18.0" customHeight="1">
      <c r="Y71" s="700"/>
      <c r="Z71" s="700"/>
    </row>
    <row r="72" ht="18.0" customHeight="1">
      <c r="Y72" s="700"/>
      <c r="Z72" s="700"/>
    </row>
    <row r="73" ht="18.0" customHeight="1">
      <c r="Y73" s="700"/>
      <c r="Z73" s="700"/>
    </row>
    <row r="74" ht="18.0" customHeight="1">
      <c r="Y74" s="700"/>
      <c r="Z74" s="700"/>
    </row>
    <row r="75" ht="18.0" customHeight="1">
      <c r="Y75" s="700"/>
      <c r="Z75" s="700"/>
    </row>
    <row r="76" ht="18.0" customHeight="1">
      <c r="Y76" s="700"/>
      <c r="Z76" s="700"/>
    </row>
    <row r="77" ht="18.0" customHeight="1">
      <c r="Y77" s="700"/>
      <c r="Z77" s="700"/>
    </row>
    <row r="78" ht="18.0" customHeight="1">
      <c r="Y78" s="700"/>
      <c r="Z78" s="700"/>
    </row>
    <row r="79" ht="18.0" customHeight="1">
      <c r="Y79" s="700"/>
      <c r="Z79" s="700"/>
    </row>
    <row r="80" ht="18.0" customHeight="1">
      <c r="Y80" s="700"/>
      <c r="Z80" s="700"/>
    </row>
    <row r="81" ht="18.0" customHeight="1">
      <c r="Y81" s="700"/>
      <c r="Z81" s="700"/>
    </row>
    <row r="82" ht="18.0" customHeight="1">
      <c r="Y82" s="700"/>
      <c r="Z82" s="700"/>
    </row>
    <row r="83" ht="18.0" customHeight="1">
      <c r="Y83" s="700"/>
      <c r="Z83" s="700"/>
    </row>
    <row r="84" ht="18.0" customHeight="1">
      <c r="Y84" s="700"/>
      <c r="Z84" s="700"/>
    </row>
    <row r="85" ht="18.0" customHeight="1">
      <c r="Y85" s="700"/>
      <c r="Z85" s="700"/>
    </row>
    <row r="86" ht="18.0" customHeight="1">
      <c r="Y86" s="700"/>
      <c r="Z86" s="700"/>
    </row>
    <row r="87" ht="18.0" customHeight="1">
      <c r="Y87" s="700"/>
      <c r="Z87" s="700"/>
    </row>
    <row r="88" ht="18.0" customHeight="1">
      <c r="Y88" s="700"/>
      <c r="Z88" s="700"/>
    </row>
    <row r="89" ht="18.0" customHeight="1">
      <c r="Y89" s="700"/>
      <c r="Z89" s="700"/>
    </row>
    <row r="90" ht="18.0" customHeight="1">
      <c r="Y90" s="700"/>
      <c r="Z90" s="700"/>
    </row>
    <row r="91" ht="18.0" customHeight="1">
      <c r="Y91" s="700"/>
      <c r="Z91" s="700"/>
    </row>
    <row r="92" ht="18.0" customHeight="1">
      <c r="Y92" s="700"/>
      <c r="Z92" s="700"/>
    </row>
    <row r="93" ht="18.0" customHeight="1">
      <c r="Y93" s="700"/>
      <c r="Z93" s="700"/>
    </row>
    <row r="94" ht="18.0" customHeight="1">
      <c r="Y94" s="700"/>
      <c r="Z94" s="700"/>
    </row>
    <row r="95" ht="18.0" customHeight="1">
      <c r="Y95" s="700"/>
      <c r="Z95" s="700"/>
    </row>
    <row r="96" ht="18.0" customHeight="1">
      <c r="Y96" s="700"/>
      <c r="Z96" s="700"/>
    </row>
    <row r="97" ht="18.0" customHeight="1">
      <c r="Y97" s="700"/>
      <c r="Z97" s="700"/>
    </row>
    <row r="98" ht="18.0" customHeight="1">
      <c r="Y98" s="700"/>
      <c r="Z98" s="700"/>
    </row>
    <row r="99" ht="18.0" customHeight="1">
      <c r="Y99" s="700"/>
      <c r="Z99" s="700"/>
    </row>
    <row r="100" ht="18.0" customHeight="1">
      <c r="Y100" s="700"/>
      <c r="Z100" s="700"/>
    </row>
    <row r="101" ht="18.0" customHeight="1">
      <c r="Y101" s="700"/>
      <c r="Z101" s="700"/>
    </row>
    <row r="102" ht="18.0" customHeight="1">
      <c r="Y102" s="700"/>
      <c r="Z102" s="700"/>
    </row>
    <row r="103" ht="18.0" customHeight="1">
      <c r="Y103" s="700"/>
      <c r="Z103" s="700"/>
    </row>
    <row r="104" ht="18.0" customHeight="1">
      <c r="Y104" s="700"/>
      <c r="Z104" s="700"/>
    </row>
    <row r="105" ht="18.0" customHeight="1">
      <c r="Y105" s="700"/>
      <c r="Z105" s="700"/>
    </row>
    <row r="106" ht="18.0" customHeight="1">
      <c r="Y106" s="700"/>
      <c r="Z106" s="700"/>
    </row>
    <row r="107" ht="18.0" customHeight="1">
      <c r="Y107" s="700"/>
      <c r="Z107" s="700"/>
    </row>
    <row r="108" ht="18.0" customHeight="1">
      <c r="Y108" s="700"/>
      <c r="Z108" s="700"/>
    </row>
    <row r="109" ht="18.0" customHeight="1">
      <c r="Y109" s="700"/>
      <c r="Z109" s="700"/>
    </row>
    <row r="110" ht="18.0" customHeight="1">
      <c r="Y110" s="700"/>
      <c r="Z110" s="700"/>
    </row>
    <row r="111" ht="18.0" customHeight="1">
      <c r="Y111" s="700"/>
      <c r="Z111" s="700"/>
    </row>
    <row r="112" ht="18.0" customHeight="1">
      <c r="Y112" s="700"/>
      <c r="Z112" s="700"/>
    </row>
    <row r="113" ht="18.0" customHeight="1">
      <c r="Y113" s="700"/>
      <c r="Z113" s="700"/>
    </row>
    <row r="114" ht="18.0" customHeight="1">
      <c r="Y114" s="700"/>
      <c r="Z114" s="700"/>
    </row>
    <row r="115" ht="18.0" customHeight="1">
      <c r="Y115" s="700"/>
      <c r="Z115" s="700"/>
    </row>
    <row r="116" ht="18.0" customHeight="1">
      <c r="Y116" s="700"/>
      <c r="Z116" s="700"/>
    </row>
    <row r="117" ht="18.0" customHeight="1">
      <c r="Y117" s="700"/>
      <c r="Z117" s="700"/>
    </row>
    <row r="118" ht="18.0" customHeight="1">
      <c r="Y118" s="700"/>
      <c r="Z118" s="700"/>
    </row>
    <row r="119" ht="18.0" customHeight="1">
      <c r="Y119" s="700"/>
      <c r="Z119" s="700"/>
    </row>
    <row r="120" ht="18.0" customHeight="1">
      <c r="Y120" s="700"/>
      <c r="Z120" s="700"/>
    </row>
    <row r="121" ht="18.0" customHeight="1">
      <c r="Y121" s="700"/>
      <c r="Z121" s="700"/>
    </row>
    <row r="122" ht="18.0" customHeight="1">
      <c r="Y122" s="700"/>
      <c r="Z122" s="700"/>
    </row>
    <row r="123" ht="18.0" customHeight="1">
      <c r="Y123" s="700"/>
      <c r="Z123" s="700"/>
    </row>
    <row r="124" ht="18.0" customHeight="1">
      <c r="Y124" s="700"/>
      <c r="Z124" s="700"/>
    </row>
    <row r="125" ht="18.0" customHeight="1">
      <c r="Y125" s="700"/>
      <c r="Z125" s="700"/>
    </row>
    <row r="126" ht="18.0" customHeight="1">
      <c r="Y126" s="700"/>
      <c r="Z126" s="700"/>
    </row>
    <row r="127" ht="18.0" customHeight="1">
      <c r="Y127" s="700"/>
      <c r="Z127" s="700"/>
    </row>
    <row r="128" ht="18.0" customHeight="1">
      <c r="Y128" s="700"/>
      <c r="Z128" s="700"/>
    </row>
    <row r="129" ht="18.0" customHeight="1">
      <c r="Y129" s="700"/>
      <c r="Z129" s="700"/>
    </row>
    <row r="130" ht="18.0" customHeight="1">
      <c r="Y130" s="700"/>
      <c r="Z130" s="700"/>
    </row>
    <row r="131" ht="18.0" customHeight="1">
      <c r="Y131" s="700"/>
      <c r="Z131" s="700"/>
    </row>
    <row r="132" ht="18.0" customHeight="1">
      <c r="Y132" s="700"/>
      <c r="Z132" s="700"/>
    </row>
    <row r="133" ht="18.0" customHeight="1">
      <c r="Y133" s="700"/>
      <c r="Z133" s="700"/>
    </row>
    <row r="134" ht="18.0" customHeight="1">
      <c r="Y134" s="700"/>
      <c r="Z134" s="700"/>
    </row>
    <row r="135" ht="18.0" customHeight="1">
      <c r="Y135" s="700"/>
      <c r="Z135" s="700"/>
    </row>
    <row r="136" ht="18.0" customHeight="1">
      <c r="Y136" s="700"/>
      <c r="Z136" s="700"/>
    </row>
    <row r="137" ht="18.0" customHeight="1">
      <c r="Y137" s="700"/>
      <c r="Z137" s="700"/>
    </row>
    <row r="138" ht="18.0" customHeight="1">
      <c r="Y138" s="700"/>
      <c r="Z138" s="700"/>
    </row>
    <row r="139" ht="18.0" customHeight="1">
      <c r="Y139" s="700"/>
      <c r="Z139" s="700"/>
    </row>
    <row r="140" ht="18.0" customHeight="1">
      <c r="Y140" s="700"/>
      <c r="Z140" s="700"/>
    </row>
    <row r="141" ht="18.0" customHeight="1">
      <c r="Y141" s="700"/>
      <c r="Z141" s="700"/>
    </row>
    <row r="142" ht="18.0" customHeight="1">
      <c r="Y142" s="700"/>
      <c r="Z142" s="700"/>
    </row>
    <row r="143" ht="18.0" customHeight="1">
      <c r="Y143" s="700"/>
      <c r="Z143" s="700"/>
    </row>
    <row r="144" ht="18.0" customHeight="1">
      <c r="Y144" s="700"/>
      <c r="Z144" s="700"/>
    </row>
    <row r="145" ht="18.0" customHeight="1">
      <c r="Y145" s="700"/>
      <c r="Z145" s="700"/>
    </row>
    <row r="146" ht="18.0" customHeight="1">
      <c r="Y146" s="700"/>
      <c r="Z146" s="700"/>
    </row>
    <row r="147" ht="18.0" customHeight="1">
      <c r="Y147" s="700"/>
      <c r="Z147" s="700"/>
    </row>
    <row r="148" ht="18.0" customHeight="1">
      <c r="Y148" s="700"/>
      <c r="Z148" s="700"/>
    </row>
    <row r="149" ht="18.0" customHeight="1">
      <c r="Y149" s="700"/>
      <c r="Z149" s="700"/>
    </row>
    <row r="150" ht="18.0" customHeight="1">
      <c r="Y150" s="700"/>
      <c r="Z150" s="700"/>
    </row>
    <row r="151" ht="18.0" customHeight="1">
      <c r="Y151" s="700"/>
      <c r="Z151" s="700"/>
    </row>
    <row r="152" ht="18.0" customHeight="1">
      <c r="Y152" s="700"/>
      <c r="Z152" s="700"/>
    </row>
    <row r="153" ht="18.0" customHeight="1">
      <c r="Y153" s="700"/>
      <c r="Z153" s="700"/>
    </row>
    <row r="154" ht="18.0" customHeight="1">
      <c r="Y154" s="700"/>
      <c r="Z154" s="700"/>
    </row>
    <row r="155" ht="18.0" customHeight="1">
      <c r="Y155" s="700"/>
      <c r="Z155" s="700"/>
    </row>
    <row r="156" ht="18.0" customHeight="1">
      <c r="Y156" s="700"/>
      <c r="Z156" s="700"/>
    </row>
    <row r="157" ht="18.0" customHeight="1">
      <c r="Y157" s="700"/>
      <c r="Z157" s="700"/>
    </row>
    <row r="158" ht="18.0" customHeight="1">
      <c r="Y158" s="700"/>
      <c r="Z158" s="700"/>
    </row>
    <row r="159" ht="18.0" customHeight="1">
      <c r="Y159" s="700"/>
      <c r="Z159" s="700"/>
    </row>
    <row r="160" ht="18.0" customHeight="1">
      <c r="Y160" s="700"/>
      <c r="Z160" s="700"/>
    </row>
    <row r="161" ht="18.0" customHeight="1">
      <c r="Y161" s="700"/>
      <c r="Z161" s="700"/>
    </row>
    <row r="162" ht="18.0" customHeight="1">
      <c r="Y162" s="700"/>
      <c r="Z162" s="700"/>
    </row>
    <row r="163" ht="18.0" customHeight="1">
      <c r="Y163" s="700"/>
      <c r="Z163" s="700"/>
    </row>
    <row r="164" ht="18.0" customHeight="1">
      <c r="Y164" s="700"/>
      <c r="Z164" s="700"/>
    </row>
    <row r="165" ht="18.0" customHeight="1">
      <c r="Y165" s="700"/>
      <c r="Z165" s="700"/>
    </row>
    <row r="166" ht="18.0" customHeight="1">
      <c r="Y166" s="700"/>
      <c r="Z166" s="700"/>
    </row>
    <row r="167" ht="18.0" customHeight="1">
      <c r="Y167" s="700"/>
      <c r="Z167" s="700"/>
    </row>
    <row r="168" ht="18.0" customHeight="1">
      <c r="Y168" s="700"/>
      <c r="Z168" s="700"/>
    </row>
    <row r="169" ht="18.0" customHeight="1">
      <c r="Y169" s="700"/>
      <c r="Z169" s="700"/>
    </row>
    <row r="170" ht="18.0" customHeight="1">
      <c r="Y170" s="700"/>
      <c r="Z170" s="700"/>
    </row>
    <row r="171" ht="18.0" customHeight="1">
      <c r="Y171" s="700"/>
      <c r="Z171" s="700"/>
    </row>
    <row r="172" ht="18.0" customHeight="1">
      <c r="Y172" s="700"/>
      <c r="Z172" s="700"/>
    </row>
    <row r="173" ht="18.0" customHeight="1">
      <c r="Y173" s="700"/>
      <c r="Z173" s="700"/>
    </row>
    <row r="174" ht="18.0" customHeight="1">
      <c r="Y174" s="700"/>
      <c r="Z174" s="700"/>
    </row>
    <row r="175" ht="18.0" customHeight="1">
      <c r="Y175" s="700"/>
      <c r="Z175" s="700"/>
    </row>
    <row r="176" ht="18.0" customHeight="1">
      <c r="Y176" s="700"/>
      <c r="Z176" s="700"/>
    </row>
    <row r="177" ht="18.0" customHeight="1">
      <c r="Y177" s="700"/>
      <c r="Z177" s="700"/>
    </row>
    <row r="178" ht="18.0" customHeight="1">
      <c r="Y178" s="700"/>
      <c r="Z178" s="700"/>
    </row>
    <row r="179" ht="18.0" customHeight="1">
      <c r="Y179" s="700"/>
      <c r="Z179" s="700"/>
    </row>
    <row r="180" ht="18.0" customHeight="1">
      <c r="Y180" s="700"/>
      <c r="Z180" s="700"/>
    </row>
    <row r="181" ht="18.0" customHeight="1">
      <c r="Y181" s="700"/>
      <c r="Z181" s="700"/>
    </row>
    <row r="182" ht="18.0" customHeight="1">
      <c r="Y182" s="700"/>
      <c r="Z182" s="700"/>
    </row>
    <row r="183" ht="18.0" customHeight="1">
      <c r="Y183" s="700"/>
      <c r="Z183" s="700"/>
    </row>
    <row r="184" ht="18.0" customHeight="1">
      <c r="Y184" s="700"/>
      <c r="Z184" s="700"/>
    </row>
    <row r="185" ht="18.0" customHeight="1">
      <c r="Y185" s="700"/>
      <c r="Z185" s="700"/>
    </row>
    <row r="186" ht="18.0" customHeight="1">
      <c r="Y186" s="700"/>
      <c r="Z186" s="700"/>
    </row>
    <row r="187" ht="18.0" customHeight="1">
      <c r="Y187" s="700"/>
      <c r="Z187" s="700"/>
    </row>
    <row r="188" ht="18.0" customHeight="1">
      <c r="Y188" s="700"/>
      <c r="Z188" s="700"/>
    </row>
    <row r="189" ht="18.0" customHeight="1">
      <c r="Y189" s="700"/>
      <c r="Z189" s="700"/>
    </row>
    <row r="190" ht="18.0" customHeight="1">
      <c r="Y190" s="700"/>
      <c r="Z190" s="700"/>
    </row>
    <row r="191" ht="18.0" customHeight="1">
      <c r="Y191" s="700"/>
      <c r="Z191" s="700"/>
    </row>
    <row r="192" ht="18.0" customHeight="1">
      <c r="Y192" s="700"/>
      <c r="Z192" s="700"/>
    </row>
    <row r="193" ht="18.0" customHeight="1">
      <c r="Y193" s="700"/>
      <c r="Z193" s="700"/>
    </row>
    <row r="194" ht="18.0" customHeight="1">
      <c r="Y194" s="700"/>
      <c r="Z194" s="700"/>
    </row>
    <row r="195" ht="18.0" customHeight="1">
      <c r="Y195" s="700"/>
      <c r="Z195" s="700"/>
    </row>
    <row r="196" ht="18.0" customHeight="1">
      <c r="Y196" s="700"/>
      <c r="Z196" s="700"/>
    </row>
    <row r="197" ht="18.0" customHeight="1">
      <c r="Y197" s="700"/>
      <c r="Z197" s="700"/>
    </row>
    <row r="198" ht="18.0" customHeight="1">
      <c r="Y198" s="700"/>
      <c r="Z198" s="700"/>
    </row>
    <row r="199" ht="18.0" customHeight="1">
      <c r="Y199" s="700"/>
      <c r="Z199" s="700"/>
    </row>
    <row r="200" ht="18.0" customHeight="1">
      <c r="Y200" s="700"/>
      <c r="Z200" s="700"/>
    </row>
    <row r="201" ht="18.0" customHeight="1">
      <c r="Y201" s="700"/>
      <c r="Z201" s="700"/>
    </row>
    <row r="202" ht="18.0" customHeight="1">
      <c r="Y202" s="700"/>
      <c r="Z202" s="700"/>
    </row>
    <row r="203" ht="18.0" customHeight="1">
      <c r="Y203" s="700"/>
      <c r="Z203" s="700"/>
    </row>
    <row r="204" ht="18.0" customHeight="1">
      <c r="Y204" s="700"/>
      <c r="Z204" s="700"/>
    </row>
    <row r="205" ht="18.0" customHeight="1">
      <c r="Y205" s="700"/>
      <c r="Z205" s="700"/>
    </row>
    <row r="206" ht="18.0" customHeight="1">
      <c r="Y206" s="700"/>
      <c r="Z206" s="700"/>
    </row>
    <row r="207" ht="18.0" customHeight="1">
      <c r="Y207" s="700"/>
      <c r="Z207" s="700"/>
    </row>
    <row r="208" ht="18.0" customHeight="1">
      <c r="Y208" s="700"/>
      <c r="Z208" s="700"/>
    </row>
    <row r="209" ht="18.0" customHeight="1">
      <c r="Y209" s="700"/>
      <c r="Z209" s="700"/>
    </row>
    <row r="210" ht="18.0" customHeight="1">
      <c r="Y210" s="700"/>
      <c r="Z210" s="700"/>
    </row>
    <row r="211" ht="18.0" customHeight="1">
      <c r="Y211" s="700"/>
      <c r="Z211" s="700"/>
    </row>
    <row r="212" ht="18.0" customHeight="1">
      <c r="Y212" s="700"/>
      <c r="Z212" s="700"/>
    </row>
    <row r="213" ht="18.0" customHeight="1">
      <c r="Y213" s="700"/>
      <c r="Z213" s="700"/>
    </row>
    <row r="214" ht="18.0" customHeight="1">
      <c r="Y214" s="700"/>
      <c r="Z214" s="700"/>
    </row>
    <row r="215" ht="18.0" customHeight="1">
      <c r="Y215" s="700"/>
      <c r="Z215" s="700"/>
    </row>
    <row r="216" ht="18.0" customHeight="1">
      <c r="Y216" s="700"/>
      <c r="Z216" s="700"/>
    </row>
    <row r="217" ht="18.0" customHeight="1">
      <c r="Y217" s="700"/>
      <c r="Z217" s="700"/>
    </row>
    <row r="218" ht="18.0" customHeight="1">
      <c r="Y218" s="700"/>
      <c r="Z218" s="700"/>
    </row>
    <row r="219" ht="18.0" customHeight="1">
      <c r="Y219" s="700"/>
      <c r="Z219" s="700"/>
    </row>
    <row r="220" ht="18.0" customHeight="1">
      <c r="Y220" s="700"/>
      <c r="Z220" s="700"/>
    </row>
    <row r="221" ht="18.0" customHeight="1">
      <c r="Y221" s="700"/>
      <c r="Z221" s="700"/>
    </row>
    <row r="222" ht="18.0" customHeight="1">
      <c r="Y222" s="700"/>
      <c r="Z222" s="700"/>
    </row>
    <row r="223" ht="18.0" customHeight="1">
      <c r="Y223" s="700"/>
      <c r="Z223" s="700"/>
    </row>
    <row r="224" ht="18.0" customHeight="1">
      <c r="Y224" s="700"/>
      <c r="Z224" s="700"/>
    </row>
    <row r="225" ht="18.0" customHeight="1">
      <c r="Y225" s="700"/>
      <c r="Z225" s="700"/>
    </row>
    <row r="226" ht="18.0" customHeight="1">
      <c r="Y226" s="700"/>
      <c r="Z226" s="700"/>
    </row>
    <row r="227" ht="18.0" customHeight="1">
      <c r="Y227" s="700"/>
      <c r="Z227" s="700"/>
    </row>
    <row r="228" ht="18.0" customHeight="1">
      <c r="Y228" s="700"/>
      <c r="Z228" s="700"/>
    </row>
    <row r="229" ht="18.0" customHeight="1">
      <c r="Y229" s="700"/>
      <c r="Z229" s="700"/>
    </row>
    <row r="230" ht="18.0" customHeight="1">
      <c r="Y230" s="700"/>
      <c r="Z230" s="700"/>
    </row>
    <row r="231" ht="18.0" customHeight="1">
      <c r="Y231" s="700"/>
      <c r="Z231" s="700"/>
    </row>
    <row r="232" ht="18.0" customHeight="1">
      <c r="Y232" s="700"/>
      <c r="Z232" s="700"/>
    </row>
    <row r="233" ht="18.0" customHeight="1">
      <c r="Y233" s="700"/>
      <c r="Z233" s="700"/>
    </row>
    <row r="234" ht="18.0" customHeight="1">
      <c r="Y234" s="700"/>
      <c r="Z234" s="700"/>
    </row>
    <row r="235" ht="18.0" customHeight="1">
      <c r="Y235" s="700"/>
      <c r="Z235" s="700"/>
    </row>
    <row r="236" ht="18.0" customHeight="1">
      <c r="Y236" s="700"/>
      <c r="Z236" s="700"/>
    </row>
    <row r="237" ht="18.0" customHeight="1">
      <c r="Y237" s="700"/>
      <c r="Z237" s="700"/>
    </row>
    <row r="238" ht="18.0" customHeight="1">
      <c r="Y238" s="700"/>
      <c r="Z238" s="700"/>
    </row>
    <row r="239" ht="18.0" customHeight="1">
      <c r="Y239" s="700"/>
      <c r="Z239" s="700"/>
    </row>
    <row r="240" ht="18.0" customHeight="1">
      <c r="Y240" s="700"/>
      <c r="Z240" s="700"/>
    </row>
    <row r="241" ht="18.0" customHeight="1">
      <c r="Y241" s="700"/>
      <c r="Z241" s="700"/>
    </row>
    <row r="242" ht="18.0" customHeight="1">
      <c r="Y242" s="700"/>
      <c r="Z242" s="700"/>
    </row>
    <row r="243" ht="18.0" customHeight="1">
      <c r="Y243" s="700"/>
      <c r="Z243" s="700"/>
    </row>
    <row r="244" ht="18.0" customHeight="1">
      <c r="Y244" s="700"/>
      <c r="Z244" s="700"/>
    </row>
    <row r="245" ht="18.0" customHeight="1">
      <c r="Y245" s="700"/>
      <c r="Z245" s="700"/>
    </row>
    <row r="246" ht="18.0" customHeight="1">
      <c r="Y246" s="700"/>
      <c r="Z246" s="700"/>
    </row>
    <row r="247" ht="18.0" customHeight="1">
      <c r="Y247" s="700"/>
      <c r="Z247" s="700"/>
    </row>
    <row r="248" ht="18.0" customHeight="1">
      <c r="Y248" s="700"/>
      <c r="Z248" s="700"/>
    </row>
    <row r="249" ht="18.0" customHeight="1">
      <c r="Y249" s="700"/>
      <c r="Z249" s="700"/>
    </row>
    <row r="250" ht="18.0" customHeight="1">
      <c r="Y250" s="700"/>
      <c r="Z250" s="700"/>
    </row>
    <row r="251" ht="18.0" customHeight="1">
      <c r="Y251" s="700"/>
      <c r="Z251" s="700"/>
    </row>
    <row r="252" ht="18.0" customHeight="1">
      <c r="Y252" s="700"/>
      <c r="Z252" s="700"/>
    </row>
    <row r="253" ht="18.0" customHeight="1">
      <c r="Y253" s="700"/>
      <c r="Z253" s="700"/>
    </row>
    <row r="254" ht="18.0" customHeight="1">
      <c r="Y254" s="700"/>
      <c r="Z254" s="700"/>
    </row>
    <row r="255" ht="18.0" customHeight="1">
      <c r="Y255" s="700"/>
      <c r="Z255" s="700"/>
    </row>
    <row r="256" ht="18.0" customHeight="1">
      <c r="Y256" s="700"/>
      <c r="Z256" s="700"/>
    </row>
    <row r="257" ht="18.0" customHeight="1">
      <c r="Y257" s="700"/>
      <c r="Z257" s="700"/>
    </row>
    <row r="258" ht="18.0" customHeight="1">
      <c r="Y258" s="700"/>
      <c r="Z258" s="700"/>
    </row>
    <row r="259" ht="18.0" customHeight="1">
      <c r="Y259" s="700"/>
      <c r="Z259" s="700"/>
    </row>
    <row r="260" ht="18.0" customHeight="1">
      <c r="Y260" s="700"/>
      <c r="Z260" s="700"/>
    </row>
    <row r="261" ht="18.0" customHeight="1">
      <c r="Y261" s="700"/>
      <c r="Z261" s="700"/>
    </row>
    <row r="262" ht="18.0" customHeight="1">
      <c r="Y262" s="700"/>
      <c r="Z262" s="700"/>
    </row>
    <row r="263" ht="18.0" customHeight="1">
      <c r="Y263" s="700"/>
      <c r="Z263" s="700"/>
    </row>
    <row r="264" ht="18.0" customHeight="1">
      <c r="Y264" s="700"/>
      <c r="Z264" s="700"/>
    </row>
    <row r="265" ht="18.0" customHeight="1">
      <c r="Y265" s="700"/>
      <c r="Z265" s="700"/>
    </row>
    <row r="266" ht="18.0" customHeight="1">
      <c r="Y266" s="700"/>
      <c r="Z266" s="700"/>
    </row>
    <row r="267" ht="18.0" customHeight="1">
      <c r="Y267" s="700"/>
      <c r="Z267" s="700"/>
    </row>
    <row r="268" ht="18.0" customHeight="1">
      <c r="Y268" s="700"/>
      <c r="Z268" s="700"/>
    </row>
    <row r="269" ht="18.0" customHeight="1">
      <c r="Y269" s="700"/>
      <c r="Z269" s="700"/>
    </row>
    <row r="270" ht="18.0" customHeight="1">
      <c r="Y270" s="700"/>
      <c r="Z270" s="700"/>
    </row>
    <row r="271" ht="18.0" customHeight="1">
      <c r="Y271" s="700"/>
      <c r="Z271" s="700"/>
    </row>
    <row r="272" ht="18.0" customHeight="1">
      <c r="Y272" s="700"/>
      <c r="Z272" s="700"/>
    </row>
    <row r="273" ht="18.0" customHeight="1">
      <c r="Y273" s="700"/>
      <c r="Z273" s="700"/>
    </row>
    <row r="274" ht="18.0" customHeight="1">
      <c r="Y274" s="700"/>
      <c r="Z274" s="700"/>
    </row>
    <row r="275" ht="18.0" customHeight="1">
      <c r="Y275" s="700"/>
      <c r="Z275" s="700"/>
    </row>
    <row r="276" ht="18.0" customHeight="1">
      <c r="Y276" s="700"/>
      <c r="Z276" s="700"/>
    </row>
    <row r="277" ht="18.0" customHeight="1">
      <c r="Y277" s="700"/>
      <c r="Z277" s="700"/>
    </row>
    <row r="278" ht="18.0" customHeight="1">
      <c r="Y278" s="700"/>
      <c r="Z278" s="700"/>
    </row>
    <row r="279" ht="18.0" customHeight="1">
      <c r="Y279" s="700"/>
      <c r="Z279" s="700"/>
    </row>
    <row r="280" ht="18.0" customHeight="1">
      <c r="Y280" s="700"/>
      <c r="Z280" s="700"/>
    </row>
    <row r="281" ht="18.0" customHeight="1">
      <c r="Y281" s="700"/>
      <c r="Z281" s="700"/>
    </row>
    <row r="282" ht="18.0" customHeight="1">
      <c r="Y282" s="700"/>
      <c r="Z282" s="700"/>
    </row>
    <row r="283" ht="18.0" customHeight="1">
      <c r="Y283" s="700"/>
      <c r="Z283" s="700"/>
    </row>
    <row r="284" ht="18.0" customHeight="1">
      <c r="Y284" s="700"/>
      <c r="Z284" s="700"/>
    </row>
    <row r="285" ht="18.0" customHeight="1">
      <c r="Y285" s="700"/>
      <c r="Z285" s="700"/>
    </row>
    <row r="286" ht="18.0" customHeight="1">
      <c r="Y286" s="700"/>
      <c r="Z286" s="700"/>
    </row>
    <row r="287" ht="18.0" customHeight="1">
      <c r="Y287" s="700"/>
      <c r="Z287" s="700"/>
    </row>
    <row r="288" ht="18.0" customHeight="1">
      <c r="Y288" s="700"/>
      <c r="Z288" s="700"/>
    </row>
    <row r="289" ht="18.0" customHeight="1">
      <c r="Y289" s="700"/>
      <c r="Z289" s="700"/>
    </row>
    <row r="290" ht="18.0" customHeight="1">
      <c r="Y290" s="700"/>
      <c r="Z290" s="700"/>
    </row>
    <row r="291" ht="18.0" customHeight="1">
      <c r="Y291" s="700"/>
      <c r="Z291" s="700"/>
    </row>
    <row r="292" ht="18.0" customHeight="1">
      <c r="Y292" s="700"/>
      <c r="Z292" s="700"/>
    </row>
    <row r="293" ht="18.0" customHeight="1">
      <c r="Y293" s="700"/>
      <c r="Z293" s="700"/>
    </row>
    <row r="294" ht="18.0" customHeight="1">
      <c r="Y294" s="700"/>
      <c r="Z294" s="700"/>
    </row>
    <row r="295" ht="18.0" customHeight="1">
      <c r="Y295" s="700"/>
      <c r="Z295" s="700"/>
    </row>
    <row r="296" ht="18.0" customHeight="1">
      <c r="Y296" s="700"/>
      <c r="Z296" s="700"/>
    </row>
    <row r="297" ht="18.0" customHeight="1">
      <c r="Y297" s="700"/>
      <c r="Z297" s="700"/>
    </row>
    <row r="298" ht="18.0" customHeight="1">
      <c r="Y298" s="700"/>
      <c r="Z298" s="700"/>
    </row>
    <row r="299" ht="18.0" customHeight="1">
      <c r="Y299" s="700"/>
      <c r="Z299" s="700"/>
    </row>
    <row r="300" ht="18.0" customHeight="1">
      <c r="Y300" s="700"/>
      <c r="Z300" s="700"/>
    </row>
    <row r="301" ht="18.0" customHeight="1">
      <c r="Y301" s="700"/>
      <c r="Z301" s="700"/>
    </row>
    <row r="302" ht="18.0" customHeight="1">
      <c r="Y302" s="700"/>
      <c r="Z302" s="700"/>
    </row>
    <row r="303" ht="18.0" customHeight="1">
      <c r="Y303" s="700"/>
      <c r="Z303" s="700"/>
    </row>
    <row r="304" ht="18.0" customHeight="1">
      <c r="Y304" s="700"/>
      <c r="Z304" s="700"/>
    </row>
    <row r="305" ht="18.0" customHeight="1">
      <c r="Y305" s="700"/>
      <c r="Z305" s="700"/>
    </row>
    <row r="306" ht="18.0" customHeight="1">
      <c r="Y306" s="700"/>
      <c r="Z306" s="700"/>
    </row>
    <row r="307" ht="18.0" customHeight="1">
      <c r="Y307" s="700"/>
      <c r="Z307" s="700"/>
    </row>
    <row r="308" ht="18.0" customHeight="1">
      <c r="Y308" s="700"/>
      <c r="Z308" s="700"/>
    </row>
    <row r="309" ht="18.0" customHeight="1">
      <c r="Y309" s="700"/>
      <c r="Z309" s="700"/>
    </row>
    <row r="310" ht="18.0" customHeight="1">
      <c r="Y310" s="700"/>
      <c r="Z310" s="700"/>
    </row>
    <row r="311" ht="18.0" customHeight="1">
      <c r="Y311" s="700"/>
      <c r="Z311" s="700"/>
    </row>
    <row r="312" ht="18.0" customHeight="1">
      <c r="Y312" s="700"/>
      <c r="Z312" s="700"/>
    </row>
    <row r="313" ht="18.0" customHeight="1">
      <c r="Y313" s="700"/>
      <c r="Z313" s="700"/>
    </row>
    <row r="314" ht="18.0" customHeight="1">
      <c r="Y314" s="700"/>
      <c r="Z314" s="700"/>
    </row>
    <row r="315" ht="18.0" customHeight="1">
      <c r="Y315" s="700"/>
      <c r="Z315" s="700"/>
    </row>
    <row r="316" ht="18.0" customHeight="1">
      <c r="Y316" s="700"/>
      <c r="Z316" s="700"/>
    </row>
    <row r="317" ht="18.0" customHeight="1">
      <c r="Y317" s="700"/>
      <c r="Z317" s="700"/>
    </row>
    <row r="318" ht="18.0" customHeight="1">
      <c r="Y318" s="700"/>
      <c r="Z318" s="700"/>
    </row>
    <row r="319" ht="18.0" customHeight="1">
      <c r="Y319" s="700"/>
      <c r="Z319" s="700"/>
    </row>
    <row r="320" ht="18.0" customHeight="1">
      <c r="Y320" s="700"/>
      <c r="Z320" s="700"/>
    </row>
    <row r="321" ht="18.0" customHeight="1">
      <c r="Y321" s="700"/>
      <c r="Z321" s="700"/>
    </row>
    <row r="322" ht="18.0" customHeight="1">
      <c r="Y322" s="700"/>
      <c r="Z322" s="700"/>
    </row>
    <row r="323" ht="18.0" customHeight="1">
      <c r="Y323" s="700"/>
      <c r="Z323" s="700"/>
    </row>
    <row r="324" ht="18.0" customHeight="1">
      <c r="Y324" s="700"/>
      <c r="Z324" s="700"/>
    </row>
    <row r="325" ht="18.0" customHeight="1">
      <c r="Y325" s="700"/>
      <c r="Z325" s="700"/>
    </row>
    <row r="326" ht="18.0" customHeight="1">
      <c r="Y326" s="700"/>
      <c r="Z326" s="700"/>
    </row>
    <row r="327" ht="18.0" customHeight="1">
      <c r="Y327" s="700"/>
      <c r="Z327" s="700"/>
    </row>
    <row r="328" ht="18.0" customHeight="1">
      <c r="Y328" s="700"/>
      <c r="Z328" s="700"/>
    </row>
    <row r="329" ht="18.0" customHeight="1">
      <c r="Y329" s="700"/>
      <c r="Z329" s="700"/>
    </row>
    <row r="330" ht="18.0" customHeight="1">
      <c r="Y330" s="700"/>
      <c r="Z330" s="700"/>
    </row>
    <row r="331" ht="18.0" customHeight="1">
      <c r="Y331" s="700"/>
      <c r="Z331" s="700"/>
    </row>
    <row r="332" ht="18.0" customHeight="1">
      <c r="Y332" s="700"/>
      <c r="Z332" s="700"/>
    </row>
    <row r="333" ht="18.0" customHeight="1">
      <c r="Y333" s="700"/>
      <c r="Z333" s="700"/>
    </row>
    <row r="334" ht="18.0" customHeight="1">
      <c r="Y334" s="700"/>
      <c r="Z334" s="700"/>
    </row>
    <row r="335" ht="18.0" customHeight="1">
      <c r="Y335" s="700"/>
      <c r="Z335" s="700"/>
    </row>
    <row r="336" ht="18.0" customHeight="1">
      <c r="Y336" s="700"/>
      <c r="Z336" s="700"/>
    </row>
    <row r="337" ht="18.0" customHeight="1">
      <c r="Y337" s="700"/>
      <c r="Z337" s="700"/>
    </row>
    <row r="338" ht="18.0" customHeight="1">
      <c r="Y338" s="700"/>
      <c r="Z338" s="700"/>
    </row>
    <row r="339" ht="18.0" customHeight="1">
      <c r="Y339" s="700"/>
      <c r="Z339" s="700"/>
    </row>
    <row r="340" ht="18.0" customHeight="1">
      <c r="Y340" s="700"/>
      <c r="Z340" s="700"/>
    </row>
    <row r="341" ht="18.0" customHeight="1">
      <c r="Y341" s="700"/>
      <c r="Z341" s="700"/>
    </row>
    <row r="342" ht="18.0" customHeight="1">
      <c r="Y342" s="700"/>
      <c r="Z342" s="700"/>
    </row>
    <row r="343" ht="18.0" customHeight="1">
      <c r="Y343" s="700"/>
      <c r="Z343" s="700"/>
    </row>
    <row r="344" ht="18.0" customHeight="1">
      <c r="Y344" s="700"/>
      <c r="Z344" s="700"/>
    </row>
    <row r="345" ht="18.0" customHeight="1">
      <c r="Y345" s="700"/>
      <c r="Z345" s="700"/>
    </row>
    <row r="346" ht="18.0" customHeight="1">
      <c r="Y346" s="700"/>
      <c r="Z346" s="700"/>
    </row>
    <row r="347" ht="18.0" customHeight="1">
      <c r="Y347" s="700"/>
      <c r="Z347" s="700"/>
    </row>
    <row r="348" ht="18.0" customHeight="1">
      <c r="Y348" s="700"/>
      <c r="Z348" s="700"/>
    </row>
    <row r="349" ht="18.0" customHeight="1">
      <c r="Y349" s="700"/>
      <c r="Z349" s="700"/>
    </row>
    <row r="350" ht="18.0" customHeight="1">
      <c r="Y350" s="700"/>
      <c r="Z350" s="700"/>
    </row>
    <row r="351" ht="18.0" customHeight="1">
      <c r="Y351" s="700"/>
      <c r="Z351" s="700"/>
    </row>
    <row r="352" ht="18.0" customHeight="1">
      <c r="Y352" s="700"/>
      <c r="Z352" s="700"/>
    </row>
    <row r="353" ht="18.0" customHeight="1">
      <c r="Y353" s="700"/>
      <c r="Z353" s="700"/>
    </row>
    <row r="354" ht="18.0" customHeight="1">
      <c r="Y354" s="700"/>
      <c r="Z354" s="700"/>
    </row>
    <row r="355" ht="18.0" customHeight="1">
      <c r="Y355" s="700"/>
      <c r="Z355" s="700"/>
    </row>
    <row r="356" ht="18.0" customHeight="1">
      <c r="Y356" s="700"/>
      <c r="Z356" s="700"/>
    </row>
    <row r="357" ht="18.0" customHeight="1">
      <c r="Y357" s="700"/>
      <c r="Z357" s="700"/>
    </row>
    <row r="358" ht="18.0" customHeight="1">
      <c r="Y358" s="700"/>
      <c r="Z358" s="700"/>
    </row>
    <row r="359" ht="18.0" customHeight="1">
      <c r="Y359" s="700"/>
      <c r="Z359" s="700"/>
    </row>
    <row r="360" ht="18.0" customHeight="1">
      <c r="Y360" s="700"/>
      <c r="Z360" s="700"/>
    </row>
    <row r="361" ht="18.0" customHeight="1">
      <c r="Y361" s="700"/>
      <c r="Z361" s="700"/>
    </row>
    <row r="362" ht="18.0" customHeight="1">
      <c r="Y362" s="700"/>
      <c r="Z362" s="700"/>
    </row>
    <row r="363" ht="18.0" customHeight="1">
      <c r="Y363" s="700"/>
      <c r="Z363" s="700"/>
    </row>
    <row r="364" ht="18.0" customHeight="1">
      <c r="Y364" s="700"/>
      <c r="Z364" s="700"/>
    </row>
    <row r="365" ht="18.0" customHeight="1">
      <c r="Y365" s="700"/>
      <c r="Z365" s="700"/>
    </row>
    <row r="366" ht="18.0" customHeight="1">
      <c r="Y366" s="700"/>
      <c r="Z366" s="700"/>
    </row>
    <row r="367" ht="18.0" customHeight="1">
      <c r="Y367" s="700"/>
      <c r="Z367" s="700"/>
    </row>
    <row r="368" ht="18.0" customHeight="1">
      <c r="Y368" s="700"/>
      <c r="Z368" s="700"/>
    </row>
    <row r="369" ht="18.0" customHeight="1">
      <c r="Y369" s="700"/>
      <c r="Z369" s="700"/>
    </row>
    <row r="370" ht="18.0" customHeight="1">
      <c r="Y370" s="700"/>
      <c r="Z370" s="700"/>
    </row>
    <row r="371" ht="18.0" customHeight="1">
      <c r="Y371" s="700"/>
      <c r="Z371" s="700"/>
    </row>
    <row r="372" ht="18.0" customHeight="1">
      <c r="Y372" s="700"/>
      <c r="Z372" s="700"/>
    </row>
    <row r="373" ht="18.0" customHeight="1">
      <c r="Y373" s="700"/>
      <c r="Z373" s="700"/>
    </row>
    <row r="374" ht="18.0" customHeight="1">
      <c r="Y374" s="700"/>
      <c r="Z374" s="700"/>
    </row>
    <row r="375" ht="18.0" customHeight="1">
      <c r="Y375" s="700"/>
      <c r="Z375" s="700"/>
    </row>
    <row r="376" ht="18.0" customHeight="1">
      <c r="Y376" s="700"/>
      <c r="Z376" s="700"/>
    </row>
    <row r="377" ht="18.0" customHeight="1">
      <c r="Y377" s="700"/>
      <c r="Z377" s="700"/>
    </row>
    <row r="378" ht="18.0" customHeight="1">
      <c r="Y378" s="700"/>
      <c r="Z378" s="700"/>
    </row>
    <row r="379" ht="18.0" customHeight="1">
      <c r="Y379" s="700"/>
      <c r="Z379" s="700"/>
    </row>
    <row r="380" ht="18.0" customHeight="1">
      <c r="Y380" s="700"/>
      <c r="Z380" s="700"/>
    </row>
    <row r="381" ht="18.0" customHeight="1">
      <c r="Y381" s="700"/>
      <c r="Z381" s="700"/>
    </row>
    <row r="382" ht="18.0" customHeight="1">
      <c r="Y382" s="700"/>
      <c r="Z382" s="700"/>
    </row>
    <row r="383" ht="18.0" customHeight="1">
      <c r="Y383" s="700"/>
      <c r="Z383" s="700"/>
    </row>
    <row r="384" ht="18.0" customHeight="1">
      <c r="Y384" s="700"/>
      <c r="Z384" s="700"/>
    </row>
    <row r="385" ht="18.0" customHeight="1">
      <c r="Y385" s="700"/>
      <c r="Z385" s="700"/>
    </row>
    <row r="386" ht="18.0" customHeight="1">
      <c r="Y386" s="700"/>
      <c r="Z386" s="700"/>
    </row>
    <row r="387" ht="18.0" customHeight="1">
      <c r="Y387" s="700"/>
      <c r="Z387" s="700"/>
    </row>
    <row r="388" ht="18.0" customHeight="1">
      <c r="Y388" s="700"/>
      <c r="Z388" s="700"/>
    </row>
    <row r="389" ht="18.0" customHeight="1">
      <c r="Y389" s="700"/>
      <c r="Z389" s="700"/>
    </row>
    <row r="390" ht="18.0" customHeight="1">
      <c r="Y390" s="700"/>
      <c r="Z390" s="700"/>
    </row>
    <row r="391" ht="18.0" customHeight="1">
      <c r="Y391" s="700"/>
      <c r="Z391" s="700"/>
    </row>
    <row r="392" ht="18.0" customHeight="1">
      <c r="Y392" s="700"/>
      <c r="Z392" s="700"/>
    </row>
    <row r="393" ht="18.0" customHeight="1">
      <c r="Y393" s="700"/>
      <c r="Z393" s="700"/>
    </row>
    <row r="394" ht="18.0" customHeight="1">
      <c r="Y394" s="700"/>
      <c r="Z394" s="700"/>
    </row>
    <row r="395" ht="18.0" customHeight="1">
      <c r="Y395" s="700"/>
      <c r="Z395" s="700"/>
    </row>
    <row r="396" ht="18.0" customHeight="1">
      <c r="Y396" s="700"/>
      <c r="Z396" s="700"/>
    </row>
    <row r="397" ht="18.0" customHeight="1">
      <c r="Y397" s="700"/>
      <c r="Z397" s="700"/>
    </row>
    <row r="398" ht="18.0" customHeight="1">
      <c r="Y398" s="700"/>
      <c r="Z398" s="700"/>
    </row>
    <row r="399" ht="18.0" customHeight="1">
      <c r="Y399" s="700"/>
      <c r="Z399" s="700"/>
    </row>
    <row r="400" ht="18.0" customHeight="1">
      <c r="Y400" s="700"/>
      <c r="Z400" s="700"/>
    </row>
    <row r="401" ht="18.0" customHeight="1">
      <c r="Y401" s="700"/>
      <c r="Z401" s="700"/>
    </row>
    <row r="402" ht="18.0" customHeight="1">
      <c r="Y402" s="700"/>
      <c r="Z402" s="700"/>
    </row>
    <row r="403" ht="18.0" customHeight="1">
      <c r="Y403" s="700"/>
      <c r="Z403" s="700"/>
    </row>
    <row r="404" ht="18.0" customHeight="1">
      <c r="Y404" s="700"/>
      <c r="Z404" s="700"/>
    </row>
    <row r="405" ht="18.0" customHeight="1">
      <c r="Y405" s="700"/>
      <c r="Z405" s="700"/>
    </row>
    <row r="406" ht="18.0" customHeight="1">
      <c r="Y406" s="700"/>
      <c r="Z406" s="700"/>
    </row>
    <row r="407" ht="18.0" customHeight="1">
      <c r="Y407" s="700"/>
      <c r="Z407" s="700"/>
    </row>
    <row r="408" ht="18.0" customHeight="1">
      <c r="Y408" s="700"/>
      <c r="Z408" s="700"/>
    </row>
    <row r="409" ht="18.0" customHeight="1">
      <c r="Y409" s="700"/>
      <c r="Z409" s="700"/>
    </row>
    <row r="410" ht="18.0" customHeight="1">
      <c r="Y410" s="700"/>
      <c r="Z410" s="700"/>
    </row>
    <row r="411" ht="18.0" customHeight="1">
      <c r="Y411" s="700"/>
      <c r="Z411" s="700"/>
    </row>
    <row r="412" ht="18.0" customHeight="1">
      <c r="Y412" s="700"/>
      <c r="Z412" s="700"/>
    </row>
    <row r="413" ht="18.0" customHeight="1">
      <c r="Y413" s="700"/>
      <c r="Z413" s="700"/>
    </row>
    <row r="414" ht="18.0" customHeight="1">
      <c r="Y414" s="700"/>
      <c r="Z414" s="700"/>
    </row>
    <row r="415" ht="18.0" customHeight="1">
      <c r="Y415" s="700"/>
      <c r="Z415" s="700"/>
    </row>
    <row r="416" ht="18.0" customHeight="1">
      <c r="Y416" s="700"/>
      <c r="Z416" s="700"/>
    </row>
    <row r="417" ht="18.0" customHeight="1">
      <c r="Y417" s="700"/>
      <c r="Z417" s="700"/>
    </row>
    <row r="418" ht="18.0" customHeight="1">
      <c r="Y418" s="700"/>
      <c r="Z418" s="700"/>
    </row>
    <row r="419" ht="18.0" customHeight="1">
      <c r="Y419" s="700"/>
      <c r="Z419" s="700"/>
    </row>
    <row r="420" ht="18.0" customHeight="1">
      <c r="Y420" s="700"/>
      <c r="Z420" s="700"/>
    </row>
    <row r="421" ht="18.0" customHeight="1">
      <c r="Y421" s="700"/>
      <c r="Z421" s="700"/>
    </row>
    <row r="422" ht="18.0" customHeight="1">
      <c r="Y422" s="700"/>
      <c r="Z422" s="700"/>
    </row>
    <row r="423" ht="18.0" customHeight="1">
      <c r="Y423" s="700"/>
      <c r="Z423" s="700"/>
    </row>
    <row r="424" ht="18.0" customHeight="1">
      <c r="Y424" s="700"/>
      <c r="Z424" s="700"/>
    </row>
    <row r="425" ht="18.0" customHeight="1">
      <c r="Y425" s="700"/>
      <c r="Z425" s="700"/>
    </row>
    <row r="426" ht="18.0" customHeight="1">
      <c r="Y426" s="700"/>
      <c r="Z426" s="700"/>
    </row>
    <row r="427" ht="18.0" customHeight="1">
      <c r="Y427" s="700"/>
      <c r="Z427" s="700"/>
    </row>
    <row r="428" ht="18.0" customHeight="1">
      <c r="Y428" s="700"/>
      <c r="Z428" s="700"/>
    </row>
    <row r="429" ht="18.0" customHeight="1">
      <c r="Y429" s="700"/>
      <c r="Z429" s="700"/>
    </row>
    <row r="430" ht="18.0" customHeight="1">
      <c r="Y430" s="700"/>
      <c r="Z430" s="700"/>
    </row>
    <row r="431" ht="18.0" customHeight="1">
      <c r="Y431" s="700"/>
      <c r="Z431" s="700"/>
    </row>
    <row r="432" ht="18.0" customHeight="1">
      <c r="Y432" s="700"/>
      <c r="Z432" s="700"/>
    </row>
    <row r="433" ht="18.0" customHeight="1">
      <c r="Y433" s="700"/>
      <c r="Z433" s="700"/>
    </row>
    <row r="434" ht="18.0" customHeight="1">
      <c r="Y434" s="700"/>
      <c r="Z434" s="700"/>
    </row>
    <row r="435" ht="18.0" customHeight="1">
      <c r="Y435" s="700"/>
      <c r="Z435" s="700"/>
    </row>
    <row r="436" ht="18.0" customHeight="1">
      <c r="Y436" s="700"/>
      <c r="Z436" s="700"/>
    </row>
    <row r="437" ht="18.0" customHeight="1">
      <c r="Y437" s="700"/>
      <c r="Z437" s="700"/>
    </row>
    <row r="438" ht="18.0" customHeight="1">
      <c r="Y438" s="700"/>
      <c r="Z438" s="700"/>
    </row>
    <row r="439" ht="18.0" customHeight="1">
      <c r="Y439" s="700"/>
      <c r="Z439" s="700"/>
    </row>
    <row r="440" ht="18.0" customHeight="1">
      <c r="Y440" s="700"/>
      <c r="Z440" s="700"/>
    </row>
    <row r="441" ht="18.0" customHeight="1">
      <c r="Y441" s="700"/>
      <c r="Z441" s="700"/>
    </row>
    <row r="442" ht="18.0" customHeight="1">
      <c r="Y442" s="700"/>
      <c r="Z442" s="700"/>
    </row>
    <row r="443" ht="18.0" customHeight="1">
      <c r="Y443" s="700"/>
      <c r="Z443" s="700"/>
    </row>
    <row r="444" ht="18.0" customHeight="1">
      <c r="Y444" s="700"/>
      <c r="Z444" s="700"/>
    </row>
    <row r="445" ht="18.0" customHeight="1">
      <c r="Y445" s="700"/>
      <c r="Z445" s="700"/>
    </row>
    <row r="446" ht="18.0" customHeight="1">
      <c r="Y446" s="700"/>
      <c r="Z446" s="700"/>
    </row>
    <row r="447" ht="18.0" customHeight="1">
      <c r="Y447" s="700"/>
      <c r="Z447" s="700"/>
    </row>
    <row r="448" ht="18.0" customHeight="1">
      <c r="Y448" s="700"/>
      <c r="Z448" s="700"/>
    </row>
    <row r="449" ht="18.0" customHeight="1">
      <c r="Y449" s="700"/>
      <c r="Z449" s="700"/>
    </row>
    <row r="450" ht="18.0" customHeight="1">
      <c r="Y450" s="700"/>
      <c r="Z450" s="700"/>
    </row>
    <row r="451" ht="18.0" customHeight="1">
      <c r="Y451" s="700"/>
      <c r="Z451" s="700"/>
    </row>
    <row r="452" ht="18.0" customHeight="1">
      <c r="Y452" s="700"/>
      <c r="Z452" s="700"/>
    </row>
    <row r="453" ht="18.0" customHeight="1">
      <c r="Y453" s="700"/>
      <c r="Z453" s="700"/>
    </row>
    <row r="454" ht="18.0" customHeight="1">
      <c r="Y454" s="700"/>
      <c r="Z454" s="700"/>
    </row>
    <row r="455" ht="18.0" customHeight="1">
      <c r="Y455" s="700"/>
      <c r="Z455" s="700"/>
    </row>
    <row r="456" ht="18.0" customHeight="1">
      <c r="Y456" s="700"/>
      <c r="Z456" s="700"/>
    </row>
    <row r="457" ht="18.0" customHeight="1">
      <c r="Y457" s="700"/>
      <c r="Z457" s="700"/>
    </row>
    <row r="458" ht="18.0" customHeight="1">
      <c r="Y458" s="700"/>
      <c r="Z458" s="700"/>
    </row>
    <row r="459" ht="18.0" customHeight="1">
      <c r="Y459" s="700"/>
      <c r="Z459" s="700"/>
    </row>
    <row r="460" ht="18.0" customHeight="1">
      <c r="Y460" s="700"/>
      <c r="Z460" s="700"/>
    </row>
    <row r="461" ht="18.0" customHeight="1">
      <c r="Y461" s="700"/>
      <c r="Z461" s="700"/>
    </row>
    <row r="462" ht="18.0" customHeight="1">
      <c r="Y462" s="700"/>
      <c r="Z462" s="700"/>
    </row>
    <row r="463" ht="18.0" customHeight="1">
      <c r="Y463" s="700"/>
      <c r="Z463" s="700"/>
    </row>
    <row r="464" ht="18.0" customHeight="1">
      <c r="Y464" s="700"/>
      <c r="Z464" s="700"/>
    </row>
    <row r="465" ht="18.0" customHeight="1">
      <c r="Y465" s="700"/>
      <c r="Z465" s="700"/>
    </row>
    <row r="466" ht="18.0" customHeight="1">
      <c r="Y466" s="700"/>
      <c r="Z466" s="700"/>
    </row>
    <row r="467" ht="18.0" customHeight="1">
      <c r="Y467" s="700"/>
      <c r="Z467" s="700"/>
    </row>
    <row r="468" ht="18.0" customHeight="1">
      <c r="Y468" s="700"/>
      <c r="Z468" s="700"/>
    </row>
    <row r="469" ht="18.0" customHeight="1">
      <c r="Y469" s="700"/>
      <c r="Z469" s="700"/>
    </row>
    <row r="470" ht="18.0" customHeight="1">
      <c r="Y470" s="700"/>
      <c r="Z470" s="700"/>
    </row>
    <row r="471" ht="18.0" customHeight="1">
      <c r="Y471" s="700"/>
      <c r="Z471" s="700"/>
    </row>
    <row r="472" ht="18.0" customHeight="1">
      <c r="Y472" s="700"/>
      <c r="Z472" s="700"/>
    </row>
    <row r="473" ht="18.0" customHeight="1">
      <c r="Y473" s="700"/>
      <c r="Z473" s="700"/>
    </row>
    <row r="474" ht="18.0" customHeight="1">
      <c r="Y474" s="700"/>
      <c r="Z474" s="700"/>
    </row>
    <row r="475" ht="18.0" customHeight="1">
      <c r="Y475" s="700"/>
      <c r="Z475" s="700"/>
    </row>
    <row r="476" ht="18.0" customHeight="1">
      <c r="Y476" s="700"/>
      <c r="Z476" s="700"/>
    </row>
    <row r="477" ht="18.0" customHeight="1">
      <c r="Y477" s="700"/>
      <c r="Z477" s="700"/>
    </row>
    <row r="478" ht="18.0" customHeight="1">
      <c r="Y478" s="700"/>
      <c r="Z478" s="700"/>
    </row>
    <row r="479" ht="18.0" customHeight="1">
      <c r="Y479" s="700"/>
      <c r="Z479" s="700"/>
    </row>
    <row r="480" ht="18.0" customHeight="1">
      <c r="Y480" s="700"/>
      <c r="Z480" s="700"/>
    </row>
    <row r="481" ht="18.0" customHeight="1">
      <c r="Y481" s="700"/>
      <c r="Z481" s="700"/>
    </row>
    <row r="482" ht="18.0" customHeight="1">
      <c r="Y482" s="700"/>
      <c r="Z482" s="700"/>
    </row>
    <row r="483" ht="18.0" customHeight="1">
      <c r="Y483" s="700"/>
      <c r="Z483" s="700"/>
    </row>
    <row r="484" ht="18.0" customHeight="1">
      <c r="Y484" s="700"/>
      <c r="Z484" s="700"/>
    </row>
    <row r="485" ht="18.0" customHeight="1">
      <c r="Y485" s="700"/>
      <c r="Z485" s="700"/>
    </row>
    <row r="486" ht="18.0" customHeight="1">
      <c r="Y486" s="700"/>
      <c r="Z486" s="700"/>
    </row>
    <row r="487" ht="18.0" customHeight="1">
      <c r="Y487" s="700"/>
      <c r="Z487" s="700"/>
    </row>
    <row r="488" ht="18.0" customHeight="1">
      <c r="Y488" s="700"/>
      <c r="Z488" s="700"/>
    </row>
    <row r="489" ht="18.0" customHeight="1">
      <c r="Y489" s="700"/>
      <c r="Z489" s="700"/>
    </row>
    <row r="490" ht="18.0" customHeight="1">
      <c r="Y490" s="700"/>
      <c r="Z490" s="700"/>
    </row>
    <row r="491" ht="18.0" customHeight="1">
      <c r="Y491" s="700"/>
      <c r="Z491" s="700"/>
    </row>
    <row r="492" ht="18.0" customHeight="1">
      <c r="Y492" s="700"/>
      <c r="Z492" s="700"/>
    </row>
    <row r="493" ht="18.0" customHeight="1">
      <c r="Y493" s="700"/>
      <c r="Z493" s="700"/>
    </row>
    <row r="494" ht="18.0" customHeight="1">
      <c r="Y494" s="700"/>
      <c r="Z494" s="700"/>
    </row>
    <row r="495" ht="18.0" customHeight="1">
      <c r="Y495" s="700"/>
      <c r="Z495" s="700"/>
    </row>
    <row r="496" ht="18.0" customHeight="1">
      <c r="Y496" s="700"/>
      <c r="Z496" s="700"/>
    </row>
    <row r="497" ht="18.0" customHeight="1">
      <c r="Y497" s="700"/>
      <c r="Z497" s="700"/>
    </row>
    <row r="498" ht="18.0" customHeight="1">
      <c r="Y498" s="700"/>
      <c r="Z498" s="700"/>
    </row>
    <row r="499" ht="18.0" customHeight="1">
      <c r="Y499" s="700"/>
      <c r="Z499" s="700"/>
    </row>
    <row r="500" ht="18.0" customHeight="1">
      <c r="Y500" s="700"/>
      <c r="Z500" s="700"/>
    </row>
    <row r="501" ht="18.0" customHeight="1">
      <c r="Y501" s="700"/>
      <c r="Z501" s="700"/>
    </row>
    <row r="502" ht="18.0" customHeight="1">
      <c r="Y502" s="700"/>
      <c r="Z502" s="700"/>
    </row>
    <row r="503" ht="18.0" customHeight="1">
      <c r="Y503" s="700"/>
      <c r="Z503" s="700"/>
    </row>
    <row r="504" ht="18.0" customHeight="1">
      <c r="Y504" s="700"/>
      <c r="Z504" s="700"/>
    </row>
    <row r="505" ht="18.0" customHeight="1">
      <c r="Y505" s="700"/>
      <c r="Z505" s="700"/>
    </row>
    <row r="506" ht="18.0" customHeight="1">
      <c r="Y506" s="700"/>
      <c r="Z506" s="700"/>
    </row>
    <row r="507" ht="18.0" customHeight="1">
      <c r="Y507" s="700"/>
      <c r="Z507" s="700"/>
    </row>
    <row r="508" ht="18.0" customHeight="1">
      <c r="Y508" s="700"/>
      <c r="Z508" s="700"/>
    </row>
    <row r="509" ht="18.0" customHeight="1">
      <c r="Y509" s="700"/>
      <c r="Z509" s="700"/>
    </row>
    <row r="510" ht="18.0" customHeight="1">
      <c r="Y510" s="700"/>
      <c r="Z510" s="700"/>
    </row>
    <row r="511" ht="18.0" customHeight="1">
      <c r="Y511" s="700"/>
      <c r="Z511" s="700"/>
    </row>
    <row r="512" ht="18.0" customHeight="1">
      <c r="Y512" s="700"/>
      <c r="Z512" s="700"/>
    </row>
    <row r="513" ht="18.0" customHeight="1">
      <c r="Y513" s="700"/>
      <c r="Z513" s="700"/>
    </row>
    <row r="514" ht="18.0" customHeight="1">
      <c r="Y514" s="700"/>
      <c r="Z514" s="700"/>
    </row>
    <row r="515" ht="18.0" customHeight="1">
      <c r="Y515" s="700"/>
      <c r="Z515" s="700"/>
    </row>
    <row r="516" ht="18.0" customHeight="1">
      <c r="Y516" s="700"/>
      <c r="Z516" s="700"/>
    </row>
    <row r="517" ht="18.0" customHeight="1">
      <c r="Y517" s="700"/>
      <c r="Z517" s="700"/>
    </row>
    <row r="518" ht="18.0" customHeight="1">
      <c r="Y518" s="700"/>
      <c r="Z518" s="700"/>
    </row>
    <row r="519" ht="18.0" customHeight="1">
      <c r="Y519" s="700"/>
      <c r="Z519" s="700"/>
    </row>
    <row r="520" ht="18.0" customHeight="1">
      <c r="Y520" s="700"/>
      <c r="Z520" s="700"/>
    </row>
    <row r="521" ht="18.0" customHeight="1">
      <c r="Y521" s="700"/>
      <c r="Z521" s="700"/>
    </row>
    <row r="522" ht="18.0" customHeight="1">
      <c r="Y522" s="700"/>
      <c r="Z522" s="700"/>
    </row>
    <row r="523" ht="18.0" customHeight="1">
      <c r="Y523" s="700"/>
      <c r="Z523" s="700"/>
    </row>
    <row r="524" ht="18.0" customHeight="1">
      <c r="Y524" s="700"/>
      <c r="Z524" s="700"/>
    </row>
    <row r="525" ht="18.0" customHeight="1">
      <c r="Y525" s="700"/>
      <c r="Z525" s="700"/>
    </row>
    <row r="526" ht="18.0" customHeight="1">
      <c r="Y526" s="700"/>
      <c r="Z526" s="700"/>
    </row>
    <row r="527" ht="18.0" customHeight="1">
      <c r="Y527" s="700"/>
      <c r="Z527" s="700"/>
    </row>
    <row r="528" ht="18.0" customHeight="1">
      <c r="Y528" s="700"/>
      <c r="Z528" s="700"/>
    </row>
    <row r="529" ht="18.0" customHeight="1">
      <c r="Y529" s="700"/>
      <c r="Z529" s="700"/>
    </row>
    <row r="530" ht="18.0" customHeight="1">
      <c r="Y530" s="700"/>
      <c r="Z530" s="700"/>
    </row>
    <row r="531" ht="18.0" customHeight="1">
      <c r="Y531" s="700"/>
      <c r="Z531" s="700"/>
    </row>
    <row r="532" ht="18.0" customHeight="1">
      <c r="Y532" s="700"/>
      <c r="Z532" s="700"/>
    </row>
    <row r="533" ht="18.0" customHeight="1">
      <c r="Y533" s="700"/>
      <c r="Z533" s="700"/>
    </row>
    <row r="534" ht="18.0" customHeight="1">
      <c r="Y534" s="700"/>
      <c r="Z534" s="700"/>
    </row>
    <row r="535" ht="18.0" customHeight="1">
      <c r="Y535" s="700"/>
      <c r="Z535" s="700"/>
    </row>
    <row r="536" ht="18.0" customHeight="1">
      <c r="Y536" s="700"/>
      <c r="Z536" s="700"/>
    </row>
    <row r="537" ht="18.0" customHeight="1">
      <c r="Y537" s="700"/>
      <c r="Z537" s="700"/>
    </row>
    <row r="538" ht="18.0" customHeight="1">
      <c r="Y538" s="700"/>
      <c r="Z538" s="700"/>
    </row>
    <row r="539" ht="18.0" customHeight="1">
      <c r="Y539" s="700"/>
      <c r="Z539" s="700"/>
    </row>
    <row r="540" ht="18.0" customHeight="1">
      <c r="Y540" s="700"/>
      <c r="Z540" s="700"/>
    </row>
    <row r="541" ht="18.0" customHeight="1">
      <c r="Y541" s="700"/>
      <c r="Z541" s="700"/>
    </row>
    <row r="542" ht="18.0" customHeight="1">
      <c r="Y542" s="700"/>
      <c r="Z542" s="700"/>
    </row>
    <row r="543" ht="18.0" customHeight="1">
      <c r="Y543" s="700"/>
      <c r="Z543" s="700"/>
    </row>
    <row r="544" ht="18.0" customHeight="1">
      <c r="Y544" s="700"/>
      <c r="Z544" s="700"/>
    </row>
    <row r="545" ht="18.0" customHeight="1">
      <c r="Y545" s="700"/>
      <c r="Z545" s="700"/>
    </row>
    <row r="546" ht="18.0" customHeight="1">
      <c r="Y546" s="700"/>
      <c r="Z546" s="700"/>
    </row>
    <row r="547" ht="18.0" customHeight="1">
      <c r="Y547" s="700"/>
      <c r="Z547" s="700"/>
    </row>
    <row r="548" ht="18.0" customHeight="1">
      <c r="Y548" s="700"/>
      <c r="Z548" s="700"/>
    </row>
    <row r="549" ht="18.0" customHeight="1">
      <c r="Y549" s="700"/>
      <c r="Z549" s="700"/>
    </row>
    <row r="550" ht="18.0" customHeight="1">
      <c r="Y550" s="700"/>
      <c r="Z550" s="700"/>
    </row>
    <row r="551" ht="18.0" customHeight="1">
      <c r="Y551" s="700"/>
      <c r="Z551" s="700"/>
    </row>
    <row r="552" ht="18.0" customHeight="1">
      <c r="Y552" s="700"/>
      <c r="Z552" s="700"/>
    </row>
    <row r="553" ht="18.0" customHeight="1">
      <c r="Y553" s="700"/>
      <c r="Z553" s="700"/>
    </row>
    <row r="554" ht="18.0" customHeight="1">
      <c r="Y554" s="700"/>
      <c r="Z554" s="700"/>
    </row>
    <row r="555" ht="18.0" customHeight="1">
      <c r="Y555" s="700"/>
      <c r="Z555" s="700"/>
    </row>
    <row r="556" ht="18.0" customHeight="1">
      <c r="Y556" s="700"/>
      <c r="Z556" s="700"/>
    </row>
    <row r="557" ht="18.0" customHeight="1">
      <c r="Y557" s="700"/>
      <c r="Z557" s="700"/>
    </row>
    <row r="558" ht="18.0" customHeight="1">
      <c r="Y558" s="700"/>
      <c r="Z558" s="700"/>
    </row>
    <row r="559" ht="18.0" customHeight="1">
      <c r="Y559" s="700"/>
      <c r="Z559" s="700"/>
    </row>
    <row r="560" ht="18.0" customHeight="1">
      <c r="Y560" s="700"/>
      <c r="Z560" s="700"/>
    </row>
    <row r="561" ht="18.0" customHeight="1">
      <c r="Y561" s="700"/>
      <c r="Z561" s="700"/>
    </row>
    <row r="562" ht="18.0" customHeight="1">
      <c r="Y562" s="700"/>
      <c r="Z562" s="700"/>
    </row>
    <row r="563" ht="18.0" customHeight="1">
      <c r="Y563" s="700"/>
      <c r="Z563" s="700"/>
    </row>
    <row r="564" ht="18.0" customHeight="1">
      <c r="Y564" s="700"/>
      <c r="Z564" s="700"/>
    </row>
    <row r="565" ht="18.0" customHeight="1">
      <c r="Y565" s="700"/>
      <c r="Z565" s="700"/>
    </row>
    <row r="566" ht="18.0" customHeight="1">
      <c r="Y566" s="700"/>
      <c r="Z566" s="700"/>
    </row>
    <row r="567" ht="18.0" customHeight="1">
      <c r="Y567" s="700"/>
      <c r="Z567" s="700"/>
    </row>
    <row r="568" ht="18.0" customHeight="1">
      <c r="Y568" s="700"/>
      <c r="Z568" s="700"/>
    </row>
    <row r="569" ht="18.0" customHeight="1">
      <c r="Y569" s="700"/>
      <c r="Z569" s="700"/>
    </row>
    <row r="570" ht="18.0" customHeight="1">
      <c r="Y570" s="700"/>
      <c r="Z570" s="700"/>
    </row>
    <row r="571" ht="18.0" customHeight="1">
      <c r="Y571" s="700"/>
      <c r="Z571" s="700"/>
    </row>
    <row r="572" ht="18.0" customHeight="1">
      <c r="Y572" s="700"/>
      <c r="Z572" s="700"/>
    </row>
    <row r="573" ht="18.0" customHeight="1">
      <c r="Y573" s="700"/>
      <c r="Z573" s="700"/>
    </row>
    <row r="574" ht="18.0" customHeight="1">
      <c r="Y574" s="700"/>
      <c r="Z574" s="700"/>
    </row>
    <row r="575" ht="18.0" customHeight="1">
      <c r="Y575" s="700"/>
      <c r="Z575" s="700"/>
    </row>
    <row r="576" ht="18.0" customHeight="1">
      <c r="Y576" s="700"/>
      <c r="Z576" s="700"/>
    </row>
    <row r="577" ht="18.0" customHeight="1">
      <c r="Y577" s="700"/>
      <c r="Z577" s="700"/>
    </row>
    <row r="578" ht="18.0" customHeight="1">
      <c r="Y578" s="700"/>
      <c r="Z578" s="700"/>
    </row>
    <row r="579" ht="18.0" customHeight="1">
      <c r="Y579" s="700"/>
      <c r="Z579" s="700"/>
    </row>
    <row r="580" ht="18.0" customHeight="1">
      <c r="Y580" s="700"/>
      <c r="Z580" s="700"/>
    </row>
    <row r="581" ht="18.0" customHeight="1">
      <c r="Y581" s="700"/>
      <c r="Z581" s="700"/>
    </row>
    <row r="582" ht="18.0" customHeight="1">
      <c r="Y582" s="700"/>
      <c r="Z582" s="700"/>
    </row>
    <row r="583" ht="18.0" customHeight="1">
      <c r="Y583" s="700"/>
      <c r="Z583" s="700"/>
    </row>
    <row r="584" ht="18.0" customHeight="1">
      <c r="Y584" s="700"/>
      <c r="Z584" s="700"/>
    </row>
    <row r="585" ht="18.0" customHeight="1">
      <c r="Y585" s="700"/>
      <c r="Z585" s="700"/>
    </row>
    <row r="586" ht="18.0" customHeight="1">
      <c r="Y586" s="700"/>
      <c r="Z586" s="700"/>
    </row>
    <row r="587" ht="18.0" customHeight="1">
      <c r="Y587" s="700"/>
      <c r="Z587" s="700"/>
    </row>
    <row r="588" ht="18.0" customHeight="1">
      <c r="Y588" s="700"/>
      <c r="Z588" s="700"/>
    </row>
    <row r="589" ht="18.0" customHeight="1">
      <c r="Y589" s="700"/>
      <c r="Z589" s="700"/>
    </row>
    <row r="590" ht="18.0" customHeight="1">
      <c r="Y590" s="700"/>
      <c r="Z590" s="700"/>
    </row>
    <row r="591" ht="18.0" customHeight="1">
      <c r="Y591" s="700"/>
      <c r="Z591" s="700"/>
    </row>
    <row r="592" ht="18.0" customHeight="1">
      <c r="Y592" s="700"/>
      <c r="Z592" s="700"/>
    </row>
    <row r="593" ht="18.0" customHeight="1">
      <c r="Y593" s="700"/>
      <c r="Z593" s="700"/>
    </row>
    <row r="594" ht="18.0" customHeight="1">
      <c r="Y594" s="700"/>
      <c r="Z594" s="700"/>
    </row>
    <row r="595" ht="18.0" customHeight="1">
      <c r="Y595" s="700"/>
      <c r="Z595" s="700"/>
    </row>
    <row r="596" ht="18.0" customHeight="1">
      <c r="Y596" s="700"/>
      <c r="Z596" s="700"/>
    </row>
    <row r="597" ht="18.0" customHeight="1">
      <c r="Y597" s="700"/>
      <c r="Z597" s="700"/>
    </row>
    <row r="598" ht="18.0" customHeight="1">
      <c r="Y598" s="700"/>
      <c r="Z598" s="700"/>
    </row>
    <row r="599" ht="18.0" customHeight="1">
      <c r="Y599" s="700"/>
      <c r="Z599" s="700"/>
    </row>
    <row r="600" ht="18.0" customHeight="1">
      <c r="Y600" s="700"/>
      <c r="Z600" s="700"/>
    </row>
    <row r="601" ht="18.0" customHeight="1">
      <c r="Y601" s="700"/>
      <c r="Z601" s="700"/>
    </row>
    <row r="602" ht="18.0" customHeight="1">
      <c r="Y602" s="700"/>
      <c r="Z602" s="700"/>
    </row>
    <row r="603" ht="18.0" customHeight="1">
      <c r="Y603" s="700"/>
      <c r="Z603" s="700"/>
    </row>
    <row r="604" ht="18.0" customHeight="1">
      <c r="Y604" s="700"/>
      <c r="Z604" s="700"/>
    </row>
    <row r="605" ht="18.0" customHeight="1">
      <c r="Y605" s="700"/>
      <c r="Z605" s="700"/>
    </row>
    <row r="606" ht="18.0" customHeight="1">
      <c r="Y606" s="700"/>
      <c r="Z606" s="700"/>
    </row>
    <row r="607" ht="18.0" customHeight="1">
      <c r="Y607" s="700"/>
      <c r="Z607" s="700"/>
    </row>
    <row r="608" ht="18.0" customHeight="1">
      <c r="Y608" s="700"/>
      <c r="Z608" s="700"/>
    </row>
    <row r="609" ht="18.0" customHeight="1">
      <c r="Y609" s="700"/>
      <c r="Z609" s="700"/>
    </row>
    <row r="610" ht="18.0" customHeight="1">
      <c r="Y610" s="700"/>
      <c r="Z610" s="700"/>
    </row>
    <row r="611" ht="18.0" customHeight="1">
      <c r="Y611" s="700"/>
      <c r="Z611" s="700"/>
    </row>
    <row r="612" ht="18.0" customHeight="1">
      <c r="Y612" s="700"/>
      <c r="Z612" s="700"/>
    </row>
    <row r="613" ht="18.0" customHeight="1">
      <c r="Y613" s="700"/>
      <c r="Z613" s="700"/>
    </row>
    <row r="614" ht="18.0" customHeight="1">
      <c r="Y614" s="700"/>
      <c r="Z614" s="700"/>
    </row>
    <row r="615" ht="18.0" customHeight="1">
      <c r="Y615" s="700"/>
      <c r="Z615" s="700"/>
    </row>
    <row r="616" ht="18.0" customHeight="1">
      <c r="Y616" s="700"/>
      <c r="Z616" s="700"/>
    </row>
    <row r="617" ht="18.0" customHeight="1">
      <c r="Y617" s="700"/>
      <c r="Z617" s="700"/>
    </row>
    <row r="618" ht="18.0" customHeight="1">
      <c r="Y618" s="700"/>
      <c r="Z618" s="700"/>
    </row>
    <row r="619" ht="18.0" customHeight="1">
      <c r="Y619" s="700"/>
      <c r="Z619" s="700"/>
    </row>
    <row r="620" ht="18.0" customHeight="1">
      <c r="Y620" s="700"/>
      <c r="Z620" s="700"/>
    </row>
    <row r="621" ht="18.0" customHeight="1">
      <c r="Y621" s="700"/>
      <c r="Z621" s="700"/>
    </row>
    <row r="622" ht="18.0" customHeight="1">
      <c r="Y622" s="700"/>
      <c r="Z622" s="700"/>
    </row>
    <row r="623" ht="18.0" customHeight="1">
      <c r="Y623" s="700"/>
      <c r="Z623" s="700"/>
    </row>
    <row r="624" ht="18.0" customHeight="1">
      <c r="Y624" s="700"/>
      <c r="Z624" s="700"/>
    </row>
    <row r="625" ht="18.0" customHeight="1">
      <c r="Y625" s="700"/>
      <c r="Z625" s="700"/>
    </row>
    <row r="626" ht="18.0" customHeight="1">
      <c r="Y626" s="700"/>
      <c r="Z626" s="700"/>
    </row>
    <row r="627" ht="18.0" customHeight="1">
      <c r="Y627" s="700"/>
      <c r="Z627" s="700"/>
    </row>
    <row r="628" ht="18.0" customHeight="1">
      <c r="Y628" s="700"/>
      <c r="Z628" s="700"/>
    </row>
    <row r="629" ht="18.0" customHeight="1">
      <c r="Y629" s="700"/>
      <c r="Z629" s="700"/>
    </row>
    <row r="630" ht="18.0" customHeight="1">
      <c r="Y630" s="700"/>
      <c r="Z630" s="700"/>
    </row>
    <row r="631" ht="18.0" customHeight="1">
      <c r="Y631" s="700"/>
      <c r="Z631" s="700"/>
    </row>
    <row r="632" ht="18.0" customHeight="1">
      <c r="Y632" s="700"/>
      <c r="Z632" s="700"/>
    </row>
    <row r="633" ht="18.0" customHeight="1">
      <c r="Y633" s="700"/>
      <c r="Z633" s="700"/>
    </row>
    <row r="634" ht="18.0" customHeight="1">
      <c r="Y634" s="700"/>
      <c r="Z634" s="700"/>
    </row>
    <row r="635" ht="18.0" customHeight="1">
      <c r="Y635" s="700"/>
      <c r="Z635" s="700"/>
    </row>
    <row r="636" ht="18.0" customHeight="1">
      <c r="Y636" s="700"/>
      <c r="Z636" s="700"/>
    </row>
    <row r="637" ht="18.0" customHeight="1">
      <c r="Y637" s="700"/>
      <c r="Z637" s="700"/>
    </row>
    <row r="638" ht="18.0" customHeight="1">
      <c r="Y638" s="700"/>
      <c r="Z638" s="700"/>
    </row>
    <row r="639" ht="18.0" customHeight="1">
      <c r="Y639" s="700"/>
      <c r="Z639" s="700"/>
    </row>
    <row r="640" ht="18.0" customHeight="1">
      <c r="Y640" s="700"/>
      <c r="Z640" s="700"/>
    </row>
    <row r="641" ht="18.0" customHeight="1">
      <c r="Y641" s="700"/>
      <c r="Z641" s="700"/>
    </row>
    <row r="642" ht="18.0" customHeight="1">
      <c r="Y642" s="700"/>
      <c r="Z642" s="700"/>
    </row>
    <row r="643" ht="18.0" customHeight="1">
      <c r="Y643" s="700"/>
      <c r="Z643" s="700"/>
    </row>
    <row r="644" ht="18.0" customHeight="1">
      <c r="Y644" s="700"/>
      <c r="Z644" s="700"/>
    </row>
    <row r="645" ht="18.0" customHeight="1">
      <c r="Y645" s="700"/>
      <c r="Z645" s="700"/>
    </row>
    <row r="646" ht="18.0" customHeight="1">
      <c r="Y646" s="700"/>
      <c r="Z646" s="700"/>
    </row>
    <row r="647" ht="18.0" customHeight="1">
      <c r="Y647" s="700"/>
      <c r="Z647" s="700"/>
    </row>
    <row r="648" ht="18.0" customHeight="1">
      <c r="Y648" s="700"/>
      <c r="Z648" s="700"/>
    </row>
    <row r="649" ht="18.0" customHeight="1">
      <c r="Y649" s="700"/>
      <c r="Z649" s="700"/>
    </row>
    <row r="650" ht="18.0" customHeight="1">
      <c r="Y650" s="700"/>
      <c r="Z650" s="700"/>
    </row>
    <row r="651" ht="18.0" customHeight="1">
      <c r="Y651" s="700"/>
      <c r="Z651" s="700"/>
    </row>
    <row r="652" ht="18.0" customHeight="1">
      <c r="Y652" s="700"/>
      <c r="Z652" s="700"/>
    </row>
    <row r="653" ht="18.0" customHeight="1">
      <c r="Y653" s="700"/>
      <c r="Z653" s="700"/>
    </row>
    <row r="654" ht="18.0" customHeight="1">
      <c r="Y654" s="700"/>
      <c r="Z654" s="700"/>
    </row>
    <row r="655" ht="18.0" customHeight="1">
      <c r="Y655" s="700"/>
      <c r="Z655" s="700"/>
    </row>
    <row r="656" ht="18.0" customHeight="1">
      <c r="Y656" s="700"/>
      <c r="Z656" s="700"/>
    </row>
    <row r="657" ht="18.0" customHeight="1">
      <c r="Y657" s="700"/>
      <c r="Z657" s="700"/>
    </row>
    <row r="658" ht="18.0" customHeight="1">
      <c r="Y658" s="700"/>
      <c r="Z658" s="700"/>
    </row>
    <row r="659" ht="18.0" customHeight="1">
      <c r="Y659" s="700"/>
      <c r="Z659" s="700"/>
    </row>
    <row r="660" ht="18.0" customHeight="1">
      <c r="Y660" s="700"/>
      <c r="Z660" s="700"/>
    </row>
    <row r="661" ht="18.0" customHeight="1">
      <c r="Y661" s="700"/>
      <c r="Z661" s="700"/>
    </row>
    <row r="662" ht="18.0" customHeight="1">
      <c r="Y662" s="700"/>
      <c r="Z662" s="700"/>
    </row>
    <row r="663" ht="18.0" customHeight="1">
      <c r="Y663" s="700"/>
      <c r="Z663" s="700"/>
    </row>
    <row r="664" ht="18.0" customHeight="1">
      <c r="Y664" s="700"/>
      <c r="Z664" s="700"/>
    </row>
    <row r="665" ht="18.0" customHeight="1">
      <c r="Y665" s="700"/>
      <c r="Z665" s="700"/>
    </row>
    <row r="666" ht="18.0" customHeight="1">
      <c r="Y666" s="700"/>
      <c r="Z666" s="700"/>
    </row>
    <row r="667" ht="18.0" customHeight="1">
      <c r="Y667" s="700"/>
      <c r="Z667" s="700"/>
    </row>
    <row r="668" ht="18.0" customHeight="1">
      <c r="Y668" s="700"/>
      <c r="Z668" s="700"/>
    </row>
    <row r="669" ht="18.0" customHeight="1">
      <c r="Y669" s="700"/>
      <c r="Z669" s="700"/>
    </row>
    <row r="670" ht="18.0" customHeight="1">
      <c r="Y670" s="700"/>
      <c r="Z670" s="700"/>
    </row>
    <row r="671" ht="18.0" customHeight="1">
      <c r="Y671" s="700"/>
      <c r="Z671" s="700"/>
    </row>
    <row r="672" ht="18.0" customHeight="1">
      <c r="Y672" s="700"/>
      <c r="Z672" s="700"/>
    </row>
    <row r="673" ht="18.0" customHeight="1">
      <c r="Y673" s="700"/>
      <c r="Z673" s="700"/>
    </row>
    <row r="674" ht="18.0" customHeight="1">
      <c r="Y674" s="700"/>
      <c r="Z674" s="700"/>
    </row>
    <row r="675" ht="18.0" customHeight="1">
      <c r="Y675" s="700"/>
      <c r="Z675" s="700"/>
    </row>
    <row r="676" ht="18.0" customHeight="1">
      <c r="Y676" s="700"/>
      <c r="Z676" s="700"/>
    </row>
    <row r="677" ht="18.0" customHeight="1">
      <c r="Y677" s="700"/>
      <c r="Z677" s="700"/>
    </row>
    <row r="678" ht="18.0" customHeight="1">
      <c r="Y678" s="700"/>
      <c r="Z678" s="700"/>
    </row>
    <row r="679" ht="18.0" customHeight="1">
      <c r="Y679" s="700"/>
      <c r="Z679" s="700"/>
    </row>
    <row r="680" ht="18.0" customHeight="1">
      <c r="Y680" s="700"/>
      <c r="Z680" s="700"/>
    </row>
    <row r="681" ht="18.0" customHeight="1">
      <c r="Y681" s="700"/>
      <c r="Z681" s="700"/>
    </row>
    <row r="682" ht="18.0" customHeight="1">
      <c r="Y682" s="700"/>
      <c r="Z682" s="700"/>
    </row>
    <row r="683" ht="18.0" customHeight="1">
      <c r="Y683" s="700"/>
      <c r="Z683" s="700"/>
    </row>
    <row r="684" ht="18.0" customHeight="1">
      <c r="Y684" s="700"/>
      <c r="Z684" s="700"/>
    </row>
    <row r="685" ht="18.0" customHeight="1">
      <c r="Y685" s="700"/>
      <c r="Z685" s="700"/>
    </row>
    <row r="686" ht="18.0" customHeight="1">
      <c r="Y686" s="700"/>
      <c r="Z686" s="700"/>
    </row>
    <row r="687" ht="18.0" customHeight="1">
      <c r="Y687" s="700"/>
      <c r="Z687" s="700"/>
    </row>
    <row r="688" ht="18.0" customHeight="1">
      <c r="Y688" s="700"/>
      <c r="Z688" s="700"/>
    </row>
    <row r="689" ht="18.0" customHeight="1">
      <c r="Y689" s="700"/>
      <c r="Z689" s="700"/>
    </row>
    <row r="690" ht="18.0" customHeight="1">
      <c r="Y690" s="700"/>
      <c r="Z690" s="700"/>
    </row>
    <row r="691" ht="18.0" customHeight="1">
      <c r="Y691" s="700"/>
      <c r="Z691" s="700"/>
    </row>
    <row r="692" ht="18.0" customHeight="1">
      <c r="Y692" s="700"/>
      <c r="Z692" s="700"/>
    </row>
    <row r="693" ht="18.0" customHeight="1">
      <c r="Y693" s="700"/>
      <c r="Z693" s="700"/>
    </row>
    <row r="694" ht="18.0" customHeight="1">
      <c r="Y694" s="700"/>
      <c r="Z694" s="700"/>
    </row>
    <row r="695" ht="18.0" customHeight="1">
      <c r="Y695" s="700"/>
      <c r="Z695" s="700"/>
    </row>
    <row r="696" ht="18.0" customHeight="1">
      <c r="Y696" s="700"/>
      <c r="Z696" s="700"/>
    </row>
    <row r="697" ht="18.0" customHeight="1">
      <c r="Y697" s="700"/>
      <c r="Z697" s="700"/>
    </row>
    <row r="698" ht="18.0" customHeight="1">
      <c r="Y698" s="700"/>
      <c r="Z698" s="700"/>
    </row>
    <row r="699" ht="18.0" customHeight="1">
      <c r="Y699" s="700"/>
      <c r="Z699" s="700"/>
    </row>
    <row r="700" ht="18.0" customHeight="1">
      <c r="Y700" s="700"/>
      <c r="Z700" s="700"/>
    </row>
    <row r="701" ht="18.0" customHeight="1">
      <c r="Y701" s="700"/>
      <c r="Z701" s="700"/>
    </row>
    <row r="702" ht="18.0" customHeight="1">
      <c r="Y702" s="700"/>
      <c r="Z702" s="700"/>
    </row>
    <row r="703" ht="18.0" customHeight="1">
      <c r="Y703" s="700"/>
      <c r="Z703" s="700"/>
    </row>
    <row r="704" ht="18.0" customHeight="1">
      <c r="Y704" s="700"/>
      <c r="Z704" s="700"/>
    </row>
    <row r="705" ht="18.0" customHeight="1">
      <c r="Y705" s="700"/>
      <c r="Z705" s="700"/>
    </row>
    <row r="706" ht="18.0" customHeight="1">
      <c r="Y706" s="700"/>
      <c r="Z706" s="700"/>
    </row>
    <row r="707" ht="18.0" customHeight="1">
      <c r="Y707" s="700"/>
      <c r="Z707" s="700"/>
    </row>
    <row r="708" ht="18.0" customHeight="1">
      <c r="Y708" s="700"/>
      <c r="Z708" s="700"/>
    </row>
    <row r="709" ht="18.0" customHeight="1">
      <c r="Y709" s="700"/>
      <c r="Z709" s="700"/>
    </row>
    <row r="710" ht="18.0" customHeight="1">
      <c r="Y710" s="700"/>
      <c r="Z710" s="700"/>
    </row>
    <row r="711" ht="18.0" customHeight="1">
      <c r="Y711" s="700"/>
      <c r="Z711" s="700"/>
    </row>
    <row r="712" ht="18.0" customHeight="1">
      <c r="Y712" s="700"/>
      <c r="Z712" s="700"/>
    </row>
    <row r="713" ht="18.0" customHeight="1">
      <c r="Y713" s="700"/>
      <c r="Z713" s="700"/>
    </row>
    <row r="714" ht="18.0" customHeight="1">
      <c r="Y714" s="700"/>
      <c r="Z714" s="700"/>
    </row>
    <row r="715" ht="18.0" customHeight="1">
      <c r="Y715" s="700"/>
      <c r="Z715" s="700"/>
    </row>
    <row r="716" ht="18.0" customHeight="1">
      <c r="Y716" s="700"/>
      <c r="Z716" s="700"/>
    </row>
    <row r="717" ht="18.0" customHeight="1">
      <c r="Y717" s="700"/>
      <c r="Z717" s="700"/>
    </row>
    <row r="718" ht="18.0" customHeight="1">
      <c r="Y718" s="700"/>
      <c r="Z718" s="700"/>
    </row>
    <row r="719" ht="18.0" customHeight="1">
      <c r="Y719" s="700"/>
      <c r="Z719" s="700"/>
    </row>
    <row r="720" ht="18.0" customHeight="1">
      <c r="Y720" s="700"/>
      <c r="Z720" s="700"/>
    </row>
    <row r="721" ht="18.0" customHeight="1">
      <c r="Y721" s="700"/>
      <c r="Z721" s="700"/>
    </row>
    <row r="722" ht="18.0" customHeight="1">
      <c r="Y722" s="700"/>
      <c r="Z722" s="700"/>
    </row>
    <row r="723" ht="18.0" customHeight="1">
      <c r="Y723" s="700"/>
      <c r="Z723" s="700"/>
    </row>
    <row r="724" ht="18.0" customHeight="1">
      <c r="Y724" s="700"/>
      <c r="Z724" s="700"/>
    </row>
    <row r="725" ht="18.0" customHeight="1">
      <c r="Y725" s="700"/>
      <c r="Z725" s="700"/>
    </row>
    <row r="726" ht="18.0" customHeight="1">
      <c r="Y726" s="700"/>
      <c r="Z726" s="700"/>
    </row>
    <row r="727" ht="18.0" customHeight="1">
      <c r="Y727" s="700"/>
      <c r="Z727" s="700"/>
    </row>
    <row r="728" ht="18.0" customHeight="1">
      <c r="Y728" s="700"/>
      <c r="Z728" s="700"/>
    </row>
    <row r="729" ht="18.0" customHeight="1">
      <c r="Y729" s="700"/>
      <c r="Z729" s="700"/>
    </row>
    <row r="730" ht="18.0" customHeight="1">
      <c r="Y730" s="700"/>
      <c r="Z730" s="700"/>
    </row>
    <row r="731" ht="18.0" customHeight="1">
      <c r="Y731" s="700"/>
      <c r="Z731" s="700"/>
    </row>
    <row r="732" ht="18.0" customHeight="1">
      <c r="Y732" s="700"/>
      <c r="Z732" s="700"/>
    </row>
    <row r="733" ht="18.0" customHeight="1">
      <c r="Y733" s="700"/>
      <c r="Z733" s="700"/>
    </row>
    <row r="734" ht="18.0" customHeight="1">
      <c r="Y734" s="700"/>
      <c r="Z734" s="700"/>
    </row>
    <row r="735" ht="18.0" customHeight="1">
      <c r="Y735" s="700"/>
      <c r="Z735" s="700"/>
    </row>
    <row r="736" ht="18.0" customHeight="1">
      <c r="Y736" s="700"/>
      <c r="Z736" s="700"/>
    </row>
    <row r="737" ht="18.0" customHeight="1">
      <c r="Y737" s="700"/>
      <c r="Z737" s="700"/>
    </row>
    <row r="738" ht="18.0" customHeight="1">
      <c r="Y738" s="700"/>
      <c r="Z738" s="700"/>
    </row>
    <row r="739" ht="18.0" customHeight="1">
      <c r="Y739" s="700"/>
      <c r="Z739" s="700"/>
    </row>
    <row r="740" ht="18.0" customHeight="1">
      <c r="Y740" s="700"/>
      <c r="Z740" s="700"/>
    </row>
    <row r="741" ht="18.0" customHeight="1">
      <c r="Y741" s="700"/>
      <c r="Z741" s="700"/>
    </row>
    <row r="742" ht="18.0" customHeight="1">
      <c r="Y742" s="700"/>
      <c r="Z742" s="700"/>
    </row>
    <row r="743" ht="18.0" customHeight="1">
      <c r="Y743" s="700"/>
      <c r="Z743" s="700"/>
    </row>
    <row r="744" ht="18.0" customHeight="1">
      <c r="Y744" s="700"/>
      <c r="Z744" s="700"/>
    </row>
    <row r="745" ht="18.0" customHeight="1">
      <c r="Y745" s="700"/>
      <c r="Z745" s="700"/>
    </row>
    <row r="746" ht="18.0" customHeight="1">
      <c r="Y746" s="700"/>
      <c r="Z746" s="700"/>
    </row>
    <row r="747" ht="18.0" customHeight="1">
      <c r="Y747" s="700"/>
      <c r="Z747" s="700"/>
    </row>
    <row r="748" ht="18.0" customHeight="1">
      <c r="Y748" s="700"/>
      <c r="Z748" s="700"/>
    </row>
    <row r="749" ht="18.0" customHeight="1">
      <c r="Y749" s="700"/>
      <c r="Z749" s="700"/>
    </row>
    <row r="750" ht="18.0" customHeight="1">
      <c r="Y750" s="700"/>
      <c r="Z750" s="700"/>
    </row>
    <row r="751" ht="18.0" customHeight="1">
      <c r="Y751" s="700"/>
      <c r="Z751" s="700"/>
    </row>
    <row r="752" ht="18.0" customHeight="1">
      <c r="Y752" s="700"/>
      <c r="Z752" s="700"/>
    </row>
    <row r="753" ht="18.0" customHeight="1">
      <c r="Y753" s="700"/>
      <c r="Z753" s="700"/>
    </row>
    <row r="754" ht="18.0" customHeight="1">
      <c r="Y754" s="700"/>
      <c r="Z754" s="700"/>
    </row>
    <row r="755" ht="18.0" customHeight="1">
      <c r="Y755" s="700"/>
      <c r="Z755" s="700"/>
    </row>
    <row r="756" ht="18.0" customHeight="1">
      <c r="Y756" s="700"/>
      <c r="Z756" s="700"/>
    </row>
    <row r="757" ht="18.0" customHeight="1">
      <c r="Y757" s="700"/>
      <c r="Z757" s="700"/>
    </row>
    <row r="758" ht="18.0" customHeight="1">
      <c r="Y758" s="700"/>
      <c r="Z758" s="700"/>
    </row>
    <row r="759" ht="18.0" customHeight="1">
      <c r="Y759" s="700"/>
      <c r="Z759" s="700"/>
    </row>
    <row r="760" ht="18.0" customHeight="1">
      <c r="Y760" s="700"/>
      <c r="Z760" s="700"/>
    </row>
    <row r="761" ht="18.0" customHeight="1">
      <c r="Y761" s="700"/>
      <c r="Z761" s="700"/>
    </row>
    <row r="762" ht="18.0" customHeight="1">
      <c r="Y762" s="700"/>
      <c r="Z762" s="700"/>
    </row>
    <row r="763" ht="18.0" customHeight="1">
      <c r="Y763" s="700"/>
      <c r="Z763" s="700"/>
    </row>
    <row r="764" ht="18.0" customHeight="1">
      <c r="Y764" s="700"/>
      <c r="Z764" s="700"/>
    </row>
    <row r="765" ht="18.0" customHeight="1">
      <c r="Y765" s="700"/>
      <c r="Z765" s="700"/>
    </row>
    <row r="766" ht="18.0" customHeight="1">
      <c r="Y766" s="700"/>
      <c r="Z766" s="700"/>
    </row>
    <row r="767" ht="18.0" customHeight="1">
      <c r="Y767" s="700"/>
      <c r="Z767" s="700"/>
    </row>
    <row r="768" ht="18.0" customHeight="1">
      <c r="Y768" s="700"/>
      <c r="Z768" s="700"/>
    </row>
    <row r="769" ht="18.0" customHeight="1">
      <c r="Y769" s="700"/>
      <c r="Z769" s="700"/>
    </row>
    <row r="770" ht="18.0" customHeight="1">
      <c r="Y770" s="700"/>
      <c r="Z770" s="700"/>
    </row>
    <row r="771" ht="18.0" customHeight="1">
      <c r="Y771" s="700"/>
      <c r="Z771" s="700"/>
    </row>
    <row r="772" ht="18.0" customHeight="1">
      <c r="Y772" s="700"/>
      <c r="Z772" s="700"/>
    </row>
    <row r="773" ht="18.0" customHeight="1">
      <c r="Y773" s="700"/>
      <c r="Z773" s="700"/>
    </row>
    <row r="774" ht="18.0" customHeight="1">
      <c r="Y774" s="700"/>
      <c r="Z774" s="700"/>
    </row>
    <row r="775" ht="18.0" customHeight="1">
      <c r="Y775" s="700"/>
      <c r="Z775" s="700"/>
    </row>
    <row r="776" ht="18.0" customHeight="1">
      <c r="Y776" s="700"/>
      <c r="Z776" s="700"/>
    </row>
    <row r="777" ht="18.0" customHeight="1">
      <c r="Y777" s="700"/>
      <c r="Z777" s="700"/>
    </row>
    <row r="778" ht="18.0" customHeight="1">
      <c r="Y778" s="700"/>
      <c r="Z778" s="700"/>
    </row>
    <row r="779" ht="18.0" customHeight="1">
      <c r="Y779" s="700"/>
      <c r="Z779" s="700"/>
    </row>
    <row r="780" ht="18.0" customHeight="1">
      <c r="Y780" s="700"/>
      <c r="Z780" s="700"/>
    </row>
    <row r="781" ht="18.0" customHeight="1">
      <c r="Y781" s="700"/>
      <c r="Z781" s="700"/>
    </row>
    <row r="782" ht="18.0" customHeight="1">
      <c r="Y782" s="700"/>
      <c r="Z782" s="700"/>
    </row>
    <row r="783" ht="18.0" customHeight="1">
      <c r="Y783" s="700"/>
      <c r="Z783" s="700"/>
    </row>
    <row r="784" ht="18.0" customHeight="1">
      <c r="Y784" s="700"/>
      <c r="Z784" s="700"/>
    </row>
    <row r="785" ht="18.0" customHeight="1">
      <c r="Y785" s="700"/>
      <c r="Z785" s="700"/>
    </row>
    <row r="786" ht="18.0" customHeight="1">
      <c r="Y786" s="700"/>
      <c r="Z786" s="700"/>
    </row>
    <row r="787" ht="18.0" customHeight="1">
      <c r="Y787" s="700"/>
      <c r="Z787" s="700"/>
    </row>
    <row r="788" ht="18.0" customHeight="1">
      <c r="Y788" s="700"/>
      <c r="Z788" s="700"/>
    </row>
    <row r="789" ht="18.0" customHeight="1">
      <c r="Y789" s="700"/>
      <c r="Z789" s="700"/>
    </row>
    <row r="790" ht="18.0" customHeight="1">
      <c r="Y790" s="700"/>
      <c r="Z790" s="700"/>
    </row>
    <row r="791" ht="18.0" customHeight="1">
      <c r="Y791" s="700"/>
      <c r="Z791" s="700"/>
    </row>
    <row r="792" ht="18.0" customHeight="1">
      <c r="Y792" s="700"/>
      <c r="Z792" s="700"/>
    </row>
    <row r="793" ht="18.0" customHeight="1">
      <c r="Y793" s="700"/>
      <c r="Z793" s="700"/>
    </row>
    <row r="794" ht="18.0" customHeight="1">
      <c r="Y794" s="700"/>
      <c r="Z794" s="700"/>
    </row>
    <row r="795" ht="18.0" customHeight="1">
      <c r="Y795" s="700"/>
      <c r="Z795" s="700"/>
    </row>
    <row r="796" ht="18.0" customHeight="1">
      <c r="Y796" s="700"/>
      <c r="Z796" s="700"/>
    </row>
    <row r="797" ht="18.0" customHeight="1">
      <c r="Y797" s="700"/>
      <c r="Z797" s="700"/>
    </row>
    <row r="798" ht="18.0" customHeight="1">
      <c r="Y798" s="700"/>
      <c r="Z798" s="700"/>
    </row>
    <row r="799" ht="18.0" customHeight="1">
      <c r="Y799" s="700"/>
      <c r="Z799" s="700"/>
    </row>
    <row r="800" ht="18.0" customHeight="1">
      <c r="Y800" s="700"/>
      <c r="Z800" s="700"/>
    </row>
    <row r="801" ht="18.0" customHeight="1">
      <c r="Y801" s="700"/>
      <c r="Z801" s="700"/>
    </row>
    <row r="802" ht="18.0" customHeight="1">
      <c r="Y802" s="700"/>
      <c r="Z802" s="700"/>
    </row>
    <row r="803" ht="18.0" customHeight="1">
      <c r="Y803" s="700"/>
      <c r="Z803" s="700"/>
    </row>
    <row r="804" ht="18.0" customHeight="1">
      <c r="Y804" s="700"/>
      <c r="Z804" s="700"/>
    </row>
    <row r="805" ht="18.0" customHeight="1">
      <c r="Y805" s="700"/>
      <c r="Z805" s="700"/>
    </row>
    <row r="806" ht="18.0" customHeight="1">
      <c r="Y806" s="700"/>
      <c r="Z806" s="700"/>
    </row>
    <row r="807" ht="18.0" customHeight="1">
      <c r="Y807" s="700"/>
      <c r="Z807" s="700"/>
    </row>
    <row r="808" ht="18.0" customHeight="1">
      <c r="Y808" s="700"/>
      <c r="Z808" s="700"/>
    </row>
    <row r="809" ht="18.0" customHeight="1">
      <c r="Y809" s="700"/>
      <c r="Z809" s="700"/>
    </row>
    <row r="810" ht="18.0" customHeight="1">
      <c r="Y810" s="700"/>
      <c r="Z810" s="700"/>
    </row>
    <row r="811" ht="18.0" customHeight="1">
      <c r="Y811" s="700"/>
      <c r="Z811" s="700"/>
    </row>
    <row r="812" ht="18.0" customHeight="1">
      <c r="Y812" s="700"/>
      <c r="Z812" s="700"/>
    </row>
    <row r="813" ht="18.0" customHeight="1">
      <c r="Y813" s="700"/>
      <c r="Z813" s="700"/>
    </row>
    <row r="814" ht="18.0" customHeight="1">
      <c r="Y814" s="700"/>
      <c r="Z814" s="700"/>
    </row>
    <row r="815" ht="18.0" customHeight="1">
      <c r="Y815" s="700"/>
      <c r="Z815" s="700"/>
    </row>
    <row r="816" ht="18.0" customHeight="1">
      <c r="Y816" s="700"/>
      <c r="Z816" s="700"/>
    </row>
    <row r="817" ht="18.0" customHeight="1">
      <c r="Y817" s="700"/>
      <c r="Z817" s="700"/>
    </row>
    <row r="818" ht="18.0" customHeight="1">
      <c r="Y818" s="700"/>
      <c r="Z818" s="700"/>
    </row>
    <row r="819" ht="18.0" customHeight="1">
      <c r="Y819" s="700"/>
      <c r="Z819" s="700"/>
    </row>
    <row r="820" ht="18.0" customHeight="1">
      <c r="Y820" s="700"/>
      <c r="Z820" s="700"/>
    </row>
    <row r="821" ht="18.0" customHeight="1">
      <c r="Y821" s="700"/>
      <c r="Z821" s="700"/>
    </row>
    <row r="822" ht="18.0" customHeight="1">
      <c r="Y822" s="700"/>
      <c r="Z822" s="700"/>
    </row>
    <row r="823" ht="18.0" customHeight="1">
      <c r="Y823" s="700"/>
      <c r="Z823" s="700"/>
    </row>
    <row r="824" ht="18.0" customHeight="1">
      <c r="Y824" s="700"/>
      <c r="Z824" s="700"/>
    </row>
    <row r="825" ht="18.0" customHeight="1">
      <c r="Y825" s="700"/>
      <c r="Z825" s="700"/>
    </row>
    <row r="826" ht="18.0" customHeight="1">
      <c r="Y826" s="700"/>
      <c r="Z826" s="700"/>
    </row>
    <row r="827" ht="18.0" customHeight="1">
      <c r="Y827" s="700"/>
      <c r="Z827" s="700"/>
    </row>
    <row r="828" ht="18.0" customHeight="1">
      <c r="Y828" s="700"/>
      <c r="Z828" s="700"/>
    </row>
    <row r="829" ht="18.0" customHeight="1">
      <c r="Y829" s="700"/>
      <c r="Z829" s="700"/>
    </row>
    <row r="830" ht="18.0" customHeight="1">
      <c r="Y830" s="700"/>
      <c r="Z830" s="700"/>
    </row>
    <row r="831" ht="18.0" customHeight="1">
      <c r="Y831" s="700"/>
      <c r="Z831" s="700"/>
    </row>
    <row r="832" ht="18.0" customHeight="1">
      <c r="Y832" s="700"/>
      <c r="Z832" s="700"/>
    </row>
    <row r="833" ht="18.0" customHeight="1">
      <c r="Y833" s="700"/>
      <c r="Z833" s="700"/>
    </row>
    <row r="834" ht="18.0" customHeight="1">
      <c r="Y834" s="700"/>
      <c r="Z834" s="700"/>
    </row>
    <row r="835" ht="18.0" customHeight="1">
      <c r="Y835" s="700"/>
      <c r="Z835" s="700"/>
    </row>
    <row r="836" ht="18.0" customHeight="1">
      <c r="Y836" s="700"/>
      <c r="Z836" s="700"/>
    </row>
    <row r="837" ht="18.0" customHeight="1">
      <c r="Y837" s="700"/>
      <c r="Z837" s="700"/>
    </row>
    <row r="838" ht="18.0" customHeight="1">
      <c r="Y838" s="700"/>
      <c r="Z838" s="700"/>
    </row>
    <row r="839" ht="18.0" customHeight="1">
      <c r="Y839" s="700"/>
      <c r="Z839" s="700"/>
    </row>
    <row r="840" ht="18.0" customHeight="1">
      <c r="Y840" s="700"/>
      <c r="Z840" s="700"/>
    </row>
    <row r="841" ht="18.0" customHeight="1">
      <c r="Y841" s="700"/>
      <c r="Z841" s="700"/>
    </row>
    <row r="842" ht="18.0" customHeight="1">
      <c r="Y842" s="700"/>
      <c r="Z842" s="700"/>
    </row>
    <row r="843" ht="18.0" customHeight="1">
      <c r="Y843" s="700"/>
      <c r="Z843" s="700"/>
    </row>
    <row r="844" ht="18.0" customHeight="1">
      <c r="Y844" s="700"/>
      <c r="Z844" s="700"/>
    </row>
    <row r="845" ht="18.0" customHeight="1">
      <c r="Y845" s="700"/>
      <c r="Z845" s="700"/>
    </row>
    <row r="846" ht="18.0" customHeight="1">
      <c r="Y846" s="700"/>
      <c r="Z846" s="700"/>
    </row>
    <row r="847" ht="18.0" customHeight="1">
      <c r="Y847" s="700"/>
      <c r="Z847" s="700"/>
    </row>
    <row r="848" ht="18.0" customHeight="1">
      <c r="Y848" s="700"/>
      <c r="Z848" s="700"/>
    </row>
    <row r="849" ht="18.0" customHeight="1">
      <c r="Y849" s="700"/>
      <c r="Z849" s="700"/>
    </row>
    <row r="850" ht="18.0" customHeight="1">
      <c r="Y850" s="700"/>
      <c r="Z850" s="700"/>
    </row>
    <row r="851" ht="18.0" customHeight="1">
      <c r="Y851" s="700"/>
      <c r="Z851" s="700"/>
    </row>
    <row r="852" ht="18.0" customHeight="1">
      <c r="Y852" s="700"/>
      <c r="Z852" s="700"/>
    </row>
    <row r="853" ht="18.0" customHeight="1">
      <c r="Y853" s="700"/>
      <c r="Z853" s="700"/>
    </row>
    <row r="854" ht="18.0" customHeight="1">
      <c r="Y854" s="700"/>
      <c r="Z854" s="700"/>
    </row>
    <row r="855" ht="18.0" customHeight="1">
      <c r="Y855" s="700"/>
      <c r="Z855" s="700"/>
    </row>
    <row r="856" ht="18.0" customHeight="1">
      <c r="Y856" s="700"/>
      <c r="Z856" s="700"/>
    </row>
    <row r="857" ht="18.0" customHeight="1">
      <c r="Y857" s="700"/>
      <c r="Z857" s="700"/>
    </row>
    <row r="858" ht="18.0" customHeight="1">
      <c r="Y858" s="700"/>
      <c r="Z858" s="700"/>
    </row>
    <row r="859" ht="18.0" customHeight="1">
      <c r="Y859" s="700"/>
      <c r="Z859" s="700"/>
    </row>
    <row r="860" ht="18.0" customHeight="1">
      <c r="Y860" s="700"/>
      <c r="Z860" s="700"/>
    </row>
    <row r="861" ht="18.0" customHeight="1">
      <c r="Y861" s="700"/>
      <c r="Z861" s="700"/>
    </row>
    <row r="862" ht="18.0" customHeight="1">
      <c r="Y862" s="700"/>
      <c r="Z862" s="700"/>
    </row>
    <row r="863" ht="18.0" customHeight="1">
      <c r="Y863" s="700"/>
      <c r="Z863" s="700"/>
    </row>
    <row r="864" ht="18.0" customHeight="1">
      <c r="Y864" s="700"/>
      <c r="Z864" s="700"/>
    </row>
    <row r="865" ht="18.0" customHeight="1">
      <c r="Y865" s="700"/>
      <c r="Z865" s="700"/>
    </row>
    <row r="866" ht="18.0" customHeight="1">
      <c r="Y866" s="700"/>
      <c r="Z866" s="700"/>
    </row>
    <row r="867" ht="18.0" customHeight="1">
      <c r="Y867" s="700"/>
      <c r="Z867" s="700"/>
    </row>
    <row r="868" ht="18.0" customHeight="1">
      <c r="Y868" s="700"/>
      <c r="Z868" s="700"/>
    </row>
    <row r="869" ht="18.0" customHeight="1">
      <c r="Y869" s="700"/>
      <c r="Z869" s="700"/>
    </row>
    <row r="870" ht="18.0" customHeight="1">
      <c r="Y870" s="700"/>
      <c r="Z870" s="700"/>
    </row>
    <row r="871" ht="18.0" customHeight="1">
      <c r="Y871" s="700"/>
      <c r="Z871" s="700"/>
    </row>
    <row r="872" ht="18.0" customHeight="1">
      <c r="Y872" s="700"/>
      <c r="Z872" s="700"/>
    </row>
    <row r="873" ht="18.0" customHeight="1">
      <c r="Y873" s="700"/>
      <c r="Z873" s="700"/>
    </row>
    <row r="874" ht="18.0" customHeight="1">
      <c r="Y874" s="700"/>
      <c r="Z874" s="700"/>
    </row>
    <row r="875" ht="18.0" customHeight="1">
      <c r="Y875" s="700"/>
      <c r="Z875" s="700"/>
    </row>
    <row r="876" ht="18.0" customHeight="1">
      <c r="Y876" s="700"/>
      <c r="Z876" s="700"/>
    </row>
    <row r="877" ht="18.0" customHeight="1">
      <c r="Y877" s="700"/>
      <c r="Z877" s="700"/>
    </row>
    <row r="878" ht="18.0" customHeight="1">
      <c r="Y878" s="700"/>
      <c r="Z878" s="700"/>
    </row>
    <row r="879" ht="18.0" customHeight="1">
      <c r="Y879" s="700"/>
      <c r="Z879" s="700"/>
    </row>
    <row r="880" ht="18.0" customHeight="1">
      <c r="Y880" s="700"/>
      <c r="Z880" s="700"/>
    </row>
    <row r="881" ht="18.0" customHeight="1">
      <c r="Y881" s="700"/>
      <c r="Z881" s="700"/>
    </row>
    <row r="882" ht="18.0" customHeight="1">
      <c r="Y882" s="700"/>
      <c r="Z882" s="700"/>
    </row>
    <row r="883" ht="18.0" customHeight="1">
      <c r="Y883" s="700"/>
      <c r="Z883" s="700"/>
    </row>
    <row r="884" ht="18.0" customHeight="1">
      <c r="Y884" s="700"/>
      <c r="Z884" s="700"/>
    </row>
    <row r="885" ht="18.0" customHeight="1">
      <c r="Y885" s="700"/>
      <c r="Z885" s="700"/>
    </row>
    <row r="886" ht="18.0" customHeight="1">
      <c r="Y886" s="700"/>
      <c r="Z886" s="700"/>
    </row>
    <row r="887" ht="18.0" customHeight="1">
      <c r="Y887" s="700"/>
      <c r="Z887" s="700"/>
    </row>
    <row r="888" ht="18.0" customHeight="1">
      <c r="Y888" s="700"/>
      <c r="Z888" s="700"/>
    </row>
    <row r="889" ht="18.0" customHeight="1">
      <c r="Y889" s="700"/>
      <c r="Z889" s="700"/>
    </row>
    <row r="890" ht="18.0" customHeight="1">
      <c r="Y890" s="700"/>
      <c r="Z890" s="700"/>
    </row>
    <row r="891" ht="18.0" customHeight="1">
      <c r="Y891" s="700"/>
      <c r="Z891" s="700"/>
    </row>
    <row r="892" ht="18.0" customHeight="1">
      <c r="Y892" s="700"/>
      <c r="Z892" s="700"/>
    </row>
    <row r="893" ht="18.0" customHeight="1">
      <c r="Y893" s="700"/>
      <c r="Z893" s="700"/>
    </row>
    <row r="894" ht="18.0" customHeight="1">
      <c r="Y894" s="700"/>
      <c r="Z894" s="700"/>
    </row>
    <row r="895" ht="18.0" customHeight="1">
      <c r="Y895" s="700"/>
      <c r="Z895" s="700"/>
    </row>
    <row r="896" ht="18.0" customHeight="1">
      <c r="Y896" s="700"/>
      <c r="Z896" s="700"/>
    </row>
    <row r="897" ht="18.0" customHeight="1">
      <c r="Y897" s="700"/>
      <c r="Z897" s="700"/>
    </row>
    <row r="898" ht="18.0" customHeight="1">
      <c r="Y898" s="700"/>
      <c r="Z898" s="700"/>
    </row>
    <row r="899" ht="18.0" customHeight="1">
      <c r="Y899" s="700"/>
      <c r="Z899" s="700"/>
    </row>
    <row r="900" ht="18.0" customHeight="1">
      <c r="Y900" s="700"/>
      <c r="Z900" s="700"/>
    </row>
    <row r="901" ht="18.0" customHeight="1">
      <c r="Y901" s="700"/>
      <c r="Z901" s="700"/>
    </row>
    <row r="902" ht="18.0" customHeight="1">
      <c r="Y902" s="700"/>
      <c r="Z902" s="700"/>
    </row>
    <row r="903" ht="18.0" customHeight="1">
      <c r="Y903" s="700"/>
      <c r="Z903" s="700"/>
    </row>
    <row r="904" ht="18.0" customHeight="1">
      <c r="Y904" s="700"/>
      <c r="Z904" s="700"/>
    </row>
    <row r="905" ht="18.0" customHeight="1">
      <c r="Y905" s="700"/>
      <c r="Z905" s="700"/>
    </row>
    <row r="906" ht="18.0" customHeight="1">
      <c r="Y906" s="700"/>
      <c r="Z906" s="700"/>
    </row>
    <row r="907" ht="18.0" customHeight="1">
      <c r="Y907" s="700"/>
      <c r="Z907" s="700"/>
    </row>
    <row r="908" ht="18.0" customHeight="1">
      <c r="Y908" s="700"/>
      <c r="Z908" s="700"/>
    </row>
    <row r="909" ht="18.0" customHeight="1">
      <c r="Y909" s="700"/>
      <c r="Z909" s="700"/>
    </row>
    <row r="910" ht="18.0" customHeight="1">
      <c r="Y910" s="700"/>
      <c r="Z910" s="700"/>
    </row>
    <row r="911" ht="18.0" customHeight="1">
      <c r="Y911" s="700"/>
      <c r="Z911" s="700"/>
    </row>
    <row r="912" ht="18.0" customHeight="1">
      <c r="Y912" s="700"/>
      <c r="Z912" s="700"/>
    </row>
    <row r="913" ht="18.0" customHeight="1">
      <c r="Y913" s="700"/>
      <c r="Z913" s="700"/>
    </row>
    <row r="914" ht="18.0" customHeight="1">
      <c r="Y914" s="700"/>
      <c r="Z914" s="700"/>
    </row>
    <row r="915" ht="18.0" customHeight="1">
      <c r="Y915" s="700"/>
      <c r="Z915" s="700"/>
    </row>
    <row r="916" ht="18.0" customHeight="1">
      <c r="Y916" s="700"/>
      <c r="Z916" s="700"/>
    </row>
    <row r="917" ht="18.0" customHeight="1">
      <c r="Y917" s="700"/>
      <c r="Z917" s="700"/>
    </row>
    <row r="918" ht="18.0" customHeight="1">
      <c r="Y918" s="700"/>
      <c r="Z918" s="700"/>
    </row>
    <row r="919" ht="18.0" customHeight="1">
      <c r="Y919" s="700"/>
      <c r="Z919" s="700"/>
    </row>
    <row r="920" ht="18.0" customHeight="1">
      <c r="Y920" s="700"/>
      <c r="Z920" s="700"/>
    </row>
    <row r="921" ht="18.0" customHeight="1">
      <c r="Y921" s="700"/>
      <c r="Z921" s="700"/>
    </row>
    <row r="922" ht="18.0" customHeight="1">
      <c r="Y922" s="700"/>
      <c r="Z922" s="700"/>
    </row>
    <row r="923" ht="18.0" customHeight="1">
      <c r="Y923" s="700"/>
      <c r="Z923" s="700"/>
    </row>
    <row r="924" ht="18.0" customHeight="1">
      <c r="Y924" s="700"/>
      <c r="Z924" s="700"/>
    </row>
    <row r="925" ht="18.0" customHeight="1">
      <c r="Y925" s="700"/>
      <c r="Z925" s="700"/>
    </row>
    <row r="926" ht="18.0" customHeight="1">
      <c r="Y926" s="700"/>
      <c r="Z926" s="700"/>
    </row>
    <row r="927" ht="18.0" customHeight="1">
      <c r="Y927" s="700"/>
      <c r="Z927" s="700"/>
    </row>
    <row r="928" ht="18.0" customHeight="1">
      <c r="Y928" s="700"/>
      <c r="Z928" s="700"/>
    </row>
    <row r="929" ht="18.0" customHeight="1">
      <c r="Y929" s="700"/>
      <c r="Z929" s="700"/>
    </row>
    <row r="930" ht="18.0" customHeight="1">
      <c r="Y930" s="700"/>
      <c r="Z930" s="700"/>
    </row>
    <row r="931" ht="18.0" customHeight="1">
      <c r="Y931" s="700"/>
      <c r="Z931" s="700"/>
    </row>
    <row r="932" ht="18.0" customHeight="1">
      <c r="Y932" s="700"/>
      <c r="Z932" s="700"/>
    </row>
    <row r="933" ht="18.0" customHeight="1">
      <c r="Y933" s="700"/>
      <c r="Z933" s="700"/>
    </row>
    <row r="934" ht="18.0" customHeight="1">
      <c r="Y934" s="700"/>
      <c r="Z934" s="700"/>
    </row>
    <row r="935" ht="18.0" customHeight="1">
      <c r="Y935" s="700"/>
      <c r="Z935" s="700"/>
    </row>
    <row r="936" ht="18.0" customHeight="1">
      <c r="Y936" s="700"/>
      <c r="Z936" s="700"/>
    </row>
    <row r="937" ht="18.0" customHeight="1">
      <c r="Y937" s="700"/>
      <c r="Z937" s="700"/>
    </row>
    <row r="938" ht="18.0" customHeight="1">
      <c r="Y938" s="700"/>
      <c r="Z938" s="700"/>
    </row>
    <row r="939" ht="18.0" customHeight="1">
      <c r="Y939" s="700"/>
      <c r="Z939" s="700"/>
    </row>
    <row r="940" ht="18.0" customHeight="1">
      <c r="Y940" s="700"/>
      <c r="Z940" s="700"/>
    </row>
    <row r="941" ht="18.0" customHeight="1">
      <c r="Y941" s="700"/>
      <c r="Z941" s="700"/>
    </row>
    <row r="942" ht="18.0" customHeight="1">
      <c r="Y942" s="700"/>
      <c r="Z942" s="700"/>
    </row>
    <row r="943" ht="18.0" customHeight="1">
      <c r="Y943" s="700"/>
      <c r="Z943" s="700"/>
    </row>
    <row r="944" ht="18.0" customHeight="1">
      <c r="Y944" s="700"/>
      <c r="Z944" s="700"/>
    </row>
    <row r="945" ht="18.0" customHeight="1">
      <c r="Y945" s="700"/>
      <c r="Z945" s="700"/>
    </row>
    <row r="946" ht="18.0" customHeight="1">
      <c r="Y946" s="700"/>
      <c r="Z946" s="700"/>
    </row>
    <row r="947" ht="18.0" customHeight="1">
      <c r="Y947" s="700"/>
      <c r="Z947" s="700"/>
    </row>
    <row r="948" ht="18.0" customHeight="1">
      <c r="Y948" s="700"/>
      <c r="Z948" s="700"/>
    </row>
    <row r="949" ht="18.0" customHeight="1">
      <c r="Y949" s="700"/>
      <c r="Z949" s="700"/>
    </row>
    <row r="950" ht="18.0" customHeight="1">
      <c r="Y950" s="700"/>
      <c r="Z950" s="700"/>
    </row>
    <row r="951" ht="18.0" customHeight="1">
      <c r="Y951" s="700"/>
      <c r="Z951" s="700"/>
    </row>
    <row r="952" ht="18.0" customHeight="1">
      <c r="Y952" s="700"/>
      <c r="Z952" s="700"/>
    </row>
    <row r="953" ht="18.0" customHeight="1">
      <c r="Y953" s="700"/>
      <c r="Z953" s="700"/>
    </row>
    <row r="954" ht="18.0" customHeight="1">
      <c r="Y954" s="700"/>
      <c r="Z954" s="700"/>
    </row>
    <row r="955" ht="18.0" customHeight="1">
      <c r="Y955" s="700"/>
      <c r="Z955" s="700"/>
    </row>
    <row r="956" ht="18.0" customHeight="1">
      <c r="Y956" s="700"/>
      <c r="Z956" s="700"/>
    </row>
    <row r="957" ht="18.0" customHeight="1">
      <c r="Y957" s="700"/>
      <c r="Z957" s="700"/>
    </row>
    <row r="958" ht="18.0" customHeight="1">
      <c r="Y958" s="700"/>
      <c r="Z958" s="700"/>
    </row>
    <row r="959" ht="18.0" customHeight="1">
      <c r="Y959" s="700"/>
      <c r="Z959" s="700"/>
    </row>
    <row r="960" ht="18.0" customHeight="1">
      <c r="Y960" s="700"/>
      <c r="Z960" s="700"/>
    </row>
    <row r="961" ht="18.0" customHeight="1">
      <c r="Y961" s="700"/>
      <c r="Z961" s="700"/>
    </row>
    <row r="962" ht="18.0" customHeight="1">
      <c r="Y962" s="700"/>
      <c r="Z962" s="700"/>
    </row>
    <row r="963" ht="18.0" customHeight="1">
      <c r="Y963" s="700"/>
      <c r="Z963" s="700"/>
    </row>
    <row r="964" ht="18.0" customHeight="1">
      <c r="Y964" s="700"/>
      <c r="Z964" s="700"/>
    </row>
    <row r="965" ht="18.0" customHeight="1">
      <c r="Y965" s="700"/>
      <c r="Z965" s="700"/>
    </row>
    <row r="966" ht="18.0" customHeight="1">
      <c r="Y966" s="700"/>
      <c r="Z966" s="700"/>
    </row>
    <row r="967" ht="18.0" customHeight="1">
      <c r="Y967" s="700"/>
      <c r="Z967" s="700"/>
    </row>
    <row r="968" ht="18.0" customHeight="1">
      <c r="Y968" s="700"/>
      <c r="Z968" s="700"/>
    </row>
    <row r="969" ht="18.0" customHeight="1">
      <c r="Y969" s="700"/>
      <c r="Z969" s="700"/>
    </row>
    <row r="970" ht="18.0" customHeight="1">
      <c r="Y970" s="700"/>
      <c r="Z970" s="700"/>
    </row>
    <row r="971" ht="18.0" customHeight="1">
      <c r="Y971" s="700"/>
      <c r="Z971" s="700"/>
    </row>
    <row r="972" ht="18.0" customHeight="1">
      <c r="Y972" s="700"/>
      <c r="Z972" s="700"/>
    </row>
    <row r="973" ht="18.0" customHeight="1">
      <c r="Y973" s="700"/>
      <c r="Z973" s="700"/>
    </row>
    <row r="974" ht="18.0" customHeight="1">
      <c r="Y974" s="700"/>
      <c r="Z974" s="700"/>
    </row>
    <row r="975" ht="18.0" customHeight="1">
      <c r="Y975" s="700"/>
      <c r="Z975" s="700"/>
    </row>
    <row r="976" ht="18.0" customHeight="1">
      <c r="Y976" s="700"/>
      <c r="Z976" s="700"/>
    </row>
    <row r="977" ht="18.0" customHeight="1">
      <c r="Y977" s="700"/>
      <c r="Z977" s="700"/>
    </row>
    <row r="978" ht="18.0" customHeight="1">
      <c r="Y978" s="700"/>
      <c r="Z978" s="700"/>
    </row>
    <row r="979" ht="18.0" customHeight="1">
      <c r="Y979" s="700"/>
      <c r="Z979" s="700"/>
    </row>
    <row r="980" ht="18.0" customHeight="1">
      <c r="Y980" s="700"/>
      <c r="Z980" s="700"/>
    </row>
    <row r="981" ht="18.0" customHeight="1">
      <c r="Y981" s="700"/>
      <c r="Z981" s="700"/>
    </row>
    <row r="982" ht="18.0" customHeight="1">
      <c r="Y982" s="700"/>
      <c r="Z982" s="700"/>
    </row>
    <row r="983" ht="18.0" customHeight="1">
      <c r="Y983" s="700"/>
      <c r="Z983" s="700"/>
    </row>
    <row r="984" ht="18.0" customHeight="1">
      <c r="Y984" s="700"/>
      <c r="Z984" s="700"/>
    </row>
    <row r="985" ht="18.0" customHeight="1">
      <c r="Y985" s="700"/>
      <c r="Z985" s="700"/>
    </row>
    <row r="986" ht="18.0" customHeight="1">
      <c r="Y986" s="700"/>
      <c r="Z986" s="700"/>
    </row>
    <row r="987" ht="18.0" customHeight="1">
      <c r="Y987" s="700"/>
      <c r="Z987" s="700"/>
    </row>
    <row r="988" ht="18.0" customHeight="1">
      <c r="Y988" s="700"/>
      <c r="Z988" s="700"/>
    </row>
    <row r="989" ht="18.0" customHeight="1">
      <c r="Y989" s="700"/>
      <c r="Z989" s="700"/>
    </row>
    <row r="990" ht="18.0" customHeight="1">
      <c r="Y990" s="700"/>
      <c r="Z990" s="700"/>
    </row>
    <row r="991" ht="18.0" customHeight="1">
      <c r="Y991" s="700"/>
      <c r="Z991" s="700"/>
    </row>
    <row r="992" ht="18.0" customHeight="1">
      <c r="Y992" s="700"/>
      <c r="Z992" s="700"/>
    </row>
    <row r="993" ht="18.0" customHeight="1">
      <c r="Y993" s="700"/>
      <c r="Z993" s="700"/>
    </row>
    <row r="994" ht="18.0" customHeight="1">
      <c r="Y994" s="700"/>
      <c r="Z994" s="700"/>
    </row>
    <row r="995" ht="18.0" customHeight="1">
      <c r="Y995" s="700"/>
      <c r="Z995" s="700"/>
    </row>
    <row r="996" ht="18.0" customHeight="1">
      <c r="Y996" s="700"/>
      <c r="Z996" s="700"/>
    </row>
    <row r="997" ht="18.0" customHeight="1">
      <c r="Y997" s="700"/>
      <c r="Z997" s="700"/>
    </row>
    <row r="998" ht="18.0" customHeight="1">
      <c r="Y998" s="700"/>
      <c r="Z998" s="700"/>
    </row>
    <row r="999" ht="18.0" customHeight="1">
      <c r="Y999" s="700"/>
      <c r="Z999" s="700"/>
    </row>
    <row r="1000" ht="18.0" customHeight="1">
      <c r="Y1000" s="700"/>
      <c r="Z1000" s="700"/>
    </row>
  </sheetData>
  <mergeCells count="6">
    <mergeCell ref="D3:G3"/>
    <mergeCell ref="H3:K3"/>
    <mergeCell ref="L3:O3"/>
    <mergeCell ref="P3:Q3"/>
    <mergeCell ref="R3:U3"/>
    <mergeCell ref="V3:W3"/>
  </mergeCells>
  <conditionalFormatting sqref="I2:K2 I4:K11 M4:O11">
    <cfRule type="expression" dxfId="0" priority="1" stopIfTrue="1">
      <formula>"esterreur(reference)"</formula>
    </cfRule>
  </conditionalFormatting>
  <conditionalFormatting sqref="I12:O13">
    <cfRule type="expression" dxfId="0" priority="2" stopIfTrue="1">
      <formula>"esterreur(reference)"</formula>
    </cfRule>
  </conditionalFormatting>
  <conditionalFormatting sqref="I16:O24">
    <cfRule type="expression" dxfId="0" priority="3" stopIfTrue="1">
      <formula>"esterreur(reference)"</formula>
    </cfRule>
  </conditionalFormatting>
  <conditionalFormatting sqref="I27:O35">
    <cfRule type="expression" dxfId="0" priority="4" stopIfTrue="1">
      <formula>"esterreur(reference)"</formula>
    </cfRule>
  </conditionalFormatting>
  <conditionalFormatting sqref="L2:L11 M2:O2">
    <cfRule type="expression" dxfId="0" priority="5" stopIfTrue="1">
      <formula>"esterreur(reference)"</formula>
    </cfRule>
  </conditionalFormatting>
  <conditionalFormatting sqref="O38">
    <cfRule type="expression" dxfId="0" priority="6" stopIfTrue="1">
      <formula>"esterreur(reference)"</formula>
    </cfRule>
  </conditionalFormatting>
  <conditionalFormatting sqref="R6:S6 U6">
    <cfRule type="expression" dxfId="0" priority="7" stopIfTrue="1">
      <formula>"esterreur(reference)"</formula>
    </cfRule>
  </conditionalFormatting>
  <conditionalFormatting sqref="T6:T13">
    <cfRule type="expression" dxfId="0" priority="8" stopIfTrue="1">
      <formula>"esterreur(reference)"</formula>
    </cfRule>
  </conditionalFormatting>
  <conditionalFormatting sqref="T16:T24">
    <cfRule type="expression" dxfId="0" priority="9" stopIfTrue="1">
      <formula>"esterreur(reference)"</formula>
    </cfRule>
  </conditionalFormatting>
  <conditionalFormatting sqref="T27:T35">
    <cfRule type="expression" dxfId="0" priority="10" stopIfTrue="1">
      <formula>"esterreur(reference)"</formula>
    </cfRule>
  </conditionalFormatting>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sheetViews>
  <sheetFormatPr customHeight="1" defaultColWidth="12.63" defaultRowHeight="15.0"/>
  <cols>
    <col customWidth="1" min="1" max="1" width="10.63"/>
    <col customWidth="1" min="2" max="2" width="15.25"/>
    <col customWidth="1" min="3" max="3" width="36.0"/>
    <col customWidth="1" hidden="1" min="4" max="5" width="10.63"/>
    <col customWidth="1" hidden="1" min="6" max="6" width="12.75"/>
    <col customWidth="1" hidden="1" min="7" max="7" width="12.25"/>
    <col customWidth="1" hidden="1" min="8" max="11" width="10.63"/>
    <col customWidth="1" min="12" max="12" width="11.25"/>
    <col customWidth="1" min="13" max="13" width="11.88"/>
    <col customWidth="1" min="14" max="14" width="12.75"/>
    <col customWidth="1" min="15" max="15" width="13.25"/>
    <col customWidth="1" hidden="1" min="16" max="16" width="10.63"/>
    <col customWidth="1" hidden="1" min="17" max="17" width="13.5"/>
    <col customWidth="1" min="18" max="18" width="10.63"/>
    <col customWidth="1" min="19" max="19" width="11.25"/>
    <col customWidth="1" min="20" max="20" width="12.75"/>
    <col customWidth="1" min="21" max="21" width="12.25"/>
    <col customWidth="1" min="22" max="22" width="13.38"/>
    <col customWidth="1" min="23" max="23" width="14.13"/>
    <col customWidth="1" min="24" max="24" width="10.63"/>
    <col customWidth="1" min="25" max="26" width="11.25"/>
    <col customWidth="1" min="27" max="44" width="10.63"/>
  </cols>
  <sheetData>
    <row r="1" ht="33.0" customHeight="1">
      <c r="B1" s="48"/>
      <c r="C1" s="450" t="str">
        <f>Print_AAD!C1</f>
        <v>Ste-Marie Auto</v>
      </c>
      <c r="D1" s="451"/>
      <c r="E1" s="452"/>
      <c r="F1" s="452"/>
      <c r="G1" s="451"/>
      <c r="H1" s="451"/>
      <c r="I1" s="450"/>
      <c r="J1" s="450"/>
      <c r="K1" s="451"/>
      <c r="L1" s="450"/>
      <c r="M1" s="453" t="s">
        <v>174</v>
      </c>
      <c r="N1" s="453"/>
      <c r="O1" s="451"/>
      <c r="P1" s="451"/>
      <c r="Q1" s="454"/>
      <c r="R1" s="450"/>
      <c r="S1" s="451"/>
      <c r="T1" s="451"/>
      <c r="U1" s="450"/>
      <c r="V1" s="451"/>
      <c r="W1" s="455" t="str">
        <f>Print_AAD!S1</f>
        <v>Réalisé AAD, Septembre 2026</v>
      </c>
      <c r="X1" s="796"/>
      <c r="Y1" s="741"/>
      <c r="Z1" s="741"/>
      <c r="AA1" s="40"/>
      <c r="AB1" s="40"/>
      <c r="AC1" s="40"/>
      <c r="AD1" s="40"/>
      <c r="AE1" s="40"/>
      <c r="AF1" s="40"/>
      <c r="AG1" s="40"/>
      <c r="AH1" s="40"/>
      <c r="AI1" s="40"/>
      <c r="AJ1" s="40"/>
      <c r="AK1" s="40"/>
      <c r="AL1" s="40"/>
      <c r="AM1" s="40"/>
      <c r="AN1" s="40"/>
      <c r="AO1" s="40"/>
      <c r="AP1" s="40"/>
      <c r="AQ1" s="40"/>
      <c r="AR1" s="40"/>
    </row>
    <row r="2" ht="24.0" customHeight="1">
      <c r="A2" s="700"/>
      <c r="B2" s="700"/>
      <c r="C2" s="804"/>
      <c r="D2" s="700"/>
      <c r="E2" s="700"/>
      <c r="F2" s="700"/>
      <c r="G2" s="700"/>
      <c r="H2" s="700"/>
      <c r="I2" s="700"/>
      <c r="J2" s="700"/>
      <c r="K2" s="700"/>
      <c r="L2" s="700"/>
      <c r="M2" s="700"/>
      <c r="N2" s="700"/>
      <c r="O2" s="700"/>
      <c r="P2" s="700"/>
      <c r="Q2" s="700"/>
      <c r="R2" s="700"/>
      <c r="S2" s="700"/>
      <c r="T2" s="700"/>
      <c r="U2" s="700"/>
      <c r="V2" s="700"/>
      <c r="W2" s="700"/>
      <c r="X2" s="700"/>
      <c r="Y2" s="700"/>
      <c r="Z2" s="700"/>
      <c r="AA2" s="741"/>
      <c r="AB2" s="741"/>
      <c r="AC2" s="741"/>
      <c r="AD2" s="741"/>
      <c r="AE2" s="741"/>
      <c r="AF2" s="741"/>
      <c r="AG2" s="741"/>
      <c r="AH2" s="741"/>
      <c r="AI2" s="741"/>
      <c r="AJ2" s="741"/>
      <c r="AK2" s="741"/>
      <c r="AL2" s="741"/>
      <c r="AM2" s="741"/>
      <c r="AN2" s="741"/>
      <c r="AO2" s="741"/>
      <c r="AP2" s="741"/>
      <c r="AQ2" s="741"/>
      <c r="AR2" s="741"/>
    </row>
    <row r="3" ht="18.0" customHeight="1">
      <c r="A3" s="700"/>
      <c r="B3" s="700"/>
      <c r="C3" s="805"/>
      <c r="D3" s="806" t="s">
        <v>774</v>
      </c>
      <c r="E3" s="44"/>
      <c r="F3" s="44"/>
      <c r="G3" s="45"/>
      <c r="H3" s="807"/>
      <c r="I3" s="44"/>
      <c r="J3" s="44"/>
      <c r="K3" s="45"/>
      <c r="L3" s="807" t="s">
        <v>775</v>
      </c>
      <c r="M3" s="44"/>
      <c r="N3" s="44"/>
      <c r="O3" s="45"/>
      <c r="P3" s="807" t="s">
        <v>776</v>
      </c>
      <c r="Q3" s="45"/>
      <c r="R3" s="806" t="s">
        <v>777</v>
      </c>
      <c r="S3" s="44"/>
      <c r="T3" s="44"/>
      <c r="U3" s="45"/>
      <c r="V3" s="807" t="s">
        <v>778</v>
      </c>
      <c r="W3" s="45"/>
      <c r="X3" s="808"/>
      <c r="Y3" s="700"/>
      <c r="Z3" s="700"/>
      <c r="AA3" s="700"/>
      <c r="AB3" s="700"/>
      <c r="AC3" s="700"/>
      <c r="AD3" s="700"/>
      <c r="AE3" s="700"/>
      <c r="AF3" s="700"/>
      <c r="AG3" s="700"/>
      <c r="AH3" s="700"/>
      <c r="AI3" s="700"/>
      <c r="AJ3" s="700"/>
      <c r="AK3" s="700"/>
      <c r="AL3" s="700"/>
      <c r="AM3" s="700"/>
      <c r="AN3" s="700"/>
      <c r="AO3" s="700"/>
      <c r="AP3" s="700"/>
      <c r="AQ3" s="700"/>
      <c r="AR3" s="700"/>
    </row>
    <row r="4" ht="15.75" customHeight="1">
      <c r="A4" s="700"/>
      <c r="B4" s="700" t="s">
        <v>174</v>
      </c>
      <c r="C4" s="559"/>
      <c r="D4" s="809" t="s">
        <v>221</v>
      </c>
      <c r="E4" s="809" t="s">
        <v>222</v>
      </c>
      <c r="F4" s="809" t="s">
        <v>223</v>
      </c>
      <c r="G4" s="810" t="s">
        <v>95</v>
      </c>
      <c r="H4" s="811"/>
      <c r="I4" s="809"/>
      <c r="J4" s="809"/>
      <c r="K4" s="810"/>
      <c r="L4" s="811" t="s">
        <v>221</v>
      </c>
      <c r="M4" s="809" t="s">
        <v>222</v>
      </c>
      <c r="N4" s="809" t="s">
        <v>223</v>
      </c>
      <c r="O4" s="810" t="s">
        <v>95</v>
      </c>
      <c r="P4" s="811" t="s">
        <v>221</v>
      </c>
      <c r="Q4" s="810" t="s">
        <v>908</v>
      </c>
      <c r="R4" s="809" t="s">
        <v>221</v>
      </c>
      <c r="S4" s="809" t="s">
        <v>222</v>
      </c>
      <c r="T4" s="809" t="s">
        <v>223</v>
      </c>
      <c r="U4" s="810" t="s">
        <v>95</v>
      </c>
      <c r="V4" s="811" t="s">
        <v>909</v>
      </c>
      <c r="W4" s="810" t="s">
        <v>95</v>
      </c>
      <c r="X4" s="809"/>
      <c r="Y4" s="700"/>
      <c r="Z4" s="700"/>
      <c r="AA4" s="700"/>
      <c r="AB4" s="700"/>
      <c r="AC4" s="700"/>
      <c r="AD4" s="700"/>
      <c r="AE4" s="700"/>
      <c r="AF4" s="700"/>
      <c r="AG4" s="700"/>
      <c r="AH4" s="700"/>
      <c r="AI4" s="700"/>
      <c r="AJ4" s="700"/>
      <c r="AK4" s="700"/>
      <c r="AL4" s="700"/>
      <c r="AM4" s="700"/>
      <c r="AN4" s="700"/>
      <c r="AO4" s="700"/>
      <c r="AP4" s="700"/>
      <c r="AQ4" s="700"/>
      <c r="AR4" s="700"/>
    </row>
    <row r="5" ht="15.75" customHeight="1">
      <c r="A5" s="700"/>
      <c r="B5" s="700" t="s">
        <v>174</v>
      </c>
      <c r="C5" s="559"/>
      <c r="D5" s="809"/>
      <c r="E5" s="809"/>
      <c r="F5" s="812"/>
      <c r="G5" s="810"/>
      <c r="H5" s="811"/>
      <c r="I5" s="809"/>
      <c r="J5" s="809"/>
      <c r="K5" s="810"/>
      <c r="L5" s="811"/>
      <c r="M5" s="813"/>
      <c r="N5" s="813"/>
      <c r="O5" s="814"/>
      <c r="P5" s="811"/>
      <c r="Q5" s="810"/>
      <c r="R5" s="809"/>
      <c r="S5" s="815"/>
      <c r="T5" s="809"/>
      <c r="U5" s="816"/>
      <c r="V5" s="811"/>
      <c r="W5" s="816"/>
      <c r="X5" s="809"/>
      <c r="Y5" s="700"/>
      <c r="Z5" s="700"/>
      <c r="AA5" s="700"/>
      <c r="AB5" s="700"/>
      <c r="AC5" s="700"/>
      <c r="AD5" s="700"/>
      <c r="AE5" s="700"/>
      <c r="AF5" s="700"/>
      <c r="AG5" s="700"/>
      <c r="AH5" s="700"/>
      <c r="AI5" s="700"/>
      <c r="AJ5" s="700"/>
      <c r="AK5" s="700"/>
      <c r="AL5" s="700"/>
      <c r="AM5" s="700"/>
      <c r="AN5" s="700"/>
      <c r="AO5" s="700"/>
      <c r="AP5" s="700"/>
      <c r="AQ5" s="700"/>
      <c r="AR5" s="700"/>
    </row>
    <row r="6" ht="15.75" customHeight="1">
      <c r="A6" s="700"/>
      <c r="B6" s="700" t="s">
        <v>174</v>
      </c>
      <c r="C6" s="559" t="s">
        <v>1120</v>
      </c>
      <c r="D6" s="809"/>
      <c r="E6" s="809"/>
      <c r="F6" s="812"/>
      <c r="G6" s="809"/>
      <c r="H6" s="811"/>
      <c r="I6" s="809"/>
      <c r="J6" s="809"/>
      <c r="K6" s="809"/>
      <c r="L6" s="811">
        <f>SUMIFS(BV_Data_An_Cour!$AX:$AX,BV_Data_An_Cour!$AO:$AO,$Y6)</f>
        <v>363</v>
      </c>
      <c r="M6" s="703">
        <f>-SUMIFS(BV_Data_An_Cour!$AN:$AN,BV_Data_An_Cour!$AO:$AO,$Y6)</f>
        <v>416503.1</v>
      </c>
      <c r="N6" s="704">
        <f t="shared" ref="N6:N14" si="1">IFERROR(O6/M6,0)</f>
        <v>0.6463857532</v>
      </c>
      <c r="O6" s="814">
        <f>-SUMIFS(BV_Data_An_Cour!$AN:$AN,BV_Data_An_Cour!$AO:$AO,$Y6)-SUMIFS(BV_Data_An_Cour!$AN:$AN,BV_Data_An_Cour!$AO:$AO,$Z6)</f>
        <v>269221.67</v>
      </c>
      <c r="P6" s="817">
        <f t="shared" ref="P6:P14" si="2">IFERROR((M6-E6)/E6,0)</f>
        <v>0</v>
      </c>
      <c r="Q6" s="814">
        <f t="shared" ref="Q6:Q14" si="3">O6-G6</f>
        <v>269221.67</v>
      </c>
      <c r="R6" s="811">
        <f>SUMIFS(BV_Data_An_Prec!$AX:$AX,BV_Data_An_Prec!$AO:$AO,$Y6)</f>
        <v>329</v>
      </c>
      <c r="S6" s="703">
        <f>-SUMIFS(BV_Data_An_Prec!$AN:$AN,BV_Data_An_Prec!$AO:$AO,$Y6)</f>
        <v>434060.93</v>
      </c>
      <c r="T6" s="704">
        <f t="shared" ref="T6:T14" si="4">IFERROR(U6/S6,0)</f>
        <v>0.6077092218</v>
      </c>
      <c r="U6" s="814">
        <f>-SUMIFS(BV_Data_An_Prec!$AN:$AN,BV_Data_An_Prec!$AO:$AO,$Y6)-SUMIFS(BV_Data_An_Prec!$AN:$AN,BV_Data_An_Prec!$AO:$AO,$Z6)</f>
        <v>263782.83</v>
      </c>
      <c r="V6" s="817">
        <f t="shared" ref="V6:V14" si="5">IF(R6=0,0,L6/R6)</f>
        <v>1.103343465</v>
      </c>
      <c r="W6" s="814">
        <f t="shared" ref="W6:W13" si="6">O6-U6</f>
        <v>5438.84</v>
      </c>
      <c r="X6" s="809"/>
      <c r="Y6" s="700" t="s">
        <v>1121</v>
      </c>
      <c r="Z6" s="700" t="s">
        <v>1122</v>
      </c>
      <c r="AA6" s="700"/>
      <c r="AB6" s="700"/>
      <c r="AC6" s="700"/>
      <c r="AD6" s="700"/>
      <c r="AE6" s="700"/>
      <c r="AF6" s="700"/>
      <c r="AG6" s="700"/>
      <c r="AH6" s="700"/>
      <c r="AI6" s="700"/>
      <c r="AJ6" s="700"/>
      <c r="AK6" s="700"/>
      <c r="AL6" s="700"/>
      <c r="AM6" s="700"/>
      <c r="AN6" s="700"/>
      <c r="AO6" s="700"/>
      <c r="AP6" s="700"/>
      <c r="AQ6" s="700"/>
      <c r="AR6" s="700"/>
    </row>
    <row r="7" ht="15.75" customHeight="1">
      <c r="A7" s="700"/>
      <c r="B7" s="700" t="s">
        <v>174</v>
      </c>
      <c r="C7" s="559" t="s">
        <v>1123</v>
      </c>
      <c r="D7" s="809"/>
      <c r="E7" s="809"/>
      <c r="F7" s="812"/>
      <c r="G7" s="809"/>
      <c r="H7" s="811"/>
      <c r="I7" s="809"/>
      <c r="J7" s="809"/>
      <c r="K7" s="809"/>
      <c r="L7" s="811">
        <f>SUMIFS(BV_Data_An_Cour!$AX:$AX,BV_Data_An_Cour!$AO:$AO,$Y7)</f>
        <v>98</v>
      </c>
      <c r="M7" s="703">
        <f>-SUMIFS(BV_Data_An_Cour!$AN:$AN,BV_Data_An_Cour!$AO:$AO,$Y7)</f>
        <v>53409.53</v>
      </c>
      <c r="N7" s="704">
        <f t="shared" si="1"/>
        <v>0.8366325261</v>
      </c>
      <c r="O7" s="814">
        <f>-SUMIFS(BV_Data_An_Cour!$AN:$AN,BV_Data_An_Cour!$AO:$AO,$Y7)-SUMIFS(BV_Data_An_Cour!$AN:$AN,BV_Data_An_Cour!$AO:$AO,$Z7)</f>
        <v>44684.15</v>
      </c>
      <c r="P7" s="817">
        <f t="shared" si="2"/>
        <v>0</v>
      </c>
      <c r="Q7" s="814">
        <f t="shared" si="3"/>
        <v>44684.15</v>
      </c>
      <c r="R7" s="811">
        <f>SUMIFS(BV_Data_An_Prec!$AX:$AX,BV_Data_An_Prec!$AO:$AO,$Y7)</f>
        <v>1</v>
      </c>
      <c r="S7" s="703">
        <f>-SUMIFS(BV_Data_An_Prec!$AN:$AN,BV_Data_An_Prec!$AO:$AO,$Y7)</f>
        <v>0</v>
      </c>
      <c r="T7" s="704">
        <f t="shared" si="4"/>
        <v>0</v>
      </c>
      <c r="U7" s="814">
        <f>-SUMIFS(BV_Data_An_Prec!$AN:$AN,BV_Data_An_Prec!$AO:$AO,$Y7)-SUMIFS(BV_Data_An_Prec!$AN:$AN,BV_Data_An_Prec!$AO:$AO,$Z7)</f>
        <v>0</v>
      </c>
      <c r="V7" s="817">
        <f t="shared" si="5"/>
        <v>98</v>
      </c>
      <c r="W7" s="814">
        <f t="shared" si="6"/>
        <v>44684.15</v>
      </c>
      <c r="X7" s="809"/>
      <c r="Y7" s="700" t="s">
        <v>1124</v>
      </c>
      <c r="Z7" s="700" t="s">
        <v>1125</v>
      </c>
      <c r="AA7" s="700"/>
      <c r="AB7" s="700"/>
      <c r="AC7" s="700"/>
      <c r="AD7" s="700"/>
      <c r="AE7" s="700"/>
      <c r="AF7" s="700"/>
      <c r="AG7" s="700"/>
      <c r="AH7" s="700"/>
      <c r="AI7" s="700"/>
      <c r="AJ7" s="700"/>
      <c r="AK7" s="700"/>
      <c r="AL7" s="700"/>
      <c r="AM7" s="700"/>
      <c r="AN7" s="700"/>
      <c r="AO7" s="700"/>
      <c r="AP7" s="700"/>
      <c r="AQ7" s="700"/>
      <c r="AR7" s="700"/>
    </row>
    <row r="8" ht="15.75" customHeight="1">
      <c r="A8" s="700"/>
      <c r="B8" s="700" t="s">
        <v>174</v>
      </c>
      <c r="C8" s="559" t="s">
        <v>1126</v>
      </c>
      <c r="D8" s="809"/>
      <c r="E8" s="809"/>
      <c r="F8" s="812"/>
      <c r="G8" s="809"/>
      <c r="H8" s="811"/>
      <c r="I8" s="809"/>
      <c r="J8" s="809"/>
      <c r="K8" s="809"/>
      <c r="L8" s="811">
        <f>SUMIFS(BV_Data_An_Cour!$AX:$AX,BV_Data_An_Cour!$AO:$AO,$Y8)</f>
        <v>51</v>
      </c>
      <c r="M8" s="703">
        <f>-SUMIFS(BV_Data_An_Cour!$AN:$AN,BV_Data_An_Cour!$AO:$AO,$Y8)</f>
        <v>8473.49</v>
      </c>
      <c r="N8" s="704">
        <f t="shared" si="1"/>
        <v>0.7272882838</v>
      </c>
      <c r="O8" s="814">
        <f>-SUMIFS(BV_Data_An_Cour!$AN:$AN,BV_Data_An_Cour!$AO:$AO,$Y8)-SUMIFS(BV_Data_An_Cour!$AN:$AN,BV_Data_An_Cour!$AO:$AO,$Z8)</f>
        <v>6162.67</v>
      </c>
      <c r="P8" s="817">
        <f t="shared" si="2"/>
        <v>0</v>
      </c>
      <c r="Q8" s="814">
        <f t="shared" si="3"/>
        <v>6162.67</v>
      </c>
      <c r="R8" s="811">
        <f>SUMIFS(BV_Data_An_Prec!$AX:$AX,BV_Data_An_Prec!$AO:$AO,$Y8)</f>
        <v>0</v>
      </c>
      <c r="S8" s="703">
        <f>-SUMIFS(BV_Data_An_Prec!$AN:$AN,BV_Data_An_Prec!$AO:$AO,$Y8)</f>
        <v>0</v>
      </c>
      <c r="T8" s="704">
        <f t="shared" si="4"/>
        <v>0</v>
      </c>
      <c r="U8" s="814">
        <f>-SUMIFS(BV_Data_An_Prec!$AN:$AN,BV_Data_An_Prec!$AO:$AO,$Y8)-SUMIFS(BV_Data_An_Prec!$AN:$AN,BV_Data_An_Prec!$AO:$AO,$Z8)</f>
        <v>0</v>
      </c>
      <c r="V8" s="817">
        <f t="shared" si="5"/>
        <v>0</v>
      </c>
      <c r="W8" s="814">
        <f t="shared" si="6"/>
        <v>6162.67</v>
      </c>
      <c r="X8" s="809"/>
      <c r="Y8" s="700" t="s">
        <v>1127</v>
      </c>
      <c r="Z8" s="700" t="s">
        <v>1128</v>
      </c>
      <c r="AA8" s="700"/>
      <c r="AB8" s="700"/>
      <c r="AC8" s="700"/>
      <c r="AD8" s="700"/>
      <c r="AE8" s="700"/>
      <c r="AF8" s="700"/>
      <c r="AG8" s="700"/>
      <c r="AH8" s="700"/>
      <c r="AI8" s="700"/>
      <c r="AJ8" s="700"/>
      <c r="AK8" s="700"/>
      <c r="AL8" s="700"/>
      <c r="AM8" s="700"/>
      <c r="AN8" s="700"/>
      <c r="AO8" s="700"/>
      <c r="AP8" s="700"/>
      <c r="AQ8" s="700"/>
      <c r="AR8" s="700"/>
    </row>
    <row r="9" ht="15.75" customHeight="1">
      <c r="A9" s="700"/>
      <c r="B9" s="700" t="s">
        <v>174</v>
      </c>
      <c r="C9" s="559" t="s">
        <v>1129</v>
      </c>
      <c r="D9" s="809"/>
      <c r="E9" s="809"/>
      <c r="F9" s="812"/>
      <c r="G9" s="809"/>
      <c r="H9" s="811"/>
      <c r="I9" s="809"/>
      <c r="J9" s="809"/>
      <c r="K9" s="809"/>
      <c r="L9" s="811">
        <f>SUMIFS(BV_Data_An_Cour!$AX:$AX,BV_Data_An_Cour!$AO:$AO,$Y9)</f>
        <v>0</v>
      </c>
      <c r="M9" s="703">
        <f>-SUMIFS(BV_Data_An_Cour!$AN:$AN,BV_Data_An_Cour!$AO:$AO,$Y9)</f>
        <v>0</v>
      </c>
      <c r="N9" s="704">
        <f t="shared" si="1"/>
        <v>0</v>
      </c>
      <c r="O9" s="814">
        <f>-SUMIFS(BV_Data_An_Cour!$AN:$AN,BV_Data_An_Cour!$AO:$AO,$Y9)-SUMIFS(BV_Data_An_Cour!$AN:$AN,BV_Data_An_Cour!$AO:$AO,$Z9)</f>
        <v>0</v>
      </c>
      <c r="P9" s="817">
        <f t="shared" si="2"/>
        <v>0</v>
      </c>
      <c r="Q9" s="814">
        <f t="shared" si="3"/>
        <v>0</v>
      </c>
      <c r="R9" s="811">
        <f>SUMIFS(BV_Data_An_Prec!$AX:$AX,BV_Data_An_Prec!$AO:$AO,$Y9)</f>
        <v>0</v>
      </c>
      <c r="S9" s="703">
        <f>-SUMIFS(BV_Data_An_Prec!$AN:$AN,BV_Data_An_Prec!$AO:$AO,$Y9)</f>
        <v>0</v>
      </c>
      <c r="T9" s="704">
        <f t="shared" si="4"/>
        <v>0</v>
      </c>
      <c r="U9" s="814">
        <f>-SUMIFS(BV_Data_An_Prec!$AN:$AN,BV_Data_An_Prec!$AO:$AO,$Y9)-SUMIFS(BV_Data_An_Prec!$AN:$AN,BV_Data_An_Prec!$AO:$AO,$Z9)</f>
        <v>0</v>
      </c>
      <c r="V9" s="817">
        <f t="shared" si="5"/>
        <v>0</v>
      </c>
      <c r="W9" s="814">
        <f t="shared" si="6"/>
        <v>0</v>
      </c>
      <c r="X9" s="809"/>
      <c r="Y9" s="700" t="s">
        <v>1130</v>
      </c>
      <c r="Z9" s="700" t="s">
        <v>1131</v>
      </c>
      <c r="AA9" s="700"/>
      <c r="AB9" s="700"/>
      <c r="AC9" s="700"/>
      <c r="AD9" s="700"/>
      <c r="AE9" s="700"/>
      <c r="AF9" s="700"/>
      <c r="AG9" s="700"/>
      <c r="AH9" s="700"/>
      <c r="AI9" s="700"/>
      <c r="AJ9" s="700"/>
      <c r="AK9" s="700"/>
      <c r="AL9" s="700"/>
      <c r="AM9" s="700"/>
      <c r="AN9" s="700"/>
      <c r="AO9" s="700"/>
      <c r="AP9" s="700"/>
      <c r="AQ9" s="700"/>
      <c r="AR9" s="700"/>
    </row>
    <row r="10" ht="15.75" customHeight="1">
      <c r="A10" s="700"/>
      <c r="B10" s="700" t="s">
        <v>174</v>
      </c>
      <c r="C10" s="559" t="s">
        <v>1132</v>
      </c>
      <c r="D10" s="809"/>
      <c r="E10" s="809"/>
      <c r="F10" s="812"/>
      <c r="G10" s="809"/>
      <c r="H10" s="811"/>
      <c r="I10" s="809"/>
      <c r="J10" s="809"/>
      <c r="K10" s="809"/>
      <c r="L10" s="811">
        <f>SUMIFS(BV_Data_An_Cour!$AX:$AX,BV_Data_An_Cour!$AO:$AO,$Y10)</f>
        <v>372</v>
      </c>
      <c r="M10" s="703">
        <f>-SUMIFS(BV_Data_An_Cour!$AN:$AN,BV_Data_An_Cour!$AO:$AO,$Y10)</f>
        <v>177630.72</v>
      </c>
      <c r="N10" s="704">
        <f t="shared" si="1"/>
        <v>0.3306213024</v>
      </c>
      <c r="O10" s="814">
        <f>-SUMIFS(BV_Data_An_Cour!$AN:$AN,BV_Data_An_Cour!$AO:$AO,$Y10)-SUMIFS(BV_Data_An_Cour!$AN:$AN,BV_Data_An_Cour!$AO:$AO,$Z10)</f>
        <v>58728.5</v>
      </c>
      <c r="P10" s="817">
        <f t="shared" si="2"/>
        <v>0</v>
      </c>
      <c r="Q10" s="814">
        <f t="shared" si="3"/>
        <v>58728.5</v>
      </c>
      <c r="R10" s="811">
        <f>SUMIFS(BV_Data_An_Prec!$AX:$AX,BV_Data_An_Prec!$AO:$AO,$Y10)</f>
        <v>349</v>
      </c>
      <c r="S10" s="703">
        <f>-SUMIFS(BV_Data_An_Prec!$AN:$AN,BV_Data_An_Prec!$AO:$AO,$Y10)</f>
        <v>164958.9</v>
      </c>
      <c r="T10" s="704">
        <f t="shared" si="4"/>
        <v>0.6904820534</v>
      </c>
      <c r="U10" s="814">
        <f>-SUMIFS(BV_Data_An_Prec!$AN:$AN,BV_Data_An_Prec!$AO:$AO,$Y10)-SUMIFS(BV_Data_An_Prec!$AN:$AN,BV_Data_An_Prec!$AO:$AO,$Z10)</f>
        <v>113901.16</v>
      </c>
      <c r="V10" s="817">
        <f t="shared" si="5"/>
        <v>1.065902579</v>
      </c>
      <c r="W10" s="814">
        <f t="shared" si="6"/>
        <v>-55172.66</v>
      </c>
      <c r="X10" s="809"/>
      <c r="Y10" s="700" t="s">
        <v>1133</v>
      </c>
      <c r="Z10" s="700" t="s">
        <v>1134</v>
      </c>
      <c r="AA10" s="700"/>
      <c r="AB10" s="700"/>
      <c r="AC10" s="700"/>
      <c r="AD10" s="700"/>
      <c r="AE10" s="700"/>
      <c r="AF10" s="700"/>
      <c r="AG10" s="700"/>
      <c r="AH10" s="700"/>
      <c r="AI10" s="700"/>
      <c r="AJ10" s="700"/>
      <c r="AK10" s="700"/>
      <c r="AL10" s="700"/>
      <c r="AM10" s="700"/>
      <c r="AN10" s="700"/>
      <c r="AO10" s="700"/>
      <c r="AP10" s="700"/>
      <c r="AQ10" s="700"/>
      <c r="AR10" s="700"/>
    </row>
    <row r="11" ht="15.75" customHeight="1">
      <c r="A11" s="700"/>
      <c r="B11" s="700" t="s">
        <v>174</v>
      </c>
      <c r="C11" s="559" t="s">
        <v>1135</v>
      </c>
      <c r="D11" s="809"/>
      <c r="E11" s="809"/>
      <c r="F11" s="812"/>
      <c r="G11" s="809"/>
      <c r="H11" s="811"/>
      <c r="I11" s="809"/>
      <c r="J11" s="809"/>
      <c r="K11" s="809"/>
      <c r="L11" s="811">
        <f>SUMIFS(BV_Data_An_Cour!$AX:$AX,BV_Data_An_Cour!$AO:$AO,$Y11)</f>
        <v>136</v>
      </c>
      <c r="M11" s="703">
        <f>-SUMIFS(BV_Data_An_Cour!$AN:$AN,BV_Data_An_Cour!$AO:$AO,$Y11)</f>
        <v>27999.54</v>
      </c>
      <c r="N11" s="704">
        <f t="shared" si="1"/>
        <v>0.2258847824</v>
      </c>
      <c r="O11" s="814">
        <f>-SUMIFS(BV_Data_An_Cour!$AN:$AN,BV_Data_An_Cour!$AO:$AO,$Y11)-SUMIFS(BV_Data_An_Cour!$AN:$AN,BV_Data_An_Cour!$AO:$AO,$Z11)</f>
        <v>6324.67</v>
      </c>
      <c r="P11" s="817">
        <f t="shared" si="2"/>
        <v>0</v>
      </c>
      <c r="Q11" s="814">
        <f t="shared" si="3"/>
        <v>6324.67</v>
      </c>
      <c r="R11" s="811">
        <f>SUMIFS(BV_Data_An_Prec!$AX:$AX,BV_Data_An_Prec!$AO:$AO,$Y11)</f>
        <v>0</v>
      </c>
      <c r="S11" s="703">
        <f>-SUMIFS(BV_Data_An_Prec!$AN:$AN,BV_Data_An_Prec!$AO:$AO,$Y11)</f>
        <v>0</v>
      </c>
      <c r="T11" s="704">
        <f t="shared" si="4"/>
        <v>0</v>
      </c>
      <c r="U11" s="814">
        <f>-SUMIFS(BV_Data_An_Prec!$AN:$AN,BV_Data_An_Prec!$AO:$AO,$Y11)-SUMIFS(BV_Data_An_Prec!$AN:$AN,BV_Data_An_Prec!$AO:$AO,$Z11)</f>
        <v>0</v>
      </c>
      <c r="V11" s="817">
        <f t="shared" si="5"/>
        <v>0</v>
      </c>
      <c r="W11" s="814">
        <f t="shared" si="6"/>
        <v>6324.67</v>
      </c>
      <c r="X11" s="809"/>
      <c r="Y11" s="700" t="s">
        <v>1136</v>
      </c>
      <c r="Z11" s="700" t="s">
        <v>1137</v>
      </c>
      <c r="AA11" s="700"/>
      <c r="AB11" s="700"/>
      <c r="AC11" s="700"/>
      <c r="AD11" s="700"/>
      <c r="AE11" s="700"/>
      <c r="AF11" s="700"/>
      <c r="AG11" s="700"/>
      <c r="AH11" s="700"/>
      <c r="AI11" s="700"/>
      <c r="AJ11" s="700"/>
      <c r="AK11" s="700"/>
      <c r="AL11" s="700"/>
      <c r="AM11" s="700"/>
      <c r="AN11" s="700"/>
      <c r="AO11" s="700"/>
      <c r="AP11" s="700"/>
      <c r="AQ11" s="700"/>
      <c r="AR11" s="700"/>
    </row>
    <row r="12" ht="15.75" customHeight="1">
      <c r="A12" s="700"/>
      <c r="B12" s="700" t="s">
        <v>174</v>
      </c>
      <c r="C12" s="559" t="s">
        <v>1138</v>
      </c>
      <c r="D12" s="809"/>
      <c r="E12" s="809"/>
      <c r="F12" s="812"/>
      <c r="G12" s="809"/>
      <c r="H12" s="811"/>
      <c r="I12" s="809"/>
      <c r="J12" s="809"/>
      <c r="K12" s="809"/>
      <c r="L12" s="811">
        <f>SUMIFS(BV_Data_An_Cour!$AX:$AX,BV_Data_An_Cour!$AO:$AO,$Y12)</f>
        <v>273</v>
      </c>
      <c r="M12" s="703">
        <f>-SUMIFS(BV_Data_An_Cour!$AN:$AN,BV_Data_An_Cour!$AO:$AO,$Y12)</f>
        <v>536059.18</v>
      </c>
      <c r="N12" s="704">
        <f t="shared" si="1"/>
        <v>0.2343951091</v>
      </c>
      <c r="O12" s="814">
        <f>-SUMIFS(BV_Data_An_Cour!$AN:$AN,BV_Data_An_Cour!$AO:$AO,$Y12)-SUMIFS(BV_Data_An_Cour!$AN:$AN,BV_Data_An_Cour!$AO:$AO,$Z12)</f>
        <v>125649.65</v>
      </c>
      <c r="P12" s="817">
        <f t="shared" si="2"/>
        <v>0</v>
      </c>
      <c r="Q12" s="814">
        <f t="shared" si="3"/>
        <v>125649.65</v>
      </c>
      <c r="R12" s="811">
        <f>SUMIFS(BV_Data_An_Prec!$AX:$AX,BV_Data_An_Prec!$AO:$AO,$Y12)</f>
        <v>334</v>
      </c>
      <c r="S12" s="703">
        <f>-SUMIFS(BV_Data_An_Prec!$AN:$AN,BV_Data_An_Prec!$AO:$AO,$Y12)</f>
        <v>771922.52</v>
      </c>
      <c r="T12" s="704">
        <f t="shared" si="4"/>
        <v>0.2285459038</v>
      </c>
      <c r="U12" s="814">
        <f>-SUMIFS(BV_Data_An_Prec!$AN:$AN,BV_Data_An_Prec!$AO:$AO,$Y12)-SUMIFS(BV_Data_An_Prec!$AN:$AN,BV_Data_An_Prec!$AO:$AO,$Z12)</f>
        <v>176419.73</v>
      </c>
      <c r="V12" s="817">
        <f t="shared" si="5"/>
        <v>0.8173652695</v>
      </c>
      <c r="W12" s="814">
        <f t="shared" si="6"/>
        <v>-50770.08</v>
      </c>
      <c r="X12" s="809"/>
      <c r="Y12" s="700" t="s">
        <v>1139</v>
      </c>
      <c r="Z12" s="700" t="s">
        <v>1140</v>
      </c>
      <c r="AA12" s="700"/>
      <c r="AB12" s="700"/>
      <c r="AC12" s="700"/>
      <c r="AD12" s="700"/>
      <c r="AE12" s="700"/>
      <c r="AF12" s="700"/>
      <c r="AG12" s="700"/>
      <c r="AH12" s="700"/>
      <c r="AI12" s="700"/>
      <c r="AJ12" s="700"/>
      <c r="AK12" s="700"/>
      <c r="AL12" s="700"/>
      <c r="AM12" s="700"/>
      <c r="AN12" s="700"/>
      <c r="AO12" s="700"/>
      <c r="AP12" s="700"/>
      <c r="AQ12" s="700"/>
      <c r="AR12" s="700"/>
    </row>
    <row r="13" ht="15.75" customHeight="1">
      <c r="A13" s="700"/>
      <c r="B13" s="700"/>
      <c r="C13" s="560" t="s">
        <v>1141</v>
      </c>
      <c r="D13" s="818"/>
      <c r="E13" s="818"/>
      <c r="F13" s="819"/>
      <c r="G13" s="818"/>
      <c r="H13" s="820"/>
      <c r="I13" s="818"/>
      <c r="J13" s="818"/>
      <c r="K13" s="818"/>
      <c r="L13" s="820">
        <f>SUMIFS(BV_Data_An_Cour!$AX:$AX,BV_Data_An_Cour!$AO:$AO,$Y13)</f>
        <v>18</v>
      </c>
      <c r="M13" s="703">
        <f>-SUMIFS(BV_Data_An_Cour!$AN:$AN,BV_Data_An_Cour!$AO:$AO,$Y13)</f>
        <v>1486.33</v>
      </c>
      <c r="N13" s="704">
        <f t="shared" si="1"/>
        <v>0</v>
      </c>
      <c r="O13" s="814">
        <f>-SUMIFS(BV_Data_An_Cour!$AN:$AN,BV_Data_An_Cour!$AO:$AO,$Y13)-SUMIFS(BV_Data_An_Cour!$AN:$AN,BV_Data_An_Cour!$AO:$AO,$Z13)</f>
        <v>0</v>
      </c>
      <c r="P13" s="821">
        <f t="shared" si="2"/>
        <v>0</v>
      </c>
      <c r="Q13" s="822">
        <f t="shared" si="3"/>
        <v>0</v>
      </c>
      <c r="R13" s="811">
        <f>SUMIFS(BV_Data_An_Prec!$AX:$AX,BV_Data_An_Prec!$AO:$AO,$Y13)</f>
        <v>0</v>
      </c>
      <c r="S13" s="703">
        <f>-SUMIFS(BV_Data_An_Prec!$AN:$AN,BV_Data_An_Prec!$AO:$AO,$Y13)</f>
        <v>0</v>
      </c>
      <c r="T13" s="704">
        <f t="shared" si="4"/>
        <v>0</v>
      </c>
      <c r="U13" s="814">
        <f>-SUMIFS(BV_Data_An_Prec!$AN:$AN,BV_Data_An_Prec!$AO:$AO,$Y13)-SUMIFS(BV_Data_An_Prec!$AN:$AN,BV_Data_An_Prec!$AO:$AO,$Z13)</f>
        <v>0</v>
      </c>
      <c r="V13" s="821">
        <f t="shared" si="5"/>
        <v>0</v>
      </c>
      <c r="W13" s="822">
        <f t="shared" si="6"/>
        <v>0</v>
      </c>
      <c r="X13" s="809"/>
      <c r="Y13" s="700" t="s">
        <v>1142</v>
      </c>
      <c r="Z13" s="700" t="s">
        <v>1143</v>
      </c>
      <c r="AA13" s="700"/>
      <c r="AB13" s="700"/>
      <c r="AC13" s="700"/>
      <c r="AD13" s="700"/>
      <c r="AE13" s="700"/>
      <c r="AF13" s="700"/>
      <c r="AG13" s="700"/>
      <c r="AH13" s="700"/>
      <c r="AI13" s="700"/>
      <c r="AJ13" s="700"/>
      <c r="AK13" s="700"/>
      <c r="AL13" s="700"/>
      <c r="AM13" s="700"/>
      <c r="AN13" s="700"/>
      <c r="AO13" s="700"/>
      <c r="AP13" s="700"/>
      <c r="AQ13" s="700"/>
      <c r="AR13" s="700"/>
    </row>
    <row r="14" ht="18.0" customHeight="1">
      <c r="A14" s="700"/>
      <c r="B14" s="700"/>
      <c r="C14" s="825" t="s">
        <v>949</v>
      </c>
      <c r="D14" s="826"/>
      <c r="E14" s="827">
        <f>SUM(E6:E12)</f>
        <v>0</v>
      </c>
      <c r="F14" s="828" t="str">
        <f>G14/E14</f>
        <v>#DIV/0!</v>
      </c>
      <c r="G14" s="827">
        <f>SUM(G6:G12)</f>
        <v>0</v>
      </c>
      <c r="H14" s="829"/>
      <c r="I14" s="827"/>
      <c r="J14" s="827"/>
      <c r="K14" s="827"/>
      <c r="L14" s="830"/>
      <c r="M14" s="827">
        <f>SUM(M6:M13)</f>
        <v>1221561.89</v>
      </c>
      <c r="N14" s="828">
        <f t="shared" si="1"/>
        <v>0.4181297028</v>
      </c>
      <c r="O14" s="827">
        <f>SUM(O6:O13)</f>
        <v>510771.31</v>
      </c>
      <c r="P14" s="831">
        <f t="shared" si="2"/>
        <v>0</v>
      </c>
      <c r="Q14" s="832">
        <f t="shared" si="3"/>
        <v>510771.31</v>
      </c>
      <c r="R14" s="830"/>
      <c r="S14" s="827">
        <f>SUM(S6:S13)</f>
        <v>1370942.35</v>
      </c>
      <c r="T14" s="828">
        <f t="shared" si="4"/>
        <v>0.4041772581</v>
      </c>
      <c r="U14" s="827">
        <f>SUM(U6:U13)</f>
        <v>554103.72</v>
      </c>
      <c r="V14" s="831">
        <f t="shared" si="5"/>
        <v>0</v>
      </c>
      <c r="W14" s="832">
        <f>SUM(W6:W13)</f>
        <v>-43332.41</v>
      </c>
      <c r="X14" s="809"/>
      <c r="Y14" s="700"/>
      <c r="Z14" s="700"/>
      <c r="AA14" s="700"/>
      <c r="AB14" s="700"/>
      <c r="AC14" s="700"/>
      <c r="AD14" s="700"/>
      <c r="AE14" s="700"/>
      <c r="AF14" s="700"/>
      <c r="AG14" s="700"/>
      <c r="AH14" s="700"/>
      <c r="AI14" s="700"/>
      <c r="AJ14" s="700"/>
      <c r="AK14" s="700"/>
      <c r="AL14" s="700"/>
      <c r="AM14" s="700"/>
      <c r="AN14" s="700"/>
      <c r="AO14" s="700"/>
      <c r="AP14" s="700"/>
      <c r="AQ14" s="700"/>
      <c r="AR14" s="700"/>
    </row>
    <row r="15" ht="15.75" customHeight="1">
      <c r="A15" s="700"/>
      <c r="B15" s="700" t="s">
        <v>174</v>
      </c>
      <c r="C15" s="559"/>
      <c r="D15" s="809"/>
      <c r="E15" s="708"/>
      <c r="F15" s="833"/>
      <c r="G15" s="710"/>
      <c r="H15" s="559"/>
      <c r="I15" s="708"/>
      <c r="J15" s="708"/>
      <c r="K15" s="710"/>
      <c r="L15" s="834"/>
      <c r="M15" s="703"/>
      <c r="N15" s="700"/>
      <c r="O15" s="814"/>
      <c r="P15" s="817"/>
      <c r="Q15" s="814"/>
      <c r="R15" s="834"/>
      <c r="S15" s="703"/>
      <c r="T15" s="700"/>
      <c r="U15" s="814"/>
      <c r="V15" s="834"/>
      <c r="W15" s="814"/>
      <c r="X15" s="809"/>
      <c r="Y15" s="700"/>
      <c r="Z15" s="700"/>
      <c r="AA15" s="700"/>
      <c r="AB15" s="700"/>
      <c r="AC15" s="700"/>
      <c r="AD15" s="700"/>
      <c r="AE15" s="700"/>
      <c r="AF15" s="700"/>
      <c r="AG15" s="700"/>
      <c r="AH15" s="700"/>
      <c r="AI15" s="700"/>
      <c r="AJ15" s="700"/>
      <c r="AK15" s="700"/>
      <c r="AL15" s="700"/>
      <c r="AM15" s="700"/>
      <c r="AN15" s="700"/>
      <c r="AO15" s="700"/>
      <c r="AP15" s="700"/>
      <c r="AQ15" s="700"/>
      <c r="AR15" s="700"/>
    </row>
    <row r="16" ht="15.75" customHeight="1">
      <c r="A16" s="700"/>
      <c r="B16" s="700" t="s">
        <v>174</v>
      </c>
      <c r="C16" s="559" t="s">
        <v>1144</v>
      </c>
      <c r="D16" s="809"/>
      <c r="E16" s="809"/>
      <c r="F16" s="812"/>
      <c r="G16" s="809"/>
      <c r="H16" s="811"/>
      <c r="I16" s="809"/>
      <c r="J16" s="809"/>
      <c r="K16" s="809"/>
      <c r="L16" s="811">
        <f>SUMIFS(BV_Data_An_Cour!$AX:$AX,BV_Data_An_Cour!$AO:$AO,$Y16)</f>
        <v>76</v>
      </c>
      <c r="M16" s="703">
        <f>-SUMIFS(BV_Data_An_Cour!$AN:$AN,BV_Data_An_Cour!$AO:$AO,$Y16)</f>
        <v>39247.84</v>
      </c>
      <c r="N16" s="704">
        <f t="shared" ref="N16:N25" si="7">IFERROR(O16/M16,0)</f>
        <v>0.3616038488</v>
      </c>
      <c r="O16" s="814">
        <f>-SUMIFS(BV_Data_An_Cour!$AN:$AN,BV_Data_An_Cour!$AO:$AO,$Y16)-SUMIFS(BV_Data_An_Cour!$AN:$AN,BV_Data_An_Cour!$AO:$AO,$Z16)</f>
        <v>14192.17</v>
      </c>
      <c r="P16" s="817">
        <f t="shared" ref="P16:P25" si="8">IFERROR((M16-E16)/E16,0)</f>
        <v>0</v>
      </c>
      <c r="Q16" s="814">
        <f t="shared" ref="Q16:Q25" si="9">O16-G16</f>
        <v>14192.17</v>
      </c>
      <c r="R16" s="811">
        <f>SUMIFS(BV_Data_An_Prec!$AX:$AX,BV_Data_An_Prec!$AO:$AO,$Y16)</f>
        <v>67</v>
      </c>
      <c r="S16" s="703">
        <f>-SUMIFS(BV_Data_An_Prec!$AN:$AN,BV_Data_An_Prec!$AO:$AO,$Y16)</f>
        <v>41630.36</v>
      </c>
      <c r="T16" s="704">
        <f t="shared" ref="T16:T25" si="10">IFERROR(U16/S16,0)</f>
        <v>0.7654589103</v>
      </c>
      <c r="U16" s="814">
        <f>-SUMIFS(BV_Data_An_Prec!$AN:$AN,BV_Data_An_Prec!$AO:$AO,$Y16)-SUMIFS(BV_Data_An_Prec!$AN:$AN,BV_Data_An_Prec!$AO:$AO,$Z16)</f>
        <v>31866.33</v>
      </c>
      <c r="V16" s="817">
        <f t="shared" ref="V16:V25" si="11">IF(R16=0,0,L16/R16)</f>
        <v>1.134328358</v>
      </c>
      <c r="W16" s="814">
        <f t="shared" ref="W16:W24" si="12">O16-U16</f>
        <v>-17674.16</v>
      </c>
      <c r="X16" s="809"/>
      <c r="Y16" s="700" t="s">
        <v>1145</v>
      </c>
      <c r="Z16" s="700" t="s">
        <v>1146</v>
      </c>
      <c r="AA16" s="700"/>
      <c r="AB16" s="700"/>
      <c r="AC16" s="700"/>
      <c r="AD16" s="700"/>
      <c r="AE16" s="700"/>
      <c r="AF16" s="700"/>
      <c r="AG16" s="700"/>
      <c r="AH16" s="700"/>
      <c r="AI16" s="700"/>
      <c r="AJ16" s="700"/>
      <c r="AK16" s="700"/>
      <c r="AL16" s="700"/>
      <c r="AM16" s="700"/>
      <c r="AN16" s="700"/>
      <c r="AO16" s="700"/>
      <c r="AP16" s="700"/>
      <c r="AQ16" s="700"/>
      <c r="AR16" s="700"/>
    </row>
    <row r="17" ht="15.75" customHeight="1">
      <c r="A17" s="700"/>
      <c r="B17" s="700" t="s">
        <v>174</v>
      </c>
      <c r="C17" s="559" t="s">
        <v>1147</v>
      </c>
      <c r="D17" s="809"/>
      <c r="E17" s="809"/>
      <c r="F17" s="812"/>
      <c r="G17" s="809"/>
      <c r="H17" s="811"/>
      <c r="I17" s="809"/>
      <c r="J17" s="809"/>
      <c r="K17" s="809"/>
      <c r="L17" s="811">
        <f>SUMIFS(BV_Data_An_Cour!$AX:$AX,BV_Data_An_Cour!$AO:$AO,$Y17)</f>
        <v>23</v>
      </c>
      <c r="M17" s="703">
        <f>-SUMIFS(BV_Data_An_Cour!$AN:$AN,BV_Data_An_Cour!$AO:$AO,$Y17)</f>
        <v>4775.5</v>
      </c>
      <c r="N17" s="704">
        <f t="shared" si="7"/>
        <v>0.6464768087</v>
      </c>
      <c r="O17" s="814">
        <f>-SUMIFS(BV_Data_An_Cour!$AN:$AN,BV_Data_An_Cour!$AO:$AO,$Y17)-SUMIFS(BV_Data_An_Cour!$AN:$AN,BV_Data_An_Cour!$AO:$AO,$Z17)</f>
        <v>3087.25</v>
      </c>
      <c r="P17" s="817">
        <f t="shared" si="8"/>
        <v>0</v>
      </c>
      <c r="Q17" s="814">
        <f t="shared" si="9"/>
        <v>3087.25</v>
      </c>
      <c r="R17" s="811">
        <f>SUMIFS(BV_Data_An_Prec!$AX:$AX,BV_Data_An_Prec!$AO:$AO,$Y17)</f>
        <v>0</v>
      </c>
      <c r="S17" s="703">
        <f>-SUMIFS(BV_Data_An_Prec!$AN:$AN,BV_Data_An_Prec!$AO:$AO,$Y17)</f>
        <v>0</v>
      </c>
      <c r="T17" s="704">
        <f t="shared" si="10"/>
        <v>0</v>
      </c>
      <c r="U17" s="814">
        <f>-SUMIFS(BV_Data_An_Prec!$AN:$AN,BV_Data_An_Prec!$AO:$AO,$Y17)-SUMIFS(BV_Data_An_Prec!$AN:$AN,BV_Data_An_Prec!$AO:$AO,$Z17)</f>
        <v>0</v>
      </c>
      <c r="V17" s="817">
        <f t="shared" si="11"/>
        <v>0</v>
      </c>
      <c r="W17" s="814">
        <f t="shared" si="12"/>
        <v>3087.25</v>
      </c>
      <c r="X17" s="809"/>
      <c r="Y17" s="700" t="s">
        <v>1148</v>
      </c>
      <c r="Z17" s="700" t="s">
        <v>1149</v>
      </c>
      <c r="AA17" s="700"/>
      <c r="AB17" s="700"/>
      <c r="AC17" s="700"/>
      <c r="AD17" s="700"/>
      <c r="AE17" s="700"/>
      <c r="AF17" s="700"/>
      <c r="AG17" s="700"/>
      <c r="AH17" s="700"/>
      <c r="AI17" s="700"/>
      <c r="AJ17" s="700"/>
      <c r="AK17" s="700"/>
      <c r="AL17" s="700"/>
      <c r="AM17" s="700"/>
      <c r="AN17" s="700"/>
      <c r="AO17" s="700"/>
      <c r="AP17" s="700"/>
      <c r="AQ17" s="700"/>
      <c r="AR17" s="700"/>
    </row>
    <row r="18" ht="15.75" customHeight="1">
      <c r="A18" s="700"/>
      <c r="B18" s="700" t="s">
        <v>174</v>
      </c>
      <c r="C18" s="559" t="s">
        <v>1150</v>
      </c>
      <c r="D18" s="809"/>
      <c r="E18" s="809"/>
      <c r="F18" s="812"/>
      <c r="G18" s="809"/>
      <c r="H18" s="811"/>
      <c r="I18" s="809"/>
      <c r="J18" s="809"/>
      <c r="K18" s="809"/>
      <c r="L18" s="811">
        <f>SUMIFS(BV_Data_An_Cour!$AX:$AX,BV_Data_An_Cour!$AO:$AO,$Y18)</f>
        <v>1</v>
      </c>
      <c r="M18" s="703">
        <f>-SUMIFS(BV_Data_An_Cour!$AN:$AN,BV_Data_An_Cour!$AO:$AO,$Y18)</f>
        <v>792</v>
      </c>
      <c r="N18" s="704">
        <f t="shared" si="7"/>
        <v>0.05273989899</v>
      </c>
      <c r="O18" s="814">
        <f>-SUMIFS(BV_Data_An_Cour!$AN:$AN,BV_Data_An_Cour!$AO:$AO,$Y18)-SUMIFS(BV_Data_An_Cour!$AN:$AN,BV_Data_An_Cour!$AO:$AO,$Z18)</f>
        <v>41.77</v>
      </c>
      <c r="P18" s="817">
        <f t="shared" si="8"/>
        <v>0</v>
      </c>
      <c r="Q18" s="814">
        <f t="shared" si="9"/>
        <v>41.77</v>
      </c>
      <c r="R18" s="811">
        <f>SUMIFS(BV_Data_An_Prec!$AX:$AX,BV_Data_An_Prec!$AO:$AO,$Y18)</f>
        <v>0</v>
      </c>
      <c r="S18" s="703">
        <f>-SUMIFS(BV_Data_An_Prec!$AN:$AN,BV_Data_An_Prec!$AO:$AO,$Y18)</f>
        <v>0</v>
      </c>
      <c r="T18" s="704">
        <f t="shared" si="10"/>
        <v>0</v>
      </c>
      <c r="U18" s="814">
        <f>-SUMIFS(BV_Data_An_Prec!$AN:$AN,BV_Data_An_Prec!$AO:$AO,$Y18)-SUMIFS(BV_Data_An_Prec!$AN:$AN,BV_Data_An_Prec!$AO:$AO,$Z18)</f>
        <v>0</v>
      </c>
      <c r="V18" s="817">
        <f t="shared" si="11"/>
        <v>0</v>
      </c>
      <c r="W18" s="814">
        <f t="shared" si="12"/>
        <v>41.77</v>
      </c>
      <c r="X18" s="809"/>
      <c r="Y18" s="700" t="s">
        <v>1151</v>
      </c>
      <c r="Z18" s="700" t="s">
        <v>1152</v>
      </c>
      <c r="AA18" s="700"/>
      <c r="AB18" s="700"/>
      <c r="AC18" s="700"/>
      <c r="AD18" s="700"/>
      <c r="AE18" s="700"/>
      <c r="AF18" s="700"/>
      <c r="AG18" s="700"/>
      <c r="AH18" s="700"/>
      <c r="AI18" s="700"/>
      <c r="AJ18" s="700"/>
      <c r="AK18" s="700"/>
      <c r="AL18" s="700"/>
      <c r="AM18" s="700"/>
      <c r="AN18" s="700"/>
      <c r="AO18" s="700"/>
      <c r="AP18" s="700"/>
      <c r="AQ18" s="700"/>
      <c r="AR18" s="700"/>
    </row>
    <row r="19" ht="15.75" customHeight="1">
      <c r="A19" s="700"/>
      <c r="B19" s="700" t="s">
        <v>174</v>
      </c>
      <c r="C19" s="559" t="s">
        <v>1153</v>
      </c>
      <c r="D19" s="809"/>
      <c r="E19" s="809"/>
      <c r="F19" s="812"/>
      <c r="G19" s="809"/>
      <c r="H19" s="811"/>
      <c r="I19" s="809"/>
      <c r="J19" s="809"/>
      <c r="K19" s="809"/>
      <c r="L19" s="811">
        <f>SUMIFS(BV_Data_An_Cour!$AX:$AX,BV_Data_An_Cour!$AO:$AO,$Y19)</f>
        <v>0</v>
      </c>
      <c r="M19" s="703">
        <f>-SUMIFS(BV_Data_An_Cour!$AN:$AN,BV_Data_An_Cour!$AO:$AO,$Y19)</f>
        <v>0</v>
      </c>
      <c r="N19" s="704">
        <f t="shared" si="7"/>
        <v>0</v>
      </c>
      <c r="O19" s="814">
        <f>-SUMIFS(BV_Data_An_Cour!$AN:$AN,BV_Data_An_Cour!$AO:$AO,$Y19)-SUMIFS(BV_Data_An_Cour!$AN:$AN,BV_Data_An_Cour!$AO:$AO,$Z19)</f>
        <v>0</v>
      </c>
      <c r="P19" s="817">
        <f t="shared" si="8"/>
        <v>0</v>
      </c>
      <c r="Q19" s="814">
        <f t="shared" si="9"/>
        <v>0</v>
      </c>
      <c r="R19" s="811">
        <f>SUMIFS(BV_Data_An_Prec!$AX:$AX,BV_Data_An_Prec!$AO:$AO,$Y19)</f>
        <v>0</v>
      </c>
      <c r="S19" s="703">
        <f>-SUMIFS(BV_Data_An_Prec!$AN:$AN,BV_Data_An_Prec!$AO:$AO,$Y19)</f>
        <v>0</v>
      </c>
      <c r="T19" s="704">
        <f t="shared" si="10"/>
        <v>0</v>
      </c>
      <c r="U19" s="814">
        <f>-SUMIFS(BV_Data_An_Prec!$AN:$AN,BV_Data_An_Prec!$AO:$AO,$Y19)-SUMIFS(BV_Data_An_Prec!$AN:$AN,BV_Data_An_Prec!$AO:$AO,$Z19)</f>
        <v>0</v>
      </c>
      <c r="V19" s="817">
        <f t="shared" si="11"/>
        <v>0</v>
      </c>
      <c r="W19" s="814">
        <f t="shared" si="12"/>
        <v>0</v>
      </c>
      <c r="X19" s="809"/>
      <c r="Y19" s="700" t="s">
        <v>1154</v>
      </c>
      <c r="Z19" s="700" t="s">
        <v>1155</v>
      </c>
      <c r="AA19" s="700"/>
      <c r="AB19" s="700"/>
      <c r="AC19" s="700"/>
      <c r="AD19" s="700"/>
      <c r="AE19" s="700"/>
      <c r="AF19" s="700"/>
      <c r="AG19" s="700"/>
      <c r="AH19" s="700"/>
      <c r="AI19" s="700"/>
      <c r="AJ19" s="700"/>
      <c r="AK19" s="700"/>
      <c r="AL19" s="700"/>
      <c r="AM19" s="700"/>
      <c r="AN19" s="700"/>
      <c r="AO19" s="700"/>
      <c r="AP19" s="700"/>
      <c r="AQ19" s="700"/>
      <c r="AR19" s="700"/>
    </row>
    <row r="20" ht="15.75" customHeight="1">
      <c r="A20" s="700"/>
      <c r="B20" s="700" t="s">
        <v>174</v>
      </c>
      <c r="C20" s="559" t="s">
        <v>1156</v>
      </c>
      <c r="D20" s="809"/>
      <c r="E20" s="809"/>
      <c r="F20" s="812"/>
      <c r="G20" s="809"/>
      <c r="H20" s="811"/>
      <c r="I20" s="809"/>
      <c r="J20" s="809"/>
      <c r="K20" s="809"/>
      <c r="L20" s="811">
        <f>SUMIFS(BV_Data_An_Cour!$AX:$AX,BV_Data_An_Cour!$AO:$AO,$Y20)</f>
        <v>26</v>
      </c>
      <c r="M20" s="703">
        <f>-SUMIFS(BV_Data_An_Cour!$AN:$AN,BV_Data_An_Cour!$AO:$AO,$Y20)</f>
        <v>4744.55</v>
      </c>
      <c r="N20" s="704">
        <f t="shared" si="7"/>
        <v>0.44373439</v>
      </c>
      <c r="O20" s="814">
        <f>-SUMIFS(BV_Data_An_Cour!$AN:$AN,BV_Data_An_Cour!$AO:$AO,$Y20)-SUMIFS(BV_Data_An_Cour!$AN:$AN,BV_Data_An_Cour!$AO:$AO,$Z20)</f>
        <v>2105.32</v>
      </c>
      <c r="P20" s="817">
        <f t="shared" si="8"/>
        <v>0</v>
      </c>
      <c r="Q20" s="814">
        <f t="shared" si="9"/>
        <v>2105.32</v>
      </c>
      <c r="R20" s="811">
        <f>SUMIFS(BV_Data_An_Prec!$AX:$AX,BV_Data_An_Prec!$AO:$AO,$Y20)</f>
        <v>0</v>
      </c>
      <c r="S20" s="703">
        <f>-SUMIFS(BV_Data_An_Prec!$AN:$AN,BV_Data_An_Prec!$AO:$AO,$Y20)</f>
        <v>0</v>
      </c>
      <c r="T20" s="704">
        <f t="shared" si="10"/>
        <v>0</v>
      </c>
      <c r="U20" s="814">
        <f>-SUMIFS(BV_Data_An_Prec!$AN:$AN,BV_Data_An_Prec!$AO:$AO,$Y20)-SUMIFS(BV_Data_An_Prec!$AN:$AN,BV_Data_An_Prec!$AO:$AO,$Z20)</f>
        <v>0</v>
      </c>
      <c r="V20" s="817">
        <f t="shared" si="11"/>
        <v>0</v>
      </c>
      <c r="W20" s="814">
        <f t="shared" si="12"/>
        <v>2105.32</v>
      </c>
      <c r="X20" s="809"/>
      <c r="Y20" s="700" t="s">
        <v>1157</v>
      </c>
      <c r="Z20" s="700" t="s">
        <v>1158</v>
      </c>
      <c r="AA20" s="700"/>
      <c r="AB20" s="700"/>
      <c r="AC20" s="700"/>
      <c r="AD20" s="700"/>
      <c r="AE20" s="700"/>
      <c r="AF20" s="700"/>
      <c r="AG20" s="700"/>
      <c r="AH20" s="700"/>
      <c r="AI20" s="700"/>
      <c r="AJ20" s="700"/>
      <c r="AK20" s="700"/>
      <c r="AL20" s="700"/>
      <c r="AM20" s="700"/>
      <c r="AN20" s="700"/>
      <c r="AO20" s="700"/>
      <c r="AP20" s="700"/>
      <c r="AQ20" s="700"/>
      <c r="AR20" s="700"/>
    </row>
    <row r="21" ht="15.75" customHeight="1">
      <c r="A21" s="700"/>
      <c r="B21" s="700" t="s">
        <v>174</v>
      </c>
      <c r="C21" s="559" t="s">
        <v>1159</v>
      </c>
      <c r="D21" s="809"/>
      <c r="E21" s="809"/>
      <c r="F21" s="812"/>
      <c r="G21" s="809"/>
      <c r="H21" s="811"/>
      <c r="I21" s="809"/>
      <c r="J21" s="809"/>
      <c r="K21" s="809"/>
      <c r="L21" s="811">
        <f>SUMIFS(BV_Data_An_Cour!$AX:$AX,BV_Data_An_Cour!$AO:$AO,$Y21)</f>
        <v>23</v>
      </c>
      <c r="M21" s="703">
        <f>-SUMIFS(BV_Data_An_Cour!$AN:$AN,BV_Data_An_Cour!$AO:$AO,$Y21)</f>
        <v>2105.98</v>
      </c>
      <c r="N21" s="704">
        <f t="shared" si="7"/>
        <v>0.3745572133</v>
      </c>
      <c r="O21" s="814">
        <f>-SUMIFS(BV_Data_An_Cour!$AN:$AN,BV_Data_An_Cour!$AO:$AO,$Y21)-SUMIFS(BV_Data_An_Cour!$AN:$AN,BV_Data_An_Cour!$AO:$AO,$Z21)</f>
        <v>788.81</v>
      </c>
      <c r="P21" s="817">
        <f t="shared" si="8"/>
        <v>0</v>
      </c>
      <c r="Q21" s="814">
        <f t="shared" si="9"/>
        <v>788.81</v>
      </c>
      <c r="R21" s="811">
        <f>SUMIFS(BV_Data_An_Prec!$AX:$AX,BV_Data_An_Prec!$AO:$AO,$Y21)</f>
        <v>0</v>
      </c>
      <c r="S21" s="703">
        <f>-SUMIFS(BV_Data_An_Prec!$AN:$AN,BV_Data_An_Prec!$AO:$AO,$Y21)</f>
        <v>0</v>
      </c>
      <c r="T21" s="704">
        <f t="shared" si="10"/>
        <v>0</v>
      </c>
      <c r="U21" s="814">
        <f>-SUMIFS(BV_Data_An_Prec!$AN:$AN,BV_Data_An_Prec!$AO:$AO,$Y21)-SUMIFS(BV_Data_An_Prec!$AN:$AN,BV_Data_An_Prec!$AO:$AO,$Z21)</f>
        <v>0</v>
      </c>
      <c r="V21" s="817">
        <f t="shared" si="11"/>
        <v>0</v>
      </c>
      <c r="W21" s="814">
        <f t="shared" si="12"/>
        <v>788.81</v>
      </c>
      <c r="X21" s="809"/>
      <c r="Y21" s="700" t="s">
        <v>1160</v>
      </c>
      <c r="Z21" s="700" t="s">
        <v>1161</v>
      </c>
      <c r="AA21" s="700"/>
      <c r="AB21" s="700"/>
      <c r="AC21" s="700"/>
      <c r="AD21" s="700"/>
      <c r="AE21" s="700"/>
      <c r="AF21" s="700"/>
      <c r="AG21" s="700"/>
      <c r="AH21" s="700"/>
      <c r="AI21" s="700"/>
      <c r="AJ21" s="700"/>
      <c r="AK21" s="700"/>
      <c r="AL21" s="700"/>
      <c r="AM21" s="700"/>
      <c r="AN21" s="700"/>
      <c r="AO21" s="700"/>
      <c r="AP21" s="700"/>
      <c r="AQ21" s="700"/>
      <c r="AR21" s="700"/>
    </row>
    <row r="22" ht="15.75" customHeight="1">
      <c r="A22" s="700"/>
      <c r="B22" s="700" t="s">
        <v>174</v>
      </c>
      <c r="C22" s="559" t="s">
        <v>1162</v>
      </c>
      <c r="D22" s="809"/>
      <c r="E22" s="809"/>
      <c r="F22" s="812"/>
      <c r="G22" s="809"/>
      <c r="H22" s="811"/>
      <c r="I22" s="809"/>
      <c r="J22" s="809"/>
      <c r="K22" s="809"/>
      <c r="L22" s="811">
        <f>SUMIFS(BV_Data_An_Cour!$AX:$AX,BV_Data_An_Cour!$AO:$AO,$Y22)</f>
        <v>15</v>
      </c>
      <c r="M22" s="703">
        <f>-SUMIFS(BV_Data_An_Cour!$AN:$AN,BV_Data_An_Cour!$AO:$AO,$Y22)</f>
        <v>5838.45</v>
      </c>
      <c r="N22" s="704">
        <f t="shared" si="7"/>
        <v>1</v>
      </c>
      <c r="O22" s="814">
        <f>-SUMIFS(BV_Data_An_Cour!$AN:$AN,BV_Data_An_Cour!$AO:$AO,$Y22)-SUMIFS(BV_Data_An_Cour!$AN:$AN,BV_Data_An_Cour!$AO:$AO,$Z22)</f>
        <v>5838.45</v>
      </c>
      <c r="P22" s="817">
        <f t="shared" si="8"/>
        <v>0</v>
      </c>
      <c r="Q22" s="814">
        <f t="shared" si="9"/>
        <v>5838.45</v>
      </c>
      <c r="R22" s="811">
        <f>SUMIFS(BV_Data_An_Prec!$AX:$AX,BV_Data_An_Prec!$AO:$AO,$Y22)</f>
        <v>0</v>
      </c>
      <c r="S22" s="703">
        <f>-SUMIFS(BV_Data_An_Prec!$AN:$AN,BV_Data_An_Prec!$AO:$AO,$Y22)</f>
        <v>0</v>
      </c>
      <c r="T22" s="704">
        <f t="shared" si="10"/>
        <v>0</v>
      </c>
      <c r="U22" s="814">
        <f>-SUMIFS(BV_Data_An_Prec!$AN:$AN,BV_Data_An_Prec!$AO:$AO,$Y22)-SUMIFS(BV_Data_An_Prec!$AN:$AN,BV_Data_An_Prec!$AO:$AO,$Z22)</f>
        <v>0</v>
      </c>
      <c r="V22" s="817">
        <f t="shared" si="11"/>
        <v>0</v>
      </c>
      <c r="W22" s="814">
        <f t="shared" si="12"/>
        <v>5838.45</v>
      </c>
      <c r="X22" s="809"/>
      <c r="Y22" s="700" t="s">
        <v>1163</v>
      </c>
      <c r="Z22" s="700" t="s">
        <v>1164</v>
      </c>
      <c r="AA22" s="700"/>
      <c r="AB22" s="700"/>
      <c r="AC22" s="700"/>
      <c r="AD22" s="700"/>
      <c r="AE22" s="700"/>
      <c r="AF22" s="700"/>
      <c r="AG22" s="700"/>
      <c r="AH22" s="700"/>
      <c r="AI22" s="700"/>
      <c r="AJ22" s="700"/>
      <c r="AK22" s="700"/>
      <c r="AL22" s="700"/>
      <c r="AM22" s="700"/>
      <c r="AN22" s="700"/>
      <c r="AO22" s="700"/>
      <c r="AP22" s="700"/>
      <c r="AQ22" s="700"/>
      <c r="AR22" s="700"/>
    </row>
    <row r="23" ht="15.75" customHeight="1">
      <c r="A23" s="700"/>
      <c r="B23" s="700"/>
      <c r="C23" s="559" t="s">
        <v>1165</v>
      </c>
      <c r="D23" s="809"/>
      <c r="E23" s="809"/>
      <c r="F23" s="812"/>
      <c r="G23" s="809"/>
      <c r="H23" s="811"/>
      <c r="I23" s="809"/>
      <c r="J23" s="809"/>
      <c r="K23" s="809"/>
      <c r="L23" s="811">
        <f>SUMIFS(BV_Data_An_Cour!$AX:$AX,BV_Data_An_Cour!$AO:$AO,$Y23)</f>
        <v>3</v>
      </c>
      <c r="M23" s="703">
        <f>-SUMIFS(BV_Data_An_Cour!$AN:$AN,BV_Data_An_Cour!$AO:$AO,$Y23)</f>
        <v>1598.72</v>
      </c>
      <c r="N23" s="704">
        <f t="shared" si="7"/>
        <v>0.6497447958</v>
      </c>
      <c r="O23" s="814">
        <f>-SUMIFS(BV_Data_An_Cour!$AN:$AN,BV_Data_An_Cour!$AO:$AO,$Y23)-SUMIFS(BV_Data_An_Cour!$AN:$AN,BV_Data_An_Cour!$AO:$AO,$Z23)</f>
        <v>1038.76</v>
      </c>
      <c r="P23" s="817">
        <f t="shared" si="8"/>
        <v>0</v>
      </c>
      <c r="Q23" s="814">
        <f t="shared" si="9"/>
        <v>1038.76</v>
      </c>
      <c r="R23" s="811">
        <f>SUMIFS(BV_Data_An_Prec!$AX:$AX,BV_Data_An_Prec!$AO:$AO,$Y23)</f>
        <v>2</v>
      </c>
      <c r="S23" s="703">
        <f>-SUMIFS(BV_Data_An_Prec!$AN:$AN,BV_Data_An_Prec!$AO:$AO,$Y23)</f>
        <v>540.8</v>
      </c>
      <c r="T23" s="704">
        <f t="shared" si="10"/>
        <v>0.5293823964</v>
      </c>
      <c r="U23" s="814">
        <f>-SUMIFS(BV_Data_An_Prec!$AN:$AN,BV_Data_An_Prec!$AO:$AO,$Y23)-SUMIFS(BV_Data_An_Prec!$AN:$AN,BV_Data_An_Prec!$AO:$AO,$Z23)</f>
        <v>286.29</v>
      </c>
      <c r="V23" s="817">
        <f t="shared" si="11"/>
        <v>1.5</v>
      </c>
      <c r="W23" s="814">
        <f t="shared" si="12"/>
        <v>752.47</v>
      </c>
      <c r="X23" s="809"/>
      <c r="Y23" s="700" t="s">
        <v>1166</v>
      </c>
      <c r="Z23" s="700" t="s">
        <v>1167</v>
      </c>
      <c r="AA23" s="700"/>
      <c r="AB23" s="700"/>
      <c r="AC23" s="700"/>
      <c r="AD23" s="700"/>
      <c r="AE23" s="700"/>
      <c r="AF23" s="700"/>
      <c r="AG23" s="700"/>
      <c r="AH23" s="700"/>
      <c r="AI23" s="700"/>
      <c r="AJ23" s="700"/>
      <c r="AK23" s="700"/>
      <c r="AL23" s="700"/>
      <c r="AM23" s="700"/>
      <c r="AN23" s="700"/>
      <c r="AO23" s="700"/>
      <c r="AP23" s="700"/>
      <c r="AQ23" s="700"/>
      <c r="AR23" s="700"/>
    </row>
    <row r="24" ht="15.75" customHeight="1">
      <c r="A24" s="700"/>
      <c r="B24" s="700"/>
      <c r="C24" s="560" t="s">
        <v>1141</v>
      </c>
      <c r="D24" s="818"/>
      <c r="E24" s="818"/>
      <c r="F24" s="819"/>
      <c r="G24" s="818"/>
      <c r="H24" s="820"/>
      <c r="I24" s="818"/>
      <c r="J24" s="818"/>
      <c r="K24" s="818"/>
      <c r="L24" s="820">
        <f>SUMIFS(BV_Data_An_Cour!$AX:$AX,BV_Data_An_Cour!$AO:$AO,$Y24)</f>
        <v>0</v>
      </c>
      <c r="M24" s="703">
        <f>-SUMIFS(BV_Data_An_Cour!$AN:$AN,BV_Data_An_Cour!$AO:$AO,$Y24)</f>
        <v>0</v>
      </c>
      <c r="N24" s="704">
        <f t="shared" si="7"/>
        <v>0</v>
      </c>
      <c r="O24" s="814">
        <f>-SUMIFS(BV_Data_An_Cour!$AN:$AN,BV_Data_An_Cour!$AO:$AO,$Y24)-SUMIFS(BV_Data_An_Cour!$AN:$AN,BV_Data_An_Cour!$AO:$AO,$Z24)</f>
        <v>0</v>
      </c>
      <c r="P24" s="821">
        <f t="shared" si="8"/>
        <v>0</v>
      </c>
      <c r="Q24" s="822">
        <f t="shared" si="9"/>
        <v>0</v>
      </c>
      <c r="R24" s="811">
        <f>SUMIFS(BV_Data_An_Prec!$AX:$AX,BV_Data_An_Prec!$AO:$AO,$Y24)</f>
        <v>0</v>
      </c>
      <c r="S24" s="703">
        <f>-SUMIFS(BV_Data_An_Prec!$AN:$AN,BV_Data_An_Prec!$AO:$AO,$Y24)</f>
        <v>0</v>
      </c>
      <c r="T24" s="704">
        <f t="shared" si="10"/>
        <v>0</v>
      </c>
      <c r="U24" s="814">
        <f>-SUMIFS(BV_Data_An_Prec!$AN:$AN,BV_Data_An_Prec!$AO:$AO,$Y24)-SUMIFS(BV_Data_An_Prec!$AN:$AN,BV_Data_An_Prec!$AO:$AO,$Z24)</f>
        <v>0</v>
      </c>
      <c r="V24" s="821">
        <f t="shared" si="11"/>
        <v>0</v>
      </c>
      <c r="W24" s="822">
        <f t="shared" si="12"/>
        <v>0</v>
      </c>
      <c r="X24" s="809"/>
      <c r="Y24" s="700" t="s">
        <v>1168</v>
      </c>
      <c r="Z24" s="700" t="s">
        <v>1169</v>
      </c>
      <c r="AA24" s="700"/>
      <c r="AB24" s="700"/>
      <c r="AC24" s="700"/>
      <c r="AD24" s="700"/>
      <c r="AE24" s="700"/>
      <c r="AF24" s="700"/>
      <c r="AG24" s="700"/>
      <c r="AH24" s="700"/>
      <c r="AI24" s="700"/>
      <c r="AJ24" s="700"/>
      <c r="AK24" s="700"/>
      <c r="AL24" s="700"/>
      <c r="AM24" s="700"/>
      <c r="AN24" s="700"/>
      <c r="AO24" s="700"/>
      <c r="AP24" s="700"/>
      <c r="AQ24" s="700"/>
      <c r="AR24" s="700"/>
    </row>
    <row r="25" ht="18.0" customHeight="1">
      <c r="A25" s="700"/>
      <c r="B25" s="700"/>
      <c r="C25" s="825" t="s">
        <v>952</v>
      </c>
      <c r="D25" s="826"/>
      <c r="E25" s="827">
        <f>SUM(E16:E22)</f>
        <v>0</v>
      </c>
      <c r="F25" s="828" t="str">
        <f>G25/E25</f>
        <v>#DIV/0!</v>
      </c>
      <c r="G25" s="827">
        <f>SUM(G16:G22)</f>
        <v>0</v>
      </c>
      <c r="H25" s="829"/>
      <c r="I25" s="827"/>
      <c r="J25" s="827"/>
      <c r="K25" s="827"/>
      <c r="L25" s="830"/>
      <c r="M25" s="827">
        <f>SUM(M16:M24)</f>
        <v>59103.04</v>
      </c>
      <c r="N25" s="828">
        <f t="shared" si="7"/>
        <v>0.4583948643</v>
      </c>
      <c r="O25" s="827">
        <f>SUM(O16:O24)</f>
        <v>27092.53</v>
      </c>
      <c r="P25" s="831">
        <f t="shared" si="8"/>
        <v>0</v>
      </c>
      <c r="Q25" s="832">
        <f t="shared" si="9"/>
        <v>27092.53</v>
      </c>
      <c r="R25" s="830"/>
      <c r="S25" s="827">
        <f>SUM(S16:S24)</f>
        <v>42171.16</v>
      </c>
      <c r="T25" s="828">
        <f t="shared" si="10"/>
        <v>0.7624314816</v>
      </c>
      <c r="U25" s="827">
        <f>SUM(U16:U24)</f>
        <v>32152.62</v>
      </c>
      <c r="V25" s="831">
        <f t="shared" si="11"/>
        <v>0</v>
      </c>
      <c r="W25" s="832">
        <f>SUM(W16:W24)</f>
        <v>-5060.09</v>
      </c>
      <c r="X25" s="809"/>
      <c r="Y25" s="700"/>
      <c r="Z25" s="700"/>
      <c r="AA25" s="700"/>
      <c r="AB25" s="700"/>
      <c r="AC25" s="700"/>
      <c r="AD25" s="700"/>
      <c r="AE25" s="700"/>
      <c r="AF25" s="700"/>
      <c r="AG25" s="700"/>
      <c r="AH25" s="700"/>
      <c r="AI25" s="700"/>
      <c r="AJ25" s="700"/>
      <c r="AK25" s="700"/>
      <c r="AL25" s="700"/>
      <c r="AM25" s="700"/>
      <c r="AN25" s="700"/>
      <c r="AO25" s="700"/>
      <c r="AP25" s="700"/>
      <c r="AQ25" s="700"/>
      <c r="AR25" s="700"/>
    </row>
    <row r="26" ht="15.75" customHeight="1">
      <c r="A26" s="700"/>
      <c r="B26" s="700" t="s">
        <v>174</v>
      </c>
      <c r="C26" s="559"/>
      <c r="D26" s="809"/>
      <c r="E26" s="708"/>
      <c r="F26" s="833"/>
      <c r="G26" s="710"/>
      <c r="H26" s="559"/>
      <c r="I26" s="708"/>
      <c r="J26" s="708"/>
      <c r="K26" s="710"/>
      <c r="L26" s="834"/>
      <c r="M26" s="703"/>
      <c r="N26" s="700"/>
      <c r="O26" s="814"/>
      <c r="P26" s="817"/>
      <c r="Q26" s="814"/>
      <c r="R26" s="834"/>
      <c r="S26" s="703"/>
      <c r="T26" s="700"/>
      <c r="U26" s="814"/>
      <c r="V26" s="834"/>
      <c r="W26" s="814"/>
      <c r="X26" s="809"/>
      <c r="Y26" s="700"/>
      <c r="Z26" s="700"/>
      <c r="AA26" s="700"/>
      <c r="AB26" s="700"/>
      <c r="AC26" s="700"/>
      <c r="AD26" s="700"/>
      <c r="AE26" s="700"/>
      <c r="AF26" s="700"/>
      <c r="AG26" s="700"/>
      <c r="AH26" s="700"/>
      <c r="AI26" s="700"/>
      <c r="AJ26" s="700"/>
      <c r="AK26" s="700"/>
      <c r="AL26" s="700"/>
      <c r="AM26" s="700"/>
      <c r="AN26" s="700"/>
      <c r="AO26" s="700"/>
      <c r="AP26" s="700"/>
      <c r="AQ26" s="700"/>
      <c r="AR26" s="700"/>
    </row>
    <row r="27" ht="15.75" customHeight="1">
      <c r="A27" s="700"/>
      <c r="B27" s="700" t="s">
        <v>174</v>
      </c>
      <c r="C27" s="559" t="s">
        <v>1170</v>
      </c>
      <c r="D27" s="809"/>
      <c r="E27" s="809"/>
      <c r="F27" s="812"/>
      <c r="G27" s="809"/>
      <c r="H27" s="811"/>
      <c r="I27" s="809"/>
      <c r="J27" s="809"/>
      <c r="K27" s="809"/>
      <c r="L27" s="811">
        <f>SUMIFS(BV_Data_An_Cour!$AX:$AX,BV_Data_An_Cour!$AO:$AO,$Y27)</f>
        <v>90</v>
      </c>
      <c r="M27" s="703">
        <f>-SUMIFS(BV_Data_An_Cour!$AN:$AN,BV_Data_An_Cour!$AO:$AO,$Y27)</f>
        <v>107421.62</v>
      </c>
      <c r="N27" s="704">
        <f t="shared" ref="N27:N35" si="13">IFERROR(O27/M27,0)</f>
        <v>0.727459705</v>
      </c>
      <c r="O27" s="814">
        <f>-SUMIFS(BV_Data_An_Cour!$AN:$AN,BV_Data_An_Cour!$AO:$AO,$Y27)-SUMIFS(BV_Data_An_Cour!$AN:$AN,BV_Data_An_Cour!$AO:$AO,$Z27)</f>
        <v>78144.9</v>
      </c>
      <c r="P27" s="817">
        <f t="shared" ref="P27:P36" si="14">IFERROR((M27-E27)/E27,0)</f>
        <v>0</v>
      </c>
      <c r="Q27" s="814">
        <f t="shared" ref="Q27:Q36" si="15">O27-G27</f>
        <v>78144.9</v>
      </c>
      <c r="R27" s="811">
        <f>SUMIFS(BV_Data_An_Prec!$AX:$AX,BV_Data_An_Prec!$AO:$AO,$Y27)</f>
        <v>0</v>
      </c>
      <c r="S27" s="703">
        <f>-SUMIFS(BV_Data_An_Prec!$AN:$AN,BV_Data_An_Prec!$AO:$AO,$Y27)</f>
        <v>0</v>
      </c>
      <c r="T27" s="704">
        <f t="shared" ref="T27:T35" si="16">IFERROR(U27/S27,0)</f>
        <v>0</v>
      </c>
      <c r="U27" s="814">
        <f>-SUMIFS(BV_Data_An_Prec!$AN:$AN,BV_Data_An_Prec!$AO:$AO,$Y27)-SUMIFS(BV_Data_An_Prec!$AN:$AN,BV_Data_An_Prec!$AO:$AO,$Z27)</f>
        <v>0</v>
      </c>
      <c r="V27" s="817">
        <f t="shared" ref="V27:V36" si="17">IF(R27=0,0,L27/R27)</f>
        <v>0</v>
      </c>
      <c r="W27" s="814">
        <f t="shared" ref="W27:W36" si="18">O27-U27</f>
        <v>78144.9</v>
      </c>
      <c r="X27" s="809"/>
      <c r="Y27" s="700" t="s">
        <v>1171</v>
      </c>
      <c r="Z27" s="700" t="s">
        <v>1172</v>
      </c>
      <c r="AA27" s="700"/>
      <c r="AB27" s="700"/>
      <c r="AC27" s="700"/>
      <c r="AD27" s="700"/>
      <c r="AE27" s="700"/>
      <c r="AF27" s="700"/>
      <c r="AG27" s="700"/>
      <c r="AH27" s="700"/>
      <c r="AI27" s="700"/>
      <c r="AJ27" s="700"/>
      <c r="AK27" s="700"/>
      <c r="AL27" s="700"/>
      <c r="AM27" s="700"/>
      <c r="AN27" s="700"/>
      <c r="AO27" s="700"/>
      <c r="AP27" s="700"/>
      <c r="AQ27" s="700"/>
      <c r="AR27" s="700"/>
    </row>
    <row r="28" ht="15.75" customHeight="1">
      <c r="A28" s="700"/>
      <c r="B28" s="700" t="s">
        <v>174</v>
      </c>
      <c r="C28" s="559" t="s">
        <v>1173</v>
      </c>
      <c r="D28" s="809"/>
      <c r="E28" s="809"/>
      <c r="F28" s="812"/>
      <c r="G28" s="809"/>
      <c r="H28" s="811"/>
      <c r="I28" s="809"/>
      <c r="J28" s="809"/>
      <c r="K28" s="809"/>
      <c r="L28" s="811">
        <f>SUMIFS(BV_Data_An_Cour!$AX:$AX,BV_Data_An_Cour!$AO:$AO,$Y28)</f>
        <v>80</v>
      </c>
      <c r="M28" s="703">
        <f>-SUMIFS(BV_Data_An_Cour!$AN:$AN,BV_Data_An_Cour!$AO:$AO,$Y28)</f>
        <v>47171.64</v>
      </c>
      <c r="N28" s="704">
        <f t="shared" si="13"/>
        <v>0.8136937787</v>
      </c>
      <c r="O28" s="814">
        <f>-SUMIFS(BV_Data_An_Cour!$AN:$AN,BV_Data_An_Cour!$AO:$AO,$Y28)-SUMIFS(BV_Data_An_Cour!$AN:$AN,BV_Data_An_Cour!$AO:$AO,$Z28)</f>
        <v>38383.27</v>
      </c>
      <c r="P28" s="817">
        <f t="shared" si="14"/>
        <v>0</v>
      </c>
      <c r="Q28" s="814">
        <f t="shared" si="15"/>
        <v>38383.27</v>
      </c>
      <c r="R28" s="811">
        <f>SUMIFS(BV_Data_An_Prec!$AX:$AX,BV_Data_An_Prec!$AO:$AO,$Y28)</f>
        <v>0</v>
      </c>
      <c r="S28" s="703">
        <f>-SUMIFS(BV_Data_An_Prec!$AN:$AN,BV_Data_An_Prec!$AO:$AO,$Y28)</f>
        <v>0</v>
      </c>
      <c r="T28" s="704">
        <f t="shared" si="16"/>
        <v>0</v>
      </c>
      <c r="U28" s="814">
        <f>-SUMIFS(BV_Data_An_Prec!$AN:$AN,BV_Data_An_Prec!$AO:$AO,$Y28)-SUMIFS(BV_Data_An_Prec!$AN:$AN,BV_Data_An_Prec!$AO:$AO,$Z28)</f>
        <v>0</v>
      </c>
      <c r="V28" s="817">
        <f t="shared" si="17"/>
        <v>0</v>
      </c>
      <c r="W28" s="814">
        <f t="shared" si="18"/>
        <v>38383.27</v>
      </c>
      <c r="X28" s="809"/>
      <c r="Y28" s="700" t="s">
        <v>1174</v>
      </c>
      <c r="Z28" s="700" t="s">
        <v>1175</v>
      </c>
      <c r="AA28" s="700"/>
      <c r="AB28" s="700"/>
      <c r="AC28" s="700"/>
      <c r="AD28" s="700"/>
      <c r="AE28" s="700"/>
      <c r="AF28" s="700"/>
      <c r="AG28" s="700"/>
      <c r="AH28" s="700"/>
      <c r="AI28" s="700"/>
      <c r="AJ28" s="700"/>
      <c r="AK28" s="700"/>
      <c r="AL28" s="700"/>
      <c r="AM28" s="700"/>
      <c r="AN28" s="700"/>
      <c r="AO28" s="700"/>
      <c r="AP28" s="700"/>
      <c r="AQ28" s="700"/>
      <c r="AR28" s="700"/>
    </row>
    <row r="29" ht="15.75" customHeight="1">
      <c r="A29" s="700"/>
      <c r="B29" s="700" t="s">
        <v>174</v>
      </c>
      <c r="C29" s="559" t="s">
        <v>1176</v>
      </c>
      <c r="D29" s="809"/>
      <c r="E29" s="809"/>
      <c r="F29" s="812"/>
      <c r="G29" s="809"/>
      <c r="H29" s="811"/>
      <c r="I29" s="809"/>
      <c r="J29" s="809"/>
      <c r="K29" s="809"/>
      <c r="L29" s="811">
        <f>SUMIFS(BV_Data_An_Cour!$AX:$AX,BV_Data_An_Cour!$AO:$AO,$Y29)</f>
        <v>1</v>
      </c>
      <c r="M29" s="703">
        <f>-SUMIFS(BV_Data_An_Cour!$AN:$AN,BV_Data_An_Cour!$AO:$AO,$Y29)</f>
        <v>386</v>
      </c>
      <c r="N29" s="704">
        <f t="shared" si="13"/>
        <v>0.9748445596</v>
      </c>
      <c r="O29" s="814">
        <f>-SUMIFS(BV_Data_An_Cour!$AN:$AN,BV_Data_An_Cour!$AO:$AO,$Y29)-SUMIFS(BV_Data_An_Cour!$AN:$AN,BV_Data_An_Cour!$AO:$AO,$Z29)</f>
        <v>376.29</v>
      </c>
      <c r="P29" s="817">
        <f t="shared" si="14"/>
        <v>0</v>
      </c>
      <c r="Q29" s="814">
        <f t="shared" si="15"/>
        <v>376.29</v>
      </c>
      <c r="R29" s="811">
        <f>SUMIFS(BV_Data_An_Prec!$AX:$AX,BV_Data_An_Prec!$AO:$AO,$Y29)</f>
        <v>0</v>
      </c>
      <c r="S29" s="703">
        <f>-SUMIFS(BV_Data_An_Prec!$AN:$AN,BV_Data_An_Prec!$AO:$AO,$Y29)</f>
        <v>0</v>
      </c>
      <c r="T29" s="704">
        <f t="shared" si="16"/>
        <v>0</v>
      </c>
      <c r="U29" s="814">
        <f>-SUMIFS(BV_Data_An_Prec!$AN:$AN,BV_Data_An_Prec!$AO:$AO,$Y29)-SUMIFS(BV_Data_An_Prec!$AN:$AN,BV_Data_An_Prec!$AO:$AO,$Z29)</f>
        <v>0</v>
      </c>
      <c r="V29" s="817">
        <f t="shared" si="17"/>
        <v>0</v>
      </c>
      <c r="W29" s="814">
        <f t="shared" si="18"/>
        <v>376.29</v>
      </c>
      <c r="X29" s="809"/>
      <c r="Y29" s="700" t="s">
        <v>1177</v>
      </c>
      <c r="Z29" s="700" t="s">
        <v>1178</v>
      </c>
      <c r="AA29" s="700"/>
      <c r="AB29" s="700"/>
      <c r="AC29" s="700"/>
      <c r="AD29" s="700"/>
      <c r="AE29" s="700"/>
      <c r="AF29" s="700"/>
      <c r="AG29" s="700"/>
      <c r="AH29" s="700"/>
      <c r="AI29" s="700"/>
      <c r="AJ29" s="700"/>
      <c r="AK29" s="700"/>
      <c r="AL29" s="700"/>
      <c r="AM29" s="700"/>
      <c r="AN29" s="700"/>
      <c r="AO29" s="700"/>
      <c r="AP29" s="700"/>
      <c r="AQ29" s="700"/>
      <c r="AR29" s="700"/>
    </row>
    <row r="30" ht="15.75" customHeight="1">
      <c r="A30" s="700"/>
      <c r="B30" s="700" t="s">
        <v>174</v>
      </c>
      <c r="C30" s="559" t="s">
        <v>1179</v>
      </c>
      <c r="D30" s="809"/>
      <c r="E30" s="809"/>
      <c r="F30" s="812"/>
      <c r="G30" s="809"/>
      <c r="H30" s="811"/>
      <c r="I30" s="809"/>
      <c r="J30" s="809"/>
      <c r="K30" s="809"/>
      <c r="L30" s="811">
        <f>SUMIFS(BV_Data_An_Cour!$AX:$AX,BV_Data_An_Cour!$AO:$AO,$Y30)</f>
        <v>0</v>
      </c>
      <c r="M30" s="703">
        <f>-SUMIFS(BV_Data_An_Cour!$AN:$AN,BV_Data_An_Cour!$AO:$AO,$Y30)</f>
        <v>0</v>
      </c>
      <c r="N30" s="704">
        <f t="shared" si="13"/>
        <v>0</v>
      </c>
      <c r="O30" s="814">
        <f>-SUMIFS(BV_Data_An_Cour!$AN:$AN,BV_Data_An_Cour!$AO:$AO,$Y30)-SUMIFS(BV_Data_An_Cour!$AN:$AN,BV_Data_An_Cour!$AO:$AO,$Z30)</f>
        <v>0</v>
      </c>
      <c r="P30" s="817">
        <f t="shared" si="14"/>
        <v>0</v>
      </c>
      <c r="Q30" s="814">
        <f t="shared" si="15"/>
        <v>0</v>
      </c>
      <c r="R30" s="811">
        <f>SUMIFS(BV_Data_An_Prec!$AX:$AX,BV_Data_An_Prec!$AO:$AO,$Y30)</f>
        <v>0</v>
      </c>
      <c r="S30" s="703">
        <f>-SUMIFS(BV_Data_An_Prec!$AN:$AN,BV_Data_An_Prec!$AO:$AO,$Y30)</f>
        <v>0</v>
      </c>
      <c r="T30" s="704">
        <f t="shared" si="16"/>
        <v>0</v>
      </c>
      <c r="U30" s="814">
        <f>-SUMIFS(BV_Data_An_Prec!$AN:$AN,BV_Data_An_Prec!$AO:$AO,$Y30)-SUMIFS(BV_Data_An_Prec!$AN:$AN,BV_Data_An_Prec!$AO:$AO,$Z30)</f>
        <v>0</v>
      </c>
      <c r="V30" s="817">
        <f t="shared" si="17"/>
        <v>0</v>
      </c>
      <c r="W30" s="814">
        <f t="shared" si="18"/>
        <v>0</v>
      </c>
      <c r="X30" s="809"/>
      <c r="Y30" s="700" t="s">
        <v>1180</v>
      </c>
      <c r="Z30" s="700" t="s">
        <v>1181</v>
      </c>
      <c r="AA30" s="700"/>
      <c r="AB30" s="700"/>
      <c r="AC30" s="700"/>
      <c r="AD30" s="700"/>
      <c r="AE30" s="700"/>
      <c r="AF30" s="700"/>
      <c r="AG30" s="700"/>
      <c r="AH30" s="700"/>
      <c r="AI30" s="700"/>
      <c r="AJ30" s="700"/>
      <c r="AK30" s="700"/>
      <c r="AL30" s="700"/>
      <c r="AM30" s="700"/>
      <c r="AN30" s="700"/>
      <c r="AO30" s="700"/>
      <c r="AP30" s="700"/>
      <c r="AQ30" s="700"/>
      <c r="AR30" s="700"/>
    </row>
    <row r="31" ht="15.75" customHeight="1">
      <c r="A31" s="700"/>
      <c r="B31" s="700" t="s">
        <v>174</v>
      </c>
      <c r="C31" s="559" t="s">
        <v>1182</v>
      </c>
      <c r="D31" s="809"/>
      <c r="E31" s="809"/>
      <c r="F31" s="812"/>
      <c r="G31" s="809"/>
      <c r="H31" s="811"/>
      <c r="I31" s="809"/>
      <c r="J31" s="809"/>
      <c r="K31" s="809"/>
      <c r="L31" s="811">
        <f>SUMIFS(BV_Data_An_Cour!$AX:$AX,BV_Data_An_Cour!$AO:$AO,$Y31)</f>
        <v>88</v>
      </c>
      <c r="M31" s="703">
        <f>-SUMIFS(BV_Data_An_Cour!$AN:$AN,BV_Data_An_Cour!$AO:$AO,$Y31)</f>
        <v>36382.33</v>
      </c>
      <c r="N31" s="704">
        <f t="shared" si="13"/>
        <v>0.3388752177</v>
      </c>
      <c r="O31" s="814">
        <f>-SUMIFS(BV_Data_An_Cour!$AN:$AN,BV_Data_An_Cour!$AO:$AO,$Y31)-SUMIFS(BV_Data_An_Cour!$AN:$AN,BV_Data_An_Cour!$AO:$AO,$Z31)</f>
        <v>12329.07</v>
      </c>
      <c r="P31" s="817">
        <f t="shared" si="14"/>
        <v>0</v>
      </c>
      <c r="Q31" s="814">
        <f t="shared" si="15"/>
        <v>12329.07</v>
      </c>
      <c r="R31" s="811">
        <f>SUMIFS(BV_Data_An_Prec!$AX:$AX,BV_Data_An_Prec!$AO:$AO,$Y31)</f>
        <v>0</v>
      </c>
      <c r="S31" s="703">
        <f>-SUMIFS(BV_Data_An_Prec!$AN:$AN,BV_Data_An_Prec!$AO:$AO,$Y31)</f>
        <v>0</v>
      </c>
      <c r="T31" s="704">
        <f t="shared" si="16"/>
        <v>0</v>
      </c>
      <c r="U31" s="814">
        <f>-SUMIFS(BV_Data_An_Prec!$AN:$AN,BV_Data_An_Prec!$AO:$AO,$Y31)-SUMIFS(BV_Data_An_Prec!$AN:$AN,BV_Data_An_Prec!$AO:$AO,$Z31)</f>
        <v>0</v>
      </c>
      <c r="V31" s="817">
        <f t="shared" si="17"/>
        <v>0</v>
      </c>
      <c r="W31" s="814">
        <f t="shared" si="18"/>
        <v>12329.07</v>
      </c>
      <c r="X31" s="809"/>
      <c r="Y31" s="700" t="s">
        <v>1183</v>
      </c>
      <c r="Z31" s="700" t="s">
        <v>1184</v>
      </c>
      <c r="AA31" s="700"/>
      <c r="AB31" s="700"/>
      <c r="AC31" s="700"/>
      <c r="AD31" s="700"/>
      <c r="AE31" s="700"/>
      <c r="AF31" s="700"/>
      <c r="AG31" s="700"/>
      <c r="AH31" s="700"/>
      <c r="AI31" s="700"/>
      <c r="AJ31" s="700"/>
      <c r="AK31" s="700"/>
      <c r="AL31" s="700"/>
      <c r="AM31" s="700"/>
      <c r="AN31" s="700"/>
      <c r="AO31" s="700"/>
      <c r="AP31" s="700"/>
      <c r="AQ31" s="700"/>
      <c r="AR31" s="700"/>
    </row>
    <row r="32" ht="15.75" customHeight="1">
      <c r="A32" s="700"/>
      <c r="B32" s="700" t="s">
        <v>174</v>
      </c>
      <c r="C32" s="559" t="s">
        <v>1185</v>
      </c>
      <c r="D32" s="809"/>
      <c r="E32" s="809"/>
      <c r="F32" s="812"/>
      <c r="G32" s="809"/>
      <c r="H32" s="811"/>
      <c r="I32" s="809"/>
      <c r="J32" s="809"/>
      <c r="K32" s="809"/>
      <c r="L32" s="811">
        <f>SUMIFS(BV_Data_An_Cour!$AX:$AX,BV_Data_An_Cour!$AO:$AO,$Y32)</f>
        <v>76</v>
      </c>
      <c r="M32" s="703">
        <f>-SUMIFS(BV_Data_An_Cour!$AN:$AN,BV_Data_An_Cour!$AO:$AO,$Y32)</f>
        <v>12284.28</v>
      </c>
      <c r="N32" s="704">
        <f t="shared" si="13"/>
        <v>0.2301681499</v>
      </c>
      <c r="O32" s="814">
        <f>-SUMIFS(BV_Data_An_Cour!$AN:$AN,BV_Data_An_Cour!$AO:$AO,$Y32)-SUMIFS(BV_Data_An_Cour!$AN:$AN,BV_Data_An_Cour!$AO:$AO,$Z32)</f>
        <v>2827.45</v>
      </c>
      <c r="P32" s="817">
        <f t="shared" si="14"/>
        <v>0</v>
      </c>
      <c r="Q32" s="814">
        <f t="shared" si="15"/>
        <v>2827.45</v>
      </c>
      <c r="R32" s="811">
        <f>SUMIFS(BV_Data_An_Prec!$AX:$AX,BV_Data_An_Prec!$AO:$AO,$Y32)</f>
        <v>0</v>
      </c>
      <c r="S32" s="703">
        <f>-SUMIFS(BV_Data_An_Prec!$AN:$AN,BV_Data_An_Prec!$AO:$AO,$Y32)</f>
        <v>0</v>
      </c>
      <c r="T32" s="704">
        <f t="shared" si="16"/>
        <v>0</v>
      </c>
      <c r="U32" s="814">
        <f>-SUMIFS(BV_Data_An_Prec!$AN:$AN,BV_Data_An_Prec!$AO:$AO,$Y32)-SUMIFS(BV_Data_An_Prec!$AN:$AN,BV_Data_An_Prec!$AO:$AO,$Z32)</f>
        <v>0</v>
      </c>
      <c r="V32" s="817">
        <f t="shared" si="17"/>
        <v>0</v>
      </c>
      <c r="W32" s="814">
        <f t="shared" si="18"/>
        <v>2827.45</v>
      </c>
      <c r="X32" s="809"/>
      <c r="Y32" s="700" t="s">
        <v>1186</v>
      </c>
      <c r="Z32" s="700" t="s">
        <v>1187</v>
      </c>
      <c r="AA32" s="700"/>
      <c r="AB32" s="700"/>
      <c r="AC32" s="700"/>
      <c r="AD32" s="700"/>
      <c r="AE32" s="700"/>
      <c r="AF32" s="700"/>
      <c r="AG32" s="700"/>
      <c r="AH32" s="700"/>
      <c r="AI32" s="700"/>
      <c r="AJ32" s="700"/>
      <c r="AK32" s="700"/>
      <c r="AL32" s="700"/>
      <c r="AM32" s="700"/>
      <c r="AN32" s="700"/>
      <c r="AO32" s="700"/>
      <c r="AP32" s="700"/>
      <c r="AQ32" s="700"/>
      <c r="AR32" s="700"/>
    </row>
    <row r="33" ht="15.75" customHeight="1">
      <c r="A33" s="700"/>
      <c r="B33" s="700" t="s">
        <v>174</v>
      </c>
      <c r="C33" s="559" t="s">
        <v>1188</v>
      </c>
      <c r="D33" s="809"/>
      <c r="E33" s="809"/>
      <c r="F33" s="812"/>
      <c r="G33" s="809"/>
      <c r="H33" s="811"/>
      <c r="I33" s="809"/>
      <c r="J33" s="809"/>
      <c r="K33" s="809"/>
      <c r="L33" s="811">
        <f>SUMIFS(BV_Data_An_Cour!$AX:$AX,BV_Data_An_Cour!$AO:$AO,$Y33)</f>
        <v>10</v>
      </c>
      <c r="M33" s="703">
        <f>-SUMIFS(BV_Data_An_Cour!$AN:$AN,BV_Data_An_Cour!$AO:$AO,$Y33)</f>
        <v>9005.7</v>
      </c>
      <c r="N33" s="704">
        <f t="shared" si="13"/>
        <v>0.2213720199</v>
      </c>
      <c r="O33" s="814">
        <f>-SUMIFS(BV_Data_An_Cour!$AN:$AN,BV_Data_An_Cour!$AO:$AO,$Y33)-SUMIFS(BV_Data_An_Cour!$AN:$AN,BV_Data_An_Cour!$AO:$AO,$Z33)</f>
        <v>1993.61</v>
      </c>
      <c r="P33" s="817">
        <f t="shared" si="14"/>
        <v>0</v>
      </c>
      <c r="Q33" s="814">
        <f t="shared" si="15"/>
        <v>1993.61</v>
      </c>
      <c r="R33" s="811">
        <f>SUMIFS(BV_Data_An_Prec!$AX:$AX,BV_Data_An_Prec!$AO:$AO,$Y33)</f>
        <v>0</v>
      </c>
      <c r="S33" s="703">
        <f>-SUMIFS(BV_Data_An_Prec!$AN:$AN,BV_Data_An_Prec!$AO:$AO,$Y33)</f>
        <v>0</v>
      </c>
      <c r="T33" s="704">
        <f t="shared" si="16"/>
        <v>0</v>
      </c>
      <c r="U33" s="814">
        <f>-SUMIFS(BV_Data_An_Prec!$AN:$AN,BV_Data_An_Prec!$AO:$AO,$Y33)-SUMIFS(BV_Data_An_Prec!$AN:$AN,BV_Data_An_Prec!$AO:$AO,$Z33)</f>
        <v>0</v>
      </c>
      <c r="V33" s="817">
        <f t="shared" si="17"/>
        <v>0</v>
      </c>
      <c r="W33" s="814">
        <f t="shared" si="18"/>
        <v>1993.61</v>
      </c>
      <c r="X33" s="809"/>
      <c r="Y33" s="700" t="s">
        <v>1189</v>
      </c>
      <c r="Z33" s="700" t="s">
        <v>1190</v>
      </c>
      <c r="AA33" s="700"/>
      <c r="AB33" s="700"/>
      <c r="AC33" s="700"/>
      <c r="AD33" s="700"/>
      <c r="AE33" s="700"/>
      <c r="AF33" s="700"/>
      <c r="AG33" s="700"/>
      <c r="AH33" s="700"/>
      <c r="AI33" s="700"/>
      <c r="AJ33" s="700"/>
      <c r="AK33" s="700"/>
      <c r="AL33" s="700"/>
      <c r="AM33" s="700"/>
      <c r="AN33" s="700"/>
      <c r="AO33" s="700"/>
      <c r="AP33" s="700"/>
      <c r="AQ33" s="700"/>
      <c r="AR33" s="700"/>
    </row>
    <row r="34" ht="15.75" customHeight="1">
      <c r="A34" s="700"/>
      <c r="B34" s="700" t="s">
        <v>174</v>
      </c>
      <c r="C34" s="559" t="s">
        <v>1141</v>
      </c>
      <c r="D34" s="809"/>
      <c r="E34" s="809"/>
      <c r="F34" s="812"/>
      <c r="G34" s="809"/>
      <c r="H34" s="811"/>
      <c r="I34" s="809"/>
      <c r="J34" s="809"/>
      <c r="K34" s="809"/>
      <c r="L34" s="811">
        <f>SUMIFS(BV_Data_An_Cour!$AX:$AX,BV_Data_An_Cour!$AO:$AO,$Y34)</f>
        <v>0</v>
      </c>
      <c r="M34" s="703">
        <f>-SUMIFS(BV_Data_An_Cour!$AN:$AN,BV_Data_An_Cour!$AO:$AO,$Y34)</f>
        <v>0</v>
      </c>
      <c r="N34" s="704">
        <f t="shared" si="13"/>
        <v>0</v>
      </c>
      <c r="O34" s="814">
        <f>-SUMIFS(BV_Data_An_Cour!$AN:$AN,BV_Data_An_Cour!$AO:$AO,$Y34)-SUMIFS(BV_Data_An_Cour!$AN:$AN,BV_Data_An_Cour!$AO:$AO,$Z34)</f>
        <v>0</v>
      </c>
      <c r="P34" s="817">
        <f t="shared" si="14"/>
        <v>0</v>
      </c>
      <c r="Q34" s="814">
        <f t="shared" si="15"/>
        <v>0</v>
      </c>
      <c r="R34" s="811">
        <f>SUMIFS(BV_Data_An_Prec!$AX:$AX,BV_Data_An_Prec!$AO:$AO,$Y34)</f>
        <v>0</v>
      </c>
      <c r="S34" s="703">
        <f>-SUMIFS(BV_Data_An_Prec!$AN:$AN,BV_Data_An_Prec!$AO:$AO,$Y34)</f>
        <v>0</v>
      </c>
      <c r="T34" s="704">
        <f t="shared" si="16"/>
        <v>0</v>
      </c>
      <c r="U34" s="814">
        <f>-SUMIFS(BV_Data_An_Prec!$AN:$AN,BV_Data_An_Prec!$AO:$AO,$Y34)-SUMIFS(BV_Data_An_Prec!$AN:$AN,BV_Data_An_Prec!$AO:$AO,$Z34)</f>
        <v>0</v>
      </c>
      <c r="V34" s="817">
        <f t="shared" si="17"/>
        <v>0</v>
      </c>
      <c r="W34" s="814">
        <f t="shared" si="18"/>
        <v>0</v>
      </c>
      <c r="X34" s="809"/>
      <c r="Y34" s="700" t="s">
        <v>1191</v>
      </c>
      <c r="Z34" s="700" t="s">
        <v>1192</v>
      </c>
      <c r="AA34" s="700"/>
      <c r="AB34" s="700"/>
      <c r="AC34" s="700"/>
      <c r="AD34" s="700"/>
      <c r="AE34" s="700"/>
      <c r="AF34" s="700"/>
      <c r="AG34" s="700"/>
      <c r="AH34" s="700"/>
      <c r="AI34" s="700"/>
      <c r="AJ34" s="700"/>
      <c r="AK34" s="700"/>
      <c r="AL34" s="700"/>
      <c r="AM34" s="700"/>
      <c r="AN34" s="700"/>
      <c r="AO34" s="700"/>
      <c r="AP34" s="700"/>
      <c r="AQ34" s="700"/>
      <c r="AR34" s="700"/>
    </row>
    <row r="35" ht="15.75" customHeight="1">
      <c r="A35" s="700"/>
      <c r="B35" s="700" t="s">
        <v>174</v>
      </c>
      <c r="C35" s="560" t="s">
        <v>1193</v>
      </c>
      <c r="D35" s="818"/>
      <c r="E35" s="818"/>
      <c r="F35" s="819"/>
      <c r="G35" s="818"/>
      <c r="H35" s="820"/>
      <c r="I35" s="818"/>
      <c r="J35" s="818"/>
      <c r="K35" s="818"/>
      <c r="L35" s="820">
        <f>SUMIFS(BV_Data_An_Cour!$AX:$AX,BV_Data_An_Cour!$AO:$AO,$Y35)</f>
        <v>-4</v>
      </c>
      <c r="M35" s="703">
        <f>-SUMIFS(BV_Data_An_Cour!$AN:$AN,BV_Data_An_Cour!$AO:$AO,$Y35)</f>
        <v>-15846.2</v>
      </c>
      <c r="N35" s="704">
        <f t="shared" si="13"/>
        <v>1</v>
      </c>
      <c r="O35" s="814">
        <f>-SUMIFS(BV_Data_An_Cour!$AN:$AN,BV_Data_An_Cour!$AO:$AO,$Y35)-SUMIFS(BV_Data_An_Cour!$AN:$AN,BV_Data_An_Cour!$AO:$AO,$Z35)</f>
        <v>-15846.2</v>
      </c>
      <c r="P35" s="821">
        <f t="shared" si="14"/>
        <v>0</v>
      </c>
      <c r="Q35" s="822">
        <f t="shared" si="15"/>
        <v>-15846.2</v>
      </c>
      <c r="R35" s="811">
        <f>SUMIFS(BV_Data_An_Prec!$AX:$AX,BV_Data_An_Prec!$AO:$AO,$Y35)</f>
        <v>0</v>
      </c>
      <c r="S35" s="703">
        <f>-SUMIFS(BV_Data_An_Prec!$AN:$AN,BV_Data_An_Prec!$AO:$AO,$Y35)</f>
        <v>0</v>
      </c>
      <c r="T35" s="704">
        <f t="shared" si="16"/>
        <v>0</v>
      </c>
      <c r="U35" s="814">
        <f>-SUMIFS(BV_Data_An_Prec!$AN:$AN,BV_Data_An_Prec!$AO:$AO,$Y35)-SUMIFS(BV_Data_An_Prec!$AN:$AN,BV_Data_An_Prec!$AO:$AO,$Z35)</f>
        <v>0</v>
      </c>
      <c r="V35" s="821">
        <f t="shared" si="17"/>
        <v>0</v>
      </c>
      <c r="W35" s="822">
        <f t="shared" si="18"/>
        <v>-15846.2</v>
      </c>
      <c r="X35" s="809"/>
      <c r="Y35" s="700" t="s">
        <v>1194</v>
      </c>
      <c r="Z35" s="700" t="s">
        <v>1195</v>
      </c>
      <c r="AA35" s="700"/>
      <c r="AB35" s="700"/>
      <c r="AC35" s="700"/>
      <c r="AD35" s="700"/>
      <c r="AE35" s="700"/>
      <c r="AF35" s="700"/>
      <c r="AG35" s="700"/>
      <c r="AH35" s="700"/>
      <c r="AI35" s="700"/>
      <c r="AJ35" s="700"/>
      <c r="AK35" s="700"/>
      <c r="AL35" s="700"/>
      <c r="AM35" s="700"/>
      <c r="AN35" s="700"/>
      <c r="AO35" s="700"/>
      <c r="AP35" s="700"/>
      <c r="AQ35" s="700"/>
      <c r="AR35" s="700"/>
    </row>
    <row r="36" ht="18.0" customHeight="1">
      <c r="A36" s="700"/>
      <c r="B36" s="700" t="s">
        <v>174</v>
      </c>
      <c r="C36" s="825" t="s">
        <v>954</v>
      </c>
      <c r="D36" s="826"/>
      <c r="E36" s="827">
        <f>SUM(E27:E35)</f>
        <v>0</v>
      </c>
      <c r="F36" s="828" t="str">
        <f>G36/E36</f>
        <v>#DIV/0!</v>
      </c>
      <c r="G36" s="827">
        <f>SUM(G27:G35)</f>
        <v>0</v>
      </c>
      <c r="H36" s="829"/>
      <c r="I36" s="827"/>
      <c r="J36" s="827"/>
      <c r="K36" s="827"/>
      <c r="L36" s="830"/>
      <c r="M36" s="827">
        <f>SUM(M27:M35)</f>
        <v>196805.37</v>
      </c>
      <c r="N36" s="828">
        <f>O36/M36</f>
        <v>0.6006359989</v>
      </c>
      <c r="O36" s="827">
        <f>SUM(O27:O35)</f>
        <v>118208.39</v>
      </c>
      <c r="P36" s="831">
        <f t="shared" si="14"/>
        <v>0</v>
      </c>
      <c r="Q36" s="832">
        <f t="shared" si="15"/>
        <v>118208.39</v>
      </c>
      <c r="R36" s="830"/>
      <c r="S36" s="827">
        <f>SUM(S27:S35)</f>
        <v>0</v>
      </c>
      <c r="T36" s="828" t="str">
        <f>U36/S36</f>
        <v>#DIV/0!</v>
      </c>
      <c r="U36" s="827">
        <f>SUM(U27:U35)</f>
        <v>0</v>
      </c>
      <c r="V36" s="831">
        <f t="shared" si="17"/>
        <v>0</v>
      </c>
      <c r="W36" s="832">
        <f t="shared" si="18"/>
        <v>118208.39</v>
      </c>
      <c r="X36" s="809"/>
      <c r="Y36" s="700"/>
      <c r="Z36" s="700"/>
      <c r="AA36" s="700"/>
      <c r="AB36" s="700"/>
      <c r="AC36" s="700"/>
      <c r="AD36" s="700"/>
      <c r="AE36" s="700"/>
      <c r="AF36" s="700"/>
      <c r="AG36" s="700"/>
      <c r="AH36" s="700"/>
      <c r="AI36" s="700"/>
      <c r="AJ36" s="700"/>
      <c r="AK36" s="700"/>
      <c r="AL36" s="700"/>
      <c r="AM36" s="700"/>
      <c r="AN36" s="700"/>
      <c r="AO36" s="700"/>
      <c r="AP36" s="700"/>
      <c r="AQ36" s="700"/>
      <c r="AR36" s="700"/>
    </row>
    <row r="37" ht="15.75" customHeight="1">
      <c r="A37" s="700"/>
      <c r="B37" s="700" t="s">
        <v>174</v>
      </c>
      <c r="C37" s="559"/>
      <c r="D37" s="700"/>
      <c r="E37" s="700"/>
      <c r="F37" s="833"/>
      <c r="G37" s="710"/>
      <c r="H37" s="559"/>
      <c r="I37" s="700"/>
      <c r="J37" s="700"/>
      <c r="K37" s="710"/>
      <c r="L37" s="559"/>
      <c r="M37" s="703"/>
      <c r="N37" s="700"/>
      <c r="O37" s="814"/>
      <c r="P37" s="593"/>
      <c r="Q37" s="594"/>
      <c r="R37" s="559"/>
      <c r="S37" s="703"/>
      <c r="T37" s="700"/>
      <c r="U37" s="814"/>
      <c r="V37" s="593"/>
      <c r="W37" s="835"/>
      <c r="X37" s="704"/>
      <c r="Y37" s="700"/>
      <c r="Z37" s="700"/>
      <c r="AA37" s="700"/>
      <c r="AB37" s="700"/>
      <c r="AC37" s="700"/>
      <c r="AD37" s="700"/>
      <c r="AE37" s="700"/>
      <c r="AF37" s="700"/>
      <c r="AG37" s="700"/>
      <c r="AH37" s="700"/>
      <c r="AI37" s="700"/>
      <c r="AJ37" s="700"/>
      <c r="AK37" s="700"/>
      <c r="AL37" s="700"/>
      <c r="AM37" s="700"/>
      <c r="AN37" s="700"/>
      <c r="AO37" s="700"/>
      <c r="AP37" s="700"/>
      <c r="AQ37" s="700"/>
      <c r="AR37" s="700"/>
    </row>
    <row r="38" ht="18.0" customHeight="1">
      <c r="A38" s="700"/>
      <c r="B38" s="700" t="s">
        <v>174</v>
      </c>
      <c r="C38" s="559" t="s">
        <v>955</v>
      </c>
      <c r="D38" s="700"/>
      <c r="E38" s="700"/>
      <c r="F38" s="833"/>
      <c r="G38" s="710"/>
      <c r="H38" s="559"/>
      <c r="I38" s="700"/>
      <c r="J38" s="700"/>
      <c r="K38" s="710"/>
      <c r="L38" s="559"/>
      <c r="M38" s="703"/>
      <c r="N38" s="700"/>
      <c r="O38" s="814">
        <f>-SUMIFS(BV_Data_An_Cour!$AN:$AN,BV_Data_An_Cour!$AO:$AO,$Y38)-SUMIFS(BV_Data_An_Cour!$AN:$AN,BV_Data_An_Cour!$AO:$AO,$Z38)</f>
        <v>-17178.51</v>
      </c>
      <c r="P38" s="593"/>
      <c r="Q38" s="594"/>
      <c r="R38" s="559"/>
      <c r="S38" s="703"/>
      <c r="T38" s="700"/>
      <c r="U38" s="814">
        <f>-SUMIFS(BV_Data_An_Prec!$AN:$AN,BV_Data_An_Prec!$AO:$AO,$Y38)-SUMIFS(BV_Data_An_Prec!$AN:$AN,BV_Data_An_Prec!$AO:$AO,$Z38)</f>
        <v>7326.93</v>
      </c>
      <c r="V38" s="593"/>
      <c r="W38" s="835">
        <f>O38-U38</f>
        <v>-24505.44</v>
      </c>
      <c r="X38" s="704"/>
      <c r="Y38" s="700"/>
      <c r="Z38" s="700" t="s">
        <v>1196</v>
      </c>
      <c r="AA38" s="700"/>
      <c r="AB38" s="700"/>
      <c r="AC38" s="700"/>
      <c r="AD38" s="700"/>
      <c r="AE38" s="700"/>
      <c r="AF38" s="700"/>
      <c r="AG38" s="700"/>
      <c r="AH38" s="700"/>
      <c r="AI38" s="700"/>
      <c r="AJ38" s="700"/>
      <c r="AK38" s="700"/>
      <c r="AL38" s="700"/>
      <c r="AM38" s="700"/>
      <c r="AN38" s="700"/>
      <c r="AO38" s="700"/>
      <c r="AP38" s="700"/>
      <c r="AQ38" s="700"/>
      <c r="AR38" s="700"/>
    </row>
    <row r="39" ht="15.75" customHeight="1">
      <c r="A39" s="700"/>
      <c r="B39" s="700" t="s">
        <v>174</v>
      </c>
      <c r="C39" s="559"/>
      <c r="D39" s="700"/>
      <c r="E39" s="700"/>
      <c r="F39" s="833"/>
      <c r="G39" s="710"/>
      <c r="H39" s="559"/>
      <c r="I39" s="700"/>
      <c r="J39" s="700"/>
      <c r="K39" s="710"/>
      <c r="L39" s="559"/>
      <c r="M39" s="703"/>
      <c r="N39" s="700"/>
      <c r="O39" s="814"/>
      <c r="P39" s="593"/>
      <c r="Q39" s="594"/>
      <c r="R39" s="559"/>
      <c r="S39" s="703"/>
      <c r="T39" s="700"/>
      <c r="U39" s="814"/>
      <c r="V39" s="593"/>
      <c r="W39" s="835"/>
      <c r="X39" s="704"/>
      <c r="Y39" s="700"/>
      <c r="Z39" s="700"/>
      <c r="AA39" s="700"/>
      <c r="AB39" s="700"/>
      <c r="AC39" s="700"/>
      <c r="AD39" s="700"/>
      <c r="AE39" s="700"/>
      <c r="AF39" s="700"/>
      <c r="AG39" s="700"/>
      <c r="AH39" s="700"/>
      <c r="AI39" s="700"/>
      <c r="AJ39" s="700"/>
      <c r="AK39" s="700"/>
      <c r="AL39" s="700"/>
      <c r="AM39" s="700"/>
      <c r="AN39" s="700"/>
      <c r="AO39" s="700"/>
      <c r="AP39" s="700"/>
      <c r="AQ39" s="700"/>
      <c r="AR39" s="700"/>
    </row>
    <row r="40" ht="15.75" customHeight="1">
      <c r="A40" s="700"/>
      <c r="B40" s="700" t="s">
        <v>174</v>
      </c>
      <c r="C40" s="836" t="s">
        <v>957</v>
      </c>
      <c r="D40" s="837"/>
      <c r="E40" s="837">
        <f>E25+E36+E14</f>
        <v>0</v>
      </c>
      <c r="F40" s="838" t="str">
        <f>G40/E40</f>
        <v>#DIV/0!</v>
      </c>
      <c r="G40" s="839">
        <f>G25+G36+G14</f>
        <v>0</v>
      </c>
      <c r="H40" s="840"/>
      <c r="I40" s="837"/>
      <c r="J40" s="837"/>
      <c r="K40" s="839"/>
      <c r="L40" s="840"/>
      <c r="M40" s="837">
        <f>M25+M36+M14</f>
        <v>1477470.3</v>
      </c>
      <c r="N40" s="838">
        <f>O40/M40</f>
        <v>0.4324240697</v>
      </c>
      <c r="O40" s="839">
        <f>O25+O36+O14+O38</f>
        <v>638893.72</v>
      </c>
      <c r="P40" s="841">
        <f>O41-G41</f>
        <v>0.4324240697</v>
      </c>
      <c r="Q40" s="839">
        <f>O40-G40</f>
        <v>638893.72</v>
      </c>
      <c r="R40" s="840"/>
      <c r="S40" s="837">
        <f>S25+S36+S14</f>
        <v>1413113.51</v>
      </c>
      <c r="T40" s="838">
        <f>U40/S40</f>
        <v>0.4200534959</v>
      </c>
      <c r="U40" s="839">
        <f>U25+U36+U14+U38</f>
        <v>593583.27</v>
      </c>
      <c r="V40" s="842">
        <f>O41-U41</f>
        <v>0.01237057379</v>
      </c>
      <c r="W40" s="839">
        <f>O40-U40</f>
        <v>45310.45</v>
      </c>
      <c r="X40" s="704"/>
      <c r="Y40" s="700"/>
      <c r="Z40" s="700"/>
      <c r="AA40" s="700"/>
      <c r="AB40" s="700"/>
      <c r="AC40" s="700"/>
      <c r="AD40" s="700"/>
      <c r="AE40" s="700"/>
      <c r="AF40" s="700"/>
      <c r="AG40" s="700"/>
      <c r="AH40" s="700"/>
      <c r="AI40" s="700"/>
      <c r="AJ40" s="700"/>
      <c r="AK40" s="700"/>
      <c r="AL40" s="700"/>
      <c r="AM40" s="700"/>
      <c r="AN40" s="700"/>
      <c r="AO40" s="700"/>
      <c r="AP40" s="700"/>
      <c r="AQ40" s="700"/>
      <c r="AR40" s="700"/>
    </row>
    <row r="41" ht="23.25" customHeight="1">
      <c r="A41" s="700"/>
      <c r="B41" s="700"/>
      <c r="C41" s="843"/>
      <c r="D41" s="844"/>
      <c r="E41" s="844"/>
      <c r="F41" s="845"/>
      <c r="G41" s="776"/>
      <c r="H41" s="843"/>
      <c r="I41" s="844"/>
      <c r="J41" s="844"/>
      <c r="K41" s="776"/>
      <c r="L41" s="843"/>
      <c r="M41" s="846"/>
      <c r="N41" s="844"/>
      <c r="O41" s="776">
        <f>IF(M40=0,0,O40/M40)</f>
        <v>0.4324240697</v>
      </c>
      <c r="P41" s="847"/>
      <c r="Q41" s="776" t="str">
        <f>Q40/G40</f>
        <v>#DIV/0!</v>
      </c>
      <c r="R41" s="843"/>
      <c r="S41" s="846"/>
      <c r="T41" s="844"/>
      <c r="U41" s="776">
        <f>IF(S40=0,0,U40/S40)</f>
        <v>0.4200534959</v>
      </c>
      <c r="V41" s="847"/>
      <c r="W41" s="776">
        <f>W40/U40</f>
        <v>0.07633377201</v>
      </c>
      <c r="X41" s="704"/>
      <c r="Y41" s="700"/>
      <c r="Z41" s="700"/>
      <c r="AA41" s="700"/>
      <c r="AB41" s="700"/>
      <c r="AC41" s="700"/>
      <c r="AD41" s="700"/>
      <c r="AE41" s="700"/>
      <c r="AF41" s="700"/>
      <c r="AG41" s="700"/>
      <c r="AH41" s="700"/>
      <c r="AI41" s="700"/>
      <c r="AJ41" s="700"/>
      <c r="AK41" s="700"/>
      <c r="AL41" s="700"/>
      <c r="AM41" s="700"/>
      <c r="AN41" s="700"/>
      <c r="AO41" s="700"/>
      <c r="AP41" s="700"/>
      <c r="AQ41" s="700"/>
      <c r="AR41" s="700"/>
    </row>
    <row r="42" ht="18.0" customHeight="1">
      <c r="A42" s="700"/>
      <c r="B42" s="700"/>
      <c r="C42" s="700"/>
      <c r="D42" s="700"/>
      <c r="E42" s="700"/>
      <c r="F42" s="700"/>
      <c r="G42" s="700"/>
      <c r="H42" s="700"/>
      <c r="I42" s="700"/>
      <c r="J42" s="700"/>
      <c r="K42" s="700"/>
      <c r="L42" s="700"/>
      <c r="M42" s="700"/>
      <c r="N42" s="700"/>
      <c r="O42" s="700"/>
      <c r="P42" s="700"/>
      <c r="Q42" s="700"/>
      <c r="R42" s="700"/>
      <c r="S42" s="700"/>
      <c r="T42" s="700"/>
      <c r="U42" s="700"/>
      <c r="V42" s="700"/>
      <c r="W42" s="700"/>
      <c r="X42" s="700"/>
      <c r="Y42" s="700"/>
      <c r="Z42" s="700"/>
      <c r="AA42" s="700"/>
      <c r="AB42" s="700"/>
      <c r="AC42" s="700"/>
      <c r="AD42" s="700"/>
      <c r="AE42" s="700"/>
      <c r="AF42" s="700"/>
      <c r="AG42" s="700"/>
      <c r="AH42" s="700"/>
      <c r="AI42" s="700"/>
      <c r="AJ42" s="700"/>
      <c r="AK42" s="700"/>
      <c r="AL42" s="700"/>
      <c r="AM42" s="700"/>
      <c r="AN42" s="700"/>
      <c r="AO42" s="700"/>
      <c r="AP42" s="700"/>
      <c r="AQ42" s="700"/>
      <c r="AR42" s="700"/>
    </row>
    <row r="43" ht="18.0" customHeight="1">
      <c r="A43" s="700"/>
      <c r="B43" s="700"/>
      <c r="C43" s="700"/>
      <c r="D43" s="700"/>
      <c r="E43" s="700"/>
      <c r="F43" s="700"/>
      <c r="G43" s="700"/>
      <c r="H43" s="700"/>
      <c r="I43" s="700"/>
      <c r="J43" s="700"/>
      <c r="K43" s="700"/>
      <c r="L43" s="700"/>
      <c r="M43" s="703">
        <f>M40-Print_AAD!K326</f>
        <v>0</v>
      </c>
      <c r="N43" s="700"/>
      <c r="O43" s="848">
        <f>O40-Print_AAD!L326</f>
        <v>-0.0000000003492459655</v>
      </c>
      <c r="P43" s="700"/>
      <c r="Q43" s="700"/>
      <c r="R43" s="700"/>
      <c r="S43" s="703">
        <f>S40-Print_AAD!P326</f>
        <v>0.0000000002328306437</v>
      </c>
      <c r="T43" s="700"/>
      <c r="U43" s="703">
        <f>U40-Print_AAD!Q326</f>
        <v>0.0000000002328306437</v>
      </c>
      <c r="V43" s="700"/>
      <c r="W43" s="700"/>
      <c r="X43" s="700"/>
      <c r="Y43" s="700"/>
      <c r="Z43" s="700"/>
      <c r="AA43" s="700"/>
      <c r="AB43" s="700"/>
      <c r="AC43" s="700"/>
      <c r="AD43" s="700"/>
      <c r="AE43" s="700"/>
      <c r="AF43" s="700"/>
      <c r="AG43" s="700"/>
      <c r="AH43" s="700"/>
      <c r="AI43" s="700"/>
      <c r="AJ43" s="700"/>
      <c r="AK43" s="700"/>
      <c r="AL43" s="700"/>
      <c r="AM43" s="700"/>
      <c r="AN43" s="700"/>
      <c r="AO43" s="700"/>
      <c r="AP43" s="700"/>
      <c r="AQ43" s="700"/>
      <c r="AR43" s="700"/>
    </row>
    <row r="44" ht="18.0" customHeight="1">
      <c r="Y44" s="700"/>
      <c r="Z44" s="700"/>
    </row>
    <row r="45" ht="18.0" customHeight="1">
      <c r="Y45" s="700"/>
      <c r="Z45" s="700"/>
    </row>
    <row r="46" ht="18.0" customHeight="1">
      <c r="Y46" s="700"/>
      <c r="Z46" s="700"/>
    </row>
    <row r="47" ht="18.0" customHeight="1">
      <c r="Y47" s="700"/>
      <c r="Z47" s="700"/>
    </row>
    <row r="48" ht="18.0" customHeight="1">
      <c r="Y48" s="700"/>
      <c r="Z48" s="700"/>
    </row>
    <row r="49" ht="18.0" customHeight="1">
      <c r="Y49" s="700"/>
      <c r="Z49" s="700"/>
    </row>
    <row r="50" ht="18.0" customHeight="1">
      <c r="Y50" s="700"/>
      <c r="Z50" s="700"/>
    </row>
    <row r="51" ht="18.0" customHeight="1">
      <c r="Y51" s="700"/>
      <c r="Z51" s="700"/>
    </row>
    <row r="52" ht="18.0" customHeight="1">
      <c r="Y52" s="700"/>
      <c r="Z52" s="700"/>
    </row>
    <row r="53" ht="18.0" customHeight="1">
      <c r="Y53" s="700"/>
      <c r="Z53" s="700"/>
    </row>
    <row r="54" ht="18.0" customHeight="1">
      <c r="Y54" s="700"/>
      <c r="Z54" s="700"/>
    </row>
    <row r="55" ht="18.0" customHeight="1">
      <c r="Y55" s="700"/>
      <c r="Z55" s="700"/>
    </row>
    <row r="56" ht="18.0" customHeight="1">
      <c r="Y56" s="700"/>
      <c r="Z56" s="700"/>
    </row>
    <row r="57" ht="18.0" customHeight="1">
      <c r="Y57" s="700"/>
      <c r="Z57" s="700"/>
    </row>
    <row r="58" ht="18.0" customHeight="1">
      <c r="Y58" s="700"/>
      <c r="Z58" s="700"/>
    </row>
    <row r="59" ht="18.0" customHeight="1">
      <c r="Y59" s="700"/>
      <c r="Z59" s="700"/>
    </row>
    <row r="60" ht="18.0" customHeight="1">
      <c r="Y60" s="700"/>
      <c r="Z60" s="700"/>
    </row>
    <row r="61" ht="18.0" customHeight="1">
      <c r="Y61" s="700"/>
      <c r="Z61" s="700"/>
    </row>
    <row r="62" ht="18.0" customHeight="1">
      <c r="Y62" s="700"/>
      <c r="Z62" s="700"/>
    </row>
    <row r="63" ht="18.0" customHeight="1">
      <c r="Y63" s="700"/>
      <c r="Z63" s="700"/>
    </row>
    <row r="64" ht="18.0" customHeight="1">
      <c r="Y64" s="700"/>
      <c r="Z64" s="700"/>
    </row>
    <row r="65" ht="18.0" customHeight="1">
      <c r="Y65" s="700"/>
      <c r="Z65" s="700"/>
    </row>
    <row r="66" ht="18.0" customHeight="1">
      <c r="Y66" s="700"/>
      <c r="Z66" s="700"/>
    </row>
    <row r="67" ht="18.0" customHeight="1">
      <c r="Y67" s="700"/>
      <c r="Z67" s="700"/>
    </row>
    <row r="68" ht="18.0" customHeight="1">
      <c r="Y68" s="700"/>
      <c r="Z68" s="700"/>
    </row>
    <row r="69" ht="18.0" customHeight="1">
      <c r="Y69" s="700"/>
      <c r="Z69" s="700"/>
    </row>
    <row r="70" ht="18.0" customHeight="1">
      <c r="Y70" s="700"/>
      <c r="Z70" s="700"/>
    </row>
    <row r="71" ht="18.0" customHeight="1">
      <c r="Y71" s="700"/>
      <c r="Z71" s="700"/>
    </row>
    <row r="72" ht="18.0" customHeight="1">
      <c r="Y72" s="700"/>
      <c r="Z72" s="700"/>
    </row>
    <row r="73" ht="18.0" customHeight="1">
      <c r="Y73" s="700"/>
      <c r="Z73" s="700"/>
    </row>
    <row r="74" ht="18.0" customHeight="1">
      <c r="Y74" s="700"/>
      <c r="Z74" s="700"/>
    </row>
    <row r="75" ht="18.0" customHeight="1">
      <c r="Y75" s="700"/>
      <c r="Z75" s="700"/>
    </row>
    <row r="76" ht="18.0" customHeight="1">
      <c r="Y76" s="700"/>
      <c r="Z76" s="700"/>
    </row>
    <row r="77" ht="18.0" customHeight="1">
      <c r="Y77" s="700"/>
      <c r="Z77" s="700"/>
    </row>
    <row r="78" ht="18.0" customHeight="1">
      <c r="Y78" s="700"/>
      <c r="Z78" s="700"/>
    </row>
    <row r="79" ht="18.0" customHeight="1">
      <c r="Y79" s="700"/>
      <c r="Z79" s="700"/>
    </row>
    <row r="80" ht="18.0" customHeight="1">
      <c r="Y80" s="700"/>
      <c r="Z80" s="700"/>
    </row>
    <row r="81" ht="18.0" customHeight="1">
      <c r="Y81" s="700"/>
      <c r="Z81" s="700"/>
    </row>
    <row r="82" ht="18.0" customHeight="1">
      <c r="Y82" s="700"/>
      <c r="Z82" s="700"/>
    </row>
    <row r="83" ht="18.0" customHeight="1">
      <c r="Y83" s="700"/>
      <c r="Z83" s="700"/>
    </row>
    <row r="84" ht="18.0" customHeight="1">
      <c r="Y84" s="700"/>
      <c r="Z84" s="700"/>
    </row>
    <row r="85" ht="18.0" customHeight="1">
      <c r="Y85" s="700"/>
      <c r="Z85" s="700"/>
    </row>
    <row r="86" ht="18.0" customHeight="1">
      <c r="Y86" s="700"/>
      <c r="Z86" s="700"/>
    </row>
    <row r="87" ht="18.0" customHeight="1">
      <c r="Y87" s="700"/>
      <c r="Z87" s="700"/>
    </row>
    <row r="88" ht="18.0" customHeight="1">
      <c r="Y88" s="700"/>
      <c r="Z88" s="700"/>
    </row>
    <row r="89" ht="18.0" customHeight="1">
      <c r="Y89" s="700"/>
      <c r="Z89" s="700"/>
    </row>
    <row r="90" ht="18.0" customHeight="1">
      <c r="Y90" s="700"/>
      <c r="Z90" s="700"/>
    </row>
    <row r="91" ht="18.0" customHeight="1">
      <c r="Y91" s="700"/>
      <c r="Z91" s="700"/>
    </row>
    <row r="92" ht="18.0" customHeight="1">
      <c r="Y92" s="700"/>
      <c r="Z92" s="700"/>
    </row>
    <row r="93" ht="18.0" customHeight="1">
      <c r="Y93" s="700"/>
      <c r="Z93" s="700"/>
    </row>
    <row r="94" ht="18.0" customHeight="1">
      <c r="Y94" s="700"/>
      <c r="Z94" s="700"/>
    </row>
    <row r="95" ht="18.0" customHeight="1">
      <c r="Y95" s="700"/>
      <c r="Z95" s="700"/>
    </row>
    <row r="96" ht="18.0" customHeight="1">
      <c r="Y96" s="700"/>
      <c r="Z96" s="700"/>
    </row>
    <row r="97" ht="18.0" customHeight="1">
      <c r="Y97" s="700"/>
      <c r="Z97" s="700"/>
    </row>
    <row r="98" ht="18.0" customHeight="1">
      <c r="Y98" s="700"/>
      <c r="Z98" s="700"/>
    </row>
    <row r="99" ht="18.0" customHeight="1">
      <c r="Y99" s="700"/>
      <c r="Z99" s="700"/>
    </row>
    <row r="100" ht="18.0" customHeight="1">
      <c r="Y100" s="700"/>
      <c r="Z100" s="700"/>
    </row>
    <row r="101" ht="18.0" customHeight="1">
      <c r="Y101" s="700"/>
      <c r="Z101" s="700"/>
    </row>
    <row r="102" ht="18.0" customHeight="1">
      <c r="Y102" s="700"/>
      <c r="Z102" s="700"/>
    </row>
    <row r="103" ht="18.0" customHeight="1">
      <c r="Y103" s="700"/>
      <c r="Z103" s="700"/>
    </row>
    <row r="104" ht="18.0" customHeight="1">
      <c r="Y104" s="700"/>
      <c r="Z104" s="700"/>
    </row>
    <row r="105" ht="18.0" customHeight="1">
      <c r="Y105" s="700"/>
      <c r="Z105" s="700"/>
    </row>
    <row r="106" ht="18.0" customHeight="1">
      <c r="Y106" s="700"/>
      <c r="Z106" s="700"/>
    </row>
    <row r="107" ht="18.0" customHeight="1">
      <c r="Y107" s="700"/>
      <c r="Z107" s="700"/>
    </row>
    <row r="108" ht="18.0" customHeight="1">
      <c r="Y108" s="700"/>
      <c r="Z108" s="700"/>
    </row>
    <row r="109" ht="18.0" customHeight="1">
      <c r="Y109" s="700"/>
      <c r="Z109" s="700"/>
    </row>
    <row r="110" ht="18.0" customHeight="1">
      <c r="Y110" s="700"/>
      <c r="Z110" s="700"/>
    </row>
    <row r="111" ht="18.0" customHeight="1">
      <c r="Y111" s="700"/>
      <c r="Z111" s="700"/>
    </row>
    <row r="112" ht="18.0" customHeight="1">
      <c r="Y112" s="700"/>
      <c r="Z112" s="700"/>
    </row>
    <row r="113" ht="18.0" customHeight="1">
      <c r="Y113" s="700"/>
      <c r="Z113" s="700"/>
    </row>
    <row r="114" ht="18.0" customHeight="1">
      <c r="Y114" s="700"/>
      <c r="Z114" s="700"/>
    </row>
    <row r="115" ht="18.0" customHeight="1">
      <c r="Y115" s="700"/>
      <c r="Z115" s="700"/>
    </row>
    <row r="116" ht="18.0" customHeight="1">
      <c r="Y116" s="700"/>
      <c r="Z116" s="700"/>
    </row>
    <row r="117" ht="18.0" customHeight="1">
      <c r="Y117" s="700"/>
      <c r="Z117" s="700"/>
    </row>
    <row r="118" ht="18.0" customHeight="1">
      <c r="Y118" s="700"/>
      <c r="Z118" s="700"/>
    </row>
    <row r="119" ht="18.0" customHeight="1">
      <c r="Y119" s="700"/>
      <c r="Z119" s="700"/>
    </row>
    <row r="120" ht="18.0" customHeight="1">
      <c r="Y120" s="700"/>
      <c r="Z120" s="700"/>
    </row>
    <row r="121" ht="18.0" customHeight="1">
      <c r="Y121" s="700"/>
      <c r="Z121" s="700"/>
    </row>
    <row r="122" ht="18.0" customHeight="1">
      <c r="Y122" s="700"/>
      <c r="Z122" s="700"/>
    </row>
    <row r="123" ht="18.0" customHeight="1">
      <c r="Y123" s="700"/>
      <c r="Z123" s="700"/>
    </row>
    <row r="124" ht="18.0" customHeight="1">
      <c r="Y124" s="700"/>
      <c r="Z124" s="700"/>
    </row>
    <row r="125" ht="18.0" customHeight="1">
      <c r="Y125" s="700"/>
      <c r="Z125" s="700"/>
    </row>
    <row r="126" ht="18.0" customHeight="1">
      <c r="Y126" s="700"/>
      <c r="Z126" s="700"/>
    </row>
    <row r="127" ht="18.0" customHeight="1">
      <c r="Y127" s="700"/>
      <c r="Z127" s="700"/>
    </row>
    <row r="128" ht="18.0" customHeight="1">
      <c r="Y128" s="700"/>
      <c r="Z128" s="700"/>
    </row>
    <row r="129" ht="18.0" customHeight="1">
      <c r="Y129" s="700"/>
      <c r="Z129" s="700"/>
    </row>
    <row r="130" ht="18.0" customHeight="1">
      <c r="Y130" s="700"/>
      <c r="Z130" s="700"/>
    </row>
    <row r="131" ht="18.0" customHeight="1">
      <c r="Y131" s="700"/>
      <c r="Z131" s="700"/>
    </row>
    <row r="132" ht="18.0" customHeight="1">
      <c r="Y132" s="700"/>
      <c r="Z132" s="700"/>
    </row>
    <row r="133" ht="18.0" customHeight="1">
      <c r="Y133" s="700"/>
      <c r="Z133" s="700"/>
    </row>
    <row r="134" ht="18.0" customHeight="1">
      <c r="Y134" s="700"/>
      <c r="Z134" s="700"/>
    </row>
    <row r="135" ht="18.0" customHeight="1">
      <c r="Y135" s="700"/>
      <c r="Z135" s="700"/>
    </row>
    <row r="136" ht="18.0" customHeight="1">
      <c r="Y136" s="700"/>
      <c r="Z136" s="700"/>
    </row>
    <row r="137" ht="18.0" customHeight="1">
      <c r="Y137" s="700"/>
      <c r="Z137" s="700"/>
    </row>
    <row r="138" ht="18.0" customHeight="1">
      <c r="Y138" s="700"/>
      <c r="Z138" s="700"/>
    </row>
    <row r="139" ht="18.0" customHeight="1">
      <c r="Y139" s="700"/>
      <c r="Z139" s="700"/>
    </row>
    <row r="140" ht="18.0" customHeight="1">
      <c r="Y140" s="700"/>
      <c r="Z140" s="700"/>
    </row>
    <row r="141" ht="18.0" customHeight="1">
      <c r="Y141" s="700"/>
      <c r="Z141" s="700"/>
    </row>
    <row r="142" ht="18.0" customHeight="1">
      <c r="Y142" s="700"/>
      <c r="Z142" s="700"/>
    </row>
    <row r="143" ht="18.0" customHeight="1">
      <c r="Y143" s="700"/>
      <c r="Z143" s="700"/>
    </row>
    <row r="144" ht="18.0" customHeight="1">
      <c r="Y144" s="700"/>
      <c r="Z144" s="700"/>
    </row>
    <row r="145" ht="18.0" customHeight="1">
      <c r="Y145" s="700"/>
      <c r="Z145" s="700"/>
    </row>
    <row r="146" ht="18.0" customHeight="1">
      <c r="Y146" s="700"/>
      <c r="Z146" s="700"/>
    </row>
    <row r="147" ht="18.0" customHeight="1">
      <c r="Y147" s="700"/>
      <c r="Z147" s="700"/>
    </row>
    <row r="148" ht="18.0" customHeight="1">
      <c r="Y148" s="700"/>
      <c r="Z148" s="700"/>
    </row>
    <row r="149" ht="18.0" customHeight="1">
      <c r="Y149" s="700"/>
      <c r="Z149" s="700"/>
    </row>
    <row r="150" ht="18.0" customHeight="1">
      <c r="Y150" s="700"/>
      <c r="Z150" s="700"/>
    </row>
    <row r="151" ht="18.0" customHeight="1">
      <c r="Y151" s="700"/>
      <c r="Z151" s="700"/>
    </row>
    <row r="152" ht="18.0" customHeight="1">
      <c r="Y152" s="700"/>
      <c r="Z152" s="700"/>
    </row>
    <row r="153" ht="18.0" customHeight="1">
      <c r="Y153" s="700"/>
      <c r="Z153" s="700"/>
    </row>
    <row r="154" ht="18.0" customHeight="1">
      <c r="Y154" s="700"/>
      <c r="Z154" s="700"/>
    </row>
    <row r="155" ht="18.0" customHeight="1">
      <c r="Y155" s="700"/>
      <c r="Z155" s="700"/>
    </row>
    <row r="156" ht="18.0" customHeight="1">
      <c r="Y156" s="700"/>
      <c r="Z156" s="700"/>
    </row>
    <row r="157" ht="18.0" customHeight="1">
      <c r="Y157" s="700"/>
      <c r="Z157" s="700"/>
    </row>
    <row r="158" ht="18.0" customHeight="1">
      <c r="Y158" s="700"/>
      <c r="Z158" s="700"/>
    </row>
    <row r="159" ht="18.0" customHeight="1">
      <c r="Y159" s="700"/>
      <c r="Z159" s="700"/>
    </row>
    <row r="160" ht="18.0" customHeight="1">
      <c r="Y160" s="700"/>
      <c r="Z160" s="700"/>
    </row>
    <row r="161" ht="18.0" customHeight="1">
      <c r="Y161" s="700"/>
      <c r="Z161" s="700"/>
    </row>
    <row r="162" ht="18.0" customHeight="1">
      <c r="Y162" s="700"/>
      <c r="Z162" s="700"/>
    </row>
    <row r="163" ht="18.0" customHeight="1">
      <c r="Y163" s="700"/>
      <c r="Z163" s="700"/>
    </row>
    <row r="164" ht="18.0" customHeight="1">
      <c r="Y164" s="700"/>
      <c r="Z164" s="700"/>
    </row>
    <row r="165" ht="18.0" customHeight="1">
      <c r="Y165" s="700"/>
      <c r="Z165" s="700"/>
    </row>
    <row r="166" ht="18.0" customHeight="1">
      <c r="Y166" s="700"/>
      <c r="Z166" s="700"/>
    </row>
    <row r="167" ht="18.0" customHeight="1">
      <c r="Y167" s="700"/>
      <c r="Z167" s="700"/>
    </row>
    <row r="168" ht="18.0" customHeight="1">
      <c r="Y168" s="700"/>
      <c r="Z168" s="700"/>
    </row>
    <row r="169" ht="18.0" customHeight="1">
      <c r="Y169" s="700"/>
      <c r="Z169" s="700"/>
    </row>
    <row r="170" ht="18.0" customHeight="1">
      <c r="Y170" s="700"/>
      <c r="Z170" s="700"/>
    </row>
    <row r="171" ht="18.0" customHeight="1">
      <c r="Y171" s="700"/>
      <c r="Z171" s="700"/>
    </row>
    <row r="172" ht="18.0" customHeight="1">
      <c r="Y172" s="700"/>
      <c r="Z172" s="700"/>
    </row>
    <row r="173" ht="18.0" customHeight="1">
      <c r="Y173" s="700"/>
      <c r="Z173" s="700"/>
    </row>
    <row r="174" ht="18.0" customHeight="1">
      <c r="Y174" s="700"/>
      <c r="Z174" s="700"/>
    </row>
    <row r="175" ht="18.0" customHeight="1">
      <c r="Y175" s="700"/>
      <c r="Z175" s="700"/>
    </row>
    <row r="176" ht="18.0" customHeight="1">
      <c r="Y176" s="700"/>
      <c r="Z176" s="700"/>
    </row>
    <row r="177" ht="18.0" customHeight="1">
      <c r="Y177" s="700"/>
      <c r="Z177" s="700"/>
    </row>
    <row r="178" ht="18.0" customHeight="1">
      <c r="Y178" s="700"/>
      <c r="Z178" s="700"/>
    </row>
    <row r="179" ht="18.0" customHeight="1">
      <c r="Y179" s="700"/>
      <c r="Z179" s="700"/>
    </row>
    <row r="180" ht="18.0" customHeight="1">
      <c r="Y180" s="700"/>
      <c r="Z180" s="700"/>
    </row>
    <row r="181" ht="18.0" customHeight="1">
      <c r="Y181" s="700"/>
      <c r="Z181" s="700"/>
    </row>
    <row r="182" ht="18.0" customHeight="1">
      <c r="Y182" s="700"/>
      <c r="Z182" s="700"/>
    </row>
    <row r="183" ht="18.0" customHeight="1">
      <c r="Y183" s="700"/>
      <c r="Z183" s="700"/>
    </row>
    <row r="184" ht="18.0" customHeight="1">
      <c r="Y184" s="700"/>
      <c r="Z184" s="700"/>
    </row>
    <row r="185" ht="18.0" customHeight="1">
      <c r="Y185" s="700"/>
      <c r="Z185" s="700"/>
    </row>
    <row r="186" ht="18.0" customHeight="1">
      <c r="Y186" s="700"/>
      <c r="Z186" s="700"/>
    </row>
    <row r="187" ht="18.0" customHeight="1">
      <c r="Y187" s="700"/>
      <c r="Z187" s="700"/>
    </row>
    <row r="188" ht="18.0" customHeight="1">
      <c r="Y188" s="700"/>
      <c r="Z188" s="700"/>
    </row>
    <row r="189" ht="18.0" customHeight="1">
      <c r="Y189" s="700"/>
      <c r="Z189" s="700"/>
    </row>
    <row r="190" ht="18.0" customHeight="1">
      <c r="Y190" s="700"/>
      <c r="Z190" s="700"/>
    </row>
    <row r="191" ht="18.0" customHeight="1">
      <c r="Y191" s="700"/>
      <c r="Z191" s="700"/>
    </row>
    <row r="192" ht="18.0" customHeight="1">
      <c r="Y192" s="700"/>
      <c r="Z192" s="700"/>
    </row>
    <row r="193" ht="18.0" customHeight="1">
      <c r="Y193" s="700"/>
      <c r="Z193" s="700"/>
    </row>
    <row r="194" ht="18.0" customHeight="1">
      <c r="Y194" s="700"/>
      <c r="Z194" s="700"/>
    </row>
    <row r="195" ht="18.0" customHeight="1">
      <c r="Y195" s="700"/>
      <c r="Z195" s="700"/>
    </row>
    <row r="196" ht="18.0" customHeight="1">
      <c r="Y196" s="700"/>
      <c r="Z196" s="700"/>
    </row>
    <row r="197" ht="18.0" customHeight="1">
      <c r="Y197" s="700"/>
      <c r="Z197" s="700"/>
    </row>
    <row r="198" ht="18.0" customHeight="1">
      <c r="Y198" s="700"/>
      <c r="Z198" s="700"/>
    </row>
    <row r="199" ht="18.0" customHeight="1">
      <c r="Y199" s="700"/>
      <c r="Z199" s="700"/>
    </row>
    <row r="200" ht="18.0" customHeight="1">
      <c r="Y200" s="700"/>
      <c r="Z200" s="700"/>
    </row>
    <row r="201" ht="18.0" customHeight="1">
      <c r="Y201" s="700"/>
      <c r="Z201" s="700"/>
    </row>
    <row r="202" ht="18.0" customHeight="1">
      <c r="Y202" s="700"/>
      <c r="Z202" s="700"/>
    </row>
    <row r="203" ht="18.0" customHeight="1">
      <c r="Y203" s="700"/>
      <c r="Z203" s="700"/>
    </row>
    <row r="204" ht="18.0" customHeight="1">
      <c r="Y204" s="700"/>
      <c r="Z204" s="700"/>
    </row>
    <row r="205" ht="18.0" customHeight="1">
      <c r="Y205" s="700"/>
      <c r="Z205" s="700"/>
    </row>
    <row r="206" ht="18.0" customHeight="1">
      <c r="Y206" s="700"/>
      <c r="Z206" s="700"/>
    </row>
    <row r="207" ht="18.0" customHeight="1">
      <c r="Y207" s="700"/>
      <c r="Z207" s="700"/>
    </row>
    <row r="208" ht="18.0" customHeight="1">
      <c r="Y208" s="700"/>
      <c r="Z208" s="700"/>
    </row>
    <row r="209" ht="18.0" customHeight="1">
      <c r="Y209" s="700"/>
      <c r="Z209" s="700"/>
    </row>
    <row r="210" ht="18.0" customHeight="1">
      <c r="Y210" s="700"/>
      <c r="Z210" s="700"/>
    </row>
    <row r="211" ht="18.0" customHeight="1">
      <c r="Y211" s="700"/>
      <c r="Z211" s="700"/>
    </row>
    <row r="212" ht="18.0" customHeight="1">
      <c r="Y212" s="700"/>
      <c r="Z212" s="700"/>
    </row>
    <row r="213" ht="18.0" customHeight="1">
      <c r="Y213" s="700"/>
      <c r="Z213" s="700"/>
    </row>
    <row r="214" ht="18.0" customHeight="1">
      <c r="Y214" s="700"/>
      <c r="Z214" s="700"/>
    </row>
    <row r="215" ht="18.0" customHeight="1">
      <c r="Y215" s="700"/>
      <c r="Z215" s="700"/>
    </row>
    <row r="216" ht="18.0" customHeight="1">
      <c r="Y216" s="700"/>
      <c r="Z216" s="700"/>
    </row>
    <row r="217" ht="18.0" customHeight="1">
      <c r="Y217" s="700"/>
      <c r="Z217" s="700"/>
    </row>
    <row r="218" ht="18.0" customHeight="1">
      <c r="Y218" s="700"/>
      <c r="Z218" s="700"/>
    </row>
    <row r="219" ht="18.0" customHeight="1">
      <c r="Y219" s="700"/>
      <c r="Z219" s="700"/>
    </row>
    <row r="220" ht="18.0" customHeight="1">
      <c r="Y220" s="700"/>
      <c r="Z220" s="700"/>
    </row>
    <row r="221" ht="18.0" customHeight="1">
      <c r="Y221" s="700"/>
      <c r="Z221" s="700"/>
    </row>
    <row r="222" ht="18.0" customHeight="1">
      <c r="Y222" s="700"/>
      <c r="Z222" s="700"/>
    </row>
    <row r="223" ht="18.0" customHeight="1">
      <c r="Y223" s="700"/>
      <c r="Z223" s="700"/>
    </row>
    <row r="224" ht="18.0" customHeight="1">
      <c r="Y224" s="700"/>
      <c r="Z224" s="700"/>
    </row>
    <row r="225" ht="18.0" customHeight="1">
      <c r="Y225" s="700"/>
      <c r="Z225" s="700"/>
    </row>
    <row r="226" ht="18.0" customHeight="1">
      <c r="Y226" s="700"/>
      <c r="Z226" s="700"/>
    </row>
    <row r="227" ht="18.0" customHeight="1">
      <c r="Y227" s="700"/>
      <c r="Z227" s="700"/>
    </row>
    <row r="228" ht="18.0" customHeight="1">
      <c r="Y228" s="700"/>
      <c r="Z228" s="700"/>
    </row>
    <row r="229" ht="18.0" customHeight="1">
      <c r="Y229" s="700"/>
      <c r="Z229" s="700"/>
    </row>
    <row r="230" ht="18.0" customHeight="1">
      <c r="Y230" s="700"/>
      <c r="Z230" s="700"/>
    </row>
    <row r="231" ht="18.0" customHeight="1">
      <c r="Y231" s="700"/>
      <c r="Z231" s="700"/>
    </row>
    <row r="232" ht="18.0" customHeight="1">
      <c r="Y232" s="700"/>
      <c r="Z232" s="700"/>
    </row>
    <row r="233" ht="18.0" customHeight="1">
      <c r="Y233" s="700"/>
      <c r="Z233" s="700"/>
    </row>
    <row r="234" ht="18.0" customHeight="1">
      <c r="Y234" s="700"/>
      <c r="Z234" s="700"/>
    </row>
    <row r="235" ht="18.0" customHeight="1">
      <c r="Y235" s="700"/>
      <c r="Z235" s="700"/>
    </row>
    <row r="236" ht="18.0" customHeight="1">
      <c r="Y236" s="700"/>
      <c r="Z236" s="700"/>
    </row>
    <row r="237" ht="18.0" customHeight="1">
      <c r="Y237" s="700"/>
      <c r="Z237" s="700"/>
    </row>
    <row r="238" ht="18.0" customHeight="1">
      <c r="Y238" s="700"/>
      <c r="Z238" s="700"/>
    </row>
    <row r="239" ht="18.0" customHeight="1">
      <c r="Y239" s="700"/>
      <c r="Z239" s="700"/>
    </row>
    <row r="240" ht="18.0" customHeight="1">
      <c r="Y240" s="700"/>
      <c r="Z240" s="700"/>
    </row>
    <row r="241" ht="18.0" customHeight="1">
      <c r="Y241" s="700"/>
      <c r="Z241" s="700"/>
    </row>
    <row r="242" ht="18.0" customHeight="1">
      <c r="Y242" s="700"/>
      <c r="Z242" s="700"/>
    </row>
    <row r="243" ht="18.0" customHeight="1">
      <c r="Y243" s="700"/>
      <c r="Z243" s="700"/>
    </row>
    <row r="244" ht="18.0" customHeight="1">
      <c r="Y244" s="700"/>
      <c r="Z244" s="700"/>
    </row>
    <row r="245" ht="18.0" customHeight="1">
      <c r="Y245" s="700"/>
      <c r="Z245" s="700"/>
    </row>
    <row r="246" ht="18.0" customHeight="1">
      <c r="Y246" s="700"/>
      <c r="Z246" s="700"/>
    </row>
    <row r="247" ht="18.0" customHeight="1">
      <c r="Y247" s="700"/>
      <c r="Z247" s="700"/>
    </row>
    <row r="248" ht="18.0" customHeight="1">
      <c r="Y248" s="700"/>
      <c r="Z248" s="700"/>
    </row>
    <row r="249" ht="18.0" customHeight="1">
      <c r="Y249" s="700"/>
      <c r="Z249" s="700"/>
    </row>
    <row r="250" ht="18.0" customHeight="1">
      <c r="Y250" s="700"/>
      <c r="Z250" s="700"/>
    </row>
    <row r="251" ht="18.0" customHeight="1">
      <c r="Y251" s="700"/>
      <c r="Z251" s="700"/>
    </row>
    <row r="252" ht="18.0" customHeight="1">
      <c r="Y252" s="700"/>
      <c r="Z252" s="700"/>
    </row>
    <row r="253" ht="18.0" customHeight="1">
      <c r="Y253" s="700"/>
      <c r="Z253" s="700"/>
    </row>
    <row r="254" ht="18.0" customHeight="1">
      <c r="Y254" s="700"/>
      <c r="Z254" s="700"/>
    </row>
    <row r="255" ht="18.0" customHeight="1">
      <c r="Y255" s="700"/>
      <c r="Z255" s="700"/>
    </row>
    <row r="256" ht="18.0" customHeight="1">
      <c r="Y256" s="700"/>
      <c r="Z256" s="700"/>
    </row>
    <row r="257" ht="18.0" customHeight="1">
      <c r="Y257" s="700"/>
      <c r="Z257" s="700"/>
    </row>
    <row r="258" ht="18.0" customHeight="1">
      <c r="Y258" s="700"/>
      <c r="Z258" s="700"/>
    </row>
    <row r="259" ht="18.0" customHeight="1">
      <c r="Y259" s="700"/>
      <c r="Z259" s="700"/>
    </row>
    <row r="260" ht="18.0" customHeight="1">
      <c r="Y260" s="700"/>
      <c r="Z260" s="700"/>
    </row>
    <row r="261" ht="18.0" customHeight="1">
      <c r="Y261" s="700"/>
      <c r="Z261" s="700"/>
    </row>
    <row r="262" ht="18.0" customHeight="1">
      <c r="Y262" s="700"/>
      <c r="Z262" s="700"/>
    </row>
    <row r="263" ht="18.0" customHeight="1">
      <c r="Y263" s="700"/>
      <c r="Z263" s="700"/>
    </row>
    <row r="264" ht="18.0" customHeight="1">
      <c r="Y264" s="700"/>
      <c r="Z264" s="700"/>
    </row>
    <row r="265" ht="18.0" customHeight="1">
      <c r="Y265" s="700"/>
      <c r="Z265" s="700"/>
    </row>
    <row r="266" ht="18.0" customHeight="1">
      <c r="Y266" s="700"/>
      <c r="Z266" s="700"/>
    </row>
    <row r="267" ht="18.0" customHeight="1">
      <c r="Y267" s="700"/>
      <c r="Z267" s="700"/>
    </row>
    <row r="268" ht="18.0" customHeight="1">
      <c r="Y268" s="700"/>
      <c r="Z268" s="700"/>
    </row>
    <row r="269" ht="18.0" customHeight="1">
      <c r="Y269" s="700"/>
      <c r="Z269" s="700"/>
    </row>
    <row r="270" ht="18.0" customHeight="1">
      <c r="Y270" s="700"/>
      <c r="Z270" s="700"/>
    </row>
    <row r="271" ht="18.0" customHeight="1">
      <c r="Y271" s="700"/>
      <c r="Z271" s="700"/>
    </row>
    <row r="272" ht="18.0" customHeight="1">
      <c r="Y272" s="700"/>
      <c r="Z272" s="700"/>
    </row>
    <row r="273" ht="18.0" customHeight="1">
      <c r="Y273" s="700"/>
      <c r="Z273" s="700"/>
    </row>
    <row r="274" ht="18.0" customHeight="1">
      <c r="Y274" s="700"/>
      <c r="Z274" s="700"/>
    </row>
    <row r="275" ht="18.0" customHeight="1">
      <c r="Y275" s="700"/>
      <c r="Z275" s="700"/>
    </row>
    <row r="276" ht="18.0" customHeight="1">
      <c r="Y276" s="700"/>
      <c r="Z276" s="700"/>
    </row>
    <row r="277" ht="18.0" customHeight="1">
      <c r="Y277" s="700"/>
      <c r="Z277" s="700"/>
    </row>
    <row r="278" ht="18.0" customHeight="1">
      <c r="Y278" s="700"/>
      <c r="Z278" s="700"/>
    </row>
    <row r="279" ht="18.0" customHeight="1">
      <c r="Y279" s="700"/>
      <c r="Z279" s="700"/>
    </row>
    <row r="280" ht="18.0" customHeight="1">
      <c r="Y280" s="700"/>
      <c r="Z280" s="700"/>
    </row>
    <row r="281" ht="18.0" customHeight="1">
      <c r="Y281" s="700"/>
      <c r="Z281" s="700"/>
    </row>
    <row r="282" ht="18.0" customHeight="1">
      <c r="Y282" s="700"/>
      <c r="Z282" s="700"/>
    </row>
    <row r="283" ht="18.0" customHeight="1">
      <c r="Y283" s="700"/>
      <c r="Z283" s="700"/>
    </row>
    <row r="284" ht="18.0" customHeight="1">
      <c r="Y284" s="700"/>
      <c r="Z284" s="700"/>
    </row>
    <row r="285" ht="18.0" customHeight="1">
      <c r="Y285" s="700"/>
      <c r="Z285" s="700"/>
    </row>
    <row r="286" ht="18.0" customHeight="1">
      <c r="Y286" s="700"/>
      <c r="Z286" s="700"/>
    </row>
    <row r="287" ht="18.0" customHeight="1">
      <c r="Y287" s="700"/>
      <c r="Z287" s="700"/>
    </row>
    <row r="288" ht="18.0" customHeight="1">
      <c r="Y288" s="700"/>
      <c r="Z288" s="700"/>
    </row>
    <row r="289" ht="18.0" customHeight="1">
      <c r="Y289" s="700"/>
      <c r="Z289" s="700"/>
    </row>
    <row r="290" ht="18.0" customHeight="1">
      <c r="Y290" s="700"/>
      <c r="Z290" s="700"/>
    </row>
    <row r="291" ht="18.0" customHeight="1">
      <c r="Y291" s="700"/>
      <c r="Z291" s="700"/>
    </row>
    <row r="292" ht="18.0" customHeight="1">
      <c r="Y292" s="700"/>
      <c r="Z292" s="700"/>
    </row>
    <row r="293" ht="18.0" customHeight="1">
      <c r="Y293" s="700"/>
      <c r="Z293" s="700"/>
    </row>
    <row r="294" ht="18.0" customHeight="1">
      <c r="Y294" s="700"/>
      <c r="Z294" s="700"/>
    </row>
    <row r="295" ht="18.0" customHeight="1">
      <c r="Y295" s="700"/>
      <c r="Z295" s="700"/>
    </row>
    <row r="296" ht="18.0" customHeight="1">
      <c r="Y296" s="700"/>
      <c r="Z296" s="700"/>
    </row>
    <row r="297" ht="18.0" customHeight="1">
      <c r="Y297" s="700"/>
      <c r="Z297" s="700"/>
    </row>
    <row r="298" ht="18.0" customHeight="1">
      <c r="Y298" s="700"/>
      <c r="Z298" s="700"/>
    </row>
    <row r="299" ht="18.0" customHeight="1">
      <c r="Y299" s="700"/>
      <c r="Z299" s="700"/>
    </row>
    <row r="300" ht="18.0" customHeight="1">
      <c r="Y300" s="700"/>
      <c r="Z300" s="700"/>
    </row>
    <row r="301" ht="18.0" customHeight="1">
      <c r="Y301" s="700"/>
      <c r="Z301" s="700"/>
    </row>
    <row r="302" ht="18.0" customHeight="1">
      <c r="Y302" s="700"/>
      <c r="Z302" s="700"/>
    </row>
    <row r="303" ht="18.0" customHeight="1">
      <c r="Y303" s="700"/>
      <c r="Z303" s="700"/>
    </row>
    <row r="304" ht="18.0" customHeight="1">
      <c r="Y304" s="700"/>
      <c r="Z304" s="700"/>
    </row>
    <row r="305" ht="18.0" customHeight="1">
      <c r="Y305" s="700"/>
      <c r="Z305" s="700"/>
    </row>
    <row r="306" ht="18.0" customHeight="1">
      <c r="Y306" s="700"/>
      <c r="Z306" s="700"/>
    </row>
    <row r="307" ht="18.0" customHeight="1">
      <c r="Y307" s="700"/>
      <c r="Z307" s="700"/>
    </row>
    <row r="308" ht="18.0" customHeight="1">
      <c r="Y308" s="700"/>
      <c r="Z308" s="700"/>
    </row>
    <row r="309" ht="18.0" customHeight="1">
      <c r="Y309" s="700"/>
      <c r="Z309" s="700"/>
    </row>
    <row r="310" ht="18.0" customHeight="1">
      <c r="Y310" s="700"/>
      <c r="Z310" s="700"/>
    </row>
    <row r="311" ht="18.0" customHeight="1">
      <c r="Y311" s="700"/>
      <c r="Z311" s="700"/>
    </row>
    <row r="312" ht="18.0" customHeight="1">
      <c r="Y312" s="700"/>
      <c r="Z312" s="700"/>
    </row>
    <row r="313" ht="18.0" customHeight="1">
      <c r="Y313" s="700"/>
      <c r="Z313" s="700"/>
    </row>
    <row r="314" ht="18.0" customHeight="1">
      <c r="Y314" s="700"/>
      <c r="Z314" s="700"/>
    </row>
    <row r="315" ht="18.0" customHeight="1">
      <c r="Y315" s="700"/>
      <c r="Z315" s="700"/>
    </row>
    <row r="316" ht="18.0" customHeight="1">
      <c r="Y316" s="700"/>
      <c r="Z316" s="700"/>
    </row>
    <row r="317" ht="18.0" customHeight="1">
      <c r="Y317" s="700"/>
      <c r="Z317" s="700"/>
    </row>
    <row r="318" ht="18.0" customHeight="1">
      <c r="Y318" s="700"/>
      <c r="Z318" s="700"/>
    </row>
    <row r="319" ht="18.0" customHeight="1">
      <c r="Y319" s="700"/>
      <c r="Z319" s="700"/>
    </row>
    <row r="320" ht="18.0" customHeight="1">
      <c r="Y320" s="700"/>
      <c r="Z320" s="700"/>
    </row>
    <row r="321" ht="18.0" customHeight="1">
      <c r="Y321" s="700"/>
      <c r="Z321" s="700"/>
    </row>
    <row r="322" ht="18.0" customHeight="1">
      <c r="Y322" s="700"/>
      <c r="Z322" s="700"/>
    </row>
    <row r="323" ht="18.0" customHeight="1">
      <c r="Y323" s="700"/>
      <c r="Z323" s="700"/>
    </row>
    <row r="324" ht="18.0" customHeight="1">
      <c r="Y324" s="700"/>
      <c r="Z324" s="700"/>
    </row>
    <row r="325" ht="18.0" customHeight="1">
      <c r="Y325" s="700"/>
      <c r="Z325" s="700"/>
    </row>
    <row r="326" ht="18.0" customHeight="1">
      <c r="Y326" s="700"/>
      <c r="Z326" s="700"/>
    </row>
    <row r="327" ht="18.0" customHeight="1">
      <c r="Y327" s="700"/>
      <c r="Z327" s="700"/>
    </row>
    <row r="328" ht="18.0" customHeight="1">
      <c r="Y328" s="700"/>
      <c r="Z328" s="700"/>
    </row>
    <row r="329" ht="18.0" customHeight="1">
      <c r="Y329" s="700"/>
      <c r="Z329" s="700"/>
    </row>
    <row r="330" ht="18.0" customHeight="1">
      <c r="Y330" s="700"/>
      <c r="Z330" s="700"/>
    </row>
    <row r="331" ht="18.0" customHeight="1">
      <c r="Y331" s="700"/>
      <c r="Z331" s="700"/>
    </row>
    <row r="332" ht="18.0" customHeight="1">
      <c r="Y332" s="700"/>
      <c r="Z332" s="700"/>
    </row>
    <row r="333" ht="18.0" customHeight="1">
      <c r="Y333" s="700"/>
      <c r="Z333" s="700"/>
    </row>
    <row r="334" ht="18.0" customHeight="1">
      <c r="Y334" s="700"/>
      <c r="Z334" s="700"/>
    </row>
    <row r="335" ht="18.0" customHeight="1">
      <c r="Y335" s="700"/>
      <c r="Z335" s="700"/>
    </row>
    <row r="336" ht="18.0" customHeight="1">
      <c r="Y336" s="700"/>
      <c r="Z336" s="700"/>
    </row>
    <row r="337" ht="18.0" customHeight="1">
      <c r="Y337" s="700"/>
      <c r="Z337" s="700"/>
    </row>
    <row r="338" ht="18.0" customHeight="1">
      <c r="Y338" s="700"/>
      <c r="Z338" s="700"/>
    </row>
    <row r="339" ht="18.0" customHeight="1">
      <c r="Y339" s="700"/>
      <c r="Z339" s="700"/>
    </row>
    <row r="340" ht="18.0" customHeight="1">
      <c r="Y340" s="700"/>
      <c r="Z340" s="700"/>
    </row>
    <row r="341" ht="18.0" customHeight="1">
      <c r="Y341" s="700"/>
      <c r="Z341" s="700"/>
    </row>
    <row r="342" ht="18.0" customHeight="1">
      <c r="Y342" s="700"/>
      <c r="Z342" s="700"/>
    </row>
    <row r="343" ht="18.0" customHeight="1">
      <c r="Y343" s="700"/>
      <c r="Z343" s="700"/>
    </row>
    <row r="344" ht="18.0" customHeight="1">
      <c r="Y344" s="700"/>
      <c r="Z344" s="700"/>
    </row>
    <row r="345" ht="18.0" customHeight="1">
      <c r="Y345" s="700"/>
      <c r="Z345" s="700"/>
    </row>
    <row r="346" ht="18.0" customHeight="1">
      <c r="Y346" s="700"/>
      <c r="Z346" s="700"/>
    </row>
    <row r="347" ht="18.0" customHeight="1">
      <c r="Y347" s="700"/>
      <c r="Z347" s="700"/>
    </row>
    <row r="348" ht="18.0" customHeight="1">
      <c r="Y348" s="700"/>
      <c r="Z348" s="700"/>
    </row>
    <row r="349" ht="18.0" customHeight="1">
      <c r="Y349" s="700"/>
      <c r="Z349" s="700"/>
    </row>
    <row r="350" ht="18.0" customHeight="1">
      <c r="Y350" s="700"/>
      <c r="Z350" s="700"/>
    </row>
    <row r="351" ht="18.0" customHeight="1">
      <c r="Y351" s="700"/>
      <c r="Z351" s="700"/>
    </row>
    <row r="352" ht="18.0" customHeight="1">
      <c r="Y352" s="700"/>
      <c r="Z352" s="700"/>
    </row>
    <row r="353" ht="18.0" customHeight="1">
      <c r="Y353" s="700"/>
      <c r="Z353" s="700"/>
    </row>
    <row r="354" ht="18.0" customHeight="1">
      <c r="Y354" s="700"/>
      <c r="Z354" s="700"/>
    </row>
    <row r="355" ht="18.0" customHeight="1">
      <c r="Y355" s="700"/>
      <c r="Z355" s="700"/>
    </row>
    <row r="356" ht="18.0" customHeight="1">
      <c r="Y356" s="700"/>
      <c r="Z356" s="700"/>
    </row>
    <row r="357" ht="18.0" customHeight="1">
      <c r="Y357" s="700"/>
      <c r="Z357" s="700"/>
    </row>
    <row r="358" ht="18.0" customHeight="1">
      <c r="Y358" s="700"/>
      <c r="Z358" s="700"/>
    </row>
    <row r="359" ht="18.0" customHeight="1">
      <c r="Y359" s="700"/>
      <c r="Z359" s="700"/>
    </row>
    <row r="360" ht="18.0" customHeight="1">
      <c r="Y360" s="700"/>
      <c r="Z360" s="700"/>
    </row>
    <row r="361" ht="18.0" customHeight="1">
      <c r="Y361" s="700"/>
      <c r="Z361" s="700"/>
    </row>
    <row r="362" ht="18.0" customHeight="1">
      <c r="Y362" s="700"/>
      <c r="Z362" s="700"/>
    </row>
    <row r="363" ht="18.0" customHeight="1">
      <c r="Y363" s="700"/>
      <c r="Z363" s="700"/>
    </row>
    <row r="364" ht="18.0" customHeight="1">
      <c r="Y364" s="700"/>
      <c r="Z364" s="700"/>
    </row>
    <row r="365" ht="18.0" customHeight="1">
      <c r="Y365" s="700"/>
      <c r="Z365" s="700"/>
    </row>
    <row r="366" ht="18.0" customHeight="1">
      <c r="Y366" s="700"/>
      <c r="Z366" s="700"/>
    </row>
    <row r="367" ht="18.0" customHeight="1">
      <c r="Y367" s="700"/>
      <c r="Z367" s="700"/>
    </row>
    <row r="368" ht="18.0" customHeight="1">
      <c r="Y368" s="700"/>
      <c r="Z368" s="700"/>
    </row>
    <row r="369" ht="18.0" customHeight="1">
      <c r="Y369" s="700"/>
      <c r="Z369" s="700"/>
    </row>
    <row r="370" ht="18.0" customHeight="1">
      <c r="Y370" s="700"/>
      <c r="Z370" s="700"/>
    </row>
    <row r="371" ht="18.0" customHeight="1">
      <c r="Y371" s="700"/>
      <c r="Z371" s="700"/>
    </row>
    <row r="372" ht="18.0" customHeight="1">
      <c r="Y372" s="700"/>
      <c r="Z372" s="700"/>
    </row>
    <row r="373" ht="18.0" customHeight="1">
      <c r="Y373" s="700"/>
      <c r="Z373" s="700"/>
    </row>
    <row r="374" ht="18.0" customHeight="1">
      <c r="Y374" s="700"/>
      <c r="Z374" s="700"/>
    </row>
    <row r="375" ht="18.0" customHeight="1">
      <c r="Y375" s="700"/>
      <c r="Z375" s="700"/>
    </row>
    <row r="376" ht="18.0" customHeight="1">
      <c r="Y376" s="700"/>
      <c r="Z376" s="700"/>
    </row>
    <row r="377" ht="18.0" customHeight="1">
      <c r="Y377" s="700"/>
      <c r="Z377" s="700"/>
    </row>
    <row r="378" ht="18.0" customHeight="1">
      <c r="Y378" s="700"/>
      <c r="Z378" s="700"/>
    </row>
    <row r="379" ht="18.0" customHeight="1">
      <c r="Y379" s="700"/>
      <c r="Z379" s="700"/>
    </row>
    <row r="380" ht="18.0" customHeight="1">
      <c r="Y380" s="700"/>
      <c r="Z380" s="700"/>
    </row>
    <row r="381" ht="18.0" customHeight="1">
      <c r="Y381" s="700"/>
      <c r="Z381" s="700"/>
    </row>
    <row r="382" ht="18.0" customHeight="1">
      <c r="Y382" s="700"/>
      <c r="Z382" s="700"/>
    </row>
    <row r="383" ht="18.0" customHeight="1">
      <c r="Y383" s="700"/>
      <c r="Z383" s="700"/>
    </row>
    <row r="384" ht="18.0" customHeight="1">
      <c r="Y384" s="700"/>
      <c r="Z384" s="700"/>
    </row>
    <row r="385" ht="18.0" customHeight="1">
      <c r="Y385" s="700"/>
      <c r="Z385" s="700"/>
    </row>
    <row r="386" ht="18.0" customHeight="1">
      <c r="Y386" s="700"/>
      <c r="Z386" s="700"/>
    </row>
    <row r="387" ht="18.0" customHeight="1">
      <c r="Y387" s="700"/>
      <c r="Z387" s="700"/>
    </row>
    <row r="388" ht="18.0" customHeight="1">
      <c r="Y388" s="700"/>
      <c r="Z388" s="700"/>
    </row>
    <row r="389" ht="18.0" customHeight="1">
      <c r="Y389" s="700"/>
      <c r="Z389" s="700"/>
    </row>
    <row r="390" ht="18.0" customHeight="1">
      <c r="Y390" s="700"/>
      <c r="Z390" s="700"/>
    </row>
    <row r="391" ht="18.0" customHeight="1">
      <c r="Y391" s="700"/>
      <c r="Z391" s="700"/>
    </row>
    <row r="392" ht="18.0" customHeight="1">
      <c r="Y392" s="700"/>
      <c r="Z392" s="700"/>
    </row>
    <row r="393" ht="18.0" customHeight="1">
      <c r="Y393" s="700"/>
      <c r="Z393" s="700"/>
    </row>
    <row r="394" ht="18.0" customHeight="1">
      <c r="Y394" s="700"/>
      <c r="Z394" s="700"/>
    </row>
    <row r="395" ht="18.0" customHeight="1">
      <c r="Y395" s="700"/>
      <c r="Z395" s="700"/>
    </row>
    <row r="396" ht="18.0" customHeight="1">
      <c r="Y396" s="700"/>
      <c r="Z396" s="700"/>
    </row>
    <row r="397" ht="18.0" customHeight="1">
      <c r="Y397" s="700"/>
      <c r="Z397" s="700"/>
    </row>
    <row r="398" ht="18.0" customHeight="1">
      <c r="Y398" s="700"/>
      <c r="Z398" s="700"/>
    </row>
    <row r="399" ht="18.0" customHeight="1">
      <c r="Y399" s="700"/>
      <c r="Z399" s="700"/>
    </row>
    <row r="400" ht="18.0" customHeight="1">
      <c r="Y400" s="700"/>
      <c r="Z400" s="700"/>
    </row>
    <row r="401" ht="18.0" customHeight="1">
      <c r="Y401" s="700"/>
      <c r="Z401" s="700"/>
    </row>
    <row r="402" ht="18.0" customHeight="1">
      <c r="Y402" s="700"/>
      <c r="Z402" s="700"/>
    </row>
    <row r="403" ht="18.0" customHeight="1">
      <c r="Y403" s="700"/>
      <c r="Z403" s="700"/>
    </row>
    <row r="404" ht="18.0" customHeight="1">
      <c r="Y404" s="700"/>
      <c r="Z404" s="700"/>
    </row>
    <row r="405" ht="18.0" customHeight="1">
      <c r="Y405" s="700"/>
      <c r="Z405" s="700"/>
    </row>
    <row r="406" ht="18.0" customHeight="1">
      <c r="Y406" s="700"/>
      <c r="Z406" s="700"/>
    </row>
    <row r="407" ht="18.0" customHeight="1">
      <c r="Y407" s="700"/>
      <c r="Z407" s="700"/>
    </row>
    <row r="408" ht="18.0" customHeight="1">
      <c r="Y408" s="700"/>
      <c r="Z408" s="700"/>
    </row>
    <row r="409" ht="18.0" customHeight="1">
      <c r="Y409" s="700"/>
      <c r="Z409" s="700"/>
    </row>
    <row r="410" ht="18.0" customHeight="1">
      <c r="Y410" s="700"/>
      <c r="Z410" s="700"/>
    </row>
    <row r="411" ht="18.0" customHeight="1">
      <c r="Y411" s="700"/>
      <c r="Z411" s="700"/>
    </row>
    <row r="412" ht="18.0" customHeight="1">
      <c r="Y412" s="700"/>
      <c r="Z412" s="700"/>
    </row>
    <row r="413" ht="18.0" customHeight="1">
      <c r="Y413" s="700"/>
      <c r="Z413" s="700"/>
    </row>
    <row r="414" ht="18.0" customHeight="1">
      <c r="Y414" s="700"/>
      <c r="Z414" s="700"/>
    </row>
    <row r="415" ht="18.0" customHeight="1">
      <c r="Y415" s="700"/>
      <c r="Z415" s="700"/>
    </row>
    <row r="416" ht="18.0" customHeight="1">
      <c r="Y416" s="700"/>
      <c r="Z416" s="700"/>
    </row>
    <row r="417" ht="18.0" customHeight="1">
      <c r="Y417" s="700"/>
      <c r="Z417" s="700"/>
    </row>
    <row r="418" ht="18.0" customHeight="1">
      <c r="Y418" s="700"/>
      <c r="Z418" s="700"/>
    </row>
    <row r="419" ht="18.0" customHeight="1">
      <c r="Y419" s="700"/>
      <c r="Z419" s="700"/>
    </row>
    <row r="420" ht="18.0" customHeight="1">
      <c r="Y420" s="700"/>
      <c r="Z420" s="700"/>
    </row>
    <row r="421" ht="18.0" customHeight="1">
      <c r="Y421" s="700"/>
      <c r="Z421" s="700"/>
    </row>
    <row r="422" ht="18.0" customHeight="1">
      <c r="Y422" s="700"/>
      <c r="Z422" s="700"/>
    </row>
    <row r="423" ht="18.0" customHeight="1">
      <c r="Y423" s="700"/>
      <c r="Z423" s="700"/>
    </row>
    <row r="424" ht="18.0" customHeight="1">
      <c r="Y424" s="700"/>
      <c r="Z424" s="700"/>
    </row>
    <row r="425" ht="18.0" customHeight="1">
      <c r="Y425" s="700"/>
      <c r="Z425" s="700"/>
    </row>
    <row r="426" ht="18.0" customHeight="1">
      <c r="Y426" s="700"/>
      <c r="Z426" s="700"/>
    </row>
    <row r="427" ht="18.0" customHeight="1">
      <c r="Y427" s="700"/>
      <c r="Z427" s="700"/>
    </row>
    <row r="428" ht="18.0" customHeight="1">
      <c r="Y428" s="700"/>
      <c r="Z428" s="700"/>
    </row>
    <row r="429" ht="18.0" customHeight="1">
      <c r="Y429" s="700"/>
      <c r="Z429" s="700"/>
    </row>
    <row r="430" ht="18.0" customHeight="1">
      <c r="Y430" s="700"/>
      <c r="Z430" s="700"/>
    </row>
    <row r="431" ht="18.0" customHeight="1">
      <c r="Y431" s="700"/>
      <c r="Z431" s="700"/>
    </row>
    <row r="432" ht="18.0" customHeight="1">
      <c r="Y432" s="700"/>
      <c r="Z432" s="700"/>
    </row>
    <row r="433" ht="18.0" customHeight="1">
      <c r="Y433" s="700"/>
      <c r="Z433" s="700"/>
    </row>
    <row r="434" ht="18.0" customHeight="1">
      <c r="Y434" s="700"/>
      <c r="Z434" s="700"/>
    </row>
    <row r="435" ht="18.0" customHeight="1">
      <c r="Y435" s="700"/>
      <c r="Z435" s="700"/>
    </row>
    <row r="436" ht="18.0" customHeight="1">
      <c r="Y436" s="700"/>
      <c r="Z436" s="700"/>
    </row>
    <row r="437" ht="18.0" customHeight="1">
      <c r="Y437" s="700"/>
      <c r="Z437" s="700"/>
    </row>
    <row r="438" ht="18.0" customHeight="1">
      <c r="Y438" s="700"/>
      <c r="Z438" s="700"/>
    </row>
    <row r="439" ht="18.0" customHeight="1">
      <c r="Y439" s="700"/>
      <c r="Z439" s="700"/>
    </row>
    <row r="440" ht="18.0" customHeight="1">
      <c r="Y440" s="700"/>
      <c r="Z440" s="700"/>
    </row>
    <row r="441" ht="18.0" customHeight="1">
      <c r="Y441" s="700"/>
      <c r="Z441" s="700"/>
    </row>
    <row r="442" ht="18.0" customHeight="1">
      <c r="Y442" s="700"/>
      <c r="Z442" s="700"/>
    </row>
    <row r="443" ht="18.0" customHeight="1">
      <c r="Y443" s="700"/>
      <c r="Z443" s="700"/>
    </row>
    <row r="444" ht="18.0" customHeight="1">
      <c r="Y444" s="700"/>
      <c r="Z444" s="700"/>
    </row>
    <row r="445" ht="18.0" customHeight="1">
      <c r="Y445" s="700"/>
      <c r="Z445" s="700"/>
    </row>
    <row r="446" ht="18.0" customHeight="1">
      <c r="Y446" s="700"/>
      <c r="Z446" s="700"/>
    </row>
    <row r="447" ht="18.0" customHeight="1">
      <c r="Y447" s="700"/>
      <c r="Z447" s="700"/>
    </row>
    <row r="448" ht="18.0" customHeight="1">
      <c r="Y448" s="700"/>
      <c r="Z448" s="700"/>
    </row>
    <row r="449" ht="18.0" customHeight="1">
      <c r="Y449" s="700"/>
      <c r="Z449" s="700"/>
    </row>
    <row r="450" ht="18.0" customHeight="1">
      <c r="Y450" s="700"/>
      <c r="Z450" s="700"/>
    </row>
    <row r="451" ht="18.0" customHeight="1">
      <c r="Y451" s="700"/>
      <c r="Z451" s="700"/>
    </row>
    <row r="452" ht="18.0" customHeight="1">
      <c r="Y452" s="700"/>
      <c r="Z452" s="700"/>
    </row>
    <row r="453" ht="18.0" customHeight="1">
      <c r="Y453" s="700"/>
      <c r="Z453" s="700"/>
    </row>
    <row r="454" ht="18.0" customHeight="1">
      <c r="Y454" s="700"/>
      <c r="Z454" s="700"/>
    </row>
    <row r="455" ht="18.0" customHeight="1">
      <c r="Y455" s="700"/>
      <c r="Z455" s="700"/>
    </row>
    <row r="456" ht="18.0" customHeight="1">
      <c r="Y456" s="700"/>
      <c r="Z456" s="700"/>
    </row>
    <row r="457" ht="18.0" customHeight="1">
      <c r="Y457" s="700"/>
      <c r="Z457" s="700"/>
    </row>
    <row r="458" ht="18.0" customHeight="1">
      <c r="Y458" s="700"/>
      <c r="Z458" s="700"/>
    </row>
    <row r="459" ht="18.0" customHeight="1">
      <c r="Y459" s="700"/>
      <c r="Z459" s="700"/>
    </row>
    <row r="460" ht="18.0" customHeight="1">
      <c r="Y460" s="700"/>
      <c r="Z460" s="700"/>
    </row>
    <row r="461" ht="18.0" customHeight="1">
      <c r="Y461" s="700"/>
      <c r="Z461" s="700"/>
    </row>
    <row r="462" ht="18.0" customHeight="1">
      <c r="Y462" s="700"/>
      <c r="Z462" s="700"/>
    </row>
    <row r="463" ht="18.0" customHeight="1">
      <c r="Y463" s="700"/>
      <c r="Z463" s="700"/>
    </row>
    <row r="464" ht="18.0" customHeight="1">
      <c r="Y464" s="700"/>
      <c r="Z464" s="700"/>
    </row>
    <row r="465" ht="18.0" customHeight="1">
      <c r="Y465" s="700"/>
      <c r="Z465" s="700"/>
    </row>
    <row r="466" ht="18.0" customHeight="1">
      <c r="Y466" s="700"/>
      <c r="Z466" s="700"/>
    </row>
    <row r="467" ht="18.0" customHeight="1">
      <c r="Y467" s="700"/>
      <c r="Z467" s="700"/>
    </row>
    <row r="468" ht="18.0" customHeight="1">
      <c r="Y468" s="700"/>
      <c r="Z468" s="700"/>
    </row>
    <row r="469" ht="18.0" customHeight="1">
      <c r="Y469" s="700"/>
      <c r="Z469" s="700"/>
    </row>
    <row r="470" ht="18.0" customHeight="1">
      <c r="Y470" s="700"/>
      <c r="Z470" s="700"/>
    </row>
    <row r="471" ht="18.0" customHeight="1">
      <c r="Y471" s="700"/>
      <c r="Z471" s="700"/>
    </row>
    <row r="472" ht="18.0" customHeight="1">
      <c r="Y472" s="700"/>
      <c r="Z472" s="700"/>
    </row>
    <row r="473" ht="18.0" customHeight="1">
      <c r="Y473" s="700"/>
      <c r="Z473" s="700"/>
    </row>
    <row r="474" ht="18.0" customHeight="1">
      <c r="Y474" s="700"/>
      <c r="Z474" s="700"/>
    </row>
    <row r="475" ht="18.0" customHeight="1">
      <c r="Y475" s="700"/>
      <c r="Z475" s="700"/>
    </row>
    <row r="476" ht="18.0" customHeight="1">
      <c r="Y476" s="700"/>
      <c r="Z476" s="700"/>
    </row>
    <row r="477" ht="18.0" customHeight="1">
      <c r="Y477" s="700"/>
      <c r="Z477" s="700"/>
    </row>
    <row r="478" ht="18.0" customHeight="1">
      <c r="Y478" s="700"/>
      <c r="Z478" s="700"/>
    </row>
    <row r="479" ht="18.0" customHeight="1">
      <c r="Y479" s="700"/>
      <c r="Z479" s="700"/>
    </row>
    <row r="480" ht="18.0" customHeight="1">
      <c r="Y480" s="700"/>
      <c r="Z480" s="700"/>
    </row>
    <row r="481" ht="18.0" customHeight="1">
      <c r="Y481" s="700"/>
      <c r="Z481" s="700"/>
    </row>
    <row r="482" ht="18.0" customHeight="1">
      <c r="Y482" s="700"/>
      <c r="Z482" s="700"/>
    </row>
    <row r="483" ht="18.0" customHeight="1">
      <c r="Y483" s="700"/>
      <c r="Z483" s="700"/>
    </row>
    <row r="484" ht="18.0" customHeight="1">
      <c r="Y484" s="700"/>
      <c r="Z484" s="700"/>
    </row>
    <row r="485" ht="18.0" customHeight="1">
      <c r="Y485" s="700"/>
      <c r="Z485" s="700"/>
    </row>
    <row r="486" ht="18.0" customHeight="1">
      <c r="Y486" s="700"/>
      <c r="Z486" s="700"/>
    </row>
    <row r="487" ht="18.0" customHeight="1">
      <c r="Y487" s="700"/>
      <c r="Z487" s="700"/>
    </row>
    <row r="488" ht="18.0" customHeight="1">
      <c r="Y488" s="700"/>
      <c r="Z488" s="700"/>
    </row>
    <row r="489" ht="18.0" customHeight="1">
      <c r="Y489" s="700"/>
      <c r="Z489" s="700"/>
    </row>
    <row r="490" ht="18.0" customHeight="1">
      <c r="Y490" s="700"/>
      <c r="Z490" s="700"/>
    </row>
    <row r="491" ht="18.0" customHeight="1">
      <c r="Y491" s="700"/>
      <c r="Z491" s="700"/>
    </row>
    <row r="492" ht="18.0" customHeight="1">
      <c r="Y492" s="700"/>
      <c r="Z492" s="700"/>
    </row>
    <row r="493" ht="18.0" customHeight="1">
      <c r="Y493" s="700"/>
      <c r="Z493" s="700"/>
    </row>
    <row r="494" ht="18.0" customHeight="1">
      <c r="Y494" s="700"/>
      <c r="Z494" s="700"/>
    </row>
    <row r="495" ht="18.0" customHeight="1">
      <c r="Y495" s="700"/>
      <c r="Z495" s="700"/>
    </row>
    <row r="496" ht="18.0" customHeight="1">
      <c r="Y496" s="700"/>
      <c r="Z496" s="700"/>
    </row>
    <row r="497" ht="18.0" customHeight="1">
      <c r="Y497" s="700"/>
      <c r="Z497" s="700"/>
    </row>
    <row r="498" ht="18.0" customHeight="1">
      <c r="Y498" s="700"/>
      <c r="Z498" s="700"/>
    </row>
    <row r="499" ht="18.0" customHeight="1">
      <c r="Y499" s="700"/>
      <c r="Z499" s="700"/>
    </row>
    <row r="500" ht="18.0" customHeight="1">
      <c r="Y500" s="700"/>
      <c r="Z500" s="700"/>
    </row>
    <row r="501" ht="18.0" customHeight="1">
      <c r="Y501" s="700"/>
      <c r="Z501" s="700"/>
    </row>
    <row r="502" ht="18.0" customHeight="1">
      <c r="Y502" s="700"/>
      <c r="Z502" s="700"/>
    </row>
    <row r="503" ht="18.0" customHeight="1">
      <c r="Y503" s="700"/>
      <c r="Z503" s="700"/>
    </row>
    <row r="504" ht="18.0" customHeight="1">
      <c r="Y504" s="700"/>
      <c r="Z504" s="700"/>
    </row>
    <row r="505" ht="18.0" customHeight="1">
      <c r="Y505" s="700"/>
      <c r="Z505" s="700"/>
    </row>
    <row r="506" ht="18.0" customHeight="1">
      <c r="Y506" s="700"/>
      <c r="Z506" s="700"/>
    </row>
    <row r="507" ht="18.0" customHeight="1">
      <c r="Y507" s="700"/>
      <c r="Z507" s="700"/>
    </row>
    <row r="508" ht="18.0" customHeight="1">
      <c r="Y508" s="700"/>
      <c r="Z508" s="700"/>
    </row>
    <row r="509" ht="18.0" customHeight="1">
      <c r="Y509" s="700"/>
      <c r="Z509" s="700"/>
    </row>
    <row r="510" ht="18.0" customHeight="1">
      <c r="Y510" s="700"/>
      <c r="Z510" s="700"/>
    </row>
    <row r="511" ht="18.0" customHeight="1">
      <c r="Y511" s="700"/>
      <c r="Z511" s="700"/>
    </row>
    <row r="512" ht="18.0" customHeight="1">
      <c r="Y512" s="700"/>
      <c r="Z512" s="700"/>
    </row>
    <row r="513" ht="18.0" customHeight="1">
      <c r="Y513" s="700"/>
      <c r="Z513" s="700"/>
    </row>
    <row r="514" ht="18.0" customHeight="1">
      <c r="Y514" s="700"/>
      <c r="Z514" s="700"/>
    </row>
    <row r="515" ht="18.0" customHeight="1">
      <c r="Y515" s="700"/>
      <c r="Z515" s="700"/>
    </row>
    <row r="516" ht="18.0" customHeight="1">
      <c r="Y516" s="700"/>
      <c r="Z516" s="700"/>
    </row>
    <row r="517" ht="18.0" customHeight="1">
      <c r="Y517" s="700"/>
      <c r="Z517" s="700"/>
    </row>
    <row r="518" ht="18.0" customHeight="1">
      <c r="Y518" s="700"/>
      <c r="Z518" s="700"/>
    </row>
    <row r="519" ht="18.0" customHeight="1">
      <c r="Y519" s="700"/>
      <c r="Z519" s="700"/>
    </row>
    <row r="520" ht="18.0" customHeight="1">
      <c r="Y520" s="700"/>
      <c r="Z520" s="700"/>
    </row>
    <row r="521" ht="18.0" customHeight="1">
      <c r="Y521" s="700"/>
      <c r="Z521" s="700"/>
    </row>
    <row r="522" ht="18.0" customHeight="1">
      <c r="Y522" s="700"/>
      <c r="Z522" s="700"/>
    </row>
    <row r="523" ht="18.0" customHeight="1">
      <c r="Y523" s="700"/>
      <c r="Z523" s="700"/>
    </row>
    <row r="524" ht="18.0" customHeight="1">
      <c r="Y524" s="700"/>
      <c r="Z524" s="700"/>
    </row>
    <row r="525" ht="18.0" customHeight="1">
      <c r="Y525" s="700"/>
      <c r="Z525" s="700"/>
    </row>
    <row r="526" ht="18.0" customHeight="1">
      <c r="Y526" s="700"/>
      <c r="Z526" s="700"/>
    </row>
    <row r="527" ht="18.0" customHeight="1">
      <c r="Y527" s="700"/>
      <c r="Z527" s="700"/>
    </row>
    <row r="528" ht="18.0" customHeight="1">
      <c r="Y528" s="700"/>
      <c r="Z528" s="700"/>
    </row>
    <row r="529" ht="18.0" customHeight="1">
      <c r="Y529" s="700"/>
      <c r="Z529" s="700"/>
    </row>
    <row r="530" ht="18.0" customHeight="1">
      <c r="Y530" s="700"/>
      <c r="Z530" s="700"/>
    </row>
    <row r="531" ht="18.0" customHeight="1">
      <c r="Y531" s="700"/>
      <c r="Z531" s="700"/>
    </row>
    <row r="532" ht="18.0" customHeight="1">
      <c r="Y532" s="700"/>
      <c r="Z532" s="700"/>
    </row>
    <row r="533" ht="18.0" customHeight="1">
      <c r="Y533" s="700"/>
      <c r="Z533" s="700"/>
    </row>
    <row r="534" ht="18.0" customHeight="1">
      <c r="Y534" s="700"/>
      <c r="Z534" s="700"/>
    </row>
    <row r="535" ht="18.0" customHeight="1">
      <c r="Y535" s="700"/>
      <c r="Z535" s="700"/>
    </row>
    <row r="536" ht="18.0" customHeight="1">
      <c r="Y536" s="700"/>
      <c r="Z536" s="700"/>
    </row>
    <row r="537" ht="18.0" customHeight="1">
      <c r="Y537" s="700"/>
      <c r="Z537" s="700"/>
    </row>
    <row r="538" ht="18.0" customHeight="1">
      <c r="Y538" s="700"/>
      <c r="Z538" s="700"/>
    </row>
    <row r="539" ht="18.0" customHeight="1">
      <c r="Y539" s="700"/>
      <c r="Z539" s="700"/>
    </row>
    <row r="540" ht="18.0" customHeight="1">
      <c r="Y540" s="700"/>
      <c r="Z540" s="700"/>
    </row>
    <row r="541" ht="18.0" customHeight="1">
      <c r="Y541" s="700"/>
      <c r="Z541" s="700"/>
    </row>
    <row r="542" ht="18.0" customHeight="1">
      <c r="Y542" s="700"/>
      <c r="Z542" s="700"/>
    </row>
    <row r="543" ht="18.0" customHeight="1">
      <c r="Y543" s="700"/>
      <c r="Z543" s="700"/>
    </row>
    <row r="544" ht="18.0" customHeight="1">
      <c r="Y544" s="700"/>
      <c r="Z544" s="700"/>
    </row>
    <row r="545" ht="18.0" customHeight="1">
      <c r="Y545" s="700"/>
      <c r="Z545" s="700"/>
    </row>
    <row r="546" ht="18.0" customHeight="1">
      <c r="Y546" s="700"/>
      <c r="Z546" s="700"/>
    </row>
    <row r="547" ht="18.0" customHeight="1">
      <c r="Y547" s="700"/>
      <c r="Z547" s="700"/>
    </row>
    <row r="548" ht="18.0" customHeight="1">
      <c r="Y548" s="700"/>
      <c r="Z548" s="700"/>
    </row>
    <row r="549" ht="18.0" customHeight="1">
      <c r="Y549" s="700"/>
      <c r="Z549" s="700"/>
    </row>
    <row r="550" ht="18.0" customHeight="1">
      <c r="Y550" s="700"/>
      <c r="Z550" s="700"/>
    </row>
    <row r="551" ht="18.0" customHeight="1">
      <c r="Y551" s="700"/>
      <c r="Z551" s="700"/>
    </row>
    <row r="552" ht="18.0" customHeight="1">
      <c r="Y552" s="700"/>
      <c r="Z552" s="700"/>
    </row>
    <row r="553" ht="18.0" customHeight="1">
      <c r="Y553" s="700"/>
      <c r="Z553" s="700"/>
    </row>
    <row r="554" ht="18.0" customHeight="1">
      <c r="Y554" s="700"/>
      <c r="Z554" s="700"/>
    </row>
    <row r="555" ht="18.0" customHeight="1">
      <c r="Y555" s="700"/>
      <c r="Z555" s="700"/>
    </row>
    <row r="556" ht="18.0" customHeight="1">
      <c r="Y556" s="700"/>
      <c r="Z556" s="700"/>
    </row>
    <row r="557" ht="18.0" customHeight="1">
      <c r="Y557" s="700"/>
      <c r="Z557" s="700"/>
    </row>
    <row r="558" ht="18.0" customHeight="1">
      <c r="Y558" s="700"/>
      <c r="Z558" s="700"/>
    </row>
    <row r="559" ht="18.0" customHeight="1">
      <c r="Y559" s="700"/>
      <c r="Z559" s="700"/>
    </row>
    <row r="560" ht="18.0" customHeight="1">
      <c r="Y560" s="700"/>
      <c r="Z560" s="700"/>
    </row>
    <row r="561" ht="18.0" customHeight="1">
      <c r="Y561" s="700"/>
      <c r="Z561" s="700"/>
    </row>
    <row r="562" ht="18.0" customHeight="1">
      <c r="Y562" s="700"/>
      <c r="Z562" s="700"/>
    </row>
    <row r="563" ht="18.0" customHeight="1">
      <c r="Y563" s="700"/>
      <c r="Z563" s="700"/>
    </row>
    <row r="564" ht="18.0" customHeight="1">
      <c r="Y564" s="700"/>
      <c r="Z564" s="700"/>
    </row>
    <row r="565" ht="18.0" customHeight="1">
      <c r="Y565" s="700"/>
      <c r="Z565" s="700"/>
    </row>
    <row r="566" ht="18.0" customHeight="1">
      <c r="Y566" s="700"/>
      <c r="Z566" s="700"/>
    </row>
    <row r="567" ht="18.0" customHeight="1">
      <c r="Y567" s="700"/>
      <c r="Z567" s="700"/>
    </row>
    <row r="568" ht="18.0" customHeight="1">
      <c r="Y568" s="700"/>
      <c r="Z568" s="700"/>
    </row>
    <row r="569" ht="18.0" customHeight="1">
      <c r="Y569" s="700"/>
      <c r="Z569" s="700"/>
    </row>
    <row r="570" ht="18.0" customHeight="1">
      <c r="Y570" s="700"/>
      <c r="Z570" s="700"/>
    </row>
    <row r="571" ht="18.0" customHeight="1">
      <c r="Y571" s="700"/>
      <c r="Z571" s="700"/>
    </row>
    <row r="572" ht="18.0" customHeight="1">
      <c r="Y572" s="700"/>
      <c r="Z572" s="700"/>
    </row>
    <row r="573" ht="18.0" customHeight="1">
      <c r="Y573" s="700"/>
      <c r="Z573" s="700"/>
    </row>
    <row r="574" ht="18.0" customHeight="1">
      <c r="Y574" s="700"/>
      <c r="Z574" s="700"/>
    </row>
    <row r="575" ht="18.0" customHeight="1">
      <c r="Y575" s="700"/>
      <c r="Z575" s="700"/>
    </row>
    <row r="576" ht="18.0" customHeight="1">
      <c r="Y576" s="700"/>
      <c r="Z576" s="700"/>
    </row>
    <row r="577" ht="18.0" customHeight="1">
      <c r="Y577" s="700"/>
      <c r="Z577" s="700"/>
    </row>
    <row r="578" ht="18.0" customHeight="1">
      <c r="Y578" s="700"/>
      <c r="Z578" s="700"/>
    </row>
    <row r="579" ht="18.0" customHeight="1">
      <c r="Y579" s="700"/>
      <c r="Z579" s="700"/>
    </row>
    <row r="580" ht="18.0" customHeight="1">
      <c r="Y580" s="700"/>
      <c r="Z580" s="700"/>
    </row>
    <row r="581" ht="18.0" customHeight="1">
      <c r="Y581" s="700"/>
      <c r="Z581" s="700"/>
    </row>
    <row r="582" ht="18.0" customHeight="1">
      <c r="Y582" s="700"/>
      <c r="Z582" s="700"/>
    </row>
    <row r="583" ht="18.0" customHeight="1">
      <c r="Y583" s="700"/>
      <c r="Z583" s="700"/>
    </row>
    <row r="584" ht="18.0" customHeight="1">
      <c r="Y584" s="700"/>
      <c r="Z584" s="700"/>
    </row>
    <row r="585" ht="18.0" customHeight="1">
      <c r="Y585" s="700"/>
      <c r="Z585" s="700"/>
    </row>
    <row r="586" ht="18.0" customHeight="1">
      <c r="Y586" s="700"/>
      <c r="Z586" s="700"/>
    </row>
    <row r="587" ht="18.0" customHeight="1">
      <c r="Y587" s="700"/>
      <c r="Z587" s="700"/>
    </row>
    <row r="588" ht="18.0" customHeight="1">
      <c r="Y588" s="700"/>
      <c r="Z588" s="700"/>
    </row>
    <row r="589" ht="18.0" customHeight="1">
      <c r="Y589" s="700"/>
      <c r="Z589" s="700"/>
    </row>
    <row r="590" ht="18.0" customHeight="1">
      <c r="Y590" s="700"/>
      <c r="Z590" s="700"/>
    </row>
    <row r="591" ht="18.0" customHeight="1">
      <c r="Y591" s="700"/>
      <c r="Z591" s="700"/>
    </row>
    <row r="592" ht="18.0" customHeight="1">
      <c r="Y592" s="700"/>
      <c r="Z592" s="700"/>
    </row>
    <row r="593" ht="18.0" customHeight="1">
      <c r="Y593" s="700"/>
      <c r="Z593" s="700"/>
    </row>
    <row r="594" ht="18.0" customHeight="1">
      <c r="Y594" s="700"/>
      <c r="Z594" s="700"/>
    </row>
    <row r="595" ht="18.0" customHeight="1">
      <c r="Y595" s="700"/>
      <c r="Z595" s="700"/>
    </row>
    <row r="596" ht="18.0" customHeight="1">
      <c r="Y596" s="700"/>
      <c r="Z596" s="700"/>
    </row>
    <row r="597" ht="18.0" customHeight="1">
      <c r="Y597" s="700"/>
      <c r="Z597" s="700"/>
    </row>
    <row r="598" ht="18.0" customHeight="1">
      <c r="Y598" s="700"/>
      <c r="Z598" s="700"/>
    </row>
    <row r="599" ht="18.0" customHeight="1">
      <c r="Y599" s="700"/>
      <c r="Z599" s="700"/>
    </row>
    <row r="600" ht="18.0" customHeight="1">
      <c r="Y600" s="700"/>
      <c r="Z600" s="700"/>
    </row>
    <row r="601" ht="18.0" customHeight="1">
      <c r="Y601" s="700"/>
      <c r="Z601" s="700"/>
    </row>
    <row r="602" ht="18.0" customHeight="1">
      <c r="Y602" s="700"/>
      <c r="Z602" s="700"/>
    </row>
    <row r="603" ht="18.0" customHeight="1">
      <c r="Y603" s="700"/>
      <c r="Z603" s="700"/>
    </row>
    <row r="604" ht="18.0" customHeight="1">
      <c r="Y604" s="700"/>
      <c r="Z604" s="700"/>
    </row>
    <row r="605" ht="18.0" customHeight="1">
      <c r="Y605" s="700"/>
      <c r="Z605" s="700"/>
    </row>
    <row r="606" ht="18.0" customHeight="1">
      <c r="Y606" s="700"/>
      <c r="Z606" s="700"/>
    </row>
    <row r="607" ht="18.0" customHeight="1">
      <c r="Y607" s="700"/>
      <c r="Z607" s="700"/>
    </row>
    <row r="608" ht="18.0" customHeight="1">
      <c r="Y608" s="700"/>
      <c r="Z608" s="700"/>
    </row>
    <row r="609" ht="18.0" customHeight="1">
      <c r="Y609" s="700"/>
      <c r="Z609" s="700"/>
    </row>
    <row r="610" ht="18.0" customHeight="1">
      <c r="Y610" s="700"/>
      <c r="Z610" s="700"/>
    </row>
    <row r="611" ht="18.0" customHeight="1">
      <c r="Y611" s="700"/>
      <c r="Z611" s="700"/>
    </row>
    <row r="612" ht="18.0" customHeight="1">
      <c r="Y612" s="700"/>
      <c r="Z612" s="700"/>
    </row>
    <row r="613" ht="18.0" customHeight="1">
      <c r="Y613" s="700"/>
      <c r="Z613" s="700"/>
    </row>
    <row r="614" ht="18.0" customHeight="1">
      <c r="Y614" s="700"/>
      <c r="Z614" s="700"/>
    </row>
    <row r="615" ht="18.0" customHeight="1">
      <c r="Y615" s="700"/>
      <c r="Z615" s="700"/>
    </row>
    <row r="616" ht="18.0" customHeight="1">
      <c r="Y616" s="700"/>
      <c r="Z616" s="700"/>
    </row>
    <row r="617" ht="18.0" customHeight="1">
      <c r="Y617" s="700"/>
      <c r="Z617" s="700"/>
    </row>
    <row r="618" ht="18.0" customHeight="1">
      <c r="Y618" s="700"/>
      <c r="Z618" s="700"/>
    </row>
    <row r="619" ht="18.0" customHeight="1">
      <c r="Y619" s="700"/>
      <c r="Z619" s="700"/>
    </row>
    <row r="620" ht="18.0" customHeight="1">
      <c r="Y620" s="700"/>
      <c r="Z620" s="700"/>
    </row>
    <row r="621" ht="18.0" customHeight="1">
      <c r="Y621" s="700"/>
      <c r="Z621" s="700"/>
    </row>
    <row r="622" ht="18.0" customHeight="1">
      <c r="Y622" s="700"/>
      <c r="Z622" s="700"/>
    </row>
    <row r="623" ht="18.0" customHeight="1">
      <c r="Y623" s="700"/>
      <c r="Z623" s="700"/>
    </row>
    <row r="624" ht="18.0" customHeight="1">
      <c r="Y624" s="700"/>
      <c r="Z624" s="700"/>
    </row>
    <row r="625" ht="18.0" customHeight="1">
      <c r="Y625" s="700"/>
      <c r="Z625" s="700"/>
    </row>
    <row r="626" ht="18.0" customHeight="1">
      <c r="Y626" s="700"/>
      <c r="Z626" s="700"/>
    </row>
    <row r="627" ht="18.0" customHeight="1">
      <c r="Y627" s="700"/>
      <c r="Z627" s="700"/>
    </row>
    <row r="628" ht="18.0" customHeight="1">
      <c r="Y628" s="700"/>
      <c r="Z628" s="700"/>
    </row>
    <row r="629" ht="18.0" customHeight="1">
      <c r="Y629" s="700"/>
      <c r="Z629" s="700"/>
    </row>
    <row r="630" ht="18.0" customHeight="1">
      <c r="Y630" s="700"/>
      <c r="Z630" s="700"/>
    </row>
    <row r="631" ht="18.0" customHeight="1">
      <c r="Y631" s="700"/>
      <c r="Z631" s="700"/>
    </row>
    <row r="632" ht="18.0" customHeight="1">
      <c r="Y632" s="700"/>
      <c r="Z632" s="700"/>
    </row>
    <row r="633" ht="18.0" customHeight="1">
      <c r="Y633" s="700"/>
      <c r="Z633" s="700"/>
    </row>
    <row r="634" ht="18.0" customHeight="1">
      <c r="Y634" s="700"/>
      <c r="Z634" s="700"/>
    </row>
    <row r="635" ht="18.0" customHeight="1">
      <c r="Y635" s="700"/>
      <c r="Z635" s="700"/>
    </row>
    <row r="636" ht="18.0" customHeight="1">
      <c r="Y636" s="700"/>
      <c r="Z636" s="700"/>
    </row>
    <row r="637" ht="18.0" customHeight="1">
      <c r="Y637" s="700"/>
      <c r="Z637" s="700"/>
    </row>
    <row r="638" ht="18.0" customHeight="1">
      <c r="Y638" s="700"/>
      <c r="Z638" s="700"/>
    </row>
    <row r="639" ht="18.0" customHeight="1">
      <c r="Y639" s="700"/>
      <c r="Z639" s="700"/>
    </row>
    <row r="640" ht="18.0" customHeight="1">
      <c r="Y640" s="700"/>
      <c r="Z640" s="700"/>
    </row>
    <row r="641" ht="18.0" customHeight="1">
      <c r="Y641" s="700"/>
      <c r="Z641" s="700"/>
    </row>
    <row r="642" ht="18.0" customHeight="1">
      <c r="Y642" s="700"/>
      <c r="Z642" s="700"/>
    </row>
    <row r="643" ht="18.0" customHeight="1">
      <c r="Y643" s="700"/>
      <c r="Z643" s="700"/>
    </row>
    <row r="644" ht="18.0" customHeight="1">
      <c r="Y644" s="700"/>
      <c r="Z644" s="700"/>
    </row>
    <row r="645" ht="18.0" customHeight="1">
      <c r="Y645" s="700"/>
      <c r="Z645" s="700"/>
    </row>
    <row r="646" ht="18.0" customHeight="1">
      <c r="Y646" s="700"/>
      <c r="Z646" s="700"/>
    </row>
    <row r="647" ht="18.0" customHeight="1">
      <c r="Y647" s="700"/>
      <c r="Z647" s="700"/>
    </row>
    <row r="648" ht="18.0" customHeight="1">
      <c r="Y648" s="700"/>
      <c r="Z648" s="700"/>
    </row>
    <row r="649" ht="18.0" customHeight="1">
      <c r="Y649" s="700"/>
      <c r="Z649" s="700"/>
    </row>
    <row r="650" ht="18.0" customHeight="1">
      <c r="Y650" s="700"/>
      <c r="Z650" s="700"/>
    </row>
    <row r="651" ht="18.0" customHeight="1">
      <c r="Y651" s="700"/>
      <c r="Z651" s="700"/>
    </row>
    <row r="652" ht="18.0" customHeight="1">
      <c r="Y652" s="700"/>
      <c r="Z652" s="700"/>
    </row>
    <row r="653" ht="18.0" customHeight="1">
      <c r="Y653" s="700"/>
      <c r="Z653" s="700"/>
    </row>
    <row r="654" ht="18.0" customHeight="1">
      <c r="Y654" s="700"/>
      <c r="Z654" s="700"/>
    </row>
    <row r="655" ht="18.0" customHeight="1">
      <c r="Y655" s="700"/>
      <c r="Z655" s="700"/>
    </row>
    <row r="656" ht="18.0" customHeight="1">
      <c r="Y656" s="700"/>
      <c r="Z656" s="700"/>
    </row>
    <row r="657" ht="18.0" customHeight="1">
      <c r="Y657" s="700"/>
      <c r="Z657" s="700"/>
    </row>
    <row r="658" ht="18.0" customHeight="1">
      <c r="Y658" s="700"/>
      <c r="Z658" s="700"/>
    </row>
    <row r="659" ht="18.0" customHeight="1">
      <c r="Y659" s="700"/>
      <c r="Z659" s="700"/>
    </row>
    <row r="660" ht="18.0" customHeight="1">
      <c r="Y660" s="700"/>
      <c r="Z660" s="700"/>
    </row>
    <row r="661" ht="18.0" customHeight="1">
      <c r="Y661" s="700"/>
      <c r="Z661" s="700"/>
    </row>
    <row r="662" ht="18.0" customHeight="1">
      <c r="Y662" s="700"/>
      <c r="Z662" s="700"/>
    </row>
    <row r="663" ht="18.0" customHeight="1">
      <c r="Y663" s="700"/>
      <c r="Z663" s="700"/>
    </row>
    <row r="664" ht="18.0" customHeight="1">
      <c r="Y664" s="700"/>
      <c r="Z664" s="700"/>
    </row>
    <row r="665" ht="18.0" customHeight="1">
      <c r="Y665" s="700"/>
      <c r="Z665" s="700"/>
    </row>
    <row r="666" ht="18.0" customHeight="1">
      <c r="Y666" s="700"/>
      <c r="Z666" s="700"/>
    </row>
    <row r="667" ht="18.0" customHeight="1">
      <c r="Y667" s="700"/>
      <c r="Z667" s="700"/>
    </row>
    <row r="668" ht="18.0" customHeight="1">
      <c r="Y668" s="700"/>
      <c r="Z668" s="700"/>
    </row>
    <row r="669" ht="18.0" customHeight="1">
      <c r="Y669" s="700"/>
      <c r="Z669" s="700"/>
    </row>
    <row r="670" ht="18.0" customHeight="1">
      <c r="Y670" s="700"/>
      <c r="Z670" s="700"/>
    </row>
    <row r="671" ht="18.0" customHeight="1">
      <c r="Y671" s="700"/>
      <c r="Z671" s="700"/>
    </row>
    <row r="672" ht="18.0" customHeight="1">
      <c r="Y672" s="700"/>
      <c r="Z672" s="700"/>
    </row>
    <row r="673" ht="18.0" customHeight="1">
      <c r="Y673" s="700"/>
      <c r="Z673" s="700"/>
    </row>
    <row r="674" ht="18.0" customHeight="1">
      <c r="Y674" s="700"/>
      <c r="Z674" s="700"/>
    </row>
    <row r="675" ht="18.0" customHeight="1">
      <c r="Y675" s="700"/>
      <c r="Z675" s="700"/>
    </row>
    <row r="676" ht="18.0" customHeight="1">
      <c r="Y676" s="700"/>
      <c r="Z676" s="700"/>
    </row>
    <row r="677" ht="18.0" customHeight="1">
      <c r="Y677" s="700"/>
      <c r="Z677" s="700"/>
    </row>
    <row r="678" ht="18.0" customHeight="1">
      <c r="Y678" s="700"/>
      <c r="Z678" s="700"/>
    </row>
    <row r="679" ht="18.0" customHeight="1">
      <c r="Y679" s="700"/>
      <c r="Z679" s="700"/>
    </row>
    <row r="680" ht="18.0" customHeight="1">
      <c r="Y680" s="700"/>
      <c r="Z680" s="700"/>
    </row>
    <row r="681" ht="18.0" customHeight="1">
      <c r="Y681" s="700"/>
      <c r="Z681" s="700"/>
    </row>
    <row r="682" ht="18.0" customHeight="1">
      <c r="Y682" s="700"/>
      <c r="Z682" s="700"/>
    </row>
    <row r="683" ht="18.0" customHeight="1">
      <c r="Y683" s="700"/>
      <c r="Z683" s="700"/>
    </row>
    <row r="684" ht="18.0" customHeight="1">
      <c r="Y684" s="700"/>
      <c r="Z684" s="700"/>
    </row>
    <row r="685" ht="18.0" customHeight="1">
      <c r="Y685" s="700"/>
      <c r="Z685" s="700"/>
    </row>
    <row r="686" ht="18.0" customHeight="1">
      <c r="Y686" s="700"/>
      <c r="Z686" s="700"/>
    </row>
    <row r="687" ht="18.0" customHeight="1">
      <c r="Y687" s="700"/>
      <c r="Z687" s="700"/>
    </row>
    <row r="688" ht="18.0" customHeight="1">
      <c r="Y688" s="700"/>
      <c r="Z688" s="700"/>
    </row>
    <row r="689" ht="18.0" customHeight="1">
      <c r="Y689" s="700"/>
      <c r="Z689" s="700"/>
    </row>
    <row r="690" ht="18.0" customHeight="1">
      <c r="Y690" s="700"/>
      <c r="Z690" s="700"/>
    </row>
    <row r="691" ht="18.0" customHeight="1">
      <c r="Y691" s="700"/>
      <c r="Z691" s="700"/>
    </row>
    <row r="692" ht="18.0" customHeight="1">
      <c r="Y692" s="700"/>
      <c r="Z692" s="700"/>
    </row>
    <row r="693" ht="18.0" customHeight="1">
      <c r="Y693" s="700"/>
      <c r="Z693" s="700"/>
    </row>
    <row r="694" ht="18.0" customHeight="1">
      <c r="Y694" s="700"/>
      <c r="Z694" s="700"/>
    </row>
    <row r="695" ht="18.0" customHeight="1">
      <c r="Y695" s="700"/>
      <c r="Z695" s="700"/>
    </row>
    <row r="696" ht="18.0" customHeight="1">
      <c r="Y696" s="700"/>
      <c r="Z696" s="700"/>
    </row>
    <row r="697" ht="18.0" customHeight="1">
      <c r="Y697" s="700"/>
      <c r="Z697" s="700"/>
    </row>
    <row r="698" ht="18.0" customHeight="1">
      <c r="Y698" s="700"/>
      <c r="Z698" s="700"/>
    </row>
    <row r="699" ht="18.0" customHeight="1">
      <c r="Y699" s="700"/>
      <c r="Z699" s="700"/>
    </row>
    <row r="700" ht="18.0" customHeight="1">
      <c r="Y700" s="700"/>
      <c r="Z700" s="700"/>
    </row>
    <row r="701" ht="18.0" customHeight="1">
      <c r="Y701" s="700"/>
      <c r="Z701" s="700"/>
    </row>
    <row r="702" ht="18.0" customHeight="1">
      <c r="Y702" s="700"/>
      <c r="Z702" s="700"/>
    </row>
    <row r="703" ht="18.0" customHeight="1">
      <c r="Y703" s="700"/>
      <c r="Z703" s="700"/>
    </row>
    <row r="704" ht="18.0" customHeight="1">
      <c r="Y704" s="700"/>
      <c r="Z704" s="700"/>
    </row>
    <row r="705" ht="18.0" customHeight="1">
      <c r="Y705" s="700"/>
      <c r="Z705" s="700"/>
    </row>
    <row r="706" ht="18.0" customHeight="1">
      <c r="Y706" s="700"/>
      <c r="Z706" s="700"/>
    </row>
    <row r="707" ht="18.0" customHeight="1">
      <c r="Y707" s="700"/>
      <c r="Z707" s="700"/>
    </row>
    <row r="708" ht="18.0" customHeight="1">
      <c r="Y708" s="700"/>
      <c r="Z708" s="700"/>
    </row>
    <row r="709" ht="18.0" customHeight="1">
      <c r="Y709" s="700"/>
      <c r="Z709" s="700"/>
    </row>
    <row r="710" ht="18.0" customHeight="1">
      <c r="Y710" s="700"/>
      <c r="Z710" s="700"/>
    </row>
    <row r="711" ht="18.0" customHeight="1">
      <c r="Y711" s="700"/>
      <c r="Z711" s="700"/>
    </row>
    <row r="712" ht="18.0" customHeight="1">
      <c r="Y712" s="700"/>
      <c r="Z712" s="700"/>
    </row>
    <row r="713" ht="18.0" customHeight="1">
      <c r="Y713" s="700"/>
      <c r="Z713" s="700"/>
    </row>
    <row r="714" ht="18.0" customHeight="1">
      <c r="Y714" s="700"/>
      <c r="Z714" s="700"/>
    </row>
    <row r="715" ht="18.0" customHeight="1">
      <c r="Y715" s="700"/>
      <c r="Z715" s="700"/>
    </row>
    <row r="716" ht="18.0" customHeight="1">
      <c r="Y716" s="700"/>
      <c r="Z716" s="700"/>
    </row>
    <row r="717" ht="18.0" customHeight="1">
      <c r="Y717" s="700"/>
      <c r="Z717" s="700"/>
    </row>
    <row r="718" ht="18.0" customHeight="1">
      <c r="Y718" s="700"/>
      <c r="Z718" s="700"/>
    </row>
    <row r="719" ht="18.0" customHeight="1">
      <c r="Y719" s="700"/>
      <c r="Z719" s="700"/>
    </row>
    <row r="720" ht="18.0" customHeight="1">
      <c r="Y720" s="700"/>
      <c r="Z720" s="700"/>
    </row>
    <row r="721" ht="18.0" customHeight="1">
      <c r="Y721" s="700"/>
      <c r="Z721" s="700"/>
    </row>
    <row r="722" ht="18.0" customHeight="1">
      <c r="Y722" s="700"/>
      <c r="Z722" s="700"/>
    </row>
    <row r="723" ht="18.0" customHeight="1">
      <c r="Y723" s="700"/>
      <c r="Z723" s="700"/>
    </row>
    <row r="724" ht="18.0" customHeight="1">
      <c r="Y724" s="700"/>
      <c r="Z724" s="700"/>
    </row>
    <row r="725" ht="18.0" customHeight="1">
      <c r="Y725" s="700"/>
      <c r="Z725" s="700"/>
    </row>
    <row r="726" ht="18.0" customHeight="1">
      <c r="Y726" s="700"/>
      <c r="Z726" s="700"/>
    </row>
    <row r="727" ht="18.0" customHeight="1">
      <c r="Y727" s="700"/>
      <c r="Z727" s="700"/>
    </row>
    <row r="728" ht="18.0" customHeight="1">
      <c r="Y728" s="700"/>
      <c r="Z728" s="700"/>
    </row>
    <row r="729" ht="18.0" customHeight="1">
      <c r="Y729" s="700"/>
      <c r="Z729" s="700"/>
    </row>
    <row r="730" ht="18.0" customHeight="1">
      <c r="Y730" s="700"/>
      <c r="Z730" s="700"/>
    </row>
    <row r="731" ht="18.0" customHeight="1">
      <c r="Y731" s="700"/>
      <c r="Z731" s="700"/>
    </row>
    <row r="732" ht="18.0" customHeight="1">
      <c r="Y732" s="700"/>
      <c r="Z732" s="700"/>
    </row>
    <row r="733" ht="18.0" customHeight="1">
      <c r="Y733" s="700"/>
      <c r="Z733" s="700"/>
    </row>
    <row r="734" ht="18.0" customHeight="1">
      <c r="Y734" s="700"/>
      <c r="Z734" s="700"/>
    </row>
    <row r="735" ht="18.0" customHeight="1">
      <c r="Y735" s="700"/>
      <c r="Z735" s="700"/>
    </row>
    <row r="736" ht="18.0" customHeight="1">
      <c r="Y736" s="700"/>
      <c r="Z736" s="700"/>
    </row>
    <row r="737" ht="18.0" customHeight="1">
      <c r="Y737" s="700"/>
      <c r="Z737" s="700"/>
    </row>
    <row r="738" ht="18.0" customHeight="1">
      <c r="Y738" s="700"/>
      <c r="Z738" s="700"/>
    </row>
    <row r="739" ht="18.0" customHeight="1">
      <c r="Y739" s="700"/>
      <c r="Z739" s="700"/>
    </row>
    <row r="740" ht="18.0" customHeight="1">
      <c r="Y740" s="700"/>
      <c r="Z740" s="700"/>
    </row>
    <row r="741" ht="18.0" customHeight="1">
      <c r="Y741" s="700"/>
      <c r="Z741" s="700"/>
    </row>
    <row r="742" ht="18.0" customHeight="1">
      <c r="Y742" s="700"/>
      <c r="Z742" s="700"/>
    </row>
    <row r="743" ht="18.0" customHeight="1">
      <c r="Y743" s="700"/>
      <c r="Z743" s="700"/>
    </row>
    <row r="744" ht="18.0" customHeight="1">
      <c r="Y744" s="700"/>
      <c r="Z744" s="700"/>
    </row>
    <row r="745" ht="18.0" customHeight="1">
      <c r="Y745" s="700"/>
      <c r="Z745" s="700"/>
    </row>
    <row r="746" ht="18.0" customHeight="1">
      <c r="Y746" s="700"/>
      <c r="Z746" s="700"/>
    </row>
    <row r="747" ht="18.0" customHeight="1">
      <c r="Y747" s="700"/>
      <c r="Z747" s="700"/>
    </row>
    <row r="748" ht="18.0" customHeight="1">
      <c r="Y748" s="700"/>
      <c r="Z748" s="700"/>
    </row>
    <row r="749" ht="18.0" customHeight="1">
      <c r="Y749" s="700"/>
      <c r="Z749" s="700"/>
    </row>
    <row r="750" ht="18.0" customHeight="1">
      <c r="Y750" s="700"/>
      <c r="Z750" s="700"/>
    </row>
    <row r="751" ht="18.0" customHeight="1">
      <c r="Y751" s="700"/>
      <c r="Z751" s="700"/>
    </row>
    <row r="752" ht="18.0" customHeight="1">
      <c r="Y752" s="700"/>
      <c r="Z752" s="700"/>
    </row>
    <row r="753" ht="18.0" customHeight="1">
      <c r="Y753" s="700"/>
      <c r="Z753" s="700"/>
    </row>
    <row r="754" ht="18.0" customHeight="1">
      <c r="Y754" s="700"/>
      <c r="Z754" s="700"/>
    </row>
    <row r="755" ht="18.0" customHeight="1">
      <c r="Y755" s="700"/>
      <c r="Z755" s="700"/>
    </row>
    <row r="756" ht="18.0" customHeight="1">
      <c r="Y756" s="700"/>
      <c r="Z756" s="700"/>
    </row>
    <row r="757" ht="18.0" customHeight="1">
      <c r="Y757" s="700"/>
      <c r="Z757" s="700"/>
    </row>
    <row r="758" ht="18.0" customHeight="1">
      <c r="Y758" s="700"/>
      <c r="Z758" s="700"/>
    </row>
    <row r="759" ht="18.0" customHeight="1">
      <c r="Y759" s="700"/>
      <c r="Z759" s="700"/>
    </row>
    <row r="760" ht="18.0" customHeight="1">
      <c r="Y760" s="700"/>
      <c r="Z760" s="700"/>
    </row>
    <row r="761" ht="18.0" customHeight="1">
      <c r="Y761" s="700"/>
      <c r="Z761" s="700"/>
    </row>
    <row r="762" ht="18.0" customHeight="1">
      <c r="Y762" s="700"/>
      <c r="Z762" s="700"/>
    </row>
    <row r="763" ht="18.0" customHeight="1">
      <c r="Y763" s="700"/>
      <c r="Z763" s="700"/>
    </row>
    <row r="764" ht="18.0" customHeight="1">
      <c r="Y764" s="700"/>
      <c r="Z764" s="700"/>
    </row>
    <row r="765" ht="18.0" customHeight="1">
      <c r="Y765" s="700"/>
      <c r="Z765" s="700"/>
    </row>
    <row r="766" ht="18.0" customHeight="1">
      <c r="Y766" s="700"/>
      <c r="Z766" s="700"/>
    </row>
    <row r="767" ht="18.0" customHeight="1">
      <c r="Y767" s="700"/>
      <c r="Z767" s="700"/>
    </row>
    <row r="768" ht="18.0" customHeight="1">
      <c r="Y768" s="700"/>
      <c r="Z768" s="700"/>
    </row>
    <row r="769" ht="18.0" customHeight="1">
      <c r="Y769" s="700"/>
      <c r="Z769" s="700"/>
    </row>
    <row r="770" ht="18.0" customHeight="1">
      <c r="Y770" s="700"/>
      <c r="Z770" s="700"/>
    </row>
    <row r="771" ht="18.0" customHeight="1">
      <c r="Y771" s="700"/>
      <c r="Z771" s="700"/>
    </row>
    <row r="772" ht="18.0" customHeight="1">
      <c r="Y772" s="700"/>
      <c r="Z772" s="700"/>
    </row>
    <row r="773" ht="18.0" customHeight="1">
      <c r="Y773" s="700"/>
      <c r="Z773" s="700"/>
    </row>
    <row r="774" ht="18.0" customHeight="1">
      <c r="Y774" s="700"/>
      <c r="Z774" s="700"/>
    </row>
    <row r="775" ht="18.0" customHeight="1">
      <c r="Y775" s="700"/>
      <c r="Z775" s="700"/>
    </row>
    <row r="776" ht="18.0" customHeight="1">
      <c r="Y776" s="700"/>
      <c r="Z776" s="700"/>
    </row>
    <row r="777" ht="18.0" customHeight="1">
      <c r="Y777" s="700"/>
      <c r="Z777" s="700"/>
    </row>
    <row r="778" ht="18.0" customHeight="1">
      <c r="Y778" s="700"/>
      <c r="Z778" s="700"/>
    </row>
    <row r="779" ht="18.0" customHeight="1">
      <c r="Y779" s="700"/>
      <c r="Z779" s="700"/>
    </row>
    <row r="780" ht="18.0" customHeight="1">
      <c r="Y780" s="700"/>
      <c r="Z780" s="700"/>
    </row>
    <row r="781" ht="18.0" customHeight="1">
      <c r="Y781" s="700"/>
      <c r="Z781" s="700"/>
    </row>
    <row r="782" ht="18.0" customHeight="1">
      <c r="Y782" s="700"/>
      <c r="Z782" s="700"/>
    </row>
    <row r="783" ht="18.0" customHeight="1">
      <c r="Y783" s="700"/>
      <c r="Z783" s="700"/>
    </row>
    <row r="784" ht="18.0" customHeight="1">
      <c r="Y784" s="700"/>
      <c r="Z784" s="700"/>
    </row>
    <row r="785" ht="18.0" customHeight="1">
      <c r="Y785" s="700"/>
      <c r="Z785" s="700"/>
    </row>
    <row r="786" ht="18.0" customHeight="1">
      <c r="Y786" s="700"/>
      <c r="Z786" s="700"/>
    </row>
    <row r="787" ht="18.0" customHeight="1">
      <c r="Y787" s="700"/>
      <c r="Z787" s="700"/>
    </row>
    <row r="788" ht="18.0" customHeight="1">
      <c r="Y788" s="700"/>
      <c r="Z788" s="700"/>
    </row>
    <row r="789" ht="18.0" customHeight="1">
      <c r="Y789" s="700"/>
      <c r="Z789" s="700"/>
    </row>
    <row r="790" ht="18.0" customHeight="1">
      <c r="Y790" s="700"/>
      <c r="Z790" s="700"/>
    </row>
    <row r="791" ht="18.0" customHeight="1">
      <c r="Y791" s="700"/>
      <c r="Z791" s="700"/>
    </row>
    <row r="792" ht="18.0" customHeight="1">
      <c r="Y792" s="700"/>
      <c r="Z792" s="700"/>
    </row>
    <row r="793" ht="18.0" customHeight="1">
      <c r="Y793" s="700"/>
      <c r="Z793" s="700"/>
    </row>
    <row r="794" ht="18.0" customHeight="1">
      <c r="Y794" s="700"/>
      <c r="Z794" s="700"/>
    </row>
    <row r="795" ht="18.0" customHeight="1">
      <c r="Y795" s="700"/>
      <c r="Z795" s="700"/>
    </row>
    <row r="796" ht="18.0" customHeight="1">
      <c r="Y796" s="700"/>
      <c r="Z796" s="700"/>
    </row>
    <row r="797" ht="18.0" customHeight="1">
      <c r="Y797" s="700"/>
      <c r="Z797" s="700"/>
    </row>
    <row r="798" ht="18.0" customHeight="1">
      <c r="Y798" s="700"/>
      <c r="Z798" s="700"/>
    </row>
    <row r="799" ht="18.0" customHeight="1">
      <c r="Y799" s="700"/>
      <c r="Z799" s="700"/>
    </row>
    <row r="800" ht="18.0" customHeight="1">
      <c r="Y800" s="700"/>
      <c r="Z800" s="700"/>
    </row>
    <row r="801" ht="18.0" customHeight="1">
      <c r="Y801" s="700"/>
      <c r="Z801" s="700"/>
    </row>
    <row r="802" ht="18.0" customHeight="1">
      <c r="Y802" s="700"/>
      <c r="Z802" s="700"/>
    </row>
    <row r="803" ht="18.0" customHeight="1">
      <c r="Y803" s="700"/>
      <c r="Z803" s="700"/>
    </row>
    <row r="804" ht="18.0" customHeight="1">
      <c r="Y804" s="700"/>
      <c r="Z804" s="700"/>
    </row>
    <row r="805" ht="18.0" customHeight="1">
      <c r="Y805" s="700"/>
      <c r="Z805" s="700"/>
    </row>
    <row r="806" ht="18.0" customHeight="1">
      <c r="Y806" s="700"/>
      <c r="Z806" s="700"/>
    </row>
    <row r="807" ht="18.0" customHeight="1">
      <c r="Y807" s="700"/>
      <c r="Z807" s="700"/>
    </row>
    <row r="808" ht="18.0" customHeight="1">
      <c r="Y808" s="700"/>
      <c r="Z808" s="700"/>
    </row>
    <row r="809" ht="18.0" customHeight="1">
      <c r="Y809" s="700"/>
      <c r="Z809" s="700"/>
    </row>
    <row r="810" ht="18.0" customHeight="1">
      <c r="Y810" s="700"/>
      <c r="Z810" s="700"/>
    </row>
    <row r="811" ht="18.0" customHeight="1">
      <c r="Y811" s="700"/>
      <c r="Z811" s="700"/>
    </row>
    <row r="812" ht="18.0" customHeight="1">
      <c r="Y812" s="700"/>
      <c r="Z812" s="700"/>
    </row>
    <row r="813" ht="18.0" customHeight="1">
      <c r="Y813" s="700"/>
      <c r="Z813" s="700"/>
    </row>
    <row r="814" ht="18.0" customHeight="1">
      <c r="Y814" s="700"/>
      <c r="Z814" s="700"/>
    </row>
    <row r="815" ht="18.0" customHeight="1">
      <c r="Y815" s="700"/>
      <c r="Z815" s="700"/>
    </row>
    <row r="816" ht="18.0" customHeight="1">
      <c r="Y816" s="700"/>
      <c r="Z816" s="700"/>
    </row>
    <row r="817" ht="18.0" customHeight="1">
      <c r="Y817" s="700"/>
      <c r="Z817" s="700"/>
    </row>
    <row r="818" ht="18.0" customHeight="1">
      <c r="Y818" s="700"/>
      <c r="Z818" s="700"/>
    </row>
    <row r="819" ht="18.0" customHeight="1">
      <c r="Y819" s="700"/>
      <c r="Z819" s="700"/>
    </row>
    <row r="820" ht="18.0" customHeight="1">
      <c r="Y820" s="700"/>
      <c r="Z820" s="700"/>
    </row>
    <row r="821" ht="18.0" customHeight="1">
      <c r="Y821" s="700"/>
      <c r="Z821" s="700"/>
    </row>
    <row r="822" ht="18.0" customHeight="1">
      <c r="Y822" s="700"/>
      <c r="Z822" s="700"/>
    </row>
    <row r="823" ht="18.0" customHeight="1">
      <c r="Y823" s="700"/>
      <c r="Z823" s="700"/>
    </row>
    <row r="824" ht="18.0" customHeight="1">
      <c r="Y824" s="700"/>
      <c r="Z824" s="700"/>
    </row>
    <row r="825" ht="18.0" customHeight="1">
      <c r="Y825" s="700"/>
      <c r="Z825" s="700"/>
    </row>
    <row r="826" ht="18.0" customHeight="1">
      <c r="Y826" s="700"/>
      <c r="Z826" s="700"/>
    </row>
    <row r="827" ht="18.0" customHeight="1">
      <c r="Y827" s="700"/>
      <c r="Z827" s="700"/>
    </row>
    <row r="828" ht="18.0" customHeight="1">
      <c r="Y828" s="700"/>
      <c r="Z828" s="700"/>
    </row>
    <row r="829" ht="18.0" customHeight="1">
      <c r="Y829" s="700"/>
      <c r="Z829" s="700"/>
    </row>
    <row r="830" ht="18.0" customHeight="1">
      <c r="Y830" s="700"/>
      <c r="Z830" s="700"/>
    </row>
    <row r="831" ht="18.0" customHeight="1">
      <c r="Y831" s="700"/>
      <c r="Z831" s="700"/>
    </row>
    <row r="832" ht="18.0" customHeight="1">
      <c r="Y832" s="700"/>
      <c r="Z832" s="700"/>
    </row>
    <row r="833" ht="18.0" customHeight="1">
      <c r="Y833" s="700"/>
      <c r="Z833" s="700"/>
    </row>
    <row r="834" ht="18.0" customHeight="1">
      <c r="Y834" s="700"/>
      <c r="Z834" s="700"/>
    </row>
    <row r="835" ht="18.0" customHeight="1">
      <c r="Y835" s="700"/>
      <c r="Z835" s="700"/>
    </row>
    <row r="836" ht="18.0" customHeight="1">
      <c r="Y836" s="700"/>
      <c r="Z836" s="700"/>
    </row>
    <row r="837" ht="18.0" customHeight="1">
      <c r="Y837" s="700"/>
      <c r="Z837" s="700"/>
    </row>
    <row r="838" ht="18.0" customHeight="1">
      <c r="Y838" s="700"/>
      <c r="Z838" s="700"/>
    </row>
    <row r="839" ht="18.0" customHeight="1">
      <c r="Y839" s="700"/>
      <c r="Z839" s="700"/>
    </row>
    <row r="840" ht="18.0" customHeight="1">
      <c r="Y840" s="700"/>
      <c r="Z840" s="700"/>
    </row>
    <row r="841" ht="18.0" customHeight="1">
      <c r="Y841" s="700"/>
      <c r="Z841" s="700"/>
    </row>
    <row r="842" ht="18.0" customHeight="1">
      <c r="Y842" s="700"/>
      <c r="Z842" s="700"/>
    </row>
    <row r="843" ht="18.0" customHeight="1">
      <c r="Y843" s="700"/>
      <c r="Z843" s="700"/>
    </row>
    <row r="844" ht="18.0" customHeight="1">
      <c r="Y844" s="700"/>
      <c r="Z844" s="700"/>
    </row>
    <row r="845" ht="18.0" customHeight="1">
      <c r="Y845" s="700"/>
      <c r="Z845" s="700"/>
    </row>
    <row r="846" ht="18.0" customHeight="1">
      <c r="Y846" s="700"/>
      <c r="Z846" s="700"/>
    </row>
    <row r="847" ht="18.0" customHeight="1">
      <c r="Y847" s="700"/>
      <c r="Z847" s="700"/>
    </row>
    <row r="848" ht="18.0" customHeight="1">
      <c r="Y848" s="700"/>
      <c r="Z848" s="700"/>
    </row>
    <row r="849" ht="18.0" customHeight="1">
      <c r="Y849" s="700"/>
      <c r="Z849" s="700"/>
    </row>
    <row r="850" ht="18.0" customHeight="1">
      <c r="Y850" s="700"/>
      <c r="Z850" s="700"/>
    </row>
    <row r="851" ht="18.0" customHeight="1">
      <c r="Y851" s="700"/>
      <c r="Z851" s="700"/>
    </row>
    <row r="852" ht="18.0" customHeight="1">
      <c r="Y852" s="700"/>
      <c r="Z852" s="700"/>
    </row>
    <row r="853" ht="18.0" customHeight="1">
      <c r="Y853" s="700"/>
      <c r="Z853" s="700"/>
    </row>
    <row r="854" ht="18.0" customHeight="1">
      <c r="Y854" s="700"/>
      <c r="Z854" s="700"/>
    </row>
    <row r="855" ht="18.0" customHeight="1">
      <c r="Y855" s="700"/>
      <c r="Z855" s="700"/>
    </row>
    <row r="856" ht="18.0" customHeight="1">
      <c r="Y856" s="700"/>
      <c r="Z856" s="700"/>
    </row>
    <row r="857" ht="18.0" customHeight="1">
      <c r="Y857" s="700"/>
      <c r="Z857" s="700"/>
    </row>
    <row r="858" ht="18.0" customHeight="1">
      <c r="Y858" s="700"/>
      <c r="Z858" s="700"/>
    </row>
    <row r="859" ht="18.0" customHeight="1">
      <c r="Y859" s="700"/>
      <c r="Z859" s="700"/>
    </row>
    <row r="860" ht="18.0" customHeight="1">
      <c r="Y860" s="700"/>
      <c r="Z860" s="700"/>
    </row>
    <row r="861" ht="18.0" customHeight="1">
      <c r="Y861" s="700"/>
      <c r="Z861" s="700"/>
    </row>
    <row r="862" ht="18.0" customHeight="1">
      <c r="Y862" s="700"/>
      <c r="Z862" s="700"/>
    </row>
    <row r="863" ht="18.0" customHeight="1">
      <c r="Y863" s="700"/>
      <c r="Z863" s="700"/>
    </row>
    <row r="864" ht="18.0" customHeight="1">
      <c r="Y864" s="700"/>
      <c r="Z864" s="700"/>
    </row>
    <row r="865" ht="18.0" customHeight="1">
      <c r="Y865" s="700"/>
      <c r="Z865" s="700"/>
    </row>
    <row r="866" ht="18.0" customHeight="1">
      <c r="Y866" s="700"/>
      <c r="Z866" s="700"/>
    </row>
    <row r="867" ht="18.0" customHeight="1">
      <c r="Y867" s="700"/>
      <c r="Z867" s="700"/>
    </row>
    <row r="868" ht="18.0" customHeight="1">
      <c r="Y868" s="700"/>
      <c r="Z868" s="700"/>
    </row>
    <row r="869" ht="18.0" customHeight="1">
      <c r="Y869" s="700"/>
      <c r="Z869" s="700"/>
    </row>
    <row r="870" ht="18.0" customHeight="1">
      <c r="Y870" s="700"/>
      <c r="Z870" s="700"/>
    </row>
    <row r="871" ht="18.0" customHeight="1">
      <c r="Y871" s="700"/>
      <c r="Z871" s="700"/>
    </row>
    <row r="872" ht="18.0" customHeight="1">
      <c r="Y872" s="700"/>
      <c r="Z872" s="700"/>
    </row>
    <row r="873" ht="18.0" customHeight="1">
      <c r="Y873" s="700"/>
      <c r="Z873" s="700"/>
    </row>
    <row r="874" ht="18.0" customHeight="1">
      <c r="Y874" s="700"/>
      <c r="Z874" s="700"/>
    </row>
    <row r="875" ht="18.0" customHeight="1">
      <c r="Y875" s="700"/>
      <c r="Z875" s="700"/>
    </row>
    <row r="876" ht="18.0" customHeight="1">
      <c r="Y876" s="700"/>
      <c r="Z876" s="700"/>
    </row>
    <row r="877" ht="18.0" customHeight="1">
      <c r="Y877" s="700"/>
      <c r="Z877" s="700"/>
    </row>
    <row r="878" ht="18.0" customHeight="1">
      <c r="Y878" s="700"/>
      <c r="Z878" s="700"/>
    </row>
    <row r="879" ht="18.0" customHeight="1">
      <c r="Y879" s="700"/>
      <c r="Z879" s="700"/>
    </row>
    <row r="880" ht="18.0" customHeight="1">
      <c r="Y880" s="700"/>
      <c r="Z880" s="700"/>
    </row>
    <row r="881" ht="18.0" customHeight="1">
      <c r="Y881" s="700"/>
      <c r="Z881" s="700"/>
    </row>
    <row r="882" ht="18.0" customHeight="1">
      <c r="Y882" s="700"/>
      <c r="Z882" s="700"/>
    </row>
    <row r="883" ht="18.0" customHeight="1">
      <c r="Y883" s="700"/>
      <c r="Z883" s="700"/>
    </row>
    <row r="884" ht="18.0" customHeight="1">
      <c r="Y884" s="700"/>
      <c r="Z884" s="700"/>
    </row>
    <row r="885" ht="18.0" customHeight="1">
      <c r="Y885" s="700"/>
      <c r="Z885" s="700"/>
    </row>
    <row r="886" ht="18.0" customHeight="1">
      <c r="Y886" s="700"/>
      <c r="Z886" s="700"/>
    </row>
    <row r="887" ht="18.0" customHeight="1">
      <c r="Y887" s="700"/>
      <c r="Z887" s="700"/>
    </row>
    <row r="888" ht="18.0" customHeight="1">
      <c r="Y888" s="700"/>
      <c r="Z888" s="700"/>
    </row>
    <row r="889" ht="18.0" customHeight="1">
      <c r="Y889" s="700"/>
      <c r="Z889" s="700"/>
    </row>
    <row r="890" ht="18.0" customHeight="1">
      <c r="Y890" s="700"/>
      <c r="Z890" s="700"/>
    </row>
    <row r="891" ht="18.0" customHeight="1">
      <c r="Y891" s="700"/>
      <c r="Z891" s="700"/>
    </row>
    <row r="892" ht="18.0" customHeight="1">
      <c r="Y892" s="700"/>
      <c r="Z892" s="700"/>
    </row>
    <row r="893" ht="18.0" customHeight="1">
      <c r="Y893" s="700"/>
      <c r="Z893" s="700"/>
    </row>
    <row r="894" ht="18.0" customHeight="1">
      <c r="Y894" s="700"/>
      <c r="Z894" s="700"/>
    </row>
    <row r="895" ht="18.0" customHeight="1">
      <c r="Y895" s="700"/>
      <c r="Z895" s="700"/>
    </row>
    <row r="896" ht="18.0" customHeight="1">
      <c r="Y896" s="700"/>
      <c r="Z896" s="700"/>
    </row>
    <row r="897" ht="18.0" customHeight="1">
      <c r="Y897" s="700"/>
      <c r="Z897" s="700"/>
    </row>
    <row r="898" ht="18.0" customHeight="1">
      <c r="Y898" s="700"/>
      <c r="Z898" s="700"/>
    </row>
    <row r="899" ht="18.0" customHeight="1">
      <c r="Y899" s="700"/>
      <c r="Z899" s="700"/>
    </row>
    <row r="900" ht="18.0" customHeight="1">
      <c r="Y900" s="700"/>
      <c r="Z900" s="700"/>
    </row>
    <row r="901" ht="18.0" customHeight="1">
      <c r="Y901" s="700"/>
      <c r="Z901" s="700"/>
    </row>
    <row r="902" ht="18.0" customHeight="1">
      <c r="Y902" s="700"/>
      <c r="Z902" s="700"/>
    </row>
    <row r="903" ht="18.0" customHeight="1">
      <c r="Y903" s="700"/>
      <c r="Z903" s="700"/>
    </row>
    <row r="904" ht="18.0" customHeight="1">
      <c r="Y904" s="700"/>
      <c r="Z904" s="700"/>
    </row>
    <row r="905" ht="18.0" customHeight="1">
      <c r="Y905" s="700"/>
      <c r="Z905" s="700"/>
    </row>
    <row r="906" ht="18.0" customHeight="1">
      <c r="Y906" s="700"/>
      <c r="Z906" s="700"/>
    </row>
    <row r="907" ht="18.0" customHeight="1">
      <c r="Y907" s="700"/>
      <c r="Z907" s="700"/>
    </row>
    <row r="908" ht="18.0" customHeight="1">
      <c r="Y908" s="700"/>
      <c r="Z908" s="700"/>
    </row>
    <row r="909" ht="18.0" customHeight="1">
      <c r="Y909" s="700"/>
      <c r="Z909" s="700"/>
    </row>
    <row r="910" ht="18.0" customHeight="1">
      <c r="Y910" s="700"/>
      <c r="Z910" s="700"/>
    </row>
    <row r="911" ht="18.0" customHeight="1">
      <c r="Y911" s="700"/>
      <c r="Z911" s="700"/>
    </row>
    <row r="912" ht="18.0" customHeight="1">
      <c r="Y912" s="700"/>
      <c r="Z912" s="700"/>
    </row>
    <row r="913" ht="18.0" customHeight="1">
      <c r="Y913" s="700"/>
      <c r="Z913" s="700"/>
    </row>
    <row r="914" ht="18.0" customHeight="1">
      <c r="Y914" s="700"/>
      <c r="Z914" s="700"/>
    </row>
    <row r="915" ht="18.0" customHeight="1">
      <c r="Y915" s="700"/>
      <c r="Z915" s="700"/>
    </row>
    <row r="916" ht="18.0" customHeight="1">
      <c r="Y916" s="700"/>
      <c r="Z916" s="700"/>
    </row>
    <row r="917" ht="18.0" customHeight="1">
      <c r="Y917" s="700"/>
      <c r="Z917" s="700"/>
    </row>
    <row r="918" ht="18.0" customHeight="1">
      <c r="Y918" s="700"/>
      <c r="Z918" s="700"/>
    </row>
    <row r="919" ht="18.0" customHeight="1">
      <c r="Y919" s="700"/>
      <c r="Z919" s="700"/>
    </row>
    <row r="920" ht="18.0" customHeight="1">
      <c r="Y920" s="700"/>
      <c r="Z920" s="700"/>
    </row>
    <row r="921" ht="18.0" customHeight="1">
      <c r="Y921" s="700"/>
      <c r="Z921" s="700"/>
    </row>
    <row r="922" ht="18.0" customHeight="1">
      <c r="Y922" s="700"/>
      <c r="Z922" s="700"/>
    </row>
    <row r="923" ht="18.0" customHeight="1">
      <c r="Y923" s="700"/>
      <c r="Z923" s="700"/>
    </row>
    <row r="924" ht="18.0" customHeight="1">
      <c r="Y924" s="700"/>
      <c r="Z924" s="700"/>
    </row>
    <row r="925" ht="18.0" customHeight="1">
      <c r="Y925" s="700"/>
      <c r="Z925" s="700"/>
    </row>
    <row r="926" ht="18.0" customHeight="1">
      <c r="Y926" s="700"/>
      <c r="Z926" s="700"/>
    </row>
    <row r="927" ht="18.0" customHeight="1">
      <c r="Y927" s="700"/>
      <c r="Z927" s="700"/>
    </row>
    <row r="928" ht="18.0" customHeight="1">
      <c r="Y928" s="700"/>
      <c r="Z928" s="700"/>
    </row>
    <row r="929" ht="18.0" customHeight="1">
      <c r="Y929" s="700"/>
      <c r="Z929" s="700"/>
    </row>
    <row r="930" ht="18.0" customHeight="1">
      <c r="Y930" s="700"/>
      <c r="Z930" s="700"/>
    </row>
    <row r="931" ht="18.0" customHeight="1">
      <c r="Y931" s="700"/>
      <c r="Z931" s="700"/>
    </row>
    <row r="932" ht="18.0" customHeight="1">
      <c r="Y932" s="700"/>
      <c r="Z932" s="700"/>
    </row>
    <row r="933" ht="18.0" customHeight="1">
      <c r="Y933" s="700"/>
      <c r="Z933" s="700"/>
    </row>
    <row r="934" ht="18.0" customHeight="1">
      <c r="Y934" s="700"/>
      <c r="Z934" s="700"/>
    </row>
    <row r="935" ht="18.0" customHeight="1">
      <c r="Y935" s="700"/>
      <c r="Z935" s="700"/>
    </row>
    <row r="936" ht="18.0" customHeight="1">
      <c r="Y936" s="700"/>
      <c r="Z936" s="700"/>
    </row>
    <row r="937" ht="18.0" customHeight="1">
      <c r="Y937" s="700"/>
      <c r="Z937" s="700"/>
    </row>
    <row r="938" ht="18.0" customHeight="1">
      <c r="Y938" s="700"/>
      <c r="Z938" s="700"/>
    </row>
    <row r="939" ht="18.0" customHeight="1">
      <c r="Y939" s="700"/>
      <c r="Z939" s="700"/>
    </row>
    <row r="940" ht="18.0" customHeight="1">
      <c r="Y940" s="700"/>
      <c r="Z940" s="700"/>
    </row>
    <row r="941" ht="18.0" customHeight="1">
      <c r="Y941" s="700"/>
      <c r="Z941" s="700"/>
    </row>
    <row r="942" ht="18.0" customHeight="1">
      <c r="Y942" s="700"/>
      <c r="Z942" s="700"/>
    </row>
    <row r="943" ht="18.0" customHeight="1">
      <c r="Y943" s="700"/>
      <c r="Z943" s="700"/>
    </row>
    <row r="944" ht="18.0" customHeight="1">
      <c r="Y944" s="700"/>
      <c r="Z944" s="700"/>
    </row>
    <row r="945" ht="18.0" customHeight="1">
      <c r="Y945" s="700"/>
      <c r="Z945" s="700"/>
    </row>
    <row r="946" ht="18.0" customHeight="1">
      <c r="Y946" s="700"/>
      <c r="Z946" s="700"/>
    </row>
    <row r="947" ht="18.0" customHeight="1">
      <c r="Y947" s="700"/>
      <c r="Z947" s="700"/>
    </row>
    <row r="948" ht="18.0" customHeight="1">
      <c r="Y948" s="700"/>
      <c r="Z948" s="700"/>
    </row>
    <row r="949" ht="18.0" customHeight="1">
      <c r="Y949" s="700"/>
      <c r="Z949" s="700"/>
    </row>
    <row r="950" ht="18.0" customHeight="1">
      <c r="Y950" s="700"/>
      <c r="Z950" s="700"/>
    </row>
    <row r="951" ht="18.0" customHeight="1">
      <c r="Y951" s="700"/>
      <c r="Z951" s="700"/>
    </row>
    <row r="952" ht="18.0" customHeight="1">
      <c r="Y952" s="700"/>
      <c r="Z952" s="700"/>
    </row>
    <row r="953" ht="18.0" customHeight="1">
      <c r="Y953" s="700"/>
      <c r="Z953" s="700"/>
    </row>
    <row r="954" ht="18.0" customHeight="1">
      <c r="Y954" s="700"/>
      <c r="Z954" s="700"/>
    </row>
    <row r="955" ht="18.0" customHeight="1">
      <c r="Y955" s="700"/>
      <c r="Z955" s="700"/>
    </row>
    <row r="956" ht="18.0" customHeight="1">
      <c r="Y956" s="700"/>
      <c r="Z956" s="700"/>
    </row>
    <row r="957" ht="18.0" customHeight="1">
      <c r="Y957" s="700"/>
      <c r="Z957" s="700"/>
    </row>
    <row r="958" ht="18.0" customHeight="1">
      <c r="Y958" s="700"/>
      <c r="Z958" s="700"/>
    </row>
    <row r="959" ht="18.0" customHeight="1">
      <c r="Y959" s="700"/>
      <c r="Z959" s="700"/>
    </row>
    <row r="960" ht="18.0" customHeight="1">
      <c r="Y960" s="700"/>
      <c r="Z960" s="700"/>
    </row>
    <row r="961" ht="18.0" customHeight="1">
      <c r="Y961" s="700"/>
      <c r="Z961" s="700"/>
    </row>
    <row r="962" ht="18.0" customHeight="1">
      <c r="Y962" s="700"/>
      <c r="Z962" s="700"/>
    </row>
    <row r="963" ht="18.0" customHeight="1">
      <c r="Y963" s="700"/>
      <c r="Z963" s="700"/>
    </row>
    <row r="964" ht="18.0" customHeight="1">
      <c r="Y964" s="700"/>
      <c r="Z964" s="700"/>
    </row>
    <row r="965" ht="18.0" customHeight="1">
      <c r="Y965" s="700"/>
      <c r="Z965" s="700"/>
    </row>
    <row r="966" ht="18.0" customHeight="1">
      <c r="Y966" s="700"/>
      <c r="Z966" s="700"/>
    </row>
    <row r="967" ht="18.0" customHeight="1">
      <c r="Y967" s="700"/>
      <c r="Z967" s="700"/>
    </row>
    <row r="968" ht="18.0" customHeight="1">
      <c r="Y968" s="700"/>
      <c r="Z968" s="700"/>
    </row>
    <row r="969" ht="18.0" customHeight="1">
      <c r="Y969" s="700"/>
      <c r="Z969" s="700"/>
    </row>
    <row r="970" ht="18.0" customHeight="1">
      <c r="Y970" s="700"/>
      <c r="Z970" s="700"/>
    </row>
    <row r="971" ht="18.0" customHeight="1">
      <c r="Y971" s="700"/>
      <c r="Z971" s="700"/>
    </row>
    <row r="972" ht="18.0" customHeight="1">
      <c r="Y972" s="700"/>
      <c r="Z972" s="700"/>
    </row>
    <row r="973" ht="18.0" customHeight="1">
      <c r="Y973" s="700"/>
      <c r="Z973" s="700"/>
    </row>
    <row r="974" ht="18.0" customHeight="1">
      <c r="Y974" s="700"/>
      <c r="Z974" s="700"/>
    </row>
    <row r="975" ht="18.0" customHeight="1">
      <c r="Y975" s="700"/>
      <c r="Z975" s="700"/>
    </row>
    <row r="976" ht="18.0" customHeight="1">
      <c r="Y976" s="700"/>
      <c r="Z976" s="700"/>
    </row>
    <row r="977" ht="18.0" customHeight="1">
      <c r="Y977" s="700"/>
      <c r="Z977" s="700"/>
    </row>
    <row r="978" ht="18.0" customHeight="1">
      <c r="Y978" s="700"/>
      <c r="Z978" s="700"/>
    </row>
    <row r="979" ht="18.0" customHeight="1">
      <c r="Y979" s="700"/>
      <c r="Z979" s="700"/>
    </row>
    <row r="980" ht="18.0" customHeight="1">
      <c r="Y980" s="700"/>
      <c r="Z980" s="700"/>
    </row>
    <row r="981" ht="18.0" customHeight="1">
      <c r="Y981" s="700"/>
      <c r="Z981" s="700"/>
    </row>
    <row r="982" ht="18.0" customHeight="1">
      <c r="Y982" s="700"/>
      <c r="Z982" s="700"/>
    </row>
    <row r="983" ht="18.0" customHeight="1">
      <c r="Y983" s="700"/>
      <c r="Z983" s="700"/>
    </row>
    <row r="984" ht="18.0" customHeight="1">
      <c r="Y984" s="700"/>
      <c r="Z984" s="700"/>
    </row>
    <row r="985" ht="18.0" customHeight="1">
      <c r="Y985" s="700"/>
      <c r="Z985" s="700"/>
    </row>
    <row r="986" ht="18.0" customHeight="1">
      <c r="Y986" s="700"/>
      <c r="Z986" s="700"/>
    </row>
    <row r="987" ht="18.0" customHeight="1">
      <c r="Y987" s="700"/>
      <c r="Z987" s="700"/>
    </row>
    <row r="988" ht="18.0" customHeight="1">
      <c r="Y988" s="700"/>
      <c r="Z988" s="700"/>
    </row>
    <row r="989" ht="18.0" customHeight="1">
      <c r="Y989" s="700"/>
      <c r="Z989" s="700"/>
    </row>
    <row r="990" ht="18.0" customHeight="1">
      <c r="Y990" s="700"/>
      <c r="Z990" s="700"/>
    </row>
    <row r="991" ht="18.0" customHeight="1">
      <c r="Y991" s="700"/>
      <c r="Z991" s="700"/>
    </row>
    <row r="992" ht="18.0" customHeight="1">
      <c r="Y992" s="700"/>
      <c r="Z992" s="700"/>
    </row>
    <row r="993" ht="18.0" customHeight="1">
      <c r="Y993" s="700"/>
      <c r="Z993" s="700"/>
    </row>
    <row r="994" ht="18.0" customHeight="1">
      <c r="Y994" s="700"/>
      <c r="Z994" s="700"/>
    </row>
    <row r="995" ht="18.0" customHeight="1">
      <c r="Y995" s="700"/>
      <c r="Z995" s="700"/>
    </row>
    <row r="996" ht="18.0" customHeight="1">
      <c r="Y996" s="700"/>
      <c r="Z996" s="700"/>
    </row>
    <row r="997" ht="18.0" customHeight="1">
      <c r="Y997" s="700"/>
      <c r="Z997" s="700"/>
    </row>
    <row r="998" ht="18.0" customHeight="1">
      <c r="Y998" s="700"/>
      <c r="Z998" s="700"/>
    </row>
    <row r="999" ht="18.0" customHeight="1">
      <c r="Y999" s="700"/>
      <c r="Z999" s="700"/>
    </row>
    <row r="1000" ht="18.0" customHeight="1">
      <c r="Y1000" s="700"/>
      <c r="Z1000" s="700"/>
    </row>
  </sheetData>
  <mergeCells count="6">
    <mergeCell ref="D3:G3"/>
    <mergeCell ref="H3:K3"/>
    <mergeCell ref="L3:O3"/>
    <mergeCell ref="P3:Q3"/>
    <mergeCell ref="R3:U3"/>
    <mergeCell ref="V3:W3"/>
  </mergeCells>
  <conditionalFormatting sqref="I2:K2 I4:K11 M4:O11">
    <cfRule type="expression" dxfId="0" priority="1" stopIfTrue="1">
      <formula>"esterreur(reference)"</formula>
    </cfRule>
  </conditionalFormatting>
  <conditionalFormatting sqref="I12:O13">
    <cfRule type="expression" dxfId="0" priority="2" stopIfTrue="1">
      <formula>"esterreur(reference)"</formula>
    </cfRule>
  </conditionalFormatting>
  <conditionalFormatting sqref="I16:O24">
    <cfRule type="expression" dxfId="0" priority="3" stopIfTrue="1">
      <formula>"esterreur(reference)"</formula>
    </cfRule>
  </conditionalFormatting>
  <conditionalFormatting sqref="I27:O35">
    <cfRule type="expression" dxfId="0" priority="4" stopIfTrue="1">
      <formula>"esterreur(reference)"</formula>
    </cfRule>
  </conditionalFormatting>
  <conditionalFormatting sqref="L2:L11 M2:O2">
    <cfRule type="expression" dxfId="0" priority="5" stopIfTrue="1">
      <formula>"esterreur(reference)"</formula>
    </cfRule>
  </conditionalFormatting>
  <conditionalFormatting sqref="O38">
    <cfRule type="expression" dxfId="0" priority="6" stopIfTrue="1">
      <formula>"esterreur(reference)"</formula>
    </cfRule>
  </conditionalFormatting>
  <conditionalFormatting sqref="R6:U13">
    <cfRule type="expression" dxfId="0" priority="7" stopIfTrue="1">
      <formula>"esterreur(reference)"</formula>
    </cfRule>
  </conditionalFormatting>
  <conditionalFormatting sqref="R16:U24">
    <cfRule type="expression" dxfId="0" priority="8" stopIfTrue="1">
      <formula>"esterreur(reference)"</formula>
    </cfRule>
  </conditionalFormatting>
  <conditionalFormatting sqref="R27:U35">
    <cfRule type="expression" dxfId="0" priority="9" stopIfTrue="1">
      <formula>"esterreur(reference)"</formula>
    </cfRule>
  </conditionalFormatting>
  <conditionalFormatting sqref="U38">
    <cfRule type="expression" dxfId="0" priority="10" stopIfTrue="1">
      <formula>"esterreur(reference)"</formula>
    </cfRule>
  </conditionalFormatting>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2.63" defaultRowHeight="15.0"/>
  <cols>
    <col customWidth="1" min="1" max="1" width="3.75"/>
    <col customWidth="1" min="2" max="2" width="6.5"/>
    <col customWidth="1" min="3" max="3" width="9.38"/>
    <col customWidth="1" min="4" max="4" width="32.38"/>
    <col customWidth="1" min="5" max="5" width="2.75"/>
    <col customWidth="1" min="6" max="6" width="5.13"/>
    <col customWidth="1" min="7" max="7" width="18.0"/>
    <col customWidth="1" min="8" max="8" width="17.63"/>
    <col customWidth="1" min="9" max="9" width="15.88"/>
    <col customWidth="1" min="10" max="10" width="15.13"/>
    <col customWidth="1" min="11" max="11" width="14.63"/>
    <col customWidth="1" min="12" max="12" width="15.25"/>
    <col customWidth="1" min="13" max="13" width="16.75"/>
    <col customWidth="1" min="14" max="14" width="15.5"/>
    <col customWidth="1" min="15" max="15" width="21.38"/>
    <col customWidth="1" min="16" max="16" width="18.63"/>
    <col customWidth="1" min="17" max="17" width="20.75"/>
    <col customWidth="1" min="18" max="18" width="20.88"/>
    <col customWidth="1" min="19" max="19" width="22.38"/>
    <col customWidth="1" min="20" max="20" width="25.25"/>
    <col customWidth="1" min="21" max="21" width="15.0"/>
    <col customWidth="1" min="22" max="22" width="18.63"/>
    <col customWidth="1" min="23" max="23" width="18.25"/>
    <col customWidth="1" min="24" max="24" width="16.5"/>
    <col customWidth="1" min="25" max="25" width="15.75"/>
    <col customWidth="1" min="26" max="26" width="15.25"/>
    <col customWidth="1" min="27" max="27" width="15.88"/>
    <col customWidth="1" min="28" max="28" width="17.38"/>
    <col customWidth="1" min="29" max="29" width="16.13"/>
    <col customWidth="1" min="30" max="30" width="22.0"/>
    <col customWidth="1" min="31" max="31" width="19.25"/>
    <col customWidth="1" min="32" max="32" width="21.38"/>
    <col customWidth="1" min="33" max="33" width="21.5"/>
    <col customWidth="1" min="34" max="34" width="23.0"/>
    <col customWidth="1" min="35" max="35" width="25.88"/>
    <col customWidth="1" min="36" max="36" width="12.88"/>
    <col customWidth="1" min="37" max="37" width="39.75"/>
    <col customWidth="1" min="38" max="38" width="19.63"/>
    <col customWidth="1" min="39" max="39" width="19.38"/>
    <col customWidth="1" min="40" max="40" width="16.38"/>
    <col customWidth="1" min="41" max="41" width="13.0"/>
    <col customWidth="1" min="42" max="42" width="42.75"/>
    <col customWidth="1" min="43" max="43" width="25.38"/>
    <col customWidth="1" min="44" max="44" width="16.88"/>
    <col customWidth="1" min="45" max="45" width="11.5"/>
    <col customWidth="1" min="46" max="46" width="13.0"/>
    <col customWidth="1" min="47" max="47" width="32.38"/>
    <col customWidth="1" min="48" max="48" width="16.25"/>
    <col customWidth="1" min="49" max="49" width="12.75"/>
    <col customWidth="1" min="50" max="50" width="11.38"/>
  </cols>
  <sheetData>
    <row r="1" ht="30.0" customHeight="1">
      <c r="G1" s="284" t="s">
        <v>6</v>
      </c>
      <c r="H1" s="284" t="s">
        <v>8</v>
      </c>
      <c r="I1" s="284" t="s">
        <v>9</v>
      </c>
      <c r="J1" s="284" t="s">
        <v>10</v>
      </c>
      <c r="K1" s="284" t="s">
        <v>11</v>
      </c>
      <c r="L1" s="284" t="s">
        <v>12</v>
      </c>
      <c r="M1" s="284" t="s">
        <v>14</v>
      </c>
      <c r="N1" s="284" t="s">
        <v>16</v>
      </c>
      <c r="O1" s="284" t="s">
        <v>5</v>
      </c>
      <c r="P1" s="284" t="s">
        <v>18</v>
      </c>
      <c r="Q1" s="284" t="s">
        <v>19</v>
      </c>
      <c r="R1" s="284" t="s">
        <v>20</v>
      </c>
      <c r="V1" s="284" t="s">
        <v>6</v>
      </c>
      <c r="W1" s="284" t="s">
        <v>8</v>
      </c>
      <c r="X1" s="284" t="s">
        <v>9</v>
      </c>
      <c r="Y1" s="284" t="s">
        <v>10</v>
      </c>
      <c r="Z1" s="284" t="s">
        <v>11</v>
      </c>
      <c r="AA1" s="284" t="s">
        <v>12</v>
      </c>
      <c r="AB1" s="284" t="s">
        <v>14</v>
      </c>
      <c r="AC1" s="284" t="s">
        <v>16</v>
      </c>
      <c r="AD1" s="284" t="s">
        <v>5</v>
      </c>
      <c r="AE1" s="284" t="s">
        <v>18</v>
      </c>
      <c r="AF1" s="284" t="s">
        <v>19</v>
      </c>
      <c r="AG1" s="284" t="s">
        <v>20</v>
      </c>
      <c r="AL1" s="794"/>
      <c r="AM1" s="794"/>
      <c r="AN1" s="794"/>
      <c r="AU1" s="4"/>
    </row>
    <row r="2" ht="15.0" customHeight="1">
      <c r="A2" s="849" t="s">
        <v>1197</v>
      </c>
      <c r="B2" s="849" t="s">
        <v>7</v>
      </c>
      <c r="C2" s="849" t="s">
        <v>1198</v>
      </c>
      <c r="D2" s="849" t="s">
        <v>1199</v>
      </c>
      <c r="E2" s="849" t="s">
        <v>1200</v>
      </c>
      <c r="F2" s="849" t="s">
        <v>1201</v>
      </c>
      <c r="G2" s="849" t="s">
        <v>1202</v>
      </c>
      <c r="H2" s="849" t="s">
        <v>1203</v>
      </c>
      <c r="I2" s="849" t="s">
        <v>1204</v>
      </c>
      <c r="J2" s="849" t="s">
        <v>1205</v>
      </c>
      <c r="K2" s="849" t="s">
        <v>1206</v>
      </c>
      <c r="L2" s="849" t="s">
        <v>1207</v>
      </c>
      <c r="M2" s="849" t="s">
        <v>1208</v>
      </c>
      <c r="N2" s="849" t="s">
        <v>1209</v>
      </c>
      <c r="O2" s="849" t="s">
        <v>1210</v>
      </c>
      <c r="P2" s="849" t="s">
        <v>1211</v>
      </c>
      <c r="Q2" s="849" t="s">
        <v>1212</v>
      </c>
      <c r="R2" s="849" t="s">
        <v>1213</v>
      </c>
      <c r="S2" s="849" t="s">
        <v>1214</v>
      </c>
      <c r="T2" s="849" t="s">
        <v>1215</v>
      </c>
      <c r="U2" s="849" t="s">
        <v>1216</v>
      </c>
      <c r="V2" s="849" t="s">
        <v>1217</v>
      </c>
      <c r="W2" s="849" t="s">
        <v>1218</v>
      </c>
      <c r="X2" s="849" t="s">
        <v>1219</v>
      </c>
      <c r="Y2" s="849" t="s">
        <v>1220</v>
      </c>
      <c r="Z2" s="849" t="s">
        <v>1221</v>
      </c>
      <c r="AA2" s="849" t="s">
        <v>1222</v>
      </c>
      <c r="AB2" s="849" t="s">
        <v>1223</v>
      </c>
      <c r="AC2" s="849" t="s">
        <v>1224</v>
      </c>
      <c r="AD2" s="849" t="s">
        <v>1225</v>
      </c>
      <c r="AE2" s="849" t="s">
        <v>1226</v>
      </c>
      <c r="AF2" s="849" t="s">
        <v>1227</v>
      </c>
      <c r="AG2" s="849" t="s">
        <v>1228</v>
      </c>
      <c r="AH2" s="849" t="s">
        <v>1229</v>
      </c>
      <c r="AI2" s="849" t="s">
        <v>1230</v>
      </c>
      <c r="AJ2" s="850" t="s">
        <v>1231</v>
      </c>
      <c r="AK2" s="850" t="s">
        <v>1199</v>
      </c>
      <c r="AL2" s="851" t="s">
        <v>1232</v>
      </c>
      <c r="AM2" s="851" t="s">
        <v>1233</v>
      </c>
      <c r="AN2" s="851" t="s">
        <v>1234</v>
      </c>
      <c r="AO2" s="852" t="s">
        <v>1235</v>
      </c>
      <c r="AP2" s="852"/>
      <c r="AQ2" s="852" t="s">
        <v>1236</v>
      </c>
      <c r="AR2" s="852" t="s">
        <v>1237</v>
      </c>
      <c r="AS2" s="852" t="s">
        <v>1238</v>
      </c>
      <c r="AT2" s="850" t="s">
        <v>1231</v>
      </c>
      <c r="AU2" s="850" t="s">
        <v>1199</v>
      </c>
      <c r="AV2" s="851" t="s">
        <v>1232</v>
      </c>
      <c r="AW2" s="851" t="s">
        <v>1233</v>
      </c>
      <c r="AX2" s="851" t="s">
        <v>1234</v>
      </c>
      <c r="AY2" s="852" t="s">
        <v>1237</v>
      </c>
      <c r="AZ2" s="852" t="s">
        <v>1238</v>
      </c>
    </row>
    <row r="3" ht="15.0" customHeight="1">
      <c r="A3" s="849" t="s">
        <v>1239</v>
      </c>
      <c r="B3" s="849">
        <v>2026.0</v>
      </c>
      <c r="C3" s="849" t="s">
        <v>1240</v>
      </c>
      <c r="D3" s="849" t="s">
        <v>1241</v>
      </c>
      <c r="E3" s="849" t="s">
        <v>768</v>
      </c>
      <c r="F3" s="849" t="s">
        <v>1200</v>
      </c>
      <c r="G3" s="849">
        <v>0.0</v>
      </c>
      <c r="H3" s="849">
        <v>0.0</v>
      </c>
      <c r="I3" s="849">
        <v>0.0</v>
      </c>
      <c r="J3" s="849">
        <v>0.0</v>
      </c>
      <c r="K3" s="849">
        <v>0.0</v>
      </c>
      <c r="L3" s="849">
        <v>0.0</v>
      </c>
      <c r="M3" s="849">
        <v>0.0</v>
      </c>
      <c r="N3" s="849">
        <v>0.0</v>
      </c>
      <c r="O3" s="849">
        <v>0.0</v>
      </c>
      <c r="P3" s="849">
        <v>0.0</v>
      </c>
      <c r="Q3" s="849">
        <v>0.0</v>
      </c>
      <c r="R3" s="849">
        <v>0.0</v>
      </c>
      <c r="S3" s="849">
        <v>0.0</v>
      </c>
      <c r="T3" s="849">
        <v>0.0</v>
      </c>
      <c r="U3" s="849">
        <v>0.0</v>
      </c>
      <c r="V3" s="849">
        <v>0.0</v>
      </c>
      <c r="W3" s="849">
        <v>0.0</v>
      </c>
      <c r="X3" s="849">
        <v>0.0</v>
      </c>
      <c r="Y3" s="849">
        <v>0.0</v>
      </c>
      <c r="Z3" s="849">
        <v>0.0</v>
      </c>
      <c r="AA3" s="849">
        <v>0.0</v>
      </c>
      <c r="AB3" s="849">
        <v>0.0</v>
      </c>
      <c r="AC3" s="849">
        <v>0.0</v>
      </c>
      <c r="AD3" s="849">
        <v>0.0</v>
      </c>
      <c r="AE3" s="849">
        <v>0.0</v>
      </c>
      <c r="AF3" s="849">
        <v>0.0</v>
      </c>
      <c r="AG3" s="849">
        <v>0.0</v>
      </c>
      <c r="AH3" s="849">
        <v>0.0</v>
      </c>
      <c r="AI3" s="849">
        <v>0.0</v>
      </c>
      <c r="AJ3" s="794" t="str">
        <f t="shared" ref="AJ3:AK3" si="1">C3</f>
        <v>G0110</v>
      </c>
      <c r="AK3" s="794" t="str">
        <f t="shared" si="1"/>
        <v>COMMISSIONS       60% 40%</v>
      </c>
      <c r="AL3" s="794">
        <f t="array" ref="AL3">IFERROR(INDEX(G3:R3,1,MATCH(Parametres!$B$3,G$1:R$1,0)-1)*IF(OR(F3="L",F3="S",F3="I"),-1,1),"")</f>
        <v>0</v>
      </c>
      <c r="AM3" s="794">
        <f t="shared" ref="AM3:AM1118" si="4">AN3-AL3</f>
        <v>0</v>
      </c>
      <c r="AN3" s="794">
        <f t="array" ref="AN3">INDEX(G3:R3,1,MATCH(Parametres!$B$3,G$1:R$1,0))*IF(OR(F3="L",F3="S",F3="I"),-1,1)</f>
        <v>0</v>
      </c>
      <c r="AO3" s="853" t="str">
        <f>+VLOOKUP($AJ3,Data_Validation!$A:$D,1,0)</f>
        <v>#N/A</v>
      </c>
      <c r="AP3" s="853" t="str">
        <f>+VLOOKUP($AJ3,Data_Validation!$A:$D,3,0)</f>
        <v>#N/A</v>
      </c>
      <c r="AQ3" s="853" t="str">
        <f>+VLOOKUP($AJ3,Data_Validation!$A:$D,4,0)</f>
        <v>#N/A</v>
      </c>
      <c r="AR3" s="853" t="s">
        <v>728</v>
      </c>
      <c r="AS3" s="853" t="str">
        <f>+VLOOKUP($AJ3,Data_Validation!$A:$E,5,0)</f>
        <v>#N/A</v>
      </c>
      <c r="AT3" s="794" t="str">
        <f t="shared" ref="AT3:AU3" si="2">C3</f>
        <v>G0110</v>
      </c>
      <c r="AU3" s="854" t="str">
        <f t="shared" si="2"/>
        <v>COMMISSIONS       60% 40%</v>
      </c>
      <c r="AV3" s="794">
        <f t="array" ref="AV3">IFERROR(INDEX(V3:AG3,1,MATCH(Parametres!$B$3,V$1:AG$1,0)-1)*IF(OR(C3="L",C3="S",C3="I"),-1,1),"")</f>
        <v>0</v>
      </c>
      <c r="AW3" s="794">
        <f t="shared" ref="AW3:AW1118" si="6">AX3-AV3</f>
        <v>0</v>
      </c>
      <c r="AX3" s="794">
        <f t="array" ref="AX3">INDEX(V3:AG3,1,MATCH(Parametres!$B$3,V$1:AG$1,0))*IF(OR(C3="L",C3="S",C3="I"),-1,1)</f>
        <v>0</v>
      </c>
      <c r="AY3" s="853" t="s">
        <v>772</v>
      </c>
      <c r="AZ3" s="853" t="str">
        <f>+VLOOKUP($AJ3,Data_Validation!$A:$E,5,0)</f>
        <v>#N/A</v>
      </c>
    </row>
    <row r="4" ht="15.0" customHeight="1">
      <c r="A4" s="849" t="s">
        <v>1239</v>
      </c>
      <c r="B4" s="849">
        <v>2026.0</v>
      </c>
      <c r="C4" s="849" t="s">
        <v>1242</v>
      </c>
      <c r="D4" s="849" t="s">
        <v>1243</v>
      </c>
      <c r="E4" s="849" t="s">
        <v>768</v>
      </c>
      <c r="F4" s="849" t="s">
        <v>1200</v>
      </c>
      <c r="G4" s="849">
        <v>0.0</v>
      </c>
      <c r="H4" s="849">
        <v>0.0</v>
      </c>
      <c r="I4" s="849">
        <v>0.0</v>
      </c>
      <c r="J4" s="849">
        <v>0.0</v>
      </c>
      <c r="K4" s="849">
        <v>0.0</v>
      </c>
      <c r="L4" s="849">
        <v>0.0</v>
      </c>
      <c r="M4" s="849">
        <v>0.0</v>
      </c>
      <c r="N4" s="849">
        <v>0.0</v>
      </c>
      <c r="O4" s="849">
        <v>0.0</v>
      </c>
      <c r="P4" s="849">
        <v>0.0</v>
      </c>
      <c r="Q4" s="849">
        <v>0.0</v>
      </c>
      <c r="R4" s="849">
        <v>0.0</v>
      </c>
      <c r="S4" s="849">
        <v>0.0</v>
      </c>
      <c r="T4" s="849">
        <v>0.0</v>
      </c>
      <c r="U4" s="849">
        <v>0.0</v>
      </c>
      <c r="V4" s="849">
        <v>0.0</v>
      </c>
      <c r="W4" s="849">
        <v>0.0</v>
      </c>
      <c r="X4" s="849">
        <v>0.0</v>
      </c>
      <c r="Y4" s="849">
        <v>0.0</v>
      </c>
      <c r="Z4" s="849">
        <v>0.0</v>
      </c>
      <c r="AA4" s="849">
        <v>0.0</v>
      </c>
      <c r="AB4" s="849">
        <v>0.0</v>
      </c>
      <c r="AC4" s="849">
        <v>0.0</v>
      </c>
      <c r="AD4" s="849">
        <v>0.0</v>
      </c>
      <c r="AE4" s="849">
        <v>0.0</v>
      </c>
      <c r="AF4" s="849">
        <v>0.0</v>
      </c>
      <c r="AG4" s="849">
        <v>0.0</v>
      </c>
      <c r="AH4" s="849">
        <v>0.0</v>
      </c>
      <c r="AI4" s="849">
        <v>0.0</v>
      </c>
      <c r="AJ4" s="794" t="str">
        <f t="shared" ref="AJ4:AK4" si="3">C4</f>
        <v>G01101</v>
      </c>
      <c r="AK4" s="794" t="str">
        <f t="shared" si="3"/>
        <v>COMMISSIONS VEH. NEUF/USA</v>
      </c>
      <c r="AL4" s="794">
        <f t="array" ref="AL4">IFERROR(INDEX(G4:R4,1,MATCH(Parametres!$B$3,G$1:R$1,0)-1)*IF(OR(F4="L",F4="S",F4="I"),-1,1),"")</f>
        <v>0</v>
      </c>
      <c r="AM4" s="794">
        <f t="shared" si="4"/>
        <v>0</v>
      </c>
      <c r="AN4" s="794">
        <f t="array" ref="AN4">INDEX(G4:R4,1,MATCH(Parametres!$B$3,G$1:R$1,0))*IF(OR(F4="L",F4="S",F4="I"),-1,1)</f>
        <v>0</v>
      </c>
      <c r="AO4" s="853" t="str">
        <f>+VLOOKUP($AJ4,Data_Validation!$A:$D,1,0)</f>
        <v>#N/A</v>
      </c>
      <c r="AP4" s="853" t="str">
        <f>+VLOOKUP($AJ4,Data_Validation!$A:$D,3,0)</f>
        <v>#N/A</v>
      </c>
      <c r="AQ4" s="853" t="str">
        <f>+VLOOKUP($AJ4,Data_Validation!$A:$D,4,0)</f>
        <v>#N/A</v>
      </c>
      <c r="AR4" s="853" t="s">
        <v>728</v>
      </c>
      <c r="AS4" s="853" t="str">
        <f>+VLOOKUP($AJ4,Data_Validation!$A:$E,5,0)</f>
        <v>#N/A</v>
      </c>
      <c r="AT4" s="794" t="str">
        <f t="shared" ref="AT4:AU4" si="5">C4</f>
        <v>G01101</v>
      </c>
      <c r="AU4" s="854" t="str">
        <f t="shared" si="5"/>
        <v>COMMISSIONS VEH. NEUF/USA</v>
      </c>
      <c r="AV4" s="794">
        <f t="array" ref="AV4">IFERROR(INDEX(V4:AG4,1,MATCH(Parametres!$B$3,V$1:AG$1,0)-1)*IF(OR(C4="L",C4="S",C4="I"),-1,1),"")</f>
        <v>0</v>
      </c>
      <c r="AW4" s="794">
        <f t="shared" si="6"/>
        <v>0</v>
      </c>
      <c r="AX4" s="794">
        <f t="array" ref="AX4">INDEX(V4:AG4,1,MATCH(Parametres!$B$3,V$1:AG$1,0))*IF(OR(C4="L",C4="S",C4="I"),-1,1)</f>
        <v>0</v>
      </c>
      <c r="AY4" s="853" t="s">
        <v>772</v>
      </c>
      <c r="AZ4" s="853" t="str">
        <f>+VLOOKUP($AJ4,Data_Validation!$A:$E,5,0)</f>
        <v>#N/A</v>
      </c>
    </row>
    <row r="5" ht="15.75" customHeight="1">
      <c r="A5" s="849" t="s">
        <v>1239</v>
      </c>
      <c r="B5" s="849">
        <v>2026.0</v>
      </c>
      <c r="C5" s="849" t="s">
        <v>1244</v>
      </c>
      <c r="D5" s="849" t="s">
        <v>1245</v>
      </c>
      <c r="E5" s="849" t="s">
        <v>768</v>
      </c>
      <c r="F5" s="849" t="s">
        <v>1200</v>
      </c>
      <c r="G5" s="849">
        <v>36405.26</v>
      </c>
      <c r="H5" s="849">
        <v>71802.16</v>
      </c>
      <c r="I5" s="849">
        <v>109271.07</v>
      </c>
      <c r="J5" s="849">
        <v>158641.79</v>
      </c>
      <c r="K5" s="849">
        <v>192201.62</v>
      </c>
      <c r="L5" s="849">
        <v>230119.3</v>
      </c>
      <c r="M5" s="849">
        <v>272734.53</v>
      </c>
      <c r="N5" s="849">
        <v>315478.48</v>
      </c>
      <c r="O5" s="849">
        <v>356614.73</v>
      </c>
      <c r="P5" s="849">
        <v>367706.9</v>
      </c>
      <c r="Q5" s="849">
        <v>0.0</v>
      </c>
      <c r="R5" s="849">
        <v>0.0</v>
      </c>
      <c r="S5" s="849">
        <v>39623.86</v>
      </c>
      <c r="T5" s="849">
        <v>39623.86</v>
      </c>
      <c r="U5" s="849">
        <v>0.0</v>
      </c>
      <c r="V5" s="849">
        <v>0.0</v>
      </c>
      <c r="W5" s="849">
        <v>0.0</v>
      </c>
      <c r="X5" s="849">
        <v>0.0</v>
      </c>
      <c r="Y5" s="849">
        <v>0.0</v>
      </c>
      <c r="Z5" s="849">
        <v>0.0</v>
      </c>
      <c r="AA5" s="849">
        <v>0.0</v>
      </c>
      <c r="AB5" s="849">
        <v>0.0</v>
      </c>
      <c r="AC5" s="849">
        <v>0.0</v>
      </c>
      <c r="AD5" s="849">
        <v>0.0</v>
      </c>
      <c r="AE5" s="849">
        <v>0.0</v>
      </c>
      <c r="AF5" s="849">
        <v>0.0</v>
      </c>
      <c r="AG5" s="849">
        <v>0.0</v>
      </c>
      <c r="AH5" s="849">
        <v>0.0</v>
      </c>
      <c r="AI5" s="849">
        <v>0.0</v>
      </c>
      <c r="AJ5" s="794" t="str">
        <f t="shared" ref="AJ5:AK5" si="7">C5</f>
        <v>G0111</v>
      </c>
      <c r="AK5" s="794" t="str">
        <f t="shared" si="7"/>
        <v>COMMISSIONS VEH. NEUFS</v>
      </c>
      <c r="AL5" s="794">
        <f t="array" ref="AL5">IFERROR(INDEX(G5:R5,1,MATCH(Parametres!$B$3,G$1:R$1,0)-1)*IF(OR(F5="L",F5="S",F5="I"),-1,1),"")</f>
        <v>315478.48</v>
      </c>
      <c r="AM5" s="794">
        <f t="shared" si="4"/>
        <v>41136.25</v>
      </c>
      <c r="AN5" s="794">
        <f t="array" ref="AN5">INDEX(G5:R5,1,MATCH(Parametres!$B$3,G$1:R$1,0))*IF(OR(F5="L",F5="S",F5="I"),-1,1)</f>
        <v>356614.73</v>
      </c>
      <c r="AO5" s="853" t="str">
        <f>+VLOOKUP($AJ5,Data_Validation!$A:$D,1,0)</f>
        <v>G0111</v>
      </c>
      <c r="AP5" s="853" t="str">
        <f>+VLOOKUP($AJ5,Data_Validation!$A:$D,3,0)</f>
        <v>Véhicules neufs</v>
      </c>
      <c r="AQ5" s="853" t="str">
        <f>+VLOOKUP($AJ5,Data_Validation!$A:$D,4,0)</f>
        <v>Comm. vendeurs</v>
      </c>
      <c r="AR5" s="853" t="s">
        <v>728</v>
      </c>
      <c r="AS5" s="853" t="str">
        <f>+VLOOKUP($AJ5,Data_Validation!$A:$E,5,0)</f>
        <v/>
      </c>
      <c r="AT5" s="794" t="str">
        <f t="shared" ref="AT5:AU5" si="8">C5</f>
        <v>G0111</v>
      </c>
      <c r="AU5" s="854" t="str">
        <f t="shared" si="8"/>
        <v>COMMISSIONS VEH. NEUFS</v>
      </c>
      <c r="AV5" s="794">
        <f t="array" ref="AV5">IFERROR(INDEX(V5:AG5,1,MATCH(Parametres!$B$3,V$1:AG$1,0)-1)*IF(OR(C5="L",C5="S",C5="I"),-1,1),"")</f>
        <v>0</v>
      </c>
      <c r="AW5" s="794">
        <f t="shared" si="6"/>
        <v>0</v>
      </c>
      <c r="AX5" s="794">
        <f t="array" ref="AX5">INDEX(V5:AG5,1,MATCH(Parametres!$B$3,V$1:AG$1,0))*IF(OR(C5="L",C5="S",C5="I"),-1,1)</f>
        <v>0</v>
      </c>
      <c r="AY5" s="853" t="s">
        <v>772</v>
      </c>
      <c r="AZ5" s="853" t="str">
        <f>+VLOOKUP($AJ5,Data_Validation!$A:$E,5,0)</f>
        <v/>
      </c>
    </row>
    <row r="6" ht="15.75" customHeight="1">
      <c r="A6" s="849" t="s">
        <v>1239</v>
      </c>
      <c r="B6" s="849">
        <v>2026.0</v>
      </c>
      <c r="C6" s="849" t="s">
        <v>1246</v>
      </c>
      <c r="D6" s="849" t="s">
        <v>1247</v>
      </c>
      <c r="E6" s="849" t="s">
        <v>768</v>
      </c>
      <c r="F6" s="849" t="s">
        <v>1200</v>
      </c>
      <c r="G6" s="849">
        <v>11690.66</v>
      </c>
      <c r="H6" s="849">
        <v>18779.46</v>
      </c>
      <c r="I6" s="849">
        <v>31938.84</v>
      </c>
      <c r="J6" s="849">
        <v>48798.62</v>
      </c>
      <c r="K6" s="849">
        <v>63558.08</v>
      </c>
      <c r="L6" s="849">
        <v>74740.16</v>
      </c>
      <c r="M6" s="849">
        <v>81399.01</v>
      </c>
      <c r="N6" s="849">
        <v>83766.76</v>
      </c>
      <c r="O6" s="849">
        <v>92292.67</v>
      </c>
      <c r="P6" s="849">
        <v>93492.67</v>
      </c>
      <c r="Q6" s="849">
        <v>0.0</v>
      </c>
      <c r="R6" s="849">
        <v>0.0</v>
      </c>
      <c r="S6" s="849">
        <v>10254.74</v>
      </c>
      <c r="T6" s="849">
        <v>10254.74</v>
      </c>
      <c r="U6" s="849">
        <v>0.0</v>
      </c>
      <c r="V6" s="849">
        <v>0.0</v>
      </c>
      <c r="W6" s="849">
        <v>0.0</v>
      </c>
      <c r="X6" s="849">
        <v>0.0</v>
      </c>
      <c r="Y6" s="849">
        <v>0.0</v>
      </c>
      <c r="Z6" s="849">
        <v>0.0</v>
      </c>
      <c r="AA6" s="849">
        <v>0.0</v>
      </c>
      <c r="AB6" s="849">
        <v>0.0</v>
      </c>
      <c r="AC6" s="849">
        <v>0.0</v>
      </c>
      <c r="AD6" s="849">
        <v>0.0</v>
      </c>
      <c r="AE6" s="849">
        <v>0.0</v>
      </c>
      <c r="AF6" s="849">
        <v>0.0</v>
      </c>
      <c r="AG6" s="849">
        <v>0.0</v>
      </c>
      <c r="AH6" s="849">
        <v>0.0</v>
      </c>
      <c r="AI6" s="849">
        <v>0.0</v>
      </c>
      <c r="AJ6" s="794" t="str">
        <f t="shared" ref="AJ6:AK6" si="9">C6</f>
        <v>G0112</v>
      </c>
      <c r="AK6" s="794" t="str">
        <f t="shared" si="9"/>
        <v>COMMISSIONS VEH. USAGES</v>
      </c>
      <c r="AL6" s="794">
        <f t="array" ref="AL6">IFERROR(INDEX(G6:R6,1,MATCH(Parametres!$B$3,G$1:R$1,0)-1)*IF(OR(F6="L",F6="S",F6="I"),-1,1),"")</f>
        <v>83766.76</v>
      </c>
      <c r="AM6" s="794">
        <f t="shared" si="4"/>
        <v>8525.91</v>
      </c>
      <c r="AN6" s="794">
        <f t="array" ref="AN6">INDEX(G6:R6,1,MATCH(Parametres!$B$3,G$1:R$1,0))*IF(OR(F6="L",F6="S",F6="I"),-1,1)</f>
        <v>92292.67</v>
      </c>
      <c r="AO6" s="853" t="str">
        <f>+VLOOKUP($AJ6,Data_Validation!$A:$D,1,0)</f>
        <v>G0112</v>
      </c>
      <c r="AP6" s="853" t="str">
        <f>+VLOOKUP($AJ6,Data_Validation!$A:$D,3,0)</f>
        <v>Véhicules usagés</v>
      </c>
      <c r="AQ6" s="853" t="str">
        <f>+VLOOKUP($AJ6,Data_Validation!$A:$D,4,0)</f>
        <v>Comm. vendeurs</v>
      </c>
      <c r="AR6" s="853" t="s">
        <v>728</v>
      </c>
      <c r="AS6" s="853" t="str">
        <f>+VLOOKUP($AJ6,Data_Validation!$A:$E,5,0)</f>
        <v/>
      </c>
      <c r="AT6" s="794" t="str">
        <f t="shared" ref="AT6:AU6" si="10">C6</f>
        <v>G0112</v>
      </c>
      <c r="AU6" s="854" t="str">
        <f t="shared" si="10"/>
        <v>COMMISSIONS VEH. USAGES</v>
      </c>
      <c r="AV6" s="794">
        <f t="array" ref="AV6">IFERROR(INDEX(V6:AG6,1,MATCH(Parametres!$B$3,V$1:AG$1,0)-1)*IF(OR(C6="L",C6="S",C6="I"),-1,1),"")</f>
        <v>0</v>
      </c>
      <c r="AW6" s="794">
        <f t="shared" si="6"/>
        <v>0</v>
      </c>
      <c r="AX6" s="794">
        <f t="array" ref="AX6">INDEX(V6:AG6,1,MATCH(Parametres!$B$3,V$1:AG$1,0))*IF(OR(C6="L",C6="S",C6="I"),-1,1)</f>
        <v>0</v>
      </c>
      <c r="AY6" s="853" t="s">
        <v>772</v>
      </c>
      <c r="AZ6" s="853" t="str">
        <f>+VLOOKUP($AJ6,Data_Validation!$A:$E,5,0)</f>
        <v/>
      </c>
    </row>
    <row r="7" ht="15.0" customHeight="1">
      <c r="A7" s="849" t="s">
        <v>1239</v>
      </c>
      <c r="B7" s="849">
        <v>2026.0</v>
      </c>
      <c r="C7" s="849" t="s">
        <v>1248</v>
      </c>
      <c r="D7" s="849" t="s">
        <v>1249</v>
      </c>
      <c r="E7" s="849" t="s">
        <v>768</v>
      </c>
      <c r="F7" s="849" t="s">
        <v>1200</v>
      </c>
      <c r="G7" s="849">
        <v>0.0</v>
      </c>
      <c r="H7" s="849">
        <v>0.0</v>
      </c>
      <c r="I7" s="849">
        <v>0.0</v>
      </c>
      <c r="J7" s="849">
        <v>0.0</v>
      </c>
      <c r="K7" s="849">
        <v>190789.44</v>
      </c>
      <c r="L7" s="849">
        <v>205420.19</v>
      </c>
      <c r="M7" s="849">
        <v>219271.45</v>
      </c>
      <c r="N7" s="849">
        <v>229350.45</v>
      </c>
      <c r="O7" s="849">
        <v>232165.0</v>
      </c>
      <c r="P7" s="849">
        <v>237765.0</v>
      </c>
      <c r="Q7" s="849">
        <v>0.0</v>
      </c>
      <c r="R7" s="849">
        <v>0.0</v>
      </c>
      <c r="S7" s="849">
        <v>25796.11</v>
      </c>
      <c r="T7" s="849">
        <v>25796.11</v>
      </c>
      <c r="U7" s="849">
        <v>0.0</v>
      </c>
      <c r="V7" s="849">
        <v>0.0</v>
      </c>
      <c r="W7" s="849">
        <v>0.0</v>
      </c>
      <c r="X7" s="849">
        <v>0.0</v>
      </c>
      <c r="Y7" s="849">
        <v>0.0</v>
      </c>
      <c r="Z7" s="849">
        <v>0.0</v>
      </c>
      <c r="AA7" s="849">
        <v>0.0</v>
      </c>
      <c r="AB7" s="849">
        <v>0.0</v>
      </c>
      <c r="AC7" s="849">
        <v>0.0</v>
      </c>
      <c r="AD7" s="849">
        <v>0.0</v>
      </c>
      <c r="AE7" s="849">
        <v>0.0</v>
      </c>
      <c r="AF7" s="849">
        <v>0.0</v>
      </c>
      <c r="AG7" s="849">
        <v>0.0</v>
      </c>
      <c r="AH7" s="849">
        <v>0.0</v>
      </c>
      <c r="AI7" s="849">
        <v>0.0</v>
      </c>
      <c r="AJ7" s="794" t="str">
        <f t="shared" ref="AJ7:AK7" si="11">C7</f>
        <v>G0113</v>
      </c>
      <c r="AK7" s="794" t="str">
        <f t="shared" si="11"/>
        <v>FRAIS LIVRAISON U.S.A</v>
      </c>
      <c r="AL7" s="794">
        <f t="array" ref="AL7">IFERROR(INDEX(G7:R7,1,MATCH(Parametres!$B$3,G$1:R$1,0)-1)*IF(OR(F7="L",F7="S",F7="I"),-1,1),"")</f>
        <v>229350.45</v>
      </c>
      <c r="AM7" s="794">
        <f t="shared" si="4"/>
        <v>2814.55</v>
      </c>
      <c r="AN7" s="794">
        <f t="array" ref="AN7">INDEX(G7:R7,1,MATCH(Parametres!$B$3,G$1:R$1,0))*IF(OR(F7="L",F7="S",F7="I"),-1,1)</f>
        <v>232165</v>
      </c>
      <c r="AO7" s="853" t="str">
        <f>+VLOOKUP($AJ7,Data_Validation!$A:$D,1,0)</f>
        <v>G0113</v>
      </c>
      <c r="AP7" s="853" t="str">
        <f>+VLOOKUP($AJ7,Data_Validation!$A:$D,3,0)</f>
        <v>Wholesale autres</v>
      </c>
      <c r="AQ7" s="853" t="str">
        <f>+VLOOKUP($AJ7,Data_Validation!$A:$D,4,0)</f>
        <v>Comm. vendeurs</v>
      </c>
      <c r="AR7" s="853" t="s">
        <v>728</v>
      </c>
      <c r="AS7" s="853" t="str">
        <f>+VLOOKUP($AJ7,Data_Validation!$A:$E,5,0)</f>
        <v/>
      </c>
      <c r="AT7" s="794" t="str">
        <f t="shared" ref="AT7:AU7" si="12">C7</f>
        <v>G0113</v>
      </c>
      <c r="AU7" s="854" t="str">
        <f t="shared" si="12"/>
        <v>FRAIS LIVRAISON U.S.A</v>
      </c>
      <c r="AV7" s="794">
        <f t="array" ref="AV7">IFERROR(INDEX(V7:AG7,1,MATCH(Parametres!$B$3,V$1:AG$1,0)-1)*IF(OR(C7="L",C7="S",C7="I"),-1,1),"")</f>
        <v>0</v>
      </c>
      <c r="AW7" s="794">
        <f t="shared" si="6"/>
        <v>0</v>
      </c>
      <c r="AX7" s="794">
        <f t="array" ref="AX7">INDEX(V7:AG7,1,MATCH(Parametres!$B$3,V$1:AG$1,0))*IF(OR(C7="L",C7="S",C7="I"),-1,1)</f>
        <v>0</v>
      </c>
      <c r="AY7" s="853" t="s">
        <v>772</v>
      </c>
      <c r="AZ7" s="853" t="str">
        <f>+VLOOKUP($AJ7,Data_Validation!$A:$E,5,0)</f>
        <v/>
      </c>
    </row>
    <row r="8" ht="15.0" customHeight="1">
      <c r="A8" s="849" t="s">
        <v>1239</v>
      </c>
      <c r="B8" s="849">
        <v>2026.0</v>
      </c>
      <c r="C8" s="849" t="s">
        <v>1250</v>
      </c>
      <c r="D8" s="849" t="s">
        <v>1251</v>
      </c>
      <c r="E8" s="849" t="s">
        <v>768</v>
      </c>
      <c r="F8" s="849" t="s">
        <v>1200</v>
      </c>
      <c r="G8" s="849">
        <v>281.52</v>
      </c>
      <c r="H8" s="849">
        <v>6055.17</v>
      </c>
      <c r="I8" s="849">
        <v>14984.42</v>
      </c>
      <c r="J8" s="849">
        <v>7548.54</v>
      </c>
      <c r="K8" s="849">
        <v>155262.65</v>
      </c>
      <c r="L8" s="849">
        <v>189060.68</v>
      </c>
      <c r="M8" s="849">
        <v>243154.3</v>
      </c>
      <c r="N8" s="849">
        <v>239781.54</v>
      </c>
      <c r="O8" s="849">
        <v>268022.17</v>
      </c>
      <c r="P8" s="849">
        <v>282541.32</v>
      </c>
      <c r="Q8" s="849">
        <v>0.0</v>
      </c>
      <c r="R8" s="849">
        <v>0.0</v>
      </c>
      <c r="S8" s="849">
        <v>29780.24</v>
      </c>
      <c r="T8" s="849">
        <v>29780.24</v>
      </c>
      <c r="U8" s="849">
        <v>0.0</v>
      </c>
      <c r="V8" s="849">
        <v>0.0</v>
      </c>
      <c r="W8" s="849">
        <v>0.0</v>
      </c>
      <c r="X8" s="849">
        <v>0.0</v>
      </c>
      <c r="Y8" s="849">
        <v>0.0</v>
      </c>
      <c r="Z8" s="849">
        <v>0.0</v>
      </c>
      <c r="AA8" s="849">
        <v>0.0</v>
      </c>
      <c r="AB8" s="849">
        <v>0.0</v>
      </c>
      <c r="AC8" s="849">
        <v>0.0</v>
      </c>
      <c r="AD8" s="849">
        <v>0.0</v>
      </c>
      <c r="AE8" s="849">
        <v>0.0</v>
      </c>
      <c r="AF8" s="849">
        <v>0.0</v>
      </c>
      <c r="AG8" s="849">
        <v>0.0</v>
      </c>
      <c r="AH8" s="849">
        <v>0.0</v>
      </c>
      <c r="AI8" s="849">
        <v>0.0</v>
      </c>
      <c r="AJ8" s="794" t="str">
        <f t="shared" ref="AJ8:AK8" si="13">C8</f>
        <v>G0131</v>
      </c>
      <c r="AK8" s="794" t="str">
        <f t="shared" si="13"/>
        <v>FRAIS LIVRAISON-NEUFS</v>
      </c>
      <c r="AL8" s="794">
        <f t="array" ref="AL8">IFERROR(INDEX(G8:R8,1,MATCH(Parametres!$B$3,G$1:R$1,0)-1)*IF(OR(F8="L",F8="S",F8="I"),-1,1),"")</f>
        <v>239781.54</v>
      </c>
      <c r="AM8" s="794">
        <f t="shared" si="4"/>
        <v>28240.63</v>
      </c>
      <c r="AN8" s="794">
        <f t="array" ref="AN8">INDEX(G8:R8,1,MATCH(Parametres!$B$3,G$1:R$1,0))*IF(OR(F8="L",F8="S",F8="I"),-1,1)</f>
        <v>268022.17</v>
      </c>
      <c r="AO8" s="853" t="str">
        <f>+VLOOKUP($AJ8,Data_Validation!$A:$D,1,0)</f>
        <v>G0131</v>
      </c>
      <c r="AP8" s="853" t="str">
        <f>+VLOOKUP($AJ8,Data_Validation!$A:$D,3,0)</f>
        <v>Véhicules neufs</v>
      </c>
      <c r="AQ8" s="853" t="str">
        <f>+VLOOKUP($AJ8,Data_Validation!$A:$D,4,0)</f>
        <v>Frais de livraison</v>
      </c>
      <c r="AR8" s="853" t="s">
        <v>728</v>
      </c>
      <c r="AS8" s="853" t="str">
        <f>+VLOOKUP($AJ8,Data_Validation!$A:$E,5,0)</f>
        <v/>
      </c>
      <c r="AT8" s="794" t="str">
        <f t="shared" ref="AT8:AU8" si="14">C8</f>
        <v>G0131</v>
      </c>
      <c r="AU8" s="854" t="str">
        <f t="shared" si="14"/>
        <v>FRAIS LIVRAISON-NEUFS</v>
      </c>
      <c r="AV8" s="794">
        <f t="array" ref="AV8">IFERROR(INDEX(V8:AG8,1,MATCH(Parametres!$B$3,V$1:AG$1,0)-1)*IF(OR(C8="L",C8="S",C8="I"),-1,1),"")</f>
        <v>0</v>
      </c>
      <c r="AW8" s="794">
        <f t="shared" si="6"/>
        <v>0</v>
      </c>
      <c r="AX8" s="794">
        <f t="array" ref="AX8">INDEX(V8:AG8,1,MATCH(Parametres!$B$3,V$1:AG$1,0))*IF(OR(C8="L",C8="S",C8="I"),-1,1)</f>
        <v>0</v>
      </c>
      <c r="AY8" s="853" t="s">
        <v>772</v>
      </c>
      <c r="AZ8" s="853" t="str">
        <f>+VLOOKUP($AJ8,Data_Validation!$A:$E,5,0)</f>
        <v/>
      </c>
    </row>
    <row r="9" ht="15.0" customHeight="1">
      <c r="A9" s="849" t="s">
        <v>1239</v>
      </c>
      <c r="B9" s="849">
        <v>2026.0</v>
      </c>
      <c r="C9" s="849" t="s">
        <v>1252</v>
      </c>
      <c r="D9" s="849" t="s">
        <v>1253</v>
      </c>
      <c r="E9" s="849" t="s">
        <v>768</v>
      </c>
      <c r="F9" s="849" t="s">
        <v>1200</v>
      </c>
      <c r="G9" s="849">
        <v>-10201.18</v>
      </c>
      <c r="H9" s="849">
        <v>-9595.09</v>
      </c>
      <c r="I9" s="849">
        <v>-11675.15</v>
      </c>
      <c r="J9" s="849">
        <v>-23865.08</v>
      </c>
      <c r="K9" s="849">
        <v>-9516.15</v>
      </c>
      <c r="L9" s="849">
        <v>-11327.46</v>
      </c>
      <c r="M9" s="849">
        <v>-12203.67</v>
      </c>
      <c r="N9" s="849">
        <v>-11981.25</v>
      </c>
      <c r="O9" s="849">
        <v>-12818.91</v>
      </c>
      <c r="P9" s="849">
        <v>-15910.98</v>
      </c>
      <c r="Q9" s="849">
        <v>0.0</v>
      </c>
      <c r="R9" s="849">
        <v>0.0</v>
      </c>
      <c r="S9" s="849">
        <v>-1424.32</v>
      </c>
      <c r="T9" s="849">
        <v>-1424.32</v>
      </c>
      <c r="U9" s="849">
        <v>0.0</v>
      </c>
      <c r="V9" s="849">
        <v>0.0</v>
      </c>
      <c r="W9" s="849">
        <v>0.0</v>
      </c>
      <c r="X9" s="849">
        <v>0.0</v>
      </c>
      <c r="Y9" s="849">
        <v>0.0</v>
      </c>
      <c r="Z9" s="849">
        <v>0.0</v>
      </c>
      <c r="AA9" s="849">
        <v>0.0</v>
      </c>
      <c r="AB9" s="849">
        <v>0.0</v>
      </c>
      <c r="AC9" s="849">
        <v>0.0</v>
      </c>
      <c r="AD9" s="849">
        <v>0.0</v>
      </c>
      <c r="AE9" s="849">
        <v>0.0</v>
      </c>
      <c r="AF9" s="849">
        <v>0.0</v>
      </c>
      <c r="AG9" s="849">
        <v>0.0</v>
      </c>
      <c r="AH9" s="849">
        <v>0.0</v>
      </c>
      <c r="AI9" s="849">
        <v>0.0</v>
      </c>
      <c r="AJ9" s="794" t="str">
        <f t="shared" ref="AJ9:AK9" si="15">C9</f>
        <v>G0132</v>
      </c>
      <c r="AK9" s="794" t="str">
        <f t="shared" si="15"/>
        <v>FRAIS LIVRAISON-USAGE</v>
      </c>
      <c r="AL9" s="794">
        <f t="array" ref="AL9">IFERROR(INDEX(G9:R9,1,MATCH(Parametres!$B$3,G$1:R$1,0)-1)*IF(OR(F9="L",F9="S",F9="I"),-1,1),"")</f>
        <v>-11981.25</v>
      </c>
      <c r="AM9" s="794">
        <f t="shared" si="4"/>
        <v>-837.66</v>
      </c>
      <c r="AN9" s="794">
        <f t="array" ref="AN9">INDEX(G9:R9,1,MATCH(Parametres!$B$3,G$1:R$1,0))*IF(OR(F9="L",F9="S",F9="I"),-1,1)</f>
        <v>-12818.91</v>
      </c>
      <c r="AO9" s="853" t="str">
        <f>+VLOOKUP($AJ9,Data_Validation!$A:$D,1,0)</f>
        <v>G0132</v>
      </c>
      <c r="AP9" s="853" t="str">
        <f>+VLOOKUP($AJ9,Data_Validation!$A:$D,3,0)</f>
        <v>Véhicules usagés</v>
      </c>
      <c r="AQ9" s="853" t="str">
        <f>+VLOOKUP($AJ9,Data_Validation!$A:$D,4,0)</f>
        <v>Frais de livraison</v>
      </c>
      <c r="AR9" s="853" t="s">
        <v>728</v>
      </c>
      <c r="AS9" s="853" t="str">
        <f>+VLOOKUP($AJ9,Data_Validation!$A:$E,5,0)</f>
        <v/>
      </c>
      <c r="AT9" s="794" t="str">
        <f t="shared" ref="AT9:AU9" si="16">C9</f>
        <v>G0132</v>
      </c>
      <c r="AU9" s="854" t="str">
        <f t="shared" si="16"/>
        <v>FRAIS LIVRAISON-USAGE</v>
      </c>
      <c r="AV9" s="794">
        <f t="array" ref="AV9">IFERROR(INDEX(V9:AG9,1,MATCH(Parametres!$B$3,V$1:AG$1,0)-1)*IF(OR(C9="L",C9="S",C9="I"),-1,1),"")</f>
        <v>0</v>
      </c>
      <c r="AW9" s="794">
        <f t="shared" si="6"/>
        <v>0</v>
      </c>
      <c r="AX9" s="794">
        <f t="array" ref="AX9">INDEX(V9:AG9,1,MATCH(Parametres!$B$3,V$1:AG$1,0))*IF(OR(C9="L",C9="S",C9="I"),-1,1)</f>
        <v>0</v>
      </c>
      <c r="AY9" s="853" t="s">
        <v>772</v>
      </c>
      <c r="AZ9" s="853" t="str">
        <f>+VLOOKUP($AJ9,Data_Validation!$A:$E,5,0)</f>
        <v/>
      </c>
    </row>
    <row r="10" ht="15.0" customHeight="1">
      <c r="A10" s="849" t="s">
        <v>1239</v>
      </c>
      <c r="B10" s="849">
        <v>2026.0</v>
      </c>
      <c r="C10" s="849" t="s">
        <v>1254</v>
      </c>
      <c r="D10" s="849" t="s">
        <v>1249</v>
      </c>
      <c r="E10" s="849" t="s">
        <v>768</v>
      </c>
      <c r="F10" s="849" t="s">
        <v>1200</v>
      </c>
      <c r="G10" s="849">
        <v>740.78</v>
      </c>
      <c r="H10" s="849">
        <v>2833.81</v>
      </c>
      <c r="I10" s="849">
        <v>4125.12</v>
      </c>
      <c r="J10" s="849">
        <v>8570.35</v>
      </c>
      <c r="K10" s="849">
        <v>10455.69</v>
      </c>
      <c r="L10" s="849">
        <v>9893.74</v>
      </c>
      <c r="M10" s="849">
        <v>10888.54</v>
      </c>
      <c r="N10" s="849">
        <v>11457.44</v>
      </c>
      <c r="O10" s="849">
        <v>11849.2</v>
      </c>
      <c r="P10" s="849">
        <v>12259.04</v>
      </c>
      <c r="Q10" s="849">
        <v>0.0</v>
      </c>
      <c r="R10" s="849">
        <v>0.0</v>
      </c>
      <c r="S10" s="849">
        <v>1316.58</v>
      </c>
      <c r="T10" s="849">
        <v>1316.58</v>
      </c>
      <c r="U10" s="849">
        <v>0.0</v>
      </c>
      <c r="V10" s="849">
        <v>0.0</v>
      </c>
      <c r="W10" s="849">
        <v>0.0</v>
      </c>
      <c r="X10" s="849">
        <v>0.0</v>
      </c>
      <c r="Y10" s="849">
        <v>0.0</v>
      </c>
      <c r="Z10" s="849">
        <v>0.0</v>
      </c>
      <c r="AA10" s="849">
        <v>0.0</v>
      </c>
      <c r="AB10" s="849">
        <v>0.0</v>
      </c>
      <c r="AC10" s="849">
        <v>0.0</v>
      </c>
      <c r="AD10" s="849">
        <v>0.0</v>
      </c>
      <c r="AE10" s="849">
        <v>0.0</v>
      </c>
      <c r="AF10" s="849">
        <v>0.0</v>
      </c>
      <c r="AG10" s="849">
        <v>0.0</v>
      </c>
      <c r="AH10" s="849">
        <v>0.0</v>
      </c>
      <c r="AI10" s="849">
        <v>0.0</v>
      </c>
      <c r="AJ10" s="794" t="str">
        <f t="shared" ref="AJ10:AK10" si="17">C10</f>
        <v>G0133</v>
      </c>
      <c r="AK10" s="794" t="str">
        <f t="shared" si="17"/>
        <v>FRAIS LIVRAISON U.S.A</v>
      </c>
      <c r="AL10" s="794">
        <f t="array" ref="AL10">IFERROR(INDEX(G10:R10,1,MATCH(Parametres!$B$3,G$1:R$1,0)-1)*IF(OR(F10="L",F10="S",F10="I"),-1,1),"")</f>
        <v>11457.44</v>
      </c>
      <c r="AM10" s="794">
        <f t="shared" si="4"/>
        <v>391.76</v>
      </c>
      <c r="AN10" s="794">
        <f t="array" ref="AN10">INDEX(G10:R10,1,MATCH(Parametres!$B$3,G$1:R$1,0))*IF(OR(F10="L",F10="S",F10="I"),-1,1)</f>
        <v>11849.2</v>
      </c>
      <c r="AO10" s="853" t="str">
        <f>+VLOOKUP($AJ10,Data_Validation!$A:$D,1,0)</f>
        <v>G0133</v>
      </c>
      <c r="AP10" s="853" t="str">
        <f>+VLOOKUP($AJ10,Data_Validation!$A:$D,3,0)</f>
        <v>Wholesale autres</v>
      </c>
      <c r="AQ10" s="853" t="str">
        <f>+VLOOKUP($AJ10,Data_Validation!$A:$D,4,0)</f>
        <v>Frais de livraison</v>
      </c>
      <c r="AR10" s="853" t="s">
        <v>728</v>
      </c>
      <c r="AS10" s="853" t="str">
        <f>+VLOOKUP($AJ10,Data_Validation!$A:$E,5,0)</f>
        <v/>
      </c>
      <c r="AT10" s="794" t="str">
        <f t="shared" ref="AT10:AU10" si="18">C10</f>
        <v>G0133</v>
      </c>
      <c r="AU10" s="854" t="str">
        <f t="shared" si="18"/>
        <v>FRAIS LIVRAISON U.S.A</v>
      </c>
      <c r="AV10" s="794">
        <f t="array" ref="AV10">IFERROR(INDEX(V10:AG10,1,MATCH(Parametres!$B$3,V$1:AG$1,0)-1)*IF(OR(C10="L",C10="S",C10="I"),-1,1),"")</f>
        <v>0</v>
      </c>
      <c r="AW10" s="794">
        <f t="shared" si="6"/>
        <v>0</v>
      </c>
      <c r="AX10" s="794">
        <f t="array" ref="AX10">INDEX(V10:AG10,1,MATCH(Parametres!$B$3,V$1:AG$1,0))*IF(OR(C10="L",C10="S",C10="I"),-1,1)</f>
        <v>0</v>
      </c>
      <c r="AY10" s="853" t="s">
        <v>772</v>
      </c>
      <c r="AZ10" s="853" t="str">
        <f>+VLOOKUP($AJ10,Data_Validation!$A:$E,5,0)</f>
        <v/>
      </c>
    </row>
    <row r="11" ht="15.0" customHeight="1">
      <c r="A11" s="849" t="s">
        <v>1239</v>
      </c>
      <c r="B11" s="849">
        <v>2026.0</v>
      </c>
      <c r="C11" s="849" t="s">
        <v>1255</v>
      </c>
      <c r="D11" s="849" t="s">
        <v>1256</v>
      </c>
      <c r="E11" s="849" t="s">
        <v>768</v>
      </c>
      <c r="F11" s="849" t="s">
        <v>1200</v>
      </c>
      <c r="G11" s="849">
        <v>0.0</v>
      </c>
      <c r="H11" s="849">
        <v>0.0</v>
      </c>
      <c r="I11" s="849">
        <v>0.0</v>
      </c>
      <c r="J11" s="849">
        <v>0.0</v>
      </c>
      <c r="K11" s="849">
        <v>0.0</v>
      </c>
      <c r="L11" s="849">
        <v>0.0</v>
      </c>
      <c r="M11" s="849">
        <v>0.0</v>
      </c>
      <c r="N11" s="849">
        <v>0.0</v>
      </c>
      <c r="O11" s="849">
        <v>0.0</v>
      </c>
      <c r="P11" s="849">
        <v>0.0</v>
      </c>
      <c r="Q11" s="849">
        <v>0.0</v>
      </c>
      <c r="R11" s="849">
        <v>0.0</v>
      </c>
      <c r="S11" s="849">
        <v>0.0</v>
      </c>
      <c r="T11" s="849">
        <v>0.0</v>
      </c>
      <c r="U11" s="849">
        <v>0.0</v>
      </c>
      <c r="V11" s="849">
        <v>0.0</v>
      </c>
      <c r="W11" s="849">
        <v>0.0</v>
      </c>
      <c r="X11" s="849">
        <v>0.0</v>
      </c>
      <c r="Y11" s="849">
        <v>0.0</v>
      </c>
      <c r="Z11" s="849">
        <v>0.0</v>
      </c>
      <c r="AA11" s="849">
        <v>0.0</v>
      </c>
      <c r="AB11" s="849">
        <v>0.0</v>
      </c>
      <c r="AC11" s="849">
        <v>0.0</v>
      </c>
      <c r="AD11" s="849">
        <v>0.0</v>
      </c>
      <c r="AE11" s="849">
        <v>0.0</v>
      </c>
      <c r="AF11" s="849">
        <v>0.0</v>
      </c>
      <c r="AG11" s="849">
        <v>0.0</v>
      </c>
      <c r="AH11" s="849">
        <v>0.0</v>
      </c>
      <c r="AI11" s="849">
        <v>0.0</v>
      </c>
      <c r="AJ11" s="794" t="str">
        <f t="shared" ref="AJ11:AK11" si="19">C11</f>
        <v>G0134</v>
      </c>
      <c r="AK11" s="794" t="str">
        <f t="shared" si="19"/>
        <v>FRAIS LIVRAISON SERVICE</v>
      </c>
      <c r="AL11" s="794">
        <f t="array" ref="AL11">IFERROR(INDEX(G11:R11,1,MATCH(Parametres!$B$3,G$1:R$1,0)-1)*IF(OR(F11="L",F11="S",F11="I"),-1,1),"")</f>
        <v>0</v>
      </c>
      <c r="AM11" s="794">
        <f t="shared" si="4"/>
        <v>0</v>
      </c>
      <c r="AN11" s="794">
        <f t="array" ref="AN11">INDEX(G11:R11,1,MATCH(Parametres!$B$3,G$1:R$1,0))*IF(OR(F11="L",F11="S",F11="I"),-1,1)</f>
        <v>0</v>
      </c>
      <c r="AO11" s="853" t="str">
        <f>+VLOOKUP($AJ11,Data_Validation!$A:$D,1,0)</f>
        <v>#N/A</v>
      </c>
      <c r="AP11" s="853" t="str">
        <f>+VLOOKUP($AJ11,Data_Validation!$A:$D,3,0)</f>
        <v>#N/A</v>
      </c>
      <c r="AQ11" s="853" t="str">
        <f>+VLOOKUP($AJ11,Data_Validation!$A:$D,4,0)</f>
        <v>#N/A</v>
      </c>
      <c r="AR11" s="853" t="s">
        <v>728</v>
      </c>
      <c r="AS11" s="853" t="str">
        <f>+VLOOKUP($AJ11,Data_Validation!$A:$E,5,0)</f>
        <v>#N/A</v>
      </c>
      <c r="AT11" s="794" t="str">
        <f t="shared" ref="AT11:AU11" si="20">C11</f>
        <v>G0134</v>
      </c>
      <c r="AU11" s="854" t="str">
        <f t="shared" si="20"/>
        <v>FRAIS LIVRAISON SERVICE</v>
      </c>
      <c r="AV11" s="794">
        <f t="array" ref="AV11">IFERROR(INDEX(V11:AG11,1,MATCH(Parametres!$B$3,V$1:AG$1,0)-1)*IF(OR(C11="L",C11="S",C11="I"),-1,1),"")</f>
        <v>0</v>
      </c>
      <c r="AW11" s="794">
        <f t="shared" si="6"/>
        <v>0</v>
      </c>
      <c r="AX11" s="794">
        <f t="array" ref="AX11">INDEX(V11:AG11,1,MATCH(Parametres!$B$3,V$1:AG$1,0))*IF(OR(C11="L",C11="S",C11="I"),-1,1)</f>
        <v>0</v>
      </c>
      <c r="AY11" s="853" t="s">
        <v>772</v>
      </c>
      <c r="AZ11" s="853" t="str">
        <f>+VLOOKUP($AJ11,Data_Validation!$A:$E,5,0)</f>
        <v>#N/A</v>
      </c>
    </row>
    <row r="12" ht="15.0" customHeight="1">
      <c r="A12" s="849" t="s">
        <v>1239</v>
      </c>
      <c r="B12" s="849">
        <v>2026.0</v>
      </c>
      <c r="C12" s="849" t="s">
        <v>1257</v>
      </c>
      <c r="D12" s="849" t="s">
        <v>1258</v>
      </c>
      <c r="E12" s="849" t="s">
        <v>768</v>
      </c>
      <c r="F12" s="849" t="s">
        <v>1200</v>
      </c>
      <c r="G12" s="849">
        <v>0.0</v>
      </c>
      <c r="H12" s="849">
        <v>0.0</v>
      </c>
      <c r="I12" s="849">
        <v>0.0</v>
      </c>
      <c r="J12" s="849">
        <v>0.0</v>
      </c>
      <c r="K12" s="849">
        <v>0.0</v>
      </c>
      <c r="L12" s="849">
        <v>0.0</v>
      </c>
      <c r="M12" s="849">
        <v>0.0</v>
      </c>
      <c r="N12" s="849">
        <v>0.0</v>
      </c>
      <c r="O12" s="849">
        <v>0.0</v>
      </c>
      <c r="P12" s="849">
        <v>0.0</v>
      </c>
      <c r="Q12" s="849">
        <v>0.0</v>
      </c>
      <c r="R12" s="849">
        <v>0.0</v>
      </c>
      <c r="S12" s="849">
        <v>0.0</v>
      </c>
      <c r="T12" s="849">
        <v>0.0</v>
      </c>
      <c r="U12" s="849">
        <v>0.0</v>
      </c>
      <c r="V12" s="849">
        <v>0.0</v>
      </c>
      <c r="W12" s="849">
        <v>0.0</v>
      </c>
      <c r="X12" s="849">
        <v>0.0</v>
      </c>
      <c r="Y12" s="849">
        <v>0.0</v>
      </c>
      <c r="Z12" s="849">
        <v>0.0</v>
      </c>
      <c r="AA12" s="849">
        <v>0.0</v>
      </c>
      <c r="AB12" s="849">
        <v>0.0</v>
      </c>
      <c r="AC12" s="849">
        <v>0.0</v>
      </c>
      <c r="AD12" s="849">
        <v>0.0</v>
      </c>
      <c r="AE12" s="849">
        <v>0.0</v>
      </c>
      <c r="AF12" s="849">
        <v>0.0</v>
      </c>
      <c r="AG12" s="849">
        <v>0.0</v>
      </c>
      <c r="AH12" s="849">
        <v>0.0</v>
      </c>
      <c r="AI12" s="849">
        <v>0.0</v>
      </c>
      <c r="AJ12" s="794" t="str">
        <f t="shared" ref="AJ12:AK12" si="21">C12</f>
        <v>G0140</v>
      </c>
      <c r="AK12" s="794" t="str">
        <f t="shared" si="21"/>
        <v>ENTRETIEN DEMO</v>
      </c>
      <c r="AL12" s="794">
        <f t="array" ref="AL12">IFERROR(INDEX(G12:R12,1,MATCH(Parametres!$B$3,G$1:R$1,0)-1)*IF(OR(F12="L",F12="S",F12="I"),-1,1),"")</f>
        <v>0</v>
      </c>
      <c r="AM12" s="794">
        <f t="shared" si="4"/>
        <v>0</v>
      </c>
      <c r="AN12" s="794">
        <f t="array" ref="AN12">INDEX(G12:R12,1,MATCH(Parametres!$B$3,G$1:R$1,0))*IF(OR(F12="L",F12="S",F12="I"),-1,1)</f>
        <v>0</v>
      </c>
      <c r="AO12" s="853" t="str">
        <f>+VLOOKUP($AJ12,Data_Validation!$A:$D,1,0)</f>
        <v>#N/A</v>
      </c>
      <c r="AP12" s="853" t="str">
        <f>+VLOOKUP($AJ12,Data_Validation!$A:$D,3,0)</f>
        <v>#N/A</v>
      </c>
      <c r="AQ12" s="853" t="str">
        <f>+VLOOKUP($AJ12,Data_Validation!$A:$D,4,0)</f>
        <v>#N/A</v>
      </c>
      <c r="AR12" s="853" t="s">
        <v>728</v>
      </c>
      <c r="AS12" s="853" t="str">
        <f>+VLOOKUP($AJ12,Data_Validation!$A:$E,5,0)</f>
        <v>#N/A</v>
      </c>
      <c r="AT12" s="794" t="str">
        <f t="shared" ref="AT12:AU12" si="22">C12</f>
        <v>G0140</v>
      </c>
      <c r="AU12" s="854" t="str">
        <f t="shared" si="22"/>
        <v>ENTRETIEN DEMO</v>
      </c>
      <c r="AV12" s="794">
        <f t="array" ref="AV12">IFERROR(INDEX(V12:AG12,1,MATCH(Parametres!$B$3,V$1:AG$1,0)-1)*IF(OR(C12="L",C12="S",C12="I"),-1,1),"")</f>
        <v>0</v>
      </c>
      <c r="AW12" s="794">
        <f t="shared" si="6"/>
        <v>0</v>
      </c>
      <c r="AX12" s="794">
        <f t="array" ref="AX12">INDEX(V12:AG12,1,MATCH(Parametres!$B$3,V$1:AG$1,0))*IF(OR(C12="L",C12="S",C12="I"),-1,1)</f>
        <v>0</v>
      </c>
      <c r="AY12" s="853" t="s">
        <v>772</v>
      </c>
      <c r="AZ12" s="853" t="str">
        <f>+VLOOKUP($AJ12,Data_Validation!$A:$E,5,0)</f>
        <v>#N/A</v>
      </c>
    </row>
    <row r="13" ht="15.0" customHeight="1">
      <c r="A13" s="849" t="s">
        <v>1239</v>
      </c>
      <c r="B13" s="849">
        <v>2026.0</v>
      </c>
      <c r="C13" s="849" t="s">
        <v>1259</v>
      </c>
      <c r="D13" s="849" t="s">
        <v>1260</v>
      </c>
      <c r="E13" s="849" t="s">
        <v>768</v>
      </c>
      <c r="F13" s="849" t="s">
        <v>1200</v>
      </c>
      <c r="G13" s="849">
        <v>0.0</v>
      </c>
      <c r="H13" s="849">
        <v>0.0</v>
      </c>
      <c r="I13" s="849">
        <v>0.0</v>
      </c>
      <c r="J13" s="849">
        <v>0.0</v>
      </c>
      <c r="K13" s="849">
        <v>0.0</v>
      </c>
      <c r="L13" s="849">
        <v>2304.62</v>
      </c>
      <c r="M13" s="849">
        <v>7316.15</v>
      </c>
      <c r="N13" s="849">
        <v>10229.98</v>
      </c>
      <c r="O13" s="849">
        <v>12131.3</v>
      </c>
      <c r="P13" s="849">
        <v>12216.74</v>
      </c>
      <c r="Q13" s="849">
        <v>0.0</v>
      </c>
      <c r="R13" s="849">
        <v>0.0</v>
      </c>
      <c r="S13" s="849">
        <v>1347.92</v>
      </c>
      <c r="T13" s="849">
        <v>1347.92</v>
      </c>
      <c r="U13" s="849">
        <v>0.0</v>
      </c>
      <c r="V13" s="849">
        <v>0.0</v>
      </c>
      <c r="W13" s="849">
        <v>0.0</v>
      </c>
      <c r="X13" s="849">
        <v>0.0</v>
      </c>
      <c r="Y13" s="849">
        <v>0.0</v>
      </c>
      <c r="Z13" s="849">
        <v>0.0</v>
      </c>
      <c r="AA13" s="849">
        <v>0.0</v>
      </c>
      <c r="AB13" s="849">
        <v>0.0</v>
      </c>
      <c r="AC13" s="849">
        <v>0.0</v>
      </c>
      <c r="AD13" s="849">
        <v>0.0</v>
      </c>
      <c r="AE13" s="849">
        <v>0.0</v>
      </c>
      <c r="AF13" s="849">
        <v>0.0</v>
      </c>
      <c r="AG13" s="849">
        <v>0.0</v>
      </c>
      <c r="AH13" s="849">
        <v>0.0</v>
      </c>
      <c r="AI13" s="849">
        <v>0.0</v>
      </c>
      <c r="AJ13" s="794" t="str">
        <f t="shared" ref="AJ13:AK13" si="23">C13</f>
        <v>G0141</v>
      </c>
      <c r="AK13" s="794" t="str">
        <f t="shared" si="23"/>
        <v>ENTRETIEN STOCK NEUF</v>
      </c>
      <c r="AL13" s="794">
        <f t="array" ref="AL13">IFERROR(INDEX(G13:R13,1,MATCH(Parametres!$B$3,G$1:R$1,0)-1)*IF(OR(F13="L",F13="S",F13="I"),-1,1),"")</f>
        <v>10229.98</v>
      </c>
      <c r="AM13" s="794">
        <f t="shared" si="4"/>
        <v>1901.32</v>
      </c>
      <c r="AN13" s="794">
        <f t="array" ref="AN13">INDEX(G13:R13,1,MATCH(Parametres!$B$3,G$1:R$1,0))*IF(OR(F13="L",F13="S",F13="I"),-1,1)</f>
        <v>12131.3</v>
      </c>
      <c r="AO13" s="853" t="str">
        <f>+VLOOKUP($AJ13,Data_Validation!$A:$D,1,0)</f>
        <v>G0141</v>
      </c>
      <c r="AP13" s="853" t="str">
        <f>+VLOOKUP($AJ13,Data_Validation!$A:$D,3,0)</f>
        <v>Véhicules neufs</v>
      </c>
      <c r="AQ13" s="853" t="str">
        <f>+VLOOKUP($AJ13,Data_Validation!$A:$D,4,0)</f>
        <v>Entretien stock</v>
      </c>
      <c r="AR13" s="853" t="s">
        <v>728</v>
      </c>
      <c r="AS13" s="853" t="str">
        <f>+VLOOKUP($AJ13,Data_Validation!$A:$E,5,0)</f>
        <v/>
      </c>
      <c r="AT13" s="794" t="str">
        <f t="shared" ref="AT13:AU13" si="24">C13</f>
        <v>G0141</v>
      </c>
      <c r="AU13" s="854" t="str">
        <f t="shared" si="24"/>
        <v>ENTRETIEN STOCK NEUF</v>
      </c>
      <c r="AV13" s="794">
        <f t="array" ref="AV13">IFERROR(INDEX(V13:AG13,1,MATCH(Parametres!$B$3,V$1:AG$1,0)-1)*IF(OR(C13="L",C13="S",C13="I"),-1,1),"")</f>
        <v>0</v>
      </c>
      <c r="AW13" s="794">
        <f t="shared" si="6"/>
        <v>0</v>
      </c>
      <c r="AX13" s="794">
        <f t="array" ref="AX13">INDEX(V13:AG13,1,MATCH(Parametres!$B$3,V$1:AG$1,0))*IF(OR(C13="L",C13="S",C13="I"),-1,1)</f>
        <v>0</v>
      </c>
      <c r="AY13" s="853" t="s">
        <v>772</v>
      </c>
      <c r="AZ13" s="853" t="str">
        <f>+VLOOKUP($AJ13,Data_Validation!$A:$E,5,0)</f>
        <v/>
      </c>
    </row>
    <row r="14" ht="15.0" customHeight="1">
      <c r="A14" s="849" t="s">
        <v>1239</v>
      </c>
      <c r="B14" s="849">
        <v>2026.0</v>
      </c>
      <c r="C14" s="849" t="s">
        <v>1261</v>
      </c>
      <c r="D14" s="849" t="s">
        <v>1262</v>
      </c>
      <c r="E14" s="849" t="s">
        <v>768</v>
      </c>
      <c r="F14" s="849" t="s">
        <v>1200</v>
      </c>
      <c r="G14" s="849">
        <v>0.0</v>
      </c>
      <c r="H14" s="849">
        <v>0.0</v>
      </c>
      <c r="I14" s="849">
        <v>0.0</v>
      </c>
      <c r="J14" s="849">
        <v>0.0</v>
      </c>
      <c r="K14" s="849">
        <v>0.0</v>
      </c>
      <c r="L14" s="849">
        <v>0.0</v>
      </c>
      <c r="M14" s="849">
        <v>357.88</v>
      </c>
      <c r="N14" s="849">
        <v>446.43</v>
      </c>
      <c r="O14" s="849">
        <v>1662.26</v>
      </c>
      <c r="P14" s="849">
        <v>1662.26</v>
      </c>
      <c r="Q14" s="849">
        <v>0.0</v>
      </c>
      <c r="R14" s="849">
        <v>0.0</v>
      </c>
      <c r="S14" s="849">
        <v>184.7</v>
      </c>
      <c r="T14" s="849">
        <v>184.7</v>
      </c>
      <c r="U14" s="849">
        <v>0.0</v>
      </c>
      <c r="V14" s="849">
        <v>0.0</v>
      </c>
      <c r="W14" s="849">
        <v>0.0</v>
      </c>
      <c r="X14" s="849">
        <v>0.0</v>
      </c>
      <c r="Y14" s="849">
        <v>0.0</v>
      </c>
      <c r="Z14" s="849">
        <v>0.0</v>
      </c>
      <c r="AA14" s="849">
        <v>0.0</v>
      </c>
      <c r="AB14" s="849">
        <v>0.0</v>
      </c>
      <c r="AC14" s="849">
        <v>0.0</v>
      </c>
      <c r="AD14" s="849">
        <v>0.0</v>
      </c>
      <c r="AE14" s="849">
        <v>0.0</v>
      </c>
      <c r="AF14" s="849">
        <v>0.0</v>
      </c>
      <c r="AG14" s="849">
        <v>0.0</v>
      </c>
      <c r="AH14" s="849">
        <v>0.0</v>
      </c>
      <c r="AI14" s="849">
        <v>0.0</v>
      </c>
      <c r="AJ14" s="794" t="str">
        <f t="shared" ref="AJ14:AK14" si="25">C14</f>
        <v>G0142</v>
      </c>
      <c r="AK14" s="794" t="str">
        <f t="shared" si="25"/>
        <v>ENTRETIEN STOCK USAGE</v>
      </c>
      <c r="AL14" s="794">
        <f t="array" ref="AL14">IFERROR(INDEX(G14:R14,1,MATCH(Parametres!$B$3,G$1:R$1,0)-1)*IF(OR(F14="L",F14="S",F14="I"),-1,1),"")</f>
        <v>446.43</v>
      </c>
      <c r="AM14" s="794">
        <f t="shared" si="4"/>
        <v>1215.83</v>
      </c>
      <c r="AN14" s="794">
        <f t="array" ref="AN14">INDEX(G14:R14,1,MATCH(Parametres!$B$3,G$1:R$1,0))*IF(OR(F14="L",F14="S",F14="I"),-1,1)</f>
        <v>1662.26</v>
      </c>
      <c r="AO14" s="853" t="str">
        <f>+VLOOKUP($AJ14,Data_Validation!$A:$D,1,0)</f>
        <v>G0142</v>
      </c>
      <c r="AP14" s="853" t="str">
        <f>+VLOOKUP($AJ14,Data_Validation!$A:$D,3,0)</f>
        <v>Véhicules usagés</v>
      </c>
      <c r="AQ14" s="853" t="str">
        <f>+VLOOKUP($AJ14,Data_Validation!$A:$D,4,0)</f>
        <v>Entretien stock</v>
      </c>
      <c r="AR14" s="853" t="s">
        <v>728</v>
      </c>
      <c r="AS14" s="853" t="str">
        <f>+VLOOKUP($AJ14,Data_Validation!$A:$E,5,0)</f>
        <v/>
      </c>
      <c r="AT14" s="794" t="str">
        <f t="shared" ref="AT14:AU14" si="26">C14</f>
        <v>G0142</v>
      </c>
      <c r="AU14" s="854" t="str">
        <f t="shared" si="26"/>
        <v>ENTRETIEN STOCK USAGE</v>
      </c>
      <c r="AV14" s="794">
        <f t="array" ref="AV14">IFERROR(INDEX(V14:AG14,1,MATCH(Parametres!$B$3,V$1:AG$1,0)-1)*IF(OR(C14="L",C14="S",C14="I"),-1,1),"")</f>
        <v>0</v>
      </c>
      <c r="AW14" s="794">
        <f t="shared" si="6"/>
        <v>0</v>
      </c>
      <c r="AX14" s="794">
        <f t="array" ref="AX14">INDEX(V14:AG14,1,MATCH(Parametres!$B$3,V$1:AG$1,0))*IF(OR(C14="L",C14="S",C14="I"),-1,1)</f>
        <v>0</v>
      </c>
      <c r="AY14" s="853" t="s">
        <v>772</v>
      </c>
      <c r="AZ14" s="853" t="str">
        <f>+VLOOKUP($AJ14,Data_Validation!$A:$E,5,0)</f>
        <v/>
      </c>
    </row>
    <row r="15" ht="15.0" customHeight="1">
      <c r="A15" s="849" t="s">
        <v>1239</v>
      </c>
      <c r="B15" s="849">
        <v>2026.0</v>
      </c>
      <c r="C15" s="849" t="s">
        <v>1263</v>
      </c>
      <c r="D15" s="849" t="s">
        <v>1264</v>
      </c>
      <c r="E15" s="849" t="s">
        <v>768</v>
      </c>
      <c r="F15" s="849" t="s">
        <v>1200</v>
      </c>
      <c r="G15" s="849">
        <v>0.0</v>
      </c>
      <c r="H15" s="849">
        <v>0.0</v>
      </c>
      <c r="I15" s="849">
        <v>0.0</v>
      </c>
      <c r="J15" s="849">
        <v>0.0</v>
      </c>
      <c r="K15" s="849">
        <v>0.0</v>
      </c>
      <c r="L15" s="849">
        <v>0.0</v>
      </c>
      <c r="M15" s="849">
        <v>0.0</v>
      </c>
      <c r="N15" s="849">
        <v>17.5</v>
      </c>
      <c r="O15" s="849">
        <v>35.0</v>
      </c>
      <c r="P15" s="849">
        <v>35.0</v>
      </c>
      <c r="Q15" s="849">
        <v>0.0</v>
      </c>
      <c r="R15" s="849">
        <v>0.0</v>
      </c>
      <c r="S15" s="849">
        <v>3.89</v>
      </c>
      <c r="T15" s="849">
        <v>3.89</v>
      </c>
      <c r="U15" s="849">
        <v>0.0</v>
      </c>
      <c r="V15" s="849">
        <v>0.0</v>
      </c>
      <c r="W15" s="849">
        <v>0.0</v>
      </c>
      <c r="X15" s="849">
        <v>0.0</v>
      </c>
      <c r="Y15" s="849">
        <v>0.0</v>
      </c>
      <c r="Z15" s="849">
        <v>0.0</v>
      </c>
      <c r="AA15" s="849">
        <v>0.0</v>
      </c>
      <c r="AB15" s="849">
        <v>0.0</v>
      </c>
      <c r="AC15" s="849">
        <v>0.0</v>
      </c>
      <c r="AD15" s="849">
        <v>0.0</v>
      </c>
      <c r="AE15" s="849">
        <v>0.0</v>
      </c>
      <c r="AF15" s="849">
        <v>0.0</v>
      </c>
      <c r="AG15" s="849">
        <v>0.0</v>
      </c>
      <c r="AH15" s="849">
        <v>0.0</v>
      </c>
      <c r="AI15" s="849">
        <v>0.0</v>
      </c>
      <c r="AJ15" s="794" t="str">
        <f t="shared" ref="AJ15:AK15" si="27">C15</f>
        <v>G0143</v>
      </c>
      <c r="AK15" s="794" t="str">
        <f t="shared" si="27"/>
        <v>ENTRETIEN STOCK USA</v>
      </c>
      <c r="AL15" s="794">
        <f t="array" ref="AL15">IFERROR(INDEX(G15:R15,1,MATCH(Parametres!$B$3,G$1:R$1,0)-1)*IF(OR(F15="L",F15="S",F15="I"),-1,1),"")</f>
        <v>17.5</v>
      </c>
      <c r="AM15" s="794">
        <f t="shared" si="4"/>
        <v>17.5</v>
      </c>
      <c r="AN15" s="794">
        <f t="array" ref="AN15">INDEX(G15:R15,1,MATCH(Parametres!$B$3,G$1:R$1,0))*IF(OR(F15="L",F15="S",F15="I"),-1,1)</f>
        <v>35</v>
      </c>
      <c r="AO15" s="853" t="str">
        <f>+VLOOKUP($AJ15,Data_Validation!$A:$D,1,0)</f>
        <v>G0143</v>
      </c>
      <c r="AP15" s="853" t="str">
        <f>+VLOOKUP($AJ15,Data_Validation!$A:$D,3,0)</f>
        <v>Wholesale autres</v>
      </c>
      <c r="AQ15" s="853" t="str">
        <f>+VLOOKUP($AJ15,Data_Validation!$A:$D,4,0)</f>
        <v>Entretien stock</v>
      </c>
      <c r="AR15" s="853" t="s">
        <v>728</v>
      </c>
      <c r="AS15" s="853" t="str">
        <f>+VLOOKUP($AJ15,Data_Validation!$A:$E,5,0)</f>
        <v/>
      </c>
      <c r="AT15" s="794" t="str">
        <f t="shared" ref="AT15:AU15" si="28">C15</f>
        <v>G0143</v>
      </c>
      <c r="AU15" s="854" t="str">
        <f t="shared" si="28"/>
        <v>ENTRETIEN STOCK USA</v>
      </c>
      <c r="AV15" s="794">
        <f t="array" ref="AV15">IFERROR(INDEX(V15:AG15,1,MATCH(Parametres!$B$3,V$1:AG$1,0)-1)*IF(OR(C15="L",C15="S",C15="I"),-1,1),"")</f>
        <v>0</v>
      </c>
      <c r="AW15" s="794">
        <f t="shared" si="6"/>
        <v>0</v>
      </c>
      <c r="AX15" s="794">
        <f t="array" ref="AX15">INDEX(V15:AG15,1,MATCH(Parametres!$B$3,V$1:AG$1,0))*IF(OR(C15="L",C15="S",C15="I"),-1,1)</f>
        <v>0</v>
      </c>
      <c r="AY15" s="853" t="s">
        <v>772</v>
      </c>
      <c r="AZ15" s="853" t="str">
        <f>+VLOOKUP($AJ15,Data_Validation!$A:$E,5,0)</f>
        <v/>
      </c>
    </row>
    <row r="16" ht="15.0" customHeight="1">
      <c r="A16" s="849" t="s">
        <v>1239</v>
      </c>
      <c r="B16" s="849">
        <v>2026.0</v>
      </c>
      <c r="C16" s="849" t="s">
        <v>1265</v>
      </c>
      <c r="D16" s="849" t="s">
        <v>1266</v>
      </c>
      <c r="E16" s="849" t="s">
        <v>768</v>
      </c>
      <c r="F16" s="849" t="s">
        <v>1200</v>
      </c>
      <c r="G16" s="849">
        <v>729.0</v>
      </c>
      <c r="H16" s="849">
        <v>729.0</v>
      </c>
      <c r="I16" s="849">
        <v>729.0</v>
      </c>
      <c r="J16" s="849">
        <v>883.95</v>
      </c>
      <c r="K16" s="849">
        <v>1972.22</v>
      </c>
      <c r="L16" s="849">
        <v>7805.56</v>
      </c>
      <c r="M16" s="849">
        <v>8807.78</v>
      </c>
      <c r="N16" s="849">
        <v>8807.78</v>
      </c>
      <c r="O16" s="849">
        <v>9332.96</v>
      </c>
      <c r="P16" s="849">
        <v>10117.96</v>
      </c>
      <c r="Q16" s="849">
        <v>0.0</v>
      </c>
      <c r="R16" s="849">
        <v>0.0</v>
      </c>
      <c r="S16" s="849">
        <v>1037.0</v>
      </c>
      <c r="T16" s="849">
        <v>1037.0</v>
      </c>
      <c r="U16" s="849">
        <v>0.0</v>
      </c>
      <c r="V16" s="849">
        <v>0.0</v>
      </c>
      <c r="W16" s="849">
        <v>0.0</v>
      </c>
      <c r="X16" s="849">
        <v>0.0</v>
      </c>
      <c r="Y16" s="849">
        <v>0.0</v>
      </c>
      <c r="Z16" s="849">
        <v>0.0</v>
      </c>
      <c r="AA16" s="849">
        <v>0.0</v>
      </c>
      <c r="AB16" s="849">
        <v>0.0</v>
      </c>
      <c r="AC16" s="849">
        <v>0.0</v>
      </c>
      <c r="AD16" s="849">
        <v>0.0</v>
      </c>
      <c r="AE16" s="849">
        <v>0.0</v>
      </c>
      <c r="AF16" s="849">
        <v>0.0</v>
      </c>
      <c r="AG16" s="849">
        <v>0.0</v>
      </c>
      <c r="AH16" s="849">
        <v>0.0</v>
      </c>
      <c r="AI16" s="849">
        <v>0.0</v>
      </c>
      <c r="AJ16" s="794" t="str">
        <f t="shared" ref="AJ16:AK16" si="29">C16</f>
        <v>G0151</v>
      </c>
      <c r="AK16" s="794" t="str">
        <f t="shared" si="29"/>
        <v>TRAV. TITRE GRATIEUX NEUF</v>
      </c>
      <c r="AL16" s="794">
        <f t="array" ref="AL16">IFERROR(INDEX(G16:R16,1,MATCH(Parametres!$B$3,G$1:R$1,0)-1)*IF(OR(F16="L",F16="S",F16="I"),-1,1),"")</f>
        <v>8807.78</v>
      </c>
      <c r="AM16" s="794">
        <f t="shared" si="4"/>
        <v>525.18</v>
      </c>
      <c r="AN16" s="794">
        <f t="array" ref="AN16">INDEX(G16:R16,1,MATCH(Parametres!$B$3,G$1:R$1,0))*IF(OR(F16="L",F16="S",F16="I"),-1,1)</f>
        <v>9332.96</v>
      </c>
      <c r="AO16" s="853" t="str">
        <f>+VLOOKUP($AJ16,Data_Validation!$A:$D,1,0)</f>
        <v>G0151</v>
      </c>
      <c r="AP16" s="853" t="str">
        <f>+VLOOKUP($AJ16,Data_Validation!$A:$D,3,0)</f>
        <v>Véhicules neufs</v>
      </c>
      <c r="AQ16" s="853" t="str">
        <f>+VLOOKUP($AJ16,Data_Validation!$A:$D,4,0)</f>
        <v>Service gratuit 1</v>
      </c>
      <c r="AR16" s="853" t="s">
        <v>728</v>
      </c>
      <c r="AS16" s="853" t="str">
        <f>+VLOOKUP($AJ16,Data_Validation!$A:$E,5,0)</f>
        <v/>
      </c>
      <c r="AT16" s="794" t="str">
        <f t="shared" ref="AT16:AU16" si="30">C16</f>
        <v>G0151</v>
      </c>
      <c r="AU16" s="854" t="str">
        <f t="shared" si="30"/>
        <v>TRAV. TITRE GRATIEUX NEUF</v>
      </c>
      <c r="AV16" s="794">
        <f t="array" ref="AV16">IFERROR(INDEX(V16:AG16,1,MATCH(Parametres!$B$3,V$1:AG$1,0)-1)*IF(OR(C16="L",C16="S",C16="I"),-1,1),"")</f>
        <v>0</v>
      </c>
      <c r="AW16" s="794">
        <f t="shared" si="6"/>
        <v>0</v>
      </c>
      <c r="AX16" s="794">
        <f t="array" ref="AX16">INDEX(V16:AG16,1,MATCH(Parametres!$B$3,V$1:AG$1,0))*IF(OR(C16="L",C16="S",C16="I"),-1,1)</f>
        <v>0</v>
      </c>
      <c r="AY16" s="853" t="s">
        <v>772</v>
      </c>
      <c r="AZ16" s="853" t="str">
        <f>+VLOOKUP($AJ16,Data_Validation!$A:$E,5,0)</f>
        <v/>
      </c>
    </row>
    <row r="17" ht="15.0" customHeight="1">
      <c r="A17" s="849" t="s">
        <v>1239</v>
      </c>
      <c r="B17" s="849">
        <v>2026.0</v>
      </c>
      <c r="C17" s="849" t="s">
        <v>1267</v>
      </c>
      <c r="D17" s="849" t="s">
        <v>1268</v>
      </c>
      <c r="E17" s="849" t="s">
        <v>768</v>
      </c>
      <c r="F17" s="849" t="s">
        <v>1200</v>
      </c>
      <c r="G17" s="849">
        <v>2616.18</v>
      </c>
      <c r="H17" s="849">
        <v>2616.18</v>
      </c>
      <c r="I17" s="849">
        <v>2837.76</v>
      </c>
      <c r="J17" s="849">
        <v>3782.67</v>
      </c>
      <c r="K17" s="849">
        <v>5017.9</v>
      </c>
      <c r="L17" s="849">
        <v>10542.6</v>
      </c>
      <c r="M17" s="849">
        <v>11346.08</v>
      </c>
      <c r="N17" s="849">
        <v>12361.18</v>
      </c>
      <c r="O17" s="849">
        <v>12620.17</v>
      </c>
      <c r="P17" s="849">
        <v>12620.17</v>
      </c>
      <c r="Q17" s="849">
        <v>0.0</v>
      </c>
      <c r="R17" s="849">
        <v>0.0</v>
      </c>
      <c r="S17" s="849">
        <v>1402.24</v>
      </c>
      <c r="T17" s="849">
        <v>1402.24</v>
      </c>
      <c r="U17" s="849">
        <v>0.0</v>
      </c>
      <c r="V17" s="849">
        <v>0.0</v>
      </c>
      <c r="W17" s="849">
        <v>0.0</v>
      </c>
      <c r="X17" s="849">
        <v>0.0</v>
      </c>
      <c r="Y17" s="849">
        <v>0.0</v>
      </c>
      <c r="Z17" s="849">
        <v>0.0</v>
      </c>
      <c r="AA17" s="849">
        <v>0.0</v>
      </c>
      <c r="AB17" s="849">
        <v>0.0</v>
      </c>
      <c r="AC17" s="849">
        <v>0.0</v>
      </c>
      <c r="AD17" s="849">
        <v>0.0</v>
      </c>
      <c r="AE17" s="849">
        <v>0.0</v>
      </c>
      <c r="AF17" s="849">
        <v>0.0</v>
      </c>
      <c r="AG17" s="849">
        <v>0.0</v>
      </c>
      <c r="AH17" s="849">
        <v>0.0</v>
      </c>
      <c r="AI17" s="849">
        <v>0.0</v>
      </c>
      <c r="AJ17" s="794" t="str">
        <f t="shared" ref="AJ17:AK17" si="31">C17</f>
        <v>G0152</v>
      </c>
      <c r="AK17" s="794" t="str">
        <f t="shared" si="31"/>
        <v>TRAVAIL GARANTI USAGÉS</v>
      </c>
      <c r="AL17" s="794">
        <f t="array" ref="AL17">IFERROR(INDEX(G17:R17,1,MATCH(Parametres!$B$3,G$1:R$1,0)-1)*IF(OR(F17="L",F17="S",F17="I"),-1,1),"")</f>
        <v>12361.18</v>
      </c>
      <c r="AM17" s="794">
        <f t="shared" si="4"/>
        <v>258.99</v>
      </c>
      <c r="AN17" s="794">
        <f t="array" ref="AN17">INDEX(G17:R17,1,MATCH(Parametres!$B$3,G$1:R$1,0))*IF(OR(F17="L",F17="S",F17="I"),-1,1)</f>
        <v>12620.17</v>
      </c>
      <c r="AO17" s="853" t="str">
        <f>+VLOOKUP($AJ17,Data_Validation!$A:$D,1,0)</f>
        <v>G0152</v>
      </c>
      <c r="AP17" s="853" t="str">
        <f>+VLOOKUP($AJ17,Data_Validation!$A:$D,3,0)</f>
        <v>Véhicules usagés</v>
      </c>
      <c r="AQ17" s="853" t="str">
        <f>+VLOOKUP($AJ17,Data_Validation!$A:$D,4,0)</f>
        <v>Service gratuit 1</v>
      </c>
      <c r="AR17" s="853" t="s">
        <v>728</v>
      </c>
      <c r="AS17" s="853" t="str">
        <f>+VLOOKUP($AJ17,Data_Validation!$A:$E,5,0)</f>
        <v/>
      </c>
      <c r="AT17" s="794" t="str">
        <f t="shared" ref="AT17:AU17" si="32">C17</f>
        <v>G0152</v>
      </c>
      <c r="AU17" s="854" t="str">
        <f t="shared" si="32"/>
        <v>TRAVAIL GARANTI USAGÉS</v>
      </c>
      <c r="AV17" s="794">
        <f t="array" ref="AV17">IFERROR(INDEX(V17:AG17,1,MATCH(Parametres!$B$3,V$1:AG$1,0)-1)*IF(OR(C17="L",C17="S",C17="I"),-1,1),"")</f>
        <v>0</v>
      </c>
      <c r="AW17" s="794">
        <f t="shared" si="6"/>
        <v>0</v>
      </c>
      <c r="AX17" s="794">
        <f t="array" ref="AX17">INDEX(V17:AG17,1,MATCH(Parametres!$B$3,V$1:AG$1,0))*IF(OR(C17="L",C17="S",C17="I"),-1,1)</f>
        <v>0</v>
      </c>
      <c r="AY17" s="853" t="s">
        <v>772</v>
      </c>
      <c r="AZ17" s="853" t="str">
        <f>+VLOOKUP($AJ17,Data_Validation!$A:$E,5,0)</f>
        <v/>
      </c>
    </row>
    <row r="18" ht="15.0" customHeight="1">
      <c r="A18" s="849" t="s">
        <v>1239</v>
      </c>
      <c r="B18" s="849">
        <v>2026.0</v>
      </c>
      <c r="C18" s="849" t="s">
        <v>1269</v>
      </c>
      <c r="D18" s="849" t="s">
        <v>1270</v>
      </c>
      <c r="E18" s="849" t="s">
        <v>768</v>
      </c>
      <c r="F18" s="849" t="s">
        <v>1200</v>
      </c>
      <c r="G18" s="849">
        <v>0.0</v>
      </c>
      <c r="H18" s="849">
        <v>0.0</v>
      </c>
      <c r="I18" s="849">
        <v>0.0</v>
      </c>
      <c r="J18" s="849">
        <v>0.0</v>
      </c>
      <c r="K18" s="849">
        <v>0.0</v>
      </c>
      <c r="L18" s="849">
        <v>0.0</v>
      </c>
      <c r="M18" s="849">
        <v>0.0</v>
      </c>
      <c r="N18" s="849">
        <v>0.0</v>
      </c>
      <c r="O18" s="849">
        <v>0.0</v>
      </c>
      <c r="P18" s="849">
        <v>0.0</v>
      </c>
      <c r="Q18" s="849">
        <v>0.0</v>
      </c>
      <c r="R18" s="849">
        <v>0.0</v>
      </c>
      <c r="S18" s="849">
        <v>0.0</v>
      </c>
      <c r="T18" s="849">
        <v>0.0</v>
      </c>
      <c r="U18" s="849">
        <v>0.0</v>
      </c>
      <c r="V18" s="849">
        <v>0.0</v>
      </c>
      <c r="W18" s="849">
        <v>0.0</v>
      </c>
      <c r="X18" s="849">
        <v>0.0</v>
      </c>
      <c r="Y18" s="849">
        <v>0.0</v>
      </c>
      <c r="Z18" s="849">
        <v>0.0</v>
      </c>
      <c r="AA18" s="849">
        <v>0.0</v>
      </c>
      <c r="AB18" s="849">
        <v>0.0</v>
      </c>
      <c r="AC18" s="849">
        <v>0.0</v>
      </c>
      <c r="AD18" s="849">
        <v>0.0</v>
      </c>
      <c r="AE18" s="849">
        <v>0.0</v>
      </c>
      <c r="AF18" s="849">
        <v>0.0</v>
      </c>
      <c r="AG18" s="849">
        <v>0.0</v>
      </c>
      <c r="AH18" s="849">
        <v>0.0</v>
      </c>
      <c r="AI18" s="849">
        <v>0.0</v>
      </c>
      <c r="AJ18" s="794" t="str">
        <f t="shared" ref="AJ18:AK18" si="33">C18</f>
        <v>G0153</v>
      </c>
      <c r="AK18" s="794" t="str">
        <f t="shared" si="33"/>
        <v>TRAVAUX GRATUIT U.S.A</v>
      </c>
      <c r="AL18" s="794">
        <f t="array" ref="AL18">IFERROR(INDEX(G18:R18,1,MATCH(Parametres!$B$3,G$1:R$1,0)-1)*IF(OR(F18="L",F18="S",F18="I"),-1,1),"")</f>
        <v>0</v>
      </c>
      <c r="AM18" s="794">
        <f t="shared" si="4"/>
        <v>0</v>
      </c>
      <c r="AN18" s="794">
        <f t="array" ref="AN18">INDEX(G18:R18,1,MATCH(Parametres!$B$3,G$1:R$1,0))*IF(OR(F18="L",F18="S",F18="I"),-1,1)</f>
        <v>0</v>
      </c>
      <c r="AO18" s="853" t="str">
        <f>+VLOOKUP($AJ18,Data_Validation!$A:$D,1,0)</f>
        <v>G0153</v>
      </c>
      <c r="AP18" s="853" t="str">
        <f>+VLOOKUP($AJ18,Data_Validation!$A:$D,3,0)</f>
        <v>Wholesale autres</v>
      </c>
      <c r="AQ18" s="853" t="str">
        <f>+VLOOKUP($AJ18,Data_Validation!$A:$D,4,0)</f>
        <v>Service gratuit 1</v>
      </c>
      <c r="AR18" s="853" t="s">
        <v>728</v>
      </c>
      <c r="AS18" s="853" t="str">
        <f>+VLOOKUP($AJ18,Data_Validation!$A:$E,5,0)</f>
        <v/>
      </c>
      <c r="AT18" s="794" t="str">
        <f t="shared" ref="AT18:AU18" si="34">C18</f>
        <v>G0153</v>
      </c>
      <c r="AU18" s="854" t="str">
        <f t="shared" si="34"/>
        <v>TRAVAUX GRATUIT U.S.A</v>
      </c>
      <c r="AV18" s="794">
        <f t="array" ref="AV18">IFERROR(INDEX(V18:AG18,1,MATCH(Parametres!$B$3,V$1:AG$1,0)-1)*IF(OR(C18="L",C18="S",C18="I"),-1,1),"")</f>
        <v>0</v>
      </c>
      <c r="AW18" s="794">
        <f t="shared" si="6"/>
        <v>0</v>
      </c>
      <c r="AX18" s="794">
        <f t="array" ref="AX18">INDEX(V18:AG18,1,MATCH(Parametres!$B$3,V$1:AG$1,0))*IF(OR(C18="L",C18="S",C18="I"),-1,1)</f>
        <v>0</v>
      </c>
      <c r="AY18" s="853" t="s">
        <v>772</v>
      </c>
      <c r="AZ18" s="853" t="str">
        <f>+VLOOKUP($AJ18,Data_Validation!$A:$E,5,0)</f>
        <v/>
      </c>
    </row>
    <row r="19" ht="15.0" customHeight="1">
      <c r="A19" s="849" t="s">
        <v>1239</v>
      </c>
      <c r="B19" s="849">
        <v>2026.0</v>
      </c>
      <c r="C19" s="849" t="s">
        <v>1271</v>
      </c>
      <c r="D19" s="849" t="s">
        <v>1272</v>
      </c>
      <c r="E19" s="849" t="s">
        <v>768</v>
      </c>
      <c r="F19" s="849" t="s">
        <v>1200</v>
      </c>
      <c r="G19" s="849">
        <v>0.0</v>
      </c>
      <c r="H19" s="849">
        <v>0.0</v>
      </c>
      <c r="I19" s="849">
        <v>0.0</v>
      </c>
      <c r="J19" s="849">
        <v>0.0</v>
      </c>
      <c r="K19" s="849">
        <v>-142596.0</v>
      </c>
      <c r="L19" s="849">
        <v>-167061.0</v>
      </c>
      <c r="M19" s="849">
        <v>-197223.0</v>
      </c>
      <c r="N19" s="849">
        <v>-214609.0</v>
      </c>
      <c r="O19" s="849">
        <v>-263243.0</v>
      </c>
      <c r="P19" s="849">
        <v>-275726.0</v>
      </c>
      <c r="Q19" s="849">
        <v>0.0</v>
      </c>
      <c r="R19" s="849">
        <v>0.0</v>
      </c>
      <c r="S19" s="849">
        <v>-29249.22</v>
      </c>
      <c r="T19" s="849">
        <v>-29249.22</v>
      </c>
      <c r="U19" s="849">
        <v>0.0</v>
      </c>
      <c r="V19" s="849">
        <v>0.0</v>
      </c>
      <c r="W19" s="849">
        <v>0.0</v>
      </c>
      <c r="X19" s="849">
        <v>0.0</v>
      </c>
      <c r="Y19" s="849">
        <v>0.0</v>
      </c>
      <c r="Z19" s="849">
        <v>0.0</v>
      </c>
      <c r="AA19" s="849">
        <v>0.0</v>
      </c>
      <c r="AB19" s="849">
        <v>0.0</v>
      </c>
      <c r="AC19" s="849">
        <v>0.0</v>
      </c>
      <c r="AD19" s="849">
        <v>0.0</v>
      </c>
      <c r="AE19" s="849">
        <v>0.0</v>
      </c>
      <c r="AF19" s="849">
        <v>0.0</v>
      </c>
      <c r="AG19" s="849">
        <v>0.0</v>
      </c>
      <c r="AH19" s="849">
        <v>0.0</v>
      </c>
      <c r="AI19" s="849">
        <v>0.0</v>
      </c>
      <c r="AJ19" s="794" t="str">
        <f t="shared" ref="AJ19:AK19" si="35">C19</f>
        <v>G0161</v>
      </c>
      <c r="AK19" s="794" t="str">
        <f t="shared" si="35"/>
        <v>FRAIS DE DOSSIER - NEUF</v>
      </c>
      <c r="AL19" s="794">
        <f t="array" ref="AL19">IFERROR(INDEX(G19:R19,1,MATCH(Parametres!$B$3,G$1:R$1,0)-1)*IF(OR(F19="L",F19="S",F19="I"),-1,1),"")</f>
        <v>-214609</v>
      </c>
      <c r="AM19" s="794">
        <f t="shared" si="4"/>
        <v>-48634</v>
      </c>
      <c r="AN19" s="794">
        <f t="array" ref="AN19">INDEX(G19:R19,1,MATCH(Parametres!$B$3,G$1:R$1,0))*IF(OR(F19="L",F19="S",F19="I"),-1,1)</f>
        <v>-263243</v>
      </c>
      <c r="AO19" s="853" t="str">
        <f>+VLOOKUP($AJ19,Data_Validation!$A:$D,1,0)</f>
        <v>G0161</v>
      </c>
      <c r="AP19" s="853" t="str">
        <f>+VLOOKUP($AJ19,Data_Validation!$A:$D,3,0)</f>
        <v>Véhicules neufs</v>
      </c>
      <c r="AQ19" s="853" t="str">
        <f>+VLOOKUP($AJ19,Data_Validation!$A:$D,4,0)</f>
        <v>Frais administration</v>
      </c>
      <c r="AR19" s="853" t="s">
        <v>728</v>
      </c>
      <c r="AS19" s="853" t="str">
        <f>+VLOOKUP($AJ19,Data_Validation!$A:$E,5,0)</f>
        <v/>
      </c>
      <c r="AT19" s="794" t="str">
        <f t="shared" ref="AT19:AU19" si="36">C19</f>
        <v>G0161</v>
      </c>
      <c r="AU19" s="854" t="str">
        <f t="shared" si="36"/>
        <v>FRAIS DE DOSSIER - NEUF</v>
      </c>
      <c r="AV19" s="794">
        <f t="array" ref="AV19">IFERROR(INDEX(V19:AG19,1,MATCH(Parametres!$B$3,V$1:AG$1,0)-1)*IF(OR(C19="L",C19="S",C19="I"),-1,1),"")</f>
        <v>0</v>
      </c>
      <c r="AW19" s="794">
        <f t="shared" si="6"/>
        <v>0</v>
      </c>
      <c r="AX19" s="794">
        <f t="array" ref="AX19">INDEX(V19:AG19,1,MATCH(Parametres!$B$3,V$1:AG$1,0))*IF(OR(C19="L",C19="S",C19="I"),-1,1)</f>
        <v>0</v>
      </c>
      <c r="AY19" s="853" t="s">
        <v>772</v>
      </c>
      <c r="AZ19" s="853" t="str">
        <f>+VLOOKUP($AJ19,Data_Validation!$A:$E,5,0)</f>
        <v/>
      </c>
    </row>
    <row r="20" ht="15.0" customHeight="1">
      <c r="A20" s="849" t="s">
        <v>1239</v>
      </c>
      <c r="B20" s="849">
        <v>2026.0</v>
      </c>
      <c r="C20" s="849" t="s">
        <v>1273</v>
      </c>
      <c r="D20" s="849" t="s">
        <v>1274</v>
      </c>
      <c r="E20" s="849" t="s">
        <v>768</v>
      </c>
      <c r="F20" s="849" t="s">
        <v>1200</v>
      </c>
      <c r="G20" s="849">
        <v>0.0</v>
      </c>
      <c r="H20" s="849">
        <v>0.0</v>
      </c>
      <c r="I20" s="849">
        <v>0.0</v>
      </c>
      <c r="J20" s="849">
        <v>0.0</v>
      </c>
      <c r="K20" s="849">
        <v>-38000.0</v>
      </c>
      <c r="L20" s="849">
        <v>-45000.0</v>
      </c>
      <c r="M20" s="849">
        <v>-53500.0</v>
      </c>
      <c r="N20" s="849">
        <v>-60624.34</v>
      </c>
      <c r="O20" s="849">
        <v>-66124.34</v>
      </c>
      <c r="P20" s="849">
        <v>-66624.34</v>
      </c>
      <c r="Q20" s="849">
        <v>0.0</v>
      </c>
      <c r="R20" s="849">
        <v>0.0</v>
      </c>
      <c r="S20" s="849">
        <v>-7347.15</v>
      </c>
      <c r="T20" s="849">
        <v>-7347.15</v>
      </c>
      <c r="U20" s="849">
        <v>0.0</v>
      </c>
      <c r="V20" s="849">
        <v>0.0</v>
      </c>
      <c r="W20" s="849">
        <v>0.0</v>
      </c>
      <c r="X20" s="849">
        <v>0.0</v>
      </c>
      <c r="Y20" s="849">
        <v>0.0</v>
      </c>
      <c r="Z20" s="849">
        <v>0.0</v>
      </c>
      <c r="AA20" s="849">
        <v>0.0</v>
      </c>
      <c r="AB20" s="849">
        <v>0.0</v>
      </c>
      <c r="AC20" s="849">
        <v>0.0</v>
      </c>
      <c r="AD20" s="849">
        <v>0.0</v>
      </c>
      <c r="AE20" s="849">
        <v>0.0</v>
      </c>
      <c r="AF20" s="849">
        <v>0.0</v>
      </c>
      <c r="AG20" s="849">
        <v>0.0</v>
      </c>
      <c r="AH20" s="849">
        <v>0.0</v>
      </c>
      <c r="AI20" s="849">
        <v>0.0</v>
      </c>
      <c r="AJ20" s="794" t="str">
        <f t="shared" ref="AJ20:AK20" si="37">C20</f>
        <v>G0162</v>
      </c>
      <c r="AK20" s="794" t="str">
        <f t="shared" si="37"/>
        <v>FRAIS DE DOSSIER USAGE</v>
      </c>
      <c r="AL20" s="794">
        <f t="array" ref="AL20">IFERROR(INDEX(G20:R20,1,MATCH(Parametres!$B$3,G$1:R$1,0)-1)*IF(OR(F20="L",F20="S",F20="I"),-1,1),"")</f>
        <v>-60624.34</v>
      </c>
      <c r="AM20" s="794">
        <f t="shared" si="4"/>
        <v>-5500</v>
      </c>
      <c r="AN20" s="794">
        <f t="array" ref="AN20">INDEX(G20:R20,1,MATCH(Parametres!$B$3,G$1:R$1,0))*IF(OR(F20="L",F20="S",F20="I"),-1,1)</f>
        <v>-66124.34</v>
      </c>
      <c r="AO20" s="853" t="str">
        <f>+VLOOKUP($AJ20,Data_Validation!$A:$D,1,0)</f>
        <v>G0162</v>
      </c>
      <c r="AP20" s="853" t="str">
        <f>+VLOOKUP($AJ20,Data_Validation!$A:$D,3,0)</f>
        <v>Véhicules usagés</v>
      </c>
      <c r="AQ20" s="853" t="str">
        <f>+VLOOKUP($AJ20,Data_Validation!$A:$D,4,0)</f>
        <v>Frais administration</v>
      </c>
      <c r="AR20" s="853" t="s">
        <v>728</v>
      </c>
      <c r="AS20" s="853" t="str">
        <f>+VLOOKUP($AJ20,Data_Validation!$A:$E,5,0)</f>
        <v/>
      </c>
      <c r="AT20" s="794" t="str">
        <f t="shared" ref="AT20:AU20" si="38">C20</f>
        <v>G0162</v>
      </c>
      <c r="AU20" s="854" t="str">
        <f t="shared" si="38"/>
        <v>FRAIS DE DOSSIER USAGE</v>
      </c>
      <c r="AV20" s="794">
        <f t="array" ref="AV20">IFERROR(INDEX(V20:AG20,1,MATCH(Parametres!$B$3,V$1:AG$1,0)-1)*IF(OR(C20="L",C20="S",C20="I"),-1,1),"")</f>
        <v>0</v>
      </c>
      <c r="AW20" s="794">
        <f t="shared" si="6"/>
        <v>0</v>
      </c>
      <c r="AX20" s="794">
        <f t="array" ref="AX20">INDEX(V20:AG20,1,MATCH(Parametres!$B$3,V$1:AG$1,0))*IF(OR(C20="L",C20="S",C20="I"),-1,1)</f>
        <v>0</v>
      </c>
      <c r="AY20" s="853" t="s">
        <v>772</v>
      </c>
      <c r="AZ20" s="853" t="str">
        <f>+VLOOKUP($AJ20,Data_Validation!$A:$E,5,0)</f>
        <v/>
      </c>
    </row>
    <row r="21" ht="15.0" customHeight="1">
      <c r="A21" s="849" t="s">
        <v>1239</v>
      </c>
      <c r="B21" s="849">
        <v>2026.0</v>
      </c>
      <c r="C21" s="849" t="s">
        <v>1275</v>
      </c>
      <c r="D21" s="849" t="s">
        <v>1276</v>
      </c>
      <c r="E21" s="849" t="s">
        <v>768</v>
      </c>
      <c r="F21" s="849" t="s">
        <v>1200</v>
      </c>
      <c r="G21" s="849">
        <v>0.0</v>
      </c>
      <c r="H21" s="849">
        <v>0.0</v>
      </c>
      <c r="I21" s="849">
        <v>0.0</v>
      </c>
      <c r="J21" s="849">
        <v>0.0</v>
      </c>
      <c r="K21" s="849">
        <v>0.0</v>
      </c>
      <c r="L21" s="849">
        <v>0.0</v>
      </c>
      <c r="M21" s="849">
        <v>0.0</v>
      </c>
      <c r="N21" s="849">
        <v>0.0</v>
      </c>
      <c r="O21" s="849">
        <v>0.0</v>
      </c>
      <c r="P21" s="849">
        <v>0.0</v>
      </c>
      <c r="Q21" s="849">
        <v>0.0</v>
      </c>
      <c r="R21" s="849">
        <v>0.0</v>
      </c>
      <c r="S21" s="849">
        <v>0.0</v>
      </c>
      <c r="T21" s="849">
        <v>0.0</v>
      </c>
      <c r="U21" s="849">
        <v>0.0</v>
      </c>
      <c r="V21" s="849">
        <v>0.0</v>
      </c>
      <c r="W21" s="849">
        <v>0.0</v>
      </c>
      <c r="X21" s="849">
        <v>0.0</v>
      </c>
      <c r="Y21" s="849">
        <v>0.0</v>
      </c>
      <c r="Z21" s="849">
        <v>0.0</v>
      </c>
      <c r="AA21" s="849">
        <v>0.0</v>
      </c>
      <c r="AB21" s="849">
        <v>0.0</v>
      </c>
      <c r="AC21" s="849">
        <v>0.0</v>
      </c>
      <c r="AD21" s="849">
        <v>0.0</v>
      </c>
      <c r="AE21" s="849">
        <v>0.0</v>
      </c>
      <c r="AF21" s="849">
        <v>0.0</v>
      </c>
      <c r="AG21" s="849">
        <v>0.0</v>
      </c>
      <c r="AH21" s="849">
        <v>0.0</v>
      </c>
      <c r="AI21" s="849">
        <v>0.0</v>
      </c>
      <c r="AJ21" s="794" t="str">
        <f t="shared" ref="AJ21:AK21" si="39">C21</f>
        <v>G0200</v>
      </c>
      <c r="AK21" s="794" t="str">
        <f t="shared" si="39"/>
        <v>SALAIRE PROPRIETAIRE REP.</v>
      </c>
      <c r="AL21" s="794">
        <f t="array" ref="AL21">IFERROR(INDEX(G21:R21,1,MATCH(Parametres!$B$3,G$1:R$1,0)-1)*IF(OR(F21="L",F21="S",F21="I"),-1,1),"")</f>
        <v>0</v>
      </c>
      <c r="AM21" s="794">
        <f t="shared" si="4"/>
        <v>0</v>
      </c>
      <c r="AN21" s="794">
        <f t="array" ref="AN21">INDEX(G21:R21,1,MATCH(Parametres!$B$3,G$1:R$1,0))*IF(OR(F21="L",F21="S",F21="I"),-1,1)</f>
        <v>0</v>
      </c>
      <c r="AO21" s="853" t="str">
        <f>+VLOOKUP($AJ21,Data_Validation!$A:$D,1,0)</f>
        <v>#N/A</v>
      </c>
      <c r="AP21" s="853" t="str">
        <f>+VLOOKUP($AJ21,Data_Validation!$A:$D,3,0)</f>
        <v>#N/A</v>
      </c>
      <c r="AQ21" s="853" t="str">
        <f>+VLOOKUP($AJ21,Data_Validation!$A:$D,4,0)</f>
        <v>#N/A</v>
      </c>
      <c r="AR21" s="853" t="s">
        <v>728</v>
      </c>
      <c r="AS21" s="853" t="str">
        <f>+VLOOKUP($AJ21,Data_Validation!$A:$E,5,0)</f>
        <v>#N/A</v>
      </c>
      <c r="AT21" s="794" t="str">
        <f t="shared" ref="AT21:AU21" si="40">C21</f>
        <v>G0200</v>
      </c>
      <c r="AU21" s="854" t="str">
        <f t="shared" si="40"/>
        <v>SALAIRE PROPRIETAIRE REP.</v>
      </c>
      <c r="AV21" s="794">
        <f t="array" ref="AV21">IFERROR(INDEX(V21:AG21,1,MATCH(Parametres!$B$3,V$1:AG$1,0)-1)*IF(OR(C21="L",C21="S",C21="I"),-1,1),"")</f>
        <v>0</v>
      </c>
      <c r="AW21" s="794">
        <f t="shared" si="6"/>
        <v>0</v>
      </c>
      <c r="AX21" s="794">
        <f t="array" ref="AX21">INDEX(V21:AG21,1,MATCH(Parametres!$B$3,V$1:AG$1,0))*IF(OR(C21="L",C21="S",C21="I"),-1,1)</f>
        <v>0</v>
      </c>
      <c r="AY21" s="853" t="s">
        <v>772</v>
      </c>
      <c r="AZ21" s="853" t="str">
        <f>+VLOOKUP($AJ21,Data_Validation!$A:$E,5,0)</f>
        <v>#N/A</v>
      </c>
    </row>
    <row r="22" ht="15.0" customHeight="1">
      <c r="A22" s="849" t="s">
        <v>1239</v>
      </c>
      <c r="B22" s="849">
        <v>2026.0</v>
      </c>
      <c r="C22" s="849" t="s">
        <v>1277</v>
      </c>
      <c r="D22" s="849" t="s">
        <v>1278</v>
      </c>
      <c r="E22" s="849" t="s">
        <v>768</v>
      </c>
      <c r="F22" s="849" t="s">
        <v>1200</v>
      </c>
      <c r="G22" s="849">
        <v>0.0</v>
      </c>
      <c r="H22" s="849">
        <v>0.0</v>
      </c>
      <c r="I22" s="849">
        <v>0.0</v>
      </c>
      <c r="J22" s="849">
        <v>0.0</v>
      </c>
      <c r="K22" s="849">
        <v>0.0</v>
      </c>
      <c r="L22" s="849">
        <v>0.0</v>
      </c>
      <c r="M22" s="849">
        <v>0.0</v>
      </c>
      <c r="N22" s="849">
        <v>0.0</v>
      </c>
      <c r="O22" s="849">
        <v>0.0</v>
      </c>
      <c r="P22" s="849">
        <v>0.0</v>
      </c>
      <c r="Q22" s="849">
        <v>0.0</v>
      </c>
      <c r="R22" s="849">
        <v>0.0</v>
      </c>
      <c r="S22" s="849">
        <v>0.0</v>
      </c>
      <c r="T22" s="849">
        <v>0.0</v>
      </c>
      <c r="U22" s="849">
        <v>0.0</v>
      </c>
      <c r="V22" s="849">
        <v>0.0</v>
      </c>
      <c r="W22" s="849">
        <v>0.0</v>
      </c>
      <c r="X22" s="849">
        <v>0.0</v>
      </c>
      <c r="Y22" s="849">
        <v>0.0</v>
      </c>
      <c r="Z22" s="849">
        <v>0.0</v>
      </c>
      <c r="AA22" s="849">
        <v>0.0</v>
      </c>
      <c r="AB22" s="849">
        <v>0.0</v>
      </c>
      <c r="AC22" s="849">
        <v>0.0</v>
      </c>
      <c r="AD22" s="849">
        <v>0.0</v>
      </c>
      <c r="AE22" s="849">
        <v>0.0</v>
      </c>
      <c r="AF22" s="849">
        <v>0.0</v>
      </c>
      <c r="AG22" s="849">
        <v>0.0</v>
      </c>
      <c r="AH22" s="849">
        <v>0.0</v>
      </c>
      <c r="AI22" s="849">
        <v>0.0</v>
      </c>
      <c r="AJ22" s="794" t="str">
        <f t="shared" ref="AJ22:AK22" si="41">C22</f>
        <v>G02001</v>
      </c>
      <c r="AK22" s="794" t="str">
        <f t="shared" si="41"/>
        <v>SALAIRE PROP. NEUF/USAGE</v>
      </c>
      <c r="AL22" s="794">
        <f t="array" ref="AL22">IFERROR(INDEX(G22:R22,1,MATCH(Parametres!$B$3,G$1:R$1,0)-1)*IF(OR(F22="L",F22="S",F22="I"),-1,1),"")</f>
        <v>0</v>
      </c>
      <c r="AM22" s="794">
        <f t="shared" si="4"/>
        <v>0</v>
      </c>
      <c r="AN22" s="794">
        <f t="array" ref="AN22">INDEX(G22:R22,1,MATCH(Parametres!$B$3,G$1:R$1,0))*IF(OR(F22="L",F22="S",F22="I"),-1,1)</f>
        <v>0</v>
      </c>
      <c r="AO22" s="853" t="str">
        <f>+VLOOKUP($AJ22,Data_Validation!$A:$D,1,0)</f>
        <v>#N/A</v>
      </c>
      <c r="AP22" s="853" t="str">
        <f>+VLOOKUP($AJ22,Data_Validation!$A:$D,3,0)</f>
        <v>#N/A</v>
      </c>
      <c r="AQ22" s="853" t="str">
        <f>+VLOOKUP($AJ22,Data_Validation!$A:$D,4,0)</f>
        <v>#N/A</v>
      </c>
      <c r="AR22" s="853" t="s">
        <v>728</v>
      </c>
      <c r="AS22" s="853" t="str">
        <f>+VLOOKUP($AJ22,Data_Validation!$A:$E,5,0)</f>
        <v>#N/A</v>
      </c>
      <c r="AT22" s="794" t="str">
        <f t="shared" ref="AT22:AU22" si="42">C22</f>
        <v>G02001</v>
      </c>
      <c r="AU22" s="854" t="str">
        <f t="shared" si="42"/>
        <v>SALAIRE PROP. NEUF/USAGE</v>
      </c>
      <c r="AV22" s="794">
        <f t="array" ref="AV22">IFERROR(INDEX(V22:AG22,1,MATCH(Parametres!$B$3,V$1:AG$1,0)-1)*IF(OR(C22="L",C22="S",C22="I"),-1,1),"")</f>
        <v>0</v>
      </c>
      <c r="AW22" s="794">
        <f t="shared" si="6"/>
        <v>0</v>
      </c>
      <c r="AX22" s="794">
        <f t="array" ref="AX22">INDEX(V22:AG22,1,MATCH(Parametres!$B$3,V$1:AG$1,0))*IF(OR(C22="L",C22="S",C22="I"),-1,1)</f>
        <v>0</v>
      </c>
      <c r="AY22" s="853" t="s">
        <v>772</v>
      </c>
      <c r="AZ22" s="853" t="str">
        <f>+VLOOKUP($AJ22,Data_Validation!$A:$E,5,0)</f>
        <v>#N/A</v>
      </c>
    </row>
    <row r="23" ht="15.0" customHeight="1">
      <c r="A23" s="849" t="s">
        <v>1239</v>
      </c>
      <c r="B23" s="849">
        <v>2026.0</v>
      </c>
      <c r="C23" s="849" t="s">
        <v>1279</v>
      </c>
      <c r="D23" s="849" t="s">
        <v>1280</v>
      </c>
      <c r="E23" s="849" t="s">
        <v>768</v>
      </c>
      <c r="F23" s="849" t="s">
        <v>1200</v>
      </c>
      <c r="G23" s="849">
        <v>0.0</v>
      </c>
      <c r="H23" s="849">
        <v>0.0</v>
      </c>
      <c r="I23" s="849">
        <v>10038.48</v>
      </c>
      <c r="J23" s="849">
        <v>14632.43</v>
      </c>
      <c r="K23" s="849">
        <v>21799.55</v>
      </c>
      <c r="L23" s="849">
        <v>25399.55</v>
      </c>
      <c r="M23" s="849">
        <v>27078.4</v>
      </c>
      <c r="N23" s="849">
        <v>31145.71</v>
      </c>
      <c r="O23" s="849">
        <v>34607.27</v>
      </c>
      <c r="P23" s="849">
        <v>36338.04</v>
      </c>
      <c r="Q23" s="849">
        <v>0.0</v>
      </c>
      <c r="R23" s="849">
        <v>0.0</v>
      </c>
      <c r="S23" s="849">
        <v>3845.25</v>
      </c>
      <c r="T23" s="849">
        <v>3845.25</v>
      </c>
      <c r="U23" s="849">
        <v>0.0</v>
      </c>
      <c r="V23" s="849">
        <v>0.0</v>
      </c>
      <c r="W23" s="849">
        <v>0.0</v>
      </c>
      <c r="X23" s="849">
        <v>0.0</v>
      </c>
      <c r="Y23" s="849">
        <v>0.0</v>
      </c>
      <c r="Z23" s="849">
        <v>0.0</v>
      </c>
      <c r="AA23" s="849">
        <v>0.0</v>
      </c>
      <c r="AB23" s="849">
        <v>0.0</v>
      </c>
      <c r="AC23" s="849">
        <v>0.0</v>
      </c>
      <c r="AD23" s="849">
        <v>0.0</v>
      </c>
      <c r="AE23" s="849">
        <v>0.0</v>
      </c>
      <c r="AF23" s="849">
        <v>0.0</v>
      </c>
      <c r="AG23" s="849">
        <v>0.0</v>
      </c>
      <c r="AH23" s="849">
        <v>0.0</v>
      </c>
      <c r="AI23" s="849">
        <v>0.0</v>
      </c>
      <c r="AJ23" s="794" t="str">
        <f t="shared" ref="AJ23:AK23" si="43">C23</f>
        <v>G0201</v>
      </c>
      <c r="AK23" s="794" t="str">
        <f t="shared" si="43"/>
        <v>SALAIRE PROP. NEUF</v>
      </c>
      <c r="AL23" s="794">
        <f t="array" ref="AL23">IFERROR(INDEX(G23:R23,1,MATCH(Parametres!$B$3,G$1:R$1,0)-1)*IF(OR(F23="L",F23="S",F23="I"),-1,1),"")</f>
        <v>31145.71</v>
      </c>
      <c r="AM23" s="794">
        <f t="shared" si="4"/>
        <v>3461.56</v>
      </c>
      <c r="AN23" s="794">
        <f t="array" ref="AN23">INDEX(G23:R23,1,MATCH(Parametres!$B$3,G$1:R$1,0))*IF(OR(F23="L",F23="S",F23="I"),-1,1)</f>
        <v>34607.27</v>
      </c>
      <c r="AO23" s="853" t="str">
        <f>+VLOOKUP($AJ23,Data_Validation!$A:$D,1,0)</f>
        <v>G0201</v>
      </c>
      <c r="AP23" s="853" t="str">
        <f>+VLOOKUP($AJ23,Data_Validation!$A:$D,3,0)</f>
        <v>Véhicules neufs</v>
      </c>
      <c r="AQ23" s="853" t="str">
        <f>+VLOOKUP($AJ23,Data_Validation!$A:$D,4,0)</f>
        <v>Salaires propriétaire</v>
      </c>
      <c r="AR23" s="853" t="s">
        <v>728</v>
      </c>
      <c r="AS23" s="853" t="str">
        <f>+VLOOKUP($AJ23,Data_Validation!$A:$E,5,0)</f>
        <v/>
      </c>
      <c r="AT23" s="794" t="str">
        <f t="shared" ref="AT23:AU23" si="44">C23</f>
        <v>G0201</v>
      </c>
      <c r="AU23" s="854" t="str">
        <f t="shared" si="44"/>
        <v>SALAIRE PROP. NEUF</v>
      </c>
      <c r="AV23" s="794">
        <f t="array" ref="AV23">IFERROR(INDEX(V23:AG23,1,MATCH(Parametres!$B$3,V$1:AG$1,0)-1)*IF(OR(C23="L",C23="S",C23="I"),-1,1),"")</f>
        <v>0</v>
      </c>
      <c r="AW23" s="794">
        <f t="shared" si="6"/>
        <v>0</v>
      </c>
      <c r="AX23" s="794">
        <f t="array" ref="AX23">INDEX(V23:AG23,1,MATCH(Parametres!$B$3,V$1:AG$1,0))*IF(OR(C23="L",C23="S",C23="I"),-1,1)</f>
        <v>0</v>
      </c>
      <c r="AY23" s="853" t="s">
        <v>772</v>
      </c>
      <c r="AZ23" s="853" t="str">
        <f>+VLOOKUP($AJ23,Data_Validation!$A:$E,5,0)</f>
        <v/>
      </c>
    </row>
    <row r="24" ht="15.0" customHeight="1">
      <c r="A24" s="849" t="s">
        <v>1239</v>
      </c>
      <c r="B24" s="849">
        <v>2026.0</v>
      </c>
      <c r="C24" s="849" t="s">
        <v>1281</v>
      </c>
      <c r="D24" s="849" t="s">
        <v>1278</v>
      </c>
      <c r="E24" s="849" t="s">
        <v>768</v>
      </c>
      <c r="F24" s="849" t="s">
        <v>1200</v>
      </c>
      <c r="G24" s="849">
        <v>0.0</v>
      </c>
      <c r="H24" s="849">
        <v>0.0</v>
      </c>
      <c r="I24" s="849">
        <v>0.0</v>
      </c>
      <c r="J24" s="849">
        <v>0.0</v>
      </c>
      <c r="K24" s="849">
        <v>0.0</v>
      </c>
      <c r="L24" s="849">
        <v>0.0</v>
      </c>
      <c r="M24" s="849">
        <v>0.0</v>
      </c>
      <c r="N24" s="849">
        <v>0.0</v>
      </c>
      <c r="O24" s="849">
        <v>0.0</v>
      </c>
      <c r="P24" s="849">
        <v>0.0</v>
      </c>
      <c r="Q24" s="849">
        <v>0.0</v>
      </c>
      <c r="R24" s="849">
        <v>0.0</v>
      </c>
      <c r="S24" s="849">
        <v>0.0</v>
      </c>
      <c r="T24" s="849">
        <v>0.0</v>
      </c>
      <c r="U24" s="849">
        <v>0.0</v>
      </c>
      <c r="V24" s="849">
        <v>0.0</v>
      </c>
      <c r="W24" s="849">
        <v>0.0</v>
      </c>
      <c r="X24" s="849">
        <v>0.0</v>
      </c>
      <c r="Y24" s="849">
        <v>0.0</v>
      </c>
      <c r="Z24" s="849">
        <v>0.0</v>
      </c>
      <c r="AA24" s="849">
        <v>0.0</v>
      </c>
      <c r="AB24" s="849">
        <v>0.0</v>
      </c>
      <c r="AC24" s="849">
        <v>0.0</v>
      </c>
      <c r="AD24" s="849">
        <v>0.0</v>
      </c>
      <c r="AE24" s="849">
        <v>0.0</v>
      </c>
      <c r="AF24" s="849">
        <v>0.0</v>
      </c>
      <c r="AG24" s="849">
        <v>0.0</v>
      </c>
      <c r="AH24" s="849">
        <v>0.0</v>
      </c>
      <c r="AI24" s="849">
        <v>0.0</v>
      </c>
      <c r="AJ24" s="794" t="str">
        <f t="shared" ref="AJ24:AK24" si="45">C24</f>
        <v>G020101</v>
      </c>
      <c r="AK24" s="794" t="str">
        <f t="shared" si="45"/>
        <v>SALAIRE PROP. NEUF/USAGE</v>
      </c>
      <c r="AL24" s="794">
        <f t="array" ref="AL24">IFERROR(INDEX(G24:R24,1,MATCH(Parametres!$B$3,G$1:R$1,0)-1)*IF(OR(F24="L",F24="S",F24="I"),-1,1),"")</f>
        <v>0</v>
      </c>
      <c r="AM24" s="794">
        <f t="shared" si="4"/>
        <v>0</v>
      </c>
      <c r="AN24" s="794">
        <f t="array" ref="AN24">INDEX(G24:R24,1,MATCH(Parametres!$B$3,G$1:R$1,0))*IF(OR(F24="L",F24="S",F24="I"),-1,1)</f>
        <v>0</v>
      </c>
      <c r="AO24" s="853" t="str">
        <f>+VLOOKUP($AJ24,Data_Validation!$A:$D,1,0)</f>
        <v>#N/A</v>
      </c>
      <c r="AP24" s="853" t="str">
        <f>+VLOOKUP($AJ24,Data_Validation!$A:$D,3,0)</f>
        <v>#N/A</v>
      </c>
      <c r="AQ24" s="853" t="str">
        <f>+VLOOKUP($AJ24,Data_Validation!$A:$D,4,0)</f>
        <v>#N/A</v>
      </c>
      <c r="AR24" s="853" t="s">
        <v>728</v>
      </c>
      <c r="AS24" s="853" t="str">
        <f>+VLOOKUP($AJ24,Data_Validation!$A:$E,5,0)</f>
        <v>#N/A</v>
      </c>
      <c r="AT24" s="794" t="str">
        <f t="shared" ref="AT24:AU24" si="46">C24</f>
        <v>G020101</v>
      </c>
      <c r="AU24" s="854" t="str">
        <f t="shared" si="46"/>
        <v>SALAIRE PROP. NEUF/USAGE</v>
      </c>
      <c r="AV24" s="794">
        <f t="array" ref="AV24">IFERROR(INDEX(V24:AG24,1,MATCH(Parametres!$B$3,V$1:AG$1,0)-1)*IF(OR(C24="L",C24="S",C24="I"),-1,1),"")</f>
        <v>0</v>
      </c>
      <c r="AW24" s="794">
        <f t="shared" si="6"/>
        <v>0</v>
      </c>
      <c r="AX24" s="794">
        <f t="array" ref="AX24">INDEX(V24:AG24,1,MATCH(Parametres!$B$3,V$1:AG$1,0))*IF(OR(C24="L",C24="S",C24="I"),-1,1)</f>
        <v>0</v>
      </c>
      <c r="AY24" s="853" t="s">
        <v>772</v>
      </c>
      <c r="AZ24" s="853" t="str">
        <f>+VLOOKUP($AJ24,Data_Validation!$A:$E,5,0)</f>
        <v>#N/A</v>
      </c>
    </row>
    <row r="25" ht="15.0" customHeight="1">
      <c r="A25" s="849" t="s">
        <v>1239</v>
      </c>
      <c r="B25" s="849">
        <v>2026.0</v>
      </c>
      <c r="C25" s="849" t="s">
        <v>1282</v>
      </c>
      <c r="D25" s="849" t="s">
        <v>1283</v>
      </c>
      <c r="E25" s="849" t="s">
        <v>768</v>
      </c>
      <c r="F25" s="849" t="s">
        <v>1200</v>
      </c>
      <c r="G25" s="849">
        <v>0.0</v>
      </c>
      <c r="H25" s="849">
        <v>0.0</v>
      </c>
      <c r="I25" s="849">
        <v>6692.32</v>
      </c>
      <c r="J25" s="849">
        <v>9754.95</v>
      </c>
      <c r="K25" s="849">
        <v>14533.03</v>
      </c>
      <c r="L25" s="849">
        <v>16933.03</v>
      </c>
      <c r="M25" s="849">
        <v>18052.26</v>
      </c>
      <c r="N25" s="849">
        <v>20763.81</v>
      </c>
      <c r="O25" s="849">
        <v>23071.5</v>
      </c>
      <c r="P25" s="849">
        <v>24225.35</v>
      </c>
      <c r="Q25" s="849">
        <v>0.0</v>
      </c>
      <c r="R25" s="849">
        <v>0.0</v>
      </c>
      <c r="S25" s="849">
        <v>2563.5</v>
      </c>
      <c r="T25" s="849">
        <v>2563.5</v>
      </c>
      <c r="U25" s="849">
        <v>0.0</v>
      </c>
      <c r="V25" s="849">
        <v>0.0</v>
      </c>
      <c r="W25" s="849">
        <v>0.0</v>
      </c>
      <c r="X25" s="849">
        <v>0.0</v>
      </c>
      <c r="Y25" s="849">
        <v>0.0</v>
      </c>
      <c r="Z25" s="849">
        <v>0.0</v>
      </c>
      <c r="AA25" s="849">
        <v>0.0</v>
      </c>
      <c r="AB25" s="849">
        <v>0.0</v>
      </c>
      <c r="AC25" s="849">
        <v>0.0</v>
      </c>
      <c r="AD25" s="849">
        <v>0.0</v>
      </c>
      <c r="AE25" s="849">
        <v>0.0</v>
      </c>
      <c r="AF25" s="849">
        <v>0.0</v>
      </c>
      <c r="AG25" s="849">
        <v>0.0</v>
      </c>
      <c r="AH25" s="849">
        <v>0.0</v>
      </c>
      <c r="AI25" s="849">
        <v>0.0</v>
      </c>
      <c r="AJ25" s="794" t="str">
        <f t="shared" ref="AJ25:AK25" si="47">C25</f>
        <v>G0202</v>
      </c>
      <c r="AK25" s="794" t="str">
        <f t="shared" si="47"/>
        <v>SALAIRE PROP USAGE</v>
      </c>
      <c r="AL25" s="794">
        <f t="array" ref="AL25">IFERROR(INDEX(G25:R25,1,MATCH(Parametres!$B$3,G$1:R$1,0)-1)*IF(OR(F25="L",F25="S",F25="I"),-1,1),"")</f>
        <v>20763.81</v>
      </c>
      <c r="AM25" s="794">
        <f t="shared" si="4"/>
        <v>2307.69</v>
      </c>
      <c r="AN25" s="794">
        <f t="array" ref="AN25">INDEX(G25:R25,1,MATCH(Parametres!$B$3,G$1:R$1,0))*IF(OR(F25="L",F25="S",F25="I"),-1,1)</f>
        <v>23071.5</v>
      </c>
      <c r="AO25" s="853" t="str">
        <f>+VLOOKUP($AJ25,Data_Validation!$A:$D,1,0)</f>
        <v>G0202</v>
      </c>
      <c r="AP25" s="853" t="str">
        <f>+VLOOKUP($AJ25,Data_Validation!$A:$D,3,0)</f>
        <v>Véhicules usagés</v>
      </c>
      <c r="AQ25" s="853" t="str">
        <f>+VLOOKUP($AJ25,Data_Validation!$A:$D,4,0)</f>
        <v>Salaires propriétaire</v>
      </c>
      <c r="AR25" s="853" t="s">
        <v>728</v>
      </c>
      <c r="AS25" s="853" t="str">
        <f>+VLOOKUP($AJ25,Data_Validation!$A:$E,5,0)</f>
        <v/>
      </c>
      <c r="AT25" s="794" t="str">
        <f t="shared" ref="AT25:AU25" si="48">C25</f>
        <v>G0202</v>
      </c>
      <c r="AU25" s="854" t="str">
        <f t="shared" si="48"/>
        <v>SALAIRE PROP USAGE</v>
      </c>
      <c r="AV25" s="794">
        <f t="array" ref="AV25">IFERROR(INDEX(V25:AG25,1,MATCH(Parametres!$B$3,V$1:AG$1,0)-1)*IF(OR(C25="L",C25="S",C25="I"),-1,1),"")</f>
        <v>0</v>
      </c>
      <c r="AW25" s="794">
        <f t="shared" si="6"/>
        <v>0</v>
      </c>
      <c r="AX25" s="794">
        <f t="array" ref="AX25">INDEX(V25:AG25,1,MATCH(Parametres!$B$3,V$1:AG$1,0))*IF(OR(C25="L",C25="S",C25="I"),-1,1)</f>
        <v>0</v>
      </c>
      <c r="AY25" s="853" t="s">
        <v>772</v>
      </c>
      <c r="AZ25" s="853" t="str">
        <f>+VLOOKUP($AJ25,Data_Validation!$A:$E,5,0)</f>
        <v/>
      </c>
    </row>
    <row r="26" ht="15.75" customHeight="1">
      <c r="A26" s="849" t="s">
        <v>1239</v>
      </c>
      <c r="B26" s="849">
        <v>2026.0</v>
      </c>
      <c r="C26" s="849" t="s">
        <v>1284</v>
      </c>
      <c r="D26" s="849" t="s">
        <v>1285</v>
      </c>
      <c r="E26" s="849" t="s">
        <v>768</v>
      </c>
      <c r="F26" s="849" t="s">
        <v>1200</v>
      </c>
      <c r="G26" s="849">
        <v>0.0</v>
      </c>
      <c r="H26" s="849">
        <v>0.0</v>
      </c>
      <c r="I26" s="849">
        <v>10038.48</v>
      </c>
      <c r="J26" s="849">
        <v>14632.43</v>
      </c>
      <c r="K26" s="849">
        <v>21799.55</v>
      </c>
      <c r="L26" s="849">
        <v>25399.55</v>
      </c>
      <c r="M26" s="849">
        <v>27078.4</v>
      </c>
      <c r="N26" s="849">
        <v>31145.71</v>
      </c>
      <c r="O26" s="849">
        <v>34607.27</v>
      </c>
      <c r="P26" s="849">
        <v>36338.04</v>
      </c>
      <c r="Q26" s="849">
        <v>0.0</v>
      </c>
      <c r="R26" s="849">
        <v>0.0</v>
      </c>
      <c r="S26" s="849">
        <v>3845.25</v>
      </c>
      <c r="T26" s="849">
        <v>3845.25</v>
      </c>
      <c r="U26" s="849">
        <v>0.0</v>
      </c>
      <c r="V26" s="849">
        <v>0.0</v>
      </c>
      <c r="W26" s="849">
        <v>0.0</v>
      </c>
      <c r="X26" s="849">
        <v>0.0</v>
      </c>
      <c r="Y26" s="849">
        <v>0.0</v>
      </c>
      <c r="Z26" s="849">
        <v>0.0</v>
      </c>
      <c r="AA26" s="849">
        <v>0.0</v>
      </c>
      <c r="AB26" s="849">
        <v>0.0</v>
      </c>
      <c r="AC26" s="849">
        <v>0.0</v>
      </c>
      <c r="AD26" s="849">
        <v>0.0</v>
      </c>
      <c r="AE26" s="849">
        <v>0.0</v>
      </c>
      <c r="AF26" s="849">
        <v>0.0</v>
      </c>
      <c r="AG26" s="849">
        <v>0.0</v>
      </c>
      <c r="AH26" s="849">
        <v>0.0</v>
      </c>
      <c r="AI26" s="849">
        <v>0.0</v>
      </c>
      <c r="AJ26" s="794" t="str">
        <f t="shared" ref="AJ26:AK26" si="49">C26</f>
        <v>G0204</v>
      </c>
      <c r="AK26" s="794" t="str">
        <f t="shared" si="49"/>
        <v>SALAIRE PROP SERVICE</v>
      </c>
      <c r="AL26" s="794">
        <f t="array" ref="AL26">IFERROR(INDEX(G26:R26,1,MATCH(Parametres!$B$3,G$1:R$1,0)-1)*IF(OR(F26="L",F26="S",F26="I"),-1,1),"")</f>
        <v>31145.71</v>
      </c>
      <c r="AM26" s="794">
        <f t="shared" si="4"/>
        <v>3461.56</v>
      </c>
      <c r="AN26" s="794">
        <f t="array" ref="AN26">INDEX(G26:R26,1,MATCH(Parametres!$B$3,G$1:R$1,0))*IF(OR(F26="L",F26="S",F26="I"),-1,1)</f>
        <v>34607.27</v>
      </c>
      <c r="AO26" s="853" t="str">
        <f>+VLOOKUP($AJ26,Data_Validation!$A:$D,1,0)</f>
        <v>G0204</v>
      </c>
      <c r="AP26" s="853" t="str">
        <f>+VLOOKUP($AJ26,Data_Validation!$A:$D,3,0)</f>
        <v>Service</v>
      </c>
      <c r="AQ26" s="853" t="str">
        <f>+VLOOKUP($AJ26,Data_Validation!$A:$D,4,0)</f>
        <v>Salaires propriétaire</v>
      </c>
      <c r="AR26" s="853" t="s">
        <v>728</v>
      </c>
      <c r="AS26" s="853" t="str">
        <f>+VLOOKUP($AJ26,Data_Validation!$A:$E,5,0)</f>
        <v/>
      </c>
      <c r="AT26" s="794" t="str">
        <f t="shared" ref="AT26:AU26" si="50">C26</f>
        <v>G0204</v>
      </c>
      <c r="AU26" s="854" t="str">
        <f t="shared" si="50"/>
        <v>SALAIRE PROP SERVICE</v>
      </c>
      <c r="AV26" s="794">
        <f t="array" ref="AV26">IFERROR(INDEX(V26:AG26,1,MATCH(Parametres!$B$3,V$1:AG$1,0)-1)*IF(OR(C26="L",C26="S",C26="I"),-1,1),"")</f>
        <v>0</v>
      </c>
      <c r="AW26" s="794">
        <f t="shared" si="6"/>
        <v>0</v>
      </c>
      <c r="AX26" s="794">
        <f t="array" ref="AX26">INDEX(V26:AG26,1,MATCH(Parametres!$B$3,V$1:AG$1,0))*IF(OR(C26="L",C26="S",C26="I"),-1,1)</f>
        <v>0</v>
      </c>
      <c r="AY26" s="853" t="s">
        <v>772</v>
      </c>
      <c r="AZ26" s="853" t="str">
        <f>+VLOOKUP($AJ26,Data_Validation!$A:$E,5,0)</f>
        <v/>
      </c>
    </row>
    <row r="27" ht="15.0" customHeight="1">
      <c r="A27" s="849" t="s">
        <v>1239</v>
      </c>
      <c r="B27" s="849">
        <v>2026.0</v>
      </c>
      <c r="C27" s="849" t="s">
        <v>1286</v>
      </c>
      <c r="D27" s="849" t="s">
        <v>1287</v>
      </c>
      <c r="E27" s="849" t="s">
        <v>768</v>
      </c>
      <c r="F27" s="849" t="s">
        <v>1200</v>
      </c>
      <c r="G27" s="849">
        <v>0.0</v>
      </c>
      <c r="H27" s="849">
        <v>0.0</v>
      </c>
      <c r="I27" s="849">
        <v>3346.16</v>
      </c>
      <c r="J27" s="849">
        <v>4877.48</v>
      </c>
      <c r="K27" s="849">
        <v>7266.52</v>
      </c>
      <c r="L27" s="849">
        <v>8466.52</v>
      </c>
      <c r="M27" s="849">
        <v>9026.13</v>
      </c>
      <c r="N27" s="849">
        <v>10381.89</v>
      </c>
      <c r="O27" s="849">
        <v>11535.74</v>
      </c>
      <c r="P27" s="849">
        <v>12112.66</v>
      </c>
      <c r="Q27" s="849">
        <v>0.0</v>
      </c>
      <c r="R27" s="849">
        <v>0.0</v>
      </c>
      <c r="S27" s="849">
        <v>1281.75</v>
      </c>
      <c r="T27" s="849">
        <v>1281.75</v>
      </c>
      <c r="U27" s="849">
        <v>0.0</v>
      </c>
      <c r="V27" s="849">
        <v>0.0</v>
      </c>
      <c r="W27" s="849">
        <v>0.0</v>
      </c>
      <c r="X27" s="849">
        <v>0.0</v>
      </c>
      <c r="Y27" s="849">
        <v>0.0</v>
      </c>
      <c r="Z27" s="849">
        <v>0.0</v>
      </c>
      <c r="AA27" s="849">
        <v>0.0</v>
      </c>
      <c r="AB27" s="849">
        <v>0.0</v>
      </c>
      <c r="AC27" s="849">
        <v>0.0</v>
      </c>
      <c r="AD27" s="849">
        <v>0.0</v>
      </c>
      <c r="AE27" s="849">
        <v>0.0</v>
      </c>
      <c r="AF27" s="849">
        <v>0.0</v>
      </c>
      <c r="AG27" s="849">
        <v>0.0</v>
      </c>
      <c r="AH27" s="849">
        <v>0.0</v>
      </c>
      <c r="AI27" s="849">
        <v>0.0</v>
      </c>
      <c r="AJ27" s="794" t="str">
        <f t="shared" ref="AJ27:AK27" si="51">C27</f>
        <v>G0205</v>
      </c>
      <c r="AK27" s="794" t="str">
        <f t="shared" si="51"/>
        <v>SALAIRE PROP CARROSSERIE</v>
      </c>
      <c r="AL27" s="794">
        <f t="array" ref="AL27">IFERROR(INDEX(G27:R27,1,MATCH(Parametres!$B$3,G$1:R$1,0)-1)*IF(OR(F27="L",F27="S",F27="I"),-1,1),"")</f>
        <v>10381.89</v>
      </c>
      <c r="AM27" s="794">
        <f t="shared" si="4"/>
        <v>1153.85</v>
      </c>
      <c r="AN27" s="794">
        <f t="array" ref="AN27">INDEX(G27:R27,1,MATCH(Parametres!$B$3,G$1:R$1,0))*IF(OR(F27="L",F27="S",F27="I"),-1,1)</f>
        <v>11535.74</v>
      </c>
      <c r="AO27" s="853" t="str">
        <f>+VLOOKUP($AJ27,Data_Validation!$A:$D,1,0)</f>
        <v>G0205</v>
      </c>
      <c r="AP27" s="853" t="str">
        <f>+VLOOKUP($AJ27,Data_Validation!$A:$D,3,0)</f>
        <v>Carrosserie</v>
      </c>
      <c r="AQ27" s="853" t="str">
        <f>+VLOOKUP($AJ27,Data_Validation!$A:$D,4,0)</f>
        <v>Salaires propriétaire</v>
      </c>
      <c r="AR27" s="853" t="s">
        <v>728</v>
      </c>
      <c r="AS27" s="853" t="str">
        <f>+VLOOKUP($AJ27,Data_Validation!$A:$E,5,0)</f>
        <v/>
      </c>
      <c r="AT27" s="794" t="str">
        <f t="shared" ref="AT27:AU27" si="52">C27</f>
        <v>G0205</v>
      </c>
      <c r="AU27" s="854" t="str">
        <f t="shared" si="52"/>
        <v>SALAIRE PROP CARROSSERIE</v>
      </c>
      <c r="AV27" s="794">
        <f t="array" ref="AV27">IFERROR(INDEX(V27:AG27,1,MATCH(Parametres!$B$3,V$1:AG$1,0)-1)*IF(OR(C27="L",C27="S",C27="I"),-1,1),"")</f>
        <v>0</v>
      </c>
      <c r="AW27" s="794">
        <f t="shared" si="6"/>
        <v>0</v>
      </c>
      <c r="AX27" s="794">
        <f t="array" ref="AX27">INDEX(V27:AG27,1,MATCH(Parametres!$B$3,V$1:AG$1,0))*IF(OR(C27="L",C27="S",C27="I"),-1,1)</f>
        <v>0</v>
      </c>
      <c r="AY27" s="853" t="s">
        <v>772</v>
      </c>
      <c r="AZ27" s="853" t="str">
        <f>+VLOOKUP($AJ27,Data_Validation!$A:$E,5,0)</f>
        <v/>
      </c>
    </row>
    <row r="28" ht="15.0" customHeight="1">
      <c r="A28" s="849" t="s">
        <v>1239</v>
      </c>
      <c r="B28" s="849">
        <v>2026.0</v>
      </c>
      <c r="C28" s="849" t="s">
        <v>1288</v>
      </c>
      <c r="D28" s="849" t="s">
        <v>1289</v>
      </c>
      <c r="E28" s="849" t="s">
        <v>768</v>
      </c>
      <c r="F28" s="849" t="s">
        <v>1200</v>
      </c>
      <c r="G28" s="849">
        <v>0.0</v>
      </c>
      <c r="H28" s="849">
        <v>0.0</v>
      </c>
      <c r="I28" s="849">
        <v>3346.15</v>
      </c>
      <c r="J28" s="849">
        <v>4877.45</v>
      </c>
      <c r="K28" s="849">
        <v>7266.48</v>
      </c>
      <c r="L28" s="849">
        <v>8466.49</v>
      </c>
      <c r="M28" s="849">
        <v>9026.12</v>
      </c>
      <c r="N28" s="849">
        <v>10381.9</v>
      </c>
      <c r="O28" s="849">
        <v>11535.73</v>
      </c>
      <c r="P28" s="849">
        <v>12112.66</v>
      </c>
      <c r="Q28" s="849">
        <v>0.0</v>
      </c>
      <c r="R28" s="849">
        <v>0.0</v>
      </c>
      <c r="S28" s="849">
        <v>1281.75</v>
      </c>
      <c r="T28" s="849">
        <v>1281.75</v>
      </c>
      <c r="U28" s="849">
        <v>0.0</v>
      </c>
      <c r="V28" s="849">
        <v>0.0</v>
      </c>
      <c r="W28" s="849">
        <v>0.0</v>
      </c>
      <c r="X28" s="849">
        <v>0.0</v>
      </c>
      <c r="Y28" s="849">
        <v>0.0</v>
      </c>
      <c r="Z28" s="849">
        <v>0.0</v>
      </c>
      <c r="AA28" s="849">
        <v>0.0</v>
      </c>
      <c r="AB28" s="849">
        <v>0.0</v>
      </c>
      <c r="AC28" s="849">
        <v>0.0</v>
      </c>
      <c r="AD28" s="849">
        <v>0.0</v>
      </c>
      <c r="AE28" s="849">
        <v>0.0</v>
      </c>
      <c r="AF28" s="849">
        <v>0.0</v>
      </c>
      <c r="AG28" s="849">
        <v>0.0</v>
      </c>
      <c r="AH28" s="849">
        <v>0.0</v>
      </c>
      <c r="AI28" s="849">
        <v>0.0</v>
      </c>
      <c r="AJ28" s="794" t="str">
        <f t="shared" ref="AJ28:AK28" si="53">C28</f>
        <v>G0206</v>
      </c>
      <c r="AK28" s="794" t="str">
        <f t="shared" si="53"/>
        <v>SALAIRE PROP. PIECES</v>
      </c>
      <c r="AL28" s="794">
        <f t="array" ref="AL28">IFERROR(INDEX(G28:R28,1,MATCH(Parametres!$B$3,G$1:R$1,0)-1)*IF(OR(F28="L",F28="S",F28="I"),-1,1),"")</f>
        <v>10381.9</v>
      </c>
      <c r="AM28" s="794">
        <f t="shared" si="4"/>
        <v>1153.83</v>
      </c>
      <c r="AN28" s="794">
        <f t="array" ref="AN28">INDEX(G28:R28,1,MATCH(Parametres!$B$3,G$1:R$1,0))*IF(OR(F28="L",F28="S",F28="I"),-1,1)</f>
        <v>11535.73</v>
      </c>
      <c r="AO28" s="853" t="str">
        <f>+VLOOKUP($AJ28,Data_Validation!$A:$D,1,0)</f>
        <v>G0206</v>
      </c>
      <c r="AP28" s="853" t="str">
        <f>+VLOOKUP($AJ28,Data_Validation!$A:$D,3,0)</f>
        <v>Pièces</v>
      </c>
      <c r="AQ28" s="853" t="str">
        <f>+VLOOKUP($AJ28,Data_Validation!$A:$D,4,0)</f>
        <v>Salaires propriétaire</v>
      </c>
      <c r="AR28" s="853" t="s">
        <v>728</v>
      </c>
      <c r="AS28" s="853" t="str">
        <f>+VLOOKUP($AJ28,Data_Validation!$A:$E,5,0)</f>
        <v/>
      </c>
      <c r="AT28" s="794" t="str">
        <f t="shared" ref="AT28:AU28" si="54">C28</f>
        <v>G0206</v>
      </c>
      <c r="AU28" s="854" t="str">
        <f t="shared" si="54"/>
        <v>SALAIRE PROP. PIECES</v>
      </c>
      <c r="AV28" s="794">
        <f t="array" ref="AV28">IFERROR(INDEX(V28:AG28,1,MATCH(Parametres!$B$3,V$1:AG$1,0)-1)*IF(OR(C28="L",C28="S",C28="I"),-1,1),"")</f>
        <v>0</v>
      </c>
      <c r="AW28" s="794">
        <f t="shared" si="6"/>
        <v>0</v>
      </c>
      <c r="AX28" s="794">
        <f t="array" ref="AX28">INDEX(V28:AG28,1,MATCH(Parametres!$B$3,V$1:AG$1,0))*IF(OR(C28="L",C28="S",C28="I"),-1,1)</f>
        <v>0</v>
      </c>
      <c r="AY28" s="853" t="s">
        <v>772</v>
      </c>
      <c r="AZ28" s="853" t="str">
        <f>+VLOOKUP($AJ28,Data_Validation!$A:$E,5,0)</f>
        <v/>
      </c>
    </row>
    <row r="29" ht="15.0" customHeight="1">
      <c r="A29" s="849" t="s">
        <v>1239</v>
      </c>
      <c r="B29" s="849">
        <v>2026.0</v>
      </c>
      <c r="C29" s="849" t="s">
        <v>1290</v>
      </c>
      <c r="D29" s="849" t="s">
        <v>1291</v>
      </c>
      <c r="E29" s="849" t="s">
        <v>768</v>
      </c>
      <c r="F29" s="849" t="s">
        <v>1200</v>
      </c>
      <c r="G29" s="849">
        <v>0.0</v>
      </c>
      <c r="H29" s="849">
        <v>0.0</v>
      </c>
      <c r="I29" s="849">
        <v>0.0</v>
      </c>
      <c r="J29" s="849">
        <v>0.0</v>
      </c>
      <c r="K29" s="849">
        <v>0.0</v>
      </c>
      <c r="L29" s="849">
        <v>0.0</v>
      </c>
      <c r="M29" s="849">
        <v>0.0</v>
      </c>
      <c r="N29" s="849">
        <v>0.0</v>
      </c>
      <c r="O29" s="849">
        <v>0.0</v>
      </c>
      <c r="P29" s="849">
        <v>0.0</v>
      </c>
      <c r="Q29" s="849">
        <v>0.0</v>
      </c>
      <c r="R29" s="849">
        <v>0.0</v>
      </c>
      <c r="S29" s="849">
        <v>0.0</v>
      </c>
      <c r="T29" s="849">
        <v>0.0</v>
      </c>
      <c r="U29" s="849">
        <v>0.0</v>
      </c>
      <c r="V29" s="849">
        <v>0.0</v>
      </c>
      <c r="W29" s="849">
        <v>0.0</v>
      </c>
      <c r="X29" s="849">
        <v>0.0</v>
      </c>
      <c r="Y29" s="849">
        <v>0.0</v>
      </c>
      <c r="Z29" s="849">
        <v>0.0</v>
      </c>
      <c r="AA29" s="849">
        <v>0.0</v>
      </c>
      <c r="AB29" s="849">
        <v>0.0</v>
      </c>
      <c r="AC29" s="849">
        <v>0.0</v>
      </c>
      <c r="AD29" s="849">
        <v>0.0</v>
      </c>
      <c r="AE29" s="849">
        <v>0.0</v>
      </c>
      <c r="AF29" s="849">
        <v>0.0</v>
      </c>
      <c r="AG29" s="849">
        <v>0.0</v>
      </c>
      <c r="AH29" s="849">
        <v>0.0</v>
      </c>
      <c r="AI29" s="849">
        <v>0.0</v>
      </c>
      <c r="AJ29" s="794" t="str">
        <f t="shared" ref="AJ29:AK29" si="55">C29</f>
        <v>G0210</v>
      </c>
      <c r="AK29" s="794" t="str">
        <f t="shared" si="55"/>
        <v>SALAIRE ADMIN. TOUS</v>
      </c>
      <c r="AL29" s="794">
        <f t="array" ref="AL29">IFERROR(INDEX(G29:R29,1,MATCH(Parametres!$B$3,G$1:R$1,0)-1)*IF(OR(F29="L",F29="S",F29="I"),-1,1),"")</f>
        <v>0</v>
      </c>
      <c r="AM29" s="794">
        <f t="shared" si="4"/>
        <v>0</v>
      </c>
      <c r="AN29" s="794">
        <f t="array" ref="AN29">INDEX(G29:R29,1,MATCH(Parametres!$B$3,G$1:R$1,0))*IF(OR(F29="L",F29="S",F29="I"),-1,1)</f>
        <v>0</v>
      </c>
      <c r="AO29" s="853" t="str">
        <f>+VLOOKUP($AJ29,Data_Validation!$A:$D,1,0)</f>
        <v>#N/A</v>
      </c>
      <c r="AP29" s="853" t="str">
        <f>+VLOOKUP($AJ29,Data_Validation!$A:$D,3,0)</f>
        <v>#N/A</v>
      </c>
      <c r="AQ29" s="853" t="str">
        <f>+VLOOKUP($AJ29,Data_Validation!$A:$D,4,0)</f>
        <v>#N/A</v>
      </c>
      <c r="AR29" s="853" t="s">
        <v>728</v>
      </c>
      <c r="AS29" s="853" t="str">
        <f>+VLOOKUP($AJ29,Data_Validation!$A:$E,5,0)</f>
        <v>#N/A</v>
      </c>
      <c r="AT29" s="794" t="str">
        <f t="shared" ref="AT29:AU29" si="56">C29</f>
        <v>G0210</v>
      </c>
      <c r="AU29" s="854" t="str">
        <f t="shared" si="56"/>
        <v>SALAIRE ADMIN. TOUS</v>
      </c>
      <c r="AV29" s="794">
        <f t="array" ref="AV29">IFERROR(INDEX(V29:AG29,1,MATCH(Parametres!$B$3,V$1:AG$1,0)-1)*IF(OR(C29="L",C29="S",C29="I"),-1,1),"")</f>
        <v>0</v>
      </c>
      <c r="AW29" s="794">
        <f t="shared" si="6"/>
        <v>0</v>
      </c>
      <c r="AX29" s="794">
        <f t="array" ref="AX29">INDEX(V29:AG29,1,MATCH(Parametres!$B$3,V$1:AG$1,0))*IF(OR(C29="L",C29="S",C29="I"),-1,1)</f>
        <v>0</v>
      </c>
      <c r="AY29" s="853" t="s">
        <v>772</v>
      </c>
      <c r="AZ29" s="853" t="str">
        <f>+VLOOKUP($AJ29,Data_Validation!$A:$E,5,0)</f>
        <v>#N/A</v>
      </c>
    </row>
    <row r="30" ht="15.0" customHeight="1">
      <c r="A30" s="849" t="s">
        <v>1239</v>
      </c>
      <c r="B30" s="849">
        <v>2026.0</v>
      </c>
      <c r="C30" s="849" t="s">
        <v>1292</v>
      </c>
      <c r="D30" s="849" t="s">
        <v>1293</v>
      </c>
      <c r="E30" s="849" t="s">
        <v>768</v>
      </c>
      <c r="F30" s="849" t="s">
        <v>1200</v>
      </c>
      <c r="G30" s="849">
        <v>0.0</v>
      </c>
      <c r="H30" s="849">
        <v>0.0</v>
      </c>
      <c r="I30" s="849">
        <v>0.0</v>
      </c>
      <c r="J30" s="849">
        <v>0.0</v>
      </c>
      <c r="K30" s="849">
        <v>0.0</v>
      </c>
      <c r="L30" s="849">
        <v>0.0</v>
      </c>
      <c r="M30" s="849">
        <v>0.0</v>
      </c>
      <c r="N30" s="849">
        <v>0.0</v>
      </c>
      <c r="O30" s="849">
        <v>0.0</v>
      </c>
      <c r="P30" s="849">
        <v>0.0</v>
      </c>
      <c r="Q30" s="849">
        <v>0.0</v>
      </c>
      <c r="R30" s="849">
        <v>0.0</v>
      </c>
      <c r="S30" s="849">
        <v>0.0</v>
      </c>
      <c r="T30" s="849">
        <v>0.0</v>
      </c>
      <c r="U30" s="849">
        <v>0.0</v>
      </c>
      <c r="V30" s="849">
        <v>0.0</v>
      </c>
      <c r="W30" s="849">
        <v>0.0</v>
      </c>
      <c r="X30" s="849">
        <v>0.0</v>
      </c>
      <c r="Y30" s="849">
        <v>0.0</v>
      </c>
      <c r="Z30" s="849">
        <v>0.0</v>
      </c>
      <c r="AA30" s="849">
        <v>0.0</v>
      </c>
      <c r="AB30" s="849">
        <v>0.0</v>
      </c>
      <c r="AC30" s="849">
        <v>0.0</v>
      </c>
      <c r="AD30" s="849">
        <v>0.0</v>
      </c>
      <c r="AE30" s="849">
        <v>0.0</v>
      </c>
      <c r="AF30" s="849">
        <v>0.0</v>
      </c>
      <c r="AG30" s="849">
        <v>0.0</v>
      </c>
      <c r="AH30" s="849">
        <v>0.0</v>
      </c>
      <c r="AI30" s="849">
        <v>0.0</v>
      </c>
      <c r="AJ30" s="794" t="str">
        <f t="shared" ref="AJ30:AK30" si="57">C30</f>
        <v>G02101</v>
      </c>
      <c r="AK30" s="794" t="str">
        <f t="shared" si="57"/>
        <v>SALAIRES CADRES NEUF/USAG</v>
      </c>
      <c r="AL30" s="794">
        <f t="array" ref="AL30">IFERROR(INDEX(G30:R30,1,MATCH(Parametres!$B$3,G$1:R$1,0)-1)*IF(OR(F30="L",F30="S",F30="I"),-1,1),"")</f>
        <v>0</v>
      </c>
      <c r="AM30" s="794">
        <f t="shared" si="4"/>
        <v>0</v>
      </c>
      <c r="AN30" s="794">
        <f t="array" ref="AN30">INDEX(G30:R30,1,MATCH(Parametres!$B$3,G$1:R$1,0))*IF(OR(F30="L",F30="S",F30="I"),-1,1)</f>
        <v>0</v>
      </c>
      <c r="AO30" s="853" t="str">
        <f>+VLOOKUP($AJ30,Data_Validation!$A:$D,1,0)</f>
        <v>#N/A</v>
      </c>
      <c r="AP30" s="853" t="str">
        <f>+VLOOKUP($AJ30,Data_Validation!$A:$D,3,0)</f>
        <v>#N/A</v>
      </c>
      <c r="AQ30" s="853" t="str">
        <f>+VLOOKUP($AJ30,Data_Validation!$A:$D,4,0)</f>
        <v>#N/A</v>
      </c>
      <c r="AR30" s="853" t="s">
        <v>728</v>
      </c>
      <c r="AS30" s="853" t="str">
        <f>+VLOOKUP($AJ30,Data_Validation!$A:$E,5,0)</f>
        <v>#N/A</v>
      </c>
      <c r="AT30" s="794" t="str">
        <f t="shared" ref="AT30:AU30" si="58">C30</f>
        <v>G02101</v>
      </c>
      <c r="AU30" s="854" t="str">
        <f t="shared" si="58"/>
        <v>SALAIRES CADRES NEUF/USAG</v>
      </c>
      <c r="AV30" s="794">
        <f t="array" ref="AV30">IFERROR(INDEX(V30:AG30,1,MATCH(Parametres!$B$3,V$1:AG$1,0)-1)*IF(OR(C30="L",C30="S",C30="I"),-1,1),"")</f>
        <v>0</v>
      </c>
      <c r="AW30" s="794">
        <f t="shared" si="6"/>
        <v>0</v>
      </c>
      <c r="AX30" s="794">
        <f t="array" ref="AX30">INDEX(V30:AG30,1,MATCH(Parametres!$B$3,V$1:AG$1,0))*IF(OR(C30="L",C30="S",C30="I"),-1,1)</f>
        <v>0</v>
      </c>
      <c r="AY30" s="853" t="s">
        <v>772</v>
      </c>
      <c r="AZ30" s="853" t="str">
        <f>+VLOOKUP($AJ30,Data_Validation!$A:$E,5,0)</f>
        <v>#N/A</v>
      </c>
    </row>
    <row r="31" ht="15.0" customHeight="1">
      <c r="A31" s="849" t="s">
        <v>1239</v>
      </c>
      <c r="B31" s="849">
        <v>2026.0</v>
      </c>
      <c r="C31" s="849" t="s">
        <v>1294</v>
      </c>
      <c r="D31" s="849" t="s">
        <v>1295</v>
      </c>
      <c r="E31" s="849" t="s">
        <v>768</v>
      </c>
      <c r="F31" s="849" t="s">
        <v>1200</v>
      </c>
      <c r="G31" s="849">
        <v>9807.44</v>
      </c>
      <c r="H31" s="849">
        <v>7722.16</v>
      </c>
      <c r="I31" s="849">
        <v>26760.54</v>
      </c>
      <c r="J31" s="849">
        <v>42903.17</v>
      </c>
      <c r="K31" s="849">
        <v>49287.5</v>
      </c>
      <c r="L31" s="849">
        <v>59476.06</v>
      </c>
      <c r="M31" s="849">
        <v>74652.46</v>
      </c>
      <c r="N31" s="849">
        <v>80979.34</v>
      </c>
      <c r="O31" s="849">
        <v>88491.1</v>
      </c>
      <c r="P31" s="849">
        <v>90411.1</v>
      </c>
      <c r="Q31" s="849">
        <v>0.0</v>
      </c>
      <c r="R31" s="849">
        <v>0.0</v>
      </c>
      <c r="S31" s="849">
        <v>9832.34</v>
      </c>
      <c r="T31" s="849">
        <v>9832.34</v>
      </c>
      <c r="U31" s="849">
        <v>0.0</v>
      </c>
      <c r="V31" s="849">
        <v>0.0</v>
      </c>
      <c r="W31" s="849">
        <v>0.0</v>
      </c>
      <c r="X31" s="849">
        <v>0.0</v>
      </c>
      <c r="Y31" s="849">
        <v>0.0</v>
      </c>
      <c r="Z31" s="849">
        <v>0.0</v>
      </c>
      <c r="AA31" s="849">
        <v>0.0</v>
      </c>
      <c r="AB31" s="849">
        <v>0.0</v>
      </c>
      <c r="AC31" s="849">
        <v>0.0</v>
      </c>
      <c r="AD31" s="849">
        <v>0.0</v>
      </c>
      <c r="AE31" s="849">
        <v>0.0</v>
      </c>
      <c r="AF31" s="849">
        <v>0.0</v>
      </c>
      <c r="AG31" s="849">
        <v>0.0</v>
      </c>
      <c r="AH31" s="849">
        <v>0.0</v>
      </c>
      <c r="AI31" s="849">
        <v>0.0</v>
      </c>
      <c r="AJ31" s="794" t="str">
        <f t="shared" ref="AJ31:AK31" si="59">C31</f>
        <v>G0211</v>
      </c>
      <c r="AK31" s="794" t="str">
        <f t="shared" si="59"/>
        <v>SALAIRES CADRES NEUFS</v>
      </c>
      <c r="AL31" s="794">
        <f t="array" ref="AL31">IFERROR(INDEX(G31:R31,1,MATCH(Parametres!$B$3,G$1:R$1,0)-1)*IF(OR(F31="L",F31="S",F31="I"),-1,1),"")</f>
        <v>80979.34</v>
      </c>
      <c r="AM31" s="794">
        <f t="shared" si="4"/>
        <v>7511.76</v>
      </c>
      <c r="AN31" s="794">
        <f t="array" ref="AN31">INDEX(G31:R31,1,MATCH(Parametres!$B$3,G$1:R$1,0))*IF(OR(F31="L",F31="S",F31="I"),-1,1)</f>
        <v>88491.1</v>
      </c>
      <c r="AO31" s="853" t="str">
        <f>+VLOOKUP($AJ31,Data_Validation!$A:$D,1,0)</f>
        <v>G0211</v>
      </c>
      <c r="AP31" s="853" t="str">
        <f>+VLOOKUP($AJ31,Data_Validation!$A:$D,3,0)</f>
        <v>Véhicules neufs</v>
      </c>
      <c r="AQ31" s="853" t="str">
        <f>+VLOOKUP($AJ31,Data_Validation!$A:$D,4,0)</f>
        <v>Salaires cadres</v>
      </c>
      <c r="AR31" s="853" t="s">
        <v>728</v>
      </c>
      <c r="AS31" s="853" t="str">
        <f>+VLOOKUP($AJ31,Data_Validation!$A:$E,5,0)</f>
        <v/>
      </c>
      <c r="AT31" s="794" t="str">
        <f t="shared" ref="AT31:AU31" si="60">C31</f>
        <v>G0211</v>
      </c>
      <c r="AU31" s="854" t="str">
        <f t="shared" si="60"/>
        <v>SALAIRES CADRES NEUFS</v>
      </c>
      <c r="AV31" s="794">
        <f t="array" ref="AV31">IFERROR(INDEX(V31:AG31,1,MATCH(Parametres!$B$3,V$1:AG$1,0)-1)*IF(OR(C31="L",C31="S",C31="I"),-1,1),"")</f>
        <v>0</v>
      </c>
      <c r="AW31" s="794">
        <f t="shared" si="6"/>
        <v>0</v>
      </c>
      <c r="AX31" s="794">
        <f t="array" ref="AX31">INDEX(V31:AG31,1,MATCH(Parametres!$B$3,V$1:AG$1,0))*IF(OR(C31="L",C31="S",C31="I"),-1,1)</f>
        <v>0</v>
      </c>
      <c r="AY31" s="853" t="s">
        <v>772</v>
      </c>
      <c r="AZ31" s="853" t="str">
        <f>+VLOOKUP($AJ31,Data_Validation!$A:$E,5,0)</f>
        <v/>
      </c>
    </row>
    <row r="32" ht="15.0" customHeight="1">
      <c r="A32" s="849" t="s">
        <v>1239</v>
      </c>
      <c r="B32" s="849">
        <v>2026.0</v>
      </c>
      <c r="C32" s="849" t="s">
        <v>1296</v>
      </c>
      <c r="D32" s="849" t="s">
        <v>1297</v>
      </c>
      <c r="E32" s="849" t="s">
        <v>768</v>
      </c>
      <c r="F32" s="849" t="s">
        <v>1200</v>
      </c>
      <c r="G32" s="849">
        <v>0.0</v>
      </c>
      <c r="H32" s="849">
        <v>0.0</v>
      </c>
      <c r="I32" s="849">
        <v>0.0</v>
      </c>
      <c r="J32" s="849">
        <v>0.0</v>
      </c>
      <c r="K32" s="849">
        <v>0.0</v>
      </c>
      <c r="L32" s="849">
        <v>0.0</v>
      </c>
      <c r="M32" s="849">
        <v>0.0</v>
      </c>
      <c r="N32" s="849">
        <v>0.0</v>
      </c>
      <c r="O32" s="849">
        <v>0.0</v>
      </c>
      <c r="P32" s="849">
        <v>0.0</v>
      </c>
      <c r="Q32" s="849">
        <v>0.0</v>
      </c>
      <c r="R32" s="849">
        <v>0.0</v>
      </c>
      <c r="S32" s="849">
        <v>0.0</v>
      </c>
      <c r="T32" s="849">
        <v>0.0</v>
      </c>
      <c r="U32" s="849">
        <v>0.0</v>
      </c>
      <c r="V32" s="849">
        <v>0.0</v>
      </c>
      <c r="W32" s="849">
        <v>0.0</v>
      </c>
      <c r="X32" s="849">
        <v>0.0</v>
      </c>
      <c r="Y32" s="849">
        <v>0.0</v>
      </c>
      <c r="Z32" s="849">
        <v>0.0</v>
      </c>
      <c r="AA32" s="849">
        <v>0.0</v>
      </c>
      <c r="AB32" s="849">
        <v>0.0</v>
      </c>
      <c r="AC32" s="849">
        <v>0.0</v>
      </c>
      <c r="AD32" s="849">
        <v>0.0</v>
      </c>
      <c r="AE32" s="849">
        <v>0.0</v>
      </c>
      <c r="AF32" s="849">
        <v>0.0</v>
      </c>
      <c r="AG32" s="849">
        <v>0.0</v>
      </c>
      <c r="AH32" s="849">
        <v>0.0</v>
      </c>
      <c r="AI32" s="849">
        <v>0.0</v>
      </c>
      <c r="AJ32" s="794" t="str">
        <f t="shared" ref="AJ32:AK32" si="61">C32</f>
        <v>G021101</v>
      </c>
      <c r="AK32" s="794" t="str">
        <f t="shared" si="61"/>
        <v>SALAIRES CADRES NEUFS/USA</v>
      </c>
      <c r="AL32" s="794">
        <f t="array" ref="AL32">IFERROR(INDEX(G32:R32,1,MATCH(Parametres!$B$3,G$1:R$1,0)-1)*IF(OR(F32="L",F32="S",F32="I"),-1,1),"")</f>
        <v>0</v>
      </c>
      <c r="AM32" s="794">
        <f t="shared" si="4"/>
        <v>0</v>
      </c>
      <c r="AN32" s="794">
        <f t="array" ref="AN32">INDEX(G32:R32,1,MATCH(Parametres!$B$3,G$1:R$1,0))*IF(OR(F32="L",F32="S",F32="I"),-1,1)</f>
        <v>0</v>
      </c>
      <c r="AO32" s="853" t="str">
        <f>+VLOOKUP($AJ32,Data_Validation!$A:$D,1,0)</f>
        <v>#N/A</v>
      </c>
      <c r="AP32" s="853" t="str">
        <f>+VLOOKUP($AJ32,Data_Validation!$A:$D,3,0)</f>
        <v>#N/A</v>
      </c>
      <c r="AQ32" s="853" t="str">
        <f>+VLOOKUP($AJ32,Data_Validation!$A:$D,4,0)</f>
        <v>#N/A</v>
      </c>
      <c r="AR32" s="853" t="s">
        <v>728</v>
      </c>
      <c r="AS32" s="853" t="str">
        <f>+VLOOKUP($AJ32,Data_Validation!$A:$E,5,0)</f>
        <v>#N/A</v>
      </c>
      <c r="AT32" s="794" t="str">
        <f t="shared" ref="AT32:AU32" si="62">C32</f>
        <v>G021101</v>
      </c>
      <c r="AU32" s="854" t="str">
        <f t="shared" si="62"/>
        <v>SALAIRES CADRES NEUFS/USA</v>
      </c>
      <c r="AV32" s="794">
        <f t="array" ref="AV32">IFERROR(INDEX(V32:AG32,1,MATCH(Parametres!$B$3,V$1:AG$1,0)-1)*IF(OR(C32="L",C32="S",C32="I"),-1,1),"")</f>
        <v>0</v>
      </c>
      <c r="AW32" s="794">
        <f t="shared" si="6"/>
        <v>0</v>
      </c>
      <c r="AX32" s="794">
        <f t="array" ref="AX32">INDEX(V32:AG32,1,MATCH(Parametres!$B$3,V$1:AG$1,0))*IF(OR(C32="L",C32="S",C32="I"),-1,1)</f>
        <v>0</v>
      </c>
      <c r="AY32" s="853" t="s">
        <v>772</v>
      </c>
      <c r="AZ32" s="853" t="str">
        <f>+VLOOKUP($AJ32,Data_Validation!$A:$E,5,0)</f>
        <v>#N/A</v>
      </c>
    </row>
    <row r="33" ht="15.0" customHeight="1">
      <c r="A33" s="849" t="s">
        <v>1239</v>
      </c>
      <c r="B33" s="849">
        <v>2026.0</v>
      </c>
      <c r="C33" s="849" t="s">
        <v>1298</v>
      </c>
      <c r="D33" s="849" t="s">
        <v>1299</v>
      </c>
      <c r="E33" s="849" t="s">
        <v>768</v>
      </c>
      <c r="F33" s="849" t="s">
        <v>1200</v>
      </c>
      <c r="G33" s="849">
        <v>9499.28</v>
      </c>
      <c r="H33" s="849">
        <v>44235.47</v>
      </c>
      <c r="I33" s="849">
        <v>25517.41</v>
      </c>
      <c r="J33" s="849">
        <v>37993.12</v>
      </c>
      <c r="K33" s="849">
        <v>43889.35</v>
      </c>
      <c r="L33" s="849">
        <v>53269.34</v>
      </c>
      <c r="M33" s="849">
        <v>63500.87</v>
      </c>
      <c r="N33" s="849">
        <v>68030.77</v>
      </c>
      <c r="O33" s="849">
        <v>75580.79</v>
      </c>
      <c r="P33" s="849">
        <v>78470.04</v>
      </c>
      <c r="Q33" s="849">
        <v>0.0</v>
      </c>
      <c r="R33" s="849">
        <v>0.0</v>
      </c>
      <c r="S33" s="849">
        <v>8397.87</v>
      </c>
      <c r="T33" s="849">
        <v>8397.87</v>
      </c>
      <c r="U33" s="849">
        <v>0.0</v>
      </c>
      <c r="V33" s="849">
        <v>0.0</v>
      </c>
      <c r="W33" s="849">
        <v>0.0</v>
      </c>
      <c r="X33" s="849">
        <v>0.0</v>
      </c>
      <c r="Y33" s="849">
        <v>0.0</v>
      </c>
      <c r="Z33" s="849">
        <v>0.0</v>
      </c>
      <c r="AA33" s="849">
        <v>0.0</v>
      </c>
      <c r="AB33" s="849">
        <v>0.0</v>
      </c>
      <c r="AC33" s="849">
        <v>0.0</v>
      </c>
      <c r="AD33" s="849">
        <v>0.0</v>
      </c>
      <c r="AE33" s="849">
        <v>0.0</v>
      </c>
      <c r="AF33" s="849">
        <v>0.0</v>
      </c>
      <c r="AG33" s="849">
        <v>0.0</v>
      </c>
      <c r="AH33" s="849">
        <v>0.0</v>
      </c>
      <c r="AI33" s="849">
        <v>0.0</v>
      </c>
      <c r="AJ33" s="794" t="str">
        <f t="shared" ref="AJ33:AK33" si="63">C33</f>
        <v>G0212</v>
      </c>
      <c r="AK33" s="794" t="str">
        <f t="shared" si="63"/>
        <v>RENUM. CADRES-USAGES</v>
      </c>
      <c r="AL33" s="794">
        <f t="array" ref="AL33">IFERROR(INDEX(G33:R33,1,MATCH(Parametres!$B$3,G$1:R$1,0)-1)*IF(OR(F33="L",F33="S",F33="I"),-1,1),"")</f>
        <v>68030.77</v>
      </c>
      <c r="AM33" s="794">
        <f t="shared" si="4"/>
        <v>7550.02</v>
      </c>
      <c r="AN33" s="794">
        <f t="array" ref="AN33">INDEX(G33:R33,1,MATCH(Parametres!$B$3,G$1:R$1,0))*IF(OR(F33="L",F33="S",F33="I"),-1,1)</f>
        <v>75580.79</v>
      </c>
      <c r="AO33" s="853" t="str">
        <f>+VLOOKUP($AJ33,Data_Validation!$A:$D,1,0)</f>
        <v>G0212</v>
      </c>
      <c r="AP33" s="853" t="str">
        <f>+VLOOKUP($AJ33,Data_Validation!$A:$D,3,0)</f>
        <v>Véhicules usagés</v>
      </c>
      <c r="AQ33" s="853" t="str">
        <f>+VLOOKUP($AJ33,Data_Validation!$A:$D,4,0)</f>
        <v>Salaires cadres</v>
      </c>
      <c r="AR33" s="853" t="s">
        <v>728</v>
      </c>
      <c r="AS33" s="853" t="str">
        <f>+VLOOKUP($AJ33,Data_Validation!$A:$E,5,0)</f>
        <v/>
      </c>
      <c r="AT33" s="794" t="str">
        <f t="shared" ref="AT33:AU33" si="64">C33</f>
        <v>G0212</v>
      </c>
      <c r="AU33" s="854" t="str">
        <f t="shared" si="64"/>
        <v>RENUM. CADRES-USAGES</v>
      </c>
      <c r="AV33" s="794">
        <f t="array" ref="AV33">IFERROR(INDEX(V33:AG33,1,MATCH(Parametres!$B$3,V$1:AG$1,0)-1)*IF(OR(C33="L",C33="S",C33="I"),-1,1),"")</f>
        <v>0</v>
      </c>
      <c r="AW33" s="794">
        <f t="shared" si="6"/>
        <v>0</v>
      </c>
      <c r="AX33" s="794">
        <f t="array" ref="AX33">INDEX(V33:AG33,1,MATCH(Parametres!$B$3,V$1:AG$1,0))*IF(OR(C33="L",C33="S",C33="I"),-1,1)</f>
        <v>0</v>
      </c>
      <c r="AY33" s="853" t="s">
        <v>772</v>
      </c>
      <c r="AZ33" s="853" t="str">
        <f>+VLOOKUP($AJ33,Data_Validation!$A:$E,5,0)</f>
        <v/>
      </c>
    </row>
    <row r="34" ht="15.75" customHeight="1">
      <c r="A34" s="849" t="s">
        <v>1239</v>
      </c>
      <c r="B34" s="849">
        <v>2026.0</v>
      </c>
      <c r="C34" s="849" t="s">
        <v>1300</v>
      </c>
      <c r="D34" s="849" t="s">
        <v>1301</v>
      </c>
      <c r="E34" s="849" t="s">
        <v>768</v>
      </c>
      <c r="F34" s="849" t="s">
        <v>1200</v>
      </c>
      <c r="G34" s="849">
        <v>0.0</v>
      </c>
      <c r="H34" s="849">
        <v>3118.35</v>
      </c>
      <c r="I34" s="849">
        <v>-0.01</v>
      </c>
      <c r="J34" s="849">
        <v>-0.01</v>
      </c>
      <c r="K34" s="849">
        <v>69982.66</v>
      </c>
      <c r="L34" s="849">
        <v>78315.99</v>
      </c>
      <c r="M34" s="849">
        <v>77386.6</v>
      </c>
      <c r="N34" s="849">
        <v>70395.07</v>
      </c>
      <c r="O34" s="849">
        <v>74065.87</v>
      </c>
      <c r="P34" s="849">
        <v>74065.87</v>
      </c>
      <c r="Q34" s="849">
        <v>0.0</v>
      </c>
      <c r="R34" s="849">
        <v>0.0</v>
      </c>
      <c r="S34" s="849">
        <v>8229.54</v>
      </c>
      <c r="T34" s="849">
        <v>8229.54</v>
      </c>
      <c r="U34" s="849">
        <v>0.0</v>
      </c>
      <c r="V34" s="849">
        <v>0.0</v>
      </c>
      <c r="W34" s="849">
        <v>0.0</v>
      </c>
      <c r="X34" s="849">
        <v>0.0</v>
      </c>
      <c r="Y34" s="849">
        <v>0.0</v>
      </c>
      <c r="Z34" s="849">
        <v>0.0</v>
      </c>
      <c r="AA34" s="849">
        <v>0.0</v>
      </c>
      <c r="AB34" s="849">
        <v>0.0</v>
      </c>
      <c r="AC34" s="849">
        <v>0.0</v>
      </c>
      <c r="AD34" s="849">
        <v>0.0</v>
      </c>
      <c r="AE34" s="849">
        <v>0.0</v>
      </c>
      <c r="AF34" s="849">
        <v>0.0</v>
      </c>
      <c r="AG34" s="849">
        <v>0.0</v>
      </c>
      <c r="AH34" s="849">
        <v>0.0</v>
      </c>
      <c r="AI34" s="849">
        <v>0.0</v>
      </c>
      <c r="AJ34" s="794" t="str">
        <f t="shared" ref="AJ34:AK34" si="65">C34</f>
        <v>G0213</v>
      </c>
      <c r="AK34" s="794" t="str">
        <f t="shared" si="65"/>
        <v>SALAIRE CADRE U.S.A</v>
      </c>
      <c r="AL34" s="794">
        <f t="array" ref="AL34">IFERROR(INDEX(G34:R34,1,MATCH(Parametres!$B$3,G$1:R$1,0)-1)*IF(OR(F34="L",F34="S",F34="I"),-1,1),"")</f>
        <v>70395.07</v>
      </c>
      <c r="AM34" s="794">
        <f t="shared" si="4"/>
        <v>3670.8</v>
      </c>
      <c r="AN34" s="794">
        <f t="array" ref="AN34">INDEX(G34:R34,1,MATCH(Parametres!$B$3,G$1:R$1,0))*IF(OR(F34="L",F34="S",F34="I"),-1,1)</f>
        <v>74065.87</v>
      </c>
      <c r="AO34" s="853" t="str">
        <f>+VLOOKUP($AJ34,Data_Validation!$A:$D,1,0)</f>
        <v>G0213</v>
      </c>
      <c r="AP34" s="853" t="str">
        <f>+VLOOKUP($AJ34,Data_Validation!$A:$D,3,0)</f>
        <v>Wholesale autres</v>
      </c>
      <c r="AQ34" s="853" t="str">
        <f>+VLOOKUP($AJ34,Data_Validation!$A:$D,4,0)</f>
        <v>Salaires cadres</v>
      </c>
      <c r="AR34" s="853" t="s">
        <v>728</v>
      </c>
      <c r="AS34" s="853" t="str">
        <f>+VLOOKUP($AJ34,Data_Validation!$A:$E,5,0)</f>
        <v/>
      </c>
      <c r="AT34" s="794" t="str">
        <f t="shared" ref="AT34:AU34" si="66">C34</f>
        <v>G0213</v>
      </c>
      <c r="AU34" s="854" t="str">
        <f t="shared" si="66"/>
        <v>SALAIRE CADRE U.S.A</v>
      </c>
      <c r="AV34" s="794">
        <f t="array" ref="AV34">IFERROR(INDEX(V34:AG34,1,MATCH(Parametres!$B$3,V$1:AG$1,0)-1)*IF(OR(C34="L",C34="S",C34="I"),-1,1),"")</f>
        <v>0</v>
      </c>
      <c r="AW34" s="794">
        <f t="shared" si="6"/>
        <v>0</v>
      </c>
      <c r="AX34" s="794">
        <f t="array" ref="AX34">INDEX(V34:AG34,1,MATCH(Parametres!$B$3,V$1:AG$1,0))*IF(OR(C34="L",C34="S",C34="I"),-1,1)</f>
        <v>0</v>
      </c>
      <c r="AY34" s="853" t="s">
        <v>772</v>
      </c>
      <c r="AZ34" s="853" t="str">
        <f>+VLOOKUP($AJ34,Data_Validation!$A:$E,5,0)</f>
        <v/>
      </c>
    </row>
    <row r="35" ht="15.0" customHeight="1">
      <c r="A35" s="849" t="s">
        <v>1239</v>
      </c>
      <c r="B35" s="849">
        <v>2026.0</v>
      </c>
      <c r="C35" s="849" t="s">
        <v>1302</v>
      </c>
      <c r="D35" s="849" t="s">
        <v>1303</v>
      </c>
      <c r="E35" s="849" t="s">
        <v>768</v>
      </c>
      <c r="F35" s="849" t="s">
        <v>1200</v>
      </c>
      <c r="G35" s="849">
        <v>15129.08</v>
      </c>
      <c r="H35" s="849">
        <v>33074.9</v>
      </c>
      <c r="I35" s="849">
        <v>32042.81</v>
      </c>
      <c r="J35" s="849">
        <v>45191.36</v>
      </c>
      <c r="K35" s="849">
        <v>46750.72</v>
      </c>
      <c r="L35" s="849">
        <v>59322.21</v>
      </c>
      <c r="M35" s="849">
        <v>72176.03</v>
      </c>
      <c r="N35" s="849">
        <v>78690.13</v>
      </c>
      <c r="O35" s="849">
        <v>94350.66</v>
      </c>
      <c r="P35" s="849">
        <v>100773.74</v>
      </c>
      <c r="Q35" s="849">
        <v>0.0</v>
      </c>
      <c r="R35" s="849">
        <v>0.0</v>
      </c>
      <c r="S35" s="849">
        <v>10483.41</v>
      </c>
      <c r="T35" s="849">
        <v>10483.41</v>
      </c>
      <c r="U35" s="849">
        <v>0.0</v>
      </c>
      <c r="V35" s="849">
        <v>0.0</v>
      </c>
      <c r="W35" s="849">
        <v>0.0</v>
      </c>
      <c r="X35" s="849">
        <v>0.0</v>
      </c>
      <c r="Y35" s="849">
        <v>0.0</v>
      </c>
      <c r="Z35" s="849">
        <v>0.0</v>
      </c>
      <c r="AA35" s="849">
        <v>0.0</v>
      </c>
      <c r="AB35" s="849">
        <v>0.0</v>
      </c>
      <c r="AC35" s="849">
        <v>0.0</v>
      </c>
      <c r="AD35" s="849">
        <v>0.0</v>
      </c>
      <c r="AE35" s="849">
        <v>0.0</v>
      </c>
      <c r="AF35" s="849">
        <v>0.0</v>
      </c>
      <c r="AG35" s="849">
        <v>0.0</v>
      </c>
      <c r="AH35" s="849">
        <v>0.0</v>
      </c>
      <c r="AI35" s="849">
        <v>0.0</v>
      </c>
      <c r="AJ35" s="794" t="str">
        <f t="shared" ref="AJ35:AK35" si="67">C35</f>
        <v>G0214</v>
      </c>
      <c r="AK35" s="794" t="str">
        <f t="shared" si="67"/>
        <v>SALAIRES CADRES SERV.</v>
      </c>
      <c r="AL35" s="794">
        <f t="array" ref="AL35">IFERROR(INDEX(G35:R35,1,MATCH(Parametres!$B$3,G$1:R$1,0)-1)*IF(OR(F35="L",F35="S",F35="I"),-1,1),"")</f>
        <v>78690.13</v>
      </c>
      <c r="AM35" s="794">
        <f t="shared" si="4"/>
        <v>15660.53</v>
      </c>
      <c r="AN35" s="794">
        <f t="array" ref="AN35">INDEX(G35:R35,1,MATCH(Parametres!$B$3,G$1:R$1,0))*IF(OR(F35="L",F35="S",F35="I"),-1,1)</f>
        <v>94350.66</v>
      </c>
      <c r="AO35" s="853" t="str">
        <f>+VLOOKUP($AJ35,Data_Validation!$A:$D,1,0)</f>
        <v>G0214</v>
      </c>
      <c r="AP35" s="853" t="str">
        <f>+VLOOKUP($AJ35,Data_Validation!$A:$D,3,0)</f>
        <v>Service</v>
      </c>
      <c r="AQ35" s="853" t="str">
        <f>+VLOOKUP($AJ35,Data_Validation!$A:$D,4,0)</f>
        <v>Salaires cadres</v>
      </c>
      <c r="AR35" s="853" t="s">
        <v>728</v>
      </c>
      <c r="AS35" s="853" t="str">
        <f>+VLOOKUP($AJ35,Data_Validation!$A:$E,5,0)</f>
        <v/>
      </c>
      <c r="AT35" s="794" t="str">
        <f t="shared" ref="AT35:AU35" si="68">C35</f>
        <v>G0214</v>
      </c>
      <c r="AU35" s="854" t="str">
        <f t="shared" si="68"/>
        <v>SALAIRES CADRES SERV.</v>
      </c>
      <c r="AV35" s="794">
        <f t="array" ref="AV35">IFERROR(INDEX(V35:AG35,1,MATCH(Parametres!$B$3,V$1:AG$1,0)-1)*IF(OR(C35="L",C35="S",C35="I"),-1,1),"")</f>
        <v>0</v>
      </c>
      <c r="AW35" s="794">
        <f t="shared" si="6"/>
        <v>0</v>
      </c>
      <c r="AX35" s="794">
        <f t="array" ref="AX35">INDEX(V35:AG35,1,MATCH(Parametres!$B$3,V$1:AG$1,0))*IF(OR(C35="L",C35="S",C35="I"),-1,1)</f>
        <v>0</v>
      </c>
      <c r="AY35" s="853" t="s">
        <v>772</v>
      </c>
      <c r="AZ35" s="853" t="str">
        <f>+VLOOKUP($AJ35,Data_Validation!$A:$E,5,0)</f>
        <v/>
      </c>
    </row>
    <row r="36" ht="15.0" customHeight="1">
      <c r="A36" s="849" t="s">
        <v>1239</v>
      </c>
      <c r="B36" s="849">
        <v>2026.0</v>
      </c>
      <c r="C36" s="849" t="s">
        <v>1304</v>
      </c>
      <c r="D36" s="849" t="s">
        <v>1305</v>
      </c>
      <c r="E36" s="849" t="s">
        <v>768</v>
      </c>
      <c r="F36" s="849" t="s">
        <v>1200</v>
      </c>
      <c r="G36" s="849">
        <v>8922.17</v>
      </c>
      <c r="H36" s="849">
        <v>17465.38</v>
      </c>
      <c r="I36" s="849">
        <v>22001.43</v>
      </c>
      <c r="J36" s="849">
        <v>30199.13</v>
      </c>
      <c r="K36" s="849">
        <v>37948.72</v>
      </c>
      <c r="L36" s="849">
        <v>50127.83</v>
      </c>
      <c r="M36" s="849">
        <v>61202.82</v>
      </c>
      <c r="N36" s="849">
        <v>75708.2</v>
      </c>
      <c r="O36" s="849">
        <v>89791.23</v>
      </c>
      <c r="P36" s="849">
        <v>95945.09</v>
      </c>
      <c r="Q36" s="849">
        <v>0.0</v>
      </c>
      <c r="R36" s="849">
        <v>0.0</v>
      </c>
      <c r="S36" s="849">
        <v>9976.8</v>
      </c>
      <c r="T36" s="849">
        <v>9976.8</v>
      </c>
      <c r="U36" s="849">
        <v>0.0</v>
      </c>
      <c r="V36" s="849">
        <v>0.0</v>
      </c>
      <c r="W36" s="849">
        <v>0.0</v>
      </c>
      <c r="X36" s="849">
        <v>0.0</v>
      </c>
      <c r="Y36" s="849">
        <v>0.0</v>
      </c>
      <c r="Z36" s="849">
        <v>0.0</v>
      </c>
      <c r="AA36" s="849">
        <v>0.0</v>
      </c>
      <c r="AB36" s="849">
        <v>0.0</v>
      </c>
      <c r="AC36" s="849">
        <v>0.0</v>
      </c>
      <c r="AD36" s="849">
        <v>0.0</v>
      </c>
      <c r="AE36" s="849">
        <v>0.0</v>
      </c>
      <c r="AF36" s="849">
        <v>0.0</v>
      </c>
      <c r="AG36" s="849">
        <v>0.0</v>
      </c>
      <c r="AH36" s="849">
        <v>0.0</v>
      </c>
      <c r="AI36" s="849">
        <v>0.0</v>
      </c>
      <c r="AJ36" s="794" t="str">
        <f t="shared" ref="AJ36:AK36" si="69">C36</f>
        <v>G0215</v>
      </c>
      <c r="AK36" s="794" t="str">
        <f t="shared" si="69"/>
        <v>RENUM. CADRES-CARROSSERIE</v>
      </c>
      <c r="AL36" s="794">
        <f t="array" ref="AL36">IFERROR(INDEX(G36:R36,1,MATCH(Parametres!$B$3,G$1:R$1,0)-1)*IF(OR(F36="L",F36="S",F36="I"),-1,1),"")</f>
        <v>75708.2</v>
      </c>
      <c r="AM36" s="794">
        <f t="shared" si="4"/>
        <v>14083.03</v>
      </c>
      <c r="AN36" s="794">
        <f t="array" ref="AN36">INDEX(G36:R36,1,MATCH(Parametres!$B$3,G$1:R$1,0))*IF(OR(F36="L",F36="S",F36="I"),-1,1)</f>
        <v>89791.23</v>
      </c>
      <c r="AO36" s="853" t="str">
        <f>+VLOOKUP($AJ36,Data_Validation!$A:$D,1,0)</f>
        <v>G0215</v>
      </c>
      <c r="AP36" s="853" t="str">
        <f>+VLOOKUP($AJ36,Data_Validation!$A:$D,3,0)</f>
        <v>Carrosserie</v>
      </c>
      <c r="AQ36" s="853" t="str">
        <f>+VLOOKUP($AJ36,Data_Validation!$A:$D,4,0)</f>
        <v>Salaires cadres</v>
      </c>
      <c r="AR36" s="853" t="s">
        <v>728</v>
      </c>
      <c r="AS36" s="853" t="str">
        <f>+VLOOKUP($AJ36,Data_Validation!$A:$E,5,0)</f>
        <v/>
      </c>
      <c r="AT36" s="794" t="str">
        <f t="shared" ref="AT36:AU36" si="70">C36</f>
        <v>G0215</v>
      </c>
      <c r="AU36" s="854" t="str">
        <f t="shared" si="70"/>
        <v>RENUM. CADRES-CARROSSERIE</v>
      </c>
      <c r="AV36" s="794">
        <f t="array" ref="AV36">IFERROR(INDEX(V36:AG36,1,MATCH(Parametres!$B$3,V$1:AG$1,0)-1)*IF(OR(C36="L",C36="S",C36="I"),-1,1),"")</f>
        <v>0</v>
      </c>
      <c r="AW36" s="794">
        <f t="shared" si="6"/>
        <v>0</v>
      </c>
      <c r="AX36" s="794">
        <f t="array" ref="AX36">INDEX(V36:AG36,1,MATCH(Parametres!$B$3,V$1:AG$1,0))*IF(OR(C36="L",C36="S",C36="I"),-1,1)</f>
        <v>0</v>
      </c>
      <c r="AY36" s="853" t="s">
        <v>772</v>
      </c>
      <c r="AZ36" s="853" t="str">
        <f>+VLOOKUP($AJ36,Data_Validation!$A:$E,5,0)</f>
        <v/>
      </c>
    </row>
    <row r="37" ht="15.0" customHeight="1">
      <c r="A37" s="849" t="s">
        <v>1239</v>
      </c>
      <c r="B37" s="849">
        <v>2026.0</v>
      </c>
      <c r="C37" s="849" t="s">
        <v>1306</v>
      </c>
      <c r="D37" s="849" t="s">
        <v>1307</v>
      </c>
      <c r="E37" s="849" t="s">
        <v>768</v>
      </c>
      <c r="F37" s="849" t="s">
        <v>1200</v>
      </c>
      <c r="G37" s="849">
        <v>2416.39</v>
      </c>
      <c r="H37" s="849">
        <v>4421.17</v>
      </c>
      <c r="I37" s="849">
        <v>1764.91</v>
      </c>
      <c r="J37" s="849">
        <v>3097.24</v>
      </c>
      <c r="K37" s="849">
        <v>4308.37</v>
      </c>
      <c r="L37" s="849">
        <v>10128.52</v>
      </c>
      <c r="M37" s="849">
        <v>16880.01</v>
      </c>
      <c r="N37" s="849">
        <v>24814.35</v>
      </c>
      <c r="O37" s="849">
        <v>31865.73</v>
      </c>
      <c r="P37" s="849">
        <v>34665.73</v>
      </c>
      <c r="Q37" s="849">
        <v>0.0</v>
      </c>
      <c r="R37" s="849">
        <v>0.0</v>
      </c>
      <c r="S37" s="849">
        <v>3540.64</v>
      </c>
      <c r="T37" s="849">
        <v>3540.64</v>
      </c>
      <c r="U37" s="849">
        <v>0.0</v>
      </c>
      <c r="V37" s="849">
        <v>0.0</v>
      </c>
      <c r="W37" s="849">
        <v>0.0</v>
      </c>
      <c r="X37" s="849">
        <v>0.0</v>
      </c>
      <c r="Y37" s="849">
        <v>0.0</v>
      </c>
      <c r="Z37" s="849">
        <v>0.0</v>
      </c>
      <c r="AA37" s="849">
        <v>0.0</v>
      </c>
      <c r="AB37" s="849">
        <v>0.0</v>
      </c>
      <c r="AC37" s="849">
        <v>0.0</v>
      </c>
      <c r="AD37" s="849">
        <v>0.0</v>
      </c>
      <c r="AE37" s="849">
        <v>0.0</v>
      </c>
      <c r="AF37" s="849">
        <v>0.0</v>
      </c>
      <c r="AG37" s="849">
        <v>0.0</v>
      </c>
      <c r="AH37" s="849">
        <v>0.0</v>
      </c>
      <c r="AI37" s="849">
        <v>0.0</v>
      </c>
      <c r="AJ37" s="794" t="str">
        <f t="shared" ref="AJ37:AK37" si="71">C37</f>
        <v>G0216</v>
      </c>
      <c r="AK37" s="794" t="str">
        <f t="shared" si="71"/>
        <v>SALAIRES CADRES-PCES</v>
      </c>
      <c r="AL37" s="794">
        <f t="array" ref="AL37">IFERROR(INDEX(G37:R37,1,MATCH(Parametres!$B$3,G$1:R$1,0)-1)*IF(OR(F37="L",F37="S",F37="I"),-1,1),"")</f>
        <v>24814.35</v>
      </c>
      <c r="AM37" s="794">
        <f t="shared" si="4"/>
        <v>7051.38</v>
      </c>
      <c r="AN37" s="794">
        <f t="array" ref="AN37">INDEX(G37:R37,1,MATCH(Parametres!$B$3,G$1:R$1,0))*IF(OR(F37="L",F37="S",F37="I"),-1,1)</f>
        <v>31865.73</v>
      </c>
      <c r="AO37" s="853" t="str">
        <f>+VLOOKUP($AJ37,Data_Validation!$A:$D,1,0)</f>
        <v>G0216</v>
      </c>
      <c r="AP37" s="853" t="str">
        <f>+VLOOKUP($AJ37,Data_Validation!$A:$D,3,0)</f>
        <v>Pièces</v>
      </c>
      <c r="AQ37" s="853" t="str">
        <f>+VLOOKUP($AJ37,Data_Validation!$A:$D,4,0)</f>
        <v>Salaires cadres</v>
      </c>
      <c r="AR37" s="853" t="s">
        <v>728</v>
      </c>
      <c r="AS37" s="853" t="str">
        <f>+VLOOKUP($AJ37,Data_Validation!$A:$E,5,0)</f>
        <v/>
      </c>
      <c r="AT37" s="794" t="str">
        <f t="shared" ref="AT37:AU37" si="72">C37</f>
        <v>G0216</v>
      </c>
      <c r="AU37" s="854" t="str">
        <f t="shared" si="72"/>
        <v>SALAIRES CADRES-PCES</v>
      </c>
      <c r="AV37" s="794">
        <f t="array" ref="AV37">IFERROR(INDEX(V37:AG37,1,MATCH(Parametres!$B$3,V$1:AG$1,0)-1)*IF(OR(C37="L",C37="S",C37="I"),-1,1),"")</f>
        <v>0</v>
      </c>
      <c r="AW37" s="794">
        <f t="shared" si="6"/>
        <v>0</v>
      </c>
      <c r="AX37" s="794">
        <f t="array" ref="AX37">INDEX(V37:AG37,1,MATCH(Parametres!$B$3,V$1:AG$1,0))*IF(OR(C37="L",C37="S",C37="I"),-1,1)</f>
        <v>0</v>
      </c>
      <c r="AY37" s="853" t="s">
        <v>772</v>
      </c>
      <c r="AZ37" s="853" t="str">
        <f>+VLOOKUP($AJ37,Data_Validation!$A:$E,5,0)</f>
        <v/>
      </c>
    </row>
    <row r="38" ht="15.0" customHeight="1">
      <c r="A38" s="849" t="s">
        <v>1239</v>
      </c>
      <c r="B38" s="849">
        <v>2026.0</v>
      </c>
      <c r="C38" s="849" t="s">
        <v>1308</v>
      </c>
      <c r="D38" s="849" t="s">
        <v>1309</v>
      </c>
      <c r="E38" s="849" t="s">
        <v>768</v>
      </c>
      <c r="F38" s="849" t="s">
        <v>1200</v>
      </c>
      <c r="G38" s="849">
        <v>0.0</v>
      </c>
      <c r="H38" s="849">
        <v>0.0</v>
      </c>
      <c r="I38" s="849">
        <v>0.0</v>
      </c>
      <c r="J38" s="849">
        <v>0.0</v>
      </c>
      <c r="K38" s="849">
        <v>0.0</v>
      </c>
      <c r="L38" s="849">
        <v>1560.0</v>
      </c>
      <c r="M38" s="849">
        <v>2100.0</v>
      </c>
      <c r="N38" s="849">
        <v>2100.0</v>
      </c>
      <c r="O38" s="849">
        <v>2100.0</v>
      </c>
      <c r="P38" s="849">
        <v>2100.0</v>
      </c>
      <c r="Q38" s="849">
        <v>0.0</v>
      </c>
      <c r="R38" s="849">
        <v>0.0</v>
      </c>
      <c r="S38" s="849">
        <v>233.33</v>
      </c>
      <c r="T38" s="849">
        <v>233.33</v>
      </c>
      <c r="U38" s="849">
        <v>0.0</v>
      </c>
      <c r="V38" s="849">
        <v>0.0</v>
      </c>
      <c r="W38" s="849">
        <v>0.0</v>
      </c>
      <c r="X38" s="849">
        <v>0.0</v>
      </c>
      <c r="Y38" s="849">
        <v>0.0</v>
      </c>
      <c r="Z38" s="849">
        <v>0.0</v>
      </c>
      <c r="AA38" s="849">
        <v>0.0</v>
      </c>
      <c r="AB38" s="849">
        <v>0.0</v>
      </c>
      <c r="AC38" s="849">
        <v>0.0</v>
      </c>
      <c r="AD38" s="849">
        <v>0.0</v>
      </c>
      <c r="AE38" s="849">
        <v>0.0</v>
      </c>
      <c r="AF38" s="849">
        <v>0.0</v>
      </c>
      <c r="AG38" s="849">
        <v>0.0</v>
      </c>
      <c r="AH38" s="849">
        <v>0.0</v>
      </c>
      <c r="AI38" s="849">
        <v>0.0</v>
      </c>
      <c r="AJ38" s="794" t="str">
        <f t="shared" ref="AJ38:AK38" si="73">C38</f>
        <v>G0217</v>
      </c>
      <c r="AK38" s="794" t="str">
        <f t="shared" si="73"/>
        <v>RENUM. CADRES- SAAQ</v>
      </c>
      <c r="AL38" s="794">
        <f t="array" ref="AL38">IFERROR(INDEX(G38:R38,1,MATCH(Parametres!$B$3,G$1:R$1,0)-1)*IF(OR(F38="L",F38="S",F38="I"),-1,1),"")</f>
        <v>2100</v>
      </c>
      <c r="AM38" s="794">
        <f t="shared" si="4"/>
        <v>0</v>
      </c>
      <c r="AN38" s="794">
        <f t="array" ref="AN38">INDEX(G38:R38,1,MATCH(Parametres!$B$3,G$1:R$1,0))*IF(OR(F38="L",F38="S",F38="I"),-1,1)</f>
        <v>2100</v>
      </c>
      <c r="AO38" s="853" t="str">
        <f>+VLOOKUP($AJ38,Data_Validation!$A:$D,1,0)</f>
        <v>G0217</v>
      </c>
      <c r="AP38" s="853" t="str">
        <f>+VLOOKUP($AJ38,Data_Validation!$A:$D,3,0)</f>
        <v>SAAQ</v>
      </c>
      <c r="AQ38" s="853" t="str">
        <f>+VLOOKUP($AJ38,Data_Validation!$A:$D,4,0)</f>
        <v>Salaires cadres</v>
      </c>
      <c r="AR38" s="853" t="s">
        <v>728</v>
      </c>
      <c r="AS38" s="853" t="str">
        <f>+VLOOKUP($AJ38,Data_Validation!$A:$E,5,0)</f>
        <v/>
      </c>
      <c r="AT38" s="794" t="str">
        <f t="shared" ref="AT38:AU38" si="74">C38</f>
        <v>G0217</v>
      </c>
      <c r="AU38" s="854" t="str">
        <f t="shared" si="74"/>
        <v>RENUM. CADRES- SAAQ</v>
      </c>
      <c r="AV38" s="794">
        <f t="array" ref="AV38">IFERROR(INDEX(V38:AG38,1,MATCH(Parametres!$B$3,V$1:AG$1,0)-1)*IF(OR(C38="L",C38="S",C38="I"),-1,1),"")</f>
        <v>0</v>
      </c>
      <c r="AW38" s="794">
        <f t="shared" si="6"/>
        <v>0</v>
      </c>
      <c r="AX38" s="794">
        <f t="array" ref="AX38">INDEX(V38:AG38,1,MATCH(Parametres!$B$3,V$1:AG$1,0))*IF(OR(C38="L",C38="S",C38="I"),-1,1)</f>
        <v>0</v>
      </c>
      <c r="AY38" s="853" t="s">
        <v>772</v>
      </c>
      <c r="AZ38" s="853" t="str">
        <f>+VLOOKUP($AJ38,Data_Validation!$A:$E,5,0)</f>
        <v/>
      </c>
    </row>
    <row r="39" ht="15.0" customHeight="1">
      <c r="A39" s="849" t="s">
        <v>1239</v>
      </c>
      <c r="B39" s="849">
        <v>2026.0</v>
      </c>
      <c r="C39" s="849" t="s">
        <v>1310</v>
      </c>
      <c r="D39" s="849" t="s">
        <v>1311</v>
      </c>
      <c r="E39" s="849" t="s">
        <v>768</v>
      </c>
      <c r="F39" s="849" t="s">
        <v>1200</v>
      </c>
      <c r="G39" s="849">
        <v>0.0</v>
      </c>
      <c r="H39" s="849">
        <v>0.0</v>
      </c>
      <c r="I39" s="849">
        <v>0.0</v>
      </c>
      <c r="J39" s="849">
        <v>0.0</v>
      </c>
      <c r="K39" s="849">
        <v>0.0</v>
      </c>
      <c r="L39" s="849">
        <v>0.0</v>
      </c>
      <c r="M39" s="849">
        <v>0.0</v>
      </c>
      <c r="N39" s="849">
        <v>0.0</v>
      </c>
      <c r="O39" s="849">
        <v>0.0</v>
      </c>
      <c r="P39" s="849">
        <v>0.0</v>
      </c>
      <c r="Q39" s="849">
        <v>0.0</v>
      </c>
      <c r="R39" s="849">
        <v>0.0</v>
      </c>
      <c r="S39" s="849">
        <v>0.0</v>
      </c>
      <c r="T39" s="849">
        <v>0.0</v>
      </c>
      <c r="U39" s="849">
        <v>0.0</v>
      </c>
      <c r="V39" s="849">
        <v>0.0</v>
      </c>
      <c r="W39" s="849">
        <v>0.0</v>
      </c>
      <c r="X39" s="849">
        <v>0.0</v>
      </c>
      <c r="Y39" s="849">
        <v>0.0</v>
      </c>
      <c r="Z39" s="849">
        <v>0.0</v>
      </c>
      <c r="AA39" s="849">
        <v>0.0</v>
      </c>
      <c r="AB39" s="849">
        <v>0.0</v>
      </c>
      <c r="AC39" s="849">
        <v>0.0</v>
      </c>
      <c r="AD39" s="849">
        <v>0.0</v>
      </c>
      <c r="AE39" s="849">
        <v>0.0</v>
      </c>
      <c r="AF39" s="849">
        <v>0.0</v>
      </c>
      <c r="AG39" s="849">
        <v>0.0</v>
      </c>
      <c r="AH39" s="849">
        <v>0.0</v>
      </c>
      <c r="AI39" s="849">
        <v>0.0</v>
      </c>
      <c r="AJ39" s="794" t="str">
        <f t="shared" ref="AJ39:AK39" si="75">C39</f>
        <v>G0220</v>
      </c>
      <c r="AK39" s="794" t="str">
        <f t="shared" si="75"/>
        <v>SALAIRE BUREAU REP.</v>
      </c>
      <c r="AL39" s="794">
        <f t="array" ref="AL39">IFERROR(INDEX(G39:R39,1,MATCH(Parametres!$B$3,G$1:R$1,0)-1)*IF(OR(F39="L",F39="S",F39="I"),-1,1),"")</f>
        <v>0</v>
      </c>
      <c r="AM39" s="794">
        <f t="shared" si="4"/>
        <v>0</v>
      </c>
      <c r="AN39" s="794">
        <f t="array" ref="AN39">INDEX(G39:R39,1,MATCH(Parametres!$B$3,G$1:R$1,0))*IF(OR(F39="L",F39="S",F39="I"),-1,1)</f>
        <v>0</v>
      </c>
      <c r="AO39" s="853" t="str">
        <f>+VLOOKUP($AJ39,Data_Validation!$A:$D,1,0)</f>
        <v>#N/A</v>
      </c>
      <c r="AP39" s="853" t="str">
        <f>+VLOOKUP($AJ39,Data_Validation!$A:$D,3,0)</f>
        <v>#N/A</v>
      </c>
      <c r="AQ39" s="853" t="str">
        <f>+VLOOKUP($AJ39,Data_Validation!$A:$D,4,0)</f>
        <v>#N/A</v>
      </c>
      <c r="AR39" s="853" t="s">
        <v>728</v>
      </c>
      <c r="AS39" s="853" t="str">
        <f>+VLOOKUP($AJ39,Data_Validation!$A:$E,5,0)</f>
        <v>#N/A</v>
      </c>
      <c r="AT39" s="794" t="str">
        <f t="shared" ref="AT39:AU39" si="76">C39</f>
        <v>G0220</v>
      </c>
      <c r="AU39" s="854" t="str">
        <f t="shared" si="76"/>
        <v>SALAIRE BUREAU REP.</v>
      </c>
      <c r="AV39" s="794">
        <f t="array" ref="AV39">IFERROR(INDEX(V39:AG39,1,MATCH(Parametres!$B$3,V$1:AG$1,0)-1)*IF(OR(C39="L",C39="S",C39="I"),-1,1),"")</f>
        <v>0</v>
      </c>
      <c r="AW39" s="794">
        <f t="shared" si="6"/>
        <v>0</v>
      </c>
      <c r="AX39" s="794">
        <f t="array" ref="AX39">INDEX(V39:AG39,1,MATCH(Parametres!$B$3,V$1:AG$1,0))*IF(OR(C39="L",C39="S",C39="I"),-1,1)</f>
        <v>0</v>
      </c>
      <c r="AY39" s="853" t="s">
        <v>772</v>
      </c>
      <c r="AZ39" s="853" t="str">
        <f>+VLOOKUP($AJ39,Data_Validation!$A:$E,5,0)</f>
        <v>#N/A</v>
      </c>
    </row>
    <row r="40" ht="15.75" customHeight="1">
      <c r="A40" s="849" t="s">
        <v>1239</v>
      </c>
      <c r="B40" s="849">
        <v>2026.0</v>
      </c>
      <c r="C40" s="849" t="s">
        <v>1312</v>
      </c>
      <c r="D40" s="849" t="s">
        <v>1313</v>
      </c>
      <c r="E40" s="849" t="s">
        <v>768</v>
      </c>
      <c r="F40" s="849" t="s">
        <v>1200</v>
      </c>
      <c r="G40" s="849">
        <v>0.0</v>
      </c>
      <c r="H40" s="849">
        <v>0.0</v>
      </c>
      <c r="I40" s="849">
        <v>0.0</v>
      </c>
      <c r="J40" s="849">
        <v>0.0</v>
      </c>
      <c r="K40" s="849">
        <v>0.0</v>
      </c>
      <c r="L40" s="849">
        <v>0.0</v>
      </c>
      <c r="M40" s="849">
        <v>0.0</v>
      </c>
      <c r="N40" s="849">
        <v>0.0</v>
      </c>
      <c r="O40" s="849">
        <v>0.0</v>
      </c>
      <c r="P40" s="849">
        <v>0.0</v>
      </c>
      <c r="Q40" s="849">
        <v>0.0</v>
      </c>
      <c r="R40" s="849">
        <v>0.0</v>
      </c>
      <c r="S40" s="849">
        <v>0.0</v>
      </c>
      <c r="T40" s="849">
        <v>0.0</v>
      </c>
      <c r="U40" s="849">
        <v>0.0</v>
      </c>
      <c r="V40" s="849">
        <v>0.0</v>
      </c>
      <c r="W40" s="849">
        <v>0.0</v>
      </c>
      <c r="X40" s="849">
        <v>0.0</v>
      </c>
      <c r="Y40" s="849">
        <v>0.0</v>
      </c>
      <c r="Z40" s="849">
        <v>0.0</v>
      </c>
      <c r="AA40" s="849">
        <v>0.0</v>
      </c>
      <c r="AB40" s="849">
        <v>0.0</v>
      </c>
      <c r="AC40" s="849">
        <v>0.0</v>
      </c>
      <c r="AD40" s="849">
        <v>0.0</v>
      </c>
      <c r="AE40" s="849">
        <v>0.0</v>
      </c>
      <c r="AF40" s="849">
        <v>0.0</v>
      </c>
      <c r="AG40" s="849">
        <v>0.0</v>
      </c>
      <c r="AH40" s="849">
        <v>0.0</v>
      </c>
      <c r="AI40" s="849">
        <v>0.0</v>
      </c>
      <c r="AJ40" s="794" t="str">
        <f t="shared" ref="AJ40:AK40" si="77">C40</f>
        <v>G02201</v>
      </c>
      <c r="AK40" s="794" t="str">
        <f t="shared" si="77"/>
        <v>SALAIRES BUREAU NEUF/USAG</v>
      </c>
      <c r="AL40" s="794">
        <f t="array" ref="AL40">IFERROR(INDEX(G40:R40,1,MATCH(Parametres!$B$3,G$1:R$1,0)-1)*IF(OR(F40="L",F40="S",F40="I"),-1,1),"")</f>
        <v>0</v>
      </c>
      <c r="AM40" s="794">
        <f t="shared" si="4"/>
        <v>0</v>
      </c>
      <c r="AN40" s="794">
        <f t="array" ref="AN40">INDEX(G40:R40,1,MATCH(Parametres!$B$3,G$1:R$1,0))*IF(OR(F40="L",F40="S",F40="I"),-1,1)</f>
        <v>0</v>
      </c>
      <c r="AO40" s="853" t="str">
        <f>+VLOOKUP($AJ40,Data_Validation!$A:$D,1,0)</f>
        <v>#N/A</v>
      </c>
      <c r="AP40" s="853" t="str">
        <f>+VLOOKUP($AJ40,Data_Validation!$A:$D,3,0)</f>
        <v>#N/A</v>
      </c>
      <c r="AQ40" s="853" t="str">
        <f>+VLOOKUP($AJ40,Data_Validation!$A:$D,4,0)</f>
        <v>#N/A</v>
      </c>
      <c r="AR40" s="853" t="s">
        <v>728</v>
      </c>
      <c r="AS40" s="853" t="str">
        <f>+VLOOKUP($AJ40,Data_Validation!$A:$E,5,0)</f>
        <v>#N/A</v>
      </c>
      <c r="AT40" s="794" t="str">
        <f t="shared" ref="AT40:AU40" si="78">C40</f>
        <v>G02201</v>
      </c>
      <c r="AU40" s="854" t="str">
        <f t="shared" si="78"/>
        <v>SALAIRES BUREAU NEUF/USAG</v>
      </c>
      <c r="AV40" s="794">
        <f t="array" ref="AV40">IFERROR(INDEX(V40:AG40,1,MATCH(Parametres!$B$3,V$1:AG$1,0)-1)*IF(OR(C40="L",C40="S",C40="I"),-1,1),"")</f>
        <v>0</v>
      </c>
      <c r="AW40" s="794">
        <f t="shared" si="6"/>
        <v>0</v>
      </c>
      <c r="AX40" s="794">
        <f t="array" ref="AX40">INDEX(V40:AG40,1,MATCH(Parametres!$B$3,V$1:AG$1,0))*IF(OR(C40="L",C40="S",C40="I"),-1,1)</f>
        <v>0</v>
      </c>
      <c r="AY40" s="853" t="s">
        <v>772</v>
      </c>
      <c r="AZ40" s="853" t="str">
        <f>+VLOOKUP($AJ40,Data_Validation!$A:$E,5,0)</f>
        <v>#N/A</v>
      </c>
    </row>
    <row r="41" ht="15.0" customHeight="1">
      <c r="A41" s="849" t="s">
        <v>1239</v>
      </c>
      <c r="B41" s="849">
        <v>2026.0</v>
      </c>
      <c r="C41" s="849" t="s">
        <v>1314</v>
      </c>
      <c r="D41" s="849" t="s">
        <v>1315</v>
      </c>
      <c r="E41" s="849" t="s">
        <v>768</v>
      </c>
      <c r="F41" s="849" t="s">
        <v>1200</v>
      </c>
      <c r="G41" s="849">
        <v>28874.27</v>
      </c>
      <c r="H41" s="849">
        <v>54711.7</v>
      </c>
      <c r="I41" s="849">
        <v>79252.89</v>
      </c>
      <c r="J41" s="849">
        <v>103857.23</v>
      </c>
      <c r="K41" s="849">
        <v>126875.56</v>
      </c>
      <c r="L41" s="849">
        <v>137663.75</v>
      </c>
      <c r="M41" s="849">
        <v>147893.02</v>
      </c>
      <c r="N41" s="849">
        <v>156469.21</v>
      </c>
      <c r="O41" s="849">
        <v>166264.44</v>
      </c>
      <c r="P41" s="849">
        <v>171451.72</v>
      </c>
      <c r="Q41" s="849">
        <v>0.0</v>
      </c>
      <c r="R41" s="849">
        <v>0.0</v>
      </c>
      <c r="S41" s="849">
        <v>18473.83</v>
      </c>
      <c r="T41" s="849">
        <v>18473.83</v>
      </c>
      <c r="U41" s="849">
        <v>0.0</v>
      </c>
      <c r="V41" s="849">
        <v>0.0</v>
      </c>
      <c r="W41" s="849">
        <v>0.0</v>
      </c>
      <c r="X41" s="849">
        <v>0.0</v>
      </c>
      <c r="Y41" s="849">
        <v>0.0</v>
      </c>
      <c r="Z41" s="849">
        <v>0.0</v>
      </c>
      <c r="AA41" s="849">
        <v>0.0</v>
      </c>
      <c r="AB41" s="849">
        <v>0.0</v>
      </c>
      <c r="AC41" s="849">
        <v>0.0</v>
      </c>
      <c r="AD41" s="849">
        <v>0.0</v>
      </c>
      <c r="AE41" s="849">
        <v>0.0</v>
      </c>
      <c r="AF41" s="849">
        <v>0.0</v>
      </c>
      <c r="AG41" s="849">
        <v>0.0</v>
      </c>
      <c r="AH41" s="849">
        <v>0.0</v>
      </c>
      <c r="AI41" s="849">
        <v>0.0</v>
      </c>
      <c r="AJ41" s="794" t="str">
        <f t="shared" ref="AJ41:AK41" si="79">C41</f>
        <v>G0221</v>
      </c>
      <c r="AK41" s="794" t="str">
        <f t="shared" si="79"/>
        <v>SALAIRES BUREAU NEUFS</v>
      </c>
      <c r="AL41" s="794">
        <f t="array" ref="AL41">IFERROR(INDEX(G41:R41,1,MATCH(Parametres!$B$3,G$1:R$1,0)-1)*IF(OR(F41="L",F41="S",F41="I"),-1,1),"")</f>
        <v>156469.21</v>
      </c>
      <c r="AM41" s="794">
        <f t="shared" si="4"/>
        <v>9795.23</v>
      </c>
      <c r="AN41" s="794">
        <f t="array" ref="AN41">INDEX(G41:R41,1,MATCH(Parametres!$B$3,G$1:R$1,0))*IF(OR(F41="L",F41="S",F41="I"),-1,1)</f>
        <v>166264.44</v>
      </c>
      <c r="AO41" s="853" t="str">
        <f>+VLOOKUP($AJ41,Data_Validation!$A:$D,1,0)</f>
        <v>G0221</v>
      </c>
      <c r="AP41" s="853" t="str">
        <f>+VLOOKUP($AJ41,Data_Validation!$A:$D,3,0)</f>
        <v>Véhicules neufs</v>
      </c>
      <c r="AQ41" s="853" t="str">
        <f>+VLOOKUP($AJ41,Data_Validation!$A:$D,4,0)</f>
        <v>Salaires commis</v>
      </c>
      <c r="AR41" s="853" t="s">
        <v>728</v>
      </c>
      <c r="AS41" s="853" t="str">
        <f>+VLOOKUP($AJ41,Data_Validation!$A:$E,5,0)</f>
        <v/>
      </c>
      <c r="AT41" s="794" t="str">
        <f t="shared" ref="AT41:AU41" si="80">C41</f>
        <v>G0221</v>
      </c>
      <c r="AU41" s="854" t="str">
        <f t="shared" si="80"/>
        <v>SALAIRES BUREAU NEUFS</v>
      </c>
      <c r="AV41" s="794">
        <f t="array" ref="AV41">IFERROR(INDEX(V41:AG41,1,MATCH(Parametres!$B$3,V$1:AG$1,0)-1)*IF(OR(C41="L",C41="S",C41="I"),-1,1),"")</f>
        <v>0</v>
      </c>
      <c r="AW41" s="794">
        <f t="shared" si="6"/>
        <v>0</v>
      </c>
      <c r="AX41" s="794">
        <f t="array" ref="AX41">INDEX(V41:AG41,1,MATCH(Parametres!$B$3,V$1:AG$1,0))*IF(OR(C41="L",C41="S",C41="I"),-1,1)</f>
        <v>0</v>
      </c>
      <c r="AY41" s="853" t="s">
        <v>772</v>
      </c>
      <c r="AZ41" s="853" t="str">
        <f>+VLOOKUP($AJ41,Data_Validation!$A:$E,5,0)</f>
        <v/>
      </c>
    </row>
    <row r="42" ht="15.0" customHeight="1">
      <c r="A42" s="849" t="s">
        <v>1239</v>
      </c>
      <c r="B42" s="849">
        <v>2026.0</v>
      </c>
      <c r="C42" s="849" t="s">
        <v>1316</v>
      </c>
      <c r="D42" s="849" t="s">
        <v>1317</v>
      </c>
      <c r="E42" s="849" t="s">
        <v>768</v>
      </c>
      <c r="F42" s="849" t="s">
        <v>1200</v>
      </c>
      <c r="G42" s="849">
        <v>0.0</v>
      </c>
      <c r="H42" s="849">
        <v>0.0</v>
      </c>
      <c r="I42" s="849">
        <v>0.0</v>
      </c>
      <c r="J42" s="849">
        <v>0.0</v>
      </c>
      <c r="K42" s="849">
        <v>0.0</v>
      </c>
      <c r="L42" s="849">
        <v>0.0</v>
      </c>
      <c r="M42" s="849">
        <v>0.0</v>
      </c>
      <c r="N42" s="849">
        <v>0.0</v>
      </c>
      <c r="O42" s="849">
        <v>0.0</v>
      </c>
      <c r="P42" s="849">
        <v>0.0</v>
      </c>
      <c r="Q42" s="849">
        <v>0.0</v>
      </c>
      <c r="R42" s="849">
        <v>0.0</v>
      </c>
      <c r="S42" s="849">
        <v>0.0</v>
      </c>
      <c r="T42" s="849">
        <v>0.0</v>
      </c>
      <c r="U42" s="849">
        <v>0.0</v>
      </c>
      <c r="V42" s="849">
        <v>0.0</v>
      </c>
      <c r="W42" s="849">
        <v>0.0</v>
      </c>
      <c r="X42" s="849">
        <v>0.0</v>
      </c>
      <c r="Y42" s="849">
        <v>0.0</v>
      </c>
      <c r="Z42" s="849">
        <v>0.0</v>
      </c>
      <c r="AA42" s="849">
        <v>0.0</v>
      </c>
      <c r="AB42" s="849">
        <v>0.0</v>
      </c>
      <c r="AC42" s="849">
        <v>0.0</v>
      </c>
      <c r="AD42" s="849">
        <v>0.0</v>
      </c>
      <c r="AE42" s="849">
        <v>0.0</v>
      </c>
      <c r="AF42" s="849">
        <v>0.0</v>
      </c>
      <c r="AG42" s="849">
        <v>0.0</v>
      </c>
      <c r="AH42" s="849">
        <v>0.0</v>
      </c>
      <c r="AI42" s="849">
        <v>0.0</v>
      </c>
      <c r="AJ42" s="794" t="str">
        <f t="shared" ref="AJ42:AK42" si="81">C42</f>
        <v>G022101</v>
      </c>
      <c r="AK42" s="794" t="str">
        <f t="shared" si="81"/>
        <v>SALAIRES BUREAU NEUFS/USA</v>
      </c>
      <c r="AL42" s="794">
        <f t="array" ref="AL42">IFERROR(INDEX(G42:R42,1,MATCH(Parametres!$B$3,G$1:R$1,0)-1)*IF(OR(F42="L",F42="S",F42="I"),-1,1),"")</f>
        <v>0</v>
      </c>
      <c r="AM42" s="794">
        <f t="shared" si="4"/>
        <v>0</v>
      </c>
      <c r="AN42" s="794">
        <f t="array" ref="AN42">INDEX(G42:R42,1,MATCH(Parametres!$B$3,G$1:R$1,0))*IF(OR(F42="L",F42="S",F42="I"),-1,1)</f>
        <v>0</v>
      </c>
      <c r="AO42" s="853" t="str">
        <f>+VLOOKUP($AJ42,Data_Validation!$A:$D,1,0)</f>
        <v>#N/A</v>
      </c>
      <c r="AP42" s="853" t="str">
        <f>+VLOOKUP($AJ42,Data_Validation!$A:$D,3,0)</f>
        <v>#N/A</v>
      </c>
      <c r="AQ42" s="853" t="str">
        <f>+VLOOKUP($AJ42,Data_Validation!$A:$D,4,0)</f>
        <v>#N/A</v>
      </c>
      <c r="AR42" s="853" t="s">
        <v>728</v>
      </c>
      <c r="AS42" s="853" t="str">
        <f>+VLOOKUP($AJ42,Data_Validation!$A:$E,5,0)</f>
        <v>#N/A</v>
      </c>
      <c r="AT42" s="794" t="str">
        <f t="shared" ref="AT42:AU42" si="82">C42</f>
        <v>G022101</v>
      </c>
      <c r="AU42" s="854" t="str">
        <f t="shared" si="82"/>
        <v>SALAIRES BUREAU NEUFS/USA</v>
      </c>
      <c r="AV42" s="794">
        <f t="array" ref="AV42">IFERROR(INDEX(V42:AG42,1,MATCH(Parametres!$B$3,V$1:AG$1,0)-1)*IF(OR(C42="L",C42="S",C42="I"),-1,1),"")</f>
        <v>0</v>
      </c>
      <c r="AW42" s="794">
        <f t="shared" si="6"/>
        <v>0</v>
      </c>
      <c r="AX42" s="794">
        <f t="array" ref="AX42">INDEX(V42:AG42,1,MATCH(Parametres!$B$3,V$1:AG$1,0))*IF(OR(C42="L",C42="S",C42="I"),-1,1)</f>
        <v>0</v>
      </c>
      <c r="AY42" s="853" t="s">
        <v>772</v>
      </c>
      <c r="AZ42" s="853" t="str">
        <f>+VLOOKUP($AJ42,Data_Validation!$A:$E,5,0)</f>
        <v>#N/A</v>
      </c>
    </row>
    <row r="43" ht="15.0" customHeight="1">
      <c r="A43" s="849" t="s">
        <v>1239</v>
      </c>
      <c r="B43" s="849">
        <v>2026.0</v>
      </c>
      <c r="C43" s="849" t="s">
        <v>1318</v>
      </c>
      <c r="D43" s="849" t="s">
        <v>1319</v>
      </c>
      <c r="E43" s="849" t="s">
        <v>768</v>
      </c>
      <c r="F43" s="849" t="s">
        <v>1200</v>
      </c>
      <c r="G43" s="849">
        <v>4829.41</v>
      </c>
      <c r="H43" s="849">
        <v>9668.28</v>
      </c>
      <c r="I43" s="849">
        <v>14717.1</v>
      </c>
      <c r="J43" s="849">
        <v>19587.07</v>
      </c>
      <c r="K43" s="849">
        <v>16967.21</v>
      </c>
      <c r="L43" s="849">
        <v>24159.34</v>
      </c>
      <c r="M43" s="849">
        <v>30978.85</v>
      </c>
      <c r="N43" s="849">
        <v>36696.32</v>
      </c>
      <c r="O43" s="849">
        <v>43226.49</v>
      </c>
      <c r="P43" s="849">
        <v>46684.68</v>
      </c>
      <c r="Q43" s="849">
        <v>0.0</v>
      </c>
      <c r="R43" s="849">
        <v>0.0</v>
      </c>
      <c r="S43" s="849">
        <v>4802.94</v>
      </c>
      <c r="T43" s="849">
        <v>4802.94</v>
      </c>
      <c r="U43" s="849">
        <v>0.0</v>
      </c>
      <c r="V43" s="849">
        <v>0.0</v>
      </c>
      <c r="W43" s="849">
        <v>0.0</v>
      </c>
      <c r="X43" s="849">
        <v>0.0</v>
      </c>
      <c r="Y43" s="849">
        <v>0.0</v>
      </c>
      <c r="Z43" s="849">
        <v>0.0</v>
      </c>
      <c r="AA43" s="849">
        <v>0.0</v>
      </c>
      <c r="AB43" s="849">
        <v>0.0</v>
      </c>
      <c r="AC43" s="849">
        <v>0.0</v>
      </c>
      <c r="AD43" s="849">
        <v>0.0</v>
      </c>
      <c r="AE43" s="849">
        <v>0.0</v>
      </c>
      <c r="AF43" s="849">
        <v>0.0</v>
      </c>
      <c r="AG43" s="849">
        <v>0.0</v>
      </c>
      <c r="AH43" s="849">
        <v>0.0</v>
      </c>
      <c r="AI43" s="849">
        <v>0.0</v>
      </c>
      <c r="AJ43" s="794" t="str">
        <f t="shared" ref="AJ43:AK43" si="83">C43</f>
        <v>G0222</v>
      </c>
      <c r="AK43" s="794" t="str">
        <f t="shared" si="83"/>
        <v>SALAIRES BUREAU USAGES</v>
      </c>
      <c r="AL43" s="794">
        <f t="array" ref="AL43">IFERROR(INDEX(G43:R43,1,MATCH(Parametres!$B$3,G$1:R$1,0)-1)*IF(OR(F43="L",F43="S",F43="I"),-1,1),"")</f>
        <v>36696.32</v>
      </c>
      <c r="AM43" s="794">
        <f t="shared" si="4"/>
        <v>6530.17</v>
      </c>
      <c r="AN43" s="794">
        <f t="array" ref="AN43">INDEX(G43:R43,1,MATCH(Parametres!$B$3,G$1:R$1,0))*IF(OR(F43="L",F43="S",F43="I"),-1,1)</f>
        <v>43226.49</v>
      </c>
      <c r="AO43" s="853" t="str">
        <f>+VLOOKUP($AJ43,Data_Validation!$A:$D,1,0)</f>
        <v>G0222</v>
      </c>
      <c r="AP43" s="853" t="str">
        <f>+VLOOKUP($AJ43,Data_Validation!$A:$D,3,0)</f>
        <v>Véhicules usagés</v>
      </c>
      <c r="AQ43" s="853" t="str">
        <f>+VLOOKUP($AJ43,Data_Validation!$A:$D,4,0)</f>
        <v>Salaires commis</v>
      </c>
      <c r="AR43" s="853" t="s">
        <v>728</v>
      </c>
      <c r="AS43" s="853" t="str">
        <f>+VLOOKUP($AJ43,Data_Validation!$A:$E,5,0)</f>
        <v/>
      </c>
      <c r="AT43" s="794" t="str">
        <f t="shared" ref="AT43:AU43" si="84">C43</f>
        <v>G0222</v>
      </c>
      <c r="AU43" s="854" t="str">
        <f t="shared" si="84"/>
        <v>SALAIRES BUREAU USAGES</v>
      </c>
      <c r="AV43" s="794">
        <f t="array" ref="AV43">IFERROR(INDEX(V43:AG43,1,MATCH(Parametres!$B$3,V$1:AG$1,0)-1)*IF(OR(C43="L",C43="S",C43="I"),-1,1),"")</f>
        <v>0</v>
      </c>
      <c r="AW43" s="794">
        <f t="shared" si="6"/>
        <v>0</v>
      </c>
      <c r="AX43" s="794">
        <f t="array" ref="AX43">INDEX(V43:AG43,1,MATCH(Parametres!$B$3,V$1:AG$1,0))*IF(OR(C43="L",C43="S",C43="I"),-1,1)</f>
        <v>0</v>
      </c>
      <c r="AY43" s="853" t="s">
        <v>772</v>
      </c>
      <c r="AZ43" s="853" t="str">
        <f>+VLOOKUP($AJ43,Data_Validation!$A:$E,5,0)</f>
        <v/>
      </c>
    </row>
    <row r="44" ht="15.75" customHeight="1">
      <c r="A44" s="849" t="s">
        <v>1239</v>
      </c>
      <c r="B44" s="849">
        <v>2026.0</v>
      </c>
      <c r="C44" s="849" t="s">
        <v>1320</v>
      </c>
      <c r="D44" s="849" t="s">
        <v>1321</v>
      </c>
      <c r="E44" s="849" t="s">
        <v>768</v>
      </c>
      <c r="F44" s="849" t="s">
        <v>1200</v>
      </c>
      <c r="G44" s="849">
        <v>17730.63</v>
      </c>
      <c r="H44" s="849">
        <v>13249.11</v>
      </c>
      <c r="I44" s="849">
        <v>22464.82</v>
      </c>
      <c r="J44" s="849">
        <v>34584.22</v>
      </c>
      <c r="K44" s="849">
        <v>51811.01</v>
      </c>
      <c r="L44" s="849">
        <v>38756.81</v>
      </c>
      <c r="M44" s="849">
        <v>42044.58</v>
      </c>
      <c r="N44" s="849">
        <v>33625.98</v>
      </c>
      <c r="O44" s="849">
        <v>39445.39</v>
      </c>
      <c r="P44" s="849">
        <v>45954.63</v>
      </c>
      <c r="Q44" s="849">
        <v>0.0</v>
      </c>
      <c r="R44" s="849">
        <v>0.0</v>
      </c>
      <c r="S44" s="849">
        <v>4382.82</v>
      </c>
      <c r="T44" s="849">
        <v>4382.82</v>
      </c>
      <c r="U44" s="849">
        <v>0.0</v>
      </c>
      <c r="V44" s="849">
        <v>0.0</v>
      </c>
      <c r="W44" s="849">
        <v>0.0</v>
      </c>
      <c r="X44" s="849">
        <v>0.0</v>
      </c>
      <c r="Y44" s="849">
        <v>0.0</v>
      </c>
      <c r="Z44" s="849">
        <v>0.0</v>
      </c>
      <c r="AA44" s="849">
        <v>0.0</v>
      </c>
      <c r="AB44" s="849">
        <v>0.0</v>
      </c>
      <c r="AC44" s="849">
        <v>0.0</v>
      </c>
      <c r="AD44" s="849">
        <v>0.0</v>
      </c>
      <c r="AE44" s="849">
        <v>0.0</v>
      </c>
      <c r="AF44" s="849">
        <v>0.0</v>
      </c>
      <c r="AG44" s="849">
        <v>0.0</v>
      </c>
      <c r="AH44" s="849">
        <v>0.0</v>
      </c>
      <c r="AI44" s="849">
        <v>0.0</v>
      </c>
      <c r="AJ44" s="794" t="str">
        <f t="shared" ref="AJ44:AK44" si="85">C44</f>
        <v>G0223</v>
      </c>
      <c r="AK44" s="794" t="str">
        <f t="shared" si="85"/>
        <v>SALAIRES BUREAU U.S.A</v>
      </c>
      <c r="AL44" s="794">
        <f t="array" ref="AL44">IFERROR(INDEX(G44:R44,1,MATCH(Parametres!$B$3,G$1:R$1,0)-1)*IF(OR(F44="L",F44="S",F44="I"),-1,1),"")</f>
        <v>33625.98</v>
      </c>
      <c r="AM44" s="794">
        <f t="shared" si="4"/>
        <v>5819.41</v>
      </c>
      <c r="AN44" s="794">
        <f t="array" ref="AN44">INDEX(G44:R44,1,MATCH(Parametres!$B$3,G$1:R$1,0))*IF(OR(F44="L",F44="S",F44="I"),-1,1)</f>
        <v>39445.39</v>
      </c>
      <c r="AO44" s="853" t="str">
        <f>+VLOOKUP($AJ44,Data_Validation!$A:$D,1,0)</f>
        <v>G0223</v>
      </c>
      <c r="AP44" s="853" t="str">
        <f>+VLOOKUP($AJ44,Data_Validation!$A:$D,3,0)</f>
        <v>Wholesale autres</v>
      </c>
      <c r="AQ44" s="853" t="str">
        <f>+VLOOKUP($AJ44,Data_Validation!$A:$D,4,0)</f>
        <v>Salaires commis</v>
      </c>
      <c r="AR44" s="853" t="s">
        <v>728</v>
      </c>
      <c r="AS44" s="853" t="str">
        <f>+VLOOKUP($AJ44,Data_Validation!$A:$E,5,0)</f>
        <v/>
      </c>
      <c r="AT44" s="794" t="str">
        <f t="shared" ref="AT44:AU44" si="86">C44</f>
        <v>G0223</v>
      </c>
      <c r="AU44" s="854" t="str">
        <f t="shared" si="86"/>
        <v>SALAIRES BUREAU U.S.A</v>
      </c>
      <c r="AV44" s="794">
        <f t="array" ref="AV44">IFERROR(INDEX(V44:AG44,1,MATCH(Parametres!$B$3,V$1:AG$1,0)-1)*IF(OR(C44="L",C44="S",C44="I"),-1,1),"")</f>
        <v>0</v>
      </c>
      <c r="AW44" s="794">
        <f t="shared" si="6"/>
        <v>0</v>
      </c>
      <c r="AX44" s="794">
        <f t="array" ref="AX44">INDEX(V44:AG44,1,MATCH(Parametres!$B$3,V$1:AG$1,0))*IF(OR(C44="L",C44="S",C44="I"),-1,1)</f>
        <v>0</v>
      </c>
      <c r="AY44" s="853" t="s">
        <v>772</v>
      </c>
      <c r="AZ44" s="853" t="str">
        <f>+VLOOKUP($AJ44,Data_Validation!$A:$E,5,0)</f>
        <v/>
      </c>
    </row>
    <row r="45" ht="15.0" customHeight="1">
      <c r="A45" s="849" t="s">
        <v>1239</v>
      </c>
      <c r="B45" s="849">
        <v>2026.0</v>
      </c>
      <c r="C45" s="849" t="s">
        <v>1322</v>
      </c>
      <c r="D45" s="849" t="s">
        <v>1323</v>
      </c>
      <c r="E45" s="849" t="s">
        <v>768</v>
      </c>
      <c r="F45" s="849" t="s">
        <v>1200</v>
      </c>
      <c r="G45" s="849">
        <v>30324.36</v>
      </c>
      <c r="H45" s="849">
        <v>59401.72</v>
      </c>
      <c r="I45" s="849">
        <v>97239.57</v>
      </c>
      <c r="J45" s="849">
        <v>127399.87</v>
      </c>
      <c r="K45" s="849">
        <v>151460.82</v>
      </c>
      <c r="L45" s="849">
        <v>160163.0</v>
      </c>
      <c r="M45" s="849">
        <v>167894.89</v>
      </c>
      <c r="N45" s="849">
        <v>174243.0</v>
      </c>
      <c r="O45" s="849">
        <v>182004.16</v>
      </c>
      <c r="P45" s="849">
        <v>186000.42</v>
      </c>
      <c r="Q45" s="849">
        <v>0.0</v>
      </c>
      <c r="R45" s="849">
        <v>0.0</v>
      </c>
      <c r="S45" s="849">
        <v>20222.68</v>
      </c>
      <c r="T45" s="849">
        <v>20222.68</v>
      </c>
      <c r="U45" s="849">
        <v>0.0</v>
      </c>
      <c r="V45" s="849">
        <v>0.0</v>
      </c>
      <c r="W45" s="849">
        <v>0.0</v>
      </c>
      <c r="X45" s="849">
        <v>0.0</v>
      </c>
      <c r="Y45" s="849">
        <v>0.0</v>
      </c>
      <c r="Z45" s="849">
        <v>0.0</v>
      </c>
      <c r="AA45" s="849">
        <v>0.0</v>
      </c>
      <c r="AB45" s="849">
        <v>0.0</v>
      </c>
      <c r="AC45" s="849">
        <v>0.0</v>
      </c>
      <c r="AD45" s="849">
        <v>0.0</v>
      </c>
      <c r="AE45" s="849">
        <v>0.0</v>
      </c>
      <c r="AF45" s="849">
        <v>0.0</v>
      </c>
      <c r="AG45" s="849">
        <v>0.0</v>
      </c>
      <c r="AH45" s="849">
        <v>0.0</v>
      </c>
      <c r="AI45" s="849">
        <v>0.0</v>
      </c>
      <c r="AJ45" s="794" t="str">
        <f t="shared" ref="AJ45:AK45" si="87">C45</f>
        <v>G0224</v>
      </c>
      <c r="AK45" s="794" t="str">
        <f t="shared" si="87"/>
        <v>SALAIRES BUREAU SERVICE</v>
      </c>
      <c r="AL45" s="794">
        <f t="array" ref="AL45">IFERROR(INDEX(G45:R45,1,MATCH(Parametres!$B$3,G$1:R$1,0)-1)*IF(OR(F45="L",F45="S",F45="I"),-1,1),"")</f>
        <v>174243</v>
      </c>
      <c r="AM45" s="794">
        <f t="shared" si="4"/>
        <v>7761.16</v>
      </c>
      <c r="AN45" s="794">
        <f t="array" ref="AN45">INDEX(G45:R45,1,MATCH(Parametres!$B$3,G$1:R$1,0))*IF(OR(F45="L",F45="S",F45="I"),-1,1)</f>
        <v>182004.16</v>
      </c>
      <c r="AO45" s="853" t="str">
        <f>+VLOOKUP($AJ45,Data_Validation!$A:$D,1,0)</f>
        <v>G0224</v>
      </c>
      <c r="AP45" s="853" t="str">
        <f>+VLOOKUP($AJ45,Data_Validation!$A:$D,3,0)</f>
        <v>Service</v>
      </c>
      <c r="AQ45" s="853" t="str">
        <f>+VLOOKUP($AJ45,Data_Validation!$A:$D,4,0)</f>
        <v>Salaires commis</v>
      </c>
      <c r="AR45" s="853" t="s">
        <v>728</v>
      </c>
      <c r="AS45" s="853" t="str">
        <f>+VLOOKUP($AJ45,Data_Validation!$A:$E,5,0)</f>
        <v/>
      </c>
      <c r="AT45" s="794" t="str">
        <f t="shared" ref="AT45:AU45" si="88">C45</f>
        <v>G0224</v>
      </c>
      <c r="AU45" s="854" t="str">
        <f t="shared" si="88"/>
        <v>SALAIRES BUREAU SERVICE</v>
      </c>
      <c r="AV45" s="794">
        <f t="array" ref="AV45">IFERROR(INDEX(V45:AG45,1,MATCH(Parametres!$B$3,V$1:AG$1,0)-1)*IF(OR(C45="L",C45="S",C45="I"),-1,1),"")</f>
        <v>0</v>
      </c>
      <c r="AW45" s="794">
        <f t="shared" si="6"/>
        <v>0</v>
      </c>
      <c r="AX45" s="794">
        <f t="array" ref="AX45">INDEX(V45:AG45,1,MATCH(Parametres!$B$3,V$1:AG$1,0))*IF(OR(C45="L",C45="S",C45="I"),-1,1)</f>
        <v>0</v>
      </c>
      <c r="AY45" s="853" t="s">
        <v>772</v>
      </c>
      <c r="AZ45" s="853" t="str">
        <f>+VLOOKUP($AJ45,Data_Validation!$A:$E,5,0)</f>
        <v/>
      </c>
    </row>
    <row r="46" ht="15.0" customHeight="1">
      <c r="A46" s="849" t="s">
        <v>1239</v>
      </c>
      <c r="B46" s="849">
        <v>2026.0</v>
      </c>
      <c r="C46" s="849" t="s">
        <v>1324</v>
      </c>
      <c r="D46" s="849" t="s">
        <v>1325</v>
      </c>
      <c r="E46" s="849" t="s">
        <v>768</v>
      </c>
      <c r="F46" s="849" t="s">
        <v>1200</v>
      </c>
      <c r="G46" s="849">
        <v>6315.86</v>
      </c>
      <c r="H46" s="849">
        <v>13115.37</v>
      </c>
      <c r="I46" s="849">
        <v>19636.3</v>
      </c>
      <c r="J46" s="849">
        <v>26532.49</v>
      </c>
      <c r="K46" s="849">
        <v>33097.05</v>
      </c>
      <c r="L46" s="849">
        <v>40223.82</v>
      </c>
      <c r="M46" s="849">
        <v>45549.05</v>
      </c>
      <c r="N46" s="849">
        <v>52073.57</v>
      </c>
      <c r="O46" s="849">
        <v>57751.35</v>
      </c>
      <c r="P46" s="849">
        <v>60852.61</v>
      </c>
      <c r="Q46" s="849">
        <v>0.0</v>
      </c>
      <c r="R46" s="849">
        <v>0.0</v>
      </c>
      <c r="S46" s="849">
        <v>6416.82</v>
      </c>
      <c r="T46" s="849">
        <v>6416.82</v>
      </c>
      <c r="U46" s="849">
        <v>0.0</v>
      </c>
      <c r="V46" s="849">
        <v>0.0</v>
      </c>
      <c r="W46" s="849">
        <v>0.0</v>
      </c>
      <c r="X46" s="849">
        <v>0.0</v>
      </c>
      <c r="Y46" s="849">
        <v>0.0</v>
      </c>
      <c r="Z46" s="849">
        <v>0.0</v>
      </c>
      <c r="AA46" s="849">
        <v>0.0</v>
      </c>
      <c r="AB46" s="849">
        <v>0.0</v>
      </c>
      <c r="AC46" s="849">
        <v>0.0</v>
      </c>
      <c r="AD46" s="849">
        <v>0.0</v>
      </c>
      <c r="AE46" s="849">
        <v>0.0</v>
      </c>
      <c r="AF46" s="849">
        <v>0.0</v>
      </c>
      <c r="AG46" s="849">
        <v>0.0</v>
      </c>
      <c r="AH46" s="849">
        <v>0.0</v>
      </c>
      <c r="AI46" s="849">
        <v>0.0</v>
      </c>
      <c r="AJ46" s="794" t="str">
        <f t="shared" ref="AJ46:AK46" si="89">C46</f>
        <v>G0225</v>
      </c>
      <c r="AK46" s="794" t="str">
        <f t="shared" si="89"/>
        <v>SALAIRES BUREAU CARROS.</v>
      </c>
      <c r="AL46" s="794">
        <f t="array" ref="AL46">IFERROR(INDEX(G46:R46,1,MATCH(Parametres!$B$3,G$1:R$1,0)-1)*IF(OR(F46="L",F46="S",F46="I"),-1,1),"")</f>
        <v>52073.57</v>
      </c>
      <c r="AM46" s="794">
        <f t="shared" si="4"/>
        <v>5677.78</v>
      </c>
      <c r="AN46" s="794">
        <f t="array" ref="AN46">INDEX(G46:R46,1,MATCH(Parametres!$B$3,G$1:R$1,0))*IF(OR(F46="L",F46="S",F46="I"),-1,1)</f>
        <v>57751.35</v>
      </c>
      <c r="AO46" s="853" t="str">
        <f>+VLOOKUP($AJ46,Data_Validation!$A:$D,1,0)</f>
        <v>G0225</v>
      </c>
      <c r="AP46" s="853" t="str">
        <f>+VLOOKUP($AJ46,Data_Validation!$A:$D,3,0)</f>
        <v>Carrosserie</v>
      </c>
      <c r="AQ46" s="853" t="str">
        <f>+VLOOKUP($AJ46,Data_Validation!$A:$D,4,0)</f>
        <v>Salaires commis</v>
      </c>
      <c r="AR46" s="853" t="s">
        <v>728</v>
      </c>
      <c r="AS46" s="853" t="str">
        <f>+VLOOKUP($AJ46,Data_Validation!$A:$E,5,0)</f>
        <v/>
      </c>
      <c r="AT46" s="794" t="str">
        <f t="shared" ref="AT46:AU46" si="90">C46</f>
        <v>G0225</v>
      </c>
      <c r="AU46" s="854" t="str">
        <f t="shared" si="90"/>
        <v>SALAIRES BUREAU CARROS.</v>
      </c>
      <c r="AV46" s="794">
        <f t="array" ref="AV46">IFERROR(INDEX(V46:AG46,1,MATCH(Parametres!$B$3,V$1:AG$1,0)-1)*IF(OR(C46="L",C46="S",C46="I"),-1,1),"")</f>
        <v>0</v>
      </c>
      <c r="AW46" s="794">
        <f t="shared" si="6"/>
        <v>0</v>
      </c>
      <c r="AX46" s="794">
        <f t="array" ref="AX46">INDEX(V46:AG46,1,MATCH(Parametres!$B$3,V$1:AG$1,0))*IF(OR(C46="L",C46="S",C46="I"),-1,1)</f>
        <v>0</v>
      </c>
      <c r="AY46" s="853" t="s">
        <v>772</v>
      </c>
      <c r="AZ46" s="853" t="str">
        <f>+VLOOKUP($AJ46,Data_Validation!$A:$E,5,0)</f>
        <v/>
      </c>
    </row>
    <row r="47" ht="15.0" customHeight="1">
      <c r="A47" s="849" t="s">
        <v>1239</v>
      </c>
      <c r="B47" s="849">
        <v>2026.0</v>
      </c>
      <c r="C47" s="849" t="s">
        <v>1326</v>
      </c>
      <c r="D47" s="849" t="s">
        <v>1327</v>
      </c>
      <c r="E47" s="849" t="s">
        <v>768</v>
      </c>
      <c r="F47" s="849" t="s">
        <v>1200</v>
      </c>
      <c r="G47" s="849">
        <v>2671.35</v>
      </c>
      <c r="H47" s="849">
        <v>5403.95</v>
      </c>
      <c r="I47" s="849">
        <v>8272.87</v>
      </c>
      <c r="J47" s="849">
        <v>11051.85</v>
      </c>
      <c r="K47" s="849">
        <v>13899.88</v>
      </c>
      <c r="L47" s="849">
        <v>16800.6</v>
      </c>
      <c r="M47" s="849">
        <v>19377.91</v>
      </c>
      <c r="N47" s="849">
        <v>21493.94</v>
      </c>
      <c r="O47" s="849">
        <v>24081.0</v>
      </c>
      <c r="P47" s="849">
        <v>25413.07</v>
      </c>
      <c r="Q47" s="849">
        <v>0.0</v>
      </c>
      <c r="R47" s="849">
        <v>0.0</v>
      </c>
      <c r="S47" s="849">
        <v>2675.67</v>
      </c>
      <c r="T47" s="849">
        <v>2675.67</v>
      </c>
      <c r="U47" s="849">
        <v>0.0</v>
      </c>
      <c r="V47" s="849">
        <v>0.0</v>
      </c>
      <c r="W47" s="849">
        <v>0.0</v>
      </c>
      <c r="X47" s="849">
        <v>0.0</v>
      </c>
      <c r="Y47" s="849">
        <v>0.0</v>
      </c>
      <c r="Z47" s="849">
        <v>0.0</v>
      </c>
      <c r="AA47" s="849">
        <v>0.0</v>
      </c>
      <c r="AB47" s="849">
        <v>0.0</v>
      </c>
      <c r="AC47" s="849">
        <v>0.0</v>
      </c>
      <c r="AD47" s="849">
        <v>0.0</v>
      </c>
      <c r="AE47" s="849">
        <v>0.0</v>
      </c>
      <c r="AF47" s="849">
        <v>0.0</v>
      </c>
      <c r="AG47" s="849">
        <v>0.0</v>
      </c>
      <c r="AH47" s="849">
        <v>0.0</v>
      </c>
      <c r="AI47" s="849">
        <v>0.0</v>
      </c>
      <c r="AJ47" s="794" t="str">
        <f t="shared" ref="AJ47:AK47" si="91">C47</f>
        <v>G0226</v>
      </c>
      <c r="AK47" s="794" t="str">
        <f t="shared" si="91"/>
        <v>SALAIRES BUREAU PCES</v>
      </c>
      <c r="AL47" s="794">
        <f t="array" ref="AL47">IFERROR(INDEX(G47:R47,1,MATCH(Parametres!$B$3,G$1:R$1,0)-1)*IF(OR(F47="L",F47="S",F47="I"),-1,1),"")</f>
        <v>21493.94</v>
      </c>
      <c r="AM47" s="794">
        <f t="shared" si="4"/>
        <v>2587.06</v>
      </c>
      <c r="AN47" s="794">
        <f t="array" ref="AN47">INDEX(G47:R47,1,MATCH(Parametres!$B$3,G$1:R$1,0))*IF(OR(F47="L",F47="S",F47="I"),-1,1)</f>
        <v>24081</v>
      </c>
      <c r="AO47" s="853" t="str">
        <f>+VLOOKUP($AJ47,Data_Validation!$A:$D,1,0)</f>
        <v>G0226</v>
      </c>
      <c r="AP47" s="853" t="str">
        <f>+VLOOKUP($AJ47,Data_Validation!$A:$D,3,0)</f>
        <v>Pièces</v>
      </c>
      <c r="AQ47" s="853" t="str">
        <f>+VLOOKUP($AJ47,Data_Validation!$A:$D,4,0)</f>
        <v>Salaires commis</v>
      </c>
      <c r="AR47" s="853" t="s">
        <v>728</v>
      </c>
      <c r="AS47" s="853" t="str">
        <f>+VLOOKUP($AJ47,Data_Validation!$A:$E,5,0)</f>
        <v/>
      </c>
      <c r="AT47" s="794" t="str">
        <f t="shared" ref="AT47:AU47" si="92">C47</f>
        <v>G0226</v>
      </c>
      <c r="AU47" s="854" t="str">
        <f t="shared" si="92"/>
        <v>SALAIRES BUREAU PCES</v>
      </c>
      <c r="AV47" s="794">
        <f t="array" ref="AV47">IFERROR(INDEX(V47:AG47,1,MATCH(Parametres!$B$3,V$1:AG$1,0)-1)*IF(OR(C47="L",C47="S",C47="I"),-1,1),"")</f>
        <v>0</v>
      </c>
      <c r="AW47" s="794">
        <f t="shared" si="6"/>
        <v>0</v>
      </c>
      <c r="AX47" s="794">
        <f t="array" ref="AX47">INDEX(V47:AG47,1,MATCH(Parametres!$B$3,V$1:AG$1,0))*IF(OR(C47="L",C47="S",C47="I"),-1,1)</f>
        <v>0</v>
      </c>
      <c r="AY47" s="853" t="s">
        <v>772</v>
      </c>
      <c r="AZ47" s="853" t="str">
        <f>+VLOOKUP($AJ47,Data_Validation!$A:$E,5,0)</f>
        <v/>
      </c>
    </row>
    <row r="48" ht="15.75" customHeight="1">
      <c r="A48" s="849" t="s">
        <v>1239</v>
      </c>
      <c r="B48" s="849">
        <v>2026.0</v>
      </c>
      <c r="C48" s="849" t="s">
        <v>1328</v>
      </c>
      <c r="D48" s="849" t="s">
        <v>1329</v>
      </c>
      <c r="E48" s="849" t="s">
        <v>768</v>
      </c>
      <c r="F48" s="849" t="s">
        <v>1200</v>
      </c>
      <c r="G48" s="849">
        <v>0.0</v>
      </c>
      <c r="H48" s="849">
        <v>0.0</v>
      </c>
      <c r="I48" s="849">
        <v>0.0</v>
      </c>
      <c r="J48" s="849">
        <v>0.0</v>
      </c>
      <c r="K48" s="849">
        <v>8313.88</v>
      </c>
      <c r="L48" s="849">
        <v>15663.04</v>
      </c>
      <c r="M48" s="849">
        <v>24405.98</v>
      </c>
      <c r="N48" s="849">
        <v>28816.95</v>
      </c>
      <c r="O48" s="849">
        <v>37260.37</v>
      </c>
      <c r="P48" s="849">
        <v>41320.13</v>
      </c>
      <c r="Q48" s="849">
        <v>0.0</v>
      </c>
      <c r="R48" s="849">
        <v>0.0</v>
      </c>
      <c r="S48" s="849">
        <v>4140.04</v>
      </c>
      <c r="T48" s="849">
        <v>4140.04</v>
      </c>
      <c r="U48" s="849">
        <v>0.0</v>
      </c>
      <c r="V48" s="849">
        <v>0.0</v>
      </c>
      <c r="W48" s="849">
        <v>0.0</v>
      </c>
      <c r="X48" s="849">
        <v>0.0</v>
      </c>
      <c r="Y48" s="849">
        <v>0.0</v>
      </c>
      <c r="Z48" s="849">
        <v>0.0</v>
      </c>
      <c r="AA48" s="849">
        <v>0.0</v>
      </c>
      <c r="AB48" s="849">
        <v>0.0</v>
      </c>
      <c r="AC48" s="849">
        <v>0.0</v>
      </c>
      <c r="AD48" s="849">
        <v>0.0</v>
      </c>
      <c r="AE48" s="849">
        <v>0.0</v>
      </c>
      <c r="AF48" s="849">
        <v>0.0</v>
      </c>
      <c r="AG48" s="849">
        <v>0.0</v>
      </c>
      <c r="AH48" s="849">
        <v>0.0</v>
      </c>
      <c r="AI48" s="849">
        <v>0.0</v>
      </c>
      <c r="AJ48" s="794" t="str">
        <f t="shared" ref="AJ48:AK48" si="93">C48</f>
        <v>G0227</v>
      </c>
      <c r="AK48" s="794" t="str">
        <f t="shared" si="93"/>
        <v>SALAIRES BUREAU SAAQ</v>
      </c>
      <c r="AL48" s="794">
        <f t="array" ref="AL48">IFERROR(INDEX(G48:R48,1,MATCH(Parametres!$B$3,G$1:R$1,0)-1)*IF(OR(F48="L",F48="S",F48="I"),-1,1),"")</f>
        <v>28816.95</v>
      </c>
      <c r="AM48" s="794">
        <f t="shared" si="4"/>
        <v>8443.42</v>
      </c>
      <c r="AN48" s="794">
        <f t="array" ref="AN48">INDEX(G48:R48,1,MATCH(Parametres!$B$3,G$1:R$1,0))*IF(OR(F48="L",F48="S",F48="I"),-1,1)</f>
        <v>37260.37</v>
      </c>
      <c r="AO48" s="853" t="str">
        <f>+VLOOKUP($AJ48,Data_Validation!$A:$D,1,0)</f>
        <v>G0227</v>
      </c>
      <c r="AP48" s="853" t="str">
        <f>+VLOOKUP($AJ48,Data_Validation!$A:$D,3,0)</f>
        <v>SAAQ</v>
      </c>
      <c r="AQ48" s="853" t="str">
        <f>+VLOOKUP($AJ48,Data_Validation!$A:$D,4,0)</f>
        <v>Salaires commis</v>
      </c>
      <c r="AR48" s="853" t="s">
        <v>728</v>
      </c>
      <c r="AS48" s="853" t="str">
        <f>+VLOOKUP($AJ48,Data_Validation!$A:$E,5,0)</f>
        <v/>
      </c>
      <c r="AT48" s="794" t="str">
        <f t="shared" ref="AT48:AU48" si="94">C48</f>
        <v>G0227</v>
      </c>
      <c r="AU48" s="854" t="str">
        <f t="shared" si="94"/>
        <v>SALAIRES BUREAU SAAQ</v>
      </c>
      <c r="AV48" s="794">
        <f t="array" ref="AV48">IFERROR(INDEX(V48:AG48,1,MATCH(Parametres!$B$3,V$1:AG$1,0)-1)*IF(OR(C48="L",C48="S",C48="I"),-1,1),"")</f>
        <v>0</v>
      </c>
      <c r="AW48" s="794">
        <f t="shared" si="6"/>
        <v>0</v>
      </c>
      <c r="AX48" s="794">
        <f t="array" ref="AX48">INDEX(V48:AG48,1,MATCH(Parametres!$B$3,V$1:AG$1,0))*IF(OR(C48="L",C48="S",C48="I"),-1,1)</f>
        <v>0</v>
      </c>
      <c r="AY48" s="853" t="s">
        <v>772</v>
      </c>
      <c r="AZ48" s="853" t="str">
        <f>+VLOOKUP($AJ48,Data_Validation!$A:$E,5,0)</f>
        <v/>
      </c>
    </row>
    <row r="49" ht="15.0" customHeight="1">
      <c r="A49" s="849" t="s">
        <v>1239</v>
      </c>
      <c r="B49" s="849">
        <v>2026.0</v>
      </c>
      <c r="C49" s="849" t="s">
        <v>1330</v>
      </c>
      <c r="D49" s="849" t="s">
        <v>1331</v>
      </c>
      <c r="E49" s="849" t="s">
        <v>768</v>
      </c>
      <c r="F49" s="849" t="s">
        <v>1200</v>
      </c>
      <c r="G49" s="849">
        <v>0.0</v>
      </c>
      <c r="H49" s="849">
        <v>0.0</v>
      </c>
      <c r="I49" s="849">
        <v>0.0</v>
      </c>
      <c r="J49" s="849">
        <v>0.0</v>
      </c>
      <c r="K49" s="849">
        <v>0.0</v>
      </c>
      <c r="L49" s="849">
        <v>0.0</v>
      </c>
      <c r="M49" s="849">
        <v>0.0</v>
      </c>
      <c r="N49" s="849">
        <v>0.0</v>
      </c>
      <c r="O49" s="849">
        <v>0.0</v>
      </c>
      <c r="P49" s="849">
        <v>0.0</v>
      </c>
      <c r="Q49" s="849">
        <v>0.0</v>
      </c>
      <c r="R49" s="849">
        <v>0.0</v>
      </c>
      <c r="S49" s="849">
        <v>0.0</v>
      </c>
      <c r="T49" s="849">
        <v>0.0</v>
      </c>
      <c r="U49" s="849">
        <v>0.0</v>
      </c>
      <c r="V49" s="849">
        <v>0.0</v>
      </c>
      <c r="W49" s="849">
        <v>0.0</v>
      </c>
      <c r="X49" s="849">
        <v>0.0</v>
      </c>
      <c r="Y49" s="849">
        <v>0.0</v>
      </c>
      <c r="Z49" s="849">
        <v>0.0</v>
      </c>
      <c r="AA49" s="849">
        <v>0.0</v>
      </c>
      <c r="AB49" s="849">
        <v>0.0</v>
      </c>
      <c r="AC49" s="849">
        <v>0.0</v>
      </c>
      <c r="AD49" s="849">
        <v>0.0</v>
      </c>
      <c r="AE49" s="849">
        <v>0.0</v>
      </c>
      <c r="AF49" s="849">
        <v>0.0</v>
      </c>
      <c r="AG49" s="849">
        <v>0.0</v>
      </c>
      <c r="AH49" s="849">
        <v>0.0</v>
      </c>
      <c r="AI49" s="849">
        <v>0.0</v>
      </c>
      <c r="AJ49" s="794" t="str">
        <f t="shared" ref="AJ49:AK49" si="95">C49</f>
        <v>G0230</v>
      </c>
      <c r="AK49" s="794" t="str">
        <f t="shared" si="95"/>
        <v>SALAIRES AUTRES REP.</v>
      </c>
      <c r="AL49" s="794">
        <f t="array" ref="AL49">IFERROR(INDEX(G49:R49,1,MATCH(Parametres!$B$3,G$1:R$1,0)-1)*IF(OR(F49="L",F49="S",F49="I"),-1,1),"")</f>
        <v>0</v>
      </c>
      <c r="AM49" s="794">
        <f t="shared" si="4"/>
        <v>0</v>
      </c>
      <c r="AN49" s="794">
        <f t="array" ref="AN49">INDEX(G49:R49,1,MATCH(Parametres!$B$3,G$1:R$1,0))*IF(OR(F49="L",F49="S",F49="I"),-1,1)</f>
        <v>0</v>
      </c>
      <c r="AO49" s="853" t="str">
        <f>+VLOOKUP($AJ49,Data_Validation!$A:$D,1,0)</f>
        <v>#N/A</v>
      </c>
      <c r="AP49" s="853" t="str">
        <f>+VLOOKUP($AJ49,Data_Validation!$A:$D,3,0)</f>
        <v>#N/A</v>
      </c>
      <c r="AQ49" s="853" t="str">
        <f>+VLOOKUP($AJ49,Data_Validation!$A:$D,4,0)</f>
        <v>#N/A</v>
      </c>
      <c r="AR49" s="853" t="s">
        <v>728</v>
      </c>
      <c r="AS49" s="853" t="str">
        <f>+VLOOKUP($AJ49,Data_Validation!$A:$E,5,0)</f>
        <v>#N/A</v>
      </c>
      <c r="AT49" s="794" t="str">
        <f t="shared" ref="AT49:AU49" si="96">C49</f>
        <v>G0230</v>
      </c>
      <c r="AU49" s="854" t="str">
        <f t="shared" si="96"/>
        <v>SALAIRES AUTRES REP.</v>
      </c>
      <c r="AV49" s="794">
        <f t="array" ref="AV49">IFERROR(INDEX(V49:AG49,1,MATCH(Parametres!$B$3,V$1:AG$1,0)-1)*IF(OR(C49="L",C49="S",C49="I"),-1,1),"")</f>
        <v>0</v>
      </c>
      <c r="AW49" s="794">
        <f t="shared" si="6"/>
        <v>0</v>
      </c>
      <c r="AX49" s="794">
        <f t="array" ref="AX49">INDEX(V49:AG49,1,MATCH(Parametres!$B$3,V$1:AG$1,0))*IF(OR(C49="L",C49="S",C49="I"),-1,1)</f>
        <v>0</v>
      </c>
      <c r="AY49" s="853" t="s">
        <v>772</v>
      </c>
      <c r="AZ49" s="853" t="str">
        <f>+VLOOKUP($AJ49,Data_Validation!$A:$E,5,0)</f>
        <v>#N/A</v>
      </c>
    </row>
    <row r="50" ht="15.0" customHeight="1">
      <c r="A50" s="849" t="s">
        <v>1239</v>
      </c>
      <c r="B50" s="849">
        <v>2026.0</v>
      </c>
      <c r="C50" s="849" t="s">
        <v>1332</v>
      </c>
      <c r="D50" s="849" t="s">
        <v>1333</v>
      </c>
      <c r="E50" s="849" t="s">
        <v>768</v>
      </c>
      <c r="F50" s="849" t="s">
        <v>1200</v>
      </c>
      <c r="G50" s="849">
        <v>0.0</v>
      </c>
      <c r="H50" s="849">
        <v>0.0</v>
      </c>
      <c r="I50" s="849">
        <v>0.0</v>
      </c>
      <c r="J50" s="849">
        <v>0.0</v>
      </c>
      <c r="K50" s="849">
        <v>0.0</v>
      </c>
      <c r="L50" s="849">
        <v>0.0</v>
      </c>
      <c r="M50" s="849">
        <v>0.0</v>
      </c>
      <c r="N50" s="849">
        <v>0.0</v>
      </c>
      <c r="O50" s="849">
        <v>0.0</v>
      </c>
      <c r="P50" s="849">
        <v>0.0</v>
      </c>
      <c r="Q50" s="849">
        <v>0.0</v>
      </c>
      <c r="R50" s="849">
        <v>0.0</v>
      </c>
      <c r="S50" s="849">
        <v>0.0</v>
      </c>
      <c r="T50" s="849">
        <v>0.0</v>
      </c>
      <c r="U50" s="849">
        <v>0.0</v>
      </c>
      <c r="V50" s="849">
        <v>0.0</v>
      </c>
      <c r="W50" s="849">
        <v>0.0</v>
      </c>
      <c r="X50" s="849">
        <v>0.0</v>
      </c>
      <c r="Y50" s="849">
        <v>0.0</v>
      </c>
      <c r="Z50" s="849">
        <v>0.0</v>
      </c>
      <c r="AA50" s="849">
        <v>0.0</v>
      </c>
      <c r="AB50" s="849">
        <v>0.0</v>
      </c>
      <c r="AC50" s="849">
        <v>0.0</v>
      </c>
      <c r="AD50" s="849">
        <v>0.0</v>
      </c>
      <c r="AE50" s="849">
        <v>0.0</v>
      </c>
      <c r="AF50" s="849">
        <v>0.0</v>
      </c>
      <c r="AG50" s="849">
        <v>0.0</v>
      </c>
      <c r="AH50" s="849">
        <v>0.0</v>
      </c>
      <c r="AI50" s="849">
        <v>0.0</v>
      </c>
      <c r="AJ50" s="794" t="str">
        <f t="shared" ref="AJ50:AK50" si="97">C50</f>
        <v>G02301</v>
      </c>
      <c r="AK50" s="794" t="str">
        <f t="shared" si="97"/>
        <v>SALAIRES AUTRES NEUF/USAG</v>
      </c>
      <c r="AL50" s="794">
        <f t="array" ref="AL50">IFERROR(INDEX(G50:R50,1,MATCH(Parametres!$B$3,G$1:R$1,0)-1)*IF(OR(F50="L",F50="S",F50="I"),-1,1),"")</f>
        <v>0</v>
      </c>
      <c r="AM50" s="794">
        <f t="shared" si="4"/>
        <v>0</v>
      </c>
      <c r="AN50" s="794">
        <f t="array" ref="AN50">INDEX(G50:R50,1,MATCH(Parametres!$B$3,G$1:R$1,0))*IF(OR(F50="L",F50="S",F50="I"),-1,1)</f>
        <v>0</v>
      </c>
      <c r="AO50" s="853" t="str">
        <f>+VLOOKUP($AJ50,Data_Validation!$A:$D,1,0)</f>
        <v>#N/A</v>
      </c>
      <c r="AP50" s="853" t="str">
        <f>+VLOOKUP($AJ50,Data_Validation!$A:$D,3,0)</f>
        <v>#N/A</v>
      </c>
      <c r="AQ50" s="853" t="str">
        <f>+VLOOKUP($AJ50,Data_Validation!$A:$D,4,0)</f>
        <v>#N/A</v>
      </c>
      <c r="AR50" s="853" t="s">
        <v>728</v>
      </c>
      <c r="AS50" s="853" t="str">
        <f>+VLOOKUP($AJ50,Data_Validation!$A:$E,5,0)</f>
        <v>#N/A</v>
      </c>
      <c r="AT50" s="794" t="str">
        <f t="shared" ref="AT50:AU50" si="98">C50</f>
        <v>G02301</v>
      </c>
      <c r="AU50" s="854" t="str">
        <f t="shared" si="98"/>
        <v>SALAIRES AUTRES NEUF/USAG</v>
      </c>
      <c r="AV50" s="794">
        <f t="array" ref="AV50">IFERROR(INDEX(V50:AG50,1,MATCH(Parametres!$B$3,V$1:AG$1,0)-1)*IF(OR(C50="L",C50="S",C50="I"),-1,1),"")</f>
        <v>0</v>
      </c>
      <c r="AW50" s="794">
        <f t="shared" si="6"/>
        <v>0</v>
      </c>
      <c r="AX50" s="794">
        <f t="array" ref="AX50">INDEX(V50:AG50,1,MATCH(Parametres!$B$3,V$1:AG$1,0))*IF(OR(C50="L",C50="S",C50="I"),-1,1)</f>
        <v>0</v>
      </c>
      <c r="AY50" s="853" t="s">
        <v>772</v>
      </c>
      <c r="AZ50" s="853" t="str">
        <f>+VLOOKUP($AJ50,Data_Validation!$A:$E,5,0)</f>
        <v>#N/A</v>
      </c>
    </row>
    <row r="51" ht="15.0" customHeight="1">
      <c r="A51" s="849" t="s">
        <v>1239</v>
      </c>
      <c r="B51" s="849">
        <v>2026.0</v>
      </c>
      <c r="C51" s="849" t="s">
        <v>1334</v>
      </c>
      <c r="D51" s="849" t="s">
        <v>1335</v>
      </c>
      <c r="E51" s="849" t="s">
        <v>768</v>
      </c>
      <c r="F51" s="849" t="s">
        <v>1200</v>
      </c>
      <c r="G51" s="849">
        <v>3167.98</v>
      </c>
      <c r="H51" s="849">
        <v>7221.74</v>
      </c>
      <c r="I51" s="849">
        <v>11384.98</v>
      </c>
      <c r="J51" s="849">
        <v>16989.49</v>
      </c>
      <c r="K51" s="849">
        <v>24200.05</v>
      </c>
      <c r="L51" s="849">
        <v>28730.63</v>
      </c>
      <c r="M51" s="849">
        <v>34969.71</v>
      </c>
      <c r="N51" s="849">
        <v>40137.29</v>
      </c>
      <c r="O51" s="849">
        <v>52932.77</v>
      </c>
      <c r="P51" s="849">
        <v>54529.7</v>
      </c>
      <c r="Q51" s="849">
        <v>0.0</v>
      </c>
      <c r="R51" s="849">
        <v>0.0</v>
      </c>
      <c r="S51" s="849">
        <v>5881.42</v>
      </c>
      <c r="T51" s="849">
        <v>5881.42</v>
      </c>
      <c r="U51" s="849">
        <v>0.0</v>
      </c>
      <c r="V51" s="849">
        <v>0.0</v>
      </c>
      <c r="W51" s="849">
        <v>0.0</v>
      </c>
      <c r="X51" s="849">
        <v>0.0</v>
      </c>
      <c r="Y51" s="849">
        <v>0.0</v>
      </c>
      <c r="Z51" s="849">
        <v>0.0</v>
      </c>
      <c r="AA51" s="849">
        <v>0.0</v>
      </c>
      <c r="AB51" s="849">
        <v>0.0</v>
      </c>
      <c r="AC51" s="849">
        <v>0.0</v>
      </c>
      <c r="AD51" s="849">
        <v>0.0</v>
      </c>
      <c r="AE51" s="849">
        <v>0.0</v>
      </c>
      <c r="AF51" s="849">
        <v>0.0</v>
      </c>
      <c r="AG51" s="849">
        <v>0.0</v>
      </c>
      <c r="AH51" s="849">
        <v>0.0</v>
      </c>
      <c r="AI51" s="849">
        <v>0.0</v>
      </c>
      <c r="AJ51" s="794" t="str">
        <f t="shared" ref="AJ51:AK51" si="99">C51</f>
        <v>G0231</v>
      </c>
      <c r="AK51" s="794" t="str">
        <f t="shared" si="99"/>
        <v>SALAIRES AUTRES NEUFS</v>
      </c>
      <c r="AL51" s="794">
        <f t="array" ref="AL51">IFERROR(INDEX(G51:R51,1,MATCH(Parametres!$B$3,G$1:R$1,0)-1)*IF(OR(F51="L",F51="S",F51="I"),-1,1),"")</f>
        <v>40137.29</v>
      </c>
      <c r="AM51" s="794">
        <f t="shared" si="4"/>
        <v>12795.48</v>
      </c>
      <c r="AN51" s="794">
        <f t="array" ref="AN51">INDEX(G51:R51,1,MATCH(Parametres!$B$3,G$1:R$1,0))*IF(OR(F51="L",F51="S",F51="I"),-1,1)</f>
        <v>52932.77</v>
      </c>
      <c r="AO51" s="853" t="str">
        <f>+VLOOKUP($AJ51,Data_Validation!$A:$D,1,0)</f>
        <v>G0231</v>
      </c>
      <c r="AP51" s="853" t="str">
        <f>+VLOOKUP($AJ51,Data_Validation!$A:$D,3,0)</f>
        <v>Véhicules neufs</v>
      </c>
      <c r="AQ51" s="853" t="str">
        <f>+VLOOKUP($AJ51,Data_Validation!$A:$D,4,0)</f>
        <v>Salaires autres</v>
      </c>
      <c r="AR51" s="853" t="s">
        <v>728</v>
      </c>
      <c r="AS51" s="853" t="str">
        <f>+VLOOKUP($AJ51,Data_Validation!$A:$E,5,0)</f>
        <v/>
      </c>
      <c r="AT51" s="794" t="str">
        <f t="shared" ref="AT51:AU51" si="100">C51</f>
        <v>G0231</v>
      </c>
      <c r="AU51" s="854" t="str">
        <f t="shared" si="100"/>
        <v>SALAIRES AUTRES NEUFS</v>
      </c>
      <c r="AV51" s="794">
        <f t="array" ref="AV51">IFERROR(INDEX(V51:AG51,1,MATCH(Parametres!$B$3,V$1:AG$1,0)-1)*IF(OR(C51="L",C51="S",C51="I"),-1,1),"")</f>
        <v>0</v>
      </c>
      <c r="AW51" s="794">
        <f t="shared" si="6"/>
        <v>0</v>
      </c>
      <c r="AX51" s="794">
        <f t="array" ref="AX51">INDEX(V51:AG51,1,MATCH(Parametres!$B$3,V$1:AG$1,0))*IF(OR(C51="L",C51="S",C51="I"),-1,1)</f>
        <v>0</v>
      </c>
      <c r="AY51" s="853" t="s">
        <v>772</v>
      </c>
      <c r="AZ51" s="853" t="str">
        <f>+VLOOKUP($AJ51,Data_Validation!$A:$E,5,0)</f>
        <v/>
      </c>
    </row>
    <row r="52" ht="15.75" customHeight="1">
      <c r="A52" s="849" t="s">
        <v>1239</v>
      </c>
      <c r="B52" s="849">
        <v>2026.0</v>
      </c>
      <c r="C52" s="849" t="s">
        <v>1336</v>
      </c>
      <c r="D52" s="849" t="s">
        <v>1337</v>
      </c>
      <c r="E52" s="849" t="s">
        <v>768</v>
      </c>
      <c r="F52" s="849" t="s">
        <v>1200</v>
      </c>
      <c r="G52" s="849">
        <v>0.0</v>
      </c>
      <c r="H52" s="849">
        <v>0.0</v>
      </c>
      <c r="I52" s="849">
        <v>0.0</v>
      </c>
      <c r="J52" s="849">
        <v>0.0</v>
      </c>
      <c r="K52" s="849">
        <v>0.0</v>
      </c>
      <c r="L52" s="849">
        <v>0.0</v>
      </c>
      <c r="M52" s="849">
        <v>0.0</v>
      </c>
      <c r="N52" s="849">
        <v>0.0</v>
      </c>
      <c r="O52" s="849">
        <v>0.0</v>
      </c>
      <c r="P52" s="849">
        <v>0.0</v>
      </c>
      <c r="Q52" s="849">
        <v>0.0</v>
      </c>
      <c r="R52" s="849">
        <v>0.0</v>
      </c>
      <c r="S52" s="849">
        <v>0.0</v>
      </c>
      <c r="T52" s="849">
        <v>0.0</v>
      </c>
      <c r="U52" s="849">
        <v>0.0</v>
      </c>
      <c r="V52" s="849">
        <v>0.0</v>
      </c>
      <c r="W52" s="849">
        <v>0.0</v>
      </c>
      <c r="X52" s="849">
        <v>0.0</v>
      </c>
      <c r="Y52" s="849">
        <v>0.0</v>
      </c>
      <c r="Z52" s="849">
        <v>0.0</v>
      </c>
      <c r="AA52" s="849">
        <v>0.0</v>
      </c>
      <c r="AB52" s="849">
        <v>0.0</v>
      </c>
      <c r="AC52" s="849">
        <v>0.0</v>
      </c>
      <c r="AD52" s="849">
        <v>0.0</v>
      </c>
      <c r="AE52" s="849">
        <v>0.0</v>
      </c>
      <c r="AF52" s="849">
        <v>0.0</v>
      </c>
      <c r="AG52" s="849">
        <v>0.0</v>
      </c>
      <c r="AH52" s="849">
        <v>0.0</v>
      </c>
      <c r="AI52" s="849">
        <v>0.0</v>
      </c>
      <c r="AJ52" s="794" t="str">
        <f t="shared" ref="AJ52:AK52" si="101">C52</f>
        <v>G023101</v>
      </c>
      <c r="AK52" s="794" t="str">
        <f t="shared" si="101"/>
        <v>SALAIRES AUTRES NEUFS/USA</v>
      </c>
      <c r="AL52" s="794">
        <f t="array" ref="AL52">IFERROR(INDEX(G52:R52,1,MATCH(Parametres!$B$3,G$1:R$1,0)-1)*IF(OR(F52="L",F52="S",F52="I"),-1,1),"")</f>
        <v>0</v>
      </c>
      <c r="AM52" s="794">
        <f t="shared" si="4"/>
        <v>0</v>
      </c>
      <c r="AN52" s="794">
        <f t="array" ref="AN52">INDEX(G52:R52,1,MATCH(Parametres!$B$3,G$1:R$1,0))*IF(OR(F52="L",F52="S",F52="I"),-1,1)</f>
        <v>0</v>
      </c>
      <c r="AO52" s="853" t="str">
        <f>+VLOOKUP($AJ52,Data_Validation!$A:$D,1,0)</f>
        <v>#N/A</v>
      </c>
      <c r="AP52" s="853" t="str">
        <f>+VLOOKUP($AJ52,Data_Validation!$A:$D,3,0)</f>
        <v>#N/A</v>
      </c>
      <c r="AQ52" s="853" t="str">
        <f>+VLOOKUP($AJ52,Data_Validation!$A:$D,4,0)</f>
        <v>#N/A</v>
      </c>
      <c r="AR52" s="853" t="s">
        <v>728</v>
      </c>
      <c r="AS52" s="853" t="str">
        <f>+VLOOKUP($AJ52,Data_Validation!$A:$E,5,0)</f>
        <v>#N/A</v>
      </c>
      <c r="AT52" s="794" t="str">
        <f t="shared" ref="AT52:AU52" si="102">C52</f>
        <v>G023101</v>
      </c>
      <c r="AU52" s="854" t="str">
        <f t="shared" si="102"/>
        <v>SALAIRES AUTRES NEUFS/USA</v>
      </c>
      <c r="AV52" s="794">
        <f t="array" ref="AV52">IFERROR(INDEX(V52:AG52,1,MATCH(Parametres!$B$3,V$1:AG$1,0)-1)*IF(OR(C52="L",C52="S",C52="I"),-1,1),"")</f>
        <v>0</v>
      </c>
      <c r="AW52" s="794">
        <f t="shared" si="6"/>
        <v>0</v>
      </c>
      <c r="AX52" s="794">
        <f t="array" ref="AX52">INDEX(V52:AG52,1,MATCH(Parametres!$B$3,V$1:AG$1,0))*IF(OR(C52="L",C52="S",C52="I"),-1,1)</f>
        <v>0</v>
      </c>
      <c r="AY52" s="853" t="s">
        <v>772</v>
      </c>
      <c r="AZ52" s="853" t="str">
        <f>+VLOOKUP($AJ52,Data_Validation!$A:$E,5,0)</f>
        <v>#N/A</v>
      </c>
    </row>
    <row r="53" ht="15.0" customHeight="1">
      <c r="A53" s="849" t="s">
        <v>1239</v>
      </c>
      <c r="B53" s="849">
        <v>2026.0</v>
      </c>
      <c r="C53" s="849" t="s">
        <v>1338</v>
      </c>
      <c r="D53" s="849" t="s">
        <v>1339</v>
      </c>
      <c r="E53" s="849" t="s">
        <v>768</v>
      </c>
      <c r="F53" s="849" t="s">
        <v>1200</v>
      </c>
      <c r="G53" s="849">
        <v>76973.2</v>
      </c>
      <c r="H53" s="849">
        <v>84726.0</v>
      </c>
      <c r="I53" s="849">
        <v>132897.99</v>
      </c>
      <c r="J53" s="849">
        <v>196295.59</v>
      </c>
      <c r="K53" s="849">
        <v>7317.6</v>
      </c>
      <c r="L53" s="849">
        <v>8954.85</v>
      </c>
      <c r="M53" s="849">
        <v>11202.49</v>
      </c>
      <c r="N53" s="849">
        <v>13022.53</v>
      </c>
      <c r="O53" s="849">
        <v>15453.89</v>
      </c>
      <c r="P53" s="849">
        <v>16518.5</v>
      </c>
      <c r="Q53" s="849">
        <v>0.0</v>
      </c>
      <c r="R53" s="849">
        <v>0.0</v>
      </c>
      <c r="S53" s="849">
        <v>1717.1</v>
      </c>
      <c r="T53" s="849">
        <v>1717.1</v>
      </c>
      <c r="U53" s="849">
        <v>0.0</v>
      </c>
      <c r="V53" s="849">
        <v>0.0</v>
      </c>
      <c r="W53" s="849">
        <v>0.0</v>
      </c>
      <c r="X53" s="849">
        <v>0.0</v>
      </c>
      <c r="Y53" s="849">
        <v>0.0</v>
      </c>
      <c r="Z53" s="849">
        <v>0.0</v>
      </c>
      <c r="AA53" s="849">
        <v>0.0</v>
      </c>
      <c r="AB53" s="849">
        <v>0.0</v>
      </c>
      <c r="AC53" s="849">
        <v>0.0</v>
      </c>
      <c r="AD53" s="849">
        <v>0.0</v>
      </c>
      <c r="AE53" s="849">
        <v>0.0</v>
      </c>
      <c r="AF53" s="849">
        <v>0.0</v>
      </c>
      <c r="AG53" s="849">
        <v>0.0</v>
      </c>
      <c r="AH53" s="849">
        <v>0.0</v>
      </c>
      <c r="AI53" s="849">
        <v>0.0</v>
      </c>
      <c r="AJ53" s="794" t="str">
        <f t="shared" ref="AJ53:AK53" si="103">C53</f>
        <v>G0232</v>
      </c>
      <c r="AK53" s="794" t="str">
        <f t="shared" si="103"/>
        <v>SALAIRES AUTRES USAGES</v>
      </c>
      <c r="AL53" s="794">
        <f t="array" ref="AL53">IFERROR(INDEX(G53:R53,1,MATCH(Parametres!$B$3,G$1:R$1,0)-1)*IF(OR(F53="L",F53="S",F53="I"),-1,1),"")</f>
        <v>13022.53</v>
      </c>
      <c r="AM53" s="794">
        <f t="shared" si="4"/>
        <v>2431.36</v>
      </c>
      <c r="AN53" s="794">
        <f t="array" ref="AN53">INDEX(G53:R53,1,MATCH(Parametres!$B$3,G$1:R$1,0))*IF(OR(F53="L",F53="S",F53="I"),-1,1)</f>
        <v>15453.89</v>
      </c>
      <c r="AO53" s="853" t="str">
        <f>+VLOOKUP($AJ53,Data_Validation!$A:$D,1,0)</f>
        <v>G0232</v>
      </c>
      <c r="AP53" s="853" t="str">
        <f>+VLOOKUP($AJ53,Data_Validation!$A:$D,3,0)</f>
        <v>Véhicules usagés</v>
      </c>
      <c r="AQ53" s="853" t="str">
        <f>+VLOOKUP($AJ53,Data_Validation!$A:$D,4,0)</f>
        <v>Salaires autres</v>
      </c>
      <c r="AR53" s="853" t="s">
        <v>728</v>
      </c>
      <c r="AS53" s="853" t="str">
        <f>+VLOOKUP($AJ53,Data_Validation!$A:$E,5,0)</f>
        <v/>
      </c>
      <c r="AT53" s="794" t="str">
        <f t="shared" ref="AT53:AU53" si="104">C53</f>
        <v>G0232</v>
      </c>
      <c r="AU53" s="854" t="str">
        <f t="shared" si="104"/>
        <v>SALAIRES AUTRES USAGES</v>
      </c>
      <c r="AV53" s="794">
        <f t="array" ref="AV53">IFERROR(INDEX(V53:AG53,1,MATCH(Parametres!$B$3,V$1:AG$1,0)-1)*IF(OR(C53="L",C53="S",C53="I"),-1,1),"")</f>
        <v>0</v>
      </c>
      <c r="AW53" s="794">
        <f t="shared" si="6"/>
        <v>0</v>
      </c>
      <c r="AX53" s="794">
        <f t="array" ref="AX53">INDEX(V53:AG53,1,MATCH(Parametres!$B$3,V$1:AG$1,0))*IF(OR(C53="L",C53="S",C53="I"),-1,1)</f>
        <v>0</v>
      </c>
      <c r="AY53" s="853" t="s">
        <v>772</v>
      </c>
      <c r="AZ53" s="853" t="str">
        <f>+VLOOKUP($AJ53,Data_Validation!$A:$E,5,0)</f>
        <v/>
      </c>
    </row>
    <row r="54" ht="15.0" customHeight="1">
      <c r="A54" s="849" t="s">
        <v>1239</v>
      </c>
      <c r="B54" s="849">
        <v>2026.0</v>
      </c>
      <c r="C54" s="849" t="s">
        <v>1340</v>
      </c>
      <c r="D54" s="849" t="s">
        <v>1341</v>
      </c>
      <c r="E54" s="849" t="s">
        <v>768</v>
      </c>
      <c r="F54" s="849" t="s">
        <v>1200</v>
      </c>
      <c r="G54" s="849">
        <v>8333.32</v>
      </c>
      <c r="H54" s="849">
        <v>8333.32</v>
      </c>
      <c r="I54" s="849">
        <v>26434.07</v>
      </c>
      <c r="J54" s="849">
        <v>38061.91</v>
      </c>
      <c r="K54" s="849">
        <v>0.0</v>
      </c>
      <c r="L54" s="849">
        <v>0.0</v>
      </c>
      <c r="M54" s="849">
        <v>0.0</v>
      </c>
      <c r="N54" s="849">
        <v>0.0</v>
      </c>
      <c r="O54" s="849">
        <v>0.0</v>
      </c>
      <c r="P54" s="849">
        <v>0.0</v>
      </c>
      <c r="Q54" s="849">
        <v>0.0</v>
      </c>
      <c r="R54" s="849">
        <v>0.0</v>
      </c>
      <c r="S54" s="849">
        <v>0.0</v>
      </c>
      <c r="T54" s="849">
        <v>0.0</v>
      </c>
      <c r="U54" s="849">
        <v>0.0</v>
      </c>
      <c r="V54" s="849">
        <v>0.0</v>
      </c>
      <c r="W54" s="849">
        <v>0.0</v>
      </c>
      <c r="X54" s="849">
        <v>0.0</v>
      </c>
      <c r="Y54" s="849">
        <v>0.0</v>
      </c>
      <c r="Z54" s="849">
        <v>0.0</v>
      </c>
      <c r="AA54" s="849">
        <v>0.0</v>
      </c>
      <c r="AB54" s="849">
        <v>0.0</v>
      </c>
      <c r="AC54" s="849">
        <v>0.0</v>
      </c>
      <c r="AD54" s="849">
        <v>0.0</v>
      </c>
      <c r="AE54" s="849">
        <v>0.0</v>
      </c>
      <c r="AF54" s="849">
        <v>0.0</v>
      </c>
      <c r="AG54" s="849">
        <v>0.0</v>
      </c>
      <c r="AH54" s="849">
        <v>0.0</v>
      </c>
      <c r="AI54" s="849">
        <v>0.0</v>
      </c>
      <c r="AJ54" s="794" t="str">
        <f t="shared" ref="AJ54:AK54" si="105">C54</f>
        <v>G0233</v>
      </c>
      <c r="AK54" s="794" t="str">
        <f t="shared" si="105"/>
        <v>SALAIRES AUTRES U.S.A</v>
      </c>
      <c r="AL54" s="794">
        <f t="array" ref="AL54">IFERROR(INDEX(G54:R54,1,MATCH(Parametres!$B$3,G$1:R$1,0)-1)*IF(OR(F54="L",F54="S",F54="I"),-1,1),"")</f>
        <v>0</v>
      </c>
      <c r="AM54" s="794">
        <f t="shared" si="4"/>
        <v>0</v>
      </c>
      <c r="AN54" s="794">
        <f t="array" ref="AN54">INDEX(G54:R54,1,MATCH(Parametres!$B$3,G$1:R$1,0))*IF(OR(F54="L",F54="S",F54="I"),-1,1)</f>
        <v>0</v>
      </c>
      <c r="AO54" s="853" t="str">
        <f>+VLOOKUP($AJ54,Data_Validation!$A:$D,1,0)</f>
        <v>G0233</v>
      </c>
      <c r="AP54" s="853" t="str">
        <f>+VLOOKUP($AJ54,Data_Validation!$A:$D,3,0)</f>
        <v>Wholesale autres</v>
      </c>
      <c r="AQ54" s="853" t="str">
        <f>+VLOOKUP($AJ54,Data_Validation!$A:$D,4,0)</f>
        <v>Salaires autres</v>
      </c>
      <c r="AR54" s="853" t="s">
        <v>728</v>
      </c>
      <c r="AS54" s="853" t="str">
        <f>+VLOOKUP($AJ54,Data_Validation!$A:$E,5,0)</f>
        <v/>
      </c>
      <c r="AT54" s="794" t="str">
        <f t="shared" ref="AT54:AU54" si="106">C54</f>
        <v>G0233</v>
      </c>
      <c r="AU54" s="854" t="str">
        <f t="shared" si="106"/>
        <v>SALAIRES AUTRES U.S.A</v>
      </c>
      <c r="AV54" s="794">
        <f t="array" ref="AV54">IFERROR(INDEX(V54:AG54,1,MATCH(Parametres!$B$3,V$1:AG$1,0)-1)*IF(OR(C54="L",C54="S",C54="I"),-1,1),"")</f>
        <v>0</v>
      </c>
      <c r="AW54" s="794">
        <f t="shared" si="6"/>
        <v>0</v>
      </c>
      <c r="AX54" s="794">
        <f t="array" ref="AX54">INDEX(V54:AG54,1,MATCH(Parametres!$B$3,V$1:AG$1,0))*IF(OR(C54="L",C54="S",C54="I"),-1,1)</f>
        <v>0</v>
      </c>
      <c r="AY54" s="853" t="s">
        <v>772</v>
      </c>
      <c r="AZ54" s="853" t="str">
        <f>+VLOOKUP($AJ54,Data_Validation!$A:$E,5,0)</f>
        <v/>
      </c>
    </row>
    <row r="55" ht="15.0" customHeight="1">
      <c r="A55" s="849" t="s">
        <v>1239</v>
      </c>
      <c r="B55" s="849">
        <v>2026.0</v>
      </c>
      <c r="C55" s="849" t="s">
        <v>1342</v>
      </c>
      <c r="D55" s="849" t="s">
        <v>1343</v>
      </c>
      <c r="E55" s="849" t="s">
        <v>768</v>
      </c>
      <c r="F55" s="849" t="s">
        <v>1200</v>
      </c>
      <c r="G55" s="849">
        <v>10386.77</v>
      </c>
      <c r="H55" s="849">
        <v>18128.73</v>
      </c>
      <c r="I55" s="849">
        <v>31110.14</v>
      </c>
      <c r="J55" s="849">
        <v>45510.03</v>
      </c>
      <c r="K55" s="849">
        <v>59222.36</v>
      </c>
      <c r="L55" s="849">
        <v>68693.13</v>
      </c>
      <c r="M55" s="849">
        <v>82882.31</v>
      </c>
      <c r="N55" s="849">
        <v>94653.08</v>
      </c>
      <c r="O55" s="849">
        <v>104884.44</v>
      </c>
      <c r="P55" s="849">
        <v>109706.52</v>
      </c>
      <c r="Q55" s="849">
        <v>0.0</v>
      </c>
      <c r="R55" s="849">
        <v>0.0</v>
      </c>
      <c r="S55" s="849">
        <v>11653.83</v>
      </c>
      <c r="T55" s="849">
        <v>11653.83</v>
      </c>
      <c r="U55" s="849">
        <v>0.0</v>
      </c>
      <c r="V55" s="849">
        <v>0.0</v>
      </c>
      <c r="W55" s="849">
        <v>0.0</v>
      </c>
      <c r="X55" s="849">
        <v>0.0</v>
      </c>
      <c r="Y55" s="849">
        <v>0.0</v>
      </c>
      <c r="Z55" s="849">
        <v>0.0</v>
      </c>
      <c r="AA55" s="849">
        <v>0.0</v>
      </c>
      <c r="AB55" s="849">
        <v>0.0</v>
      </c>
      <c r="AC55" s="849">
        <v>0.0</v>
      </c>
      <c r="AD55" s="849">
        <v>0.0</v>
      </c>
      <c r="AE55" s="849">
        <v>0.0</v>
      </c>
      <c r="AF55" s="849">
        <v>0.0</v>
      </c>
      <c r="AG55" s="849">
        <v>0.0</v>
      </c>
      <c r="AH55" s="849">
        <v>0.0</v>
      </c>
      <c r="AI55" s="849">
        <v>0.0</v>
      </c>
      <c r="AJ55" s="794" t="str">
        <f t="shared" ref="AJ55:AK55" si="107">C55</f>
        <v>G0234</v>
      </c>
      <c r="AK55" s="794" t="str">
        <f t="shared" si="107"/>
        <v>SALAIRES AUTRES SERV.</v>
      </c>
      <c r="AL55" s="794">
        <f t="array" ref="AL55">IFERROR(INDEX(G55:R55,1,MATCH(Parametres!$B$3,G$1:R$1,0)-1)*IF(OR(F55="L",F55="S",F55="I"),-1,1),"")</f>
        <v>94653.08</v>
      </c>
      <c r="AM55" s="794">
        <f t="shared" si="4"/>
        <v>10231.36</v>
      </c>
      <c r="AN55" s="794">
        <f t="array" ref="AN55">INDEX(G55:R55,1,MATCH(Parametres!$B$3,G$1:R$1,0))*IF(OR(F55="L",F55="S",F55="I"),-1,1)</f>
        <v>104884.44</v>
      </c>
      <c r="AO55" s="853" t="str">
        <f>+VLOOKUP($AJ55,Data_Validation!$A:$D,1,0)</f>
        <v>G0234</v>
      </c>
      <c r="AP55" s="853" t="str">
        <f>+VLOOKUP($AJ55,Data_Validation!$A:$D,3,0)</f>
        <v>Service</v>
      </c>
      <c r="AQ55" s="853" t="str">
        <f>+VLOOKUP($AJ55,Data_Validation!$A:$D,4,0)</f>
        <v>Salaires autres</v>
      </c>
      <c r="AR55" s="853" t="s">
        <v>728</v>
      </c>
      <c r="AS55" s="853" t="str">
        <f>+VLOOKUP($AJ55,Data_Validation!$A:$E,5,0)</f>
        <v/>
      </c>
      <c r="AT55" s="794" t="str">
        <f t="shared" ref="AT55:AU55" si="108">C55</f>
        <v>G0234</v>
      </c>
      <c r="AU55" s="854" t="str">
        <f t="shared" si="108"/>
        <v>SALAIRES AUTRES SERV.</v>
      </c>
      <c r="AV55" s="794">
        <f t="array" ref="AV55">IFERROR(INDEX(V55:AG55,1,MATCH(Parametres!$B$3,V$1:AG$1,0)-1)*IF(OR(C55="L",C55="S",C55="I"),-1,1),"")</f>
        <v>0</v>
      </c>
      <c r="AW55" s="794">
        <f t="shared" si="6"/>
        <v>0</v>
      </c>
      <c r="AX55" s="794">
        <f t="array" ref="AX55">INDEX(V55:AG55,1,MATCH(Parametres!$B$3,V$1:AG$1,0))*IF(OR(C55="L",C55="S",C55="I"),-1,1)</f>
        <v>0</v>
      </c>
      <c r="AY55" s="853" t="s">
        <v>772</v>
      </c>
      <c r="AZ55" s="853" t="str">
        <f>+VLOOKUP($AJ55,Data_Validation!$A:$E,5,0)</f>
        <v/>
      </c>
    </row>
    <row r="56" ht="15.75" customHeight="1">
      <c r="A56" s="849" t="s">
        <v>1239</v>
      </c>
      <c r="B56" s="849">
        <v>2026.0</v>
      </c>
      <c r="C56" s="849" t="s">
        <v>1344</v>
      </c>
      <c r="D56" s="849" t="s">
        <v>1345</v>
      </c>
      <c r="E56" s="849" t="s">
        <v>768</v>
      </c>
      <c r="F56" s="849" t="s">
        <v>1200</v>
      </c>
      <c r="G56" s="849">
        <v>0.0</v>
      </c>
      <c r="H56" s="849">
        <v>0.0</v>
      </c>
      <c r="I56" s="849">
        <v>0.0</v>
      </c>
      <c r="J56" s="849">
        <v>0.0</v>
      </c>
      <c r="K56" s="849">
        <v>0.0</v>
      </c>
      <c r="L56" s="849">
        <v>15838.4</v>
      </c>
      <c r="M56" s="849">
        <v>31413.0</v>
      </c>
      <c r="N56" s="849">
        <v>40562.14</v>
      </c>
      <c r="O56" s="849">
        <v>50389.74</v>
      </c>
      <c r="P56" s="849">
        <v>54799.24</v>
      </c>
      <c r="Q56" s="849">
        <v>0.0</v>
      </c>
      <c r="R56" s="849">
        <v>0.0</v>
      </c>
      <c r="S56" s="849">
        <v>5598.86</v>
      </c>
      <c r="T56" s="849">
        <v>5598.86</v>
      </c>
      <c r="U56" s="849">
        <v>0.0</v>
      </c>
      <c r="V56" s="849">
        <v>0.0</v>
      </c>
      <c r="W56" s="849">
        <v>0.0</v>
      </c>
      <c r="X56" s="849">
        <v>0.0</v>
      </c>
      <c r="Y56" s="849">
        <v>0.0</v>
      </c>
      <c r="Z56" s="849">
        <v>0.0</v>
      </c>
      <c r="AA56" s="849">
        <v>0.0</v>
      </c>
      <c r="AB56" s="849">
        <v>0.0</v>
      </c>
      <c r="AC56" s="849">
        <v>0.0</v>
      </c>
      <c r="AD56" s="849">
        <v>0.0</v>
      </c>
      <c r="AE56" s="849">
        <v>0.0</v>
      </c>
      <c r="AF56" s="849">
        <v>0.0</v>
      </c>
      <c r="AG56" s="849">
        <v>0.0</v>
      </c>
      <c r="AH56" s="849">
        <v>0.0</v>
      </c>
      <c r="AI56" s="849">
        <v>0.0</v>
      </c>
      <c r="AJ56" s="794" t="str">
        <f t="shared" ref="AJ56:AK56" si="109">C56</f>
        <v>G02344</v>
      </c>
      <c r="AK56" s="794" t="str">
        <f t="shared" si="109"/>
        <v>SALAIRES CONSEILLERS TECH</v>
      </c>
      <c r="AL56" s="794">
        <f t="array" ref="AL56">IFERROR(INDEX(G56:R56,1,MATCH(Parametres!$B$3,G$1:R$1,0)-1)*IF(OR(F56="L",F56="S",F56="I"),-1,1),"")</f>
        <v>40562.14</v>
      </c>
      <c r="AM56" s="794">
        <f t="shared" si="4"/>
        <v>9827.6</v>
      </c>
      <c r="AN56" s="794">
        <f t="array" ref="AN56">INDEX(G56:R56,1,MATCH(Parametres!$B$3,G$1:R$1,0))*IF(OR(F56="L",F56="S",F56="I"),-1,1)</f>
        <v>50389.74</v>
      </c>
      <c r="AO56" s="853" t="str">
        <f>+VLOOKUP($AJ56,Data_Validation!$A:$D,1,0)</f>
        <v>G02344</v>
      </c>
      <c r="AP56" s="853" t="str">
        <f>+VLOOKUP($AJ56,Data_Validation!$A:$D,3,0)</f>
        <v>Service</v>
      </c>
      <c r="AQ56" s="853" t="str">
        <f>+VLOOKUP($AJ56,Data_Validation!$A:$D,4,0)</f>
        <v>Salaires spécialistes</v>
      </c>
      <c r="AR56" s="853" t="s">
        <v>728</v>
      </c>
      <c r="AS56" s="853" t="str">
        <f>+VLOOKUP($AJ56,Data_Validation!$A:$E,5,0)</f>
        <v/>
      </c>
      <c r="AT56" s="794" t="str">
        <f t="shared" ref="AT56:AU56" si="110">C56</f>
        <v>G02344</v>
      </c>
      <c r="AU56" s="854" t="str">
        <f t="shared" si="110"/>
        <v>SALAIRES CONSEILLERS TECH</v>
      </c>
      <c r="AV56" s="794">
        <f t="array" ref="AV56">IFERROR(INDEX(V56:AG56,1,MATCH(Parametres!$B$3,V$1:AG$1,0)-1)*IF(OR(C56="L",C56="S",C56="I"),-1,1),"")</f>
        <v>0</v>
      </c>
      <c r="AW56" s="794">
        <f t="shared" si="6"/>
        <v>0</v>
      </c>
      <c r="AX56" s="794">
        <f t="array" ref="AX56">INDEX(V56:AG56,1,MATCH(Parametres!$B$3,V$1:AG$1,0))*IF(OR(C56="L",C56="S",C56="I"),-1,1)</f>
        <v>0</v>
      </c>
      <c r="AY56" s="853" t="s">
        <v>772</v>
      </c>
      <c r="AZ56" s="853" t="str">
        <f>+VLOOKUP($AJ56,Data_Validation!$A:$E,5,0)</f>
        <v/>
      </c>
    </row>
    <row r="57" ht="15.0" customHeight="1">
      <c r="A57" s="849" t="s">
        <v>1239</v>
      </c>
      <c r="B57" s="849">
        <v>2026.0</v>
      </c>
      <c r="C57" s="849" t="s">
        <v>1346</v>
      </c>
      <c r="D57" s="849" t="s">
        <v>1347</v>
      </c>
      <c r="E57" s="849" t="s">
        <v>768</v>
      </c>
      <c r="F57" s="849" t="s">
        <v>1200</v>
      </c>
      <c r="G57" s="849">
        <v>48.3</v>
      </c>
      <c r="H57" s="849">
        <v>48.3</v>
      </c>
      <c r="I57" s="849">
        <v>1941.3</v>
      </c>
      <c r="J57" s="849">
        <v>2037.28</v>
      </c>
      <c r="K57" s="849">
        <v>1941.3</v>
      </c>
      <c r="L57" s="849">
        <v>2125.35</v>
      </c>
      <c r="M57" s="849">
        <v>3385.15</v>
      </c>
      <c r="N57" s="849">
        <v>3759.42</v>
      </c>
      <c r="O57" s="849">
        <v>6507.27</v>
      </c>
      <c r="P57" s="849">
        <v>6671.3</v>
      </c>
      <c r="Q57" s="849">
        <v>0.0</v>
      </c>
      <c r="R57" s="849">
        <v>0.0</v>
      </c>
      <c r="S57" s="849">
        <v>723.03</v>
      </c>
      <c r="T57" s="849">
        <v>723.03</v>
      </c>
      <c r="U57" s="849">
        <v>0.0</v>
      </c>
      <c r="V57" s="849">
        <v>0.0</v>
      </c>
      <c r="W57" s="849">
        <v>0.0</v>
      </c>
      <c r="X57" s="849">
        <v>0.0</v>
      </c>
      <c r="Y57" s="849">
        <v>0.0</v>
      </c>
      <c r="Z57" s="849">
        <v>0.0</v>
      </c>
      <c r="AA57" s="849">
        <v>0.0</v>
      </c>
      <c r="AB57" s="849">
        <v>0.0</v>
      </c>
      <c r="AC57" s="849">
        <v>0.0</v>
      </c>
      <c r="AD57" s="849">
        <v>0.0</v>
      </c>
      <c r="AE57" s="849">
        <v>0.0</v>
      </c>
      <c r="AF57" s="849">
        <v>0.0</v>
      </c>
      <c r="AG57" s="849">
        <v>0.0</v>
      </c>
      <c r="AH57" s="849">
        <v>0.0</v>
      </c>
      <c r="AI57" s="849">
        <v>0.0</v>
      </c>
      <c r="AJ57" s="794" t="str">
        <f t="shared" ref="AJ57:AK57" si="111">C57</f>
        <v>G0235</v>
      </c>
      <c r="AK57" s="794" t="str">
        <f t="shared" si="111"/>
        <v>SALAIRES AUTRES CARR.</v>
      </c>
      <c r="AL57" s="794">
        <f t="array" ref="AL57">IFERROR(INDEX(G57:R57,1,MATCH(Parametres!$B$3,G$1:R$1,0)-1)*IF(OR(F57="L",F57="S",F57="I"),-1,1),"")</f>
        <v>3759.42</v>
      </c>
      <c r="AM57" s="794">
        <f t="shared" si="4"/>
        <v>2747.85</v>
      </c>
      <c r="AN57" s="794">
        <f t="array" ref="AN57">INDEX(G57:R57,1,MATCH(Parametres!$B$3,G$1:R$1,0))*IF(OR(F57="L",F57="S",F57="I"),-1,1)</f>
        <v>6507.27</v>
      </c>
      <c r="AO57" s="853" t="str">
        <f>+VLOOKUP($AJ57,Data_Validation!$A:$D,1,0)</f>
        <v>G0235</v>
      </c>
      <c r="AP57" s="853" t="str">
        <f>+VLOOKUP($AJ57,Data_Validation!$A:$D,3,0)</f>
        <v>Carrosserie</v>
      </c>
      <c r="AQ57" s="853" t="str">
        <f>+VLOOKUP($AJ57,Data_Validation!$A:$D,4,0)</f>
        <v>Salaires autres</v>
      </c>
      <c r="AR57" s="853" t="s">
        <v>728</v>
      </c>
      <c r="AS57" s="853" t="str">
        <f>+VLOOKUP($AJ57,Data_Validation!$A:$E,5,0)</f>
        <v/>
      </c>
      <c r="AT57" s="794" t="str">
        <f t="shared" ref="AT57:AU57" si="112">C57</f>
        <v>G0235</v>
      </c>
      <c r="AU57" s="854" t="str">
        <f t="shared" si="112"/>
        <v>SALAIRES AUTRES CARR.</v>
      </c>
      <c r="AV57" s="794">
        <f t="array" ref="AV57">IFERROR(INDEX(V57:AG57,1,MATCH(Parametres!$B$3,V$1:AG$1,0)-1)*IF(OR(C57="L",C57="S",C57="I"),-1,1),"")</f>
        <v>0</v>
      </c>
      <c r="AW57" s="794">
        <f t="shared" si="6"/>
        <v>0</v>
      </c>
      <c r="AX57" s="794">
        <f t="array" ref="AX57">INDEX(V57:AG57,1,MATCH(Parametres!$B$3,V$1:AG$1,0))*IF(OR(C57="L",C57="S",C57="I"),-1,1)</f>
        <v>0</v>
      </c>
      <c r="AY57" s="853" t="s">
        <v>772</v>
      </c>
      <c r="AZ57" s="853" t="str">
        <f>+VLOOKUP($AJ57,Data_Validation!$A:$E,5,0)</f>
        <v/>
      </c>
    </row>
    <row r="58" ht="15.0" customHeight="1">
      <c r="A58" s="849" t="s">
        <v>1239</v>
      </c>
      <c r="B58" s="849">
        <v>2026.0</v>
      </c>
      <c r="C58" s="849" t="s">
        <v>1348</v>
      </c>
      <c r="D58" s="849" t="s">
        <v>1349</v>
      </c>
      <c r="E58" s="849" t="s">
        <v>768</v>
      </c>
      <c r="F58" s="849" t="s">
        <v>1200</v>
      </c>
      <c r="G58" s="849">
        <v>17492.64</v>
      </c>
      <c r="H58" s="849">
        <v>35565.16</v>
      </c>
      <c r="I58" s="849">
        <v>61199.23</v>
      </c>
      <c r="J58" s="849">
        <v>82819.16</v>
      </c>
      <c r="K58" s="849">
        <v>102007.8</v>
      </c>
      <c r="L58" s="849">
        <v>118770.67</v>
      </c>
      <c r="M58" s="849">
        <v>132388.03</v>
      </c>
      <c r="N58" s="849">
        <v>146709.36</v>
      </c>
      <c r="O58" s="849">
        <v>159943.8</v>
      </c>
      <c r="P58" s="849">
        <v>166648.6</v>
      </c>
      <c r="Q58" s="849">
        <v>0.0</v>
      </c>
      <c r="R58" s="849">
        <v>0.0</v>
      </c>
      <c r="S58" s="849">
        <v>17771.53</v>
      </c>
      <c r="T58" s="849">
        <v>17771.53</v>
      </c>
      <c r="U58" s="849">
        <v>0.0</v>
      </c>
      <c r="V58" s="849">
        <v>0.0</v>
      </c>
      <c r="W58" s="849">
        <v>0.0</v>
      </c>
      <c r="X58" s="849">
        <v>0.0</v>
      </c>
      <c r="Y58" s="849">
        <v>0.0</v>
      </c>
      <c r="Z58" s="849">
        <v>0.0</v>
      </c>
      <c r="AA58" s="849">
        <v>0.0</v>
      </c>
      <c r="AB58" s="849">
        <v>0.0</v>
      </c>
      <c r="AC58" s="849">
        <v>0.0</v>
      </c>
      <c r="AD58" s="849">
        <v>0.0</v>
      </c>
      <c r="AE58" s="849">
        <v>0.0</v>
      </c>
      <c r="AF58" s="849">
        <v>0.0</v>
      </c>
      <c r="AG58" s="849">
        <v>0.0</v>
      </c>
      <c r="AH58" s="849">
        <v>0.0</v>
      </c>
      <c r="AI58" s="849">
        <v>0.0</v>
      </c>
      <c r="AJ58" s="794" t="str">
        <f t="shared" ref="AJ58:AK58" si="113">C58</f>
        <v>G0236</v>
      </c>
      <c r="AK58" s="794" t="str">
        <f t="shared" si="113"/>
        <v>SALAIRES AUTRES PCES</v>
      </c>
      <c r="AL58" s="794">
        <f t="array" ref="AL58">IFERROR(INDEX(G58:R58,1,MATCH(Parametres!$B$3,G$1:R$1,0)-1)*IF(OR(F58="L",F58="S",F58="I"),-1,1),"")</f>
        <v>146709.36</v>
      </c>
      <c r="AM58" s="794">
        <f t="shared" si="4"/>
        <v>13234.44</v>
      </c>
      <c r="AN58" s="794">
        <f t="array" ref="AN58">INDEX(G58:R58,1,MATCH(Parametres!$B$3,G$1:R$1,0))*IF(OR(F58="L",F58="S",F58="I"),-1,1)</f>
        <v>159943.8</v>
      </c>
      <c r="AO58" s="853" t="str">
        <f>+VLOOKUP($AJ58,Data_Validation!$A:$D,1,0)</f>
        <v>G0236</v>
      </c>
      <c r="AP58" s="853" t="str">
        <f>+VLOOKUP($AJ58,Data_Validation!$A:$D,3,0)</f>
        <v>Pièces</v>
      </c>
      <c r="AQ58" s="853" t="str">
        <f>+VLOOKUP($AJ58,Data_Validation!$A:$D,4,0)</f>
        <v>Salaires autres</v>
      </c>
      <c r="AR58" s="853" t="s">
        <v>728</v>
      </c>
      <c r="AS58" s="853" t="str">
        <f>+VLOOKUP($AJ58,Data_Validation!$A:$E,5,0)</f>
        <v/>
      </c>
      <c r="AT58" s="794" t="str">
        <f t="shared" ref="AT58:AU58" si="114">C58</f>
        <v>G0236</v>
      </c>
      <c r="AU58" s="854" t="str">
        <f t="shared" si="114"/>
        <v>SALAIRES AUTRES PCES</v>
      </c>
      <c r="AV58" s="794">
        <f t="array" ref="AV58">IFERROR(INDEX(V58:AG58,1,MATCH(Parametres!$B$3,V$1:AG$1,0)-1)*IF(OR(C58="L",C58="S",C58="I"),-1,1),"")</f>
        <v>0</v>
      </c>
      <c r="AW58" s="794">
        <f t="shared" si="6"/>
        <v>0</v>
      </c>
      <c r="AX58" s="794">
        <f t="array" ref="AX58">INDEX(V58:AG58,1,MATCH(Parametres!$B$3,V$1:AG$1,0))*IF(OR(C58="L",C58="S",C58="I"),-1,1)</f>
        <v>0</v>
      </c>
      <c r="AY58" s="853" t="s">
        <v>772</v>
      </c>
      <c r="AZ58" s="853" t="str">
        <f>+VLOOKUP($AJ58,Data_Validation!$A:$E,5,0)</f>
        <v/>
      </c>
    </row>
    <row r="59" ht="15.0" customHeight="1">
      <c r="A59" s="849" t="s">
        <v>1239</v>
      </c>
      <c r="B59" s="849">
        <v>2026.0</v>
      </c>
      <c r="C59" s="849" t="s">
        <v>1350</v>
      </c>
      <c r="D59" s="849" t="s">
        <v>1351</v>
      </c>
      <c r="E59" s="849" t="s">
        <v>768</v>
      </c>
      <c r="F59" s="849" t="s">
        <v>1200</v>
      </c>
      <c r="G59" s="849">
        <v>0.0</v>
      </c>
      <c r="H59" s="849">
        <v>0.0</v>
      </c>
      <c r="I59" s="849">
        <v>0.0</v>
      </c>
      <c r="J59" s="849">
        <v>0.0</v>
      </c>
      <c r="K59" s="849">
        <v>0.0</v>
      </c>
      <c r="L59" s="849">
        <v>0.0</v>
      </c>
      <c r="M59" s="849">
        <v>1646.34</v>
      </c>
      <c r="N59" s="849">
        <v>2021.34</v>
      </c>
      <c r="O59" s="849">
        <v>4046.34</v>
      </c>
      <c r="P59" s="849">
        <v>4796.34</v>
      </c>
      <c r="Q59" s="849">
        <v>0.0</v>
      </c>
      <c r="R59" s="849">
        <v>0.0</v>
      </c>
      <c r="S59" s="849">
        <v>449.59</v>
      </c>
      <c r="T59" s="849">
        <v>449.59</v>
      </c>
      <c r="U59" s="849">
        <v>0.0</v>
      </c>
      <c r="V59" s="849">
        <v>0.0</v>
      </c>
      <c r="W59" s="849">
        <v>0.0</v>
      </c>
      <c r="X59" s="849">
        <v>0.0</v>
      </c>
      <c r="Y59" s="849">
        <v>0.0</v>
      </c>
      <c r="Z59" s="849">
        <v>0.0</v>
      </c>
      <c r="AA59" s="849">
        <v>0.0</v>
      </c>
      <c r="AB59" s="849">
        <v>0.0</v>
      </c>
      <c r="AC59" s="849">
        <v>0.0</v>
      </c>
      <c r="AD59" s="849">
        <v>0.0</v>
      </c>
      <c r="AE59" s="849">
        <v>0.0</v>
      </c>
      <c r="AF59" s="849">
        <v>0.0</v>
      </c>
      <c r="AG59" s="849">
        <v>0.0</v>
      </c>
      <c r="AH59" s="849">
        <v>0.0</v>
      </c>
      <c r="AI59" s="849">
        <v>0.0</v>
      </c>
      <c r="AJ59" s="794" t="str">
        <f t="shared" ref="AJ59:AK59" si="115">C59</f>
        <v>G0237</v>
      </c>
      <c r="AK59" s="794" t="str">
        <f t="shared" si="115"/>
        <v>SALAIRES AUTRES SAAQ</v>
      </c>
      <c r="AL59" s="794">
        <f t="array" ref="AL59">IFERROR(INDEX(G59:R59,1,MATCH(Parametres!$B$3,G$1:R$1,0)-1)*IF(OR(F59="L",F59="S",F59="I"),-1,1),"")</f>
        <v>2021.34</v>
      </c>
      <c r="AM59" s="794">
        <f t="shared" si="4"/>
        <v>2025</v>
      </c>
      <c r="AN59" s="794">
        <f t="array" ref="AN59">INDEX(G59:R59,1,MATCH(Parametres!$B$3,G$1:R$1,0))*IF(OR(F59="L",F59="S",F59="I"),-1,1)</f>
        <v>4046.34</v>
      </c>
      <c r="AO59" s="853" t="str">
        <f>+VLOOKUP($AJ59,Data_Validation!$A:$D,1,0)</f>
        <v>G0237</v>
      </c>
      <c r="AP59" s="853" t="str">
        <f>+VLOOKUP($AJ59,Data_Validation!$A:$D,3,0)</f>
        <v>SAAQ</v>
      </c>
      <c r="AQ59" s="853" t="str">
        <f>+VLOOKUP($AJ59,Data_Validation!$A:$D,4,0)</f>
        <v>Salaires autres</v>
      </c>
      <c r="AR59" s="853" t="s">
        <v>728</v>
      </c>
      <c r="AS59" s="853" t="str">
        <f>+VLOOKUP($AJ59,Data_Validation!$A:$E,5,0)</f>
        <v/>
      </c>
      <c r="AT59" s="794" t="str">
        <f t="shared" ref="AT59:AU59" si="116">C59</f>
        <v>G0237</v>
      </c>
      <c r="AU59" s="854" t="str">
        <f t="shared" si="116"/>
        <v>SALAIRES AUTRES SAAQ</v>
      </c>
      <c r="AV59" s="794">
        <f t="array" ref="AV59">IFERROR(INDEX(V59:AG59,1,MATCH(Parametres!$B$3,V$1:AG$1,0)-1)*IF(OR(C59="L",C59="S",C59="I"),-1,1),"")</f>
        <v>0</v>
      </c>
      <c r="AW59" s="794">
        <f t="shared" si="6"/>
        <v>0</v>
      </c>
      <c r="AX59" s="794">
        <f t="array" ref="AX59">INDEX(V59:AG59,1,MATCH(Parametres!$B$3,V$1:AG$1,0))*IF(OR(C59="L",C59="S",C59="I"),-1,1)</f>
        <v>0</v>
      </c>
      <c r="AY59" s="853" t="s">
        <v>772</v>
      </c>
      <c r="AZ59" s="853" t="str">
        <f>+VLOOKUP($AJ59,Data_Validation!$A:$E,5,0)</f>
        <v/>
      </c>
    </row>
    <row r="60" ht="15.0" customHeight="1">
      <c r="A60" s="849" t="s">
        <v>1239</v>
      </c>
      <c r="B60" s="849">
        <v>2026.0</v>
      </c>
      <c r="C60" s="849" t="s">
        <v>1352</v>
      </c>
      <c r="D60" s="849" t="s">
        <v>1353</v>
      </c>
      <c r="E60" s="849" t="s">
        <v>768</v>
      </c>
      <c r="F60" s="849" t="s">
        <v>1200</v>
      </c>
      <c r="G60" s="849">
        <v>0.0</v>
      </c>
      <c r="H60" s="849">
        <v>0.0</v>
      </c>
      <c r="I60" s="849">
        <v>0.0</v>
      </c>
      <c r="J60" s="849">
        <v>0.0</v>
      </c>
      <c r="K60" s="849">
        <v>0.0</v>
      </c>
      <c r="L60" s="849">
        <v>0.0</v>
      </c>
      <c r="M60" s="849">
        <v>0.0</v>
      </c>
      <c r="N60" s="849">
        <v>0.0</v>
      </c>
      <c r="O60" s="849">
        <v>0.0</v>
      </c>
      <c r="P60" s="849">
        <v>0.0</v>
      </c>
      <c r="Q60" s="849">
        <v>0.0</v>
      </c>
      <c r="R60" s="849">
        <v>0.0</v>
      </c>
      <c r="S60" s="849">
        <v>0.0</v>
      </c>
      <c r="T60" s="849">
        <v>0.0</v>
      </c>
      <c r="U60" s="849">
        <v>0.0</v>
      </c>
      <c r="V60" s="849">
        <v>0.0</v>
      </c>
      <c r="W60" s="849">
        <v>0.0</v>
      </c>
      <c r="X60" s="849">
        <v>0.0</v>
      </c>
      <c r="Y60" s="849">
        <v>0.0</v>
      </c>
      <c r="Z60" s="849">
        <v>0.0</v>
      </c>
      <c r="AA60" s="849">
        <v>0.0</v>
      </c>
      <c r="AB60" s="849">
        <v>0.0</v>
      </c>
      <c r="AC60" s="849">
        <v>0.0</v>
      </c>
      <c r="AD60" s="849">
        <v>0.0</v>
      </c>
      <c r="AE60" s="849">
        <v>0.0</v>
      </c>
      <c r="AF60" s="849">
        <v>0.0</v>
      </c>
      <c r="AG60" s="849">
        <v>0.0</v>
      </c>
      <c r="AH60" s="849">
        <v>0.0</v>
      </c>
      <c r="AI60" s="849">
        <v>0.0</v>
      </c>
      <c r="AJ60" s="794" t="str">
        <f t="shared" ref="AJ60:AK60" si="117">C60</f>
        <v>G0240</v>
      </c>
      <c r="AK60" s="794" t="str">
        <f t="shared" si="117"/>
        <v>CONGES PAYÉS REP.</v>
      </c>
      <c r="AL60" s="794">
        <f t="array" ref="AL60">IFERROR(INDEX(G60:R60,1,MATCH(Parametres!$B$3,G$1:R$1,0)-1)*IF(OR(F60="L",F60="S",F60="I"),-1,1),"")</f>
        <v>0</v>
      </c>
      <c r="AM60" s="794">
        <f t="shared" si="4"/>
        <v>0</v>
      </c>
      <c r="AN60" s="794">
        <f t="array" ref="AN60">INDEX(G60:R60,1,MATCH(Parametres!$B$3,G$1:R$1,0))*IF(OR(F60="L",F60="S",F60="I"),-1,1)</f>
        <v>0</v>
      </c>
      <c r="AO60" s="853" t="str">
        <f>+VLOOKUP($AJ60,Data_Validation!$A:$D,1,0)</f>
        <v>#N/A</v>
      </c>
      <c r="AP60" s="853" t="str">
        <f>+VLOOKUP($AJ60,Data_Validation!$A:$D,3,0)</f>
        <v>#N/A</v>
      </c>
      <c r="AQ60" s="853" t="str">
        <f>+VLOOKUP($AJ60,Data_Validation!$A:$D,4,0)</f>
        <v>#N/A</v>
      </c>
      <c r="AR60" s="853" t="s">
        <v>728</v>
      </c>
      <c r="AS60" s="853" t="str">
        <f>+VLOOKUP($AJ60,Data_Validation!$A:$E,5,0)</f>
        <v>#N/A</v>
      </c>
      <c r="AT60" s="794" t="str">
        <f t="shared" ref="AT60:AU60" si="118">C60</f>
        <v>G0240</v>
      </c>
      <c r="AU60" s="854" t="str">
        <f t="shared" si="118"/>
        <v>CONGES PAYÉS REP.</v>
      </c>
      <c r="AV60" s="794">
        <f t="array" ref="AV60">IFERROR(INDEX(V60:AG60,1,MATCH(Parametres!$B$3,V$1:AG$1,0)-1)*IF(OR(C60="L",C60="S",C60="I"),-1,1),"")</f>
        <v>0</v>
      </c>
      <c r="AW60" s="794">
        <f t="shared" si="6"/>
        <v>0</v>
      </c>
      <c r="AX60" s="794">
        <f t="array" ref="AX60">INDEX(V60:AG60,1,MATCH(Parametres!$B$3,V$1:AG$1,0))*IF(OR(C60="L",C60="S",C60="I"),-1,1)</f>
        <v>0</v>
      </c>
      <c r="AY60" s="853" t="s">
        <v>772</v>
      </c>
      <c r="AZ60" s="853" t="str">
        <f>+VLOOKUP($AJ60,Data_Validation!$A:$E,5,0)</f>
        <v>#N/A</v>
      </c>
    </row>
    <row r="61" ht="15.0" customHeight="1">
      <c r="A61" s="849" t="s">
        <v>1239</v>
      </c>
      <c r="B61" s="849">
        <v>2026.0</v>
      </c>
      <c r="C61" s="849" t="s">
        <v>1354</v>
      </c>
      <c r="D61" s="849" t="s">
        <v>1355</v>
      </c>
      <c r="E61" s="849" t="s">
        <v>768</v>
      </c>
      <c r="F61" s="849" t="s">
        <v>1200</v>
      </c>
      <c r="G61" s="849">
        <v>0.0</v>
      </c>
      <c r="H61" s="849">
        <v>0.0</v>
      </c>
      <c r="I61" s="849">
        <v>0.0</v>
      </c>
      <c r="J61" s="849">
        <v>0.0</v>
      </c>
      <c r="K61" s="849">
        <v>0.0</v>
      </c>
      <c r="L61" s="849">
        <v>0.0</v>
      </c>
      <c r="M61" s="849">
        <v>0.0</v>
      </c>
      <c r="N61" s="849">
        <v>0.0</v>
      </c>
      <c r="O61" s="849">
        <v>0.0</v>
      </c>
      <c r="P61" s="849">
        <v>0.0</v>
      </c>
      <c r="Q61" s="849">
        <v>0.0</v>
      </c>
      <c r="R61" s="849">
        <v>0.0</v>
      </c>
      <c r="S61" s="849">
        <v>0.0</v>
      </c>
      <c r="T61" s="849">
        <v>0.0</v>
      </c>
      <c r="U61" s="849">
        <v>0.0</v>
      </c>
      <c r="V61" s="849">
        <v>0.0</v>
      </c>
      <c r="W61" s="849">
        <v>0.0</v>
      </c>
      <c r="X61" s="849">
        <v>0.0</v>
      </c>
      <c r="Y61" s="849">
        <v>0.0</v>
      </c>
      <c r="Z61" s="849">
        <v>0.0</v>
      </c>
      <c r="AA61" s="849">
        <v>0.0</v>
      </c>
      <c r="AB61" s="849">
        <v>0.0</v>
      </c>
      <c r="AC61" s="849">
        <v>0.0</v>
      </c>
      <c r="AD61" s="849">
        <v>0.0</v>
      </c>
      <c r="AE61" s="849">
        <v>0.0</v>
      </c>
      <c r="AF61" s="849">
        <v>0.0</v>
      </c>
      <c r="AG61" s="849">
        <v>0.0</v>
      </c>
      <c r="AH61" s="849">
        <v>0.0</v>
      </c>
      <c r="AI61" s="849">
        <v>0.0</v>
      </c>
      <c r="AJ61" s="794" t="str">
        <f t="shared" ref="AJ61:AK61" si="119">C61</f>
        <v>G02401</v>
      </c>
      <c r="AK61" s="794" t="str">
        <f t="shared" si="119"/>
        <v>CONGES PAYES NEUFS/USAGE</v>
      </c>
      <c r="AL61" s="794">
        <f t="array" ref="AL61">IFERROR(INDEX(G61:R61,1,MATCH(Parametres!$B$3,G$1:R$1,0)-1)*IF(OR(F61="L",F61="S",F61="I"),-1,1),"")</f>
        <v>0</v>
      </c>
      <c r="AM61" s="794">
        <f t="shared" si="4"/>
        <v>0</v>
      </c>
      <c r="AN61" s="794">
        <f t="array" ref="AN61">INDEX(G61:R61,1,MATCH(Parametres!$B$3,G$1:R$1,0))*IF(OR(F61="L",F61="S",F61="I"),-1,1)</f>
        <v>0</v>
      </c>
      <c r="AO61" s="853" t="str">
        <f>+VLOOKUP($AJ61,Data_Validation!$A:$D,1,0)</f>
        <v>#N/A</v>
      </c>
      <c r="AP61" s="853" t="str">
        <f>+VLOOKUP($AJ61,Data_Validation!$A:$D,3,0)</f>
        <v>#N/A</v>
      </c>
      <c r="AQ61" s="853" t="str">
        <f>+VLOOKUP($AJ61,Data_Validation!$A:$D,4,0)</f>
        <v>#N/A</v>
      </c>
      <c r="AR61" s="853" t="s">
        <v>728</v>
      </c>
      <c r="AS61" s="853" t="str">
        <f>+VLOOKUP($AJ61,Data_Validation!$A:$E,5,0)</f>
        <v>#N/A</v>
      </c>
      <c r="AT61" s="794" t="str">
        <f t="shared" ref="AT61:AU61" si="120">C61</f>
        <v>G02401</v>
      </c>
      <c r="AU61" s="854" t="str">
        <f t="shared" si="120"/>
        <v>CONGES PAYES NEUFS/USAGE</v>
      </c>
      <c r="AV61" s="794">
        <f t="array" ref="AV61">IFERROR(INDEX(V61:AG61,1,MATCH(Parametres!$B$3,V$1:AG$1,0)-1)*IF(OR(C61="L",C61="S",C61="I"),-1,1),"")</f>
        <v>0</v>
      </c>
      <c r="AW61" s="794">
        <f t="shared" si="6"/>
        <v>0</v>
      </c>
      <c r="AX61" s="794">
        <f t="array" ref="AX61">INDEX(V61:AG61,1,MATCH(Parametres!$B$3,V$1:AG$1,0))*IF(OR(C61="L",C61="S",C61="I"),-1,1)</f>
        <v>0</v>
      </c>
      <c r="AY61" s="853" t="s">
        <v>772</v>
      </c>
      <c r="AZ61" s="853" t="str">
        <f>+VLOOKUP($AJ61,Data_Validation!$A:$E,5,0)</f>
        <v>#N/A</v>
      </c>
    </row>
    <row r="62" ht="15.0" customHeight="1">
      <c r="A62" s="849" t="s">
        <v>1239</v>
      </c>
      <c r="B62" s="849">
        <v>2026.0</v>
      </c>
      <c r="C62" s="849" t="s">
        <v>1356</v>
      </c>
      <c r="D62" s="849" t="s">
        <v>1357</v>
      </c>
      <c r="E62" s="849" t="s">
        <v>768</v>
      </c>
      <c r="F62" s="849" t="s">
        <v>1200</v>
      </c>
      <c r="G62" s="849">
        <v>9990.41</v>
      </c>
      <c r="H62" s="849">
        <v>15660.35</v>
      </c>
      <c r="I62" s="849">
        <v>22868.49</v>
      </c>
      <c r="J62" s="849">
        <v>33766.5</v>
      </c>
      <c r="K62" s="849">
        <v>39949.95</v>
      </c>
      <c r="L62" s="849">
        <v>47903.29</v>
      </c>
      <c r="M62" s="849">
        <v>54313.03</v>
      </c>
      <c r="N62" s="849">
        <v>59170.24</v>
      </c>
      <c r="O62" s="849">
        <v>66223.7</v>
      </c>
      <c r="P62" s="849">
        <v>68355.12</v>
      </c>
      <c r="Q62" s="849">
        <v>0.0</v>
      </c>
      <c r="R62" s="849">
        <v>0.0</v>
      </c>
      <c r="S62" s="849">
        <v>7358.19</v>
      </c>
      <c r="T62" s="849">
        <v>7358.19</v>
      </c>
      <c r="U62" s="849">
        <v>0.0</v>
      </c>
      <c r="V62" s="849">
        <v>0.0</v>
      </c>
      <c r="W62" s="849">
        <v>0.0</v>
      </c>
      <c r="X62" s="849">
        <v>0.0</v>
      </c>
      <c r="Y62" s="849">
        <v>0.0</v>
      </c>
      <c r="Z62" s="849">
        <v>0.0</v>
      </c>
      <c r="AA62" s="849">
        <v>0.0</v>
      </c>
      <c r="AB62" s="849">
        <v>0.0</v>
      </c>
      <c r="AC62" s="849">
        <v>0.0</v>
      </c>
      <c r="AD62" s="849">
        <v>0.0</v>
      </c>
      <c r="AE62" s="849">
        <v>0.0</v>
      </c>
      <c r="AF62" s="849">
        <v>0.0</v>
      </c>
      <c r="AG62" s="849">
        <v>0.0</v>
      </c>
      <c r="AH62" s="849">
        <v>0.0</v>
      </c>
      <c r="AI62" s="849">
        <v>0.0</v>
      </c>
      <c r="AJ62" s="794" t="str">
        <f t="shared" ref="AJ62:AK62" si="121">C62</f>
        <v>G0241</v>
      </c>
      <c r="AK62" s="794" t="str">
        <f t="shared" si="121"/>
        <v>CONGES PAYES NEUFS</v>
      </c>
      <c r="AL62" s="794">
        <f t="array" ref="AL62">IFERROR(INDEX(G62:R62,1,MATCH(Parametres!$B$3,G$1:R$1,0)-1)*IF(OR(F62="L",F62="S",F62="I"),-1,1),"")</f>
        <v>59170.24</v>
      </c>
      <c r="AM62" s="794">
        <f t="shared" si="4"/>
        <v>7053.46</v>
      </c>
      <c r="AN62" s="794">
        <f t="array" ref="AN62">INDEX(G62:R62,1,MATCH(Parametres!$B$3,G$1:R$1,0))*IF(OR(F62="L",F62="S",F62="I"),-1,1)</f>
        <v>66223.7</v>
      </c>
      <c r="AO62" s="853" t="str">
        <f>+VLOOKUP($AJ62,Data_Validation!$A:$D,1,0)</f>
        <v>G0241</v>
      </c>
      <c r="AP62" s="853" t="str">
        <f>+VLOOKUP($AJ62,Data_Validation!$A:$D,3,0)</f>
        <v>Véhicules neufs</v>
      </c>
      <c r="AQ62" s="853" t="str">
        <f>+VLOOKUP($AJ62,Data_Validation!$A:$D,4,0)</f>
        <v>Salaires en absences</v>
      </c>
      <c r="AR62" s="853" t="s">
        <v>728</v>
      </c>
      <c r="AS62" s="853" t="str">
        <f>+VLOOKUP($AJ62,Data_Validation!$A:$E,5,0)</f>
        <v/>
      </c>
      <c r="AT62" s="794" t="str">
        <f t="shared" ref="AT62:AU62" si="122">C62</f>
        <v>G0241</v>
      </c>
      <c r="AU62" s="854" t="str">
        <f t="shared" si="122"/>
        <v>CONGES PAYES NEUFS</v>
      </c>
      <c r="AV62" s="794">
        <f t="array" ref="AV62">IFERROR(INDEX(V62:AG62,1,MATCH(Parametres!$B$3,V$1:AG$1,0)-1)*IF(OR(C62="L",C62="S",C62="I"),-1,1),"")</f>
        <v>0</v>
      </c>
      <c r="AW62" s="794">
        <f t="shared" si="6"/>
        <v>0</v>
      </c>
      <c r="AX62" s="794">
        <f t="array" ref="AX62">INDEX(V62:AG62,1,MATCH(Parametres!$B$3,V$1:AG$1,0))*IF(OR(C62="L",C62="S",C62="I"),-1,1)</f>
        <v>0</v>
      </c>
      <c r="AY62" s="853" t="s">
        <v>772</v>
      </c>
      <c r="AZ62" s="853" t="str">
        <f>+VLOOKUP($AJ62,Data_Validation!$A:$E,5,0)</f>
        <v/>
      </c>
    </row>
    <row r="63" ht="15.0" customHeight="1">
      <c r="A63" s="849" t="s">
        <v>1239</v>
      </c>
      <c r="B63" s="849">
        <v>2026.0</v>
      </c>
      <c r="C63" s="849" t="s">
        <v>1358</v>
      </c>
      <c r="D63" s="849" t="s">
        <v>1359</v>
      </c>
      <c r="E63" s="849" t="s">
        <v>768</v>
      </c>
      <c r="F63" s="849" t="s">
        <v>1200</v>
      </c>
      <c r="G63" s="849">
        <v>1688.51</v>
      </c>
      <c r="H63" s="849">
        <v>2274.88</v>
      </c>
      <c r="I63" s="849">
        <v>2951.84</v>
      </c>
      <c r="J63" s="849">
        <v>9930.27</v>
      </c>
      <c r="K63" s="849">
        <v>13892.85</v>
      </c>
      <c r="L63" s="849">
        <v>17652.78</v>
      </c>
      <c r="M63" s="849">
        <v>21175.08</v>
      </c>
      <c r="N63" s="849">
        <v>23492.53</v>
      </c>
      <c r="O63" s="849">
        <v>27270.26</v>
      </c>
      <c r="P63" s="849">
        <v>28639.82</v>
      </c>
      <c r="Q63" s="849">
        <v>0.0</v>
      </c>
      <c r="R63" s="849">
        <v>0.0</v>
      </c>
      <c r="S63" s="849">
        <v>3030.03</v>
      </c>
      <c r="T63" s="849">
        <v>3030.03</v>
      </c>
      <c r="U63" s="849">
        <v>0.0</v>
      </c>
      <c r="V63" s="849">
        <v>0.0</v>
      </c>
      <c r="W63" s="849">
        <v>0.0</v>
      </c>
      <c r="X63" s="849">
        <v>0.0</v>
      </c>
      <c r="Y63" s="849">
        <v>0.0</v>
      </c>
      <c r="Z63" s="849">
        <v>0.0</v>
      </c>
      <c r="AA63" s="849">
        <v>0.0</v>
      </c>
      <c r="AB63" s="849">
        <v>0.0</v>
      </c>
      <c r="AC63" s="849">
        <v>0.0</v>
      </c>
      <c r="AD63" s="849">
        <v>0.0</v>
      </c>
      <c r="AE63" s="849">
        <v>0.0</v>
      </c>
      <c r="AF63" s="849">
        <v>0.0</v>
      </c>
      <c r="AG63" s="849">
        <v>0.0</v>
      </c>
      <c r="AH63" s="849">
        <v>0.0</v>
      </c>
      <c r="AI63" s="849">
        <v>0.0</v>
      </c>
      <c r="AJ63" s="794" t="str">
        <f t="shared" ref="AJ63:AK63" si="123">C63</f>
        <v>G0242</v>
      </c>
      <c r="AK63" s="794" t="str">
        <f t="shared" si="123"/>
        <v>CONGES PAYES USAGES</v>
      </c>
      <c r="AL63" s="794">
        <f t="array" ref="AL63">IFERROR(INDEX(G63:R63,1,MATCH(Parametres!$B$3,G$1:R$1,0)-1)*IF(OR(F63="L",F63="S",F63="I"),-1,1),"")</f>
        <v>23492.53</v>
      </c>
      <c r="AM63" s="794">
        <f t="shared" si="4"/>
        <v>3777.73</v>
      </c>
      <c r="AN63" s="794">
        <f t="array" ref="AN63">INDEX(G63:R63,1,MATCH(Parametres!$B$3,G$1:R$1,0))*IF(OR(F63="L",F63="S",F63="I"),-1,1)</f>
        <v>27270.26</v>
      </c>
      <c r="AO63" s="853" t="str">
        <f>+VLOOKUP($AJ63,Data_Validation!$A:$D,1,0)</f>
        <v>G0242</v>
      </c>
      <c r="AP63" s="853" t="str">
        <f>+VLOOKUP($AJ63,Data_Validation!$A:$D,3,0)</f>
        <v>Véhicules usagés</v>
      </c>
      <c r="AQ63" s="853" t="str">
        <f>+VLOOKUP($AJ63,Data_Validation!$A:$D,4,0)</f>
        <v>Salaires en absences</v>
      </c>
      <c r="AR63" s="853" t="s">
        <v>728</v>
      </c>
      <c r="AS63" s="853" t="str">
        <f>+VLOOKUP($AJ63,Data_Validation!$A:$E,5,0)</f>
        <v/>
      </c>
      <c r="AT63" s="794" t="str">
        <f t="shared" ref="AT63:AU63" si="124">C63</f>
        <v>G0242</v>
      </c>
      <c r="AU63" s="854" t="str">
        <f t="shared" si="124"/>
        <v>CONGES PAYES USAGES</v>
      </c>
      <c r="AV63" s="794">
        <f t="array" ref="AV63">IFERROR(INDEX(V63:AG63,1,MATCH(Parametres!$B$3,V$1:AG$1,0)-1)*IF(OR(C63="L",C63="S",C63="I"),-1,1),"")</f>
        <v>0</v>
      </c>
      <c r="AW63" s="794">
        <f t="shared" si="6"/>
        <v>0</v>
      </c>
      <c r="AX63" s="794">
        <f t="array" ref="AX63">INDEX(V63:AG63,1,MATCH(Parametres!$B$3,V$1:AG$1,0))*IF(OR(C63="L",C63="S",C63="I"),-1,1)</f>
        <v>0</v>
      </c>
      <c r="AY63" s="853" t="s">
        <v>772</v>
      </c>
      <c r="AZ63" s="853" t="str">
        <f>+VLOOKUP($AJ63,Data_Validation!$A:$E,5,0)</f>
        <v/>
      </c>
    </row>
    <row r="64" ht="15.0" customHeight="1">
      <c r="A64" s="849" t="s">
        <v>1239</v>
      </c>
      <c r="B64" s="849">
        <v>2026.0</v>
      </c>
      <c r="C64" s="849" t="s">
        <v>1360</v>
      </c>
      <c r="D64" s="849" t="s">
        <v>1361</v>
      </c>
      <c r="E64" s="849" t="s">
        <v>768</v>
      </c>
      <c r="F64" s="849" t="s">
        <v>1200</v>
      </c>
      <c r="G64" s="849">
        <v>2387.26</v>
      </c>
      <c r="H64" s="849">
        <v>3421.96</v>
      </c>
      <c r="I64" s="849">
        <v>5055.32</v>
      </c>
      <c r="J64" s="849">
        <v>6784.19</v>
      </c>
      <c r="K64" s="849">
        <v>9557.33</v>
      </c>
      <c r="L64" s="849">
        <v>12093.79</v>
      </c>
      <c r="M64" s="849">
        <v>13730.63</v>
      </c>
      <c r="N64" s="849">
        <v>15699.05</v>
      </c>
      <c r="O64" s="849">
        <v>17973.2</v>
      </c>
      <c r="P64" s="849">
        <v>18593.94</v>
      </c>
      <c r="Q64" s="849">
        <v>0.0</v>
      </c>
      <c r="R64" s="849">
        <v>0.0</v>
      </c>
      <c r="S64" s="849">
        <v>1997.02</v>
      </c>
      <c r="T64" s="849">
        <v>1997.02</v>
      </c>
      <c r="U64" s="849">
        <v>0.0</v>
      </c>
      <c r="V64" s="849">
        <v>0.0</v>
      </c>
      <c r="W64" s="849">
        <v>0.0</v>
      </c>
      <c r="X64" s="849">
        <v>0.0</v>
      </c>
      <c r="Y64" s="849">
        <v>0.0</v>
      </c>
      <c r="Z64" s="849">
        <v>0.0</v>
      </c>
      <c r="AA64" s="849">
        <v>0.0</v>
      </c>
      <c r="AB64" s="849">
        <v>0.0</v>
      </c>
      <c r="AC64" s="849">
        <v>0.0</v>
      </c>
      <c r="AD64" s="849">
        <v>0.0</v>
      </c>
      <c r="AE64" s="849">
        <v>0.0</v>
      </c>
      <c r="AF64" s="849">
        <v>0.0</v>
      </c>
      <c r="AG64" s="849">
        <v>0.0</v>
      </c>
      <c r="AH64" s="849">
        <v>0.0</v>
      </c>
      <c r="AI64" s="849">
        <v>0.0</v>
      </c>
      <c r="AJ64" s="794" t="str">
        <f t="shared" ref="AJ64:AK64" si="125">C64</f>
        <v>G0243</v>
      </c>
      <c r="AK64" s="794" t="str">
        <f t="shared" si="125"/>
        <v>CONGES PAYES U.S.A</v>
      </c>
      <c r="AL64" s="794">
        <f t="array" ref="AL64">IFERROR(INDEX(G64:R64,1,MATCH(Parametres!$B$3,G$1:R$1,0)-1)*IF(OR(F64="L",F64="S",F64="I"),-1,1),"")</f>
        <v>15699.05</v>
      </c>
      <c r="AM64" s="794">
        <f t="shared" si="4"/>
        <v>2274.15</v>
      </c>
      <c r="AN64" s="794">
        <f t="array" ref="AN64">INDEX(G64:R64,1,MATCH(Parametres!$B$3,G$1:R$1,0))*IF(OR(F64="L",F64="S",F64="I"),-1,1)</f>
        <v>17973.2</v>
      </c>
      <c r="AO64" s="853" t="str">
        <f>+VLOOKUP($AJ64,Data_Validation!$A:$D,1,0)</f>
        <v>G0243</v>
      </c>
      <c r="AP64" s="853" t="str">
        <f>+VLOOKUP($AJ64,Data_Validation!$A:$D,3,0)</f>
        <v>Wholesale autres</v>
      </c>
      <c r="AQ64" s="853" t="str">
        <f>+VLOOKUP($AJ64,Data_Validation!$A:$D,4,0)</f>
        <v>Salaires en absences</v>
      </c>
      <c r="AR64" s="853" t="s">
        <v>728</v>
      </c>
      <c r="AS64" s="853" t="str">
        <f>+VLOOKUP($AJ64,Data_Validation!$A:$E,5,0)</f>
        <v/>
      </c>
      <c r="AT64" s="794" t="str">
        <f t="shared" ref="AT64:AU64" si="126">C64</f>
        <v>G0243</v>
      </c>
      <c r="AU64" s="854" t="str">
        <f t="shared" si="126"/>
        <v>CONGES PAYES U.S.A</v>
      </c>
      <c r="AV64" s="794">
        <f t="array" ref="AV64">IFERROR(INDEX(V64:AG64,1,MATCH(Parametres!$B$3,V$1:AG$1,0)-1)*IF(OR(C64="L",C64="S",C64="I"),-1,1),"")</f>
        <v>0</v>
      </c>
      <c r="AW64" s="794">
        <f t="shared" si="6"/>
        <v>0</v>
      </c>
      <c r="AX64" s="794">
        <f t="array" ref="AX64">INDEX(V64:AG64,1,MATCH(Parametres!$B$3,V$1:AG$1,0))*IF(OR(C64="L",C64="S",C64="I"),-1,1)</f>
        <v>0</v>
      </c>
      <c r="AY64" s="853" t="s">
        <v>772</v>
      </c>
      <c r="AZ64" s="853" t="str">
        <f>+VLOOKUP($AJ64,Data_Validation!$A:$E,5,0)</f>
        <v/>
      </c>
    </row>
    <row r="65" ht="15.0" customHeight="1">
      <c r="A65" s="849" t="s">
        <v>1239</v>
      </c>
      <c r="B65" s="849">
        <v>2026.0</v>
      </c>
      <c r="C65" s="849" t="s">
        <v>1362</v>
      </c>
      <c r="D65" s="849" t="s">
        <v>1363</v>
      </c>
      <c r="E65" s="849" t="s">
        <v>768</v>
      </c>
      <c r="F65" s="849" t="s">
        <v>1200</v>
      </c>
      <c r="G65" s="849">
        <v>24764.7</v>
      </c>
      <c r="H65" s="849">
        <v>32228.7</v>
      </c>
      <c r="I65" s="849">
        <v>41712.94</v>
      </c>
      <c r="J65" s="849">
        <v>57848.53</v>
      </c>
      <c r="K65" s="849">
        <v>69517.87</v>
      </c>
      <c r="L65" s="849">
        <v>82141.7</v>
      </c>
      <c r="M65" s="849">
        <v>98009.8</v>
      </c>
      <c r="N65" s="849">
        <v>105940.87</v>
      </c>
      <c r="O65" s="849">
        <v>117850.04</v>
      </c>
      <c r="P65" s="849">
        <v>121164.66</v>
      </c>
      <c r="Q65" s="849">
        <v>0.0</v>
      </c>
      <c r="R65" s="849">
        <v>0.0</v>
      </c>
      <c r="S65" s="849">
        <v>13094.45</v>
      </c>
      <c r="T65" s="849">
        <v>13094.45</v>
      </c>
      <c r="U65" s="849">
        <v>0.0</v>
      </c>
      <c r="V65" s="849">
        <v>0.0</v>
      </c>
      <c r="W65" s="849">
        <v>0.0</v>
      </c>
      <c r="X65" s="849">
        <v>0.0</v>
      </c>
      <c r="Y65" s="849">
        <v>0.0</v>
      </c>
      <c r="Z65" s="849">
        <v>0.0</v>
      </c>
      <c r="AA65" s="849">
        <v>0.0</v>
      </c>
      <c r="AB65" s="849">
        <v>0.0</v>
      </c>
      <c r="AC65" s="849">
        <v>0.0</v>
      </c>
      <c r="AD65" s="849">
        <v>0.0</v>
      </c>
      <c r="AE65" s="849">
        <v>0.0</v>
      </c>
      <c r="AF65" s="849">
        <v>0.0</v>
      </c>
      <c r="AG65" s="849">
        <v>0.0</v>
      </c>
      <c r="AH65" s="849">
        <v>0.0</v>
      </c>
      <c r="AI65" s="849">
        <v>0.0</v>
      </c>
      <c r="AJ65" s="794" t="str">
        <f t="shared" ref="AJ65:AK65" si="127">C65</f>
        <v>G0244</v>
      </c>
      <c r="AK65" s="794" t="str">
        <f t="shared" si="127"/>
        <v>CONGES PAYES SERVICE</v>
      </c>
      <c r="AL65" s="794">
        <f t="array" ref="AL65">IFERROR(INDEX(G65:R65,1,MATCH(Parametres!$B$3,G$1:R$1,0)-1)*IF(OR(F65="L",F65="S",F65="I"),-1,1),"")</f>
        <v>105940.87</v>
      </c>
      <c r="AM65" s="794">
        <f t="shared" si="4"/>
        <v>11909.17</v>
      </c>
      <c r="AN65" s="794">
        <f t="array" ref="AN65">INDEX(G65:R65,1,MATCH(Parametres!$B$3,G$1:R$1,0))*IF(OR(F65="L",F65="S",F65="I"),-1,1)</f>
        <v>117850.04</v>
      </c>
      <c r="AO65" s="853" t="str">
        <f>+VLOOKUP($AJ65,Data_Validation!$A:$D,1,0)</f>
        <v>G0244</v>
      </c>
      <c r="AP65" s="853" t="str">
        <f>+VLOOKUP($AJ65,Data_Validation!$A:$D,3,0)</f>
        <v>Service</v>
      </c>
      <c r="AQ65" s="853" t="str">
        <f>+VLOOKUP($AJ65,Data_Validation!$A:$D,4,0)</f>
        <v>Salaires en absences</v>
      </c>
      <c r="AR65" s="853" t="s">
        <v>728</v>
      </c>
      <c r="AS65" s="853" t="str">
        <f>+VLOOKUP($AJ65,Data_Validation!$A:$E,5,0)</f>
        <v/>
      </c>
      <c r="AT65" s="794" t="str">
        <f t="shared" ref="AT65:AU65" si="128">C65</f>
        <v>G0244</v>
      </c>
      <c r="AU65" s="854" t="str">
        <f t="shared" si="128"/>
        <v>CONGES PAYES SERVICE</v>
      </c>
      <c r="AV65" s="794">
        <f t="array" ref="AV65">IFERROR(INDEX(V65:AG65,1,MATCH(Parametres!$B$3,V$1:AG$1,0)-1)*IF(OR(C65="L",C65="S",C65="I"),-1,1),"")</f>
        <v>0</v>
      </c>
      <c r="AW65" s="794">
        <f t="shared" si="6"/>
        <v>0</v>
      </c>
      <c r="AX65" s="794">
        <f t="array" ref="AX65">INDEX(V65:AG65,1,MATCH(Parametres!$B$3,V$1:AG$1,0))*IF(OR(C65="L",C65="S",C65="I"),-1,1)</f>
        <v>0</v>
      </c>
      <c r="AY65" s="853" t="s">
        <v>772</v>
      </c>
      <c r="AZ65" s="853" t="str">
        <f>+VLOOKUP($AJ65,Data_Validation!$A:$E,5,0)</f>
        <v/>
      </c>
    </row>
    <row r="66" ht="15.0" customHeight="1">
      <c r="A66" s="849" t="s">
        <v>1239</v>
      </c>
      <c r="B66" s="849">
        <v>2026.0</v>
      </c>
      <c r="C66" s="849" t="s">
        <v>1364</v>
      </c>
      <c r="D66" s="849" t="s">
        <v>1365</v>
      </c>
      <c r="E66" s="849" t="s">
        <v>768</v>
      </c>
      <c r="F66" s="849" t="s">
        <v>1200</v>
      </c>
      <c r="G66" s="849">
        <v>5144.27</v>
      </c>
      <c r="H66" s="849">
        <v>7263.12</v>
      </c>
      <c r="I66" s="849">
        <v>10209.26</v>
      </c>
      <c r="J66" s="849">
        <v>15070.8</v>
      </c>
      <c r="K66" s="849">
        <v>20358.75</v>
      </c>
      <c r="L66" s="849">
        <v>25255.13</v>
      </c>
      <c r="M66" s="849">
        <v>30485.38</v>
      </c>
      <c r="N66" s="849">
        <v>34377.56</v>
      </c>
      <c r="O66" s="849">
        <v>39108.64</v>
      </c>
      <c r="P66" s="849">
        <v>40112.19</v>
      </c>
      <c r="Q66" s="849">
        <v>0.0</v>
      </c>
      <c r="R66" s="849">
        <v>0.0</v>
      </c>
      <c r="S66" s="849">
        <v>4345.4</v>
      </c>
      <c r="T66" s="849">
        <v>4345.4</v>
      </c>
      <c r="U66" s="849">
        <v>0.0</v>
      </c>
      <c r="V66" s="849">
        <v>0.0</v>
      </c>
      <c r="W66" s="849">
        <v>0.0</v>
      </c>
      <c r="X66" s="849">
        <v>0.0</v>
      </c>
      <c r="Y66" s="849">
        <v>0.0</v>
      </c>
      <c r="Z66" s="849">
        <v>0.0</v>
      </c>
      <c r="AA66" s="849">
        <v>0.0</v>
      </c>
      <c r="AB66" s="849">
        <v>0.0</v>
      </c>
      <c r="AC66" s="849">
        <v>0.0</v>
      </c>
      <c r="AD66" s="849">
        <v>0.0</v>
      </c>
      <c r="AE66" s="849">
        <v>0.0</v>
      </c>
      <c r="AF66" s="849">
        <v>0.0</v>
      </c>
      <c r="AG66" s="849">
        <v>0.0</v>
      </c>
      <c r="AH66" s="849">
        <v>0.0</v>
      </c>
      <c r="AI66" s="849">
        <v>0.0</v>
      </c>
      <c r="AJ66" s="794" t="str">
        <f t="shared" ref="AJ66:AK66" si="129">C66</f>
        <v>G0245</v>
      </c>
      <c r="AK66" s="794" t="str">
        <f t="shared" si="129"/>
        <v>CONGES PAYES CARROSS.</v>
      </c>
      <c r="AL66" s="794">
        <f t="array" ref="AL66">IFERROR(INDEX(G66:R66,1,MATCH(Parametres!$B$3,G$1:R$1,0)-1)*IF(OR(F66="L",F66="S",F66="I"),-1,1),"")</f>
        <v>34377.56</v>
      </c>
      <c r="AM66" s="794">
        <f t="shared" si="4"/>
        <v>4731.08</v>
      </c>
      <c r="AN66" s="794">
        <f t="array" ref="AN66">INDEX(G66:R66,1,MATCH(Parametres!$B$3,G$1:R$1,0))*IF(OR(F66="L",F66="S",F66="I"),-1,1)</f>
        <v>39108.64</v>
      </c>
      <c r="AO66" s="853" t="str">
        <f>+VLOOKUP($AJ66,Data_Validation!$A:$D,1,0)</f>
        <v>G0245</v>
      </c>
      <c r="AP66" s="853" t="str">
        <f>+VLOOKUP($AJ66,Data_Validation!$A:$D,3,0)</f>
        <v>Carrosserie</v>
      </c>
      <c r="AQ66" s="853" t="str">
        <f>+VLOOKUP($AJ66,Data_Validation!$A:$D,4,0)</f>
        <v>Salaires en absences</v>
      </c>
      <c r="AR66" s="853" t="s">
        <v>728</v>
      </c>
      <c r="AS66" s="853" t="str">
        <f>+VLOOKUP($AJ66,Data_Validation!$A:$E,5,0)</f>
        <v/>
      </c>
      <c r="AT66" s="794" t="str">
        <f t="shared" ref="AT66:AU66" si="130">C66</f>
        <v>G0245</v>
      </c>
      <c r="AU66" s="854" t="str">
        <f t="shared" si="130"/>
        <v>CONGES PAYES CARROSS.</v>
      </c>
      <c r="AV66" s="794">
        <f t="array" ref="AV66">IFERROR(INDEX(V66:AG66,1,MATCH(Parametres!$B$3,V$1:AG$1,0)-1)*IF(OR(C66="L",C66="S",C66="I"),-1,1),"")</f>
        <v>0</v>
      </c>
      <c r="AW66" s="794">
        <f t="shared" si="6"/>
        <v>0</v>
      </c>
      <c r="AX66" s="794">
        <f t="array" ref="AX66">INDEX(V66:AG66,1,MATCH(Parametres!$B$3,V$1:AG$1,0))*IF(OR(C66="L",C66="S",C66="I"),-1,1)</f>
        <v>0</v>
      </c>
      <c r="AY66" s="853" t="s">
        <v>772</v>
      </c>
      <c r="AZ66" s="853" t="str">
        <f>+VLOOKUP($AJ66,Data_Validation!$A:$E,5,0)</f>
        <v/>
      </c>
    </row>
    <row r="67" ht="15.0" customHeight="1">
      <c r="A67" s="849" t="s">
        <v>1239</v>
      </c>
      <c r="B67" s="849">
        <v>2026.0</v>
      </c>
      <c r="C67" s="849" t="s">
        <v>1366</v>
      </c>
      <c r="D67" s="849" t="s">
        <v>1367</v>
      </c>
      <c r="E67" s="849" t="s">
        <v>768</v>
      </c>
      <c r="F67" s="849" t="s">
        <v>1200</v>
      </c>
      <c r="G67" s="849">
        <v>3888.96</v>
      </c>
      <c r="H67" s="849">
        <v>5495.95</v>
      </c>
      <c r="I67" s="849">
        <v>6769.49</v>
      </c>
      <c r="J67" s="849">
        <v>9036.39</v>
      </c>
      <c r="K67" s="849">
        <v>12228.67</v>
      </c>
      <c r="L67" s="849">
        <v>15415.19</v>
      </c>
      <c r="M67" s="849">
        <v>18314.83</v>
      </c>
      <c r="N67" s="849">
        <v>20299.79</v>
      </c>
      <c r="O67" s="849">
        <v>23060.54</v>
      </c>
      <c r="P67" s="849">
        <v>23844.53</v>
      </c>
      <c r="Q67" s="849">
        <v>0.0</v>
      </c>
      <c r="R67" s="849">
        <v>0.0</v>
      </c>
      <c r="S67" s="849">
        <v>2562.28</v>
      </c>
      <c r="T67" s="849">
        <v>2562.28</v>
      </c>
      <c r="U67" s="849">
        <v>0.0</v>
      </c>
      <c r="V67" s="849">
        <v>0.0</v>
      </c>
      <c r="W67" s="849">
        <v>0.0</v>
      </c>
      <c r="X67" s="849">
        <v>0.0</v>
      </c>
      <c r="Y67" s="849">
        <v>0.0</v>
      </c>
      <c r="Z67" s="849">
        <v>0.0</v>
      </c>
      <c r="AA67" s="849">
        <v>0.0</v>
      </c>
      <c r="AB67" s="849">
        <v>0.0</v>
      </c>
      <c r="AC67" s="849">
        <v>0.0</v>
      </c>
      <c r="AD67" s="849">
        <v>0.0</v>
      </c>
      <c r="AE67" s="849">
        <v>0.0</v>
      </c>
      <c r="AF67" s="849">
        <v>0.0</v>
      </c>
      <c r="AG67" s="849">
        <v>0.0</v>
      </c>
      <c r="AH67" s="849">
        <v>0.0</v>
      </c>
      <c r="AI67" s="849">
        <v>0.0</v>
      </c>
      <c r="AJ67" s="794" t="str">
        <f t="shared" ref="AJ67:AK67" si="131">C67</f>
        <v>G0246</v>
      </c>
      <c r="AK67" s="794" t="str">
        <f t="shared" si="131"/>
        <v>CONGES PAYES PIECES</v>
      </c>
      <c r="AL67" s="794">
        <f t="array" ref="AL67">IFERROR(INDEX(G67:R67,1,MATCH(Parametres!$B$3,G$1:R$1,0)-1)*IF(OR(F67="L",F67="S",F67="I"),-1,1),"")</f>
        <v>20299.79</v>
      </c>
      <c r="AM67" s="794">
        <f t="shared" si="4"/>
        <v>2760.75</v>
      </c>
      <c r="AN67" s="794">
        <f t="array" ref="AN67">INDEX(G67:R67,1,MATCH(Parametres!$B$3,G$1:R$1,0))*IF(OR(F67="L",F67="S",F67="I"),-1,1)</f>
        <v>23060.54</v>
      </c>
      <c r="AO67" s="853" t="str">
        <f>+VLOOKUP($AJ67,Data_Validation!$A:$D,1,0)</f>
        <v>G0246</v>
      </c>
      <c r="AP67" s="853" t="str">
        <f>+VLOOKUP($AJ67,Data_Validation!$A:$D,3,0)</f>
        <v>Pièces</v>
      </c>
      <c r="AQ67" s="853" t="str">
        <f>+VLOOKUP($AJ67,Data_Validation!$A:$D,4,0)</f>
        <v>Salaires en absences</v>
      </c>
      <c r="AR67" s="853" t="s">
        <v>728</v>
      </c>
      <c r="AS67" s="853" t="str">
        <f>+VLOOKUP($AJ67,Data_Validation!$A:$E,5,0)</f>
        <v/>
      </c>
      <c r="AT67" s="794" t="str">
        <f t="shared" ref="AT67:AU67" si="132">C67</f>
        <v>G0246</v>
      </c>
      <c r="AU67" s="854" t="str">
        <f t="shared" si="132"/>
        <v>CONGES PAYES PIECES</v>
      </c>
      <c r="AV67" s="794">
        <f t="array" ref="AV67">IFERROR(INDEX(V67:AG67,1,MATCH(Parametres!$B$3,V$1:AG$1,0)-1)*IF(OR(C67="L",C67="S",C67="I"),-1,1),"")</f>
        <v>0</v>
      </c>
      <c r="AW67" s="794">
        <f t="shared" si="6"/>
        <v>0</v>
      </c>
      <c r="AX67" s="794">
        <f t="array" ref="AX67">INDEX(V67:AG67,1,MATCH(Parametres!$B$3,V$1:AG$1,0))*IF(OR(C67="L",C67="S",C67="I"),-1,1)</f>
        <v>0</v>
      </c>
      <c r="AY67" s="853" t="s">
        <v>772</v>
      </c>
      <c r="AZ67" s="853" t="str">
        <f>+VLOOKUP($AJ67,Data_Validation!$A:$E,5,0)</f>
        <v/>
      </c>
    </row>
    <row r="68" ht="15.0" customHeight="1">
      <c r="A68" s="849" t="s">
        <v>1239</v>
      </c>
      <c r="B68" s="849">
        <v>2026.0</v>
      </c>
      <c r="C68" s="849" t="s">
        <v>1368</v>
      </c>
      <c r="D68" s="849" t="s">
        <v>1369</v>
      </c>
      <c r="E68" s="849" t="s">
        <v>768</v>
      </c>
      <c r="F68" s="849" t="s">
        <v>1200</v>
      </c>
      <c r="G68" s="849">
        <v>0.0</v>
      </c>
      <c r="H68" s="849">
        <v>0.0</v>
      </c>
      <c r="I68" s="849">
        <v>0.0</v>
      </c>
      <c r="J68" s="849">
        <v>0.0</v>
      </c>
      <c r="K68" s="849">
        <v>0.0</v>
      </c>
      <c r="L68" s="849">
        <v>4902.36</v>
      </c>
      <c r="M68" s="849">
        <v>10122.38</v>
      </c>
      <c r="N68" s="849">
        <v>13864.55</v>
      </c>
      <c r="O68" s="849">
        <v>19461.45</v>
      </c>
      <c r="P68" s="849">
        <v>21285.86</v>
      </c>
      <c r="Q68" s="849">
        <v>0.0</v>
      </c>
      <c r="R68" s="849">
        <v>0.0</v>
      </c>
      <c r="S68" s="849">
        <v>2162.38</v>
      </c>
      <c r="T68" s="849">
        <v>2162.38</v>
      </c>
      <c r="U68" s="849">
        <v>0.0</v>
      </c>
      <c r="V68" s="849">
        <v>0.0</v>
      </c>
      <c r="W68" s="849">
        <v>0.0</v>
      </c>
      <c r="X68" s="849">
        <v>0.0</v>
      </c>
      <c r="Y68" s="849">
        <v>0.0</v>
      </c>
      <c r="Z68" s="849">
        <v>0.0</v>
      </c>
      <c r="AA68" s="849">
        <v>0.0</v>
      </c>
      <c r="AB68" s="849">
        <v>0.0</v>
      </c>
      <c r="AC68" s="849">
        <v>0.0</v>
      </c>
      <c r="AD68" s="849">
        <v>0.0</v>
      </c>
      <c r="AE68" s="849">
        <v>0.0</v>
      </c>
      <c r="AF68" s="849">
        <v>0.0</v>
      </c>
      <c r="AG68" s="849">
        <v>0.0</v>
      </c>
      <c r="AH68" s="849">
        <v>0.0</v>
      </c>
      <c r="AI68" s="849">
        <v>0.0</v>
      </c>
      <c r="AJ68" s="794" t="str">
        <f t="shared" ref="AJ68:AK68" si="133">C68</f>
        <v>G0247</v>
      </c>
      <c r="AK68" s="794" t="str">
        <f t="shared" si="133"/>
        <v>CONGES PAYES SAAQ</v>
      </c>
      <c r="AL68" s="794">
        <f t="array" ref="AL68">IFERROR(INDEX(G68:R68,1,MATCH(Parametres!$B$3,G$1:R$1,0)-1)*IF(OR(F68="L",F68="S",F68="I"),-1,1),"")</f>
        <v>13864.55</v>
      </c>
      <c r="AM68" s="794">
        <f t="shared" si="4"/>
        <v>5596.9</v>
      </c>
      <c r="AN68" s="794">
        <f t="array" ref="AN68">INDEX(G68:R68,1,MATCH(Parametres!$B$3,G$1:R$1,0))*IF(OR(F68="L",F68="S",F68="I"),-1,1)</f>
        <v>19461.45</v>
      </c>
      <c r="AO68" s="853" t="str">
        <f>+VLOOKUP($AJ68,Data_Validation!$A:$D,1,0)</f>
        <v>G0247</v>
      </c>
      <c r="AP68" s="853" t="str">
        <f>+VLOOKUP($AJ68,Data_Validation!$A:$D,3,0)</f>
        <v>SAAQ</v>
      </c>
      <c r="AQ68" s="853" t="str">
        <f>+VLOOKUP($AJ68,Data_Validation!$A:$D,4,0)</f>
        <v>Salaires en absences</v>
      </c>
      <c r="AR68" s="853" t="s">
        <v>728</v>
      </c>
      <c r="AS68" s="853" t="str">
        <f>+VLOOKUP($AJ68,Data_Validation!$A:$E,5,0)</f>
        <v/>
      </c>
      <c r="AT68" s="794" t="str">
        <f t="shared" ref="AT68:AU68" si="134">C68</f>
        <v>G0247</v>
      </c>
      <c r="AU68" s="854" t="str">
        <f t="shared" si="134"/>
        <v>CONGES PAYES SAAQ</v>
      </c>
      <c r="AV68" s="794">
        <f t="array" ref="AV68">IFERROR(INDEX(V68:AG68,1,MATCH(Parametres!$B$3,V$1:AG$1,0)-1)*IF(OR(C68="L",C68="S",C68="I"),-1,1),"")</f>
        <v>0</v>
      </c>
      <c r="AW68" s="794">
        <f t="shared" si="6"/>
        <v>0</v>
      </c>
      <c r="AX68" s="794">
        <f t="array" ref="AX68">INDEX(V68:AG68,1,MATCH(Parametres!$B$3,V$1:AG$1,0))*IF(OR(C68="L",C68="S",C68="I"),-1,1)</f>
        <v>0</v>
      </c>
      <c r="AY68" s="853" t="s">
        <v>772</v>
      </c>
      <c r="AZ68" s="853" t="str">
        <f>+VLOOKUP($AJ68,Data_Validation!$A:$E,5,0)</f>
        <v/>
      </c>
    </row>
    <row r="69" ht="15.0" customHeight="1">
      <c r="A69" s="849" t="s">
        <v>1239</v>
      </c>
      <c r="B69" s="849">
        <v>2026.0</v>
      </c>
      <c r="C69" s="849" t="s">
        <v>1370</v>
      </c>
      <c r="D69" s="849" t="s">
        <v>1371</v>
      </c>
      <c r="E69" s="849" t="s">
        <v>768</v>
      </c>
      <c r="F69" s="849" t="s">
        <v>1200</v>
      </c>
      <c r="G69" s="849">
        <v>0.0</v>
      </c>
      <c r="H69" s="849">
        <v>0.0</v>
      </c>
      <c r="I69" s="849">
        <v>0.0</v>
      </c>
      <c r="J69" s="849">
        <v>0.0</v>
      </c>
      <c r="K69" s="849">
        <v>0.0</v>
      </c>
      <c r="L69" s="849">
        <v>0.0</v>
      </c>
      <c r="M69" s="849">
        <v>0.0</v>
      </c>
      <c r="N69" s="849">
        <v>0.0</v>
      </c>
      <c r="O69" s="849">
        <v>0.0</v>
      </c>
      <c r="P69" s="849">
        <v>0.0</v>
      </c>
      <c r="Q69" s="849">
        <v>0.0</v>
      </c>
      <c r="R69" s="849">
        <v>0.0</v>
      </c>
      <c r="S69" s="849">
        <v>0.0</v>
      </c>
      <c r="T69" s="849">
        <v>0.0</v>
      </c>
      <c r="U69" s="849">
        <v>0.0</v>
      </c>
      <c r="V69" s="849">
        <v>0.0</v>
      </c>
      <c r="W69" s="849">
        <v>0.0</v>
      </c>
      <c r="X69" s="849">
        <v>0.0</v>
      </c>
      <c r="Y69" s="849">
        <v>0.0</v>
      </c>
      <c r="Z69" s="849">
        <v>0.0</v>
      </c>
      <c r="AA69" s="849">
        <v>0.0</v>
      </c>
      <c r="AB69" s="849">
        <v>0.0</v>
      </c>
      <c r="AC69" s="849">
        <v>0.0</v>
      </c>
      <c r="AD69" s="849">
        <v>0.0</v>
      </c>
      <c r="AE69" s="849">
        <v>0.0</v>
      </c>
      <c r="AF69" s="849">
        <v>0.0</v>
      </c>
      <c r="AG69" s="849">
        <v>0.0</v>
      </c>
      <c r="AH69" s="849">
        <v>0.0</v>
      </c>
      <c r="AI69" s="849">
        <v>0.0</v>
      </c>
      <c r="AJ69" s="794" t="str">
        <f t="shared" ref="AJ69:AK69" si="135">C69</f>
        <v>G0250</v>
      </c>
      <c r="AK69" s="794" t="str">
        <f t="shared" si="135"/>
        <v>TAXES PAYES REP.</v>
      </c>
      <c r="AL69" s="794">
        <f t="array" ref="AL69">IFERROR(INDEX(G69:R69,1,MATCH(Parametres!$B$3,G$1:R$1,0)-1)*IF(OR(F69="L",F69="S",F69="I"),-1,1),"")</f>
        <v>0</v>
      </c>
      <c r="AM69" s="794">
        <f t="shared" si="4"/>
        <v>0</v>
      </c>
      <c r="AN69" s="794">
        <f t="array" ref="AN69">INDEX(G69:R69,1,MATCH(Parametres!$B$3,G$1:R$1,0))*IF(OR(F69="L",F69="S",F69="I"),-1,1)</f>
        <v>0</v>
      </c>
      <c r="AO69" s="853" t="str">
        <f>+VLOOKUP($AJ69,Data_Validation!$A:$D,1,0)</f>
        <v>#N/A</v>
      </c>
      <c r="AP69" s="853" t="str">
        <f>+VLOOKUP($AJ69,Data_Validation!$A:$D,3,0)</f>
        <v>#N/A</v>
      </c>
      <c r="AQ69" s="853" t="str">
        <f>+VLOOKUP($AJ69,Data_Validation!$A:$D,4,0)</f>
        <v>#N/A</v>
      </c>
      <c r="AR69" s="853" t="s">
        <v>728</v>
      </c>
      <c r="AS69" s="853" t="str">
        <f>+VLOOKUP($AJ69,Data_Validation!$A:$E,5,0)</f>
        <v>#N/A</v>
      </c>
      <c r="AT69" s="794" t="str">
        <f t="shared" ref="AT69:AU69" si="136">C69</f>
        <v>G0250</v>
      </c>
      <c r="AU69" s="854" t="str">
        <f t="shared" si="136"/>
        <v>TAXES PAYES REP.</v>
      </c>
      <c r="AV69" s="794">
        <f t="array" ref="AV69">IFERROR(INDEX(V69:AG69,1,MATCH(Parametres!$B$3,V$1:AG$1,0)-1)*IF(OR(C69="L",C69="S",C69="I"),-1,1),"")</f>
        <v>0</v>
      </c>
      <c r="AW69" s="794">
        <f t="shared" si="6"/>
        <v>0</v>
      </c>
      <c r="AX69" s="794">
        <f t="array" ref="AX69">INDEX(V69:AG69,1,MATCH(Parametres!$B$3,V$1:AG$1,0))*IF(OR(C69="L",C69="S",C69="I"),-1,1)</f>
        <v>0</v>
      </c>
      <c r="AY69" s="853" t="s">
        <v>772</v>
      </c>
      <c r="AZ69" s="853" t="str">
        <f>+VLOOKUP($AJ69,Data_Validation!$A:$E,5,0)</f>
        <v>#N/A</v>
      </c>
    </row>
    <row r="70" ht="15.0" customHeight="1">
      <c r="A70" s="849" t="s">
        <v>1239</v>
      </c>
      <c r="B70" s="849">
        <v>2026.0</v>
      </c>
      <c r="C70" s="849" t="s">
        <v>1372</v>
      </c>
      <c r="D70" s="849" t="s">
        <v>1373</v>
      </c>
      <c r="E70" s="849" t="s">
        <v>768</v>
      </c>
      <c r="F70" s="849" t="s">
        <v>1200</v>
      </c>
      <c r="G70" s="849">
        <v>0.0</v>
      </c>
      <c r="H70" s="849">
        <v>0.0</v>
      </c>
      <c r="I70" s="849">
        <v>0.0</v>
      </c>
      <c r="J70" s="849">
        <v>0.0</v>
      </c>
      <c r="K70" s="849">
        <v>0.0</v>
      </c>
      <c r="L70" s="849">
        <v>0.0</v>
      </c>
      <c r="M70" s="849">
        <v>0.0</v>
      </c>
      <c r="N70" s="849">
        <v>0.0</v>
      </c>
      <c r="O70" s="849">
        <v>0.0</v>
      </c>
      <c r="P70" s="849">
        <v>0.0</v>
      </c>
      <c r="Q70" s="849">
        <v>0.0</v>
      </c>
      <c r="R70" s="849">
        <v>0.0</v>
      </c>
      <c r="S70" s="849">
        <v>0.0</v>
      </c>
      <c r="T70" s="849">
        <v>0.0</v>
      </c>
      <c r="U70" s="849">
        <v>0.0</v>
      </c>
      <c r="V70" s="849">
        <v>0.0</v>
      </c>
      <c r="W70" s="849">
        <v>0.0</v>
      </c>
      <c r="X70" s="849">
        <v>0.0</v>
      </c>
      <c r="Y70" s="849">
        <v>0.0</v>
      </c>
      <c r="Z70" s="849">
        <v>0.0</v>
      </c>
      <c r="AA70" s="849">
        <v>0.0</v>
      </c>
      <c r="AB70" s="849">
        <v>0.0</v>
      </c>
      <c r="AC70" s="849">
        <v>0.0</v>
      </c>
      <c r="AD70" s="849">
        <v>0.0</v>
      </c>
      <c r="AE70" s="849">
        <v>0.0</v>
      </c>
      <c r="AF70" s="849">
        <v>0.0</v>
      </c>
      <c r="AG70" s="849">
        <v>0.0</v>
      </c>
      <c r="AH70" s="849">
        <v>0.0</v>
      </c>
      <c r="AI70" s="849">
        <v>0.0</v>
      </c>
      <c r="AJ70" s="794" t="str">
        <f t="shared" ref="AJ70:AK70" si="137">C70</f>
        <v>G02501</v>
      </c>
      <c r="AK70" s="794" t="str">
        <f t="shared" si="137"/>
        <v>TAXES PAYROLL NEUF/USAGE</v>
      </c>
      <c r="AL70" s="794">
        <f t="array" ref="AL70">IFERROR(INDEX(G70:R70,1,MATCH(Parametres!$B$3,G$1:R$1,0)-1)*IF(OR(F70="L",F70="S",F70="I"),-1,1),"")</f>
        <v>0</v>
      </c>
      <c r="AM70" s="794">
        <f t="shared" si="4"/>
        <v>0</v>
      </c>
      <c r="AN70" s="794">
        <f t="array" ref="AN70">INDEX(G70:R70,1,MATCH(Parametres!$B$3,G$1:R$1,0))*IF(OR(F70="L",F70="S",F70="I"),-1,1)</f>
        <v>0</v>
      </c>
      <c r="AO70" s="853" t="str">
        <f>+VLOOKUP($AJ70,Data_Validation!$A:$D,1,0)</f>
        <v>#N/A</v>
      </c>
      <c r="AP70" s="853" t="str">
        <f>+VLOOKUP($AJ70,Data_Validation!$A:$D,3,0)</f>
        <v>#N/A</v>
      </c>
      <c r="AQ70" s="853" t="str">
        <f>+VLOOKUP($AJ70,Data_Validation!$A:$D,4,0)</f>
        <v>#N/A</v>
      </c>
      <c r="AR70" s="853" t="s">
        <v>728</v>
      </c>
      <c r="AS70" s="853" t="str">
        <f>+VLOOKUP($AJ70,Data_Validation!$A:$E,5,0)</f>
        <v>#N/A</v>
      </c>
      <c r="AT70" s="794" t="str">
        <f t="shared" ref="AT70:AU70" si="138">C70</f>
        <v>G02501</v>
      </c>
      <c r="AU70" s="854" t="str">
        <f t="shared" si="138"/>
        <v>TAXES PAYROLL NEUF/USAGE</v>
      </c>
      <c r="AV70" s="794">
        <f t="array" ref="AV70">IFERROR(INDEX(V70:AG70,1,MATCH(Parametres!$B$3,V$1:AG$1,0)-1)*IF(OR(C70="L",C70="S",C70="I"),-1,1),"")</f>
        <v>0</v>
      </c>
      <c r="AW70" s="794">
        <f t="shared" si="6"/>
        <v>0</v>
      </c>
      <c r="AX70" s="794">
        <f t="array" ref="AX70">INDEX(V70:AG70,1,MATCH(Parametres!$B$3,V$1:AG$1,0))*IF(OR(C70="L",C70="S",C70="I"),-1,1)</f>
        <v>0</v>
      </c>
      <c r="AY70" s="853" t="s">
        <v>772</v>
      </c>
      <c r="AZ70" s="853" t="str">
        <f>+VLOOKUP($AJ70,Data_Validation!$A:$E,5,0)</f>
        <v>#N/A</v>
      </c>
    </row>
    <row r="71" ht="15.0" customHeight="1">
      <c r="A71" s="849" t="s">
        <v>1239</v>
      </c>
      <c r="B71" s="849">
        <v>2026.0</v>
      </c>
      <c r="C71" s="849" t="s">
        <v>1374</v>
      </c>
      <c r="D71" s="849" t="s">
        <v>1375</v>
      </c>
      <c r="E71" s="849" t="s">
        <v>768</v>
      </c>
      <c r="F71" s="849" t="s">
        <v>1200</v>
      </c>
      <c r="G71" s="849">
        <v>18542.25</v>
      </c>
      <c r="H71" s="849">
        <v>33227.2</v>
      </c>
      <c r="I71" s="849">
        <v>51232.83</v>
      </c>
      <c r="J71" s="849">
        <v>70265.16</v>
      </c>
      <c r="K71" s="849">
        <v>88600.38</v>
      </c>
      <c r="L71" s="849">
        <v>97711.17</v>
      </c>
      <c r="M71" s="849">
        <v>108044.05</v>
      </c>
      <c r="N71" s="849">
        <v>117114.98</v>
      </c>
      <c r="O71" s="849">
        <v>124664.15</v>
      </c>
      <c r="P71" s="849">
        <v>128701.34</v>
      </c>
      <c r="Q71" s="849">
        <v>0.0</v>
      </c>
      <c r="R71" s="849">
        <v>0.0</v>
      </c>
      <c r="S71" s="849">
        <v>13851.57</v>
      </c>
      <c r="T71" s="849">
        <v>13851.57</v>
      </c>
      <c r="U71" s="849">
        <v>0.0</v>
      </c>
      <c r="V71" s="849">
        <v>0.0</v>
      </c>
      <c r="W71" s="849">
        <v>0.0</v>
      </c>
      <c r="X71" s="849">
        <v>0.0</v>
      </c>
      <c r="Y71" s="849">
        <v>0.0</v>
      </c>
      <c r="Z71" s="849">
        <v>0.0</v>
      </c>
      <c r="AA71" s="849">
        <v>0.0</v>
      </c>
      <c r="AB71" s="849">
        <v>0.0</v>
      </c>
      <c r="AC71" s="849">
        <v>0.0</v>
      </c>
      <c r="AD71" s="849">
        <v>0.0</v>
      </c>
      <c r="AE71" s="849">
        <v>0.0</v>
      </c>
      <c r="AF71" s="849">
        <v>0.0</v>
      </c>
      <c r="AG71" s="849">
        <v>0.0</v>
      </c>
      <c r="AH71" s="849">
        <v>0.0</v>
      </c>
      <c r="AI71" s="849">
        <v>0.0</v>
      </c>
      <c r="AJ71" s="794" t="str">
        <f t="shared" ref="AJ71:AK71" si="139">C71</f>
        <v>G0251</v>
      </c>
      <c r="AK71" s="794" t="str">
        <f t="shared" si="139"/>
        <v>TAXES PAYROLL NEUFS</v>
      </c>
      <c r="AL71" s="794">
        <f t="array" ref="AL71">IFERROR(INDEX(G71:R71,1,MATCH(Parametres!$B$3,G$1:R$1,0)-1)*IF(OR(F71="L",F71="S",F71="I"),-1,1),"")</f>
        <v>117114.98</v>
      </c>
      <c r="AM71" s="794">
        <f t="shared" si="4"/>
        <v>7549.17</v>
      </c>
      <c r="AN71" s="794">
        <f t="array" ref="AN71">INDEX(G71:R71,1,MATCH(Parametres!$B$3,G$1:R$1,0))*IF(OR(F71="L",F71="S",F71="I"),-1,1)</f>
        <v>124664.15</v>
      </c>
      <c r="AO71" s="853" t="str">
        <f>+VLOOKUP($AJ71,Data_Validation!$A:$D,1,0)</f>
        <v>G0251</v>
      </c>
      <c r="AP71" s="853" t="str">
        <f>+VLOOKUP($AJ71,Data_Validation!$A:$D,3,0)</f>
        <v>Véhicules neufs</v>
      </c>
      <c r="AQ71" s="853" t="str">
        <f>+VLOOKUP($AJ71,Data_Validation!$A:$D,4,0)</f>
        <v>Déduction à la source</v>
      </c>
      <c r="AR71" s="853" t="s">
        <v>728</v>
      </c>
      <c r="AS71" s="853" t="str">
        <f>+VLOOKUP($AJ71,Data_Validation!$A:$E,5,0)</f>
        <v/>
      </c>
      <c r="AT71" s="794" t="str">
        <f t="shared" ref="AT71:AU71" si="140">C71</f>
        <v>G0251</v>
      </c>
      <c r="AU71" s="854" t="str">
        <f t="shared" si="140"/>
        <v>TAXES PAYROLL NEUFS</v>
      </c>
      <c r="AV71" s="794">
        <f t="array" ref="AV71">IFERROR(INDEX(V71:AG71,1,MATCH(Parametres!$B$3,V$1:AG$1,0)-1)*IF(OR(C71="L",C71="S",C71="I"),-1,1),"")</f>
        <v>0</v>
      </c>
      <c r="AW71" s="794">
        <f t="shared" si="6"/>
        <v>0</v>
      </c>
      <c r="AX71" s="794">
        <f t="array" ref="AX71">INDEX(V71:AG71,1,MATCH(Parametres!$B$3,V$1:AG$1,0))*IF(OR(C71="L",C71="S",C71="I"),-1,1)</f>
        <v>0</v>
      </c>
      <c r="AY71" s="853" t="s">
        <v>772</v>
      </c>
      <c r="AZ71" s="853" t="str">
        <f>+VLOOKUP($AJ71,Data_Validation!$A:$E,5,0)</f>
        <v/>
      </c>
    </row>
    <row r="72" ht="15.0" customHeight="1">
      <c r="A72" s="849" t="s">
        <v>1239</v>
      </c>
      <c r="B72" s="849">
        <v>2026.0</v>
      </c>
      <c r="C72" s="849" t="s">
        <v>1376</v>
      </c>
      <c r="D72" s="849" t="s">
        <v>1377</v>
      </c>
      <c r="E72" s="849" t="s">
        <v>768</v>
      </c>
      <c r="F72" s="849" t="s">
        <v>1200</v>
      </c>
      <c r="G72" s="849">
        <v>0.0</v>
      </c>
      <c r="H72" s="849">
        <v>0.0</v>
      </c>
      <c r="I72" s="849">
        <v>0.0</v>
      </c>
      <c r="J72" s="849">
        <v>0.0</v>
      </c>
      <c r="K72" s="849">
        <v>0.0</v>
      </c>
      <c r="L72" s="849">
        <v>0.0</v>
      </c>
      <c r="M72" s="849">
        <v>0.0</v>
      </c>
      <c r="N72" s="849">
        <v>0.0</v>
      </c>
      <c r="O72" s="849">
        <v>0.0</v>
      </c>
      <c r="P72" s="849">
        <v>0.0</v>
      </c>
      <c r="Q72" s="849">
        <v>0.0</v>
      </c>
      <c r="R72" s="849">
        <v>0.0</v>
      </c>
      <c r="S72" s="849">
        <v>0.0</v>
      </c>
      <c r="T72" s="849">
        <v>0.0</v>
      </c>
      <c r="U72" s="849">
        <v>0.0</v>
      </c>
      <c r="V72" s="849">
        <v>0.0</v>
      </c>
      <c r="W72" s="849">
        <v>0.0</v>
      </c>
      <c r="X72" s="849">
        <v>0.0</v>
      </c>
      <c r="Y72" s="849">
        <v>0.0</v>
      </c>
      <c r="Z72" s="849">
        <v>0.0</v>
      </c>
      <c r="AA72" s="849">
        <v>0.0</v>
      </c>
      <c r="AB72" s="849">
        <v>0.0</v>
      </c>
      <c r="AC72" s="849">
        <v>0.0</v>
      </c>
      <c r="AD72" s="849">
        <v>0.0</v>
      </c>
      <c r="AE72" s="849">
        <v>0.0</v>
      </c>
      <c r="AF72" s="849">
        <v>0.0</v>
      </c>
      <c r="AG72" s="849">
        <v>0.0</v>
      </c>
      <c r="AH72" s="849">
        <v>0.0</v>
      </c>
      <c r="AI72" s="849">
        <v>0.0</v>
      </c>
      <c r="AJ72" s="794" t="str">
        <f t="shared" ref="AJ72:AK72" si="141">C72</f>
        <v>G025101</v>
      </c>
      <c r="AK72" s="794" t="str">
        <f t="shared" si="141"/>
        <v>TAXES PAYROLL NEUFS/USAGE</v>
      </c>
      <c r="AL72" s="794">
        <f t="array" ref="AL72">IFERROR(INDEX(G72:R72,1,MATCH(Parametres!$B$3,G$1:R$1,0)-1)*IF(OR(F72="L",F72="S",F72="I"),-1,1),"")</f>
        <v>0</v>
      </c>
      <c r="AM72" s="794">
        <f t="shared" si="4"/>
        <v>0</v>
      </c>
      <c r="AN72" s="794">
        <f t="array" ref="AN72">INDEX(G72:R72,1,MATCH(Parametres!$B$3,G$1:R$1,0))*IF(OR(F72="L",F72="S",F72="I"),-1,1)</f>
        <v>0</v>
      </c>
      <c r="AO72" s="853" t="str">
        <f>+VLOOKUP($AJ72,Data_Validation!$A:$D,1,0)</f>
        <v>#N/A</v>
      </c>
      <c r="AP72" s="853" t="str">
        <f>+VLOOKUP($AJ72,Data_Validation!$A:$D,3,0)</f>
        <v>#N/A</v>
      </c>
      <c r="AQ72" s="853" t="str">
        <f>+VLOOKUP($AJ72,Data_Validation!$A:$D,4,0)</f>
        <v>#N/A</v>
      </c>
      <c r="AR72" s="853" t="s">
        <v>728</v>
      </c>
      <c r="AS72" s="853" t="str">
        <f>+VLOOKUP($AJ72,Data_Validation!$A:$E,5,0)</f>
        <v>#N/A</v>
      </c>
      <c r="AT72" s="794" t="str">
        <f t="shared" ref="AT72:AU72" si="142">C72</f>
        <v>G025101</v>
      </c>
      <c r="AU72" s="854" t="str">
        <f t="shared" si="142"/>
        <v>TAXES PAYROLL NEUFS/USAGE</v>
      </c>
      <c r="AV72" s="794">
        <f t="array" ref="AV72">IFERROR(INDEX(V72:AG72,1,MATCH(Parametres!$B$3,V$1:AG$1,0)-1)*IF(OR(C72="L",C72="S",C72="I"),-1,1),"")</f>
        <v>0</v>
      </c>
      <c r="AW72" s="794">
        <f t="shared" si="6"/>
        <v>0</v>
      </c>
      <c r="AX72" s="794">
        <f t="array" ref="AX72">INDEX(V72:AG72,1,MATCH(Parametres!$B$3,V$1:AG$1,0))*IF(OR(C72="L",C72="S",C72="I"),-1,1)</f>
        <v>0</v>
      </c>
      <c r="AY72" s="853" t="s">
        <v>772</v>
      </c>
      <c r="AZ72" s="853" t="str">
        <f>+VLOOKUP($AJ72,Data_Validation!$A:$E,5,0)</f>
        <v>#N/A</v>
      </c>
    </row>
    <row r="73" ht="15.0" customHeight="1">
      <c r="A73" s="849" t="s">
        <v>1239</v>
      </c>
      <c r="B73" s="849">
        <v>2026.0</v>
      </c>
      <c r="C73" s="849" t="s">
        <v>1378</v>
      </c>
      <c r="D73" s="849" t="s">
        <v>1379</v>
      </c>
      <c r="E73" s="849" t="s">
        <v>768</v>
      </c>
      <c r="F73" s="849" t="s">
        <v>1200</v>
      </c>
      <c r="G73" s="849">
        <v>1925.49</v>
      </c>
      <c r="H73" s="849">
        <v>3911.3</v>
      </c>
      <c r="I73" s="849">
        <v>6233.53</v>
      </c>
      <c r="J73" s="849">
        <v>10016.64</v>
      </c>
      <c r="K73" s="849">
        <v>14429.03</v>
      </c>
      <c r="L73" s="849">
        <v>19625.43</v>
      </c>
      <c r="M73" s="849">
        <v>24945.18</v>
      </c>
      <c r="N73" s="849">
        <v>31086.5</v>
      </c>
      <c r="O73" s="849">
        <v>35457.39</v>
      </c>
      <c r="P73" s="849">
        <v>38097.25</v>
      </c>
      <c r="Q73" s="849">
        <v>0.0</v>
      </c>
      <c r="R73" s="849">
        <v>0.0</v>
      </c>
      <c r="S73" s="849">
        <v>3939.71</v>
      </c>
      <c r="T73" s="849">
        <v>3939.71</v>
      </c>
      <c r="U73" s="849">
        <v>0.0</v>
      </c>
      <c r="V73" s="849">
        <v>0.0</v>
      </c>
      <c r="W73" s="849">
        <v>0.0</v>
      </c>
      <c r="X73" s="849">
        <v>0.0</v>
      </c>
      <c r="Y73" s="849">
        <v>0.0</v>
      </c>
      <c r="Z73" s="849">
        <v>0.0</v>
      </c>
      <c r="AA73" s="849">
        <v>0.0</v>
      </c>
      <c r="AB73" s="849">
        <v>0.0</v>
      </c>
      <c r="AC73" s="849">
        <v>0.0</v>
      </c>
      <c r="AD73" s="849">
        <v>0.0</v>
      </c>
      <c r="AE73" s="849">
        <v>0.0</v>
      </c>
      <c r="AF73" s="849">
        <v>0.0</v>
      </c>
      <c r="AG73" s="849">
        <v>0.0</v>
      </c>
      <c r="AH73" s="849">
        <v>0.0</v>
      </c>
      <c r="AI73" s="849">
        <v>0.0</v>
      </c>
      <c r="AJ73" s="794" t="str">
        <f t="shared" ref="AJ73:AK73" si="143">C73</f>
        <v>G0252</v>
      </c>
      <c r="AK73" s="794" t="str">
        <f t="shared" si="143"/>
        <v>TAXES PAYROLL USAGES</v>
      </c>
      <c r="AL73" s="794">
        <f t="array" ref="AL73">IFERROR(INDEX(G73:R73,1,MATCH(Parametres!$B$3,G$1:R$1,0)-1)*IF(OR(F73="L",F73="S",F73="I"),-1,1),"")</f>
        <v>31086.5</v>
      </c>
      <c r="AM73" s="794">
        <f t="shared" si="4"/>
        <v>4370.89</v>
      </c>
      <c r="AN73" s="794">
        <f t="array" ref="AN73">INDEX(G73:R73,1,MATCH(Parametres!$B$3,G$1:R$1,0))*IF(OR(F73="L",F73="S",F73="I"),-1,1)</f>
        <v>35457.39</v>
      </c>
      <c r="AO73" s="853" t="str">
        <f>+VLOOKUP($AJ73,Data_Validation!$A:$D,1,0)</f>
        <v>G0252</v>
      </c>
      <c r="AP73" s="853" t="str">
        <f>+VLOOKUP($AJ73,Data_Validation!$A:$D,3,0)</f>
        <v>Véhicules usagés</v>
      </c>
      <c r="AQ73" s="853" t="str">
        <f>+VLOOKUP($AJ73,Data_Validation!$A:$D,4,0)</f>
        <v>Déduction à la source</v>
      </c>
      <c r="AR73" s="853" t="s">
        <v>728</v>
      </c>
      <c r="AS73" s="853" t="str">
        <f>+VLOOKUP($AJ73,Data_Validation!$A:$E,5,0)</f>
        <v/>
      </c>
      <c r="AT73" s="794" t="str">
        <f t="shared" ref="AT73:AU73" si="144">C73</f>
        <v>G0252</v>
      </c>
      <c r="AU73" s="854" t="str">
        <f t="shared" si="144"/>
        <v>TAXES PAYROLL USAGES</v>
      </c>
      <c r="AV73" s="794">
        <f t="array" ref="AV73">IFERROR(INDEX(V73:AG73,1,MATCH(Parametres!$B$3,V$1:AG$1,0)-1)*IF(OR(C73="L",C73="S",C73="I"),-1,1),"")</f>
        <v>0</v>
      </c>
      <c r="AW73" s="794">
        <f t="shared" si="6"/>
        <v>0</v>
      </c>
      <c r="AX73" s="794">
        <f t="array" ref="AX73">INDEX(V73:AG73,1,MATCH(Parametres!$B$3,V$1:AG$1,0))*IF(OR(C73="L",C73="S",C73="I"),-1,1)</f>
        <v>0</v>
      </c>
      <c r="AY73" s="853" t="s">
        <v>772</v>
      </c>
      <c r="AZ73" s="853" t="str">
        <f>+VLOOKUP($AJ73,Data_Validation!$A:$E,5,0)</f>
        <v/>
      </c>
    </row>
    <row r="74" ht="15.0" customHeight="1">
      <c r="A74" s="849" t="s">
        <v>1239</v>
      </c>
      <c r="B74" s="849">
        <v>2026.0</v>
      </c>
      <c r="C74" s="849" t="s">
        <v>1380</v>
      </c>
      <c r="D74" s="849" t="s">
        <v>1381</v>
      </c>
      <c r="E74" s="849" t="s">
        <v>768</v>
      </c>
      <c r="F74" s="849" t="s">
        <v>1200</v>
      </c>
      <c r="G74" s="849">
        <v>20270.82</v>
      </c>
      <c r="H74" s="849">
        <v>21382.94</v>
      </c>
      <c r="I74" s="849">
        <v>24217.29</v>
      </c>
      <c r="J74" s="849">
        <v>31947.19</v>
      </c>
      <c r="K74" s="849">
        <v>36875.36</v>
      </c>
      <c r="L74" s="849">
        <v>41827.78</v>
      </c>
      <c r="M74" s="849">
        <v>47769.57</v>
      </c>
      <c r="N74" s="849">
        <v>46412.12</v>
      </c>
      <c r="O74" s="849">
        <v>49756.0</v>
      </c>
      <c r="P74" s="849">
        <v>50811.12</v>
      </c>
      <c r="Q74" s="849">
        <v>0.0</v>
      </c>
      <c r="R74" s="849">
        <v>0.0</v>
      </c>
      <c r="S74" s="849">
        <v>5528.44</v>
      </c>
      <c r="T74" s="849">
        <v>5528.44</v>
      </c>
      <c r="U74" s="849">
        <v>0.0</v>
      </c>
      <c r="V74" s="849">
        <v>0.0</v>
      </c>
      <c r="W74" s="849">
        <v>0.0</v>
      </c>
      <c r="X74" s="849">
        <v>0.0</v>
      </c>
      <c r="Y74" s="849">
        <v>0.0</v>
      </c>
      <c r="Z74" s="849">
        <v>0.0</v>
      </c>
      <c r="AA74" s="849">
        <v>0.0</v>
      </c>
      <c r="AB74" s="849">
        <v>0.0</v>
      </c>
      <c r="AC74" s="849">
        <v>0.0</v>
      </c>
      <c r="AD74" s="849">
        <v>0.0</v>
      </c>
      <c r="AE74" s="849">
        <v>0.0</v>
      </c>
      <c r="AF74" s="849">
        <v>0.0</v>
      </c>
      <c r="AG74" s="849">
        <v>0.0</v>
      </c>
      <c r="AH74" s="849">
        <v>0.0</v>
      </c>
      <c r="AI74" s="849">
        <v>0.0</v>
      </c>
      <c r="AJ74" s="794" t="str">
        <f t="shared" ref="AJ74:AK74" si="145">C74</f>
        <v>G0253</v>
      </c>
      <c r="AK74" s="794" t="str">
        <f t="shared" si="145"/>
        <v>TAXES PAYROLL U.S.A</v>
      </c>
      <c r="AL74" s="794">
        <f t="array" ref="AL74">IFERROR(INDEX(G74:R74,1,MATCH(Parametres!$B$3,G$1:R$1,0)-1)*IF(OR(F74="L",F74="S",F74="I"),-1,1),"")</f>
        <v>46412.12</v>
      </c>
      <c r="AM74" s="794">
        <f t="shared" si="4"/>
        <v>3343.88</v>
      </c>
      <c r="AN74" s="794">
        <f t="array" ref="AN74">INDEX(G74:R74,1,MATCH(Parametres!$B$3,G$1:R$1,0))*IF(OR(F74="L",F74="S",F74="I"),-1,1)</f>
        <v>49756</v>
      </c>
      <c r="AO74" s="853" t="str">
        <f>+VLOOKUP($AJ74,Data_Validation!$A:$D,1,0)</f>
        <v>G0253</v>
      </c>
      <c r="AP74" s="853" t="str">
        <f>+VLOOKUP($AJ74,Data_Validation!$A:$D,3,0)</f>
        <v>Wholesale autres</v>
      </c>
      <c r="AQ74" s="853" t="str">
        <f>+VLOOKUP($AJ74,Data_Validation!$A:$D,4,0)</f>
        <v>Déduction à la source</v>
      </c>
      <c r="AR74" s="853" t="s">
        <v>728</v>
      </c>
      <c r="AS74" s="853" t="str">
        <f>+VLOOKUP($AJ74,Data_Validation!$A:$E,5,0)</f>
        <v/>
      </c>
      <c r="AT74" s="794" t="str">
        <f t="shared" ref="AT74:AU74" si="146">C74</f>
        <v>G0253</v>
      </c>
      <c r="AU74" s="854" t="str">
        <f t="shared" si="146"/>
        <v>TAXES PAYROLL U.S.A</v>
      </c>
      <c r="AV74" s="794">
        <f t="array" ref="AV74">IFERROR(INDEX(V74:AG74,1,MATCH(Parametres!$B$3,V$1:AG$1,0)-1)*IF(OR(C74="L",C74="S",C74="I"),-1,1),"")</f>
        <v>0</v>
      </c>
      <c r="AW74" s="794">
        <f t="shared" si="6"/>
        <v>0</v>
      </c>
      <c r="AX74" s="794">
        <f t="array" ref="AX74">INDEX(V74:AG74,1,MATCH(Parametres!$B$3,V$1:AG$1,0))*IF(OR(C74="L",C74="S",C74="I"),-1,1)</f>
        <v>0</v>
      </c>
      <c r="AY74" s="853" t="s">
        <v>772</v>
      </c>
      <c r="AZ74" s="853" t="str">
        <f>+VLOOKUP($AJ74,Data_Validation!$A:$E,5,0)</f>
        <v/>
      </c>
    </row>
    <row r="75" ht="15.0" customHeight="1">
      <c r="A75" s="849" t="s">
        <v>1239</v>
      </c>
      <c r="B75" s="849">
        <v>2026.0</v>
      </c>
      <c r="C75" s="849" t="s">
        <v>1382</v>
      </c>
      <c r="D75" s="849" t="s">
        <v>1383</v>
      </c>
      <c r="E75" s="849" t="s">
        <v>768</v>
      </c>
      <c r="F75" s="849" t="s">
        <v>1200</v>
      </c>
      <c r="G75" s="849">
        <v>17810.29</v>
      </c>
      <c r="H75" s="849">
        <v>34676.42</v>
      </c>
      <c r="I75" s="849">
        <v>54533.29</v>
      </c>
      <c r="J75" s="849">
        <v>75667.15</v>
      </c>
      <c r="K75" s="849">
        <v>93129.58</v>
      </c>
      <c r="L75" s="849">
        <v>109204.66</v>
      </c>
      <c r="M75" s="849">
        <v>122529.4</v>
      </c>
      <c r="N75" s="849">
        <v>140540.87</v>
      </c>
      <c r="O75" s="849">
        <v>155240.63</v>
      </c>
      <c r="P75" s="849">
        <v>161877.39</v>
      </c>
      <c r="Q75" s="849">
        <v>0.0</v>
      </c>
      <c r="R75" s="849">
        <v>0.0</v>
      </c>
      <c r="S75" s="849">
        <v>17248.96</v>
      </c>
      <c r="T75" s="849">
        <v>17248.96</v>
      </c>
      <c r="U75" s="849">
        <v>0.0</v>
      </c>
      <c r="V75" s="849">
        <v>0.0</v>
      </c>
      <c r="W75" s="849">
        <v>0.0</v>
      </c>
      <c r="X75" s="849">
        <v>0.0</v>
      </c>
      <c r="Y75" s="849">
        <v>0.0</v>
      </c>
      <c r="Z75" s="849">
        <v>0.0</v>
      </c>
      <c r="AA75" s="849">
        <v>0.0</v>
      </c>
      <c r="AB75" s="849">
        <v>0.0</v>
      </c>
      <c r="AC75" s="849">
        <v>0.0</v>
      </c>
      <c r="AD75" s="849">
        <v>0.0</v>
      </c>
      <c r="AE75" s="849">
        <v>0.0</v>
      </c>
      <c r="AF75" s="849">
        <v>0.0</v>
      </c>
      <c r="AG75" s="849">
        <v>0.0</v>
      </c>
      <c r="AH75" s="849">
        <v>0.0</v>
      </c>
      <c r="AI75" s="849">
        <v>0.0</v>
      </c>
      <c r="AJ75" s="794" t="str">
        <f t="shared" ref="AJ75:AK75" si="147">C75</f>
        <v>G0254</v>
      </c>
      <c r="AK75" s="794" t="str">
        <f t="shared" si="147"/>
        <v>TAXES PAYROLL SERVICE</v>
      </c>
      <c r="AL75" s="794">
        <f t="array" ref="AL75">IFERROR(INDEX(G75:R75,1,MATCH(Parametres!$B$3,G$1:R$1,0)-1)*IF(OR(F75="L",F75="S",F75="I"),-1,1),"")</f>
        <v>140540.87</v>
      </c>
      <c r="AM75" s="794">
        <f t="shared" si="4"/>
        <v>14699.76</v>
      </c>
      <c r="AN75" s="794">
        <f t="array" ref="AN75">INDEX(G75:R75,1,MATCH(Parametres!$B$3,G$1:R$1,0))*IF(OR(F75="L",F75="S",F75="I"),-1,1)</f>
        <v>155240.63</v>
      </c>
      <c r="AO75" s="853" t="str">
        <f>+VLOOKUP($AJ75,Data_Validation!$A:$D,1,0)</f>
        <v>G0254</v>
      </c>
      <c r="AP75" s="853" t="str">
        <f>+VLOOKUP($AJ75,Data_Validation!$A:$D,3,0)</f>
        <v>Service</v>
      </c>
      <c r="AQ75" s="853" t="str">
        <f>+VLOOKUP($AJ75,Data_Validation!$A:$D,4,0)</f>
        <v>Déduction à la source</v>
      </c>
      <c r="AR75" s="853" t="s">
        <v>728</v>
      </c>
      <c r="AS75" s="853" t="str">
        <f>+VLOOKUP($AJ75,Data_Validation!$A:$E,5,0)</f>
        <v/>
      </c>
      <c r="AT75" s="794" t="str">
        <f t="shared" ref="AT75:AU75" si="148">C75</f>
        <v>G0254</v>
      </c>
      <c r="AU75" s="854" t="str">
        <f t="shared" si="148"/>
        <v>TAXES PAYROLL SERVICE</v>
      </c>
      <c r="AV75" s="794">
        <f t="array" ref="AV75">IFERROR(INDEX(V75:AG75,1,MATCH(Parametres!$B$3,V$1:AG$1,0)-1)*IF(OR(C75="L",C75="S",C75="I"),-1,1),"")</f>
        <v>0</v>
      </c>
      <c r="AW75" s="794">
        <f t="shared" si="6"/>
        <v>0</v>
      </c>
      <c r="AX75" s="794">
        <f t="array" ref="AX75">INDEX(V75:AG75,1,MATCH(Parametres!$B$3,V$1:AG$1,0))*IF(OR(C75="L",C75="S",C75="I"),-1,1)</f>
        <v>0</v>
      </c>
      <c r="AY75" s="853" t="s">
        <v>772</v>
      </c>
      <c r="AZ75" s="853" t="str">
        <f>+VLOOKUP($AJ75,Data_Validation!$A:$E,5,0)</f>
        <v/>
      </c>
    </row>
    <row r="76" ht="15.0" customHeight="1">
      <c r="A76" s="849" t="s">
        <v>1239</v>
      </c>
      <c r="B76" s="849">
        <v>2026.0</v>
      </c>
      <c r="C76" s="849" t="s">
        <v>1384</v>
      </c>
      <c r="D76" s="849" t="s">
        <v>1385</v>
      </c>
      <c r="E76" s="849" t="s">
        <v>768</v>
      </c>
      <c r="F76" s="849" t="s">
        <v>1200</v>
      </c>
      <c r="G76" s="849">
        <v>5336.96</v>
      </c>
      <c r="H76" s="849">
        <v>10803.11</v>
      </c>
      <c r="I76" s="849">
        <v>15409.83</v>
      </c>
      <c r="J76" s="849">
        <v>21428.65</v>
      </c>
      <c r="K76" s="849">
        <v>26890.2</v>
      </c>
      <c r="L76" s="849">
        <v>33135.82</v>
      </c>
      <c r="M76" s="849">
        <v>39672.56</v>
      </c>
      <c r="N76" s="849">
        <v>45409.32</v>
      </c>
      <c r="O76" s="849">
        <v>50929.01</v>
      </c>
      <c r="P76" s="849">
        <v>53296.72</v>
      </c>
      <c r="Q76" s="849">
        <v>0.0</v>
      </c>
      <c r="R76" s="849">
        <v>0.0</v>
      </c>
      <c r="S76" s="849">
        <v>5658.78</v>
      </c>
      <c r="T76" s="849">
        <v>5658.78</v>
      </c>
      <c r="U76" s="849">
        <v>0.0</v>
      </c>
      <c r="V76" s="849">
        <v>0.0</v>
      </c>
      <c r="W76" s="849">
        <v>0.0</v>
      </c>
      <c r="X76" s="849">
        <v>0.0</v>
      </c>
      <c r="Y76" s="849">
        <v>0.0</v>
      </c>
      <c r="Z76" s="849">
        <v>0.0</v>
      </c>
      <c r="AA76" s="849">
        <v>0.0</v>
      </c>
      <c r="AB76" s="849">
        <v>0.0</v>
      </c>
      <c r="AC76" s="849">
        <v>0.0</v>
      </c>
      <c r="AD76" s="849">
        <v>0.0</v>
      </c>
      <c r="AE76" s="849">
        <v>0.0</v>
      </c>
      <c r="AF76" s="849">
        <v>0.0</v>
      </c>
      <c r="AG76" s="849">
        <v>0.0</v>
      </c>
      <c r="AH76" s="849">
        <v>0.0</v>
      </c>
      <c r="AI76" s="849">
        <v>0.0</v>
      </c>
      <c r="AJ76" s="794" t="str">
        <f t="shared" ref="AJ76:AK76" si="149">C76</f>
        <v>G0255</v>
      </c>
      <c r="AK76" s="794" t="str">
        <f t="shared" si="149"/>
        <v>TAXES PAYROLL CARROSS.</v>
      </c>
      <c r="AL76" s="794">
        <f t="array" ref="AL76">IFERROR(INDEX(G76:R76,1,MATCH(Parametres!$B$3,G$1:R$1,0)-1)*IF(OR(F76="L",F76="S",F76="I"),-1,1),"")</f>
        <v>45409.32</v>
      </c>
      <c r="AM76" s="794">
        <f t="shared" si="4"/>
        <v>5519.69</v>
      </c>
      <c r="AN76" s="794">
        <f t="array" ref="AN76">INDEX(G76:R76,1,MATCH(Parametres!$B$3,G$1:R$1,0))*IF(OR(F76="L",F76="S",F76="I"),-1,1)</f>
        <v>50929.01</v>
      </c>
      <c r="AO76" s="853" t="str">
        <f>+VLOOKUP($AJ76,Data_Validation!$A:$D,1,0)</f>
        <v>G0255</v>
      </c>
      <c r="AP76" s="853" t="str">
        <f>+VLOOKUP($AJ76,Data_Validation!$A:$D,3,0)</f>
        <v>Carrosserie</v>
      </c>
      <c r="AQ76" s="853" t="str">
        <f>+VLOOKUP($AJ76,Data_Validation!$A:$D,4,0)</f>
        <v>Déduction à la source</v>
      </c>
      <c r="AR76" s="853" t="s">
        <v>728</v>
      </c>
      <c r="AS76" s="853" t="str">
        <f>+VLOOKUP($AJ76,Data_Validation!$A:$E,5,0)</f>
        <v/>
      </c>
      <c r="AT76" s="794" t="str">
        <f t="shared" ref="AT76:AU76" si="150">C76</f>
        <v>G0255</v>
      </c>
      <c r="AU76" s="854" t="str">
        <f t="shared" si="150"/>
        <v>TAXES PAYROLL CARROSS.</v>
      </c>
      <c r="AV76" s="794">
        <f t="array" ref="AV76">IFERROR(INDEX(V76:AG76,1,MATCH(Parametres!$B$3,V$1:AG$1,0)-1)*IF(OR(C76="L",C76="S",C76="I"),-1,1),"")</f>
        <v>0</v>
      </c>
      <c r="AW76" s="794">
        <f t="shared" si="6"/>
        <v>0</v>
      </c>
      <c r="AX76" s="794">
        <f t="array" ref="AX76">INDEX(V76:AG76,1,MATCH(Parametres!$B$3,V$1:AG$1,0))*IF(OR(C76="L",C76="S",C76="I"),-1,1)</f>
        <v>0</v>
      </c>
      <c r="AY76" s="853" t="s">
        <v>772</v>
      </c>
      <c r="AZ76" s="853" t="str">
        <f>+VLOOKUP($AJ76,Data_Validation!$A:$E,5,0)</f>
        <v/>
      </c>
    </row>
    <row r="77" ht="15.0" customHeight="1">
      <c r="A77" s="849" t="s">
        <v>1239</v>
      </c>
      <c r="B77" s="849">
        <v>2026.0</v>
      </c>
      <c r="C77" s="849" t="s">
        <v>1386</v>
      </c>
      <c r="D77" s="849" t="s">
        <v>1387</v>
      </c>
      <c r="E77" s="849" t="s">
        <v>768</v>
      </c>
      <c r="F77" s="849" t="s">
        <v>1200</v>
      </c>
      <c r="G77" s="849">
        <v>2930.86</v>
      </c>
      <c r="H77" s="849">
        <v>5913.56</v>
      </c>
      <c r="I77" s="849">
        <v>9470.38</v>
      </c>
      <c r="J77" s="849">
        <v>12336.04</v>
      </c>
      <c r="K77" s="849">
        <v>15695.39</v>
      </c>
      <c r="L77" s="849">
        <v>19177.02</v>
      </c>
      <c r="M77" s="849">
        <v>22819.6</v>
      </c>
      <c r="N77" s="849">
        <v>26548.43</v>
      </c>
      <c r="O77" s="849">
        <v>29615.86</v>
      </c>
      <c r="P77" s="849">
        <v>31285.6</v>
      </c>
      <c r="Q77" s="849">
        <v>0.0</v>
      </c>
      <c r="R77" s="849">
        <v>0.0</v>
      </c>
      <c r="S77" s="849">
        <v>3290.65</v>
      </c>
      <c r="T77" s="849">
        <v>3290.65</v>
      </c>
      <c r="U77" s="849">
        <v>0.0</v>
      </c>
      <c r="V77" s="849">
        <v>0.0</v>
      </c>
      <c r="W77" s="849">
        <v>0.0</v>
      </c>
      <c r="X77" s="849">
        <v>0.0</v>
      </c>
      <c r="Y77" s="849">
        <v>0.0</v>
      </c>
      <c r="Z77" s="849">
        <v>0.0</v>
      </c>
      <c r="AA77" s="849">
        <v>0.0</v>
      </c>
      <c r="AB77" s="849">
        <v>0.0</v>
      </c>
      <c r="AC77" s="849">
        <v>0.0</v>
      </c>
      <c r="AD77" s="849">
        <v>0.0</v>
      </c>
      <c r="AE77" s="849">
        <v>0.0</v>
      </c>
      <c r="AF77" s="849">
        <v>0.0</v>
      </c>
      <c r="AG77" s="849">
        <v>0.0</v>
      </c>
      <c r="AH77" s="849">
        <v>0.0</v>
      </c>
      <c r="AI77" s="849">
        <v>0.0</v>
      </c>
      <c r="AJ77" s="794" t="str">
        <f t="shared" ref="AJ77:AK77" si="151">C77</f>
        <v>G0256</v>
      </c>
      <c r="AK77" s="794" t="str">
        <f t="shared" si="151"/>
        <v>TAXES PAYROLL PIECES</v>
      </c>
      <c r="AL77" s="794">
        <f t="array" ref="AL77">IFERROR(INDEX(G77:R77,1,MATCH(Parametres!$B$3,G$1:R$1,0)-1)*IF(OR(F77="L",F77="S",F77="I"),-1,1),"")</f>
        <v>26548.43</v>
      </c>
      <c r="AM77" s="794">
        <f t="shared" si="4"/>
        <v>3067.43</v>
      </c>
      <c r="AN77" s="794">
        <f t="array" ref="AN77">INDEX(G77:R77,1,MATCH(Parametres!$B$3,G$1:R$1,0))*IF(OR(F77="L",F77="S",F77="I"),-1,1)</f>
        <v>29615.86</v>
      </c>
      <c r="AO77" s="853" t="str">
        <f>+VLOOKUP($AJ77,Data_Validation!$A:$D,1,0)</f>
        <v>G0256</v>
      </c>
      <c r="AP77" s="853" t="str">
        <f>+VLOOKUP($AJ77,Data_Validation!$A:$D,3,0)</f>
        <v>Pièces</v>
      </c>
      <c r="AQ77" s="853" t="str">
        <f>+VLOOKUP($AJ77,Data_Validation!$A:$D,4,0)</f>
        <v>Déduction à la source</v>
      </c>
      <c r="AR77" s="853" t="s">
        <v>728</v>
      </c>
      <c r="AS77" s="853" t="str">
        <f>+VLOOKUP($AJ77,Data_Validation!$A:$E,5,0)</f>
        <v/>
      </c>
      <c r="AT77" s="794" t="str">
        <f t="shared" ref="AT77:AU77" si="152">C77</f>
        <v>G0256</v>
      </c>
      <c r="AU77" s="854" t="str">
        <f t="shared" si="152"/>
        <v>TAXES PAYROLL PIECES</v>
      </c>
      <c r="AV77" s="794">
        <f t="array" ref="AV77">IFERROR(INDEX(V77:AG77,1,MATCH(Parametres!$B$3,V$1:AG$1,0)-1)*IF(OR(C77="L",C77="S",C77="I"),-1,1),"")</f>
        <v>0</v>
      </c>
      <c r="AW77" s="794">
        <f t="shared" si="6"/>
        <v>0</v>
      </c>
      <c r="AX77" s="794">
        <f t="array" ref="AX77">INDEX(V77:AG77,1,MATCH(Parametres!$B$3,V$1:AG$1,0))*IF(OR(C77="L",C77="S",C77="I"),-1,1)</f>
        <v>0</v>
      </c>
      <c r="AY77" s="853" t="s">
        <v>772</v>
      </c>
      <c r="AZ77" s="853" t="str">
        <f>+VLOOKUP($AJ77,Data_Validation!$A:$E,5,0)</f>
        <v/>
      </c>
    </row>
    <row r="78" ht="15.0" customHeight="1">
      <c r="A78" s="849" t="s">
        <v>1239</v>
      </c>
      <c r="B78" s="849">
        <v>2026.0</v>
      </c>
      <c r="C78" s="849" t="s">
        <v>1388</v>
      </c>
      <c r="D78" s="849" t="s">
        <v>1389</v>
      </c>
      <c r="E78" s="849" t="s">
        <v>768</v>
      </c>
      <c r="F78" s="849" t="s">
        <v>1200</v>
      </c>
      <c r="G78" s="849">
        <v>0.0</v>
      </c>
      <c r="H78" s="849">
        <v>0.0</v>
      </c>
      <c r="I78" s="849">
        <v>0.0</v>
      </c>
      <c r="J78" s="849">
        <v>0.0</v>
      </c>
      <c r="K78" s="849">
        <v>0.0</v>
      </c>
      <c r="L78" s="849">
        <v>4971.96</v>
      </c>
      <c r="M78" s="849">
        <v>10053.03</v>
      </c>
      <c r="N78" s="849">
        <v>14954.65</v>
      </c>
      <c r="O78" s="849">
        <v>20606.87</v>
      </c>
      <c r="P78" s="849">
        <v>23185.18</v>
      </c>
      <c r="Q78" s="849">
        <v>0.0</v>
      </c>
      <c r="R78" s="849">
        <v>0.0</v>
      </c>
      <c r="S78" s="849">
        <v>2289.65</v>
      </c>
      <c r="T78" s="849">
        <v>2289.65</v>
      </c>
      <c r="U78" s="849">
        <v>0.0</v>
      </c>
      <c r="V78" s="849">
        <v>0.0</v>
      </c>
      <c r="W78" s="849">
        <v>0.0</v>
      </c>
      <c r="X78" s="849">
        <v>0.0</v>
      </c>
      <c r="Y78" s="849">
        <v>0.0</v>
      </c>
      <c r="Z78" s="849">
        <v>0.0</v>
      </c>
      <c r="AA78" s="849">
        <v>0.0</v>
      </c>
      <c r="AB78" s="849">
        <v>0.0</v>
      </c>
      <c r="AC78" s="849">
        <v>0.0</v>
      </c>
      <c r="AD78" s="849">
        <v>0.0</v>
      </c>
      <c r="AE78" s="849">
        <v>0.0</v>
      </c>
      <c r="AF78" s="849">
        <v>0.0</v>
      </c>
      <c r="AG78" s="849">
        <v>0.0</v>
      </c>
      <c r="AH78" s="849">
        <v>0.0</v>
      </c>
      <c r="AI78" s="849">
        <v>0.0</v>
      </c>
      <c r="AJ78" s="794" t="str">
        <f t="shared" ref="AJ78:AK78" si="153">C78</f>
        <v>G0257</v>
      </c>
      <c r="AK78" s="794" t="str">
        <f t="shared" si="153"/>
        <v>TAXES PAYROLL SAAQ</v>
      </c>
      <c r="AL78" s="794">
        <f t="array" ref="AL78">IFERROR(INDEX(G78:R78,1,MATCH(Parametres!$B$3,G$1:R$1,0)-1)*IF(OR(F78="L",F78="S",F78="I"),-1,1),"")</f>
        <v>14954.65</v>
      </c>
      <c r="AM78" s="794">
        <f t="shared" si="4"/>
        <v>5652.22</v>
      </c>
      <c r="AN78" s="794">
        <f t="array" ref="AN78">INDEX(G78:R78,1,MATCH(Parametres!$B$3,G$1:R$1,0))*IF(OR(F78="L",F78="S",F78="I"),-1,1)</f>
        <v>20606.87</v>
      </c>
      <c r="AO78" s="853" t="str">
        <f>+VLOOKUP($AJ78,Data_Validation!$A:$D,1,0)</f>
        <v>G0257</v>
      </c>
      <c r="AP78" s="853" t="str">
        <f>+VLOOKUP($AJ78,Data_Validation!$A:$D,3,0)</f>
        <v>SAAQ</v>
      </c>
      <c r="AQ78" s="853" t="str">
        <f>+VLOOKUP($AJ78,Data_Validation!$A:$D,4,0)</f>
        <v>Déduction à la source</v>
      </c>
      <c r="AR78" s="853" t="s">
        <v>728</v>
      </c>
      <c r="AS78" s="853" t="str">
        <f>+VLOOKUP($AJ78,Data_Validation!$A:$E,5,0)</f>
        <v/>
      </c>
      <c r="AT78" s="794" t="str">
        <f t="shared" ref="AT78:AU78" si="154">C78</f>
        <v>G0257</v>
      </c>
      <c r="AU78" s="854" t="str">
        <f t="shared" si="154"/>
        <v>TAXES PAYROLL SAAQ</v>
      </c>
      <c r="AV78" s="794">
        <f t="array" ref="AV78">IFERROR(INDEX(V78:AG78,1,MATCH(Parametres!$B$3,V$1:AG$1,0)-1)*IF(OR(C78="L",C78="S",C78="I"),-1,1),"")</f>
        <v>0</v>
      </c>
      <c r="AW78" s="794">
        <f t="shared" si="6"/>
        <v>0</v>
      </c>
      <c r="AX78" s="794">
        <f t="array" ref="AX78">INDEX(V78:AG78,1,MATCH(Parametres!$B$3,V$1:AG$1,0))*IF(OR(C78="L",C78="S",C78="I"),-1,1)</f>
        <v>0</v>
      </c>
      <c r="AY78" s="853" t="s">
        <v>772</v>
      </c>
      <c r="AZ78" s="853" t="str">
        <f>+VLOOKUP($AJ78,Data_Validation!$A:$E,5,0)</f>
        <v/>
      </c>
    </row>
    <row r="79" ht="15.0" customHeight="1">
      <c r="A79" s="849" t="s">
        <v>1239</v>
      </c>
      <c r="B79" s="849">
        <v>2026.0</v>
      </c>
      <c r="C79" s="849" t="s">
        <v>1390</v>
      </c>
      <c r="D79" s="849" t="s">
        <v>1391</v>
      </c>
      <c r="E79" s="849" t="s">
        <v>768</v>
      </c>
      <c r="F79" s="849" t="s">
        <v>1200</v>
      </c>
      <c r="G79" s="849">
        <v>0.0</v>
      </c>
      <c r="H79" s="849">
        <v>0.0</v>
      </c>
      <c r="I79" s="849">
        <v>0.0</v>
      </c>
      <c r="J79" s="849">
        <v>0.0</v>
      </c>
      <c r="K79" s="849">
        <v>0.0</v>
      </c>
      <c r="L79" s="849">
        <v>0.0</v>
      </c>
      <c r="M79" s="849">
        <v>0.0</v>
      </c>
      <c r="N79" s="849">
        <v>0.0</v>
      </c>
      <c r="O79" s="849">
        <v>0.0</v>
      </c>
      <c r="P79" s="849">
        <v>0.0</v>
      </c>
      <c r="Q79" s="849">
        <v>0.0</v>
      </c>
      <c r="R79" s="849">
        <v>0.0</v>
      </c>
      <c r="S79" s="849">
        <v>0.0</v>
      </c>
      <c r="T79" s="849">
        <v>0.0</v>
      </c>
      <c r="U79" s="849">
        <v>0.0</v>
      </c>
      <c r="V79" s="849">
        <v>0.0</v>
      </c>
      <c r="W79" s="849">
        <v>0.0</v>
      </c>
      <c r="X79" s="849">
        <v>0.0</v>
      </c>
      <c r="Y79" s="849">
        <v>0.0</v>
      </c>
      <c r="Z79" s="849">
        <v>0.0</v>
      </c>
      <c r="AA79" s="849">
        <v>0.0</v>
      </c>
      <c r="AB79" s="849">
        <v>0.0</v>
      </c>
      <c r="AC79" s="849">
        <v>0.0</v>
      </c>
      <c r="AD79" s="849">
        <v>0.0</v>
      </c>
      <c r="AE79" s="849">
        <v>0.0</v>
      </c>
      <c r="AF79" s="849">
        <v>0.0</v>
      </c>
      <c r="AG79" s="849">
        <v>0.0</v>
      </c>
      <c r="AH79" s="849">
        <v>0.0</v>
      </c>
      <c r="AI79" s="849">
        <v>0.0</v>
      </c>
      <c r="AJ79" s="794" t="str">
        <f t="shared" ref="AJ79:AK79" si="155">C79</f>
        <v>G0270</v>
      </c>
      <c r="AK79" s="794" t="str">
        <f t="shared" si="155"/>
        <v>AVANTAG.SOCIAUX REP.</v>
      </c>
      <c r="AL79" s="794">
        <f t="array" ref="AL79">IFERROR(INDEX(G79:R79,1,MATCH(Parametres!$B$3,G$1:R$1,0)-1)*IF(OR(F79="L",F79="S",F79="I"),-1,1),"")</f>
        <v>0</v>
      </c>
      <c r="AM79" s="794">
        <f t="shared" si="4"/>
        <v>0</v>
      </c>
      <c r="AN79" s="794">
        <f t="array" ref="AN79">INDEX(G79:R79,1,MATCH(Parametres!$B$3,G$1:R$1,0))*IF(OR(F79="L",F79="S",F79="I"),-1,1)</f>
        <v>0</v>
      </c>
      <c r="AO79" s="853" t="str">
        <f>+VLOOKUP($AJ79,Data_Validation!$A:$D,1,0)</f>
        <v>#N/A</v>
      </c>
      <c r="AP79" s="853" t="str">
        <f>+VLOOKUP($AJ79,Data_Validation!$A:$D,3,0)</f>
        <v>#N/A</v>
      </c>
      <c r="AQ79" s="853" t="str">
        <f>+VLOOKUP($AJ79,Data_Validation!$A:$D,4,0)</f>
        <v>#N/A</v>
      </c>
      <c r="AR79" s="853" t="s">
        <v>728</v>
      </c>
      <c r="AS79" s="853" t="str">
        <f>+VLOOKUP($AJ79,Data_Validation!$A:$E,5,0)</f>
        <v>#N/A</v>
      </c>
      <c r="AT79" s="794" t="str">
        <f t="shared" ref="AT79:AU79" si="156">C79</f>
        <v>G0270</v>
      </c>
      <c r="AU79" s="854" t="str">
        <f t="shared" si="156"/>
        <v>AVANTAG.SOCIAUX REP.</v>
      </c>
      <c r="AV79" s="794">
        <f t="array" ref="AV79">IFERROR(INDEX(V79:AG79,1,MATCH(Parametres!$B$3,V$1:AG$1,0)-1)*IF(OR(C79="L",C79="S",C79="I"),-1,1),"")</f>
        <v>0</v>
      </c>
      <c r="AW79" s="794">
        <f t="shared" si="6"/>
        <v>0</v>
      </c>
      <c r="AX79" s="794">
        <f t="array" ref="AX79">INDEX(V79:AG79,1,MATCH(Parametres!$B$3,V$1:AG$1,0))*IF(OR(C79="L",C79="S",C79="I"),-1,1)</f>
        <v>0</v>
      </c>
      <c r="AY79" s="853" t="s">
        <v>772</v>
      </c>
      <c r="AZ79" s="853" t="str">
        <f>+VLOOKUP($AJ79,Data_Validation!$A:$E,5,0)</f>
        <v>#N/A</v>
      </c>
    </row>
    <row r="80" ht="15.75" customHeight="1">
      <c r="A80" s="849" t="s">
        <v>1239</v>
      </c>
      <c r="B80" s="849">
        <v>2026.0</v>
      </c>
      <c r="C80" s="849" t="s">
        <v>1392</v>
      </c>
      <c r="D80" s="849" t="s">
        <v>1393</v>
      </c>
      <c r="E80" s="849" t="s">
        <v>768</v>
      </c>
      <c r="F80" s="849" t="s">
        <v>1200</v>
      </c>
      <c r="G80" s="849">
        <v>0.0</v>
      </c>
      <c r="H80" s="849">
        <v>0.0</v>
      </c>
      <c r="I80" s="849">
        <v>0.0</v>
      </c>
      <c r="J80" s="849">
        <v>0.0</v>
      </c>
      <c r="K80" s="849">
        <v>0.0</v>
      </c>
      <c r="L80" s="849">
        <v>0.0</v>
      </c>
      <c r="M80" s="849">
        <v>0.0</v>
      </c>
      <c r="N80" s="849">
        <v>0.0</v>
      </c>
      <c r="O80" s="849">
        <v>0.0</v>
      </c>
      <c r="P80" s="849">
        <v>0.0</v>
      </c>
      <c r="Q80" s="849">
        <v>0.0</v>
      </c>
      <c r="R80" s="849">
        <v>0.0</v>
      </c>
      <c r="S80" s="849">
        <v>0.0</v>
      </c>
      <c r="T80" s="849">
        <v>0.0</v>
      </c>
      <c r="U80" s="849">
        <v>0.0</v>
      </c>
      <c r="V80" s="849">
        <v>0.0</v>
      </c>
      <c r="W80" s="849">
        <v>0.0</v>
      </c>
      <c r="X80" s="849">
        <v>0.0</v>
      </c>
      <c r="Y80" s="849">
        <v>0.0</v>
      </c>
      <c r="Z80" s="849">
        <v>0.0</v>
      </c>
      <c r="AA80" s="849">
        <v>0.0</v>
      </c>
      <c r="AB80" s="849">
        <v>0.0</v>
      </c>
      <c r="AC80" s="849">
        <v>0.0</v>
      </c>
      <c r="AD80" s="849">
        <v>0.0</v>
      </c>
      <c r="AE80" s="849">
        <v>0.0</v>
      </c>
      <c r="AF80" s="849">
        <v>0.0</v>
      </c>
      <c r="AG80" s="849">
        <v>0.0</v>
      </c>
      <c r="AH80" s="849">
        <v>0.0</v>
      </c>
      <c r="AI80" s="849">
        <v>0.0</v>
      </c>
      <c r="AJ80" s="794" t="str">
        <f t="shared" ref="AJ80:AK80" si="157">C80</f>
        <v>G02701</v>
      </c>
      <c r="AK80" s="794" t="str">
        <f t="shared" si="157"/>
        <v>AVANTAGES SOCIAUX NEUF/US</v>
      </c>
      <c r="AL80" s="794">
        <f t="array" ref="AL80">IFERROR(INDEX(G80:R80,1,MATCH(Parametres!$B$3,G$1:R$1,0)-1)*IF(OR(F80="L",F80="S",F80="I"),-1,1),"")</f>
        <v>0</v>
      </c>
      <c r="AM80" s="794">
        <f t="shared" si="4"/>
        <v>0</v>
      </c>
      <c r="AN80" s="794">
        <f t="array" ref="AN80">INDEX(G80:R80,1,MATCH(Parametres!$B$3,G$1:R$1,0))*IF(OR(F80="L",F80="S",F80="I"),-1,1)</f>
        <v>0</v>
      </c>
      <c r="AO80" s="853" t="str">
        <f>+VLOOKUP($AJ80,Data_Validation!$A:$D,1,0)</f>
        <v>#N/A</v>
      </c>
      <c r="AP80" s="853" t="str">
        <f>+VLOOKUP($AJ80,Data_Validation!$A:$D,3,0)</f>
        <v>#N/A</v>
      </c>
      <c r="AQ80" s="853" t="str">
        <f>+VLOOKUP($AJ80,Data_Validation!$A:$D,4,0)</f>
        <v>#N/A</v>
      </c>
      <c r="AR80" s="853" t="s">
        <v>728</v>
      </c>
      <c r="AS80" s="853" t="str">
        <f>+VLOOKUP($AJ80,Data_Validation!$A:$E,5,0)</f>
        <v>#N/A</v>
      </c>
      <c r="AT80" s="794" t="str">
        <f t="shared" ref="AT80:AU80" si="158">C80</f>
        <v>G02701</v>
      </c>
      <c r="AU80" s="854" t="str">
        <f t="shared" si="158"/>
        <v>AVANTAGES SOCIAUX NEUF/US</v>
      </c>
      <c r="AV80" s="794">
        <f t="array" ref="AV80">IFERROR(INDEX(V80:AG80,1,MATCH(Parametres!$B$3,V$1:AG$1,0)-1)*IF(OR(C80="L",C80="S",C80="I"),-1,1),"")</f>
        <v>0</v>
      </c>
      <c r="AW80" s="794">
        <f t="shared" si="6"/>
        <v>0</v>
      </c>
      <c r="AX80" s="794">
        <f t="array" ref="AX80">INDEX(V80:AG80,1,MATCH(Parametres!$B$3,V$1:AG$1,0))*IF(OR(C80="L",C80="S",C80="I"),-1,1)</f>
        <v>0</v>
      </c>
      <c r="AY80" s="853" t="s">
        <v>772</v>
      </c>
      <c r="AZ80" s="853" t="str">
        <f>+VLOOKUP($AJ80,Data_Validation!$A:$E,5,0)</f>
        <v>#N/A</v>
      </c>
    </row>
    <row r="81" ht="15.0" customHeight="1">
      <c r="A81" s="849" t="s">
        <v>1239</v>
      </c>
      <c r="B81" s="849">
        <v>2026.0</v>
      </c>
      <c r="C81" s="849" t="s">
        <v>1394</v>
      </c>
      <c r="D81" s="849" t="s">
        <v>1395</v>
      </c>
      <c r="E81" s="849" t="s">
        <v>768</v>
      </c>
      <c r="F81" s="849" t="s">
        <v>1200</v>
      </c>
      <c r="G81" s="849">
        <v>4726.07</v>
      </c>
      <c r="H81" s="849">
        <v>15474.49</v>
      </c>
      <c r="I81" s="849">
        <v>17218.86</v>
      </c>
      <c r="J81" s="849">
        <v>21690.95</v>
      </c>
      <c r="K81" s="849">
        <v>23663.78</v>
      </c>
      <c r="L81" s="849">
        <v>25343.91</v>
      </c>
      <c r="M81" s="849">
        <v>26654.82</v>
      </c>
      <c r="N81" s="849">
        <v>27876.34</v>
      </c>
      <c r="O81" s="849">
        <v>28678.57</v>
      </c>
      <c r="P81" s="849">
        <v>28872.34</v>
      </c>
      <c r="Q81" s="849">
        <v>0.0</v>
      </c>
      <c r="R81" s="849">
        <v>0.0</v>
      </c>
      <c r="S81" s="849">
        <v>3186.51</v>
      </c>
      <c r="T81" s="849">
        <v>3186.51</v>
      </c>
      <c r="U81" s="849">
        <v>0.0</v>
      </c>
      <c r="V81" s="849">
        <v>0.0</v>
      </c>
      <c r="W81" s="849">
        <v>0.0</v>
      </c>
      <c r="X81" s="849">
        <v>0.0</v>
      </c>
      <c r="Y81" s="849">
        <v>0.0</v>
      </c>
      <c r="Z81" s="849">
        <v>0.0</v>
      </c>
      <c r="AA81" s="849">
        <v>0.0</v>
      </c>
      <c r="AB81" s="849">
        <v>0.0</v>
      </c>
      <c r="AC81" s="849">
        <v>0.0</v>
      </c>
      <c r="AD81" s="849">
        <v>0.0</v>
      </c>
      <c r="AE81" s="849">
        <v>0.0</v>
      </c>
      <c r="AF81" s="849">
        <v>0.0</v>
      </c>
      <c r="AG81" s="849">
        <v>0.0</v>
      </c>
      <c r="AH81" s="849">
        <v>0.0</v>
      </c>
      <c r="AI81" s="849">
        <v>0.0</v>
      </c>
      <c r="AJ81" s="794" t="str">
        <f t="shared" ref="AJ81:AK81" si="159">C81</f>
        <v>G0271</v>
      </c>
      <c r="AK81" s="794" t="str">
        <f t="shared" si="159"/>
        <v>AVANTAGES SOCIAUX NEUF</v>
      </c>
      <c r="AL81" s="794">
        <f t="array" ref="AL81">IFERROR(INDEX(G81:R81,1,MATCH(Parametres!$B$3,G$1:R$1,0)-1)*IF(OR(F81="L",F81="S",F81="I"),-1,1),"")</f>
        <v>27876.34</v>
      </c>
      <c r="AM81" s="794">
        <f t="shared" si="4"/>
        <v>802.23</v>
      </c>
      <c r="AN81" s="794">
        <f t="array" ref="AN81">INDEX(G81:R81,1,MATCH(Parametres!$B$3,G$1:R$1,0))*IF(OR(F81="L",F81="S",F81="I"),-1,1)</f>
        <v>28678.57</v>
      </c>
      <c r="AO81" s="853" t="str">
        <f>+VLOOKUP($AJ81,Data_Validation!$A:$D,1,0)</f>
        <v>G0271</v>
      </c>
      <c r="AP81" s="853" t="str">
        <f>+VLOOKUP($AJ81,Data_Validation!$A:$D,3,0)</f>
        <v>Véhicules neufs</v>
      </c>
      <c r="AQ81" s="853" t="str">
        <f>+VLOOKUP($AJ81,Data_Validation!$A:$D,4,0)</f>
        <v>Bénéfices marginaux</v>
      </c>
      <c r="AR81" s="853" t="s">
        <v>728</v>
      </c>
      <c r="AS81" s="853" t="str">
        <f>+VLOOKUP($AJ81,Data_Validation!$A:$E,5,0)</f>
        <v/>
      </c>
      <c r="AT81" s="794" t="str">
        <f t="shared" ref="AT81:AU81" si="160">C81</f>
        <v>G0271</v>
      </c>
      <c r="AU81" s="854" t="str">
        <f t="shared" si="160"/>
        <v>AVANTAGES SOCIAUX NEUF</v>
      </c>
      <c r="AV81" s="794">
        <f t="array" ref="AV81">IFERROR(INDEX(V81:AG81,1,MATCH(Parametres!$B$3,V$1:AG$1,0)-1)*IF(OR(C81="L",C81="S",C81="I"),-1,1),"")</f>
        <v>0</v>
      </c>
      <c r="AW81" s="794">
        <f t="shared" si="6"/>
        <v>0</v>
      </c>
      <c r="AX81" s="794">
        <f t="array" ref="AX81">INDEX(V81:AG81,1,MATCH(Parametres!$B$3,V$1:AG$1,0))*IF(OR(C81="L",C81="S",C81="I"),-1,1)</f>
        <v>0</v>
      </c>
      <c r="AY81" s="853" t="s">
        <v>772</v>
      </c>
      <c r="AZ81" s="853" t="str">
        <f>+VLOOKUP($AJ81,Data_Validation!$A:$E,5,0)</f>
        <v/>
      </c>
    </row>
    <row r="82" ht="15.0" customHeight="1">
      <c r="A82" s="849" t="s">
        <v>1239</v>
      </c>
      <c r="B82" s="849">
        <v>2026.0</v>
      </c>
      <c r="C82" s="849" t="s">
        <v>1396</v>
      </c>
      <c r="D82" s="849" t="s">
        <v>1393</v>
      </c>
      <c r="E82" s="849" t="s">
        <v>768</v>
      </c>
      <c r="F82" s="849" t="s">
        <v>1200</v>
      </c>
      <c r="G82" s="849">
        <v>0.0</v>
      </c>
      <c r="H82" s="849">
        <v>0.0</v>
      </c>
      <c r="I82" s="849">
        <v>0.0</v>
      </c>
      <c r="J82" s="849">
        <v>0.0</v>
      </c>
      <c r="K82" s="849">
        <v>0.0</v>
      </c>
      <c r="L82" s="849">
        <v>0.0</v>
      </c>
      <c r="M82" s="849">
        <v>0.0</v>
      </c>
      <c r="N82" s="849">
        <v>0.0</v>
      </c>
      <c r="O82" s="849">
        <v>0.0</v>
      </c>
      <c r="P82" s="849">
        <v>0.0</v>
      </c>
      <c r="Q82" s="849">
        <v>0.0</v>
      </c>
      <c r="R82" s="849">
        <v>0.0</v>
      </c>
      <c r="S82" s="849">
        <v>0.0</v>
      </c>
      <c r="T82" s="849">
        <v>0.0</v>
      </c>
      <c r="U82" s="849">
        <v>0.0</v>
      </c>
      <c r="V82" s="849">
        <v>0.0</v>
      </c>
      <c r="W82" s="849">
        <v>0.0</v>
      </c>
      <c r="X82" s="849">
        <v>0.0</v>
      </c>
      <c r="Y82" s="849">
        <v>0.0</v>
      </c>
      <c r="Z82" s="849">
        <v>0.0</v>
      </c>
      <c r="AA82" s="849">
        <v>0.0</v>
      </c>
      <c r="AB82" s="849">
        <v>0.0</v>
      </c>
      <c r="AC82" s="849">
        <v>0.0</v>
      </c>
      <c r="AD82" s="849">
        <v>0.0</v>
      </c>
      <c r="AE82" s="849">
        <v>0.0</v>
      </c>
      <c r="AF82" s="849">
        <v>0.0</v>
      </c>
      <c r="AG82" s="849">
        <v>0.0</v>
      </c>
      <c r="AH82" s="849">
        <v>0.0</v>
      </c>
      <c r="AI82" s="849">
        <v>0.0</v>
      </c>
      <c r="AJ82" s="794" t="str">
        <f t="shared" ref="AJ82:AK82" si="161">C82</f>
        <v>G027101</v>
      </c>
      <c r="AK82" s="794" t="str">
        <f t="shared" si="161"/>
        <v>AVANTAGES SOCIAUX NEUF/US</v>
      </c>
      <c r="AL82" s="794">
        <f t="array" ref="AL82">IFERROR(INDEX(G82:R82,1,MATCH(Parametres!$B$3,G$1:R$1,0)-1)*IF(OR(F82="L",F82="S",F82="I"),-1,1),"")</f>
        <v>0</v>
      </c>
      <c r="AM82" s="794">
        <f t="shared" si="4"/>
        <v>0</v>
      </c>
      <c r="AN82" s="794">
        <f t="array" ref="AN82">INDEX(G82:R82,1,MATCH(Parametres!$B$3,G$1:R$1,0))*IF(OR(F82="L",F82="S",F82="I"),-1,1)</f>
        <v>0</v>
      </c>
      <c r="AO82" s="853" t="str">
        <f>+VLOOKUP($AJ82,Data_Validation!$A:$D,1,0)</f>
        <v>#N/A</v>
      </c>
      <c r="AP82" s="853" t="str">
        <f>+VLOOKUP($AJ82,Data_Validation!$A:$D,3,0)</f>
        <v>#N/A</v>
      </c>
      <c r="AQ82" s="853" t="str">
        <f>+VLOOKUP($AJ82,Data_Validation!$A:$D,4,0)</f>
        <v>#N/A</v>
      </c>
      <c r="AR82" s="853" t="s">
        <v>728</v>
      </c>
      <c r="AS82" s="853" t="str">
        <f>+VLOOKUP($AJ82,Data_Validation!$A:$E,5,0)</f>
        <v>#N/A</v>
      </c>
      <c r="AT82" s="794" t="str">
        <f t="shared" ref="AT82:AU82" si="162">C82</f>
        <v>G027101</v>
      </c>
      <c r="AU82" s="854" t="str">
        <f t="shared" si="162"/>
        <v>AVANTAGES SOCIAUX NEUF/US</v>
      </c>
      <c r="AV82" s="794">
        <f t="array" ref="AV82">IFERROR(INDEX(V82:AG82,1,MATCH(Parametres!$B$3,V$1:AG$1,0)-1)*IF(OR(C82="L",C82="S",C82="I"),-1,1),"")</f>
        <v>0</v>
      </c>
      <c r="AW82" s="794">
        <f t="shared" si="6"/>
        <v>0</v>
      </c>
      <c r="AX82" s="794">
        <f t="array" ref="AX82">INDEX(V82:AG82,1,MATCH(Parametres!$B$3,V$1:AG$1,0))*IF(OR(C82="L",C82="S",C82="I"),-1,1)</f>
        <v>0</v>
      </c>
      <c r="AY82" s="853" t="s">
        <v>772</v>
      </c>
      <c r="AZ82" s="853" t="str">
        <f>+VLOOKUP($AJ82,Data_Validation!$A:$E,5,0)</f>
        <v>#N/A</v>
      </c>
    </row>
    <row r="83" ht="15.0" customHeight="1">
      <c r="A83" s="849" t="s">
        <v>1239</v>
      </c>
      <c r="B83" s="849">
        <v>2026.0</v>
      </c>
      <c r="C83" s="849" t="s">
        <v>1397</v>
      </c>
      <c r="D83" s="849" t="s">
        <v>1398</v>
      </c>
      <c r="E83" s="849" t="s">
        <v>768</v>
      </c>
      <c r="F83" s="849" t="s">
        <v>1200</v>
      </c>
      <c r="G83" s="849">
        <v>2361.33</v>
      </c>
      <c r="H83" s="849">
        <v>13171.15</v>
      </c>
      <c r="I83" s="849">
        <v>13141.15</v>
      </c>
      <c r="J83" s="849">
        <v>15363.44</v>
      </c>
      <c r="K83" s="849">
        <v>16111.55</v>
      </c>
      <c r="L83" s="849">
        <v>16751.66</v>
      </c>
      <c r="M83" s="849">
        <v>17408.27</v>
      </c>
      <c r="N83" s="849">
        <v>18007.73</v>
      </c>
      <c r="O83" s="849">
        <v>18478.41</v>
      </c>
      <c r="P83" s="849">
        <v>18594.71</v>
      </c>
      <c r="Q83" s="849">
        <v>0.0</v>
      </c>
      <c r="R83" s="849">
        <v>0.0</v>
      </c>
      <c r="S83" s="849">
        <v>2053.16</v>
      </c>
      <c r="T83" s="849">
        <v>2053.16</v>
      </c>
      <c r="U83" s="849">
        <v>0.0</v>
      </c>
      <c r="V83" s="849">
        <v>0.0</v>
      </c>
      <c r="W83" s="849">
        <v>0.0</v>
      </c>
      <c r="X83" s="849">
        <v>0.0</v>
      </c>
      <c r="Y83" s="849">
        <v>0.0</v>
      </c>
      <c r="Z83" s="849">
        <v>0.0</v>
      </c>
      <c r="AA83" s="849">
        <v>0.0</v>
      </c>
      <c r="AB83" s="849">
        <v>0.0</v>
      </c>
      <c r="AC83" s="849">
        <v>0.0</v>
      </c>
      <c r="AD83" s="849">
        <v>0.0</v>
      </c>
      <c r="AE83" s="849">
        <v>0.0</v>
      </c>
      <c r="AF83" s="849">
        <v>0.0</v>
      </c>
      <c r="AG83" s="849">
        <v>0.0</v>
      </c>
      <c r="AH83" s="849">
        <v>0.0</v>
      </c>
      <c r="AI83" s="849">
        <v>0.0</v>
      </c>
      <c r="AJ83" s="794" t="str">
        <f t="shared" ref="AJ83:AK83" si="163">C83</f>
        <v>G0272</v>
      </c>
      <c r="AK83" s="794" t="str">
        <f t="shared" si="163"/>
        <v>AVANTAGES SOCIAUX USAG</v>
      </c>
      <c r="AL83" s="794">
        <f t="array" ref="AL83">IFERROR(INDEX(G83:R83,1,MATCH(Parametres!$B$3,G$1:R$1,0)-1)*IF(OR(F83="L",F83="S",F83="I"),-1,1),"")</f>
        <v>18007.73</v>
      </c>
      <c r="AM83" s="794">
        <f t="shared" si="4"/>
        <v>470.68</v>
      </c>
      <c r="AN83" s="794">
        <f t="array" ref="AN83">INDEX(G83:R83,1,MATCH(Parametres!$B$3,G$1:R$1,0))*IF(OR(F83="L",F83="S",F83="I"),-1,1)</f>
        <v>18478.41</v>
      </c>
      <c r="AO83" s="853" t="str">
        <f>+VLOOKUP($AJ83,Data_Validation!$A:$D,1,0)</f>
        <v>G0272</v>
      </c>
      <c r="AP83" s="853" t="str">
        <f>+VLOOKUP($AJ83,Data_Validation!$A:$D,3,0)</f>
        <v>Véhicules usagés</v>
      </c>
      <c r="AQ83" s="853" t="str">
        <f>+VLOOKUP($AJ83,Data_Validation!$A:$D,4,0)</f>
        <v>Bénéfices marginaux</v>
      </c>
      <c r="AR83" s="853" t="s">
        <v>728</v>
      </c>
      <c r="AS83" s="853" t="str">
        <f>+VLOOKUP($AJ83,Data_Validation!$A:$E,5,0)</f>
        <v/>
      </c>
      <c r="AT83" s="794" t="str">
        <f t="shared" ref="AT83:AU83" si="164">C83</f>
        <v>G0272</v>
      </c>
      <c r="AU83" s="854" t="str">
        <f t="shared" si="164"/>
        <v>AVANTAGES SOCIAUX USAG</v>
      </c>
      <c r="AV83" s="794">
        <f t="array" ref="AV83">IFERROR(INDEX(V83:AG83,1,MATCH(Parametres!$B$3,V$1:AG$1,0)-1)*IF(OR(C83="L",C83="S",C83="I"),-1,1),"")</f>
        <v>0</v>
      </c>
      <c r="AW83" s="794">
        <f t="shared" si="6"/>
        <v>0</v>
      </c>
      <c r="AX83" s="794">
        <f t="array" ref="AX83">INDEX(V83:AG83,1,MATCH(Parametres!$B$3,V$1:AG$1,0))*IF(OR(C83="L",C83="S",C83="I"),-1,1)</f>
        <v>0</v>
      </c>
      <c r="AY83" s="853" t="s">
        <v>772</v>
      </c>
      <c r="AZ83" s="853" t="str">
        <f>+VLOOKUP($AJ83,Data_Validation!$A:$E,5,0)</f>
        <v/>
      </c>
    </row>
    <row r="84" ht="15.75" customHeight="1">
      <c r="A84" s="849" t="s">
        <v>1239</v>
      </c>
      <c r="B84" s="849">
        <v>2026.0</v>
      </c>
      <c r="C84" s="849" t="s">
        <v>1399</v>
      </c>
      <c r="D84" s="849" t="s">
        <v>1400</v>
      </c>
      <c r="E84" s="849" t="s">
        <v>768</v>
      </c>
      <c r="F84" s="849" t="s">
        <v>1200</v>
      </c>
      <c r="G84" s="849">
        <v>3458.1</v>
      </c>
      <c r="H84" s="849">
        <v>3777.38</v>
      </c>
      <c r="I84" s="849">
        <v>5933.79</v>
      </c>
      <c r="J84" s="849">
        <v>6422.97</v>
      </c>
      <c r="K84" s="849">
        <v>6763.79</v>
      </c>
      <c r="L84" s="849">
        <v>7455.73</v>
      </c>
      <c r="M84" s="849">
        <v>7982.12</v>
      </c>
      <c r="N84" s="849">
        <v>8550.67</v>
      </c>
      <c r="O84" s="849">
        <v>8779.32</v>
      </c>
      <c r="P84" s="849">
        <v>8846.18</v>
      </c>
      <c r="Q84" s="849">
        <v>0.0</v>
      </c>
      <c r="R84" s="849">
        <v>0.0</v>
      </c>
      <c r="S84" s="849">
        <v>975.48</v>
      </c>
      <c r="T84" s="849">
        <v>975.48</v>
      </c>
      <c r="U84" s="849">
        <v>0.0</v>
      </c>
      <c r="V84" s="849">
        <v>0.0</v>
      </c>
      <c r="W84" s="849">
        <v>0.0</v>
      </c>
      <c r="X84" s="849">
        <v>0.0</v>
      </c>
      <c r="Y84" s="849">
        <v>0.0</v>
      </c>
      <c r="Z84" s="849">
        <v>0.0</v>
      </c>
      <c r="AA84" s="849">
        <v>0.0</v>
      </c>
      <c r="AB84" s="849">
        <v>0.0</v>
      </c>
      <c r="AC84" s="849">
        <v>0.0</v>
      </c>
      <c r="AD84" s="849">
        <v>0.0</v>
      </c>
      <c r="AE84" s="849">
        <v>0.0</v>
      </c>
      <c r="AF84" s="849">
        <v>0.0</v>
      </c>
      <c r="AG84" s="849">
        <v>0.0</v>
      </c>
      <c r="AH84" s="849">
        <v>0.0</v>
      </c>
      <c r="AI84" s="849">
        <v>0.0</v>
      </c>
      <c r="AJ84" s="794" t="str">
        <f t="shared" ref="AJ84:AK84" si="165">C84</f>
        <v>G0273</v>
      </c>
      <c r="AK84" s="794" t="str">
        <f t="shared" si="165"/>
        <v>AVANTAGES SOCIAUX U.S.A</v>
      </c>
      <c r="AL84" s="794">
        <f t="array" ref="AL84">IFERROR(INDEX(G84:R84,1,MATCH(Parametres!$B$3,G$1:R$1,0)-1)*IF(OR(F84="L",F84="S",F84="I"),-1,1),"")</f>
        <v>8550.67</v>
      </c>
      <c r="AM84" s="794">
        <f t="shared" si="4"/>
        <v>228.65</v>
      </c>
      <c r="AN84" s="794">
        <f t="array" ref="AN84">INDEX(G84:R84,1,MATCH(Parametres!$B$3,G$1:R$1,0))*IF(OR(F84="L",F84="S",F84="I"),-1,1)</f>
        <v>8779.32</v>
      </c>
      <c r="AO84" s="853" t="str">
        <f>+VLOOKUP($AJ84,Data_Validation!$A:$D,1,0)</f>
        <v>G0273</v>
      </c>
      <c r="AP84" s="853" t="str">
        <f>+VLOOKUP($AJ84,Data_Validation!$A:$D,3,0)</f>
        <v>Wholesale autres</v>
      </c>
      <c r="AQ84" s="853" t="str">
        <f>+VLOOKUP($AJ84,Data_Validation!$A:$D,4,0)</f>
        <v>Bénéfices marginaux</v>
      </c>
      <c r="AR84" s="853" t="s">
        <v>728</v>
      </c>
      <c r="AS84" s="853" t="str">
        <f>+VLOOKUP($AJ84,Data_Validation!$A:$E,5,0)</f>
        <v/>
      </c>
      <c r="AT84" s="794" t="str">
        <f t="shared" ref="AT84:AU84" si="166">C84</f>
        <v>G0273</v>
      </c>
      <c r="AU84" s="854" t="str">
        <f t="shared" si="166"/>
        <v>AVANTAGES SOCIAUX U.S.A</v>
      </c>
      <c r="AV84" s="794">
        <f t="array" ref="AV84">IFERROR(INDEX(V84:AG84,1,MATCH(Parametres!$B$3,V$1:AG$1,0)-1)*IF(OR(C84="L",C84="S",C84="I"),-1,1),"")</f>
        <v>0</v>
      </c>
      <c r="AW84" s="794">
        <f t="shared" si="6"/>
        <v>0</v>
      </c>
      <c r="AX84" s="794">
        <f t="array" ref="AX84">INDEX(V84:AG84,1,MATCH(Parametres!$B$3,V$1:AG$1,0))*IF(OR(C84="L",C84="S",C84="I"),-1,1)</f>
        <v>0</v>
      </c>
      <c r="AY84" s="853" t="s">
        <v>772</v>
      </c>
      <c r="AZ84" s="853" t="str">
        <f>+VLOOKUP($AJ84,Data_Validation!$A:$E,5,0)</f>
        <v/>
      </c>
    </row>
    <row r="85" ht="15.0" customHeight="1">
      <c r="A85" s="849" t="s">
        <v>1239</v>
      </c>
      <c r="B85" s="849">
        <v>2026.0</v>
      </c>
      <c r="C85" s="849" t="s">
        <v>1401</v>
      </c>
      <c r="D85" s="849" t="s">
        <v>1402</v>
      </c>
      <c r="E85" s="849" t="s">
        <v>768</v>
      </c>
      <c r="F85" s="849" t="s">
        <v>1200</v>
      </c>
      <c r="G85" s="849">
        <v>9755.66</v>
      </c>
      <c r="H85" s="849">
        <v>25263.22</v>
      </c>
      <c r="I85" s="849">
        <v>31046.0</v>
      </c>
      <c r="J85" s="849">
        <v>39396.44</v>
      </c>
      <c r="K85" s="849">
        <v>43809.85</v>
      </c>
      <c r="L85" s="849">
        <v>48108.2</v>
      </c>
      <c r="M85" s="849">
        <v>53731.25</v>
      </c>
      <c r="N85" s="849">
        <v>56264.3</v>
      </c>
      <c r="O85" s="849">
        <v>58039.05</v>
      </c>
      <c r="P85" s="849">
        <v>58786.76</v>
      </c>
      <c r="Q85" s="849">
        <v>0.0</v>
      </c>
      <c r="R85" s="849">
        <v>0.0</v>
      </c>
      <c r="S85" s="849">
        <v>6448.78</v>
      </c>
      <c r="T85" s="849">
        <v>6448.78</v>
      </c>
      <c r="U85" s="849">
        <v>0.0</v>
      </c>
      <c r="V85" s="849">
        <v>0.0</v>
      </c>
      <c r="W85" s="849">
        <v>0.0</v>
      </c>
      <c r="X85" s="849">
        <v>0.0</v>
      </c>
      <c r="Y85" s="849">
        <v>0.0</v>
      </c>
      <c r="Z85" s="849">
        <v>0.0</v>
      </c>
      <c r="AA85" s="849">
        <v>0.0</v>
      </c>
      <c r="AB85" s="849">
        <v>0.0</v>
      </c>
      <c r="AC85" s="849">
        <v>0.0</v>
      </c>
      <c r="AD85" s="849">
        <v>0.0</v>
      </c>
      <c r="AE85" s="849">
        <v>0.0</v>
      </c>
      <c r="AF85" s="849">
        <v>0.0</v>
      </c>
      <c r="AG85" s="849">
        <v>0.0</v>
      </c>
      <c r="AH85" s="849">
        <v>0.0</v>
      </c>
      <c r="AI85" s="849">
        <v>0.0</v>
      </c>
      <c r="AJ85" s="794" t="str">
        <f t="shared" ref="AJ85:AK85" si="167">C85</f>
        <v>G0274</v>
      </c>
      <c r="AK85" s="794" t="str">
        <f t="shared" si="167"/>
        <v>AVANTAGES SOCIAUX SERV</v>
      </c>
      <c r="AL85" s="794">
        <f t="array" ref="AL85">IFERROR(INDEX(G85:R85,1,MATCH(Parametres!$B$3,G$1:R$1,0)-1)*IF(OR(F85="L",F85="S",F85="I"),-1,1),"")</f>
        <v>56264.3</v>
      </c>
      <c r="AM85" s="794">
        <f t="shared" si="4"/>
        <v>1774.75</v>
      </c>
      <c r="AN85" s="794">
        <f t="array" ref="AN85">INDEX(G85:R85,1,MATCH(Parametres!$B$3,G$1:R$1,0))*IF(OR(F85="L",F85="S",F85="I"),-1,1)</f>
        <v>58039.05</v>
      </c>
      <c r="AO85" s="853" t="str">
        <f>+VLOOKUP($AJ85,Data_Validation!$A:$D,1,0)</f>
        <v>G0274</v>
      </c>
      <c r="AP85" s="853" t="str">
        <f>+VLOOKUP($AJ85,Data_Validation!$A:$D,3,0)</f>
        <v>Service</v>
      </c>
      <c r="AQ85" s="853" t="str">
        <f>+VLOOKUP($AJ85,Data_Validation!$A:$D,4,0)</f>
        <v>Bénéfices marginaux</v>
      </c>
      <c r="AR85" s="853" t="s">
        <v>728</v>
      </c>
      <c r="AS85" s="853" t="str">
        <f>+VLOOKUP($AJ85,Data_Validation!$A:$E,5,0)</f>
        <v/>
      </c>
      <c r="AT85" s="794" t="str">
        <f t="shared" ref="AT85:AU85" si="168">C85</f>
        <v>G0274</v>
      </c>
      <c r="AU85" s="854" t="str">
        <f t="shared" si="168"/>
        <v>AVANTAGES SOCIAUX SERV</v>
      </c>
      <c r="AV85" s="794">
        <f t="array" ref="AV85">IFERROR(INDEX(V85:AG85,1,MATCH(Parametres!$B$3,V$1:AG$1,0)-1)*IF(OR(C85="L",C85="S",C85="I"),-1,1),"")</f>
        <v>0</v>
      </c>
      <c r="AW85" s="794">
        <f t="shared" si="6"/>
        <v>0</v>
      </c>
      <c r="AX85" s="794">
        <f t="array" ref="AX85">INDEX(V85:AG85,1,MATCH(Parametres!$B$3,V$1:AG$1,0))*IF(OR(C85="L",C85="S",C85="I"),-1,1)</f>
        <v>0</v>
      </c>
      <c r="AY85" s="853" t="s">
        <v>772</v>
      </c>
      <c r="AZ85" s="853" t="str">
        <f>+VLOOKUP($AJ85,Data_Validation!$A:$E,5,0)</f>
        <v/>
      </c>
    </row>
    <row r="86" ht="15.0" customHeight="1">
      <c r="A86" s="849" t="s">
        <v>1239</v>
      </c>
      <c r="B86" s="849">
        <v>2026.0</v>
      </c>
      <c r="C86" s="849" t="s">
        <v>1403</v>
      </c>
      <c r="D86" s="849" t="s">
        <v>1404</v>
      </c>
      <c r="E86" s="849" t="s">
        <v>768</v>
      </c>
      <c r="F86" s="849" t="s">
        <v>1200</v>
      </c>
      <c r="G86" s="849">
        <v>2750.89</v>
      </c>
      <c r="H86" s="849">
        <v>7139.63</v>
      </c>
      <c r="I86" s="849">
        <v>8152.56</v>
      </c>
      <c r="J86" s="849">
        <v>10160.91</v>
      </c>
      <c r="K86" s="849">
        <v>11231.04</v>
      </c>
      <c r="L86" s="849">
        <v>12303.01</v>
      </c>
      <c r="M86" s="849">
        <v>13581.33</v>
      </c>
      <c r="N86" s="849">
        <v>14244.46</v>
      </c>
      <c r="O86" s="849">
        <v>14685.82</v>
      </c>
      <c r="P86" s="849">
        <v>14823.96</v>
      </c>
      <c r="Q86" s="849">
        <v>0.0</v>
      </c>
      <c r="R86" s="849">
        <v>0.0</v>
      </c>
      <c r="S86" s="849">
        <v>1631.76</v>
      </c>
      <c r="T86" s="849">
        <v>1631.76</v>
      </c>
      <c r="U86" s="849">
        <v>0.0</v>
      </c>
      <c r="V86" s="849">
        <v>0.0</v>
      </c>
      <c r="W86" s="849">
        <v>0.0</v>
      </c>
      <c r="X86" s="849">
        <v>0.0</v>
      </c>
      <c r="Y86" s="849">
        <v>0.0</v>
      </c>
      <c r="Z86" s="849">
        <v>0.0</v>
      </c>
      <c r="AA86" s="849">
        <v>0.0</v>
      </c>
      <c r="AB86" s="849">
        <v>0.0</v>
      </c>
      <c r="AC86" s="849">
        <v>0.0</v>
      </c>
      <c r="AD86" s="849">
        <v>0.0</v>
      </c>
      <c r="AE86" s="849">
        <v>0.0</v>
      </c>
      <c r="AF86" s="849">
        <v>0.0</v>
      </c>
      <c r="AG86" s="849">
        <v>0.0</v>
      </c>
      <c r="AH86" s="849">
        <v>0.0</v>
      </c>
      <c r="AI86" s="849">
        <v>0.0</v>
      </c>
      <c r="AJ86" s="794" t="str">
        <f t="shared" ref="AJ86:AK86" si="169">C86</f>
        <v>G0275</v>
      </c>
      <c r="AK86" s="794" t="str">
        <f t="shared" si="169"/>
        <v>AVANTAGES SOCIAUX CARROSS</v>
      </c>
      <c r="AL86" s="794">
        <f t="array" ref="AL86">IFERROR(INDEX(G86:R86,1,MATCH(Parametres!$B$3,G$1:R$1,0)-1)*IF(OR(F86="L",F86="S",F86="I"),-1,1),"")</f>
        <v>14244.46</v>
      </c>
      <c r="AM86" s="794">
        <f t="shared" si="4"/>
        <v>441.36</v>
      </c>
      <c r="AN86" s="794">
        <f t="array" ref="AN86">INDEX(G86:R86,1,MATCH(Parametres!$B$3,G$1:R$1,0))*IF(OR(F86="L",F86="S",F86="I"),-1,1)</f>
        <v>14685.82</v>
      </c>
      <c r="AO86" s="853" t="str">
        <f>+VLOOKUP($AJ86,Data_Validation!$A:$D,1,0)</f>
        <v>G0275</v>
      </c>
      <c r="AP86" s="853" t="str">
        <f>+VLOOKUP($AJ86,Data_Validation!$A:$D,3,0)</f>
        <v>Carrosserie</v>
      </c>
      <c r="AQ86" s="853" t="str">
        <f>+VLOOKUP($AJ86,Data_Validation!$A:$D,4,0)</f>
        <v>Bénéfices marginaux</v>
      </c>
      <c r="AR86" s="853" t="s">
        <v>728</v>
      </c>
      <c r="AS86" s="853" t="str">
        <f>+VLOOKUP($AJ86,Data_Validation!$A:$E,5,0)</f>
        <v/>
      </c>
      <c r="AT86" s="794" t="str">
        <f t="shared" ref="AT86:AU86" si="170">C86</f>
        <v>G0275</v>
      </c>
      <c r="AU86" s="854" t="str">
        <f t="shared" si="170"/>
        <v>AVANTAGES SOCIAUX CARROSS</v>
      </c>
      <c r="AV86" s="794">
        <f t="array" ref="AV86">IFERROR(INDEX(V86:AG86,1,MATCH(Parametres!$B$3,V$1:AG$1,0)-1)*IF(OR(C86="L",C86="S",C86="I"),-1,1),"")</f>
        <v>0</v>
      </c>
      <c r="AW86" s="794">
        <f t="shared" si="6"/>
        <v>0</v>
      </c>
      <c r="AX86" s="794">
        <f t="array" ref="AX86">INDEX(V86:AG86,1,MATCH(Parametres!$B$3,V$1:AG$1,0))*IF(OR(C86="L",C86="S",C86="I"),-1,1)</f>
        <v>0</v>
      </c>
      <c r="AY86" s="853" t="s">
        <v>772</v>
      </c>
      <c r="AZ86" s="853" t="str">
        <f>+VLOOKUP($AJ86,Data_Validation!$A:$E,5,0)</f>
        <v/>
      </c>
    </row>
    <row r="87" ht="15.0" customHeight="1">
      <c r="A87" s="849" t="s">
        <v>1239</v>
      </c>
      <c r="B87" s="849">
        <v>2026.0</v>
      </c>
      <c r="C87" s="849" t="s">
        <v>1405</v>
      </c>
      <c r="D87" s="849" t="s">
        <v>1406</v>
      </c>
      <c r="E87" s="849" t="s">
        <v>768</v>
      </c>
      <c r="F87" s="849" t="s">
        <v>1200</v>
      </c>
      <c r="G87" s="849">
        <v>1425.1</v>
      </c>
      <c r="H87" s="849">
        <v>4410.57</v>
      </c>
      <c r="I87" s="849">
        <v>4889.63</v>
      </c>
      <c r="J87" s="849">
        <v>6150.36</v>
      </c>
      <c r="K87" s="849">
        <v>6673.64</v>
      </c>
      <c r="L87" s="849">
        <v>7079.69</v>
      </c>
      <c r="M87" s="849">
        <v>7515.47</v>
      </c>
      <c r="N87" s="849">
        <v>7960.34</v>
      </c>
      <c r="O87" s="849">
        <v>8268.42</v>
      </c>
      <c r="P87" s="849">
        <v>8361.33</v>
      </c>
      <c r="Q87" s="849">
        <v>0.0</v>
      </c>
      <c r="R87" s="849">
        <v>0.0</v>
      </c>
      <c r="S87" s="849">
        <v>918.71</v>
      </c>
      <c r="T87" s="849">
        <v>918.71</v>
      </c>
      <c r="U87" s="849">
        <v>0.0</v>
      </c>
      <c r="V87" s="849">
        <v>0.0</v>
      </c>
      <c r="W87" s="849">
        <v>0.0</v>
      </c>
      <c r="X87" s="849">
        <v>0.0</v>
      </c>
      <c r="Y87" s="849">
        <v>0.0</v>
      </c>
      <c r="Z87" s="849">
        <v>0.0</v>
      </c>
      <c r="AA87" s="849">
        <v>0.0</v>
      </c>
      <c r="AB87" s="849">
        <v>0.0</v>
      </c>
      <c r="AC87" s="849">
        <v>0.0</v>
      </c>
      <c r="AD87" s="849">
        <v>0.0</v>
      </c>
      <c r="AE87" s="849">
        <v>0.0</v>
      </c>
      <c r="AF87" s="849">
        <v>0.0</v>
      </c>
      <c r="AG87" s="849">
        <v>0.0</v>
      </c>
      <c r="AH87" s="849">
        <v>0.0</v>
      </c>
      <c r="AI87" s="849">
        <v>0.0</v>
      </c>
      <c r="AJ87" s="794" t="str">
        <f t="shared" ref="AJ87:AK87" si="171">C87</f>
        <v>G0276</v>
      </c>
      <c r="AK87" s="794" t="str">
        <f t="shared" si="171"/>
        <v>AVANTAGES SOCIAUX PCES</v>
      </c>
      <c r="AL87" s="794">
        <f t="array" ref="AL87">IFERROR(INDEX(G87:R87,1,MATCH(Parametres!$B$3,G$1:R$1,0)-1)*IF(OR(F87="L",F87="S",F87="I"),-1,1),"")</f>
        <v>7960.34</v>
      </c>
      <c r="AM87" s="794">
        <f t="shared" si="4"/>
        <v>308.08</v>
      </c>
      <c r="AN87" s="794">
        <f t="array" ref="AN87">INDEX(G87:R87,1,MATCH(Parametres!$B$3,G$1:R$1,0))*IF(OR(F87="L",F87="S",F87="I"),-1,1)</f>
        <v>8268.42</v>
      </c>
      <c r="AO87" s="853" t="str">
        <f>+VLOOKUP($AJ87,Data_Validation!$A:$D,1,0)</f>
        <v>G0276</v>
      </c>
      <c r="AP87" s="853" t="str">
        <f>+VLOOKUP($AJ87,Data_Validation!$A:$D,3,0)</f>
        <v>Pièces</v>
      </c>
      <c r="AQ87" s="853" t="str">
        <f>+VLOOKUP($AJ87,Data_Validation!$A:$D,4,0)</f>
        <v>Bénéfices marginaux</v>
      </c>
      <c r="AR87" s="853" t="s">
        <v>728</v>
      </c>
      <c r="AS87" s="853" t="str">
        <f>+VLOOKUP($AJ87,Data_Validation!$A:$E,5,0)</f>
        <v/>
      </c>
      <c r="AT87" s="794" t="str">
        <f t="shared" ref="AT87:AU87" si="172">C87</f>
        <v>G0276</v>
      </c>
      <c r="AU87" s="854" t="str">
        <f t="shared" si="172"/>
        <v>AVANTAGES SOCIAUX PCES</v>
      </c>
      <c r="AV87" s="794">
        <f t="array" ref="AV87">IFERROR(INDEX(V87:AG87,1,MATCH(Parametres!$B$3,V$1:AG$1,0)-1)*IF(OR(C87="L",C87="S",C87="I"),-1,1),"")</f>
        <v>0</v>
      </c>
      <c r="AW87" s="794">
        <f t="shared" si="6"/>
        <v>0</v>
      </c>
      <c r="AX87" s="794">
        <f t="array" ref="AX87">INDEX(V87:AG87,1,MATCH(Parametres!$B$3,V$1:AG$1,0))*IF(OR(C87="L",C87="S",C87="I"),-1,1)</f>
        <v>0</v>
      </c>
      <c r="AY87" s="853" t="s">
        <v>772</v>
      </c>
      <c r="AZ87" s="853" t="str">
        <f>+VLOOKUP($AJ87,Data_Validation!$A:$E,5,0)</f>
        <v/>
      </c>
    </row>
    <row r="88" ht="15.0" customHeight="1">
      <c r="A88" s="849" t="s">
        <v>1239</v>
      </c>
      <c r="B88" s="849">
        <v>2026.0</v>
      </c>
      <c r="C88" s="849" t="s">
        <v>1407</v>
      </c>
      <c r="D88" s="849" t="s">
        <v>1408</v>
      </c>
      <c r="E88" s="849" t="s">
        <v>768</v>
      </c>
      <c r="F88" s="849" t="s">
        <v>1200</v>
      </c>
      <c r="G88" s="849">
        <v>0.0</v>
      </c>
      <c r="H88" s="849">
        <v>0.0</v>
      </c>
      <c r="I88" s="849">
        <v>0.0</v>
      </c>
      <c r="J88" s="849">
        <v>0.0</v>
      </c>
      <c r="K88" s="849">
        <v>0.0</v>
      </c>
      <c r="L88" s="849">
        <v>1046.9</v>
      </c>
      <c r="M88" s="849">
        <v>2116.48</v>
      </c>
      <c r="N88" s="849">
        <v>3396.68</v>
      </c>
      <c r="O88" s="849">
        <v>4499.59</v>
      </c>
      <c r="P88" s="849">
        <v>4988.62</v>
      </c>
      <c r="Q88" s="849">
        <v>0.0</v>
      </c>
      <c r="R88" s="849">
        <v>0.0</v>
      </c>
      <c r="S88" s="849">
        <v>499.95</v>
      </c>
      <c r="T88" s="849">
        <v>499.95</v>
      </c>
      <c r="U88" s="849">
        <v>0.0</v>
      </c>
      <c r="V88" s="849">
        <v>0.0</v>
      </c>
      <c r="W88" s="849">
        <v>0.0</v>
      </c>
      <c r="X88" s="849">
        <v>0.0</v>
      </c>
      <c r="Y88" s="849">
        <v>0.0</v>
      </c>
      <c r="Z88" s="849">
        <v>0.0</v>
      </c>
      <c r="AA88" s="849">
        <v>0.0</v>
      </c>
      <c r="AB88" s="849">
        <v>0.0</v>
      </c>
      <c r="AC88" s="849">
        <v>0.0</v>
      </c>
      <c r="AD88" s="849">
        <v>0.0</v>
      </c>
      <c r="AE88" s="849">
        <v>0.0</v>
      </c>
      <c r="AF88" s="849">
        <v>0.0</v>
      </c>
      <c r="AG88" s="849">
        <v>0.0</v>
      </c>
      <c r="AH88" s="849">
        <v>0.0</v>
      </c>
      <c r="AI88" s="849">
        <v>0.0</v>
      </c>
      <c r="AJ88" s="794" t="str">
        <f t="shared" ref="AJ88:AK88" si="173">C88</f>
        <v>G0277</v>
      </c>
      <c r="AK88" s="794" t="str">
        <f t="shared" si="173"/>
        <v>AVANTAGES SOCIAUX SAAQ</v>
      </c>
      <c r="AL88" s="794">
        <f t="array" ref="AL88">IFERROR(INDEX(G88:R88,1,MATCH(Parametres!$B$3,G$1:R$1,0)-1)*IF(OR(F88="L",F88="S",F88="I"),-1,1),"")</f>
        <v>3396.68</v>
      </c>
      <c r="AM88" s="794">
        <f t="shared" si="4"/>
        <v>1102.91</v>
      </c>
      <c r="AN88" s="794">
        <f t="array" ref="AN88">INDEX(G88:R88,1,MATCH(Parametres!$B$3,G$1:R$1,0))*IF(OR(F88="L",F88="S",F88="I"),-1,1)</f>
        <v>4499.59</v>
      </c>
      <c r="AO88" s="853" t="str">
        <f>+VLOOKUP($AJ88,Data_Validation!$A:$D,1,0)</f>
        <v>G0277</v>
      </c>
      <c r="AP88" s="853" t="str">
        <f>+VLOOKUP($AJ88,Data_Validation!$A:$D,3,0)</f>
        <v>SAAQ</v>
      </c>
      <c r="AQ88" s="853" t="str">
        <f>+VLOOKUP($AJ88,Data_Validation!$A:$D,4,0)</f>
        <v>Bénéfices marginaux</v>
      </c>
      <c r="AR88" s="853" t="s">
        <v>728</v>
      </c>
      <c r="AS88" s="853" t="str">
        <f>+VLOOKUP($AJ88,Data_Validation!$A:$E,5,0)</f>
        <v/>
      </c>
      <c r="AT88" s="794" t="str">
        <f t="shared" ref="AT88:AU88" si="174">C88</f>
        <v>G0277</v>
      </c>
      <c r="AU88" s="854" t="str">
        <f t="shared" si="174"/>
        <v>AVANTAGES SOCIAUX SAAQ</v>
      </c>
      <c r="AV88" s="794">
        <f t="array" ref="AV88">IFERROR(INDEX(V88:AG88,1,MATCH(Parametres!$B$3,V$1:AG$1,0)-1)*IF(OR(C88="L",C88="S",C88="I"),-1,1),"")</f>
        <v>0</v>
      </c>
      <c r="AW88" s="794">
        <f t="shared" si="6"/>
        <v>0</v>
      </c>
      <c r="AX88" s="794">
        <f t="array" ref="AX88">INDEX(V88:AG88,1,MATCH(Parametres!$B$3,V$1:AG$1,0))*IF(OR(C88="L",C88="S",C88="I"),-1,1)</f>
        <v>0</v>
      </c>
      <c r="AY88" s="853" t="s">
        <v>772</v>
      </c>
      <c r="AZ88" s="853" t="str">
        <f>+VLOOKUP($AJ88,Data_Validation!$A:$E,5,0)</f>
        <v/>
      </c>
    </row>
    <row r="89" ht="15.0" customHeight="1">
      <c r="A89" s="849" t="s">
        <v>1239</v>
      </c>
      <c r="B89" s="849">
        <v>2026.0</v>
      </c>
      <c r="C89" s="849" t="s">
        <v>1409</v>
      </c>
      <c r="D89" s="849" t="s">
        <v>1410</v>
      </c>
      <c r="E89" s="849" t="s">
        <v>768</v>
      </c>
      <c r="F89" s="849" t="s">
        <v>1200</v>
      </c>
      <c r="G89" s="849">
        <v>0.0</v>
      </c>
      <c r="H89" s="849">
        <v>0.0</v>
      </c>
      <c r="I89" s="849">
        <v>0.0</v>
      </c>
      <c r="J89" s="849">
        <v>0.0</v>
      </c>
      <c r="K89" s="849">
        <v>0.0</v>
      </c>
      <c r="L89" s="849">
        <v>0.0</v>
      </c>
      <c r="M89" s="849">
        <v>0.0</v>
      </c>
      <c r="N89" s="849">
        <v>0.0</v>
      </c>
      <c r="O89" s="849">
        <v>0.0</v>
      </c>
      <c r="P89" s="849">
        <v>0.0</v>
      </c>
      <c r="Q89" s="849">
        <v>0.0</v>
      </c>
      <c r="R89" s="849">
        <v>0.0</v>
      </c>
      <c r="S89" s="849">
        <v>0.0</v>
      </c>
      <c r="T89" s="849">
        <v>0.0</v>
      </c>
      <c r="U89" s="849">
        <v>0.0</v>
      </c>
      <c r="V89" s="849">
        <v>0.0</v>
      </c>
      <c r="W89" s="849">
        <v>0.0</v>
      </c>
      <c r="X89" s="849">
        <v>0.0</v>
      </c>
      <c r="Y89" s="849">
        <v>0.0</v>
      </c>
      <c r="Z89" s="849">
        <v>0.0</v>
      </c>
      <c r="AA89" s="849">
        <v>0.0</v>
      </c>
      <c r="AB89" s="849">
        <v>0.0</v>
      </c>
      <c r="AC89" s="849">
        <v>0.0</v>
      </c>
      <c r="AD89" s="849">
        <v>0.0</v>
      </c>
      <c r="AE89" s="849">
        <v>0.0</v>
      </c>
      <c r="AF89" s="849">
        <v>0.0</v>
      </c>
      <c r="AG89" s="849">
        <v>0.0</v>
      </c>
      <c r="AH89" s="849">
        <v>0.0</v>
      </c>
      <c r="AI89" s="849">
        <v>0.0</v>
      </c>
      <c r="AJ89" s="794" t="str">
        <f t="shared" ref="AJ89:AK89" si="175">C89</f>
        <v>G0279</v>
      </c>
      <c r="AK89" s="794" t="str">
        <f t="shared" si="175"/>
        <v>AVANTAGES SOCIAUX ADM.</v>
      </c>
      <c r="AL89" s="794">
        <f t="array" ref="AL89">IFERROR(INDEX(G89:R89,1,MATCH(Parametres!$B$3,G$1:R$1,0)-1)*IF(OR(F89="L",F89="S",F89="I"),-1,1),"")</f>
        <v>0</v>
      </c>
      <c r="AM89" s="794">
        <f t="shared" si="4"/>
        <v>0</v>
      </c>
      <c r="AN89" s="794">
        <f t="array" ref="AN89">INDEX(G89:R89,1,MATCH(Parametres!$B$3,G$1:R$1,0))*IF(OR(F89="L",F89="S",F89="I"),-1,1)</f>
        <v>0</v>
      </c>
      <c r="AO89" s="853" t="str">
        <f>+VLOOKUP($AJ89,Data_Validation!$A:$D,1,0)</f>
        <v>#N/A</v>
      </c>
      <c r="AP89" s="853" t="str">
        <f>+VLOOKUP($AJ89,Data_Validation!$A:$D,3,0)</f>
        <v>#N/A</v>
      </c>
      <c r="AQ89" s="853" t="str">
        <f>+VLOOKUP($AJ89,Data_Validation!$A:$D,4,0)</f>
        <v>#N/A</v>
      </c>
      <c r="AR89" s="853" t="s">
        <v>728</v>
      </c>
      <c r="AS89" s="853" t="str">
        <f>+VLOOKUP($AJ89,Data_Validation!$A:$E,5,0)</f>
        <v>#N/A</v>
      </c>
      <c r="AT89" s="794" t="str">
        <f t="shared" ref="AT89:AU89" si="176">C89</f>
        <v>G0279</v>
      </c>
      <c r="AU89" s="854" t="str">
        <f t="shared" si="176"/>
        <v>AVANTAGES SOCIAUX ADM.</v>
      </c>
      <c r="AV89" s="794">
        <f t="array" ref="AV89">IFERROR(INDEX(V89:AG89,1,MATCH(Parametres!$B$3,V$1:AG$1,0)-1)*IF(OR(C89="L",C89="S",C89="I"),-1,1),"")</f>
        <v>0</v>
      </c>
      <c r="AW89" s="794">
        <f t="shared" si="6"/>
        <v>0</v>
      </c>
      <c r="AX89" s="794">
        <f t="array" ref="AX89">INDEX(V89:AG89,1,MATCH(Parametres!$B$3,V$1:AG$1,0))*IF(OR(C89="L",C89="S",C89="I"),-1,1)</f>
        <v>0</v>
      </c>
      <c r="AY89" s="853" t="s">
        <v>772</v>
      </c>
      <c r="AZ89" s="853" t="str">
        <f>+VLOOKUP($AJ89,Data_Validation!$A:$E,5,0)</f>
        <v>#N/A</v>
      </c>
    </row>
    <row r="90" ht="15.0" customHeight="1">
      <c r="A90" s="849" t="s">
        <v>1239</v>
      </c>
      <c r="B90" s="849">
        <v>2026.0</v>
      </c>
      <c r="C90" s="849" t="s">
        <v>1411</v>
      </c>
      <c r="D90" s="849" t="s">
        <v>1412</v>
      </c>
      <c r="E90" s="849" t="s">
        <v>768</v>
      </c>
      <c r="F90" s="849" t="s">
        <v>1200</v>
      </c>
      <c r="G90" s="849">
        <v>0.0</v>
      </c>
      <c r="H90" s="849">
        <v>0.0</v>
      </c>
      <c r="I90" s="849">
        <v>0.0</v>
      </c>
      <c r="J90" s="849">
        <v>0.0</v>
      </c>
      <c r="K90" s="849">
        <v>0.0</v>
      </c>
      <c r="L90" s="849">
        <v>0.0</v>
      </c>
      <c r="M90" s="849">
        <v>0.0</v>
      </c>
      <c r="N90" s="849">
        <v>0.0</v>
      </c>
      <c r="O90" s="849">
        <v>0.0</v>
      </c>
      <c r="P90" s="849">
        <v>0.0</v>
      </c>
      <c r="Q90" s="849">
        <v>0.0</v>
      </c>
      <c r="R90" s="849">
        <v>0.0</v>
      </c>
      <c r="S90" s="849">
        <v>0.0</v>
      </c>
      <c r="T90" s="849">
        <v>0.0</v>
      </c>
      <c r="U90" s="849">
        <v>0.0</v>
      </c>
      <c r="V90" s="849">
        <v>0.0</v>
      </c>
      <c r="W90" s="849">
        <v>0.0</v>
      </c>
      <c r="X90" s="849">
        <v>0.0</v>
      </c>
      <c r="Y90" s="849">
        <v>0.0</v>
      </c>
      <c r="Z90" s="849">
        <v>0.0</v>
      </c>
      <c r="AA90" s="849">
        <v>0.0</v>
      </c>
      <c r="AB90" s="849">
        <v>0.0</v>
      </c>
      <c r="AC90" s="849">
        <v>0.0</v>
      </c>
      <c r="AD90" s="849">
        <v>0.0</v>
      </c>
      <c r="AE90" s="849">
        <v>0.0</v>
      </c>
      <c r="AF90" s="849">
        <v>0.0</v>
      </c>
      <c r="AG90" s="849">
        <v>0.0</v>
      </c>
      <c r="AH90" s="849">
        <v>0.0</v>
      </c>
      <c r="AI90" s="849">
        <v>0.0</v>
      </c>
      <c r="AJ90" s="794" t="str">
        <f t="shared" ref="AJ90:AK90" si="177">C90</f>
        <v>G0290</v>
      </c>
      <c r="AK90" s="794" t="str">
        <f t="shared" si="177"/>
        <v>FONDS PENSION REP.</v>
      </c>
      <c r="AL90" s="794">
        <f t="array" ref="AL90">IFERROR(INDEX(G90:R90,1,MATCH(Parametres!$B$3,G$1:R$1,0)-1)*IF(OR(F90="L",F90="S",F90="I"),-1,1),"")</f>
        <v>0</v>
      </c>
      <c r="AM90" s="794">
        <f t="shared" si="4"/>
        <v>0</v>
      </c>
      <c r="AN90" s="794">
        <f t="array" ref="AN90">INDEX(G90:R90,1,MATCH(Parametres!$B$3,G$1:R$1,0))*IF(OR(F90="L",F90="S",F90="I"),-1,1)</f>
        <v>0</v>
      </c>
      <c r="AO90" s="853" t="str">
        <f>+VLOOKUP($AJ90,Data_Validation!$A:$D,1,0)</f>
        <v>#N/A</v>
      </c>
      <c r="AP90" s="853" t="str">
        <f>+VLOOKUP($AJ90,Data_Validation!$A:$D,3,0)</f>
        <v>#N/A</v>
      </c>
      <c r="AQ90" s="853" t="str">
        <f>+VLOOKUP($AJ90,Data_Validation!$A:$D,4,0)</f>
        <v>#N/A</v>
      </c>
      <c r="AR90" s="853" t="s">
        <v>728</v>
      </c>
      <c r="AS90" s="853" t="str">
        <f>+VLOOKUP($AJ90,Data_Validation!$A:$E,5,0)</f>
        <v>#N/A</v>
      </c>
      <c r="AT90" s="794" t="str">
        <f t="shared" ref="AT90:AU90" si="178">C90</f>
        <v>G0290</v>
      </c>
      <c r="AU90" s="854" t="str">
        <f t="shared" si="178"/>
        <v>FONDS PENSION REP.</v>
      </c>
      <c r="AV90" s="794">
        <f t="array" ref="AV90">IFERROR(INDEX(V90:AG90,1,MATCH(Parametres!$B$3,V$1:AG$1,0)-1)*IF(OR(C90="L",C90="S",C90="I"),-1,1),"")</f>
        <v>0</v>
      </c>
      <c r="AW90" s="794">
        <f t="shared" si="6"/>
        <v>0</v>
      </c>
      <c r="AX90" s="794">
        <f t="array" ref="AX90">INDEX(V90:AG90,1,MATCH(Parametres!$B$3,V$1:AG$1,0))*IF(OR(C90="L",C90="S",C90="I"),-1,1)</f>
        <v>0</v>
      </c>
      <c r="AY90" s="853" t="s">
        <v>772</v>
      </c>
      <c r="AZ90" s="853" t="str">
        <f>+VLOOKUP($AJ90,Data_Validation!$A:$E,5,0)</f>
        <v>#N/A</v>
      </c>
    </row>
    <row r="91" ht="15.0" customHeight="1">
      <c r="A91" s="849" t="s">
        <v>1239</v>
      </c>
      <c r="B91" s="849">
        <v>2026.0</v>
      </c>
      <c r="C91" s="849" t="s">
        <v>1413</v>
      </c>
      <c r="D91" s="849" t="s">
        <v>1414</v>
      </c>
      <c r="E91" s="849" t="s">
        <v>768</v>
      </c>
      <c r="F91" s="849" t="s">
        <v>1200</v>
      </c>
      <c r="G91" s="849">
        <v>0.0</v>
      </c>
      <c r="H91" s="849">
        <v>0.0</v>
      </c>
      <c r="I91" s="849">
        <v>0.0</v>
      </c>
      <c r="J91" s="849">
        <v>0.0</v>
      </c>
      <c r="K91" s="849">
        <v>0.0</v>
      </c>
      <c r="L91" s="849">
        <v>0.0</v>
      </c>
      <c r="M91" s="849">
        <v>0.0</v>
      </c>
      <c r="N91" s="849">
        <v>0.0</v>
      </c>
      <c r="O91" s="849">
        <v>0.0</v>
      </c>
      <c r="P91" s="849">
        <v>0.0</v>
      </c>
      <c r="Q91" s="849">
        <v>0.0</v>
      </c>
      <c r="R91" s="849">
        <v>0.0</v>
      </c>
      <c r="S91" s="849">
        <v>0.0</v>
      </c>
      <c r="T91" s="849">
        <v>0.0</v>
      </c>
      <c r="U91" s="849">
        <v>0.0</v>
      </c>
      <c r="V91" s="849">
        <v>0.0</v>
      </c>
      <c r="W91" s="849">
        <v>0.0</v>
      </c>
      <c r="X91" s="849">
        <v>0.0</v>
      </c>
      <c r="Y91" s="849">
        <v>0.0</v>
      </c>
      <c r="Z91" s="849">
        <v>0.0</v>
      </c>
      <c r="AA91" s="849">
        <v>0.0</v>
      </c>
      <c r="AB91" s="849">
        <v>0.0</v>
      </c>
      <c r="AC91" s="849">
        <v>0.0</v>
      </c>
      <c r="AD91" s="849">
        <v>0.0</v>
      </c>
      <c r="AE91" s="849">
        <v>0.0</v>
      </c>
      <c r="AF91" s="849">
        <v>0.0</v>
      </c>
      <c r="AG91" s="849">
        <v>0.0</v>
      </c>
      <c r="AH91" s="849">
        <v>0.0</v>
      </c>
      <c r="AI91" s="849">
        <v>0.0</v>
      </c>
      <c r="AJ91" s="794" t="str">
        <f t="shared" ref="AJ91:AK91" si="179">C91</f>
        <v>G02901</v>
      </c>
      <c r="AK91" s="794" t="str">
        <f t="shared" si="179"/>
        <v>FONDS PENSION NEUF/USAGE</v>
      </c>
      <c r="AL91" s="794">
        <f t="array" ref="AL91">IFERROR(INDEX(G91:R91,1,MATCH(Parametres!$B$3,G$1:R$1,0)-1)*IF(OR(F91="L",F91="S",F91="I"),-1,1),"")</f>
        <v>0</v>
      </c>
      <c r="AM91" s="794">
        <f t="shared" si="4"/>
        <v>0</v>
      </c>
      <c r="AN91" s="794">
        <f t="array" ref="AN91">INDEX(G91:R91,1,MATCH(Parametres!$B$3,G$1:R$1,0))*IF(OR(F91="L",F91="S",F91="I"),-1,1)</f>
        <v>0</v>
      </c>
      <c r="AO91" s="853" t="str">
        <f>+VLOOKUP($AJ91,Data_Validation!$A:$D,1,0)</f>
        <v>#N/A</v>
      </c>
      <c r="AP91" s="853" t="str">
        <f>+VLOOKUP($AJ91,Data_Validation!$A:$D,3,0)</f>
        <v>#N/A</v>
      </c>
      <c r="AQ91" s="853" t="str">
        <f>+VLOOKUP($AJ91,Data_Validation!$A:$D,4,0)</f>
        <v>#N/A</v>
      </c>
      <c r="AR91" s="853" t="s">
        <v>728</v>
      </c>
      <c r="AS91" s="853" t="str">
        <f>+VLOOKUP($AJ91,Data_Validation!$A:$E,5,0)</f>
        <v>#N/A</v>
      </c>
      <c r="AT91" s="794" t="str">
        <f t="shared" ref="AT91:AU91" si="180">C91</f>
        <v>G02901</v>
      </c>
      <c r="AU91" s="854" t="str">
        <f t="shared" si="180"/>
        <v>FONDS PENSION NEUF/USAGE</v>
      </c>
      <c r="AV91" s="794">
        <f t="array" ref="AV91">IFERROR(INDEX(V91:AG91,1,MATCH(Parametres!$B$3,V$1:AG$1,0)-1)*IF(OR(C91="L",C91="S",C91="I"),-1,1),"")</f>
        <v>0</v>
      </c>
      <c r="AW91" s="794">
        <f t="shared" si="6"/>
        <v>0</v>
      </c>
      <c r="AX91" s="794">
        <f t="array" ref="AX91">INDEX(V91:AG91,1,MATCH(Parametres!$B$3,V$1:AG$1,0))*IF(OR(C91="L",C91="S",C91="I"),-1,1)</f>
        <v>0</v>
      </c>
      <c r="AY91" s="853" t="s">
        <v>772</v>
      </c>
      <c r="AZ91" s="853" t="str">
        <f>+VLOOKUP($AJ91,Data_Validation!$A:$E,5,0)</f>
        <v>#N/A</v>
      </c>
    </row>
    <row r="92" ht="15.0" customHeight="1">
      <c r="A92" s="849" t="s">
        <v>1239</v>
      </c>
      <c r="B92" s="849">
        <v>2026.0</v>
      </c>
      <c r="C92" s="849" t="s">
        <v>1415</v>
      </c>
      <c r="D92" s="849" t="s">
        <v>1416</v>
      </c>
      <c r="E92" s="849" t="s">
        <v>768</v>
      </c>
      <c r="F92" s="849" t="s">
        <v>1200</v>
      </c>
      <c r="G92" s="849">
        <v>237.49</v>
      </c>
      <c r="H92" s="849">
        <v>700.2</v>
      </c>
      <c r="I92" s="849">
        <v>5373.9</v>
      </c>
      <c r="J92" s="849">
        <v>7968.09</v>
      </c>
      <c r="K92" s="849">
        <v>10754.93</v>
      </c>
      <c r="L92" s="849">
        <v>14626.95</v>
      </c>
      <c r="M92" s="849">
        <v>17541.4</v>
      </c>
      <c r="N92" s="849">
        <v>21344.57</v>
      </c>
      <c r="O92" s="849">
        <v>25158.22</v>
      </c>
      <c r="P92" s="849">
        <v>25739.69</v>
      </c>
      <c r="Q92" s="849">
        <v>0.0</v>
      </c>
      <c r="R92" s="849">
        <v>0.0</v>
      </c>
      <c r="S92" s="849">
        <v>2795.36</v>
      </c>
      <c r="T92" s="849">
        <v>2795.36</v>
      </c>
      <c r="U92" s="849">
        <v>0.0</v>
      </c>
      <c r="V92" s="849">
        <v>0.0</v>
      </c>
      <c r="W92" s="849">
        <v>0.0</v>
      </c>
      <c r="X92" s="849">
        <v>0.0</v>
      </c>
      <c r="Y92" s="849">
        <v>0.0</v>
      </c>
      <c r="Z92" s="849">
        <v>0.0</v>
      </c>
      <c r="AA92" s="849">
        <v>0.0</v>
      </c>
      <c r="AB92" s="849">
        <v>0.0</v>
      </c>
      <c r="AC92" s="849">
        <v>0.0</v>
      </c>
      <c r="AD92" s="849">
        <v>0.0</v>
      </c>
      <c r="AE92" s="849">
        <v>0.0</v>
      </c>
      <c r="AF92" s="849">
        <v>0.0</v>
      </c>
      <c r="AG92" s="849">
        <v>0.0</v>
      </c>
      <c r="AH92" s="849">
        <v>0.0</v>
      </c>
      <c r="AI92" s="849">
        <v>0.0</v>
      </c>
      <c r="AJ92" s="794" t="str">
        <f t="shared" ref="AJ92:AK92" si="181">C92</f>
        <v>G0291</v>
      </c>
      <c r="AK92" s="794" t="str">
        <f t="shared" si="181"/>
        <v>FONDS PENSION VEH. NEUFS</v>
      </c>
      <c r="AL92" s="794">
        <f t="array" ref="AL92">IFERROR(INDEX(G92:R92,1,MATCH(Parametres!$B$3,G$1:R$1,0)-1)*IF(OR(F92="L",F92="S",F92="I"),-1,1),"")</f>
        <v>21344.57</v>
      </c>
      <c r="AM92" s="794">
        <f t="shared" si="4"/>
        <v>3813.65</v>
      </c>
      <c r="AN92" s="794">
        <f t="array" ref="AN92">INDEX(G92:R92,1,MATCH(Parametres!$B$3,G$1:R$1,0))*IF(OR(F92="L",F92="S",F92="I"),-1,1)</f>
        <v>25158.22</v>
      </c>
      <c r="AO92" s="853" t="str">
        <f>+VLOOKUP($AJ92,Data_Validation!$A:$D,1,0)</f>
        <v>G0291</v>
      </c>
      <c r="AP92" s="853" t="str">
        <f>+VLOOKUP($AJ92,Data_Validation!$A:$D,3,0)</f>
        <v>Véhicules neufs</v>
      </c>
      <c r="AQ92" s="853" t="str">
        <f>+VLOOKUP($AJ92,Data_Validation!$A:$D,4,0)</f>
        <v>Csst</v>
      </c>
      <c r="AR92" s="853" t="s">
        <v>728</v>
      </c>
      <c r="AS92" s="853" t="str">
        <f>+VLOOKUP($AJ92,Data_Validation!$A:$E,5,0)</f>
        <v/>
      </c>
      <c r="AT92" s="794" t="str">
        <f t="shared" ref="AT92:AU92" si="182">C92</f>
        <v>G0291</v>
      </c>
      <c r="AU92" s="854" t="str">
        <f t="shared" si="182"/>
        <v>FONDS PENSION VEH. NEUFS</v>
      </c>
      <c r="AV92" s="794">
        <f t="array" ref="AV92">IFERROR(INDEX(V92:AG92,1,MATCH(Parametres!$B$3,V$1:AG$1,0)-1)*IF(OR(C92="L",C92="S",C92="I"),-1,1),"")</f>
        <v>0</v>
      </c>
      <c r="AW92" s="794">
        <f t="shared" si="6"/>
        <v>0</v>
      </c>
      <c r="AX92" s="794">
        <f t="array" ref="AX92">INDEX(V92:AG92,1,MATCH(Parametres!$B$3,V$1:AG$1,0))*IF(OR(C92="L",C92="S",C92="I"),-1,1)</f>
        <v>0</v>
      </c>
      <c r="AY92" s="853" t="s">
        <v>772</v>
      </c>
      <c r="AZ92" s="853" t="str">
        <f>+VLOOKUP($AJ92,Data_Validation!$A:$E,5,0)</f>
        <v/>
      </c>
    </row>
    <row r="93" ht="15.0" customHeight="1">
      <c r="A93" s="849" t="s">
        <v>1239</v>
      </c>
      <c r="B93" s="849">
        <v>2026.0</v>
      </c>
      <c r="C93" s="849" t="s">
        <v>1417</v>
      </c>
      <c r="D93" s="849" t="s">
        <v>1418</v>
      </c>
      <c r="E93" s="849" t="s">
        <v>768</v>
      </c>
      <c r="F93" s="849" t="s">
        <v>1200</v>
      </c>
      <c r="G93" s="849">
        <v>0.0</v>
      </c>
      <c r="H93" s="849">
        <v>0.0</v>
      </c>
      <c r="I93" s="849">
        <v>0.0</v>
      </c>
      <c r="J93" s="849">
        <v>0.0</v>
      </c>
      <c r="K93" s="849">
        <v>0.0</v>
      </c>
      <c r="L93" s="849">
        <v>0.0</v>
      </c>
      <c r="M93" s="849">
        <v>0.0</v>
      </c>
      <c r="N93" s="849">
        <v>0.0</v>
      </c>
      <c r="O93" s="849">
        <v>0.0</v>
      </c>
      <c r="P93" s="849">
        <v>0.0</v>
      </c>
      <c r="Q93" s="849">
        <v>0.0</v>
      </c>
      <c r="R93" s="849">
        <v>0.0</v>
      </c>
      <c r="S93" s="849">
        <v>0.0</v>
      </c>
      <c r="T93" s="849">
        <v>0.0</v>
      </c>
      <c r="U93" s="849">
        <v>0.0</v>
      </c>
      <c r="V93" s="849">
        <v>0.0</v>
      </c>
      <c r="W93" s="849">
        <v>0.0</v>
      </c>
      <c r="X93" s="849">
        <v>0.0</v>
      </c>
      <c r="Y93" s="849">
        <v>0.0</v>
      </c>
      <c r="Z93" s="849">
        <v>0.0</v>
      </c>
      <c r="AA93" s="849">
        <v>0.0</v>
      </c>
      <c r="AB93" s="849">
        <v>0.0</v>
      </c>
      <c r="AC93" s="849">
        <v>0.0</v>
      </c>
      <c r="AD93" s="849">
        <v>0.0</v>
      </c>
      <c r="AE93" s="849">
        <v>0.0</v>
      </c>
      <c r="AF93" s="849">
        <v>0.0</v>
      </c>
      <c r="AG93" s="849">
        <v>0.0</v>
      </c>
      <c r="AH93" s="849">
        <v>0.0</v>
      </c>
      <c r="AI93" s="849">
        <v>0.0</v>
      </c>
      <c r="AJ93" s="794" t="str">
        <f t="shared" ref="AJ93:AK93" si="183">C93</f>
        <v>G029101</v>
      </c>
      <c r="AK93" s="794" t="str">
        <f t="shared" si="183"/>
        <v>FONDS PENSION VEH. NF/US</v>
      </c>
      <c r="AL93" s="794">
        <f t="array" ref="AL93">IFERROR(INDEX(G93:R93,1,MATCH(Parametres!$B$3,G$1:R$1,0)-1)*IF(OR(F93="L",F93="S",F93="I"),-1,1),"")</f>
        <v>0</v>
      </c>
      <c r="AM93" s="794">
        <f t="shared" si="4"/>
        <v>0</v>
      </c>
      <c r="AN93" s="794">
        <f t="array" ref="AN93">INDEX(G93:R93,1,MATCH(Parametres!$B$3,G$1:R$1,0))*IF(OR(F93="L",F93="S",F93="I"),-1,1)</f>
        <v>0</v>
      </c>
      <c r="AO93" s="853" t="str">
        <f>+VLOOKUP($AJ93,Data_Validation!$A:$D,1,0)</f>
        <v>#N/A</v>
      </c>
      <c r="AP93" s="853" t="str">
        <f>+VLOOKUP($AJ93,Data_Validation!$A:$D,3,0)</f>
        <v>#N/A</v>
      </c>
      <c r="AQ93" s="853" t="str">
        <f>+VLOOKUP($AJ93,Data_Validation!$A:$D,4,0)</f>
        <v>#N/A</v>
      </c>
      <c r="AR93" s="853" t="s">
        <v>728</v>
      </c>
      <c r="AS93" s="853" t="str">
        <f>+VLOOKUP($AJ93,Data_Validation!$A:$E,5,0)</f>
        <v>#N/A</v>
      </c>
      <c r="AT93" s="794" t="str">
        <f t="shared" ref="AT93:AU93" si="184">C93</f>
        <v>G029101</v>
      </c>
      <c r="AU93" s="854" t="str">
        <f t="shared" si="184"/>
        <v>FONDS PENSION VEH. NF/US</v>
      </c>
      <c r="AV93" s="794">
        <f t="array" ref="AV93">IFERROR(INDEX(V93:AG93,1,MATCH(Parametres!$B$3,V$1:AG$1,0)-1)*IF(OR(C93="L",C93="S",C93="I"),-1,1),"")</f>
        <v>0</v>
      </c>
      <c r="AW93" s="794">
        <f t="shared" si="6"/>
        <v>0</v>
      </c>
      <c r="AX93" s="794">
        <f t="array" ref="AX93">INDEX(V93:AG93,1,MATCH(Parametres!$B$3,V$1:AG$1,0))*IF(OR(C93="L",C93="S",C93="I"),-1,1)</f>
        <v>0</v>
      </c>
      <c r="AY93" s="853" t="s">
        <v>772</v>
      </c>
      <c r="AZ93" s="853" t="str">
        <f>+VLOOKUP($AJ93,Data_Validation!$A:$E,5,0)</f>
        <v>#N/A</v>
      </c>
    </row>
    <row r="94" ht="15.75" customHeight="1">
      <c r="A94" s="849" t="s">
        <v>1239</v>
      </c>
      <c r="B94" s="849">
        <v>2026.0</v>
      </c>
      <c r="C94" s="849" t="s">
        <v>1419</v>
      </c>
      <c r="D94" s="849" t="s">
        <v>1420</v>
      </c>
      <c r="E94" s="849" t="s">
        <v>768</v>
      </c>
      <c r="F94" s="849" t="s">
        <v>1200</v>
      </c>
      <c r="G94" s="849">
        <v>23.6</v>
      </c>
      <c r="H94" s="849">
        <v>48.66</v>
      </c>
      <c r="I94" s="849">
        <v>3101.82</v>
      </c>
      <c r="J94" s="849">
        <v>4673.5</v>
      </c>
      <c r="K94" s="849">
        <v>6382.72</v>
      </c>
      <c r="L94" s="849">
        <v>8784.33</v>
      </c>
      <c r="M94" s="849">
        <v>10496.32</v>
      </c>
      <c r="N94" s="849">
        <v>13098.98</v>
      </c>
      <c r="O94" s="849">
        <v>15529.4</v>
      </c>
      <c r="P94" s="849">
        <v>15866.17</v>
      </c>
      <c r="Q94" s="849">
        <v>0.0</v>
      </c>
      <c r="R94" s="849">
        <v>0.0</v>
      </c>
      <c r="S94" s="849">
        <v>1725.49</v>
      </c>
      <c r="T94" s="849">
        <v>1725.49</v>
      </c>
      <c r="U94" s="849">
        <v>0.0</v>
      </c>
      <c r="V94" s="849">
        <v>0.0</v>
      </c>
      <c r="W94" s="849">
        <v>0.0</v>
      </c>
      <c r="X94" s="849">
        <v>0.0</v>
      </c>
      <c r="Y94" s="849">
        <v>0.0</v>
      </c>
      <c r="Z94" s="849">
        <v>0.0</v>
      </c>
      <c r="AA94" s="849">
        <v>0.0</v>
      </c>
      <c r="AB94" s="849">
        <v>0.0</v>
      </c>
      <c r="AC94" s="849">
        <v>0.0</v>
      </c>
      <c r="AD94" s="849">
        <v>0.0</v>
      </c>
      <c r="AE94" s="849">
        <v>0.0</v>
      </c>
      <c r="AF94" s="849">
        <v>0.0</v>
      </c>
      <c r="AG94" s="849">
        <v>0.0</v>
      </c>
      <c r="AH94" s="849">
        <v>0.0</v>
      </c>
      <c r="AI94" s="849">
        <v>0.0</v>
      </c>
      <c r="AJ94" s="794" t="str">
        <f t="shared" ref="AJ94:AK94" si="185">C94</f>
        <v>G0292</v>
      </c>
      <c r="AK94" s="794" t="str">
        <f t="shared" si="185"/>
        <v>FONDS PENSION VEH. USAG.</v>
      </c>
      <c r="AL94" s="794">
        <f t="array" ref="AL94">IFERROR(INDEX(G94:R94,1,MATCH(Parametres!$B$3,G$1:R$1,0)-1)*IF(OR(F94="L",F94="S",F94="I"),-1,1),"")</f>
        <v>13098.98</v>
      </c>
      <c r="AM94" s="794">
        <f t="shared" si="4"/>
        <v>2430.42</v>
      </c>
      <c r="AN94" s="794">
        <f t="array" ref="AN94">INDEX(G94:R94,1,MATCH(Parametres!$B$3,G$1:R$1,0))*IF(OR(F94="L",F94="S",F94="I"),-1,1)</f>
        <v>15529.4</v>
      </c>
      <c r="AO94" s="853" t="str">
        <f>+VLOOKUP($AJ94,Data_Validation!$A:$D,1,0)</f>
        <v>G0292</v>
      </c>
      <c r="AP94" s="853" t="str">
        <f>+VLOOKUP($AJ94,Data_Validation!$A:$D,3,0)</f>
        <v>Véhicules usagés</v>
      </c>
      <c r="AQ94" s="853" t="str">
        <f>+VLOOKUP($AJ94,Data_Validation!$A:$D,4,0)</f>
        <v>Csst</v>
      </c>
      <c r="AR94" s="853" t="s">
        <v>728</v>
      </c>
      <c r="AS94" s="853" t="str">
        <f>+VLOOKUP($AJ94,Data_Validation!$A:$E,5,0)</f>
        <v/>
      </c>
      <c r="AT94" s="794" t="str">
        <f t="shared" ref="AT94:AU94" si="186">C94</f>
        <v>G0292</v>
      </c>
      <c r="AU94" s="854" t="str">
        <f t="shared" si="186"/>
        <v>FONDS PENSION VEH. USAG.</v>
      </c>
      <c r="AV94" s="794">
        <f t="array" ref="AV94">IFERROR(INDEX(V94:AG94,1,MATCH(Parametres!$B$3,V$1:AG$1,0)-1)*IF(OR(C94="L",C94="S",C94="I"),-1,1),"")</f>
        <v>0</v>
      </c>
      <c r="AW94" s="794">
        <f t="shared" si="6"/>
        <v>0</v>
      </c>
      <c r="AX94" s="794">
        <f t="array" ref="AX94">INDEX(V94:AG94,1,MATCH(Parametres!$B$3,V$1:AG$1,0))*IF(OR(C94="L",C94="S",C94="I"),-1,1)</f>
        <v>0</v>
      </c>
      <c r="AY94" s="853" t="s">
        <v>772</v>
      </c>
      <c r="AZ94" s="853" t="str">
        <f>+VLOOKUP($AJ94,Data_Validation!$A:$E,5,0)</f>
        <v/>
      </c>
    </row>
    <row r="95" ht="15.0" customHeight="1">
      <c r="A95" s="849" t="s">
        <v>1239</v>
      </c>
      <c r="B95" s="849">
        <v>2026.0</v>
      </c>
      <c r="C95" s="849" t="s">
        <v>1421</v>
      </c>
      <c r="D95" s="849" t="s">
        <v>1422</v>
      </c>
      <c r="E95" s="849" t="s">
        <v>768</v>
      </c>
      <c r="F95" s="849" t="s">
        <v>1200</v>
      </c>
      <c r="G95" s="849">
        <v>0.0</v>
      </c>
      <c r="H95" s="849">
        <v>72.07</v>
      </c>
      <c r="I95" s="849">
        <v>72.07</v>
      </c>
      <c r="J95" s="849">
        <v>72.07</v>
      </c>
      <c r="K95" s="849">
        <v>72.07</v>
      </c>
      <c r="L95" s="849">
        <v>489.96</v>
      </c>
      <c r="M95" s="849">
        <v>764.65</v>
      </c>
      <c r="N95" s="849">
        <v>1054.98</v>
      </c>
      <c r="O95" s="849">
        <v>1383.94</v>
      </c>
      <c r="P95" s="849">
        <v>1526.02</v>
      </c>
      <c r="Q95" s="849">
        <v>0.0</v>
      </c>
      <c r="R95" s="849">
        <v>0.0</v>
      </c>
      <c r="S95" s="849">
        <v>153.77</v>
      </c>
      <c r="T95" s="849">
        <v>153.77</v>
      </c>
      <c r="U95" s="849">
        <v>0.0</v>
      </c>
      <c r="V95" s="849">
        <v>0.0</v>
      </c>
      <c r="W95" s="849">
        <v>0.0</v>
      </c>
      <c r="X95" s="849">
        <v>0.0</v>
      </c>
      <c r="Y95" s="849">
        <v>0.0</v>
      </c>
      <c r="Z95" s="849">
        <v>0.0</v>
      </c>
      <c r="AA95" s="849">
        <v>0.0</v>
      </c>
      <c r="AB95" s="849">
        <v>0.0</v>
      </c>
      <c r="AC95" s="849">
        <v>0.0</v>
      </c>
      <c r="AD95" s="849">
        <v>0.0</v>
      </c>
      <c r="AE95" s="849">
        <v>0.0</v>
      </c>
      <c r="AF95" s="849">
        <v>0.0</v>
      </c>
      <c r="AG95" s="849">
        <v>0.0</v>
      </c>
      <c r="AH95" s="849">
        <v>0.0</v>
      </c>
      <c r="AI95" s="849">
        <v>0.0</v>
      </c>
      <c r="AJ95" s="794" t="str">
        <f t="shared" ref="AJ95:AK95" si="187">C95</f>
        <v>G0293</v>
      </c>
      <c r="AK95" s="794" t="str">
        <f t="shared" si="187"/>
        <v>FONDS PENSION U.S.A</v>
      </c>
      <c r="AL95" s="794">
        <f t="array" ref="AL95">IFERROR(INDEX(G95:R95,1,MATCH(Parametres!$B$3,G$1:R$1,0)-1)*IF(OR(F95="L",F95="S",F95="I"),-1,1),"")</f>
        <v>1054.98</v>
      </c>
      <c r="AM95" s="794">
        <f t="shared" si="4"/>
        <v>328.96</v>
      </c>
      <c r="AN95" s="794">
        <f t="array" ref="AN95">INDEX(G95:R95,1,MATCH(Parametres!$B$3,G$1:R$1,0))*IF(OR(F95="L",F95="S",F95="I"),-1,1)</f>
        <v>1383.94</v>
      </c>
      <c r="AO95" s="853" t="str">
        <f>+VLOOKUP($AJ95,Data_Validation!$A:$D,1,0)</f>
        <v>G0293</v>
      </c>
      <c r="AP95" s="853" t="str">
        <f>+VLOOKUP($AJ95,Data_Validation!$A:$D,3,0)</f>
        <v>Wholesale autres</v>
      </c>
      <c r="AQ95" s="853" t="str">
        <f>+VLOOKUP($AJ95,Data_Validation!$A:$D,4,0)</f>
        <v>Csst</v>
      </c>
      <c r="AR95" s="853" t="s">
        <v>728</v>
      </c>
      <c r="AS95" s="853" t="str">
        <f>+VLOOKUP($AJ95,Data_Validation!$A:$E,5,0)</f>
        <v/>
      </c>
      <c r="AT95" s="794" t="str">
        <f t="shared" ref="AT95:AU95" si="188">C95</f>
        <v>G0293</v>
      </c>
      <c r="AU95" s="854" t="str">
        <f t="shared" si="188"/>
        <v>FONDS PENSION U.S.A</v>
      </c>
      <c r="AV95" s="794">
        <f t="array" ref="AV95">IFERROR(INDEX(V95:AG95,1,MATCH(Parametres!$B$3,V$1:AG$1,0)-1)*IF(OR(C95="L",C95="S",C95="I"),-1,1),"")</f>
        <v>0</v>
      </c>
      <c r="AW95" s="794">
        <f t="shared" si="6"/>
        <v>0</v>
      </c>
      <c r="AX95" s="794">
        <f t="array" ref="AX95">INDEX(V95:AG95,1,MATCH(Parametres!$B$3,V$1:AG$1,0))*IF(OR(C95="L",C95="S",C95="I"),-1,1)</f>
        <v>0</v>
      </c>
      <c r="AY95" s="853" t="s">
        <v>772</v>
      </c>
      <c r="AZ95" s="853" t="str">
        <f>+VLOOKUP($AJ95,Data_Validation!$A:$E,5,0)</f>
        <v/>
      </c>
    </row>
    <row r="96" ht="15.0" customHeight="1">
      <c r="A96" s="849" t="s">
        <v>1239</v>
      </c>
      <c r="B96" s="849">
        <v>2026.0</v>
      </c>
      <c r="C96" s="849" t="s">
        <v>1423</v>
      </c>
      <c r="D96" s="849" t="s">
        <v>1424</v>
      </c>
      <c r="E96" s="849" t="s">
        <v>768</v>
      </c>
      <c r="F96" s="849" t="s">
        <v>1200</v>
      </c>
      <c r="G96" s="849">
        <v>1060.33</v>
      </c>
      <c r="H96" s="849">
        <v>1881.89</v>
      </c>
      <c r="I96" s="849">
        <v>7309.29</v>
      </c>
      <c r="J96" s="849">
        <v>10555.74</v>
      </c>
      <c r="K96" s="849">
        <v>13900.9</v>
      </c>
      <c r="L96" s="849">
        <v>18610.5</v>
      </c>
      <c r="M96" s="849">
        <v>22322.97</v>
      </c>
      <c r="N96" s="849">
        <v>26969.75</v>
      </c>
      <c r="O96" s="849">
        <v>31685.83</v>
      </c>
      <c r="P96" s="849">
        <v>32546.17</v>
      </c>
      <c r="Q96" s="849">
        <v>0.0</v>
      </c>
      <c r="R96" s="849">
        <v>0.0</v>
      </c>
      <c r="S96" s="849">
        <v>3520.65</v>
      </c>
      <c r="T96" s="849">
        <v>3520.65</v>
      </c>
      <c r="U96" s="849">
        <v>0.0</v>
      </c>
      <c r="V96" s="849">
        <v>0.0</v>
      </c>
      <c r="W96" s="849">
        <v>0.0</v>
      </c>
      <c r="X96" s="849">
        <v>0.0</v>
      </c>
      <c r="Y96" s="849">
        <v>0.0</v>
      </c>
      <c r="Z96" s="849">
        <v>0.0</v>
      </c>
      <c r="AA96" s="849">
        <v>0.0</v>
      </c>
      <c r="AB96" s="849">
        <v>0.0</v>
      </c>
      <c r="AC96" s="849">
        <v>0.0</v>
      </c>
      <c r="AD96" s="849">
        <v>0.0</v>
      </c>
      <c r="AE96" s="849">
        <v>0.0</v>
      </c>
      <c r="AF96" s="849">
        <v>0.0</v>
      </c>
      <c r="AG96" s="849">
        <v>0.0</v>
      </c>
      <c r="AH96" s="849">
        <v>0.0</v>
      </c>
      <c r="AI96" s="849">
        <v>0.0</v>
      </c>
      <c r="AJ96" s="794" t="str">
        <f t="shared" ref="AJ96:AK96" si="189">C96</f>
        <v>G0294</v>
      </c>
      <c r="AK96" s="794" t="str">
        <f t="shared" si="189"/>
        <v>FONDS PENSION SERV AUTO</v>
      </c>
      <c r="AL96" s="794">
        <f t="array" ref="AL96">IFERROR(INDEX(G96:R96,1,MATCH(Parametres!$B$3,G$1:R$1,0)-1)*IF(OR(F96="L",F96="S",F96="I"),-1,1),"")</f>
        <v>26969.75</v>
      </c>
      <c r="AM96" s="794">
        <f t="shared" si="4"/>
        <v>4716.08</v>
      </c>
      <c r="AN96" s="794">
        <f t="array" ref="AN96">INDEX(G96:R96,1,MATCH(Parametres!$B$3,G$1:R$1,0))*IF(OR(F96="L",F96="S",F96="I"),-1,1)</f>
        <v>31685.83</v>
      </c>
      <c r="AO96" s="853" t="str">
        <f>+VLOOKUP($AJ96,Data_Validation!$A:$D,1,0)</f>
        <v>G0294</v>
      </c>
      <c r="AP96" s="853" t="str">
        <f>+VLOOKUP($AJ96,Data_Validation!$A:$D,3,0)</f>
        <v>Service</v>
      </c>
      <c r="AQ96" s="853" t="str">
        <f>+VLOOKUP($AJ96,Data_Validation!$A:$D,4,0)</f>
        <v>Csst</v>
      </c>
      <c r="AR96" s="853" t="s">
        <v>728</v>
      </c>
      <c r="AS96" s="853" t="str">
        <f>+VLOOKUP($AJ96,Data_Validation!$A:$E,5,0)</f>
        <v/>
      </c>
      <c r="AT96" s="794" t="str">
        <f t="shared" ref="AT96:AU96" si="190">C96</f>
        <v>G0294</v>
      </c>
      <c r="AU96" s="854" t="str">
        <f t="shared" si="190"/>
        <v>FONDS PENSION SERV AUTO</v>
      </c>
      <c r="AV96" s="794">
        <f t="array" ref="AV96">IFERROR(INDEX(V96:AG96,1,MATCH(Parametres!$B$3,V$1:AG$1,0)-1)*IF(OR(C96="L",C96="S",C96="I"),-1,1),"")</f>
        <v>0</v>
      </c>
      <c r="AW96" s="794">
        <f t="shared" si="6"/>
        <v>0</v>
      </c>
      <c r="AX96" s="794">
        <f t="array" ref="AX96">INDEX(V96:AG96,1,MATCH(Parametres!$B$3,V$1:AG$1,0))*IF(OR(C96="L",C96="S",C96="I"),-1,1)</f>
        <v>0</v>
      </c>
      <c r="AY96" s="853" t="s">
        <v>772</v>
      </c>
      <c r="AZ96" s="853" t="str">
        <f>+VLOOKUP($AJ96,Data_Validation!$A:$E,5,0)</f>
        <v/>
      </c>
    </row>
    <row r="97" ht="15.0" customHeight="1">
      <c r="A97" s="849" t="s">
        <v>1239</v>
      </c>
      <c r="B97" s="849">
        <v>2026.0</v>
      </c>
      <c r="C97" s="849" t="s">
        <v>1425</v>
      </c>
      <c r="D97" s="849" t="s">
        <v>1426</v>
      </c>
      <c r="E97" s="849" t="s">
        <v>768</v>
      </c>
      <c r="F97" s="849" t="s">
        <v>1200</v>
      </c>
      <c r="G97" s="849">
        <v>45.54</v>
      </c>
      <c r="H97" s="849">
        <v>86.42</v>
      </c>
      <c r="I97" s="849">
        <v>1644.19</v>
      </c>
      <c r="J97" s="849">
        <v>2445.17</v>
      </c>
      <c r="K97" s="849">
        <v>3292.69</v>
      </c>
      <c r="L97" s="849">
        <v>4982.17</v>
      </c>
      <c r="M97" s="849">
        <v>6349.66</v>
      </c>
      <c r="N97" s="849">
        <v>8004.87</v>
      </c>
      <c r="O97" s="849">
        <v>9657.7</v>
      </c>
      <c r="P97" s="849">
        <v>9964.8</v>
      </c>
      <c r="Q97" s="849">
        <v>0.0</v>
      </c>
      <c r="R97" s="849">
        <v>0.0</v>
      </c>
      <c r="S97" s="849">
        <v>1073.08</v>
      </c>
      <c r="T97" s="849">
        <v>1073.08</v>
      </c>
      <c r="U97" s="849">
        <v>0.0</v>
      </c>
      <c r="V97" s="849">
        <v>0.0</v>
      </c>
      <c r="W97" s="849">
        <v>0.0</v>
      </c>
      <c r="X97" s="849">
        <v>0.0</v>
      </c>
      <c r="Y97" s="849">
        <v>0.0</v>
      </c>
      <c r="Z97" s="849">
        <v>0.0</v>
      </c>
      <c r="AA97" s="849">
        <v>0.0</v>
      </c>
      <c r="AB97" s="849">
        <v>0.0</v>
      </c>
      <c r="AC97" s="849">
        <v>0.0</v>
      </c>
      <c r="AD97" s="849">
        <v>0.0</v>
      </c>
      <c r="AE97" s="849">
        <v>0.0</v>
      </c>
      <c r="AF97" s="849">
        <v>0.0</v>
      </c>
      <c r="AG97" s="849">
        <v>0.0</v>
      </c>
      <c r="AH97" s="849">
        <v>0.0</v>
      </c>
      <c r="AI97" s="849">
        <v>0.0</v>
      </c>
      <c r="AJ97" s="794" t="str">
        <f t="shared" ref="AJ97:AK97" si="191">C97</f>
        <v>G0295</v>
      </c>
      <c r="AK97" s="794" t="str">
        <f t="shared" si="191"/>
        <v>FONDS PENSION CARROSSERIE</v>
      </c>
      <c r="AL97" s="794">
        <f t="array" ref="AL97">IFERROR(INDEX(G97:R97,1,MATCH(Parametres!$B$3,G$1:R$1,0)-1)*IF(OR(F97="L",F97="S",F97="I"),-1,1),"")</f>
        <v>8004.87</v>
      </c>
      <c r="AM97" s="794">
        <f t="shared" si="4"/>
        <v>1652.83</v>
      </c>
      <c r="AN97" s="794">
        <f t="array" ref="AN97">INDEX(G97:R97,1,MATCH(Parametres!$B$3,G$1:R$1,0))*IF(OR(F97="L",F97="S",F97="I"),-1,1)</f>
        <v>9657.7</v>
      </c>
      <c r="AO97" s="853" t="str">
        <f>+VLOOKUP($AJ97,Data_Validation!$A:$D,1,0)</f>
        <v>G0295</v>
      </c>
      <c r="AP97" s="853" t="str">
        <f>+VLOOKUP($AJ97,Data_Validation!$A:$D,3,0)</f>
        <v>Carrosserie</v>
      </c>
      <c r="AQ97" s="853" t="str">
        <f>+VLOOKUP($AJ97,Data_Validation!$A:$D,4,0)</f>
        <v>Csst</v>
      </c>
      <c r="AR97" s="853" t="s">
        <v>728</v>
      </c>
      <c r="AS97" s="853" t="str">
        <f>+VLOOKUP($AJ97,Data_Validation!$A:$E,5,0)</f>
        <v/>
      </c>
      <c r="AT97" s="794" t="str">
        <f t="shared" ref="AT97:AU97" si="192">C97</f>
        <v>G0295</v>
      </c>
      <c r="AU97" s="854" t="str">
        <f t="shared" si="192"/>
        <v>FONDS PENSION CARROSSERIE</v>
      </c>
      <c r="AV97" s="794">
        <f t="array" ref="AV97">IFERROR(INDEX(V97:AG97,1,MATCH(Parametres!$B$3,V$1:AG$1,0)-1)*IF(OR(C97="L",C97="S",C97="I"),-1,1),"")</f>
        <v>0</v>
      </c>
      <c r="AW97" s="794">
        <f t="shared" si="6"/>
        <v>0</v>
      </c>
      <c r="AX97" s="794">
        <f t="array" ref="AX97">INDEX(V97:AG97,1,MATCH(Parametres!$B$3,V$1:AG$1,0))*IF(OR(C97="L",C97="S",C97="I"),-1,1)</f>
        <v>0</v>
      </c>
      <c r="AY97" s="853" t="s">
        <v>772</v>
      </c>
      <c r="AZ97" s="853" t="str">
        <f>+VLOOKUP($AJ97,Data_Validation!$A:$E,5,0)</f>
        <v/>
      </c>
    </row>
    <row r="98" ht="15.0" customHeight="1">
      <c r="A98" s="849" t="s">
        <v>1239</v>
      </c>
      <c r="B98" s="849">
        <v>2026.0</v>
      </c>
      <c r="C98" s="849" t="s">
        <v>1427</v>
      </c>
      <c r="D98" s="849" t="s">
        <v>1428</v>
      </c>
      <c r="E98" s="849" t="s">
        <v>768</v>
      </c>
      <c r="F98" s="849" t="s">
        <v>1200</v>
      </c>
      <c r="G98" s="849">
        <v>195.98</v>
      </c>
      <c r="H98" s="849">
        <v>300.99</v>
      </c>
      <c r="I98" s="849">
        <v>1997.69</v>
      </c>
      <c r="J98" s="849">
        <v>2898.73</v>
      </c>
      <c r="K98" s="849">
        <v>3854.99</v>
      </c>
      <c r="L98" s="849">
        <v>5174.1</v>
      </c>
      <c r="M98" s="849">
        <v>6159.34</v>
      </c>
      <c r="N98" s="849">
        <v>7548.31</v>
      </c>
      <c r="O98" s="849">
        <v>8879.65</v>
      </c>
      <c r="P98" s="849">
        <v>9094.37</v>
      </c>
      <c r="Q98" s="849">
        <v>0.0</v>
      </c>
      <c r="R98" s="849">
        <v>0.0</v>
      </c>
      <c r="S98" s="849">
        <v>986.63</v>
      </c>
      <c r="T98" s="849">
        <v>986.63</v>
      </c>
      <c r="U98" s="849">
        <v>0.0</v>
      </c>
      <c r="V98" s="849">
        <v>0.0</v>
      </c>
      <c r="W98" s="849">
        <v>0.0</v>
      </c>
      <c r="X98" s="849">
        <v>0.0</v>
      </c>
      <c r="Y98" s="849">
        <v>0.0</v>
      </c>
      <c r="Z98" s="849">
        <v>0.0</v>
      </c>
      <c r="AA98" s="849">
        <v>0.0</v>
      </c>
      <c r="AB98" s="849">
        <v>0.0</v>
      </c>
      <c r="AC98" s="849">
        <v>0.0</v>
      </c>
      <c r="AD98" s="849">
        <v>0.0</v>
      </c>
      <c r="AE98" s="849">
        <v>0.0</v>
      </c>
      <c r="AF98" s="849">
        <v>0.0</v>
      </c>
      <c r="AG98" s="849">
        <v>0.0</v>
      </c>
      <c r="AH98" s="849">
        <v>0.0</v>
      </c>
      <c r="AI98" s="849">
        <v>0.0</v>
      </c>
      <c r="AJ98" s="794" t="str">
        <f t="shared" ref="AJ98:AK98" si="193">C98</f>
        <v>G0296</v>
      </c>
      <c r="AK98" s="794" t="str">
        <f t="shared" si="193"/>
        <v>FONDS PENSION PCE AUTO</v>
      </c>
      <c r="AL98" s="794">
        <f t="array" ref="AL98">IFERROR(INDEX(G98:R98,1,MATCH(Parametres!$B$3,G$1:R$1,0)-1)*IF(OR(F98="L",F98="S",F98="I"),-1,1),"")</f>
        <v>7548.31</v>
      </c>
      <c r="AM98" s="794">
        <f t="shared" si="4"/>
        <v>1331.34</v>
      </c>
      <c r="AN98" s="794">
        <f t="array" ref="AN98">INDEX(G98:R98,1,MATCH(Parametres!$B$3,G$1:R$1,0))*IF(OR(F98="L",F98="S",F98="I"),-1,1)</f>
        <v>8879.65</v>
      </c>
      <c r="AO98" s="853" t="str">
        <f>+VLOOKUP($AJ98,Data_Validation!$A:$D,1,0)</f>
        <v>G0296</v>
      </c>
      <c r="AP98" s="853" t="str">
        <f>+VLOOKUP($AJ98,Data_Validation!$A:$D,3,0)</f>
        <v>Pièces</v>
      </c>
      <c r="AQ98" s="853" t="str">
        <f>+VLOOKUP($AJ98,Data_Validation!$A:$D,4,0)</f>
        <v>Csst</v>
      </c>
      <c r="AR98" s="853" t="s">
        <v>728</v>
      </c>
      <c r="AS98" s="853" t="str">
        <f>+VLOOKUP($AJ98,Data_Validation!$A:$E,5,0)</f>
        <v/>
      </c>
      <c r="AT98" s="794" t="str">
        <f t="shared" ref="AT98:AU98" si="194">C98</f>
        <v>G0296</v>
      </c>
      <c r="AU98" s="854" t="str">
        <f t="shared" si="194"/>
        <v>FONDS PENSION PCE AUTO</v>
      </c>
      <c r="AV98" s="794">
        <f t="array" ref="AV98">IFERROR(INDEX(V98:AG98,1,MATCH(Parametres!$B$3,V$1:AG$1,0)-1)*IF(OR(C98="L",C98="S",C98="I"),-1,1),"")</f>
        <v>0</v>
      </c>
      <c r="AW98" s="794">
        <f t="shared" si="6"/>
        <v>0</v>
      </c>
      <c r="AX98" s="794">
        <f t="array" ref="AX98">INDEX(V98:AG98,1,MATCH(Parametres!$B$3,V$1:AG$1,0))*IF(OR(C98="L",C98="S",C98="I"),-1,1)</f>
        <v>0</v>
      </c>
      <c r="AY98" s="853" t="s">
        <v>772</v>
      </c>
      <c r="AZ98" s="853" t="str">
        <f>+VLOOKUP($AJ98,Data_Validation!$A:$E,5,0)</f>
        <v/>
      </c>
    </row>
    <row r="99" ht="15.75" customHeight="1">
      <c r="A99" s="849" t="s">
        <v>1239</v>
      </c>
      <c r="B99" s="849">
        <v>2026.0</v>
      </c>
      <c r="C99" s="849" t="s">
        <v>1429</v>
      </c>
      <c r="D99" s="849" t="s">
        <v>1430</v>
      </c>
      <c r="E99" s="849" t="s">
        <v>768</v>
      </c>
      <c r="F99" s="849" t="s">
        <v>1200</v>
      </c>
      <c r="G99" s="849">
        <v>0.0</v>
      </c>
      <c r="H99" s="849">
        <v>0.0</v>
      </c>
      <c r="I99" s="849">
        <v>0.0</v>
      </c>
      <c r="J99" s="849">
        <v>0.0</v>
      </c>
      <c r="K99" s="849">
        <v>0.0</v>
      </c>
      <c r="L99" s="849">
        <v>665.01</v>
      </c>
      <c r="M99" s="849">
        <v>1334.44</v>
      </c>
      <c r="N99" s="849">
        <v>1982.07</v>
      </c>
      <c r="O99" s="849">
        <v>2723.83</v>
      </c>
      <c r="P99" s="849">
        <v>3061.91</v>
      </c>
      <c r="Q99" s="849">
        <v>0.0</v>
      </c>
      <c r="R99" s="849">
        <v>0.0</v>
      </c>
      <c r="S99" s="849">
        <v>302.65</v>
      </c>
      <c r="T99" s="849">
        <v>302.65</v>
      </c>
      <c r="U99" s="849">
        <v>0.0</v>
      </c>
      <c r="V99" s="849">
        <v>0.0</v>
      </c>
      <c r="W99" s="849">
        <v>0.0</v>
      </c>
      <c r="X99" s="849">
        <v>0.0</v>
      </c>
      <c r="Y99" s="849">
        <v>0.0</v>
      </c>
      <c r="Z99" s="849">
        <v>0.0</v>
      </c>
      <c r="AA99" s="849">
        <v>0.0</v>
      </c>
      <c r="AB99" s="849">
        <v>0.0</v>
      </c>
      <c r="AC99" s="849">
        <v>0.0</v>
      </c>
      <c r="AD99" s="849">
        <v>0.0</v>
      </c>
      <c r="AE99" s="849">
        <v>0.0</v>
      </c>
      <c r="AF99" s="849">
        <v>0.0</v>
      </c>
      <c r="AG99" s="849">
        <v>0.0</v>
      </c>
      <c r="AH99" s="849">
        <v>0.0</v>
      </c>
      <c r="AI99" s="849">
        <v>0.0</v>
      </c>
      <c r="AJ99" s="794" t="str">
        <f t="shared" ref="AJ99:AK99" si="195">C99</f>
        <v>G0297</v>
      </c>
      <c r="AK99" s="794" t="str">
        <f t="shared" si="195"/>
        <v>FONDS PENSION SAAQ</v>
      </c>
      <c r="AL99" s="794">
        <f t="array" ref="AL99">IFERROR(INDEX(G99:R99,1,MATCH(Parametres!$B$3,G$1:R$1,0)-1)*IF(OR(F99="L",F99="S",F99="I"),-1,1),"")</f>
        <v>1982.07</v>
      </c>
      <c r="AM99" s="794">
        <f t="shared" si="4"/>
        <v>741.76</v>
      </c>
      <c r="AN99" s="794">
        <f t="array" ref="AN99">INDEX(G99:R99,1,MATCH(Parametres!$B$3,G$1:R$1,0))*IF(OR(F99="L",F99="S",F99="I"),-1,1)</f>
        <v>2723.83</v>
      </c>
      <c r="AO99" s="853" t="str">
        <f>+VLOOKUP($AJ99,Data_Validation!$A:$D,1,0)</f>
        <v>G0297</v>
      </c>
      <c r="AP99" s="853" t="str">
        <f>+VLOOKUP($AJ99,Data_Validation!$A:$D,3,0)</f>
        <v>SAAQ</v>
      </c>
      <c r="AQ99" s="853" t="str">
        <f>+VLOOKUP($AJ99,Data_Validation!$A:$D,4,0)</f>
        <v>Csst</v>
      </c>
      <c r="AR99" s="853" t="s">
        <v>728</v>
      </c>
      <c r="AS99" s="853" t="str">
        <f>+VLOOKUP($AJ99,Data_Validation!$A:$E,5,0)</f>
        <v/>
      </c>
      <c r="AT99" s="794" t="str">
        <f t="shared" ref="AT99:AU99" si="196">C99</f>
        <v>G0297</v>
      </c>
      <c r="AU99" s="854" t="str">
        <f t="shared" si="196"/>
        <v>FONDS PENSION SAAQ</v>
      </c>
      <c r="AV99" s="794">
        <f t="array" ref="AV99">IFERROR(INDEX(V99:AG99,1,MATCH(Parametres!$B$3,V$1:AG$1,0)-1)*IF(OR(C99="L",C99="S",C99="I"),-1,1),"")</f>
        <v>0</v>
      </c>
      <c r="AW99" s="794">
        <f t="shared" si="6"/>
        <v>0</v>
      </c>
      <c r="AX99" s="794">
        <f t="array" ref="AX99">INDEX(V99:AG99,1,MATCH(Parametres!$B$3,V$1:AG$1,0))*IF(OR(C99="L",C99="S",C99="I"),-1,1)</f>
        <v>0</v>
      </c>
      <c r="AY99" s="853" t="s">
        <v>772</v>
      </c>
      <c r="AZ99" s="853" t="str">
        <f>+VLOOKUP($AJ99,Data_Validation!$A:$E,5,0)</f>
        <v/>
      </c>
    </row>
    <row r="100" ht="15.0" customHeight="1">
      <c r="A100" s="849" t="s">
        <v>1239</v>
      </c>
      <c r="B100" s="849">
        <v>2026.0</v>
      </c>
      <c r="C100" s="849" t="s">
        <v>1431</v>
      </c>
      <c r="D100" s="849" t="s">
        <v>1432</v>
      </c>
      <c r="E100" s="849" t="s">
        <v>768</v>
      </c>
      <c r="F100" s="849" t="s">
        <v>1200</v>
      </c>
      <c r="G100" s="849">
        <v>0.0</v>
      </c>
      <c r="H100" s="849">
        <v>0.0</v>
      </c>
      <c r="I100" s="849">
        <v>0.0</v>
      </c>
      <c r="J100" s="849">
        <v>0.0</v>
      </c>
      <c r="K100" s="849">
        <v>0.0</v>
      </c>
      <c r="L100" s="849">
        <v>0.0</v>
      </c>
      <c r="M100" s="849">
        <v>0.0</v>
      </c>
      <c r="N100" s="849">
        <v>0.0</v>
      </c>
      <c r="O100" s="849">
        <v>0.0</v>
      </c>
      <c r="P100" s="849">
        <v>0.0</v>
      </c>
      <c r="Q100" s="849">
        <v>0.0</v>
      </c>
      <c r="R100" s="849">
        <v>0.0</v>
      </c>
      <c r="S100" s="849">
        <v>0.0</v>
      </c>
      <c r="T100" s="849">
        <v>0.0</v>
      </c>
      <c r="U100" s="849">
        <v>0.0</v>
      </c>
      <c r="V100" s="849">
        <v>0.0</v>
      </c>
      <c r="W100" s="849">
        <v>0.0</v>
      </c>
      <c r="X100" s="849">
        <v>0.0</v>
      </c>
      <c r="Y100" s="849">
        <v>0.0</v>
      </c>
      <c r="Z100" s="849">
        <v>0.0</v>
      </c>
      <c r="AA100" s="849">
        <v>0.0</v>
      </c>
      <c r="AB100" s="849">
        <v>0.0</v>
      </c>
      <c r="AC100" s="849">
        <v>0.0</v>
      </c>
      <c r="AD100" s="849">
        <v>0.0</v>
      </c>
      <c r="AE100" s="849">
        <v>0.0</v>
      </c>
      <c r="AF100" s="849">
        <v>0.0</v>
      </c>
      <c r="AG100" s="849">
        <v>0.0</v>
      </c>
      <c r="AH100" s="849">
        <v>0.0</v>
      </c>
      <c r="AI100" s="849">
        <v>0.0</v>
      </c>
      <c r="AJ100" s="794" t="str">
        <f t="shared" ref="AJ100:AK100" si="197">C100</f>
        <v>G0299</v>
      </c>
      <c r="AK100" s="794" t="str">
        <f t="shared" si="197"/>
        <v>FONDS PENSION ADMIN</v>
      </c>
      <c r="AL100" s="794">
        <f t="array" ref="AL100">IFERROR(INDEX(G100:R100,1,MATCH(Parametres!$B$3,G$1:R$1,0)-1)*IF(OR(F100="L",F100="S",F100="I"),-1,1),"")</f>
        <v>0</v>
      </c>
      <c r="AM100" s="794">
        <f t="shared" si="4"/>
        <v>0</v>
      </c>
      <c r="AN100" s="794">
        <f t="array" ref="AN100">INDEX(G100:R100,1,MATCH(Parametres!$B$3,G$1:R$1,0))*IF(OR(F100="L",F100="S",F100="I"),-1,1)</f>
        <v>0</v>
      </c>
      <c r="AO100" s="853" t="str">
        <f>+VLOOKUP($AJ100,Data_Validation!$A:$D,1,0)</f>
        <v>#N/A</v>
      </c>
      <c r="AP100" s="853" t="str">
        <f>+VLOOKUP($AJ100,Data_Validation!$A:$D,3,0)</f>
        <v>#N/A</v>
      </c>
      <c r="AQ100" s="853" t="str">
        <f>+VLOOKUP($AJ100,Data_Validation!$A:$D,4,0)</f>
        <v>#N/A</v>
      </c>
      <c r="AR100" s="853" t="s">
        <v>728</v>
      </c>
      <c r="AS100" s="853" t="str">
        <f>+VLOOKUP($AJ100,Data_Validation!$A:$E,5,0)</f>
        <v>#N/A</v>
      </c>
      <c r="AT100" s="794" t="str">
        <f t="shared" ref="AT100:AU100" si="198">C100</f>
        <v>G0299</v>
      </c>
      <c r="AU100" s="854" t="str">
        <f t="shared" si="198"/>
        <v>FONDS PENSION ADMIN</v>
      </c>
      <c r="AV100" s="794">
        <f t="array" ref="AV100">IFERROR(INDEX(V100:AG100,1,MATCH(Parametres!$B$3,V$1:AG$1,0)-1)*IF(OR(C100="L",C100="S",C100="I"),-1,1),"")</f>
        <v>0</v>
      </c>
      <c r="AW100" s="794">
        <f t="shared" si="6"/>
        <v>0</v>
      </c>
      <c r="AX100" s="794">
        <f t="array" ref="AX100">INDEX(V100:AG100,1,MATCH(Parametres!$B$3,V$1:AG$1,0))*IF(OR(C100="L",C100="S",C100="I"),-1,1)</f>
        <v>0</v>
      </c>
      <c r="AY100" s="853" t="s">
        <v>772</v>
      </c>
      <c r="AZ100" s="853" t="str">
        <f>+VLOOKUP($AJ100,Data_Validation!$A:$E,5,0)</f>
        <v>#N/A</v>
      </c>
    </row>
    <row r="101" ht="15.0" customHeight="1">
      <c r="A101" s="849" t="s">
        <v>1239</v>
      </c>
      <c r="B101" s="849">
        <v>2026.0</v>
      </c>
      <c r="C101" s="849" t="s">
        <v>1433</v>
      </c>
      <c r="D101" s="849" t="s">
        <v>1434</v>
      </c>
      <c r="E101" s="849" t="s">
        <v>768</v>
      </c>
      <c r="F101" s="849" t="s">
        <v>1200</v>
      </c>
      <c r="G101" s="849">
        <v>0.0</v>
      </c>
      <c r="H101" s="849">
        <v>0.0</v>
      </c>
      <c r="I101" s="849">
        <v>0.0</v>
      </c>
      <c r="J101" s="849">
        <v>0.0</v>
      </c>
      <c r="K101" s="849">
        <v>0.0</v>
      </c>
      <c r="L101" s="849">
        <v>0.0</v>
      </c>
      <c r="M101" s="849">
        <v>0.0</v>
      </c>
      <c r="N101" s="849">
        <v>0.0</v>
      </c>
      <c r="O101" s="849">
        <v>0.0</v>
      </c>
      <c r="P101" s="849">
        <v>0.0</v>
      </c>
      <c r="Q101" s="849">
        <v>0.0</v>
      </c>
      <c r="R101" s="849">
        <v>0.0</v>
      </c>
      <c r="S101" s="849">
        <v>0.0</v>
      </c>
      <c r="T101" s="849">
        <v>0.0</v>
      </c>
      <c r="U101" s="849">
        <v>0.0</v>
      </c>
      <c r="V101" s="849">
        <v>0.0</v>
      </c>
      <c r="W101" s="849">
        <v>0.0</v>
      </c>
      <c r="X101" s="849">
        <v>0.0</v>
      </c>
      <c r="Y101" s="849">
        <v>0.0</v>
      </c>
      <c r="Z101" s="849">
        <v>0.0</v>
      </c>
      <c r="AA101" s="849">
        <v>0.0</v>
      </c>
      <c r="AB101" s="849">
        <v>0.0</v>
      </c>
      <c r="AC101" s="849">
        <v>0.0</v>
      </c>
      <c r="AD101" s="849">
        <v>0.0</v>
      </c>
      <c r="AE101" s="849">
        <v>0.0</v>
      </c>
      <c r="AF101" s="849">
        <v>0.0</v>
      </c>
      <c r="AG101" s="849">
        <v>0.0</v>
      </c>
      <c r="AH101" s="849">
        <v>0.0</v>
      </c>
      <c r="AI101" s="849">
        <v>0.0</v>
      </c>
      <c r="AJ101" s="794" t="str">
        <f t="shared" ref="AJ101:AK101" si="199">C101</f>
        <v>G0330</v>
      </c>
      <c r="AK101" s="794" t="str">
        <f t="shared" si="199"/>
        <v>FRAIS POSTE-TRANSPORT REP</v>
      </c>
      <c r="AL101" s="794">
        <f t="array" ref="AL101">IFERROR(INDEX(G101:R101,1,MATCH(Parametres!$B$3,G$1:R$1,0)-1)*IF(OR(F101="L",F101="S",F101="I"),-1,1),"")</f>
        <v>0</v>
      </c>
      <c r="AM101" s="794">
        <f t="shared" si="4"/>
        <v>0</v>
      </c>
      <c r="AN101" s="794">
        <f t="array" ref="AN101">INDEX(G101:R101,1,MATCH(Parametres!$B$3,G$1:R$1,0))*IF(OR(F101="L",F101="S",F101="I"),-1,1)</f>
        <v>0</v>
      </c>
      <c r="AO101" s="853" t="str">
        <f>+VLOOKUP($AJ101,Data_Validation!$A:$D,1,0)</f>
        <v>#N/A</v>
      </c>
      <c r="AP101" s="853" t="str">
        <f>+VLOOKUP($AJ101,Data_Validation!$A:$D,3,0)</f>
        <v>#N/A</v>
      </c>
      <c r="AQ101" s="853" t="str">
        <f>+VLOOKUP($AJ101,Data_Validation!$A:$D,4,0)</f>
        <v>#N/A</v>
      </c>
      <c r="AR101" s="853" t="s">
        <v>728</v>
      </c>
      <c r="AS101" s="853" t="str">
        <f>+VLOOKUP($AJ101,Data_Validation!$A:$E,5,0)</f>
        <v>#N/A</v>
      </c>
      <c r="AT101" s="794" t="str">
        <f t="shared" ref="AT101:AU101" si="200">C101</f>
        <v>G0330</v>
      </c>
      <c r="AU101" s="854" t="str">
        <f t="shared" si="200"/>
        <v>FRAIS POSTE-TRANSPORT REP</v>
      </c>
      <c r="AV101" s="794">
        <f t="array" ref="AV101">IFERROR(INDEX(V101:AG101,1,MATCH(Parametres!$B$3,V$1:AG$1,0)-1)*IF(OR(C101="L",C101="S",C101="I"),-1,1),"")</f>
        <v>0</v>
      </c>
      <c r="AW101" s="794">
        <f t="shared" si="6"/>
        <v>0</v>
      </c>
      <c r="AX101" s="794">
        <f t="array" ref="AX101">INDEX(V101:AG101,1,MATCH(Parametres!$B$3,V$1:AG$1,0))*IF(OR(C101="L",C101="S",C101="I"),-1,1)</f>
        <v>0</v>
      </c>
      <c r="AY101" s="853" t="s">
        <v>772</v>
      </c>
      <c r="AZ101" s="853" t="str">
        <f>+VLOOKUP($AJ101,Data_Validation!$A:$E,5,0)</f>
        <v>#N/A</v>
      </c>
    </row>
    <row r="102" ht="15.0" customHeight="1">
      <c r="A102" s="849" t="s">
        <v>1239</v>
      </c>
      <c r="B102" s="849">
        <v>2026.0</v>
      </c>
      <c r="C102" s="849" t="s">
        <v>1435</v>
      </c>
      <c r="D102" s="849" t="s">
        <v>1436</v>
      </c>
      <c r="E102" s="849" t="s">
        <v>768</v>
      </c>
      <c r="F102" s="849" t="s">
        <v>1200</v>
      </c>
      <c r="G102" s="849">
        <v>1560.0</v>
      </c>
      <c r="H102" s="849">
        <v>3434.68</v>
      </c>
      <c r="I102" s="849">
        <v>5619.46</v>
      </c>
      <c r="J102" s="849">
        <v>7910.29</v>
      </c>
      <c r="K102" s="849">
        <v>9916.78</v>
      </c>
      <c r="L102" s="849">
        <v>11849.48</v>
      </c>
      <c r="M102" s="849">
        <v>12945.35</v>
      </c>
      <c r="N102" s="849">
        <v>13481.04</v>
      </c>
      <c r="O102" s="849">
        <v>14795.39</v>
      </c>
      <c r="P102" s="849">
        <v>14965.35</v>
      </c>
      <c r="Q102" s="849">
        <v>0.0</v>
      </c>
      <c r="R102" s="849">
        <v>0.0</v>
      </c>
      <c r="S102" s="849">
        <v>1643.93</v>
      </c>
      <c r="T102" s="849">
        <v>1643.93</v>
      </c>
      <c r="U102" s="849">
        <v>0.0</v>
      </c>
      <c r="V102" s="849">
        <v>0.0</v>
      </c>
      <c r="W102" s="849">
        <v>0.0</v>
      </c>
      <c r="X102" s="849">
        <v>0.0</v>
      </c>
      <c r="Y102" s="849">
        <v>0.0</v>
      </c>
      <c r="Z102" s="849">
        <v>0.0</v>
      </c>
      <c r="AA102" s="849">
        <v>0.0</v>
      </c>
      <c r="AB102" s="849">
        <v>0.0</v>
      </c>
      <c r="AC102" s="849">
        <v>0.0</v>
      </c>
      <c r="AD102" s="849">
        <v>0.0</v>
      </c>
      <c r="AE102" s="849">
        <v>0.0</v>
      </c>
      <c r="AF102" s="849">
        <v>0.0</v>
      </c>
      <c r="AG102" s="849">
        <v>0.0</v>
      </c>
      <c r="AH102" s="849">
        <v>0.0</v>
      </c>
      <c r="AI102" s="849">
        <v>0.0</v>
      </c>
      <c r="AJ102" s="794" t="str">
        <f t="shared" ref="AJ102:AK102" si="201">C102</f>
        <v>G0331</v>
      </c>
      <c r="AK102" s="794" t="str">
        <f t="shared" si="201"/>
        <v>FRAIS POSTE-TRANSP NEUF</v>
      </c>
      <c r="AL102" s="794">
        <f t="array" ref="AL102">IFERROR(INDEX(G102:R102,1,MATCH(Parametres!$B$3,G$1:R$1,0)-1)*IF(OR(F102="L",F102="S",F102="I"),-1,1),"")</f>
        <v>13481.04</v>
      </c>
      <c r="AM102" s="794">
        <f t="shared" si="4"/>
        <v>1314.35</v>
      </c>
      <c r="AN102" s="794">
        <f t="array" ref="AN102">INDEX(G102:R102,1,MATCH(Parametres!$B$3,G$1:R$1,0))*IF(OR(F102="L",F102="S",F102="I"),-1,1)</f>
        <v>14795.39</v>
      </c>
      <c r="AO102" s="853" t="str">
        <f>+VLOOKUP($AJ102,Data_Validation!$A:$D,1,0)</f>
        <v>G0331</v>
      </c>
      <c r="AP102" s="853" t="str">
        <f>+VLOOKUP($AJ102,Data_Validation!$A:$D,3,0)</f>
        <v>Véhicules neufs</v>
      </c>
      <c r="AQ102" s="853" t="str">
        <f>+VLOOKUP($AJ102,Data_Validation!$A:$D,4,0)</f>
        <v>Frais postaux</v>
      </c>
      <c r="AR102" s="853" t="s">
        <v>728</v>
      </c>
      <c r="AS102" s="853" t="str">
        <f>+VLOOKUP($AJ102,Data_Validation!$A:$E,5,0)</f>
        <v/>
      </c>
      <c r="AT102" s="794" t="str">
        <f t="shared" ref="AT102:AU102" si="202">C102</f>
        <v>G0331</v>
      </c>
      <c r="AU102" s="854" t="str">
        <f t="shared" si="202"/>
        <v>FRAIS POSTE-TRANSP NEUF</v>
      </c>
      <c r="AV102" s="794">
        <f t="array" ref="AV102">IFERROR(INDEX(V102:AG102,1,MATCH(Parametres!$B$3,V$1:AG$1,0)-1)*IF(OR(C102="L",C102="S",C102="I"),-1,1),"")</f>
        <v>0</v>
      </c>
      <c r="AW102" s="794">
        <f t="shared" si="6"/>
        <v>0</v>
      </c>
      <c r="AX102" s="794">
        <f t="array" ref="AX102">INDEX(V102:AG102,1,MATCH(Parametres!$B$3,V$1:AG$1,0))*IF(OR(C102="L",C102="S",C102="I"),-1,1)</f>
        <v>0</v>
      </c>
      <c r="AY102" s="853" t="s">
        <v>772</v>
      </c>
      <c r="AZ102" s="853" t="str">
        <f>+VLOOKUP($AJ102,Data_Validation!$A:$E,5,0)</f>
        <v/>
      </c>
    </row>
    <row r="103" ht="15.75" customHeight="1">
      <c r="A103" s="849" t="s">
        <v>1239</v>
      </c>
      <c r="B103" s="849">
        <v>2026.0</v>
      </c>
      <c r="C103" s="849" t="s">
        <v>1437</v>
      </c>
      <c r="D103" s="849" t="s">
        <v>1438</v>
      </c>
      <c r="E103" s="849" t="s">
        <v>768</v>
      </c>
      <c r="F103" s="849" t="s">
        <v>1200</v>
      </c>
      <c r="G103" s="849">
        <v>1268.71</v>
      </c>
      <c r="H103" s="849">
        <v>2489.42</v>
      </c>
      <c r="I103" s="849">
        <v>3691.56</v>
      </c>
      <c r="J103" s="849">
        <v>5429.44</v>
      </c>
      <c r="K103" s="849">
        <v>6550.82</v>
      </c>
      <c r="L103" s="849">
        <v>7734.65</v>
      </c>
      <c r="M103" s="849">
        <v>8730.37</v>
      </c>
      <c r="N103" s="849">
        <v>9530.85</v>
      </c>
      <c r="O103" s="849">
        <v>10296.13</v>
      </c>
      <c r="P103" s="849">
        <v>10380.83</v>
      </c>
      <c r="Q103" s="849">
        <v>0.0</v>
      </c>
      <c r="R103" s="849">
        <v>0.0</v>
      </c>
      <c r="S103" s="849">
        <v>1144.01</v>
      </c>
      <c r="T103" s="849">
        <v>1144.01</v>
      </c>
      <c r="U103" s="849">
        <v>0.0</v>
      </c>
      <c r="V103" s="849">
        <v>0.0</v>
      </c>
      <c r="W103" s="849">
        <v>0.0</v>
      </c>
      <c r="X103" s="849">
        <v>0.0</v>
      </c>
      <c r="Y103" s="849">
        <v>0.0</v>
      </c>
      <c r="Z103" s="849">
        <v>0.0</v>
      </c>
      <c r="AA103" s="849">
        <v>0.0</v>
      </c>
      <c r="AB103" s="849">
        <v>0.0</v>
      </c>
      <c r="AC103" s="849">
        <v>0.0</v>
      </c>
      <c r="AD103" s="849">
        <v>0.0</v>
      </c>
      <c r="AE103" s="849">
        <v>0.0</v>
      </c>
      <c r="AF103" s="849">
        <v>0.0</v>
      </c>
      <c r="AG103" s="849">
        <v>0.0</v>
      </c>
      <c r="AH103" s="849">
        <v>0.0</v>
      </c>
      <c r="AI103" s="849">
        <v>0.0</v>
      </c>
      <c r="AJ103" s="794" t="str">
        <f t="shared" ref="AJ103:AK103" si="203">C103</f>
        <v>G0332</v>
      </c>
      <c r="AK103" s="794" t="str">
        <f t="shared" si="203"/>
        <v>FRAIS POSTE-TRANSP.USAGE</v>
      </c>
      <c r="AL103" s="794">
        <f t="array" ref="AL103">IFERROR(INDEX(G103:R103,1,MATCH(Parametres!$B$3,G$1:R$1,0)-1)*IF(OR(F103="L",F103="S",F103="I"),-1,1),"")</f>
        <v>9530.85</v>
      </c>
      <c r="AM103" s="794">
        <f t="shared" si="4"/>
        <v>765.28</v>
      </c>
      <c r="AN103" s="794">
        <f t="array" ref="AN103">INDEX(G103:R103,1,MATCH(Parametres!$B$3,G$1:R$1,0))*IF(OR(F103="L",F103="S",F103="I"),-1,1)</f>
        <v>10296.13</v>
      </c>
      <c r="AO103" s="853" t="str">
        <f>+VLOOKUP($AJ103,Data_Validation!$A:$D,1,0)</f>
        <v>G0332</v>
      </c>
      <c r="AP103" s="853" t="str">
        <f>+VLOOKUP($AJ103,Data_Validation!$A:$D,3,0)</f>
        <v>Véhicules usagés</v>
      </c>
      <c r="AQ103" s="853" t="str">
        <f>+VLOOKUP($AJ103,Data_Validation!$A:$D,4,0)</f>
        <v>Frais postaux</v>
      </c>
      <c r="AR103" s="853" t="s">
        <v>728</v>
      </c>
      <c r="AS103" s="853" t="str">
        <f>+VLOOKUP($AJ103,Data_Validation!$A:$E,5,0)</f>
        <v/>
      </c>
      <c r="AT103" s="794" t="str">
        <f t="shared" ref="AT103:AU103" si="204">C103</f>
        <v>G0332</v>
      </c>
      <c r="AU103" s="854" t="str">
        <f t="shared" si="204"/>
        <v>FRAIS POSTE-TRANSP.USAGE</v>
      </c>
      <c r="AV103" s="794">
        <f t="array" ref="AV103">IFERROR(INDEX(V103:AG103,1,MATCH(Parametres!$B$3,V$1:AG$1,0)-1)*IF(OR(C103="L",C103="S",C103="I"),-1,1),"")</f>
        <v>0</v>
      </c>
      <c r="AW103" s="794">
        <f t="shared" si="6"/>
        <v>0</v>
      </c>
      <c r="AX103" s="794">
        <f t="array" ref="AX103">INDEX(V103:AG103,1,MATCH(Parametres!$B$3,V$1:AG$1,0))*IF(OR(C103="L",C103="S",C103="I"),-1,1)</f>
        <v>0</v>
      </c>
      <c r="AY103" s="853" t="s">
        <v>772</v>
      </c>
      <c r="AZ103" s="853" t="str">
        <f>+VLOOKUP($AJ103,Data_Validation!$A:$E,5,0)</f>
        <v/>
      </c>
    </row>
    <row r="104" ht="15.0" customHeight="1">
      <c r="A104" s="849" t="s">
        <v>1239</v>
      </c>
      <c r="B104" s="849">
        <v>2026.0</v>
      </c>
      <c r="C104" s="849" t="s">
        <v>1439</v>
      </c>
      <c r="D104" s="849" t="s">
        <v>1440</v>
      </c>
      <c r="E104" s="849" t="s">
        <v>768</v>
      </c>
      <c r="F104" s="849" t="s">
        <v>1200</v>
      </c>
      <c r="G104" s="849">
        <v>512.55</v>
      </c>
      <c r="H104" s="849">
        <v>1028.97</v>
      </c>
      <c r="I104" s="849">
        <v>1600.4</v>
      </c>
      <c r="J104" s="849">
        <v>1978.6</v>
      </c>
      <c r="K104" s="849">
        <v>2904.26</v>
      </c>
      <c r="L104" s="849">
        <v>3827.21</v>
      </c>
      <c r="M104" s="849">
        <v>4224.8</v>
      </c>
      <c r="N104" s="849">
        <v>4582.07</v>
      </c>
      <c r="O104" s="849">
        <v>4601.07</v>
      </c>
      <c r="P104" s="849">
        <v>4628.94</v>
      </c>
      <c r="Q104" s="849">
        <v>0.0</v>
      </c>
      <c r="R104" s="849">
        <v>0.0</v>
      </c>
      <c r="S104" s="849">
        <v>511.23</v>
      </c>
      <c r="T104" s="849">
        <v>511.23</v>
      </c>
      <c r="U104" s="849">
        <v>0.0</v>
      </c>
      <c r="V104" s="849">
        <v>0.0</v>
      </c>
      <c r="W104" s="849">
        <v>0.0</v>
      </c>
      <c r="X104" s="849">
        <v>0.0</v>
      </c>
      <c r="Y104" s="849">
        <v>0.0</v>
      </c>
      <c r="Z104" s="849">
        <v>0.0</v>
      </c>
      <c r="AA104" s="849">
        <v>0.0</v>
      </c>
      <c r="AB104" s="849">
        <v>0.0</v>
      </c>
      <c r="AC104" s="849">
        <v>0.0</v>
      </c>
      <c r="AD104" s="849">
        <v>0.0</v>
      </c>
      <c r="AE104" s="849">
        <v>0.0</v>
      </c>
      <c r="AF104" s="849">
        <v>0.0</v>
      </c>
      <c r="AG104" s="849">
        <v>0.0</v>
      </c>
      <c r="AH104" s="849">
        <v>0.0</v>
      </c>
      <c r="AI104" s="849">
        <v>0.0</v>
      </c>
      <c r="AJ104" s="794" t="str">
        <f t="shared" ref="AJ104:AK104" si="205">C104</f>
        <v>G0333</v>
      </c>
      <c r="AK104" s="794" t="str">
        <f t="shared" si="205"/>
        <v>FRAIS POSTE-TRANSP U.S.A</v>
      </c>
      <c r="AL104" s="794">
        <f t="array" ref="AL104">IFERROR(INDEX(G104:R104,1,MATCH(Parametres!$B$3,G$1:R$1,0)-1)*IF(OR(F104="L",F104="S",F104="I"),-1,1),"")</f>
        <v>4582.07</v>
      </c>
      <c r="AM104" s="794">
        <f t="shared" si="4"/>
        <v>19</v>
      </c>
      <c r="AN104" s="794">
        <f t="array" ref="AN104">INDEX(G104:R104,1,MATCH(Parametres!$B$3,G$1:R$1,0))*IF(OR(F104="L",F104="S",F104="I"),-1,1)</f>
        <v>4601.07</v>
      </c>
      <c r="AO104" s="853" t="str">
        <f>+VLOOKUP($AJ104,Data_Validation!$A:$D,1,0)</f>
        <v>G0333</v>
      </c>
      <c r="AP104" s="853" t="str">
        <f>+VLOOKUP($AJ104,Data_Validation!$A:$D,3,0)</f>
        <v>Wholesale autres</v>
      </c>
      <c r="AQ104" s="853" t="str">
        <f>+VLOOKUP($AJ104,Data_Validation!$A:$D,4,0)</f>
        <v>Frais postaux</v>
      </c>
      <c r="AR104" s="853" t="s">
        <v>728</v>
      </c>
      <c r="AS104" s="853" t="str">
        <f>+VLOOKUP($AJ104,Data_Validation!$A:$E,5,0)</f>
        <v/>
      </c>
      <c r="AT104" s="794" t="str">
        <f t="shared" ref="AT104:AU104" si="206">C104</f>
        <v>G0333</v>
      </c>
      <c r="AU104" s="854" t="str">
        <f t="shared" si="206"/>
        <v>FRAIS POSTE-TRANSP U.S.A</v>
      </c>
      <c r="AV104" s="794">
        <f t="array" ref="AV104">IFERROR(INDEX(V104:AG104,1,MATCH(Parametres!$B$3,V$1:AG$1,0)-1)*IF(OR(C104="L",C104="S",C104="I"),-1,1),"")</f>
        <v>0</v>
      </c>
      <c r="AW104" s="794">
        <f t="shared" si="6"/>
        <v>0</v>
      </c>
      <c r="AX104" s="794">
        <f t="array" ref="AX104">INDEX(V104:AG104,1,MATCH(Parametres!$B$3,V$1:AG$1,0))*IF(OR(C104="L",C104="S",C104="I"),-1,1)</f>
        <v>0</v>
      </c>
      <c r="AY104" s="853" t="s">
        <v>772</v>
      </c>
      <c r="AZ104" s="853" t="str">
        <f>+VLOOKUP($AJ104,Data_Validation!$A:$E,5,0)</f>
        <v/>
      </c>
    </row>
    <row r="105" ht="15.0" customHeight="1">
      <c r="A105" s="849" t="s">
        <v>1239</v>
      </c>
      <c r="B105" s="849">
        <v>2026.0</v>
      </c>
      <c r="C105" s="849" t="s">
        <v>1441</v>
      </c>
      <c r="D105" s="849" t="s">
        <v>1442</v>
      </c>
      <c r="E105" s="849" t="s">
        <v>768</v>
      </c>
      <c r="F105" s="849" t="s">
        <v>1200</v>
      </c>
      <c r="G105" s="849">
        <v>1129.03</v>
      </c>
      <c r="H105" s="849">
        <v>2476.72</v>
      </c>
      <c r="I105" s="849">
        <v>3970.52</v>
      </c>
      <c r="J105" s="849">
        <v>5740.07</v>
      </c>
      <c r="K105" s="849">
        <v>6732.45</v>
      </c>
      <c r="L105" s="849">
        <v>8016.67</v>
      </c>
      <c r="M105" s="849">
        <v>8913.84</v>
      </c>
      <c r="N105" s="849">
        <v>9216.24</v>
      </c>
      <c r="O105" s="849">
        <v>9718.14</v>
      </c>
      <c r="P105" s="849">
        <v>9845.19</v>
      </c>
      <c r="Q105" s="849">
        <v>0.0</v>
      </c>
      <c r="R105" s="849">
        <v>0.0</v>
      </c>
      <c r="S105" s="849">
        <v>1079.79</v>
      </c>
      <c r="T105" s="849">
        <v>1079.79</v>
      </c>
      <c r="U105" s="849">
        <v>0.0</v>
      </c>
      <c r="V105" s="849">
        <v>0.0</v>
      </c>
      <c r="W105" s="849">
        <v>0.0</v>
      </c>
      <c r="X105" s="849">
        <v>0.0</v>
      </c>
      <c r="Y105" s="849">
        <v>0.0</v>
      </c>
      <c r="Z105" s="849">
        <v>0.0</v>
      </c>
      <c r="AA105" s="849">
        <v>0.0</v>
      </c>
      <c r="AB105" s="849">
        <v>0.0</v>
      </c>
      <c r="AC105" s="849">
        <v>0.0</v>
      </c>
      <c r="AD105" s="849">
        <v>0.0</v>
      </c>
      <c r="AE105" s="849">
        <v>0.0</v>
      </c>
      <c r="AF105" s="849">
        <v>0.0</v>
      </c>
      <c r="AG105" s="849">
        <v>0.0</v>
      </c>
      <c r="AH105" s="849">
        <v>0.0</v>
      </c>
      <c r="AI105" s="849">
        <v>0.0</v>
      </c>
      <c r="AJ105" s="794" t="str">
        <f t="shared" ref="AJ105:AK105" si="207">C105</f>
        <v>G0334</v>
      </c>
      <c r="AK105" s="794" t="str">
        <f t="shared" si="207"/>
        <v>FRAIS POSTE-TRANSP.SER.</v>
      </c>
      <c r="AL105" s="794">
        <f t="array" ref="AL105">IFERROR(INDEX(G105:R105,1,MATCH(Parametres!$B$3,G$1:R$1,0)-1)*IF(OR(F105="L",F105="S",F105="I"),-1,1),"")</f>
        <v>9216.24</v>
      </c>
      <c r="AM105" s="794">
        <f t="shared" si="4"/>
        <v>501.9</v>
      </c>
      <c r="AN105" s="794">
        <f t="array" ref="AN105">INDEX(G105:R105,1,MATCH(Parametres!$B$3,G$1:R$1,0))*IF(OR(F105="L",F105="S",F105="I"),-1,1)</f>
        <v>9718.14</v>
      </c>
      <c r="AO105" s="853" t="str">
        <f>+VLOOKUP($AJ105,Data_Validation!$A:$D,1,0)</f>
        <v>G0334</v>
      </c>
      <c r="AP105" s="853" t="str">
        <f>+VLOOKUP($AJ105,Data_Validation!$A:$D,3,0)</f>
        <v>Service</v>
      </c>
      <c r="AQ105" s="853" t="str">
        <f>+VLOOKUP($AJ105,Data_Validation!$A:$D,4,0)</f>
        <v>Frais postaux</v>
      </c>
      <c r="AR105" s="853" t="s">
        <v>728</v>
      </c>
      <c r="AS105" s="853" t="str">
        <f>+VLOOKUP($AJ105,Data_Validation!$A:$E,5,0)</f>
        <v/>
      </c>
      <c r="AT105" s="794" t="str">
        <f t="shared" ref="AT105:AU105" si="208">C105</f>
        <v>G0334</v>
      </c>
      <c r="AU105" s="854" t="str">
        <f t="shared" si="208"/>
        <v>FRAIS POSTE-TRANSP.SER.</v>
      </c>
      <c r="AV105" s="794">
        <f t="array" ref="AV105">IFERROR(INDEX(V105:AG105,1,MATCH(Parametres!$B$3,V$1:AG$1,0)-1)*IF(OR(C105="L",C105="S",C105="I"),-1,1),"")</f>
        <v>0</v>
      </c>
      <c r="AW105" s="794">
        <f t="shared" si="6"/>
        <v>0</v>
      </c>
      <c r="AX105" s="794">
        <f t="array" ref="AX105">INDEX(V105:AG105,1,MATCH(Parametres!$B$3,V$1:AG$1,0))*IF(OR(C105="L",C105="S",C105="I"),-1,1)</f>
        <v>0</v>
      </c>
      <c r="AY105" s="853" t="s">
        <v>772</v>
      </c>
      <c r="AZ105" s="853" t="str">
        <f>+VLOOKUP($AJ105,Data_Validation!$A:$E,5,0)</f>
        <v/>
      </c>
    </row>
    <row r="106" ht="15.0" customHeight="1">
      <c r="A106" s="849" t="s">
        <v>1239</v>
      </c>
      <c r="B106" s="849">
        <v>2026.0</v>
      </c>
      <c r="C106" s="849" t="s">
        <v>1443</v>
      </c>
      <c r="D106" s="849" t="s">
        <v>1444</v>
      </c>
      <c r="E106" s="849" t="s">
        <v>768</v>
      </c>
      <c r="F106" s="849" t="s">
        <v>1200</v>
      </c>
      <c r="G106" s="849">
        <v>372.45</v>
      </c>
      <c r="H106" s="849">
        <v>821.69</v>
      </c>
      <c r="I106" s="849">
        <v>1319.63</v>
      </c>
      <c r="J106" s="849">
        <v>1909.48</v>
      </c>
      <c r="K106" s="849">
        <v>2231.59</v>
      </c>
      <c r="L106" s="849">
        <v>2659.67</v>
      </c>
      <c r="M106" s="849">
        <v>2953.67</v>
      </c>
      <c r="N106" s="849">
        <v>3054.47</v>
      </c>
      <c r="O106" s="849">
        <v>3221.77</v>
      </c>
      <c r="P106" s="849">
        <v>3264.12</v>
      </c>
      <c r="Q106" s="849">
        <v>0.0</v>
      </c>
      <c r="R106" s="849">
        <v>0.0</v>
      </c>
      <c r="S106" s="849">
        <v>357.97</v>
      </c>
      <c r="T106" s="849">
        <v>357.97</v>
      </c>
      <c r="U106" s="849">
        <v>0.0</v>
      </c>
      <c r="V106" s="849">
        <v>0.0</v>
      </c>
      <c r="W106" s="849">
        <v>0.0</v>
      </c>
      <c r="X106" s="849">
        <v>0.0</v>
      </c>
      <c r="Y106" s="849">
        <v>0.0</v>
      </c>
      <c r="Z106" s="849">
        <v>0.0</v>
      </c>
      <c r="AA106" s="849">
        <v>0.0</v>
      </c>
      <c r="AB106" s="849">
        <v>0.0</v>
      </c>
      <c r="AC106" s="849">
        <v>0.0</v>
      </c>
      <c r="AD106" s="849">
        <v>0.0</v>
      </c>
      <c r="AE106" s="849">
        <v>0.0</v>
      </c>
      <c r="AF106" s="849">
        <v>0.0</v>
      </c>
      <c r="AG106" s="849">
        <v>0.0</v>
      </c>
      <c r="AH106" s="849">
        <v>0.0</v>
      </c>
      <c r="AI106" s="849">
        <v>0.0</v>
      </c>
      <c r="AJ106" s="794" t="str">
        <f t="shared" ref="AJ106:AK106" si="209">C106</f>
        <v>G0335</v>
      </c>
      <c r="AK106" s="794" t="str">
        <f t="shared" si="209"/>
        <v>FRAIS POSTE-TRANSP. CARR.</v>
      </c>
      <c r="AL106" s="794">
        <f t="array" ref="AL106">IFERROR(INDEX(G106:R106,1,MATCH(Parametres!$B$3,G$1:R$1,0)-1)*IF(OR(F106="L",F106="S",F106="I"),-1,1),"")</f>
        <v>3054.47</v>
      </c>
      <c r="AM106" s="794">
        <f t="shared" si="4"/>
        <v>167.3</v>
      </c>
      <c r="AN106" s="794">
        <f t="array" ref="AN106">INDEX(G106:R106,1,MATCH(Parametres!$B$3,G$1:R$1,0))*IF(OR(F106="L",F106="S",F106="I"),-1,1)</f>
        <v>3221.77</v>
      </c>
      <c r="AO106" s="853" t="str">
        <f>+VLOOKUP($AJ106,Data_Validation!$A:$D,1,0)</f>
        <v>G0335</v>
      </c>
      <c r="AP106" s="853" t="str">
        <f>+VLOOKUP($AJ106,Data_Validation!$A:$D,3,0)</f>
        <v>Carrosserie</v>
      </c>
      <c r="AQ106" s="853" t="str">
        <f>+VLOOKUP($AJ106,Data_Validation!$A:$D,4,0)</f>
        <v>Frais postaux</v>
      </c>
      <c r="AR106" s="853" t="s">
        <v>728</v>
      </c>
      <c r="AS106" s="853" t="str">
        <f>+VLOOKUP($AJ106,Data_Validation!$A:$E,5,0)</f>
        <v/>
      </c>
      <c r="AT106" s="794" t="str">
        <f t="shared" ref="AT106:AU106" si="210">C106</f>
        <v>G0335</v>
      </c>
      <c r="AU106" s="854" t="str">
        <f t="shared" si="210"/>
        <v>FRAIS POSTE-TRANSP. CARR.</v>
      </c>
      <c r="AV106" s="794">
        <f t="array" ref="AV106">IFERROR(INDEX(V106:AG106,1,MATCH(Parametres!$B$3,V$1:AG$1,0)-1)*IF(OR(C106="L",C106="S",C106="I"),-1,1),"")</f>
        <v>0</v>
      </c>
      <c r="AW106" s="794">
        <f t="shared" si="6"/>
        <v>0</v>
      </c>
      <c r="AX106" s="794">
        <f t="array" ref="AX106">INDEX(V106:AG106,1,MATCH(Parametres!$B$3,V$1:AG$1,0))*IF(OR(C106="L",C106="S",C106="I"),-1,1)</f>
        <v>0</v>
      </c>
      <c r="AY106" s="853" t="s">
        <v>772</v>
      </c>
      <c r="AZ106" s="853" t="str">
        <f>+VLOOKUP($AJ106,Data_Validation!$A:$E,5,0)</f>
        <v/>
      </c>
    </row>
    <row r="107" ht="15.0" customHeight="1">
      <c r="A107" s="849" t="s">
        <v>1239</v>
      </c>
      <c r="B107" s="849">
        <v>2026.0</v>
      </c>
      <c r="C107" s="849" t="s">
        <v>1445</v>
      </c>
      <c r="D107" s="849" t="s">
        <v>1446</v>
      </c>
      <c r="E107" s="849" t="s">
        <v>768</v>
      </c>
      <c r="F107" s="849" t="s">
        <v>1200</v>
      </c>
      <c r="G107" s="849">
        <v>1132.83</v>
      </c>
      <c r="H107" s="849">
        <v>3424.82</v>
      </c>
      <c r="I107" s="849">
        <v>3887.29</v>
      </c>
      <c r="J107" s="849">
        <v>4593.36</v>
      </c>
      <c r="K107" s="849">
        <v>5759.9</v>
      </c>
      <c r="L107" s="849">
        <v>6441.54</v>
      </c>
      <c r="M107" s="849">
        <v>7680.9</v>
      </c>
      <c r="N107" s="849">
        <v>8491.38</v>
      </c>
      <c r="O107" s="849">
        <v>9439.5</v>
      </c>
      <c r="P107" s="849">
        <v>9760.27</v>
      </c>
      <c r="Q107" s="849">
        <v>0.0</v>
      </c>
      <c r="R107" s="849">
        <v>0.0</v>
      </c>
      <c r="S107" s="849">
        <v>1048.83</v>
      </c>
      <c r="T107" s="849">
        <v>1048.83</v>
      </c>
      <c r="U107" s="849">
        <v>0.0</v>
      </c>
      <c r="V107" s="849">
        <v>0.0</v>
      </c>
      <c r="W107" s="849">
        <v>0.0</v>
      </c>
      <c r="X107" s="849">
        <v>0.0</v>
      </c>
      <c r="Y107" s="849">
        <v>0.0</v>
      </c>
      <c r="Z107" s="849">
        <v>0.0</v>
      </c>
      <c r="AA107" s="849">
        <v>0.0</v>
      </c>
      <c r="AB107" s="849">
        <v>0.0</v>
      </c>
      <c r="AC107" s="849">
        <v>0.0</v>
      </c>
      <c r="AD107" s="849">
        <v>0.0</v>
      </c>
      <c r="AE107" s="849">
        <v>0.0</v>
      </c>
      <c r="AF107" s="849">
        <v>0.0</v>
      </c>
      <c r="AG107" s="849">
        <v>0.0</v>
      </c>
      <c r="AH107" s="849">
        <v>0.0</v>
      </c>
      <c r="AI107" s="849">
        <v>0.0</v>
      </c>
      <c r="AJ107" s="794" t="str">
        <f t="shared" ref="AJ107:AK107" si="211">C107</f>
        <v>G0336</v>
      </c>
      <c r="AK107" s="794" t="str">
        <f t="shared" si="211"/>
        <v>FRAIS POSTE-TRANSP PIECE</v>
      </c>
      <c r="AL107" s="794">
        <f t="array" ref="AL107">IFERROR(INDEX(G107:R107,1,MATCH(Parametres!$B$3,G$1:R$1,0)-1)*IF(OR(F107="L",F107="S",F107="I"),-1,1),"")</f>
        <v>8491.38</v>
      </c>
      <c r="AM107" s="794">
        <f t="shared" si="4"/>
        <v>948.12</v>
      </c>
      <c r="AN107" s="794">
        <f t="array" ref="AN107">INDEX(G107:R107,1,MATCH(Parametres!$B$3,G$1:R$1,0))*IF(OR(F107="L",F107="S",F107="I"),-1,1)</f>
        <v>9439.5</v>
      </c>
      <c r="AO107" s="853" t="str">
        <f>+VLOOKUP($AJ107,Data_Validation!$A:$D,1,0)</f>
        <v>G0336</v>
      </c>
      <c r="AP107" s="853" t="str">
        <f>+VLOOKUP($AJ107,Data_Validation!$A:$D,3,0)</f>
        <v>Pièces</v>
      </c>
      <c r="AQ107" s="853" t="str">
        <f>+VLOOKUP($AJ107,Data_Validation!$A:$D,4,0)</f>
        <v>Frais postaux</v>
      </c>
      <c r="AR107" s="853" t="s">
        <v>728</v>
      </c>
      <c r="AS107" s="853" t="str">
        <f>+VLOOKUP($AJ107,Data_Validation!$A:$E,5,0)</f>
        <v/>
      </c>
      <c r="AT107" s="794" t="str">
        <f t="shared" ref="AT107:AU107" si="212">C107</f>
        <v>G0336</v>
      </c>
      <c r="AU107" s="854" t="str">
        <f t="shared" si="212"/>
        <v>FRAIS POSTE-TRANSP PIECE</v>
      </c>
      <c r="AV107" s="794">
        <f t="array" ref="AV107">IFERROR(INDEX(V107:AG107,1,MATCH(Parametres!$B$3,V$1:AG$1,0)-1)*IF(OR(C107="L",C107="S",C107="I"),-1,1),"")</f>
        <v>0</v>
      </c>
      <c r="AW107" s="794">
        <f t="shared" si="6"/>
        <v>0</v>
      </c>
      <c r="AX107" s="794">
        <f t="array" ref="AX107">INDEX(V107:AG107,1,MATCH(Parametres!$B$3,V$1:AG$1,0))*IF(OR(C107="L",C107="S",C107="I"),-1,1)</f>
        <v>0</v>
      </c>
      <c r="AY107" s="853" t="s">
        <v>772</v>
      </c>
      <c r="AZ107" s="853" t="str">
        <f>+VLOOKUP($AJ107,Data_Validation!$A:$E,5,0)</f>
        <v/>
      </c>
    </row>
    <row r="108" ht="15.0" customHeight="1">
      <c r="A108" s="849" t="s">
        <v>1239</v>
      </c>
      <c r="B108" s="849">
        <v>2026.0</v>
      </c>
      <c r="C108" s="849" t="s">
        <v>1447</v>
      </c>
      <c r="D108" s="849" t="s">
        <v>1448</v>
      </c>
      <c r="E108" s="849" t="s">
        <v>768</v>
      </c>
      <c r="F108" s="849" t="s">
        <v>1200</v>
      </c>
      <c r="G108" s="849">
        <v>0.0</v>
      </c>
      <c r="H108" s="849">
        <v>0.0</v>
      </c>
      <c r="I108" s="849">
        <v>0.0</v>
      </c>
      <c r="J108" s="849">
        <v>0.0</v>
      </c>
      <c r="K108" s="849">
        <v>0.0</v>
      </c>
      <c r="L108" s="849">
        <v>0.0</v>
      </c>
      <c r="M108" s="849">
        <v>0.0</v>
      </c>
      <c r="N108" s="849">
        <v>0.0</v>
      </c>
      <c r="O108" s="849">
        <v>0.0</v>
      </c>
      <c r="P108" s="849">
        <v>0.0</v>
      </c>
      <c r="Q108" s="849">
        <v>0.0</v>
      </c>
      <c r="R108" s="849">
        <v>0.0</v>
      </c>
      <c r="S108" s="849">
        <v>0.0</v>
      </c>
      <c r="T108" s="849">
        <v>0.0</v>
      </c>
      <c r="U108" s="849">
        <v>0.0</v>
      </c>
      <c r="V108" s="849">
        <v>0.0</v>
      </c>
      <c r="W108" s="849">
        <v>0.0</v>
      </c>
      <c r="X108" s="849">
        <v>0.0</v>
      </c>
      <c r="Y108" s="849">
        <v>0.0</v>
      </c>
      <c r="Z108" s="849">
        <v>0.0</v>
      </c>
      <c r="AA108" s="849">
        <v>0.0</v>
      </c>
      <c r="AB108" s="849">
        <v>0.0</v>
      </c>
      <c r="AC108" s="849">
        <v>0.0</v>
      </c>
      <c r="AD108" s="849">
        <v>0.0</v>
      </c>
      <c r="AE108" s="849">
        <v>0.0</v>
      </c>
      <c r="AF108" s="849">
        <v>0.0</v>
      </c>
      <c r="AG108" s="849">
        <v>0.0</v>
      </c>
      <c r="AH108" s="849">
        <v>0.0</v>
      </c>
      <c r="AI108" s="849">
        <v>0.0</v>
      </c>
      <c r="AJ108" s="794" t="str">
        <f t="shared" ref="AJ108:AK108" si="213">C108</f>
        <v>G0510</v>
      </c>
      <c r="AK108" s="794" t="str">
        <f t="shared" si="213"/>
        <v>ENT. DEMOS REP.</v>
      </c>
      <c r="AL108" s="794">
        <f t="array" ref="AL108">IFERROR(INDEX(G108:R108,1,MATCH(Parametres!$B$3,G$1:R$1,0)-1)*IF(OR(F108="L",F108="S",F108="I"),-1,1),"")</f>
        <v>0</v>
      </c>
      <c r="AM108" s="794">
        <f t="shared" si="4"/>
        <v>0</v>
      </c>
      <c r="AN108" s="794">
        <f t="array" ref="AN108">INDEX(G108:R108,1,MATCH(Parametres!$B$3,G$1:R$1,0))*IF(OR(F108="L",F108="S",F108="I"),-1,1)</f>
        <v>0</v>
      </c>
      <c r="AO108" s="853" t="str">
        <f>+VLOOKUP($AJ108,Data_Validation!$A:$D,1,0)</f>
        <v>#N/A</v>
      </c>
      <c r="AP108" s="853" t="str">
        <f>+VLOOKUP($AJ108,Data_Validation!$A:$D,3,0)</f>
        <v>#N/A</v>
      </c>
      <c r="AQ108" s="853" t="str">
        <f>+VLOOKUP($AJ108,Data_Validation!$A:$D,4,0)</f>
        <v>#N/A</v>
      </c>
      <c r="AR108" s="853" t="s">
        <v>728</v>
      </c>
      <c r="AS108" s="853" t="str">
        <f>+VLOOKUP($AJ108,Data_Validation!$A:$E,5,0)</f>
        <v>#N/A</v>
      </c>
      <c r="AT108" s="794" t="str">
        <f t="shared" ref="AT108:AU108" si="214">C108</f>
        <v>G0510</v>
      </c>
      <c r="AU108" s="854" t="str">
        <f t="shared" si="214"/>
        <v>ENT. DEMOS REP.</v>
      </c>
      <c r="AV108" s="794">
        <f t="array" ref="AV108">IFERROR(INDEX(V108:AG108,1,MATCH(Parametres!$B$3,V$1:AG$1,0)-1)*IF(OR(C108="L",C108="S",C108="I"),-1,1),"")</f>
        <v>0</v>
      </c>
      <c r="AW108" s="794">
        <f t="shared" si="6"/>
        <v>0</v>
      </c>
      <c r="AX108" s="794">
        <f t="array" ref="AX108">INDEX(V108:AG108,1,MATCH(Parametres!$B$3,V$1:AG$1,0))*IF(OR(C108="L",C108="S",C108="I"),-1,1)</f>
        <v>0</v>
      </c>
      <c r="AY108" s="853" t="s">
        <v>772</v>
      </c>
      <c r="AZ108" s="853" t="str">
        <f>+VLOOKUP($AJ108,Data_Validation!$A:$E,5,0)</f>
        <v>#N/A</v>
      </c>
    </row>
    <row r="109" ht="15.75" customHeight="1">
      <c r="A109" s="849" t="s">
        <v>1239</v>
      </c>
      <c r="B109" s="849">
        <v>2026.0</v>
      </c>
      <c r="C109" s="849" t="s">
        <v>1449</v>
      </c>
      <c r="D109" s="849" t="s">
        <v>1450</v>
      </c>
      <c r="E109" s="849" t="s">
        <v>768</v>
      </c>
      <c r="F109" s="849" t="s">
        <v>1200</v>
      </c>
      <c r="G109" s="849">
        <v>11766.67</v>
      </c>
      <c r="H109" s="849">
        <v>16518.5</v>
      </c>
      <c r="I109" s="849">
        <v>41175.01</v>
      </c>
      <c r="J109" s="849">
        <v>53701.45</v>
      </c>
      <c r="K109" s="849">
        <v>65381.07</v>
      </c>
      <c r="L109" s="849">
        <v>72841.99</v>
      </c>
      <c r="M109" s="849">
        <v>77531.37</v>
      </c>
      <c r="N109" s="849">
        <v>83024.46</v>
      </c>
      <c r="O109" s="849">
        <v>89956.36</v>
      </c>
      <c r="P109" s="849">
        <v>90040.11</v>
      </c>
      <c r="Q109" s="849">
        <v>0.0</v>
      </c>
      <c r="R109" s="849">
        <v>0.0</v>
      </c>
      <c r="S109" s="849">
        <v>9995.15</v>
      </c>
      <c r="T109" s="849">
        <v>9995.15</v>
      </c>
      <c r="U109" s="849">
        <v>0.0</v>
      </c>
      <c r="V109" s="849">
        <v>0.0</v>
      </c>
      <c r="W109" s="849">
        <v>0.0</v>
      </c>
      <c r="X109" s="849">
        <v>0.0</v>
      </c>
      <c r="Y109" s="849">
        <v>0.0</v>
      </c>
      <c r="Z109" s="849">
        <v>0.0</v>
      </c>
      <c r="AA109" s="849">
        <v>0.0</v>
      </c>
      <c r="AB109" s="849">
        <v>0.0</v>
      </c>
      <c r="AC109" s="849">
        <v>0.0</v>
      </c>
      <c r="AD109" s="849">
        <v>0.0</v>
      </c>
      <c r="AE109" s="849">
        <v>0.0</v>
      </c>
      <c r="AF109" s="849">
        <v>0.0</v>
      </c>
      <c r="AG109" s="849">
        <v>0.0</v>
      </c>
      <c r="AH109" s="849">
        <v>0.0</v>
      </c>
      <c r="AI109" s="849">
        <v>0.0</v>
      </c>
      <c r="AJ109" s="794" t="str">
        <f t="shared" ref="AJ109:AK109" si="215">C109</f>
        <v>G0511</v>
      </c>
      <c r="AK109" s="794" t="str">
        <f t="shared" si="215"/>
        <v>ENT. DEMOS NEUFS</v>
      </c>
      <c r="AL109" s="794">
        <f t="array" ref="AL109">IFERROR(INDEX(G109:R109,1,MATCH(Parametres!$B$3,G$1:R$1,0)-1)*IF(OR(F109="L",F109="S",F109="I"),-1,1),"")</f>
        <v>83024.46</v>
      </c>
      <c r="AM109" s="794">
        <f t="shared" si="4"/>
        <v>6931.9</v>
      </c>
      <c r="AN109" s="794">
        <f t="array" ref="AN109">INDEX(G109:R109,1,MATCH(Parametres!$B$3,G$1:R$1,0))*IF(OR(F109="L",F109="S",F109="I"),-1,1)</f>
        <v>89956.36</v>
      </c>
      <c r="AO109" s="853" t="str">
        <f>+VLOOKUP($AJ109,Data_Validation!$A:$D,1,0)</f>
        <v>G0511</v>
      </c>
      <c r="AP109" s="853" t="str">
        <f>+VLOOKUP($AJ109,Data_Validation!$A:$D,3,0)</f>
        <v>Véhicules neufs</v>
      </c>
      <c r="AQ109" s="853" t="str">
        <f>+VLOOKUP($AJ109,Data_Validation!$A:$D,4,0)</f>
        <v>Frais véhicules de cie</v>
      </c>
      <c r="AR109" s="853" t="s">
        <v>728</v>
      </c>
      <c r="AS109" s="853" t="str">
        <f>+VLOOKUP($AJ109,Data_Validation!$A:$E,5,0)</f>
        <v/>
      </c>
      <c r="AT109" s="794" t="str">
        <f t="shared" ref="AT109:AU109" si="216">C109</f>
        <v>G0511</v>
      </c>
      <c r="AU109" s="854" t="str">
        <f t="shared" si="216"/>
        <v>ENT. DEMOS NEUFS</v>
      </c>
      <c r="AV109" s="794">
        <f t="array" ref="AV109">IFERROR(INDEX(V109:AG109,1,MATCH(Parametres!$B$3,V$1:AG$1,0)-1)*IF(OR(C109="L",C109="S",C109="I"),-1,1),"")</f>
        <v>0</v>
      </c>
      <c r="AW109" s="794">
        <f t="shared" si="6"/>
        <v>0</v>
      </c>
      <c r="AX109" s="794">
        <f t="array" ref="AX109">INDEX(V109:AG109,1,MATCH(Parametres!$B$3,V$1:AG$1,0))*IF(OR(C109="L",C109="S",C109="I"),-1,1)</f>
        <v>0</v>
      </c>
      <c r="AY109" s="853" t="s">
        <v>772</v>
      </c>
      <c r="AZ109" s="853" t="str">
        <f>+VLOOKUP($AJ109,Data_Validation!$A:$E,5,0)</f>
        <v/>
      </c>
    </row>
    <row r="110" ht="15.0" customHeight="1">
      <c r="A110" s="849" t="s">
        <v>1239</v>
      </c>
      <c r="B110" s="849">
        <v>2026.0</v>
      </c>
      <c r="C110" s="849" t="s">
        <v>1451</v>
      </c>
      <c r="D110" s="849" t="s">
        <v>1452</v>
      </c>
      <c r="E110" s="849" t="s">
        <v>768</v>
      </c>
      <c r="F110" s="849" t="s">
        <v>1200</v>
      </c>
      <c r="G110" s="849">
        <v>6842.33</v>
      </c>
      <c r="H110" s="849">
        <v>10841.44</v>
      </c>
      <c r="I110" s="849">
        <v>16733.94</v>
      </c>
      <c r="J110" s="849">
        <v>20966.05</v>
      </c>
      <c r="K110" s="849">
        <v>25188.49</v>
      </c>
      <c r="L110" s="849">
        <v>29507.18</v>
      </c>
      <c r="M110" s="849">
        <v>32618.76</v>
      </c>
      <c r="N110" s="849">
        <v>34217.79</v>
      </c>
      <c r="O110" s="849">
        <v>35964.92</v>
      </c>
      <c r="P110" s="849">
        <v>35964.92</v>
      </c>
      <c r="Q110" s="849">
        <v>0.0</v>
      </c>
      <c r="R110" s="849">
        <v>0.0</v>
      </c>
      <c r="S110" s="849">
        <v>3996.1</v>
      </c>
      <c r="T110" s="849">
        <v>3996.1</v>
      </c>
      <c r="U110" s="849">
        <v>0.0</v>
      </c>
      <c r="V110" s="849">
        <v>0.0</v>
      </c>
      <c r="W110" s="849">
        <v>0.0</v>
      </c>
      <c r="X110" s="849">
        <v>0.0</v>
      </c>
      <c r="Y110" s="849">
        <v>0.0</v>
      </c>
      <c r="Z110" s="849">
        <v>0.0</v>
      </c>
      <c r="AA110" s="849">
        <v>0.0</v>
      </c>
      <c r="AB110" s="849">
        <v>0.0</v>
      </c>
      <c r="AC110" s="849">
        <v>0.0</v>
      </c>
      <c r="AD110" s="849">
        <v>0.0</v>
      </c>
      <c r="AE110" s="849">
        <v>0.0</v>
      </c>
      <c r="AF110" s="849">
        <v>0.0</v>
      </c>
      <c r="AG110" s="849">
        <v>0.0</v>
      </c>
      <c r="AH110" s="849">
        <v>0.0</v>
      </c>
      <c r="AI110" s="849">
        <v>0.0</v>
      </c>
      <c r="AJ110" s="794" t="str">
        <f t="shared" ref="AJ110:AK110" si="217">C110</f>
        <v>G0512</v>
      </c>
      <c r="AK110" s="794" t="str">
        <f t="shared" si="217"/>
        <v>ENT. DEMOS USAGES</v>
      </c>
      <c r="AL110" s="794">
        <f t="array" ref="AL110">IFERROR(INDEX(G110:R110,1,MATCH(Parametres!$B$3,G$1:R$1,0)-1)*IF(OR(F110="L",F110="S",F110="I"),-1,1),"")</f>
        <v>34217.79</v>
      </c>
      <c r="AM110" s="794">
        <f t="shared" si="4"/>
        <v>1747.13</v>
      </c>
      <c r="AN110" s="794">
        <f t="array" ref="AN110">INDEX(G110:R110,1,MATCH(Parametres!$B$3,G$1:R$1,0))*IF(OR(F110="L",F110="S",F110="I"),-1,1)</f>
        <v>35964.92</v>
      </c>
      <c r="AO110" s="853" t="str">
        <f>+VLOOKUP($AJ110,Data_Validation!$A:$D,1,0)</f>
        <v>G0512</v>
      </c>
      <c r="AP110" s="853" t="str">
        <f>+VLOOKUP($AJ110,Data_Validation!$A:$D,3,0)</f>
        <v>Véhicules usagés</v>
      </c>
      <c r="AQ110" s="853" t="str">
        <f>+VLOOKUP($AJ110,Data_Validation!$A:$D,4,0)</f>
        <v>Frais véhicules de cie</v>
      </c>
      <c r="AR110" s="853" t="s">
        <v>728</v>
      </c>
      <c r="AS110" s="853" t="str">
        <f>+VLOOKUP($AJ110,Data_Validation!$A:$E,5,0)</f>
        <v/>
      </c>
      <c r="AT110" s="794" t="str">
        <f t="shared" ref="AT110:AU110" si="218">C110</f>
        <v>G0512</v>
      </c>
      <c r="AU110" s="854" t="str">
        <f t="shared" si="218"/>
        <v>ENT. DEMOS USAGES</v>
      </c>
      <c r="AV110" s="794">
        <f t="array" ref="AV110">IFERROR(INDEX(V110:AG110,1,MATCH(Parametres!$B$3,V$1:AG$1,0)-1)*IF(OR(C110="L",C110="S",C110="I"),-1,1),"")</f>
        <v>0</v>
      </c>
      <c r="AW110" s="794">
        <f t="shared" si="6"/>
        <v>0</v>
      </c>
      <c r="AX110" s="794">
        <f t="array" ref="AX110">INDEX(V110:AG110,1,MATCH(Parametres!$B$3,V$1:AG$1,0))*IF(OR(C110="L",C110="S",C110="I"),-1,1)</f>
        <v>0</v>
      </c>
      <c r="AY110" s="853" t="s">
        <v>772</v>
      </c>
      <c r="AZ110" s="853" t="str">
        <f>+VLOOKUP($AJ110,Data_Validation!$A:$E,5,0)</f>
        <v/>
      </c>
    </row>
    <row r="111" ht="15.0" customHeight="1">
      <c r="A111" s="849" t="s">
        <v>1239</v>
      </c>
      <c r="B111" s="849">
        <v>2026.0</v>
      </c>
      <c r="C111" s="849" t="s">
        <v>1453</v>
      </c>
      <c r="D111" s="849" t="s">
        <v>1454</v>
      </c>
      <c r="E111" s="849" t="s">
        <v>768</v>
      </c>
      <c r="F111" s="849" t="s">
        <v>1200</v>
      </c>
      <c r="G111" s="849">
        <v>0.0</v>
      </c>
      <c r="H111" s="849">
        <v>0.0</v>
      </c>
      <c r="I111" s="849">
        <v>0.0</v>
      </c>
      <c r="J111" s="849">
        <v>0.0</v>
      </c>
      <c r="K111" s="849">
        <v>1750.0</v>
      </c>
      <c r="L111" s="849">
        <v>1750.0</v>
      </c>
      <c r="M111" s="849">
        <v>2750.0</v>
      </c>
      <c r="N111" s="849">
        <v>2750.0</v>
      </c>
      <c r="O111" s="849">
        <v>2750.0</v>
      </c>
      <c r="P111" s="849">
        <v>2750.0</v>
      </c>
      <c r="Q111" s="849">
        <v>0.0</v>
      </c>
      <c r="R111" s="849">
        <v>0.0</v>
      </c>
      <c r="S111" s="849">
        <v>305.56</v>
      </c>
      <c r="T111" s="849">
        <v>305.56</v>
      </c>
      <c r="U111" s="849">
        <v>0.0</v>
      </c>
      <c r="V111" s="849">
        <v>0.0</v>
      </c>
      <c r="W111" s="849">
        <v>0.0</v>
      </c>
      <c r="X111" s="849">
        <v>0.0</v>
      </c>
      <c r="Y111" s="849">
        <v>0.0</v>
      </c>
      <c r="Z111" s="849">
        <v>0.0</v>
      </c>
      <c r="AA111" s="849">
        <v>0.0</v>
      </c>
      <c r="AB111" s="849">
        <v>0.0</v>
      </c>
      <c r="AC111" s="849">
        <v>0.0</v>
      </c>
      <c r="AD111" s="849">
        <v>0.0</v>
      </c>
      <c r="AE111" s="849">
        <v>0.0</v>
      </c>
      <c r="AF111" s="849">
        <v>0.0</v>
      </c>
      <c r="AG111" s="849">
        <v>0.0</v>
      </c>
      <c r="AH111" s="849">
        <v>0.0</v>
      </c>
      <c r="AI111" s="849">
        <v>0.0</v>
      </c>
      <c r="AJ111" s="794" t="str">
        <f t="shared" ref="AJ111:AK111" si="219">C111</f>
        <v>G0513</v>
      </c>
      <c r="AK111" s="794" t="str">
        <f t="shared" si="219"/>
        <v>ENT. DEMOS U.S.A</v>
      </c>
      <c r="AL111" s="794">
        <f t="array" ref="AL111">IFERROR(INDEX(G111:R111,1,MATCH(Parametres!$B$3,G$1:R$1,0)-1)*IF(OR(F111="L",F111="S",F111="I"),-1,1),"")</f>
        <v>2750</v>
      </c>
      <c r="AM111" s="794">
        <f t="shared" si="4"/>
        <v>0</v>
      </c>
      <c r="AN111" s="794">
        <f t="array" ref="AN111">INDEX(G111:R111,1,MATCH(Parametres!$B$3,G$1:R$1,0))*IF(OR(F111="L",F111="S",F111="I"),-1,1)</f>
        <v>2750</v>
      </c>
      <c r="AO111" s="853" t="str">
        <f>+VLOOKUP($AJ111,Data_Validation!$A:$D,1,0)</f>
        <v>G0513</v>
      </c>
      <c r="AP111" s="853" t="str">
        <f>+VLOOKUP($AJ111,Data_Validation!$A:$D,3,0)</f>
        <v>Wholesale autres</v>
      </c>
      <c r="AQ111" s="853" t="str">
        <f>+VLOOKUP($AJ111,Data_Validation!$A:$D,4,0)</f>
        <v>Frais véhicules de cie</v>
      </c>
      <c r="AR111" s="853" t="s">
        <v>728</v>
      </c>
      <c r="AS111" s="853" t="str">
        <f>+VLOOKUP($AJ111,Data_Validation!$A:$E,5,0)</f>
        <v/>
      </c>
      <c r="AT111" s="794" t="str">
        <f t="shared" ref="AT111:AU111" si="220">C111</f>
        <v>G0513</v>
      </c>
      <c r="AU111" s="854" t="str">
        <f t="shared" si="220"/>
        <v>ENT. DEMOS U.S.A</v>
      </c>
      <c r="AV111" s="794">
        <f t="array" ref="AV111">IFERROR(INDEX(V111:AG111,1,MATCH(Parametres!$B$3,V$1:AG$1,0)-1)*IF(OR(C111="L",C111="S",C111="I"),-1,1),"")</f>
        <v>0</v>
      </c>
      <c r="AW111" s="794">
        <f t="shared" si="6"/>
        <v>0</v>
      </c>
      <c r="AX111" s="794">
        <f t="array" ref="AX111">INDEX(V111:AG111,1,MATCH(Parametres!$B$3,V$1:AG$1,0))*IF(OR(C111="L",C111="S",C111="I"),-1,1)</f>
        <v>0</v>
      </c>
      <c r="AY111" s="853" t="s">
        <v>772</v>
      </c>
      <c r="AZ111" s="853" t="str">
        <f>+VLOOKUP($AJ111,Data_Validation!$A:$E,5,0)</f>
        <v/>
      </c>
    </row>
    <row r="112" ht="15.0" customHeight="1">
      <c r="A112" s="849" t="s">
        <v>1239</v>
      </c>
      <c r="B112" s="849">
        <v>2026.0</v>
      </c>
      <c r="C112" s="849" t="s">
        <v>1455</v>
      </c>
      <c r="D112" s="849" t="s">
        <v>1456</v>
      </c>
      <c r="E112" s="849" t="s">
        <v>768</v>
      </c>
      <c r="F112" s="849" t="s">
        <v>1200</v>
      </c>
      <c r="G112" s="849">
        <v>2782.88</v>
      </c>
      <c r="H112" s="849">
        <v>-8974.23</v>
      </c>
      <c r="I112" s="849">
        <v>-4503.47</v>
      </c>
      <c r="J112" s="849">
        <v>-3084.24</v>
      </c>
      <c r="K112" s="849">
        <v>9660.65</v>
      </c>
      <c r="L112" s="849">
        <v>23854.92</v>
      </c>
      <c r="M112" s="849">
        <v>37027.23</v>
      </c>
      <c r="N112" s="849">
        <v>46403.47</v>
      </c>
      <c r="O112" s="849">
        <v>51242.22</v>
      </c>
      <c r="P112" s="849">
        <v>46739.48</v>
      </c>
      <c r="Q112" s="849">
        <v>0.0</v>
      </c>
      <c r="R112" s="849">
        <v>0.0</v>
      </c>
      <c r="S112" s="849">
        <v>5693.58</v>
      </c>
      <c r="T112" s="849">
        <v>5693.58</v>
      </c>
      <c r="U112" s="849">
        <v>0.0</v>
      </c>
      <c r="V112" s="849">
        <v>0.0</v>
      </c>
      <c r="W112" s="849">
        <v>0.0</v>
      </c>
      <c r="X112" s="849">
        <v>0.0</v>
      </c>
      <c r="Y112" s="849">
        <v>0.0</v>
      </c>
      <c r="Z112" s="849">
        <v>0.0</v>
      </c>
      <c r="AA112" s="849">
        <v>0.0</v>
      </c>
      <c r="AB112" s="849">
        <v>0.0</v>
      </c>
      <c r="AC112" s="849">
        <v>0.0</v>
      </c>
      <c r="AD112" s="849">
        <v>0.0</v>
      </c>
      <c r="AE112" s="849">
        <v>0.0</v>
      </c>
      <c r="AF112" s="849">
        <v>0.0</v>
      </c>
      <c r="AG112" s="849">
        <v>0.0</v>
      </c>
      <c r="AH112" s="849">
        <v>0.0</v>
      </c>
      <c r="AI112" s="849">
        <v>0.0</v>
      </c>
      <c r="AJ112" s="794" t="str">
        <f t="shared" ref="AJ112:AK112" si="221">C112</f>
        <v>G0514</v>
      </c>
      <c r="AK112" s="794" t="str">
        <f t="shared" si="221"/>
        <v>ENT. DEMOS SERVICE</v>
      </c>
      <c r="AL112" s="794">
        <f t="array" ref="AL112">IFERROR(INDEX(G112:R112,1,MATCH(Parametres!$B$3,G$1:R$1,0)-1)*IF(OR(F112="L",F112="S",F112="I"),-1,1),"")</f>
        <v>46403.47</v>
      </c>
      <c r="AM112" s="794">
        <f t="shared" si="4"/>
        <v>4838.75</v>
      </c>
      <c r="AN112" s="794">
        <f t="array" ref="AN112">INDEX(G112:R112,1,MATCH(Parametres!$B$3,G$1:R$1,0))*IF(OR(F112="L",F112="S",F112="I"),-1,1)</f>
        <v>51242.22</v>
      </c>
      <c r="AO112" s="853" t="str">
        <f>+VLOOKUP($AJ112,Data_Validation!$A:$D,1,0)</f>
        <v>G0514</v>
      </c>
      <c r="AP112" s="853" t="str">
        <f>+VLOOKUP($AJ112,Data_Validation!$A:$D,3,0)</f>
        <v>Service</v>
      </c>
      <c r="AQ112" s="853" t="str">
        <f>+VLOOKUP($AJ112,Data_Validation!$A:$D,4,0)</f>
        <v>Frais véhicules de cie</v>
      </c>
      <c r="AR112" s="853" t="s">
        <v>728</v>
      </c>
      <c r="AS112" s="853" t="str">
        <f>+VLOOKUP($AJ112,Data_Validation!$A:$E,5,0)</f>
        <v/>
      </c>
      <c r="AT112" s="794" t="str">
        <f t="shared" ref="AT112:AU112" si="222">C112</f>
        <v>G0514</v>
      </c>
      <c r="AU112" s="854" t="str">
        <f t="shared" si="222"/>
        <v>ENT. DEMOS SERVICE</v>
      </c>
      <c r="AV112" s="794">
        <f t="array" ref="AV112">IFERROR(INDEX(V112:AG112,1,MATCH(Parametres!$B$3,V$1:AG$1,0)-1)*IF(OR(C112="L",C112="S",C112="I"),-1,1),"")</f>
        <v>0</v>
      </c>
      <c r="AW112" s="794">
        <f t="shared" si="6"/>
        <v>0</v>
      </c>
      <c r="AX112" s="794">
        <f t="array" ref="AX112">INDEX(V112:AG112,1,MATCH(Parametres!$B$3,V$1:AG$1,0))*IF(OR(C112="L",C112="S",C112="I"),-1,1)</f>
        <v>0</v>
      </c>
      <c r="AY112" s="853" t="s">
        <v>772</v>
      </c>
      <c r="AZ112" s="853" t="str">
        <f>+VLOOKUP($AJ112,Data_Validation!$A:$E,5,0)</f>
        <v/>
      </c>
    </row>
    <row r="113" ht="15.75" customHeight="1">
      <c r="A113" s="849" t="s">
        <v>1239</v>
      </c>
      <c r="B113" s="849">
        <v>2026.0</v>
      </c>
      <c r="C113" s="849" t="s">
        <v>1457</v>
      </c>
      <c r="D113" s="849" t="s">
        <v>1458</v>
      </c>
      <c r="E113" s="849" t="s">
        <v>768</v>
      </c>
      <c r="F113" s="849" t="s">
        <v>1200</v>
      </c>
      <c r="G113" s="849">
        <v>-2198.19</v>
      </c>
      <c r="H113" s="849">
        <v>-6473.51</v>
      </c>
      <c r="I113" s="849">
        <v>-518.92</v>
      </c>
      <c r="J113" s="849">
        <v>-158.11</v>
      </c>
      <c r="K113" s="849">
        <v>34.5</v>
      </c>
      <c r="L113" s="849">
        <v>-838.62</v>
      </c>
      <c r="M113" s="849">
        <v>-923.87</v>
      </c>
      <c r="N113" s="849">
        <v>3928.02</v>
      </c>
      <c r="O113" s="849">
        <v>3124.16</v>
      </c>
      <c r="P113" s="849">
        <v>1098.16</v>
      </c>
      <c r="Q113" s="849">
        <v>0.0</v>
      </c>
      <c r="R113" s="849">
        <v>0.0</v>
      </c>
      <c r="S113" s="849">
        <v>347.13</v>
      </c>
      <c r="T113" s="849">
        <v>347.13</v>
      </c>
      <c r="U113" s="849">
        <v>0.0</v>
      </c>
      <c r="V113" s="849">
        <v>0.0</v>
      </c>
      <c r="W113" s="849">
        <v>0.0</v>
      </c>
      <c r="X113" s="849">
        <v>0.0</v>
      </c>
      <c r="Y113" s="849">
        <v>0.0</v>
      </c>
      <c r="Z113" s="849">
        <v>0.0</v>
      </c>
      <c r="AA113" s="849">
        <v>0.0</v>
      </c>
      <c r="AB113" s="849">
        <v>0.0</v>
      </c>
      <c r="AC113" s="849">
        <v>0.0</v>
      </c>
      <c r="AD113" s="849">
        <v>0.0</v>
      </c>
      <c r="AE113" s="849">
        <v>0.0</v>
      </c>
      <c r="AF113" s="849">
        <v>0.0</v>
      </c>
      <c r="AG113" s="849">
        <v>0.0</v>
      </c>
      <c r="AH113" s="849">
        <v>0.0</v>
      </c>
      <c r="AI113" s="849">
        <v>0.0</v>
      </c>
      <c r="AJ113" s="794" t="str">
        <f t="shared" ref="AJ113:AK113" si="223">C113</f>
        <v>G0515</v>
      </c>
      <c r="AK113" s="794" t="str">
        <f t="shared" si="223"/>
        <v>ENT. DEMOS CARROSSERIE</v>
      </c>
      <c r="AL113" s="794">
        <f t="array" ref="AL113">IFERROR(INDEX(G113:R113,1,MATCH(Parametres!$B$3,G$1:R$1,0)-1)*IF(OR(F113="L",F113="S",F113="I"),-1,1),"")</f>
        <v>3928.02</v>
      </c>
      <c r="AM113" s="794">
        <f t="shared" si="4"/>
        <v>-803.86</v>
      </c>
      <c r="AN113" s="794">
        <f t="array" ref="AN113">INDEX(G113:R113,1,MATCH(Parametres!$B$3,G$1:R$1,0))*IF(OR(F113="L",F113="S",F113="I"),-1,1)</f>
        <v>3124.16</v>
      </c>
      <c r="AO113" s="853" t="str">
        <f>+VLOOKUP($AJ113,Data_Validation!$A:$D,1,0)</f>
        <v>G0515</v>
      </c>
      <c r="AP113" s="853" t="str">
        <f>+VLOOKUP($AJ113,Data_Validation!$A:$D,3,0)</f>
        <v>Carrosserie</v>
      </c>
      <c r="AQ113" s="853" t="str">
        <f>+VLOOKUP($AJ113,Data_Validation!$A:$D,4,0)</f>
        <v>Frais véhicules de cie</v>
      </c>
      <c r="AR113" s="853" t="s">
        <v>728</v>
      </c>
      <c r="AS113" s="853" t="str">
        <f>+VLOOKUP($AJ113,Data_Validation!$A:$E,5,0)</f>
        <v/>
      </c>
      <c r="AT113" s="794" t="str">
        <f t="shared" ref="AT113:AU113" si="224">C113</f>
        <v>G0515</v>
      </c>
      <c r="AU113" s="854" t="str">
        <f t="shared" si="224"/>
        <v>ENT. DEMOS CARROSSERIE</v>
      </c>
      <c r="AV113" s="794">
        <f t="array" ref="AV113">IFERROR(INDEX(V113:AG113,1,MATCH(Parametres!$B$3,V$1:AG$1,0)-1)*IF(OR(C113="L",C113="S",C113="I"),-1,1),"")</f>
        <v>0</v>
      </c>
      <c r="AW113" s="794">
        <f t="shared" si="6"/>
        <v>0</v>
      </c>
      <c r="AX113" s="794">
        <f t="array" ref="AX113">INDEX(V113:AG113,1,MATCH(Parametres!$B$3,V$1:AG$1,0))*IF(OR(C113="L",C113="S",C113="I"),-1,1)</f>
        <v>0</v>
      </c>
      <c r="AY113" s="853" t="s">
        <v>772</v>
      </c>
      <c r="AZ113" s="853" t="str">
        <f>+VLOOKUP($AJ113,Data_Validation!$A:$E,5,0)</f>
        <v/>
      </c>
    </row>
    <row r="114" ht="15.0" customHeight="1">
      <c r="A114" s="849" t="s">
        <v>1239</v>
      </c>
      <c r="B114" s="849">
        <v>2026.0</v>
      </c>
      <c r="C114" s="849" t="s">
        <v>1459</v>
      </c>
      <c r="D114" s="849" t="s">
        <v>1460</v>
      </c>
      <c r="E114" s="849" t="s">
        <v>768</v>
      </c>
      <c r="F114" s="849" t="s">
        <v>1200</v>
      </c>
      <c r="G114" s="849">
        <v>1460.27</v>
      </c>
      <c r="H114" s="849">
        <v>2285.67</v>
      </c>
      <c r="I114" s="849">
        <v>5566.39</v>
      </c>
      <c r="J114" s="849">
        <v>6868.83</v>
      </c>
      <c r="K114" s="849">
        <v>10170.21</v>
      </c>
      <c r="L114" s="849">
        <v>13019.52</v>
      </c>
      <c r="M114" s="849">
        <v>14901.82</v>
      </c>
      <c r="N114" s="849">
        <v>16554.02</v>
      </c>
      <c r="O114" s="849">
        <v>18851.94</v>
      </c>
      <c r="P114" s="849">
        <v>18922.45</v>
      </c>
      <c r="Q114" s="849">
        <v>0.0</v>
      </c>
      <c r="R114" s="849">
        <v>0.0</v>
      </c>
      <c r="S114" s="849">
        <v>2094.66</v>
      </c>
      <c r="T114" s="849">
        <v>2094.66</v>
      </c>
      <c r="U114" s="849">
        <v>0.0</v>
      </c>
      <c r="V114" s="849">
        <v>0.0</v>
      </c>
      <c r="W114" s="849">
        <v>0.0</v>
      </c>
      <c r="X114" s="849">
        <v>0.0</v>
      </c>
      <c r="Y114" s="849">
        <v>0.0</v>
      </c>
      <c r="Z114" s="849">
        <v>0.0</v>
      </c>
      <c r="AA114" s="849">
        <v>0.0</v>
      </c>
      <c r="AB114" s="849">
        <v>0.0</v>
      </c>
      <c r="AC114" s="849">
        <v>0.0</v>
      </c>
      <c r="AD114" s="849">
        <v>0.0</v>
      </c>
      <c r="AE114" s="849">
        <v>0.0</v>
      </c>
      <c r="AF114" s="849">
        <v>0.0</v>
      </c>
      <c r="AG114" s="849">
        <v>0.0</v>
      </c>
      <c r="AH114" s="849">
        <v>0.0</v>
      </c>
      <c r="AI114" s="849">
        <v>0.0</v>
      </c>
      <c r="AJ114" s="794" t="str">
        <f t="shared" ref="AJ114:AK114" si="225">C114</f>
        <v>G0516</v>
      </c>
      <c r="AK114" s="794" t="str">
        <f t="shared" si="225"/>
        <v>ENT. DEMOS PIECES</v>
      </c>
      <c r="AL114" s="794">
        <f t="array" ref="AL114">IFERROR(INDEX(G114:R114,1,MATCH(Parametres!$B$3,G$1:R$1,0)-1)*IF(OR(F114="L",F114="S",F114="I"),-1,1),"")</f>
        <v>16554.02</v>
      </c>
      <c r="AM114" s="794">
        <f t="shared" si="4"/>
        <v>2297.92</v>
      </c>
      <c r="AN114" s="794">
        <f t="array" ref="AN114">INDEX(G114:R114,1,MATCH(Parametres!$B$3,G$1:R$1,0))*IF(OR(F114="L",F114="S",F114="I"),-1,1)</f>
        <v>18851.94</v>
      </c>
      <c r="AO114" s="853" t="str">
        <f>+VLOOKUP($AJ114,Data_Validation!$A:$D,1,0)</f>
        <v>G0516</v>
      </c>
      <c r="AP114" s="853" t="str">
        <f>+VLOOKUP($AJ114,Data_Validation!$A:$D,3,0)</f>
        <v>Pièces</v>
      </c>
      <c r="AQ114" s="853" t="str">
        <f>+VLOOKUP($AJ114,Data_Validation!$A:$D,4,0)</f>
        <v>Frais véhicules de cie</v>
      </c>
      <c r="AR114" s="853" t="s">
        <v>728</v>
      </c>
      <c r="AS114" s="853" t="str">
        <f>+VLOOKUP($AJ114,Data_Validation!$A:$E,5,0)</f>
        <v/>
      </c>
      <c r="AT114" s="794" t="str">
        <f t="shared" ref="AT114:AU114" si="226">C114</f>
        <v>G0516</v>
      </c>
      <c r="AU114" s="854" t="str">
        <f t="shared" si="226"/>
        <v>ENT. DEMOS PIECES</v>
      </c>
      <c r="AV114" s="794">
        <f t="array" ref="AV114">IFERROR(INDEX(V114:AG114,1,MATCH(Parametres!$B$3,V$1:AG$1,0)-1)*IF(OR(C114="L",C114="S",C114="I"),-1,1),"")</f>
        <v>0</v>
      </c>
      <c r="AW114" s="794">
        <f t="shared" si="6"/>
        <v>0</v>
      </c>
      <c r="AX114" s="794">
        <f t="array" ref="AX114">INDEX(V114:AG114,1,MATCH(Parametres!$B$3,V$1:AG$1,0))*IF(OR(C114="L",C114="S",C114="I"),-1,1)</f>
        <v>0</v>
      </c>
      <c r="AY114" s="853" t="s">
        <v>772</v>
      </c>
      <c r="AZ114" s="853" t="str">
        <f>+VLOOKUP($AJ114,Data_Validation!$A:$E,5,0)</f>
        <v/>
      </c>
    </row>
    <row r="115" ht="15.0" customHeight="1">
      <c r="A115" s="849" t="s">
        <v>1239</v>
      </c>
      <c r="B115" s="849">
        <v>2026.0</v>
      </c>
      <c r="C115" s="849" t="s">
        <v>1461</v>
      </c>
      <c r="D115" s="849" t="s">
        <v>1462</v>
      </c>
      <c r="E115" s="849" t="s">
        <v>768</v>
      </c>
      <c r="F115" s="849" t="s">
        <v>1200</v>
      </c>
      <c r="G115" s="849">
        <v>0.0</v>
      </c>
      <c r="H115" s="849">
        <v>0.0</v>
      </c>
      <c r="I115" s="849">
        <v>0.0</v>
      </c>
      <c r="J115" s="849">
        <v>0.0</v>
      </c>
      <c r="K115" s="849">
        <v>0.0</v>
      </c>
      <c r="L115" s="849">
        <v>0.0</v>
      </c>
      <c r="M115" s="849">
        <v>0.0</v>
      </c>
      <c r="N115" s="849">
        <v>0.0</v>
      </c>
      <c r="O115" s="849">
        <v>0.0</v>
      </c>
      <c r="P115" s="849">
        <v>0.0</v>
      </c>
      <c r="Q115" s="849">
        <v>0.0</v>
      </c>
      <c r="R115" s="849">
        <v>0.0</v>
      </c>
      <c r="S115" s="849">
        <v>0.0</v>
      </c>
      <c r="T115" s="849">
        <v>0.0</v>
      </c>
      <c r="U115" s="849">
        <v>0.0</v>
      </c>
      <c r="V115" s="849">
        <v>0.0</v>
      </c>
      <c r="W115" s="849">
        <v>0.0</v>
      </c>
      <c r="X115" s="849">
        <v>0.0</v>
      </c>
      <c r="Y115" s="849">
        <v>0.0</v>
      </c>
      <c r="Z115" s="849">
        <v>0.0</v>
      </c>
      <c r="AA115" s="849">
        <v>0.0</v>
      </c>
      <c r="AB115" s="849">
        <v>0.0</v>
      </c>
      <c r="AC115" s="849">
        <v>0.0</v>
      </c>
      <c r="AD115" s="849">
        <v>0.0</v>
      </c>
      <c r="AE115" s="849">
        <v>0.0</v>
      </c>
      <c r="AF115" s="849">
        <v>0.0</v>
      </c>
      <c r="AG115" s="849">
        <v>0.0</v>
      </c>
      <c r="AH115" s="849">
        <v>0.0</v>
      </c>
      <c r="AI115" s="849">
        <v>0.0</v>
      </c>
      <c r="AJ115" s="794" t="str">
        <f t="shared" ref="AJ115:AK115" si="227">C115</f>
        <v>G0560</v>
      </c>
      <c r="AK115" s="794" t="str">
        <f t="shared" si="227"/>
        <v>ASSURANCES STOCK REP.</v>
      </c>
      <c r="AL115" s="794">
        <f t="array" ref="AL115">IFERROR(INDEX(G115:R115,1,MATCH(Parametres!$B$3,G$1:R$1,0)-1)*IF(OR(F115="L",F115="S",F115="I"),-1,1),"")</f>
        <v>0</v>
      </c>
      <c r="AM115" s="794">
        <f t="shared" si="4"/>
        <v>0</v>
      </c>
      <c r="AN115" s="794">
        <f t="array" ref="AN115">INDEX(G115:R115,1,MATCH(Parametres!$B$3,G$1:R$1,0))*IF(OR(F115="L",F115="S",F115="I"),-1,1)</f>
        <v>0</v>
      </c>
      <c r="AO115" s="853" t="str">
        <f>+VLOOKUP($AJ115,Data_Validation!$A:$D,1,0)</f>
        <v>#N/A</v>
      </c>
      <c r="AP115" s="853" t="str">
        <f>+VLOOKUP($AJ115,Data_Validation!$A:$D,3,0)</f>
        <v>#N/A</v>
      </c>
      <c r="AQ115" s="853" t="str">
        <f>+VLOOKUP($AJ115,Data_Validation!$A:$D,4,0)</f>
        <v>#N/A</v>
      </c>
      <c r="AR115" s="853" t="s">
        <v>728</v>
      </c>
      <c r="AS115" s="853" t="str">
        <f>+VLOOKUP($AJ115,Data_Validation!$A:$E,5,0)</f>
        <v>#N/A</v>
      </c>
      <c r="AT115" s="794" t="str">
        <f t="shared" ref="AT115:AU115" si="228">C115</f>
        <v>G0560</v>
      </c>
      <c r="AU115" s="854" t="str">
        <f t="shared" si="228"/>
        <v>ASSURANCES STOCK REP.</v>
      </c>
      <c r="AV115" s="794">
        <f t="array" ref="AV115">IFERROR(INDEX(V115:AG115,1,MATCH(Parametres!$B$3,V$1:AG$1,0)-1)*IF(OR(C115="L",C115="S",C115="I"),-1,1),"")</f>
        <v>0</v>
      </c>
      <c r="AW115" s="794">
        <f t="shared" si="6"/>
        <v>0</v>
      </c>
      <c r="AX115" s="794">
        <f t="array" ref="AX115">INDEX(V115:AG115,1,MATCH(Parametres!$B$3,V$1:AG$1,0))*IF(OR(C115="L",C115="S",C115="I"),-1,1)</f>
        <v>0</v>
      </c>
      <c r="AY115" s="853" t="s">
        <v>772</v>
      </c>
      <c r="AZ115" s="853" t="str">
        <f>+VLOOKUP($AJ115,Data_Validation!$A:$E,5,0)</f>
        <v>#N/A</v>
      </c>
    </row>
    <row r="116" ht="15.0" customHeight="1">
      <c r="A116" s="849" t="s">
        <v>1239</v>
      </c>
      <c r="B116" s="849">
        <v>2026.0</v>
      </c>
      <c r="C116" s="849" t="s">
        <v>1463</v>
      </c>
      <c r="D116" s="849" t="s">
        <v>1464</v>
      </c>
      <c r="E116" s="849" t="s">
        <v>768</v>
      </c>
      <c r="F116" s="849" t="s">
        <v>1200</v>
      </c>
      <c r="G116" s="849">
        <v>0.0</v>
      </c>
      <c r="H116" s="849">
        <v>0.0</v>
      </c>
      <c r="I116" s="849">
        <v>0.0</v>
      </c>
      <c r="J116" s="849">
        <v>0.0</v>
      </c>
      <c r="K116" s="849">
        <v>0.0</v>
      </c>
      <c r="L116" s="849">
        <v>0.0</v>
      </c>
      <c r="M116" s="849">
        <v>0.0</v>
      </c>
      <c r="N116" s="849">
        <v>0.0</v>
      </c>
      <c r="O116" s="849">
        <v>0.0</v>
      </c>
      <c r="P116" s="849">
        <v>0.0</v>
      </c>
      <c r="Q116" s="849">
        <v>0.0</v>
      </c>
      <c r="R116" s="849">
        <v>0.0</v>
      </c>
      <c r="S116" s="849">
        <v>0.0</v>
      </c>
      <c r="T116" s="849">
        <v>0.0</v>
      </c>
      <c r="U116" s="849">
        <v>0.0</v>
      </c>
      <c r="V116" s="849">
        <v>0.0</v>
      </c>
      <c r="W116" s="849">
        <v>0.0</v>
      </c>
      <c r="X116" s="849">
        <v>0.0</v>
      </c>
      <c r="Y116" s="849">
        <v>0.0</v>
      </c>
      <c r="Z116" s="849">
        <v>0.0</v>
      </c>
      <c r="AA116" s="849">
        <v>0.0</v>
      </c>
      <c r="AB116" s="849">
        <v>0.0</v>
      </c>
      <c r="AC116" s="849">
        <v>0.0</v>
      </c>
      <c r="AD116" s="849">
        <v>0.0</v>
      </c>
      <c r="AE116" s="849">
        <v>0.0</v>
      </c>
      <c r="AF116" s="849">
        <v>0.0</v>
      </c>
      <c r="AG116" s="849">
        <v>0.0</v>
      </c>
      <c r="AH116" s="849">
        <v>0.0</v>
      </c>
      <c r="AI116" s="849">
        <v>0.0</v>
      </c>
      <c r="AJ116" s="794" t="str">
        <f t="shared" ref="AJ116:AK116" si="229">C116</f>
        <v>G0561</v>
      </c>
      <c r="AK116" s="794" t="str">
        <f t="shared" si="229"/>
        <v>ASSURANCE STOCK VEH.NEUF</v>
      </c>
      <c r="AL116" s="794">
        <f t="array" ref="AL116">IFERROR(INDEX(G116:R116,1,MATCH(Parametres!$B$3,G$1:R$1,0)-1)*IF(OR(F116="L",F116="S",F116="I"),-1,1),"")</f>
        <v>0</v>
      </c>
      <c r="AM116" s="794">
        <f t="shared" si="4"/>
        <v>0</v>
      </c>
      <c r="AN116" s="794">
        <f t="array" ref="AN116">INDEX(G116:R116,1,MATCH(Parametres!$B$3,G$1:R$1,0))*IF(OR(F116="L",F116="S",F116="I"),-1,1)</f>
        <v>0</v>
      </c>
      <c r="AO116" s="853" t="str">
        <f>+VLOOKUP($AJ116,Data_Validation!$A:$D,1,0)</f>
        <v>G0561</v>
      </c>
      <c r="AP116" s="853" t="str">
        <f>+VLOOKUP($AJ116,Data_Validation!$A:$D,3,0)</f>
        <v/>
      </c>
      <c r="AQ116" s="853" t="str">
        <f>+VLOOKUP($AJ116,Data_Validation!$A:$D,4,0)</f>
        <v/>
      </c>
      <c r="AR116" s="853" t="s">
        <v>728</v>
      </c>
      <c r="AS116" s="853" t="str">
        <f>+VLOOKUP($AJ116,Data_Validation!$A:$E,5,0)</f>
        <v/>
      </c>
      <c r="AT116" s="794" t="str">
        <f t="shared" ref="AT116:AU116" si="230">C116</f>
        <v>G0561</v>
      </c>
      <c r="AU116" s="854" t="str">
        <f t="shared" si="230"/>
        <v>ASSURANCE STOCK VEH.NEUF</v>
      </c>
      <c r="AV116" s="794">
        <f t="array" ref="AV116">IFERROR(INDEX(V116:AG116,1,MATCH(Parametres!$B$3,V$1:AG$1,0)-1)*IF(OR(C116="L",C116="S",C116="I"),-1,1),"")</f>
        <v>0</v>
      </c>
      <c r="AW116" s="794">
        <f t="shared" si="6"/>
        <v>0</v>
      </c>
      <c r="AX116" s="794">
        <f t="array" ref="AX116">INDEX(V116:AG116,1,MATCH(Parametres!$B$3,V$1:AG$1,0))*IF(OR(C116="L",C116="S",C116="I"),-1,1)</f>
        <v>0</v>
      </c>
      <c r="AY116" s="853" t="s">
        <v>772</v>
      </c>
      <c r="AZ116" s="853" t="str">
        <f>+VLOOKUP($AJ116,Data_Validation!$A:$E,5,0)</f>
        <v/>
      </c>
    </row>
    <row r="117" ht="15.75" customHeight="1">
      <c r="A117" s="849" t="s">
        <v>1239</v>
      </c>
      <c r="B117" s="849">
        <v>2026.0</v>
      </c>
      <c r="C117" s="849" t="s">
        <v>1465</v>
      </c>
      <c r="D117" s="849" t="s">
        <v>1466</v>
      </c>
      <c r="E117" s="849" t="s">
        <v>768</v>
      </c>
      <c r="F117" s="849" t="s">
        <v>1200</v>
      </c>
      <c r="G117" s="849">
        <v>0.0</v>
      </c>
      <c r="H117" s="849">
        <v>0.0</v>
      </c>
      <c r="I117" s="849">
        <v>0.0</v>
      </c>
      <c r="J117" s="849">
        <v>0.0</v>
      </c>
      <c r="K117" s="849">
        <v>0.0</v>
      </c>
      <c r="L117" s="849">
        <v>0.0</v>
      </c>
      <c r="M117" s="849">
        <v>0.0</v>
      </c>
      <c r="N117" s="849">
        <v>0.0</v>
      </c>
      <c r="O117" s="849">
        <v>0.0</v>
      </c>
      <c r="P117" s="849">
        <v>0.0</v>
      </c>
      <c r="Q117" s="849">
        <v>0.0</v>
      </c>
      <c r="R117" s="849">
        <v>0.0</v>
      </c>
      <c r="S117" s="849">
        <v>0.0</v>
      </c>
      <c r="T117" s="849">
        <v>0.0</v>
      </c>
      <c r="U117" s="849">
        <v>0.0</v>
      </c>
      <c r="V117" s="849">
        <v>0.0</v>
      </c>
      <c r="W117" s="849">
        <v>0.0</v>
      </c>
      <c r="X117" s="849">
        <v>0.0</v>
      </c>
      <c r="Y117" s="849">
        <v>0.0</v>
      </c>
      <c r="Z117" s="849">
        <v>0.0</v>
      </c>
      <c r="AA117" s="849">
        <v>0.0</v>
      </c>
      <c r="AB117" s="849">
        <v>0.0</v>
      </c>
      <c r="AC117" s="849">
        <v>0.0</v>
      </c>
      <c r="AD117" s="849">
        <v>0.0</v>
      </c>
      <c r="AE117" s="849">
        <v>0.0</v>
      </c>
      <c r="AF117" s="849">
        <v>0.0</v>
      </c>
      <c r="AG117" s="849">
        <v>0.0</v>
      </c>
      <c r="AH117" s="849">
        <v>0.0</v>
      </c>
      <c r="AI117" s="849">
        <v>0.0</v>
      </c>
      <c r="AJ117" s="794" t="str">
        <f t="shared" ref="AJ117:AK117" si="231">C117</f>
        <v>G0562</v>
      </c>
      <c r="AK117" s="794" t="str">
        <f t="shared" si="231"/>
        <v>ASSURANCE STOCK VEH USAGE</v>
      </c>
      <c r="AL117" s="794">
        <f t="array" ref="AL117">IFERROR(INDEX(G117:R117,1,MATCH(Parametres!$B$3,G$1:R$1,0)-1)*IF(OR(F117="L",F117="S",F117="I"),-1,1),"")</f>
        <v>0</v>
      </c>
      <c r="AM117" s="794">
        <f t="shared" si="4"/>
        <v>0</v>
      </c>
      <c r="AN117" s="794">
        <f t="array" ref="AN117">INDEX(G117:R117,1,MATCH(Parametres!$B$3,G$1:R$1,0))*IF(OR(F117="L",F117="S",F117="I"),-1,1)</f>
        <v>0</v>
      </c>
      <c r="AO117" s="853" t="str">
        <f>+VLOOKUP($AJ117,Data_Validation!$A:$D,1,0)</f>
        <v>G0562</v>
      </c>
      <c r="AP117" s="853" t="str">
        <f>+VLOOKUP($AJ117,Data_Validation!$A:$D,3,0)</f>
        <v/>
      </c>
      <c r="AQ117" s="853" t="str">
        <f>+VLOOKUP($AJ117,Data_Validation!$A:$D,4,0)</f>
        <v/>
      </c>
      <c r="AR117" s="853" t="s">
        <v>728</v>
      </c>
      <c r="AS117" s="853" t="str">
        <f>+VLOOKUP($AJ117,Data_Validation!$A:$E,5,0)</f>
        <v/>
      </c>
      <c r="AT117" s="794" t="str">
        <f t="shared" ref="AT117:AU117" si="232">C117</f>
        <v>G0562</v>
      </c>
      <c r="AU117" s="854" t="str">
        <f t="shared" si="232"/>
        <v>ASSURANCE STOCK VEH USAGE</v>
      </c>
      <c r="AV117" s="794">
        <f t="array" ref="AV117">IFERROR(INDEX(V117:AG117,1,MATCH(Parametres!$B$3,V$1:AG$1,0)-1)*IF(OR(C117="L",C117="S",C117="I"),-1,1),"")</f>
        <v>0</v>
      </c>
      <c r="AW117" s="794">
        <f t="shared" si="6"/>
        <v>0</v>
      </c>
      <c r="AX117" s="794">
        <f t="array" ref="AX117">INDEX(V117:AG117,1,MATCH(Parametres!$B$3,V$1:AG$1,0))*IF(OR(C117="L",C117="S",C117="I"),-1,1)</f>
        <v>0</v>
      </c>
      <c r="AY117" s="853" t="s">
        <v>772</v>
      </c>
      <c r="AZ117" s="853" t="str">
        <f>+VLOOKUP($AJ117,Data_Validation!$A:$E,5,0)</f>
        <v/>
      </c>
    </row>
    <row r="118" ht="15.0" customHeight="1">
      <c r="A118" s="849" t="s">
        <v>1239</v>
      </c>
      <c r="B118" s="849">
        <v>2026.0</v>
      </c>
      <c r="C118" s="849" t="s">
        <v>1467</v>
      </c>
      <c r="D118" s="849" t="s">
        <v>1468</v>
      </c>
      <c r="E118" s="849" t="s">
        <v>768</v>
      </c>
      <c r="F118" s="849" t="s">
        <v>1200</v>
      </c>
      <c r="G118" s="849">
        <v>0.0</v>
      </c>
      <c r="H118" s="849">
        <v>0.0</v>
      </c>
      <c r="I118" s="849">
        <v>0.0</v>
      </c>
      <c r="J118" s="849">
        <v>0.0</v>
      </c>
      <c r="K118" s="849">
        <v>0.0</v>
      </c>
      <c r="L118" s="849">
        <v>0.0</v>
      </c>
      <c r="M118" s="849">
        <v>0.0</v>
      </c>
      <c r="N118" s="849">
        <v>0.0</v>
      </c>
      <c r="O118" s="849">
        <v>0.0</v>
      </c>
      <c r="P118" s="849">
        <v>0.0</v>
      </c>
      <c r="Q118" s="849">
        <v>0.0</v>
      </c>
      <c r="R118" s="849">
        <v>0.0</v>
      </c>
      <c r="S118" s="849">
        <v>0.0</v>
      </c>
      <c r="T118" s="849">
        <v>0.0</v>
      </c>
      <c r="U118" s="849">
        <v>0.0</v>
      </c>
      <c r="V118" s="849">
        <v>0.0</v>
      </c>
      <c r="W118" s="849">
        <v>0.0</v>
      </c>
      <c r="X118" s="849">
        <v>0.0</v>
      </c>
      <c r="Y118" s="849">
        <v>0.0</v>
      </c>
      <c r="Z118" s="849">
        <v>0.0</v>
      </c>
      <c r="AA118" s="849">
        <v>0.0</v>
      </c>
      <c r="AB118" s="849">
        <v>0.0</v>
      </c>
      <c r="AC118" s="849">
        <v>0.0</v>
      </c>
      <c r="AD118" s="849">
        <v>0.0</v>
      </c>
      <c r="AE118" s="849">
        <v>0.0</v>
      </c>
      <c r="AF118" s="849">
        <v>0.0</v>
      </c>
      <c r="AG118" s="849">
        <v>0.0</v>
      </c>
      <c r="AH118" s="849">
        <v>0.0</v>
      </c>
      <c r="AI118" s="849">
        <v>0.0</v>
      </c>
      <c r="AJ118" s="794" t="str">
        <f t="shared" ref="AJ118:AK118" si="233">C118</f>
        <v>G0563</v>
      </c>
      <c r="AK118" s="794" t="str">
        <f t="shared" si="233"/>
        <v>ASSURANCES STOCK U.S.A</v>
      </c>
      <c r="AL118" s="794">
        <f t="array" ref="AL118">IFERROR(INDEX(G118:R118,1,MATCH(Parametres!$B$3,G$1:R$1,0)-1)*IF(OR(F118="L",F118="S",F118="I"),-1,1),"")</f>
        <v>0</v>
      </c>
      <c r="AM118" s="794">
        <f t="shared" si="4"/>
        <v>0</v>
      </c>
      <c r="AN118" s="794">
        <f t="array" ref="AN118">INDEX(G118:R118,1,MATCH(Parametres!$B$3,G$1:R$1,0))*IF(OR(F118="L",F118="S",F118="I"),-1,1)</f>
        <v>0</v>
      </c>
      <c r="AO118" s="853" t="str">
        <f>+VLOOKUP($AJ118,Data_Validation!$A:$D,1,0)</f>
        <v>G0563</v>
      </c>
      <c r="AP118" s="853" t="str">
        <f>+VLOOKUP($AJ118,Data_Validation!$A:$D,3,0)</f>
        <v/>
      </c>
      <c r="AQ118" s="853" t="str">
        <f>+VLOOKUP($AJ118,Data_Validation!$A:$D,4,0)</f>
        <v/>
      </c>
      <c r="AR118" s="853" t="s">
        <v>728</v>
      </c>
      <c r="AS118" s="853" t="str">
        <f>+VLOOKUP($AJ118,Data_Validation!$A:$E,5,0)</f>
        <v/>
      </c>
      <c r="AT118" s="794" t="str">
        <f t="shared" ref="AT118:AU118" si="234">C118</f>
        <v>G0563</v>
      </c>
      <c r="AU118" s="854" t="str">
        <f t="shared" si="234"/>
        <v>ASSURANCES STOCK U.S.A</v>
      </c>
      <c r="AV118" s="794">
        <f t="array" ref="AV118">IFERROR(INDEX(V118:AG118,1,MATCH(Parametres!$B$3,V$1:AG$1,0)-1)*IF(OR(C118="L",C118="S",C118="I"),-1,1),"")</f>
        <v>0</v>
      </c>
      <c r="AW118" s="794">
        <f t="shared" si="6"/>
        <v>0</v>
      </c>
      <c r="AX118" s="794">
        <f t="array" ref="AX118">INDEX(V118:AG118,1,MATCH(Parametres!$B$3,V$1:AG$1,0))*IF(OR(C118="L",C118="S",C118="I"),-1,1)</f>
        <v>0</v>
      </c>
      <c r="AY118" s="853" t="s">
        <v>772</v>
      </c>
      <c r="AZ118" s="853" t="str">
        <f>+VLOOKUP($AJ118,Data_Validation!$A:$E,5,0)</f>
        <v/>
      </c>
    </row>
    <row r="119" ht="15.0" customHeight="1">
      <c r="A119" s="849" t="s">
        <v>1239</v>
      </c>
      <c r="B119" s="849">
        <v>2026.0</v>
      </c>
      <c r="C119" s="849" t="s">
        <v>1469</v>
      </c>
      <c r="D119" s="849" t="s">
        <v>1470</v>
      </c>
      <c r="E119" s="849" t="s">
        <v>768</v>
      </c>
      <c r="F119" s="849" t="s">
        <v>1200</v>
      </c>
      <c r="G119" s="849">
        <v>0.0</v>
      </c>
      <c r="H119" s="849">
        <v>0.0</v>
      </c>
      <c r="I119" s="849">
        <v>0.0</v>
      </c>
      <c r="J119" s="849">
        <v>0.0</v>
      </c>
      <c r="K119" s="849">
        <v>0.0</v>
      </c>
      <c r="L119" s="849">
        <v>0.0</v>
      </c>
      <c r="M119" s="849">
        <v>0.0</v>
      </c>
      <c r="N119" s="849">
        <v>0.0</v>
      </c>
      <c r="O119" s="849">
        <v>0.0</v>
      </c>
      <c r="P119" s="849">
        <v>0.0</v>
      </c>
      <c r="Q119" s="849">
        <v>0.0</v>
      </c>
      <c r="R119" s="849">
        <v>0.0</v>
      </c>
      <c r="S119" s="849">
        <v>0.0</v>
      </c>
      <c r="T119" s="849">
        <v>0.0</v>
      </c>
      <c r="U119" s="849">
        <v>0.0</v>
      </c>
      <c r="V119" s="849">
        <v>0.0</v>
      </c>
      <c r="W119" s="849">
        <v>0.0</v>
      </c>
      <c r="X119" s="849">
        <v>0.0</v>
      </c>
      <c r="Y119" s="849">
        <v>0.0</v>
      </c>
      <c r="Z119" s="849">
        <v>0.0</v>
      </c>
      <c r="AA119" s="849">
        <v>0.0</v>
      </c>
      <c r="AB119" s="849">
        <v>0.0</v>
      </c>
      <c r="AC119" s="849">
        <v>0.0</v>
      </c>
      <c r="AD119" s="849">
        <v>0.0</v>
      </c>
      <c r="AE119" s="849">
        <v>0.0</v>
      </c>
      <c r="AF119" s="849">
        <v>0.0</v>
      </c>
      <c r="AG119" s="849">
        <v>0.0</v>
      </c>
      <c r="AH119" s="849">
        <v>0.0</v>
      </c>
      <c r="AI119" s="849">
        <v>0.0</v>
      </c>
      <c r="AJ119" s="794" t="str">
        <f t="shared" ref="AJ119:AK119" si="235">C119</f>
        <v>G0571</v>
      </c>
      <c r="AK119" s="794" t="str">
        <f t="shared" si="235"/>
        <v>MAUVAISE CREANCES NEUF</v>
      </c>
      <c r="AL119" s="794">
        <f t="array" ref="AL119">IFERROR(INDEX(G119:R119,1,MATCH(Parametres!$B$3,G$1:R$1,0)-1)*IF(OR(F119="L",F119="S",F119="I"),-1,1),"")</f>
        <v>0</v>
      </c>
      <c r="AM119" s="794">
        <f t="shared" si="4"/>
        <v>0</v>
      </c>
      <c r="AN119" s="794">
        <f t="array" ref="AN119">INDEX(G119:R119,1,MATCH(Parametres!$B$3,G$1:R$1,0))*IF(OR(F119="L",F119="S",F119="I"),-1,1)</f>
        <v>0</v>
      </c>
      <c r="AO119" s="853" t="str">
        <f>+VLOOKUP($AJ119,Data_Validation!$A:$D,1,0)</f>
        <v>G0571</v>
      </c>
      <c r="AP119" s="853" t="str">
        <f>+VLOOKUP($AJ119,Data_Validation!$A:$D,3,0)</f>
        <v>Véhicules neufs</v>
      </c>
      <c r="AQ119" s="853" t="str">
        <f>+VLOOKUP($AJ119,Data_Validation!$A:$D,4,0)</f>
        <v>Divers</v>
      </c>
      <c r="AR119" s="853" t="s">
        <v>728</v>
      </c>
      <c r="AS119" s="853" t="str">
        <f>+VLOOKUP($AJ119,Data_Validation!$A:$E,5,0)</f>
        <v/>
      </c>
      <c r="AT119" s="794" t="str">
        <f t="shared" ref="AT119:AU119" si="236">C119</f>
        <v>G0571</v>
      </c>
      <c r="AU119" s="854" t="str">
        <f t="shared" si="236"/>
        <v>MAUVAISE CREANCES NEUF</v>
      </c>
      <c r="AV119" s="794">
        <f t="array" ref="AV119">IFERROR(INDEX(V119:AG119,1,MATCH(Parametres!$B$3,V$1:AG$1,0)-1)*IF(OR(C119="L",C119="S",C119="I"),-1,1),"")</f>
        <v>0</v>
      </c>
      <c r="AW119" s="794">
        <f t="shared" si="6"/>
        <v>0</v>
      </c>
      <c r="AX119" s="794">
        <f t="array" ref="AX119">INDEX(V119:AG119,1,MATCH(Parametres!$B$3,V$1:AG$1,0))*IF(OR(C119="L",C119="S",C119="I"),-1,1)</f>
        <v>0</v>
      </c>
      <c r="AY119" s="853" t="s">
        <v>772</v>
      </c>
      <c r="AZ119" s="853" t="str">
        <f>+VLOOKUP($AJ119,Data_Validation!$A:$E,5,0)</f>
        <v/>
      </c>
    </row>
    <row r="120" ht="15.0" customHeight="1">
      <c r="A120" s="849" t="s">
        <v>1239</v>
      </c>
      <c r="B120" s="849">
        <v>2026.0</v>
      </c>
      <c r="C120" s="849" t="s">
        <v>1471</v>
      </c>
      <c r="D120" s="849" t="s">
        <v>1472</v>
      </c>
      <c r="E120" s="849" t="s">
        <v>768</v>
      </c>
      <c r="F120" s="849" t="s">
        <v>1200</v>
      </c>
      <c r="G120" s="849">
        <v>0.0</v>
      </c>
      <c r="H120" s="849">
        <v>0.0</v>
      </c>
      <c r="I120" s="849">
        <v>0.0</v>
      </c>
      <c r="J120" s="849">
        <v>0.0</v>
      </c>
      <c r="K120" s="849">
        <v>0.0</v>
      </c>
      <c r="L120" s="849">
        <v>0.0</v>
      </c>
      <c r="M120" s="849">
        <v>0.0</v>
      </c>
      <c r="N120" s="849">
        <v>0.0</v>
      </c>
      <c r="O120" s="849">
        <v>0.0</v>
      </c>
      <c r="P120" s="849">
        <v>0.0</v>
      </c>
      <c r="Q120" s="849">
        <v>0.0</v>
      </c>
      <c r="R120" s="849">
        <v>0.0</v>
      </c>
      <c r="S120" s="849">
        <v>0.0</v>
      </c>
      <c r="T120" s="849">
        <v>0.0</v>
      </c>
      <c r="U120" s="849">
        <v>0.0</v>
      </c>
      <c r="V120" s="849">
        <v>0.0</v>
      </c>
      <c r="W120" s="849">
        <v>0.0</v>
      </c>
      <c r="X120" s="849">
        <v>0.0</v>
      </c>
      <c r="Y120" s="849">
        <v>0.0</v>
      </c>
      <c r="Z120" s="849">
        <v>0.0</v>
      </c>
      <c r="AA120" s="849">
        <v>0.0</v>
      </c>
      <c r="AB120" s="849">
        <v>0.0</v>
      </c>
      <c r="AC120" s="849">
        <v>0.0</v>
      </c>
      <c r="AD120" s="849">
        <v>0.0</v>
      </c>
      <c r="AE120" s="849">
        <v>0.0</v>
      </c>
      <c r="AF120" s="849">
        <v>0.0</v>
      </c>
      <c r="AG120" s="849">
        <v>0.0</v>
      </c>
      <c r="AH120" s="849">
        <v>0.0</v>
      </c>
      <c r="AI120" s="849">
        <v>0.0</v>
      </c>
      <c r="AJ120" s="794" t="str">
        <f t="shared" ref="AJ120:AK120" si="237">C120</f>
        <v>G0572</v>
      </c>
      <c r="AK120" s="794" t="str">
        <f t="shared" si="237"/>
        <v>MAUVAISES CREANCES USAGÉS</v>
      </c>
      <c r="AL120" s="794">
        <f t="array" ref="AL120">IFERROR(INDEX(G120:R120,1,MATCH(Parametres!$B$3,G$1:R$1,0)-1)*IF(OR(F120="L",F120="S",F120="I"),-1,1),"")</f>
        <v>0</v>
      </c>
      <c r="AM120" s="794">
        <f t="shared" si="4"/>
        <v>0</v>
      </c>
      <c r="AN120" s="794">
        <f t="array" ref="AN120">INDEX(G120:R120,1,MATCH(Parametres!$B$3,G$1:R$1,0))*IF(OR(F120="L",F120="S",F120="I"),-1,1)</f>
        <v>0</v>
      </c>
      <c r="AO120" s="853" t="str">
        <f>+VLOOKUP($AJ120,Data_Validation!$A:$D,1,0)</f>
        <v>G0572</v>
      </c>
      <c r="AP120" s="853" t="str">
        <f>+VLOOKUP($AJ120,Data_Validation!$A:$D,3,0)</f>
        <v>Véhicules usagés</v>
      </c>
      <c r="AQ120" s="853" t="str">
        <f>+VLOOKUP($AJ120,Data_Validation!$A:$D,4,0)</f>
        <v>Divers</v>
      </c>
      <c r="AR120" s="853" t="s">
        <v>728</v>
      </c>
      <c r="AS120" s="853" t="str">
        <f>+VLOOKUP($AJ120,Data_Validation!$A:$E,5,0)</f>
        <v/>
      </c>
      <c r="AT120" s="794" t="str">
        <f t="shared" ref="AT120:AU120" si="238">C120</f>
        <v>G0572</v>
      </c>
      <c r="AU120" s="854" t="str">
        <f t="shared" si="238"/>
        <v>MAUVAISES CREANCES USAGÉS</v>
      </c>
      <c r="AV120" s="794">
        <f t="array" ref="AV120">IFERROR(INDEX(V120:AG120,1,MATCH(Parametres!$B$3,V$1:AG$1,0)-1)*IF(OR(C120="L",C120="S",C120="I"),-1,1),"")</f>
        <v>0</v>
      </c>
      <c r="AW120" s="794">
        <f t="shared" si="6"/>
        <v>0</v>
      </c>
      <c r="AX120" s="794">
        <f t="array" ref="AX120">INDEX(V120:AG120,1,MATCH(Parametres!$B$3,V$1:AG$1,0))*IF(OR(C120="L",C120="S",C120="I"),-1,1)</f>
        <v>0</v>
      </c>
      <c r="AY120" s="853" t="s">
        <v>772</v>
      </c>
      <c r="AZ120" s="853" t="str">
        <f>+VLOOKUP($AJ120,Data_Validation!$A:$E,5,0)</f>
        <v/>
      </c>
    </row>
    <row r="121" ht="15.0" customHeight="1">
      <c r="A121" s="849" t="s">
        <v>1239</v>
      </c>
      <c r="B121" s="849">
        <v>2026.0</v>
      </c>
      <c r="C121" s="849" t="s">
        <v>1473</v>
      </c>
      <c r="D121" s="849" t="s">
        <v>1474</v>
      </c>
      <c r="E121" s="849" t="s">
        <v>768</v>
      </c>
      <c r="F121" s="849" t="s">
        <v>1200</v>
      </c>
      <c r="G121" s="849">
        <v>0.0</v>
      </c>
      <c r="H121" s="849">
        <v>0.0</v>
      </c>
      <c r="I121" s="849">
        <v>0.0</v>
      </c>
      <c r="J121" s="849">
        <v>0.0</v>
      </c>
      <c r="K121" s="849">
        <v>0.0</v>
      </c>
      <c r="L121" s="849">
        <v>0.0</v>
      </c>
      <c r="M121" s="849">
        <v>0.0</v>
      </c>
      <c r="N121" s="849">
        <v>0.0</v>
      </c>
      <c r="O121" s="849">
        <v>0.0</v>
      </c>
      <c r="P121" s="849">
        <v>0.0</v>
      </c>
      <c r="Q121" s="849">
        <v>0.0</v>
      </c>
      <c r="R121" s="849">
        <v>0.0</v>
      </c>
      <c r="S121" s="849">
        <v>0.0</v>
      </c>
      <c r="T121" s="849">
        <v>0.0</v>
      </c>
      <c r="U121" s="849">
        <v>0.0</v>
      </c>
      <c r="V121" s="849">
        <v>0.0</v>
      </c>
      <c r="W121" s="849">
        <v>0.0</v>
      </c>
      <c r="X121" s="849">
        <v>0.0</v>
      </c>
      <c r="Y121" s="849">
        <v>0.0</v>
      </c>
      <c r="Z121" s="849">
        <v>0.0</v>
      </c>
      <c r="AA121" s="849">
        <v>0.0</v>
      </c>
      <c r="AB121" s="849">
        <v>0.0</v>
      </c>
      <c r="AC121" s="849">
        <v>0.0</v>
      </c>
      <c r="AD121" s="849">
        <v>0.0</v>
      </c>
      <c r="AE121" s="849">
        <v>0.0</v>
      </c>
      <c r="AF121" s="849">
        <v>0.0</v>
      </c>
      <c r="AG121" s="849">
        <v>0.0</v>
      </c>
      <c r="AH121" s="849">
        <v>0.0</v>
      </c>
      <c r="AI121" s="849">
        <v>0.0</v>
      </c>
      <c r="AJ121" s="794" t="str">
        <f t="shared" ref="AJ121:AK121" si="239">C121</f>
        <v>G0574</v>
      </c>
      <c r="AK121" s="794" t="str">
        <f t="shared" si="239"/>
        <v>MAUVAISES CRÉANCES SERVIC</v>
      </c>
      <c r="AL121" s="794">
        <f t="array" ref="AL121">IFERROR(INDEX(G121:R121,1,MATCH(Parametres!$B$3,G$1:R$1,0)-1)*IF(OR(F121="L",F121="S",F121="I"),-1,1),"")</f>
        <v>0</v>
      </c>
      <c r="AM121" s="794">
        <f t="shared" si="4"/>
        <v>0</v>
      </c>
      <c r="AN121" s="794">
        <f t="array" ref="AN121">INDEX(G121:R121,1,MATCH(Parametres!$B$3,G$1:R$1,0))*IF(OR(F121="L",F121="S",F121="I"),-1,1)</f>
        <v>0</v>
      </c>
      <c r="AO121" s="853" t="str">
        <f>+VLOOKUP($AJ121,Data_Validation!$A:$D,1,0)</f>
        <v>G0574</v>
      </c>
      <c r="AP121" s="853" t="str">
        <f>+VLOOKUP($AJ121,Data_Validation!$A:$D,3,0)</f>
        <v>Service</v>
      </c>
      <c r="AQ121" s="853" t="str">
        <f>+VLOOKUP($AJ121,Data_Validation!$A:$D,4,0)</f>
        <v>Divers</v>
      </c>
      <c r="AR121" s="853" t="s">
        <v>728</v>
      </c>
      <c r="AS121" s="853" t="str">
        <f>+VLOOKUP($AJ121,Data_Validation!$A:$E,5,0)</f>
        <v/>
      </c>
      <c r="AT121" s="794" t="str">
        <f t="shared" ref="AT121:AU121" si="240">C121</f>
        <v>G0574</v>
      </c>
      <c r="AU121" s="854" t="str">
        <f t="shared" si="240"/>
        <v>MAUVAISES CRÉANCES SERVIC</v>
      </c>
      <c r="AV121" s="794">
        <f t="array" ref="AV121">IFERROR(INDEX(V121:AG121,1,MATCH(Parametres!$B$3,V$1:AG$1,0)-1)*IF(OR(C121="L",C121="S",C121="I"),-1,1),"")</f>
        <v>0</v>
      </c>
      <c r="AW121" s="794">
        <f t="shared" si="6"/>
        <v>0</v>
      </c>
      <c r="AX121" s="794">
        <f t="array" ref="AX121">INDEX(V121:AG121,1,MATCH(Parametres!$B$3,V$1:AG$1,0))*IF(OR(C121="L",C121="S",C121="I"),-1,1)</f>
        <v>0</v>
      </c>
      <c r="AY121" s="853" t="s">
        <v>772</v>
      </c>
      <c r="AZ121" s="853" t="str">
        <f>+VLOOKUP($AJ121,Data_Validation!$A:$E,5,0)</f>
        <v/>
      </c>
    </row>
    <row r="122" ht="15.0" customHeight="1">
      <c r="A122" s="849" t="s">
        <v>1239</v>
      </c>
      <c r="B122" s="849">
        <v>2026.0</v>
      </c>
      <c r="C122" s="849" t="s">
        <v>1475</v>
      </c>
      <c r="D122" s="849" t="s">
        <v>1476</v>
      </c>
      <c r="E122" s="849" t="s">
        <v>768</v>
      </c>
      <c r="F122" s="849" t="s">
        <v>1200</v>
      </c>
      <c r="G122" s="849">
        <v>0.0</v>
      </c>
      <c r="H122" s="849">
        <v>0.0</v>
      </c>
      <c r="I122" s="849">
        <v>0.0</v>
      </c>
      <c r="J122" s="849">
        <v>0.0</v>
      </c>
      <c r="K122" s="849">
        <v>0.0</v>
      </c>
      <c r="L122" s="849">
        <v>0.0</v>
      </c>
      <c r="M122" s="849">
        <v>0.0</v>
      </c>
      <c r="N122" s="849">
        <v>0.0</v>
      </c>
      <c r="O122" s="849">
        <v>0.0</v>
      </c>
      <c r="P122" s="849">
        <v>0.0</v>
      </c>
      <c r="Q122" s="849">
        <v>0.0</v>
      </c>
      <c r="R122" s="849">
        <v>0.0</v>
      </c>
      <c r="S122" s="849">
        <v>0.0</v>
      </c>
      <c r="T122" s="849">
        <v>0.0</v>
      </c>
      <c r="U122" s="849">
        <v>0.0</v>
      </c>
      <c r="V122" s="849">
        <v>0.0</v>
      </c>
      <c r="W122" s="849">
        <v>0.0</v>
      </c>
      <c r="X122" s="849">
        <v>0.0</v>
      </c>
      <c r="Y122" s="849">
        <v>0.0</v>
      </c>
      <c r="Z122" s="849">
        <v>0.0</v>
      </c>
      <c r="AA122" s="849">
        <v>0.0</v>
      </c>
      <c r="AB122" s="849">
        <v>0.0</v>
      </c>
      <c r="AC122" s="849">
        <v>0.0</v>
      </c>
      <c r="AD122" s="849">
        <v>0.0</v>
      </c>
      <c r="AE122" s="849">
        <v>0.0</v>
      </c>
      <c r="AF122" s="849">
        <v>0.0</v>
      </c>
      <c r="AG122" s="849">
        <v>0.0</v>
      </c>
      <c r="AH122" s="849">
        <v>0.0</v>
      </c>
      <c r="AI122" s="849">
        <v>0.0</v>
      </c>
      <c r="AJ122" s="794" t="str">
        <f t="shared" ref="AJ122:AK122" si="241">C122</f>
        <v>G0576</v>
      </c>
      <c r="AK122" s="794" t="str">
        <f t="shared" si="241"/>
        <v>MAUVAISES CRÉANCES PIÈCES</v>
      </c>
      <c r="AL122" s="794">
        <f t="array" ref="AL122">IFERROR(INDEX(G122:R122,1,MATCH(Parametres!$B$3,G$1:R$1,0)-1)*IF(OR(F122="L",F122="S",F122="I"),-1,1),"")</f>
        <v>0</v>
      </c>
      <c r="AM122" s="794">
        <f t="shared" si="4"/>
        <v>0</v>
      </c>
      <c r="AN122" s="794">
        <f t="array" ref="AN122">INDEX(G122:R122,1,MATCH(Parametres!$B$3,G$1:R$1,0))*IF(OR(F122="L",F122="S",F122="I"),-1,1)</f>
        <v>0</v>
      </c>
      <c r="AO122" s="853" t="str">
        <f>+VLOOKUP($AJ122,Data_Validation!$A:$D,1,0)</f>
        <v>G0576</v>
      </c>
      <c r="AP122" s="853" t="str">
        <f>+VLOOKUP($AJ122,Data_Validation!$A:$D,3,0)</f>
        <v>Pièces</v>
      </c>
      <c r="AQ122" s="853" t="str">
        <f>+VLOOKUP($AJ122,Data_Validation!$A:$D,4,0)</f>
        <v>Divers</v>
      </c>
      <c r="AR122" s="853" t="s">
        <v>728</v>
      </c>
      <c r="AS122" s="853" t="str">
        <f>+VLOOKUP($AJ122,Data_Validation!$A:$E,5,0)</f>
        <v/>
      </c>
      <c r="AT122" s="794" t="str">
        <f t="shared" ref="AT122:AU122" si="242">C122</f>
        <v>G0576</v>
      </c>
      <c r="AU122" s="854" t="str">
        <f t="shared" si="242"/>
        <v>MAUVAISES CRÉANCES PIÈCES</v>
      </c>
      <c r="AV122" s="794">
        <f t="array" ref="AV122">IFERROR(INDEX(V122:AG122,1,MATCH(Parametres!$B$3,V$1:AG$1,0)-1)*IF(OR(C122="L",C122="S",C122="I"),-1,1),"")</f>
        <v>0</v>
      </c>
      <c r="AW122" s="794">
        <f t="shared" si="6"/>
        <v>0</v>
      </c>
      <c r="AX122" s="794">
        <f t="array" ref="AX122">INDEX(V122:AG122,1,MATCH(Parametres!$B$3,V$1:AG$1,0))*IF(OR(C122="L",C122="S",C122="I"),-1,1)</f>
        <v>0</v>
      </c>
      <c r="AY122" s="853" t="s">
        <v>772</v>
      </c>
      <c r="AZ122" s="853" t="str">
        <f>+VLOOKUP($AJ122,Data_Validation!$A:$E,5,0)</f>
        <v/>
      </c>
    </row>
    <row r="123" ht="15.75" customHeight="1">
      <c r="A123" s="849" t="s">
        <v>1239</v>
      </c>
      <c r="B123" s="849">
        <v>2026.0</v>
      </c>
      <c r="C123" s="849" t="s">
        <v>1477</v>
      </c>
      <c r="D123" s="849" t="s">
        <v>1478</v>
      </c>
      <c r="E123" s="849" t="s">
        <v>768</v>
      </c>
      <c r="F123" s="849" t="s">
        <v>1200</v>
      </c>
      <c r="G123" s="849">
        <v>0.0</v>
      </c>
      <c r="H123" s="849">
        <v>0.0</v>
      </c>
      <c r="I123" s="849">
        <v>0.0</v>
      </c>
      <c r="J123" s="849">
        <v>0.0</v>
      </c>
      <c r="K123" s="849">
        <v>0.0</v>
      </c>
      <c r="L123" s="849">
        <v>0.0</v>
      </c>
      <c r="M123" s="849">
        <v>0.0</v>
      </c>
      <c r="N123" s="849">
        <v>0.0</v>
      </c>
      <c r="O123" s="849">
        <v>0.0</v>
      </c>
      <c r="P123" s="849">
        <v>0.0</v>
      </c>
      <c r="Q123" s="849">
        <v>0.0</v>
      </c>
      <c r="R123" s="849">
        <v>0.0</v>
      </c>
      <c r="S123" s="849">
        <v>0.0</v>
      </c>
      <c r="T123" s="849">
        <v>0.0</v>
      </c>
      <c r="U123" s="849">
        <v>0.0</v>
      </c>
      <c r="V123" s="849">
        <v>0.0</v>
      </c>
      <c r="W123" s="849">
        <v>0.0</v>
      </c>
      <c r="X123" s="849">
        <v>0.0</v>
      </c>
      <c r="Y123" s="849">
        <v>0.0</v>
      </c>
      <c r="Z123" s="849">
        <v>0.0</v>
      </c>
      <c r="AA123" s="849">
        <v>0.0</v>
      </c>
      <c r="AB123" s="849">
        <v>0.0</v>
      </c>
      <c r="AC123" s="849">
        <v>0.0</v>
      </c>
      <c r="AD123" s="849">
        <v>0.0</v>
      </c>
      <c r="AE123" s="849">
        <v>0.0</v>
      </c>
      <c r="AF123" s="849">
        <v>0.0</v>
      </c>
      <c r="AG123" s="849">
        <v>0.0</v>
      </c>
      <c r="AH123" s="849">
        <v>0.0</v>
      </c>
      <c r="AI123" s="849">
        <v>0.0</v>
      </c>
      <c r="AJ123" s="794" t="str">
        <f t="shared" ref="AJ123:AK123" si="243">C123</f>
        <v>G0580</v>
      </c>
      <c r="AK123" s="794" t="str">
        <f t="shared" si="243"/>
        <v>FRAIS DE BANQUE</v>
      </c>
      <c r="AL123" s="794">
        <f t="array" ref="AL123">IFERROR(INDEX(G123:R123,1,MATCH(Parametres!$B$3,G$1:R$1,0)-1)*IF(OR(F123="L",F123="S",F123="I"),-1,1),"")</f>
        <v>0</v>
      </c>
      <c r="AM123" s="794">
        <f t="shared" si="4"/>
        <v>0</v>
      </c>
      <c r="AN123" s="794">
        <f t="array" ref="AN123">INDEX(G123:R123,1,MATCH(Parametres!$B$3,G$1:R$1,0))*IF(OR(F123="L",F123="S",F123="I"),-1,1)</f>
        <v>0</v>
      </c>
      <c r="AO123" s="853" t="str">
        <f>+VLOOKUP($AJ123,Data_Validation!$A:$D,1,0)</f>
        <v>#N/A</v>
      </c>
      <c r="AP123" s="853" t="str">
        <f>+VLOOKUP($AJ123,Data_Validation!$A:$D,3,0)</f>
        <v>#N/A</v>
      </c>
      <c r="AQ123" s="853" t="str">
        <f>+VLOOKUP($AJ123,Data_Validation!$A:$D,4,0)</f>
        <v>#N/A</v>
      </c>
      <c r="AR123" s="853" t="s">
        <v>728</v>
      </c>
      <c r="AS123" s="853" t="str">
        <f>+VLOOKUP($AJ123,Data_Validation!$A:$E,5,0)</f>
        <v>#N/A</v>
      </c>
      <c r="AT123" s="794" t="str">
        <f t="shared" ref="AT123:AU123" si="244">C123</f>
        <v>G0580</v>
      </c>
      <c r="AU123" s="854" t="str">
        <f t="shared" si="244"/>
        <v>FRAIS DE BANQUE</v>
      </c>
      <c r="AV123" s="794">
        <f t="array" ref="AV123">IFERROR(INDEX(V123:AG123,1,MATCH(Parametres!$B$3,V$1:AG$1,0)-1)*IF(OR(C123="L",C123="S",C123="I"),-1,1),"")</f>
        <v>0</v>
      </c>
      <c r="AW123" s="794">
        <f t="shared" si="6"/>
        <v>0</v>
      </c>
      <c r="AX123" s="794">
        <f t="array" ref="AX123">INDEX(V123:AG123,1,MATCH(Parametres!$B$3,V$1:AG$1,0))*IF(OR(C123="L",C123="S",C123="I"),-1,1)</f>
        <v>0</v>
      </c>
      <c r="AY123" s="853" t="s">
        <v>772</v>
      </c>
      <c r="AZ123" s="853" t="str">
        <f>+VLOOKUP($AJ123,Data_Validation!$A:$E,5,0)</f>
        <v>#N/A</v>
      </c>
    </row>
    <row r="124" ht="15.0" customHeight="1">
      <c r="A124" s="849" t="s">
        <v>1239</v>
      </c>
      <c r="B124" s="849">
        <v>2026.0</v>
      </c>
      <c r="C124" s="849" t="s">
        <v>1479</v>
      </c>
      <c r="D124" s="849" t="s">
        <v>1480</v>
      </c>
      <c r="E124" s="849" t="s">
        <v>768</v>
      </c>
      <c r="F124" s="849" t="s">
        <v>1200</v>
      </c>
      <c r="G124" s="849">
        <v>567.14</v>
      </c>
      <c r="H124" s="849">
        <v>2418.38</v>
      </c>
      <c r="I124" s="849">
        <v>3132.4</v>
      </c>
      <c r="J124" s="849">
        <v>5116.82</v>
      </c>
      <c r="K124" s="849">
        <v>6972.21</v>
      </c>
      <c r="L124" s="849">
        <v>8530.28</v>
      </c>
      <c r="M124" s="849">
        <v>9965.83</v>
      </c>
      <c r="N124" s="849">
        <v>11390.54</v>
      </c>
      <c r="O124" s="849">
        <v>13779.88</v>
      </c>
      <c r="P124" s="849">
        <v>13779.88</v>
      </c>
      <c r="Q124" s="849">
        <v>0.0</v>
      </c>
      <c r="R124" s="849">
        <v>0.0</v>
      </c>
      <c r="S124" s="849">
        <v>1531.1</v>
      </c>
      <c r="T124" s="849">
        <v>1531.1</v>
      </c>
      <c r="U124" s="849">
        <v>0.0</v>
      </c>
      <c r="V124" s="849">
        <v>0.0</v>
      </c>
      <c r="W124" s="849">
        <v>0.0</v>
      </c>
      <c r="X124" s="849">
        <v>0.0</v>
      </c>
      <c r="Y124" s="849">
        <v>0.0</v>
      </c>
      <c r="Z124" s="849">
        <v>0.0</v>
      </c>
      <c r="AA124" s="849">
        <v>0.0</v>
      </c>
      <c r="AB124" s="849">
        <v>0.0</v>
      </c>
      <c r="AC124" s="849">
        <v>0.0</v>
      </c>
      <c r="AD124" s="849">
        <v>0.0</v>
      </c>
      <c r="AE124" s="849">
        <v>0.0</v>
      </c>
      <c r="AF124" s="849">
        <v>0.0</v>
      </c>
      <c r="AG124" s="849">
        <v>0.0</v>
      </c>
      <c r="AH124" s="849">
        <v>0.0</v>
      </c>
      <c r="AI124" s="849">
        <v>0.0</v>
      </c>
      <c r="AJ124" s="794" t="str">
        <f t="shared" ref="AJ124:AK124" si="245">C124</f>
        <v>G0581</v>
      </c>
      <c r="AK124" s="794" t="str">
        <f t="shared" si="245"/>
        <v>FRAIS DE BANQUE NEUF</v>
      </c>
      <c r="AL124" s="794">
        <f t="array" ref="AL124">IFERROR(INDEX(G124:R124,1,MATCH(Parametres!$B$3,G$1:R$1,0)-1)*IF(OR(F124="L",F124="S",F124="I"),-1,1),"")</f>
        <v>11390.54</v>
      </c>
      <c r="AM124" s="794">
        <f t="shared" si="4"/>
        <v>2389.34</v>
      </c>
      <c r="AN124" s="794">
        <f t="array" ref="AN124">INDEX(G124:R124,1,MATCH(Parametres!$B$3,G$1:R$1,0))*IF(OR(F124="L",F124="S",F124="I"),-1,1)</f>
        <v>13779.88</v>
      </c>
      <c r="AO124" s="853" t="str">
        <f>+VLOOKUP($AJ124,Data_Validation!$A:$D,1,0)</f>
        <v>G0581</v>
      </c>
      <c r="AP124" s="853" t="str">
        <f>+VLOOKUP($AJ124,Data_Validation!$A:$D,3,0)</f>
        <v>Véhicules neufs</v>
      </c>
      <c r="AQ124" s="853" t="str">
        <f>+VLOOKUP($AJ124,Data_Validation!$A:$D,4,0)</f>
        <v>Frais bancaires</v>
      </c>
      <c r="AR124" s="853" t="s">
        <v>728</v>
      </c>
      <c r="AS124" s="853" t="str">
        <f>+VLOOKUP($AJ124,Data_Validation!$A:$E,5,0)</f>
        <v/>
      </c>
      <c r="AT124" s="794" t="str">
        <f t="shared" ref="AT124:AU124" si="246">C124</f>
        <v>G0581</v>
      </c>
      <c r="AU124" s="854" t="str">
        <f t="shared" si="246"/>
        <v>FRAIS DE BANQUE NEUF</v>
      </c>
      <c r="AV124" s="794">
        <f t="array" ref="AV124">IFERROR(INDEX(V124:AG124,1,MATCH(Parametres!$B$3,V$1:AG$1,0)-1)*IF(OR(C124="L",C124="S",C124="I"),-1,1),"")</f>
        <v>0</v>
      </c>
      <c r="AW124" s="794">
        <f t="shared" si="6"/>
        <v>0</v>
      </c>
      <c r="AX124" s="794">
        <f t="array" ref="AX124">INDEX(V124:AG124,1,MATCH(Parametres!$B$3,V$1:AG$1,0))*IF(OR(C124="L",C124="S",C124="I"),-1,1)</f>
        <v>0</v>
      </c>
      <c r="AY124" s="853" t="s">
        <v>772</v>
      </c>
      <c r="AZ124" s="853" t="str">
        <f>+VLOOKUP($AJ124,Data_Validation!$A:$E,5,0)</f>
        <v/>
      </c>
    </row>
    <row r="125" ht="15.0" customHeight="1">
      <c r="A125" s="849" t="s">
        <v>1239</v>
      </c>
      <c r="B125" s="849">
        <v>2026.0</v>
      </c>
      <c r="C125" s="849" t="s">
        <v>1481</v>
      </c>
      <c r="D125" s="849" t="s">
        <v>1482</v>
      </c>
      <c r="E125" s="849" t="s">
        <v>768</v>
      </c>
      <c r="F125" s="849" t="s">
        <v>1200</v>
      </c>
      <c r="G125" s="849">
        <v>374.1</v>
      </c>
      <c r="H125" s="849">
        <v>1589.93</v>
      </c>
      <c r="I125" s="849">
        <v>2108.45</v>
      </c>
      <c r="J125" s="849">
        <v>3585.22</v>
      </c>
      <c r="K125" s="849">
        <v>4692.45</v>
      </c>
      <c r="L125" s="849">
        <v>5871.16</v>
      </c>
      <c r="M125" s="849">
        <v>7003.18</v>
      </c>
      <c r="N125" s="849">
        <v>8028.81</v>
      </c>
      <c r="O125" s="849">
        <v>9674.19</v>
      </c>
      <c r="P125" s="849">
        <v>9709.19</v>
      </c>
      <c r="Q125" s="849">
        <v>0.0</v>
      </c>
      <c r="R125" s="849">
        <v>0.0</v>
      </c>
      <c r="S125" s="849">
        <v>1074.91</v>
      </c>
      <c r="T125" s="849">
        <v>1074.91</v>
      </c>
      <c r="U125" s="849">
        <v>0.0</v>
      </c>
      <c r="V125" s="849">
        <v>0.0</v>
      </c>
      <c r="W125" s="849">
        <v>0.0</v>
      </c>
      <c r="X125" s="849">
        <v>0.0</v>
      </c>
      <c r="Y125" s="849">
        <v>0.0</v>
      </c>
      <c r="Z125" s="849">
        <v>0.0</v>
      </c>
      <c r="AA125" s="849">
        <v>0.0</v>
      </c>
      <c r="AB125" s="849">
        <v>0.0</v>
      </c>
      <c r="AC125" s="849">
        <v>0.0</v>
      </c>
      <c r="AD125" s="849">
        <v>0.0</v>
      </c>
      <c r="AE125" s="849">
        <v>0.0</v>
      </c>
      <c r="AF125" s="849">
        <v>0.0</v>
      </c>
      <c r="AG125" s="849">
        <v>0.0</v>
      </c>
      <c r="AH125" s="849">
        <v>0.0</v>
      </c>
      <c r="AI125" s="849">
        <v>0.0</v>
      </c>
      <c r="AJ125" s="794" t="str">
        <f t="shared" ref="AJ125:AK125" si="247">C125</f>
        <v>G0582</v>
      </c>
      <c r="AK125" s="794" t="str">
        <f t="shared" si="247"/>
        <v>FRAIS DE BANQUE USAGE</v>
      </c>
      <c r="AL125" s="794">
        <f t="array" ref="AL125">IFERROR(INDEX(G125:R125,1,MATCH(Parametres!$B$3,G$1:R$1,0)-1)*IF(OR(F125="L",F125="S",F125="I"),-1,1),"")</f>
        <v>8028.81</v>
      </c>
      <c r="AM125" s="794">
        <f t="shared" si="4"/>
        <v>1645.38</v>
      </c>
      <c r="AN125" s="794">
        <f t="array" ref="AN125">INDEX(G125:R125,1,MATCH(Parametres!$B$3,G$1:R$1,0))*IF(OR(F125="L",F125="S",F125="I"),-1,1)</f>
        <v>9674.19</v>
      </c>
      <c r="AO125" s="853" t="str">
        <f>+VLOOKUP($AJ125,Data_Validation!$A:$D,1,0)</f>
        <v>G0582</v>
      </c>
      <c r="AP125" s="853" t="str">
        <f>+VLOOKUP($AJ125,Data_Validation!$A:$D,3,0)</f>
        <v>Véhicules usagés</v>
      </c>
      <c r="AQ125" s="853" t="str">
        <f>+VLOOKUP($AJ125,Data_Validation!$A:$D,4,0)</f>
        <v>Frais bancaires</v>
      </c>
      <c r="AR125" s="853" t="s">
        <v>728</v>
      </c>
      <c r="AS125" s="853" t="str">
        <f>+VLOOKUP($AJ125,Data_Validation!$A:$E,5,0)</f>
        <v/>
      </c>
      <c r="AT125" s="794" t="str">
        <f t="shared" ref="AT125:AU125" si="248">C125</f>
        <v>G0582</v>
      </c>
      <c r="AU125" s="854" t="str">
        <f t="shared" si="248"/>
        <v>FRAIS DE BANQUE USAGE</v>
      </c>
      <c r="AV125" s="794">
        <f t="array" ref="AV125">IFERROR(INDEX(V125:AG125,1,MATCH(Parametres!$B$3,V$1:AG$1,0)-1)*IF(OR(C125="L",C125="S",C125="I"),-1,1),"")</f>
        <v>0</v>
      </c>
      <c r="AW125" s="794">
        <f t="shared" si="6"/>
        <v>0</v>
      </c>
      <c r="AX125" s="794">
        <f t="array" ref="AX125">INDEX(V125:AG125,1,MATCH(Parametres!$B$3,V$1:AG$1,0))*IF(OR(C125="L",C125="S",C125="I"),-1,1)</f>
        <v>0</v>
      </c>
      <c r="AY125" s="853" t="s">
        <v>772</v>
      </c>
      <c r="AZ125" s="853" t="str">
        <f>+VLOOKUP($AJ125,Data_Validation!$A:$E,5,0)</f>
        <v/>
      </c>
    </row>
    <row r="126" ht="15.0" customHeight="1">
      <c r="A126" s="849" t="s">
        <v>1239</v>
      </c>
      <c r="B126" s="849">
        <v>2026.0</v>
      </c>
      <c r="C126" s="849" t="s">
        <v>1483</v>
      </c>
      <c r="D126" s="849" t="s">
        <v>1484</v>
      </c>
      <c r="E126" s="849" t="s">
        <v>768</v>
      </c>
      <c r="F126" s="849" t="s">
        <v>1200</v>
      </c>
      <c r="G126" s="849">
        <v>0.0</v>
      </c>
      <c r="H126" s="849">
        <v>0.0</v>
      </c>
      <c r="I126" s="849">
        <v>0.0</v>
      </c>
      <c r="J126" s="849">
        <v>0.0</v>
      </c>
      <c r="K126" s="849">
        <v>0.0</v>
      </c>
      <c r="L126" s="849">
        <v>17.5</v>
      </c>
      <c r="M126" s="849">
        <v>35.0</v>
      </c>
      <c r="N126" s="849">
        <v>52.5</v>
      </c>
      <c r="O126" s="849">
        <v>52.5</v>
      </c>
      <c r="P126" s="849">
        <v>52.5</v>
      </c>
      <c r="Q126" s="849">
        <v>0.0</v>
      </c>
      <c r="R126" s="849">
        <v>0.0</v>
      </c>
      <c r="S126" s="849">
        <v>5.83</v>
      </c>
      <c r="T126" s="849">
        <v>5.83</v>
      </c>
      <c r="U126" s="849">
        <v>0.0</v>
      </c>
      <c r="V126" s="849">
        <v>0.0</v>
      </c>
      <c r="W126" s="849">
        <v>0.0</v>
      </c>
      <c r="X126" s="849">
        <v>0.0</v>
      </c>
      <c r="Y126" s="849">
        <v>0.0</v>
      </c>
      <c r="Z126" s="849">
        <v>0.0</v>
      </c>
      <c r="AA126" s="849">
        <v>0.0</v>
      </c>
      <c r="AB126" s="849">
        <v>0.0</v>
      </c>
      <c r="AC126" s="849">
        <v>0.0</v>
      </c>
      <c r="AD126" s="849">
        <v>0.0</v>
      </c>
      <c r="AE126" s="849">
        <v>0.0</v>
      </c>
      <c r="AF126" s="849">
        <v>0.0</v>
      </c>
      <c r="AG126" s="849">
        <v>0.0</v>
      </c>
      <c r="AH126" s="849">
        <v>0.0</v>
      </c>
      <c r="AI126" s="849">
        <v>0.0</v>
      </c>
      <c r="AJ126" s="794" t="str">
        <f t="shared" ref="AJ126:AK126" si="249">C126</f>
        <v>G0583</v>
      </c>
      <c r="AK126" s="794" t="str">
        <f t="shared" si="249"/>
        <v>FRAIS DE BANQUE U.S.A</v>
      </c>
      <c r="AL126" s="794">
        <f t="array" ref="AL126">IFERROR(INDEX(G126:R126,1,MATCH(Parametres!$B$3,G$1:R$1,0)-1)*IF(OR(F126="L",F126="S",F126="I"),-1,1),"")</f>
        <v>52.5</v>
      </c>
      <c r="AM126" s="794">
        <f t="shared" si="4"/>
        <v>0</v>
      </c>
      <c r="AN126" s="794">
        <f t="array" ref="AN126">INDEX(G126:R126,1,MATCH(Parametres!$B$3,G$1:R$1,0))*IF(OR(F126="L",F126="S",F126="I"),-1,1)</f>
        <v>52.5</v>
      </c>
      <c r="AO126" s="853" t="str">
        <f>+VLOOKUP($AJ126,Data_Validation!$A:$D,1,0)</f>
        <v>G0583</v>
      </c>
      <c r="AP126" s="853" t="str">
        <f>+VLOOKUP($AJ126,Data_Validation!$A:$D,3,0)</f>
        <v>Wholesale autres</v>
      </c>
      <c r="AQ126" s="853" t="str">
        <f>+VLOOKUP($AJ126,Data_Validation!$A:$D,4,0)</f>
        <v>Frais bancaires</v>
      </c>
      <c r="AR126" s="853" t="s">
        <v>728</v>
      </c>
      <c r="AS126" s="853" t="str">
        <f>+VLOOKUP($AJ126,Data_Validation!$A:$E,5,0)</f>
        <v/>
      </c>
      <c r="AT126" s="794" t="str">
        <f t="shared" ref="AT126:AU126" si="250">C126</f>
        <v>G0583</v>
      </c>
      <c r="AU126" s="854" t="str">
        <f t="shared" si="250"/>
        <v>FRAIS DE BANQUE U.S.A</v>
      </c>
      <c r="AV126" s="794">
        <f t="array" ref="AV126">IFERROR(INDEX(V126:AG126,1,MATCH(Parametres!$B$3,V$1:AG$1,0)-1)*IF(OR(C126="L",C126="S",C126="I"),-1,1),"")</f>
        <v>0</v>
      </c>
      <c r="AW126" s="794">
        <f t="shared" si="6"/>
        <v>0</v>
      </c>
      <c r="AX126" s="794">
        <f t="array" ref="AX126">INDEX(V126:AG126,1,MATCH(Parametres!$B$3,V$1:AG$1,0))*IF(OR(C126="L",C126="S",C126="I"),-1,1)</f>
        <v>0</v>
      </c>
      <c r="AY126" s="853" t="s">
        <v>772</v>
      </c>
      <c r="AZ126" s="853" t="str">
        <f>+VLOOKUP($AJ126,Data_Validation!$A:$E,5,0)</f>
        <v/>
      </c>
    </row>
    <row r="127" ht="15.0" customHeight="1">
      <c r="A127" s="849" t="s">
        <v>1239</v>
      </c>
      <c r="B127" s="849">
        <v>2026.0</v>
      </c>
      <c r="C127" s="849" t="s">
        <v>1485</v>
      </c>
      <c r="D127" s="849" t="s">
        <v>1486</v>
      </c>
      <c r="E127" s="849" t="s">
        <v>768</v>
      </c>
      <c r="F127" s="849" t="s">
        <v>1200</v>
      </c>
      <c r="G127" s="849">
        <v>587.69</v>
      </c>
      <c r="H127" s="849">
        <v>2435.88</v>
      </c>
      <c r="I127" s="849">
        <v>3149.9</v>
      </c>
      <c r="J127" s="849">
        <v>5142.77</v>
      </c>
      <c r="K127" s="849">
        <v>6927.71</v>
      </c>
      <c r="L127" s="849">
        <v>8512.93</v>
      </c>
      <c r="M127" s="849">
        <v>9963.48</v>
      </c>
      <c r="N127" s="849">
        <v>11388.99</v>
      </c>
      <c r="O127" s="849">
        <v>13778.31</v>
      </c>
      <c r="P127" s="849">
        <v>13778.31</v>
      </c>
      <c r="Q127" s="849">
        <v>0.0</v>
      </c>
      <c r="R127" s="849">
        <v>0.0</v>
      </c>
      <c r="S127" s="849">
        <v>1530.92</v>
      </c>
      <c r="T127" s="849">
        <v>1530.92</v>
      </c>
      <c r="U127" s="849">
        <v>0.0</v>
      </c>
      <c r="V127" s="849">
        <v>0.0</v>
      </c>
      <c r="W127" s="849">
        <v>0.0</v>
      </c>
      <c r="X127" s="849">
        <v>0.0</v>
      </c>
      <c r="Y127" s="849">
        <v>0.0</v>
      </c>
      <c r="Z127" s="849">
        <v>0.0</v>
      </c>
      <c r="AA127" s="849">
        <v>0.0</v>
      </c>
      <c r="AB127" s="849">
        <v>0.0</v>
      </c>
      <c r="AC127" s="849">
        <v>0.0</v>
      </c>
      <c r="AD127" s="849">
        <v>0.0</v>
      </c>
      <c r="AE127" s="849">
        <v>0.0</v>
      </c>
      <c r="AF127" s="849">
        <v>0.0</v>
      </c>
      <c r="AG127" s="849">
        <v>0.0</v>
      </c>
      <c r="AH127" s="849">
        <v>0.0</v>
      </c>
      <c r="AI127" s="849">
        <v>0.0</v>
      </c>
      <c r="AJ127" s="794" t="str">
        <f t="shared" ref="AJ127:AK127" si="251">C127</f>
        <v>G0584</v>
      </c>
      <c r="AK127" s="794" t="str">
        <f t="shared" si="251"/>
        <v>FRAIS DE BANQUE SERVICE</v>
      </c>
      <c r="AL127" s="794">
        <f t="array" ref="AL127">IFERROR(INDEX(G127:R127,1,MATCH(Parametres!$B$3,G$1:R$1,0)-1)*IF(OR(F127="L",F127="S",F127="I"),-1,1),"")</f>
        <v>11388.99</v>
      </c>
      <c r="AM127" s="794">
        <f t="shared" si="4"/>
        <v>2389.32</v>
      </c>
      <c r="AN127" s="794">
        <f t="array" ref="AN127">INDEX(G127:R127,1,MATCH(Parametres!$B$3,G$1:R$1,0))*IF(OR(F127="L",F127="S",F127="I"),-1,1)</f>
        <v>13778.31</v>
      </c>
      <c r="AO127" s="853" t="str">
        <f>+VLOOKUP($AJ127,Data_Validation!$A:$D,1,0)</f>
        <v>G0584</v>
      </c>
      <c r="AP127" s="853" t="str">
        <f>+VLOOKUP($AJ127,Data_Validation!$A:$D,3,0)</f>
        <v>Service</v>
      </c>
      <c r="AQ127" s="853" t="str">
        <f>+VLOOKUP($AJ127,Data_Validation!$A:$D,4,0)</f>
        <v>Frais bancaires</v>
      </c>
      <c r="AR127" s="853" t="s">
        <v>728</v>
      </c>
      <c r="AS127" s="853" t="str">
        <f>+VLOOKUP($AJ127,Data_Validation!$A:$E,5,0)</f>
        <v/>
      </c>
      <c r="AT127" s="794" t="str">
        <f t="shared" ref="AT127:AU127" si="252">C127</f>
        <v>G0584</v>
      </c>
      <c r="AU127" s="854" t="str">
        <f t="shared" si="252"/>
        <v>FRAIS DE BANQUE SERVICE</v>
      </c>
      <c r="AV127" s="794">
        <f t="array" ref="AV127">IFERROR(INDEX(V127:AG127,1,MATCH(Parametres!$B$3,V$1:AG$1,0)-1)*IF(OR(C127="L",C127="S",C127="I"),-1,1),"")</f>
        <v>0</v>
      </c>
      <c r="AW127" s="794">
        <f t="shared" si="6"/>
        <v>0</v>
      </c>
      <c r="AX127" s="794">
        <f t="array" ref="AX127">INDEX(V127:AG127,1,MATCH(Parametres!$B$3,V$1:AG$1,0))*IF(OR(C127="L",C127="S",C127="I"),-1,1)</f>
        <v>0</v>
      </c>
      <c r="AY127" s="853" t="s">
        <v>772</v>
      </c>
      <c r="AZ127" s="853" t="str">
        <f>+VLOOKUP($AJ127,Data_Validation!$A:$E,5,0)</f>
        <v/>
      </c>
    </row>
    <row r="128" ht="15.0" customHeight="1">
      <c r="A128" s="849" t="s">
        <v>1239</v>
      </c>
      <c r="B128" s="849">
        <v>2026.0</v>
      </c>
      <c r="C128" s="849" t="s">
        <v>1487</v>
      </c>
      <c r="D128" s="849" t="s">
        <v>1488</v>
      </c>
      <c r="E128" s="849" t="s">
        <v>768</v>
      </c>
      <c r="F128" s="849" t="s">
        <v>1200</v>
      </c>
      <c r="G128" s="849">
        <v>187.04</v>
      </c>
      <c r="H128" s="849">
        <v>794.95</v>
      </c>
      <c r="I128" s="849">
        <v>1027.96</v>
      </c>
      <c r="J128" s="849">
        <v>1684.11</v>
      </c>
      <c r="K128" s="849">
        <v>2269.24</v>
      </c>
      <c r="L128" s="849">
        <v>2788.6</v>
      </c>
      <c r="M128" s="849">
        <v>3267.13</v>
      </c>
      <c r="N128" s="849">
        <v>3736.2</v>
      </c>
      <c r="O128" s="849">
        <v>4532.64</v>
      </c>
      <c r="P128" s="849">
        <v>4532.64</v>
      </c>
      <c r="Q128" s="849">
        <v>0.0</v>
      </c>
      <c r="R128" s="849">
        <v>0.0</v>
      </c>
      <c r="S128" s="849">
        <v>503.63</v>
      </c>
      <c r="T128" s="849">
        <v>503.63</v>
      </c>
      <c r="U128" s="849">
        <v>0.0</v>
      </c>
      <c r="V128" s="849">
        <v>0.0</v>
      </c>
      <c r="W128" s="849">
        <v>0.0</v>
      </c>
      <c r="X128" s="849">
        <v>0.0</v>
      </c>
      <c r="Y128" s="849">
        <v>0.0</v>
      </c>
      <c r="Z128" s="849">
        <v>0.0</v>
      </c>
      <c r="AA128" s="849">
        <v>0.0</v>
      </c>
      <c r="AB128" s="849">
        <v>0.0</v>
      </c>
      <c r="AC128" s="849">
        <v>0.0</v>
      </c>
      <c r="AD128" s="849">
        <v>0.0</v>
      </c>
      <c r="AE128" s="849">
        <v>0.0</v>
      </c>
      <c r="AF128" s="849">
        <v>0.0</v>
      </c>
      <c r="AG128" s="849">
        <v>0.0</v>
      </c>
      <c r="AH128" s="849">
        <v>0.0</v>
      </c>
      <c r="AI128" s="849">
        <v>0.0</v>
      </c>
      <c r="AJ128" s="794" t="str">
        <f t="shared" ref="AJ128:AK128" si="253">C128</f>
        <v>G0585</v>
      </c>
      <c r="AK128" s="794" t="str">
        <f t="shared" si="253"/>
        <v>FRAIS DE BANQUE CARROSERI</v>
      </c>
      <c r="AL128" s="794">
        <f t="array" ref="AL128">IFERROR(INDEX(G128:R128,1,MATCH(Parametres!$B$3,G$1:R$1,0)-1)*IF(OR(F128="L",F128="S",F128="I"),-1,1),"")</f>
        <v>3736.2</v>
      </c>
      <c r="AM128" s="794">
        <f t="shared" si="4"/>
        <v>796.44</v>
      </c>
      <c r="AN128" s="794">
        <f t="array" ref="AN128">INDEX(G128:R128,1,MATCH(Parametres!$B$3,G$1:R$1,0))*IF(OR(F128="L",F128="S",F128="I"),-1,1)</f>
        <v>4532.64</v>
      </c>
      <c r="AO128" s="853" t="str">
        <f>+VLOOKUP($AJ128,Data_Validation!$A:$D,1,0)</f>
        <v>G0585</v>
      </c>
      <c r="AP128" s="853" t="str">
        <f>+VLOOKUP($AJ128,Data_Validation!$A:$D,3,0)</f>
        <v>Carrosserie</v>
      </c>
      <c r="AQ128" s="853" t="str">
        <f>+VLOOKUP($AJ128,Data_Validation!$A:$D,4,0)</f>
        <v>Frais bancaires</v>
      </c>
      <c r="AR128" s="853" t="s">
        <v>728</v>
      </c>
      <c r="AS128" s="853" t="str">
        <f>+VLOOKUP($AJ128,Data_Validation!$A:$E,5,0)</f>
        <v/>
      </c>
      <c r="AT128" s="794" t="str">
        <f t="shared" ref="AT128:AU128" si="254">C128</f>
        <v>G0585</v>
      </c>
      <c r="AU128" s="854" t="str">
        <f t="shared" si="254"/>
        <v>FRAIS DE BANQUE CARROSERI</v>
      </c>
      <c r="AV128" s="794">
        <f t="array" ref="AV128">IFERROR(INDEX(V128:AG128,1,MATCH(Parametres!$B$3,V$1:AG$1,0)-1)*IF(OR(C128="L",C128="S",C128="I"),-1,1),"")</f>
        <v>0</v>
      </c>
      <c r="AW128" s="794">
        <f t="shared" si="6"/>
        <v>0</v>
      </c>
      <c r="AX128" s="794">
        <f t="array" ref="AX128">INDEX(V128:AG128,1,MATCH(Parametres!$B$3,V$1:AG$1,0))*IF(OR(C128="L",C128="S",C128="I"),-1,1)</f>
        <v>0</v>
      </c>
      <c r="AY128" s="853" t="s">
        <v>772</v>
      </c>
      <c r="AZ128" s="853" t="str">
        <f>+VLOOKUP($AJ128,Data_Validation!$A:$E,5,0)</f>
        <v/>
      </c>
    </row>
    <row r="129" ht="15.0" customHeight="1">
      <c r="A129" s="849" t="s">
        <v>1239</v>
      </c>
      <c r="B129" s="849">
        <v>2026.0</v>
      </c>
      <c r="C129" s="849" t="s">
        <v>1489</v>
      </c>
      <c r="D129" s="849" t="s">
        <v>1490</v>
      </c>
      <c r="E129" s="849" t="s">
        <v>768</v>
      </c>
      <c r="F129" s="849" t="s">
        <v>1200</v>
      </c>
      <c r="G129" s="849">
        <v>187.04</v>
      </c>
      <c r="H129" s="849">
        <v>794.95</v>
      </c>
      <c r="I129" s="849">
        <v>1027.95</v>
      </c>
      <c r="J129" s="849">
        <v>1684.06</v>
      </c>
      <c r="K129" s="849">
        <v>2269.18</v>
      </c>
      <c r="L129" s="849">
        <v>2788.54</v>
      </c>
      <c r="M129" s="849">
        <v>3267.03</v>
      </c>
      <c r="N129" s="849">
        <v>3736.09</v>
      </c>
      <c r="O129" s="849">
        <v>4532.53</v>
      </c>
      <c r="P129" s="849">
        <v>4532.53</v>
      </c>
      <c r="Q129" s="849">
        <v>0.0</v>
      </c>
      <c r="R129" s="849">
        <v>0.0</v>
      </c>
      <c r="S129" s="849">
        <v>503.61</v>
      </c>
      <c r="T129" s="849">
        <v>503.61</v>
      </c>
      <c r="U129" s="849">
        <v>0.0</v>
      </c>
      <c r="V129" s="849">
        <v>0.0</v>
      </c>
      <c r="W129" s="849">
        <v>0.0</v>
      </c>
      <c r="X129" s="849">
        <v>0.0</v>
      </c>
      <c r="Y129" s="849">
        <v>0.0</v>
      </c>
      <c r="Z129" s="849">
        <v>0.0</v>
      </c>
      <c r="AA129" s="849">
        <v>0.0</v>
      </c>
      <c r="AB129" s="849">
        <v>0.0</v>
      </c>
      <c r="AC129" s="849">
        <v>0.0</v>
      </c>
      <c r="AD129" s="849">
        <v>0.0</v>
      </c>
      <c r="AE129" s="849">
        <v>0.0</v>
      </c>
      <c r="AF129" s="849">
        <v>0.0</v>
      </c>
      <c r="AG129" s="849">
        <v>0.0</v>
      </c>
      <c r="AH129" s="849">
        <v>0.0</v>
      </c>
      <c r="AI129" s="849">
        <v>0.0</v>
      </c>
      <c r="AJ129" s="794" t="str">
        <f t="shared" ref="AJ129:AK129" si="255">C129</f>
        <v>G0586</v>
      </c>
      <c r="AK129" s="794" t="str">
        <f t="shared" si="255"/>
        <v>FRAIS DE BANQUE PIECES</v>
      </c>
      <c r="AL129" s="794">
        <f t="array" ref="AL129">IFERROR(INDEX(G129:R129,1,MATCH(Parametres!$B$3,G$1:R$1,0)-1)*IF(OR(F129="L",F129="S",F129="I"),-1,1),"")</f>
        <v>3736.09</v>
      </c>
      <c r="AM129" s="794">
        <f t="shared" si="4"/>
        <v>796.44</v>
      </c>
      <c r="AN129" s="794">
        <f t="array" ref="AN129">INDEX(G129:R129,1,MATCH(Parametres!$B$3,G$1:R$1,0))*IF(OR(F129="L",F129="S",F129="I"),-1,1)</f>
        <v>4532.53</v>
      </c>
      <c r="AO129" s="853" t="str">
        <f>+VLOOKUP($AJ129,Data_Validation!$A:$D,1,0)</f>
        <v>G0586</v>
      </c>
      <c r="AP129" s="853" t="str">
        <f>+VLOOKUP($AJ129,Data_Validation!$A:$D,3,0)</f>
        <v>Pièces</v>
      </c>
      <c r="AQ129" s="853" t="str">
        <f>+VLOOKUP($AJ129,Data_Validation!$A:$D,4,0)</f>
        <v>Frais bancaires</v>
      </c>
      <c r="AR129" s="853" t="s">
        <v>728</v>
      </c>
      <c r="AS129" s="853" t="str">
        <f>+VLOOKUP($AJ129,Data_Validation!$A:$E,5,0)</f>
        <v/>
      </c>
      <c r="AT129" s="794" t="str">
        <f t="shared" ref="AT129:AU129" si="256">C129</f>
        <v>G0586</v>
      </c>
      <c r="AU129" s="854" t="str">
        <f t="shared" si="256"/>
        <v>FRAIS DE BANQUE PIECES</v>
      </c>
      <c r="AV129" s="794">
        <f t="array" ref="AV129">IFERROR(INDEX(V129:AG129,1,MATCH(Parametres!$B$3,V$1:AG$1,0)-1)*IF(OR(C129="L",C129="S",C129="I"),-1,1),"")</f>
        <v>0</v>
      </c>
      <c r="AW129" s="794">
        <f t="shared" si="6"/>
        <v>0</v>
      </c>
      <c r="AX129" s="794">
        <f t="array" ref="AX129">INDEX(V129:AG129,1,MATCH(Parametres!$B$3,V$1:AG$1,0))*IF(OR(C129="L",C129="S",C129="I"),-1,1)</f>
        <v>0</v>
      </c>
      <c r="AY129" s="853" t="s">
        <v>772</v>
      </c>
      <c r="AZ129" s="853" t="str">
        <f>+VLOOKUP($AJ129,Data_Validation!$A:$E,5,0)</f>
        <v/>
      </c>
    </row>
    <row r="130" ht="15.0" customHeight="1">
      <c r="A130" s="849" t="s">
        <v>1239</v>
      </c>
      <c r="B130" s="849">
        <v>2026.0</v>
      </c>
      <c r="C130" s="849" t="s">
        <v>1491</v>
      </c>
      <c r="D130" s="849" t="s">
        <v>1492</v>
      </c>
      <c r="E130" s="849" t="s">
        <v>768</v>
      </c>
      <c r="F130" s="849" t="s">
        <v>1200</v>
      </c>
      <c r="G130" s="849">
        <v>0.0</v>
      </c>
      <c r="H130" s="849">
        <v>0.0</v>
      </c>
      <c r="I130" s="849">
        <v>0.0</v>
      </c>
      <c r="J130" s="849">
        <v>0.0</v>
      </c>
      <c r="K130" s="849">
        <v>0.0</v>
      </c>
      <c r="L130" s="849">
        <v>0.0</v>
      </c>
      <c r="M130" s="849">
        <v>0.0</v>
      </c>
      <c r="N130" s="849">
        <v>0.0</v>
      </c>
      <c r="O130" s="849">
        <v>0.0</v>
      </c>
      <c r="P130" s="849">
        <v>0.0</v>
      </c>
      <c r="Q130" s="849">
        <v>0.0</v>
      </c>
      <c r="R130" s="849">
        <v>0.0</v>
      </c>
      <c r="S130" s="849">
        <v>0.0</v>
      </c>
      <c r="T130" s="849">
        <v>0.0</v>
      </c>
      <c r="U130" s="849">
        <v>0.0</v>
      </c>
      <c r="V130" s="849">
        <v>0.0</v>
      </c>
      <c r="W130" s="849">
        <v>0.0</v>
      </c>
      <c r="X130" s="849">
        <v>0.0</v>
      </c>
      <c r="Y130" s="849">
        <v>0.0</v>
      </c>
      <c r="Z130" s="849">
        <v>0.0</v>
      </c>
      <c r="AA130" s="849">
        <v>0.0</v>
      </c>
      <c r="AB130" s="849">
        <v>0.0</v>
      </c>
      <c r="AC130" s="849">
        <v>0.0</v>
      </c>
      <c r="AD130" s="849">
        <v>0.0</v>
      </c>
      <c r="AE130" s="849">
        <v>0.0</v>
      </c>
      <c r="AF130" s="849">
        <v>0.0</v>
      </c>
      <c r="AG130" s="849">
        <v>0.0</v>
      </c>
      <c r="AH130" s="849">
        <v>0.0</v>
      </c>
      <c r="AI130" s="849">
        <v>0.0</v>
      </c>
      <c r="AJ130" s="794" t="str">
        <f t="shared" ref="AJ130:AK130" si="257">C130</f>
        <v>G0590</v>
      </c>
      <c r="AK130" s="794" t="str">
        <f t="shared" si="257"/>
        <v>UNIFORMES         GENERAL</v>
      </c>
      <c r="AL130" s="794">
        <f t="array" ref="AL130">IFERROR(INDEX(G130:R130,1,MATCH(Parametres!$B$3,G$1:R$1,0)-1)*IF(OR(F130="L",F130="S",F130="I"),-1,1),"")</f>
        <v>0</v>
      </c>
      <c r="AM130" s="794">
        <f t="shared" si="4"/>
        <v>0</v>
      </c>
      <c r="AN130" s="794">
        <f t="array" ref="AN130">INDEX(G130:R130,1,MATCH(Parametres!$B$3,G$1:R$1,0))*IF(OR(F130="L",F130="S",F130="I"),-1,1)</f>
        <v>0</v>
      </c>
      <c r="AO130" s="853" t="str">
        <f>+VLOOKUP($AJ130,Data_Validation!$A:$D,1,0)</f>
        <v>#N/A</v>
      </c>
      <c r="AP130" s="853" t="str">
        <f>+VLOOKUP($AJ130,Data_Validation!$A:$D,3,0)</f>
        <v>#N/A</v>
      </c>
      <c r="AQ130" s="853" t="str">
        <f>+VLOOKUP($AJ130,Data_Validation!$A:$D,4,0)</f>
        <v>#N/A</v>
      </c>
      <c r="AR130" s="853" t="s">
        <v>728</v>
      </c>
      <c r="AS130" s="853" t="str">
        <f>+VLOOKUP($AJ130,Data_Validation!$A:$E,5,0)</f>
        <v>#N/A</v>
      </c>
      <c r="AT130" s="794" t="str">
        <f t="shared" ref="AT130:AU130" si="258">C130</f>
        <v>G0590</v>
      </c>
      <c r="AU130" s="854" t="str">
        <f t="shared" si="258"/>
        <v>UNIFORMES         GENERAL</v>
      </c>
      <c r="AV130" s="794">
        <f t="array" ref="AV130">IFERROR(INDEX(V130:AG130,1,MATCH(Parametres!$B$3,V$1:AG$1,0)-1)*IF(OR(C130="L",C130="S",C130="I"),-1,1),"")</f>
        <v>0</v>
      </c>
      <c r="AW130" s="794">
        <f t="shared" si="6"/>
        <v>0</v>
      </c>
      <c r="AX130" s="794">
        <f t="array" ref="AX130">INDEX(V130:AG130,1,MATCH(Parametres!$B$3,V$1:AG$1,0))*IF(OR(C130="L",C130="S",C130="I"),-1,1)</f>
        <v>0</v>
      </c>
      <c r="AY130" s="853" t="s">
        <v>772</v>
      </c>
      <c r="AZ130" s="853" t="str">
        <f>+VLOOKUP($AJ130,Data_Validation!$A:$E,5,0)</f>
        <v>#N/A</v>
      </c>
    </row>
    <row r="131" ht="15.75" customHeight="1">
      <c r="A131" s="849" t="s">
        <v>1239</v>
      </c>
      <c r="B131" s="849">
        <v>2026.0</v>
      </c>
      <c r="C131" s="849" t="s">
        <v>1493</v>
      </c>
      <c r="D131" s="849" t="s">
        <v>1494</v>
      </c>
      <c r="E131" s="849" t="s">
        <v>768</v>
      </c>
      <c r="F131" s="849" t="s">
        <v>1200</v>
      </c>
      <c r="G131" s="849">
        <v>0.0</v>
      </c>
      <c r="H131" s="849">
        <v>0.0</v>
      </c>
      <c r="I131" s="849">
        <v>0.0</v>
      </c>
      <c r="J131" s="849">
        <v>0.0</v>
      </c>
      <c r="K131" s="849">
        <v>0.0</v>
      </c>
      <c r="L131" s="849">
        <v>0.0</v>
      </c>
      <c r="M131" s="849">
        <v>0.0</v>
      </c>
      <c r="N131" s="849">
        <v>0.0</v>
      </c>
      <c r="O131" s="849">
        <v>0.0</v>
      </c>
      <c r="P131" s="849">
        <v>0.0</v>
      </c>
      <c r="Q131" s="849">
        <v>0.0</v>
      </c>
      <c r="R131" s="849">
        <v>0.0</v>
      </c>
      <c r="S131" s="849">
        <v>0.0</v>
      </c>
      <c r="T131" s="849">
        <v>0.0</v>
      </c>
      <c r="U131" s="849">
        <v>0.0</v>
      </c>
      <c r="V131" s="849">
        <v>0.0</v>
      </c>
      <c r="W131" s="849">
        <v>0.0</v>
      </c>
      <c r="X131" s="849">
        <v>0.0</v>
      </c>
      <c r="Y131" s="849">
        <v>0.0</v>
      </c>
      <c r="Z131" s="849">
        <v>0.0</v>
      </c>
      <c r="AA131" s="849">
        <v>0.0</v>
      </c>
      <c r="AB131" s="849">
        <v>0.0</v>
      </c>
      <c r="AC131" s="849">
        <v>0.0</v>
      </c>
      <c r="AD131" s="849">
        <v>0.0</v>
      </c>
      <c r="AE131" s="849">
        <v>0.0</v>
      </c>
      <c r="AF131" s="849">
        <v>0.0</v>
      </c>
      <c r="AG131" s="849">
        <v>0.0</v>
      </c>
      <c r="AH131" s="849">
        <v>0.0</v>
      </c>
      <c r="AI131" s="849">
        <v>0.0</v>
      </c>
      <c r="AJ131" s="794" t="str">
        <f t="shared" ref="AJ131:AK131" si="259">C131</f>
        <v>G0591</v>
      </c>
      <c r="AK131" s="794" t="str">
        <f t="shared" si="259"/>
        <v>UNIFORMES           NEUFS</v>
      </c>
      <c r="AL131" s="794">
        <f t="array" ref="AL131">IFERROR(INDEX(G131:R131,1,MATCH(Parametres!$B$3,G$1:R$1,0)-1)*IF(OR(F131="L",F131="S",F131="I"),-1,1),"")</f>
        <v>0</v>
      </c>
      <c r="AM131" s="794">
        <f t="shared" si="4"/>
        <v>0</v>
      </c>
      <c r="AN131" s="794">
        <f t="array" ref="AN131">INDEX(G131:R131,1,MATCH(Parametres!$B$3,G$1:R$1,0))*IF(OR(F131="L",F131="S",F131="I"),-1,1)</f>
        <v>0</v>
      </c>
      <c r="AO131" s="853" t="str">
        <f>+VLOOKUP($AJ131,Data_Validation!$A:$D,1,0)</f>
        <v>#N/A</v>
      </c>
      <c r="AP131" s="853" t="str">
        <f>+VLOOKUP($AJ131,Data_Validation!$A:$D,3,0)</f>
        <v>#N/A</v>
      </c>
      <c r="AQ131" s="853" t="str">
        <f>+VLOOKUP($AJ131,Data_Validation!$A:$D,4,0)</f>
        <v>#N/A</v>
      </c>
      <c r="AR131" s="853" t="s">
        <v>728</v>
      </c>
      <c r="AS131" s="853" t="str">
        <f>+VLOOKUP($AJ131,Data_Validation!$A:$E,5,0)</f>
        <v>#N/A</v>
      </c>
      <c r="AT131" s="794" t="str">
        <f t="shared" ref="AT131:AU131" si="260">C131</f>
        <v>G0591</v>
      </c>
      <c r="AU131" s="854" t="str">
        <f t="shared" si="260"/>
        <v>UNIFORMES           NEUFS</v>
      </c>
      <c r="AV131" s="794">
        <f t="array" ref="AV131">IFERROR(INDEX(V131:AG131,1,MATCH(Parametres!$B$3,V$1:AG$1,0)-1)*IF(OR(C131="L",C131="S",C131="I"),-1,1),"")</f>
        <v>0</v>
      </c>
      <c r="AW131" s="794">
        <f t="shared" si="6"/>
        <v>0</v>
      </c>
      <c r="AX131" s="794">
        <f t="array" ref="AX131">INDEX(V131:AG131,1,MATCH(Parametres!$B$3,V$1:AG$1,0))*IF(OR(C131="L",C131="S",C131="I"),-1,1)</f>
        <v>0</v>
      </c>
      <c r="AY131" s="853" t="s">
        <v>772</v>
      </c>
      <c r="AZ131" s="853" t="str">
        <f>+VLOOKUP($AJ131,Data_Validation!$A:$E,5,0)</f>
        <v>#N/A</v>
      </c>
    </row>
    <row r="132" ht="15.0" customHeight="1">
      <c r="A132" s="849" t="s">
        <v>1239</v>
      </c>
      <c r="B132" s="849">
        <v>2026.0</v>
      </c>
      <c r="C132" s="849" t="s">
        <v>1495</v>
      </c>
      <c r="D132" s="849" t="s">
        <v>1496</v>
      </c>
      <c r="E132" s="849" t="s">
        <v>768</v>
      </c>
      <c r="F132" s="849" t="s">
        <v>1200</v>
      </c>
      <c r="G132" s="849">
        <v>0.0</v>
      </c>
      <c r="H132" s="849">
        <v>0.0</v>
      </c>
      <c r="I132" s="849">
        <v>0.0</v>
      </c>
      <c r="J132" s="849">
        <v>0.0</v>
      </c>
      <c r="K132" s="849">
        <v>0.0</v>
      </c>
      <c r="L132" s="849">
        <v>0.0</v>
      </c>
      <c r="M132" s="849">
        <v>0.0</v>
      </c>
      <c r="N132" s="849">
        <v>0.0</v>
      </c>
      <c r="O132" s="849">
        <v>0.0</v>
      </c>
      <c r="P132" s="849">
        <v>0.0</v>
      </c>
      <c r="Q132" s="849">
        <v>0.0</v>
      </c>
      <c r="R132" s="849">
        <v>0.0</v>
      </c>
      <c r="S132" s="849">
        <v>0.0</v>
      </c>
      <c r="T132" s="849">
        <v>0.0</v>
      </c>
      <c r="U132" s="849">
        <v>0.0</v>
      </c>
      <c r="V132" s="849">
        <v>0.0</v>
      </c>
      <c r="W132" s="849">
        <v>0.0</v>
      </c>
      <c r="X132" s="849">
        <v>0.0</v>
      </c>
      <c r="Y132" s="849">
        <v>0.0</v>
      </c>
      <c r="Z132" s="849">
        <v>0.0</v>
      </c>
      <c r="AA132" s="849">
        <v>0.0</v>
      </c>
      <c r="AB132" s="849">
        <v>0.0</v>
      </c>
      <c r="AC132" s="849">
        <v>0.0</v>
      </c>
      <c r="AD132" s="849">
        <v>0.0</v>
      </c>
      <c r="AE132" s="849">
        <v>0.0</v>
      </c>
      <c r="AF132" s="849">
        <v>0.0</v>
      </c>
      <c r="AG132" s="849">
        <v>0.0</v>
      </c>
      <c r="AH132" s="849">
        <v>0.0</v>
      </c>
      <c r="AI132" s="849">
        <v>0.0</v>
      </c>
      <c r="AJ132" s="794" t="str">
        <f t="shared" ref="AJ132:AK132" si="261">C132</f>
        <v>G0592</v>
      </c>
      <c r="AK132" s="794" t="str">
        <f t="shared" si="261"/>
        <v>UNIFORMES           USAGE</v>
      </c>
      <c r="AL132" s="794">
        <f t="array" ref="AL132">IFERROR(INDEX(G132:R132,1,MATCH(Parametres!$B$3,G$1:R$1,0)-1)*IF(OR(F132="L",F132="S",F132="I"),-1,1),"")</f>
        <v>0</v>
      </c>
      <c r="AM132" s="794">
        <f t="shared" si="4"/>
        <v>0</v>
      </c>
      <c r="AN132" s="794">
        <f t="array" ref="AN132">INDEX(G132:R132,1,MATCH(Parametres!$B$3,G$1:R$1,0))*IF(OR(F132="L",F132="S",F132="I"),-1,1)</f>
        <v>0</v>
      </c>
      <c r="AO132" s="853" t="str">
        <f>+VLOOKUP($AJ132,Data_Validation!$A:$D,1,0)</f>
        <v>#N/A</v>
      </c>
      <c r="AP132" s="853" t="str">
        <f>+VLOOKUP($AJ132,Data_Validation!$A:$D,3,0)</f>
        <v>#N/A</v>
      </c>
      <c r="AQ132" s="853" t="str">
        <f>+VLOOKUP($AJ132,Data_Validation!$A:$D,4,0)</f>
        <v>#N/A</v>
      </c>
      <c r="AR132" s="853" t="s">
        <v>728</v>
      </c>
      <c r="AS132" s="853" t="str">
        <f>+VLOOKUP($AJ132,Data_Validation!$A:$E,5,0)</f>
        <v>#N/A</v>
      </c>
      <c r="AT132" s="794" t="str">
        <f t="shared" ref="AT132:AU132" si="262">C132</f>
        <v>G0592</v>
      </c>
      <c r="AU132" s="854" t="str">
        <f t="shared" si="262"/>
        <v>UNIFORMES           USAGE</v>
      </c>
      <c r="AV132" s="794">
        <f t="array" ref="AV132">IFERROR(INDEX(V132:AG132,1,MATCH(Parametres!$B$3,V$1:AG$1,0)-1)*IF(OR(C132="L",C132="S",C132="I"),-1,1),"")</f>
        <v>0</v>
      </c>
      <c r="AW132" s="794">
        <f t="shared" si="6"/>
        <v>0</v>
      </c>
      <c r="AX132" s="794">
        <f t="array" ref="AX132">INDEX(V132:AG132,1,MATCH(Parametres!$B$3,V$1:AG$1,0))*IF(OR(C132="L",C132="S",C132="I"),-1,1)</f>
        <v>0</v>
      </c>
      <c r="AY132" s="853" t="s">
        <v>772</v>
      </c>
      <c r="AZ132" s="853" t="str">
        <f>+VLOOKUP($AJ132,Data_Validation!$A:$E,5,0)</f>
        <v>#N/A</v>
      </c>
    </row>
    <row r="133" ht="15.0" customHeight="1">
      <c r="A133" s="849" t="s">
        <v>1239</v>
      </c>
      <c r="B133" s="849">
        <v>2026.0</v>
      </c>
      <c r="C133" s="849" t="s">
        <v>1497</v>
      </c>
      <c r="D133" s="849" t="s">
        <v>1498</v>
      </c>
      <c r="E133" s="849" t="s">
        <v>768</v>
      </c>
      <c r="F133" s="849" t="s">
        <v>1200</v>
      </c>
      <c r="G133" s="849">
        <v>0.0</v>
      </c>
      <c r="H133" s="849">
        <v>0.0</v>
      </c>
      <c r="I133" s="849">
        <v>0.0</v>
      </c>
      <c r="J133" s="849">
        <v>0.0</v>
      </c>
      <c r="K133" s="849">
        <v>0.0</v>
      </c>
      <c r="L133" s="849">
        <v>0.0</v>
      </c>
      <c r="M133" s="849">
        <v>0.0</v>
      </c>
      <c r="N133" s="849">
        <v>0.0</v>
      </c>
      <c r="O133" s="849">
        <v>0.0</v>
      </c>
      <c r="P133" s="849">
        <v>0.0</v>
      </c>
      <c r="Q133" s="849">
        <v>0.0</v>
      </c>
      <c r="R133" s="849">
        <v>0.0</v>
      </c>
      <c r="S133" s="849">
        <v>0.0</v>
      </c>
      <c r="T133" s="849">
        <v>0.0</v>
      </c>
      <c r="U133" s="849">
        <v>0.0</v>
      </c>
      <c r="V133" s="849">
        <v>0.0</v>
      </c>
      <c r="W133" s="849">
        <v>0.0</v>
      </c>
      <c r="X133" s="849">
        <v>0.0</v>
      </c>
      <c r="Y133" s="849">
        <v>0.0</v>
      </c>
      <c r="Z133" s="849">
        <v>0.0</v>
      </c>
      <c r="AA133" s="849">
        <v>0.0</v>
      </c>
      <c r="AB133" s="849">
        <v>0.0</v>
      </c>
      <c r="AC133" s="849">
        <v>0.0</v>
      </c>
      <c r="AD133" s="849">
        <v>0.0</v>
      </c>
      <c r="AE133" s="849">
        <v>0.0</v>
      </c>
      <c r="AF133" s="849">
        <v>0.0</v>
      </c>
      <c r="AG133" s="849">
        <v>0.0</v>
      </c>
      <c r="AH133" s="849">
        <v>0.0</v>
      </c>
      <c r="AI133" s="849">
        <v>0.0</v>
      </c>
      <c r="AJ133" s="794" t="str">
        <f t="shared" ref="AJ133:AK133" si="263">C133</f>
        <v>G0593</v>
      </c>
      <c r="AK133" s="794" t="str">
        <f t="shared" si="263"/>
        <v>UNIFORMES             USA</v>
      </c>
      <c r="AL133" s="794">
        <f t="array" ref="AL133">IFERROR(INDEX(G133:R133,1,MATCH(Parametres!$B$3,G$1:R$1,0)-1)*IF(OR(F133="L",F133="S",F133="I"),-1,1),"")</f>
        <v>0</v>
      </c>
      <c r="AM133" s="794">
        <f t="shared" si="4"/>
        <v>0</v>
      </c>
      <c r="AN133" s="794">
        <f t="array" ref="AN133">INDEX(G133:R133,1,MATCH(Parametres!$B$3,G$1:R$1,0))*IF(OR(F133="L",F133="S",F133="I"),-1,1)</f>
        <v>0</v>
      </c>
      <c r="AO133" s="853" t="str">
        <f>+VLOOKUP($AJ133,Data_Validation!$A:$D,1,0)</f>
        <v>#N/A</v>
      </c>
      <c r="AP133" s="853" t="str">
        <f>+VLOOKUP($AJ133,Data_Validation!$A:$D,3,0)</f>
        <v>#N/A</v>
      </c>
      <c r="AQ133" s="853" t="str">
        <f>+VLOOKUP($AJ133,Data_Validation!$A:$D,4,0)</f>
        <v>#N/A</v>
      </c>
      <c r="AR133" s="853" t="s">
        <v>728</v>
      </c>
      <c r="AS133" s="853" t="str">
        <f>+VLOOKUP($AJ133,Data_Validation!$A:$E,5,0)</f>
        <v>#N/A</v>
      </c>
      <c r="AT133" s="794" t="str">
        <f t="shared" ref="AT133:AU133" si="264">C133</f>
        <v>G0593</v>
      </c>
      <c r="AU133" s="854" t="str">
        <f t="shared" si="264"/>
        <v>UNIFORMES             USA</v>
      </c>
      <c r="AV133" s="794">
        <f t="array" ref="AV133">IFERROR(INDEX(V133:AG133,1,MATCH(Parametres!$B$3,V$1:AG$1,0)-1)*IF(OR(C133="L",C133="S",C133="I"),-1,1),"")</f>
        <v>0</v>
      </c>
      <c r="AW133" s="794">
        <f t="shared" si="6"/>
        <v>0</v>
      </c>
      <c r="AX133" s="794">
        <f t="array" ref="AX133">INDEX(V133:AG133,1,MATCH(Parametres!$B$3,V$1:AG$1,0))*IF(OR(C133="L",C133="S",C133="I"),-1,1)</f>
        <v>0</v>
      </c>
      <c r="AY133" s="853" t="s">
        <v>772</v>
      </c>
      <c r="AZ133" s="853" t="str">
        <f>+VLOOKUP($AJ133,Data_Validation!$A:$E,5,0)</f>
        <v>#N/A</v>
      </c>
    </row>
    <row r="134" ht="15.0" customHeight="1">
      <c r="A134" s="849" t="s">
        <v>1239</v>
      </c>
      <c r="B134" s="849">
        <v>2026.0</v>
      </c>
      <c r="C134" s="849" t="s">
        <v>1499</v>
      </c>
      <c r="D134" s="849" t="s">
        <v>1500</v>
      </c>
      <c r="E134" s="849" t="s">
        <v>768</v>
      </c>
      <c r="F134" s="849" t="s">
        <v>1200</v>
      </c>
      <c r="G134" s="849">
        <v>0.0</v>
      </c>
      <c r="H134" s="849">
        <v>0.0</v>
      </c>
      <c r="I134" s="849">
        <v>0.0</v>
      </c>
      <c r="J134" s="849">
        <v>0.0</v>
      </c>
      <c r="K134" s="849">
        <v>0.0</v>
      </c>
      <c r="L134" s="849">
        <v>0.0</v>
      </c>
      <c r="M134" s="849">
        <v>0.0</v>
      </c>
      <c r="N134" s="849">
        <v>1307.99</v>
      </c>
      <c r="O134" s="849">
        <v>3040.34</v>
      </c>
      <c r="P134" s="849">
        <v>3724.97</v>
      </c>
      <c r="Q134" s="849">
        <v>0.0</v>
      </c>
      <c r="R134" s="849">
        <v>0.0</v>
      </c>
      <c r="S134" s="849">
        <v>337.82</v>
      </c>
      <c r="T134" s="849">
        <v>337.82</v>
      </c>
      <c r="U134" s="849">
        <v>0.0</v>
      </c>
      <c r="V134" s="849">
        <v>0.0</v>
      </c>
      <c r="W134" s="849">
        <v>0.0</v>
      </c>
      <c r="X134" s="849">
        <v>0.0</v>
      </c>
      <c r="Y134" s="849">
        <v>0.0</v>
      </c>
      <c r="Z134" s="849">
        <v>0.0</v>
      </c>
      <c r="AA134" s="849">
        <v>0.0</v>
      </c>
      <c r="AB134" s="849">
        <v>0.0</v>
      </c>
      <c r="AC134" s="849">
        <v>0.0</v>
      </c>
      <c r="AD134" s="849">
        <v>0.0</v>
      </c>
      <c r="AE134" s="849">
        <v>0.0</v>
      </c>
      <c r="AF134" s="849">
        <v>0.0</v>
      </c>
      <c r="AG134" s="849">
        <v>0.0</v>
      </c>
      <c r="AH134" s="849">
        <v>0.0</v>
      </c>
      <c r="AI134" s="849">
        <v>0.0</v>
      </c>
      <c r="AJ134" s="794" t="str">
        <f t="shared" ref="AJ134:AK134" si="265">C134</f>
        <v>G0594</v>
      </c>
      <c r="AK134" s="794" t="str">
        <f t="shared" si="265"/>
        <v>UNIFORMES             SRV</v>
      </c>
      <c r="AL134" s="794">
        <f t="array" ref="AL134">IFERROR(INDEX(G134:R134,1,MATCH(Parametres!$B$3,G$1:R$1,0)-1)*IF(OR(F134="L",F134="S",F134="I"),-1,1),"")</f>
        <v>1307.99</v>
      </c>
      <c r="AM134" s="794">
        <f t="shared" si="4"/>
        <v>1732.35</v>
      </c>
      <c r="AN134" s="794">
        <f t="array" ref="AN134">INDEX(G134:R134,1,MATCH(Parametres!$B$3,G$1:R$1,0))*IF(OR(F134="L",F134="S",F134="I"),-1,1)</f>
        <v>3040.34</v>
      </c>
      <c r="AO134" s="853" t="str">
        <f>+VLOOKUP($AJ134,Data_Validation!$A:$D,1,0)</f>
        <v>G0594</v>
      </c>
      <c r="AP134" s="853" t="str">
        <f>+VLOOKUP($AJ134,Data_Validation!$A:$D,3,0)</f>
        <v>Service</v>
      </c>
      <c r="AQ134" s="853" t="str">
        <f>+VLOOKUP($AJ134,Data_Validation!$A:$D,4,0)</f>
        <v>Uniformes</v>
      </c>
      <c r="AR134" s="853" t="s">
        <v>728</v>
      </c>
      <c r="AS134" s="853" t="str">
        <f>+VLOOKUP($AJ134,Data_Validation!$A:$E,5,0)</f>
        <v/>
      </c>
      <c r="AT134" s="794" t="str">
        <f t="shared" ref="AT134:AU134" si="266">C134</f>
        <v>G0594</v>
      </c>
      <c r="AU134" s="854" t="str">
        <f t="shared" si="266"/>
        <v>UNIFORMES             SRV</v>
      </c>
      <c r="AV134" s="794">
        <f t="array" ref="AV134">IFERROR(INDEX(V134:AG134,1,MATCH(Parametres!$B$3,V$1:AG$1,0)-1)*IF(OR(C134="L",C134="S",C134="I"),-1,1),"")</f>
        <v>0</v>
      </c>
      <c r="AW134" s="794">
        <f t="shared" si="6"/>
        <v>0</v>
      </c>
      <c r="AX134" s="794">
        <f t="array" ref="AX134">INDEX(V134:AG134,1,MATCH(Parametres!$B$3,V$1:AG$1,0))*IF(OR(C134="L",C134="S",C134="I"),-1,1)</f>
        <v>0</v>
      </c>
      <c r="AY134" s="853" t="s">
        <v>772</v>
      </c>
      <c r="AZ134" s="853" t="str">
        <f>+VLOOKUP($AJ134,Data_Validation!$A:$E,5,0)</f>
        <v/>
      </c>
    </row>
    <row r="135" ht="15.75" customHeight="1">
      <c r="A135" s="849" t="s">
        <v>1239</v>
      </c>
      <c r="B135" s="849">
        <v>2026.0</v>
      </c>
      <c r="C135" s="849" t="s">
        <v>1501</v>
      </c>
      <c r="D135" s="849" t="s">
        <v>1502</v>
      </c>
      <c r="E135" s="849" t="s">
        <v>768</v>
      </c>
      <c r="F135" s="849" t="s">
        <v>1200</v>
      </c>
      <c r="G135" s="849">
        <v>0.0</v>
      </c>
      <c r="H135" s="849">
        <v>0.0</v>
      </c>
      <c r="I135" s="849">
        <v>0.0</v>
      </c>
      <c r="J135" s="849">
        <v>0.0</v>
      </c>
      <c r="K135" s="849">
        <v>0.0</v>
      </c>
      <c r="L135" s="849">
        <v>0.0</v>
      </c>
      <c r="M135" s="849">
        <v>0.0</v>
      </c>
      <c r="N135" s="849">
        <v>438.31</v>
      </c>
      <c r="O135" s="849">
        <v>849.36</v>
      </c>
      <c r="P135" s="849">
        <v>1013.78</v>
      </c>
      <c r="Q135" s="849">
        <v>0.0</v>
      </c>
      <c r="R135" s="849">
        <v>0.0</v>
      </c>
      <c r="S135" s="849">
        <v>94.37</v>
      </c>
      <c r="T135" s="849">
        <v>94.37</v>
      </c>
      <c r="U135" s="849">
        <v>0.0</v>
      </c>
      <c r="V135" s="849">
        <v>0.0</v>
      </c>
      <c r="W135" s="849">
        <v>0.0</v>
      </c>
      <c r="X135" s="849">
        <v>0.0</v>
      </c>
      <c r="Y135" s="849">
        <v>0.0</v>
      </c>
      <c r="Z135" s="849">
        <v>0.0</v>
      </c>
      <c r="AA135" s="849">
        <v>0.0</v>
      </c>
      <c r="AB135" s="849">
        <v>0.0</v>
      </c>
      <c r="AC135" s="849">
        <v>0.0</v>
      </c>
      <c r="AD135" s="849">
        <v>0.0</v>
      </c>
      <c r="AE135" s="849">
        <v>0.0</v>
      </c>
      <c r="AF135" s="849">
        <v>0.0</v>
      </c>
      <c r="AG135" s="849">
        <v>0.0</v>
      </c>
      <c r="AH135" s="849">
        <v>0.0</v>
      </c>
      <c r="AI135" s="849">
        <v>0.0</v>
      </c>
      <c r="AJ135" s="794" t="str">
        <f t="shared" ref="AJ135:AK135" si="267">C135</f>
        <v>G0595</v>
      </c>
      <c r="AK135" s="794" t="str">
        <f t="shared" si="267"/>
        <v>UNIFORMES            CARR</v>
      </c>
      <c r="AL135" s="794">
        <f t="array" ref="AL135">IFERROR(INDEX(G135:R135,1,MATCH(Parametres!$B$3,G$1:R$1,0)-1)*IF(OR(F135="L",F135="S",F135="I"),-1,1),"")</f>
        <v>438.31</v>
      </c>
      <c r="AM135" s="794">
        <f t="shared" si="4"/>
        <v>411.05</v>
      </c>
      <c r="AN135" s="794">
        <f t="array" ref="AN135">INDEX(G135:R135,1,MATCH(Parametres!$B$3,G$1:R$1,0))*IF(OR(F135="L",F135="S",F135="I"),-1,1)</f>
        <v>849.36</v>
      </c>
      <c r="AO135" s="853" t="str">
        <f>+VLOOKUP($AJ135,Data_Validation!$A:$D,1,0)</f>
        <v>G0595</v>
      </c>
      <c r="AP135" s="853" t="str">
        <f>+VLOOKUP($AJ135,Data_Validation!$A:$D,3,0)</f>
        <v>Carrosserie</v>
      </c>
      <c r="AQ135" s="853" t="str">
        <f>+VLOOKUP($AJ135,Data_Validation!$A:$D,4,0)</f>
        <v>Uniformes</v>
      </c>
      <c r="AR135" s="853" t="s">
        <v>728</v>
      </c>
      <c r="AS135" s="853" t="str">
        <f>+VLOOKUP($AJ135,Data_Validation!$A:$E,5,0)</f>
        <v/>
      </c>
      <c r="AT135" s="794" t="str">
        <f t="shared" ref="AT135:AU135" si="268">C135</f>
        <v>G0595</v>
      </c>
      <c r="AU135" s="854" t="str">
        <f t="shared" si="268"/>
        <v>UNIFORMES            CARR</v>
      </c>
      <c r="AV135" s="794">
        <f t="array" ref="AV135">IFERROR(INDEX(V135:AG135,1,MATCH(Parametres!$B$3,V$1:AG$1,0)-1)*IF(OR(C135="L",C135="S",C135="I"),-1,1),"")</f>
        <v>0</v>
      </c>
      <c r="AW135" s="794">
        <f t="shared" si="6"/>
        <v>0</v>
      </c>
      <c r="AX135" s="794">
        <f t="array" ref="AX135">INDEX(V135:AG135,1,MATCH(Parametres!$B$3,V$1:AG$1,0))*IF(OR(C135="L",C135="S",C135="I"),-1,1)</f>
        <v>0</v>
      </c>
      <c r="AY135" s="853" t="s">
        <v>772</v>
      </c>
      <c r="AZ135" s="853" t="str">
        <f>+VLOOKUP($AJ135,Data_Validation!$A:$E,5,0)</f>
        <v/>
      </c>
    </row>
    <row r="136" ht="15.0" customHeight="1">
      <c r="A136" s="849" t="s">
        <v>1239</v>
      </c>
      <c r="B136" s="849">
        <v>2026.0</v>
      </c>
      <c r="C136" s="849" t="s">
        <v>1503</v>
      </c>
      <c r="D136" s="849" t="s">
        <v>1504</v>
      </c>
      <c r="E136" s="849" t="s">
        <v>768</v>
      </c>
      <c r="F136" s="849" t="s">
        <v>1200</v>
      </c>
      <c r="G136" s="849">
        <v>0.0</v>
      </c>
      <c r="H136" s="849">
        <v>0.0</v>
      </c>
      <c r="I136" s="849">
        <v>0.0</v>
      </c>
      <c r="J136" s="849">
        <v>0.0</v>
      </c>
      <c r="K136" s="849">
        <v>0.0</v>
      </c>
      <c r="L136" s="849">
        <v>0.0</v>
      </c>
      <c r="M136" s="849">
        <v>0.0</v>
      </c>
      <c r="N136" s="849">
        <v>0.0</v>
      </c>
      <c r="O136" s="849">
        <v>0.0</v>
      </c>
      <c r="P136" s="849">
        <v>0.0</v>
      </c>
      <c r="Q136" s="849">
        <v>0.0</v>
      </c>
      <c r="R136" s="849">
        <v>0.0</v>
      </c>
      <c r="S136" s="849">
        <v>0.0</v>
      </c>
      <c r="T136" s="849">
        <v>0.0</v>
      </c>
      <c r="U136" s="849">
        <v>0.0</v>
      </c>
      <c r="V136" s="849">
        <v>0.0</v>
      </c>
      <c r="W136" s="849">
        <v>0.0</v>
      </c>
      <c r="X136" s="849">
        <v>0.0</v>
      </c>
      <c r="Y136" s="849">
        <v>0.0</v>
      </c>
      <c r="Z136" s="849">
        <v>0.0</v>
      </c>
      <c r="AA136" s="849">
        <v>0.0</v>
      </c>
      <c r="AB136" s="849">
        <v>0.0</v>
      </c>
      <c r="AC136" s="849">
        <v>0.0</v>
      </c>
      <c r="AD136" s="849">
        <v>0.0</v>
      </c>
      <c r="AE136" s="849">
        <v>0.0</v>
      </c>
      <c r="AF136" s="849">
        <v>0.0</v>
      </c>
      <c r="AG136" s="849">
        <v>0.0</v>
      </c>
      <c r="AH136" s="849">
        <v>0.0</v>
      </c>
      <c r="AI136" s="849">
        <v>0.0</v>
      </c>
      <c r="AJ136" s="794" t="str">
        <f t="shared" ref="AJ136:AK136" si="269">C136</f>
        <v>G0596</v>
      </c>
      <c r="AK136" s="794" t="str">
        <f t="shared" si="269"/>
        <v>UNIFORMES             PCS</v>
      </c>
      <c r="AL136" s="794">
        <f t="array" ref="AL136">IFERROR(INDEX(G136:R136,1,MATCH(Parametres!$B$3,G$1:R$1,0)-1)*IF(OR(F136="L",F136="S",F136="I"),-1,1),"")</f>
        <v>0</v>
      </c>
      <c r="AM136" s="794">
        <f t="shared" si="4"/>
        <v>0</v>
      </c>
      <c r="AN136" s="794">
        <f t="array" ref="AN136">INDEX(G136:R136,1,MATCH(Parametres!$B$3,G$1:R$1,0))*IF(OR(F136="L",F136="S",F136="I"),-1,1)</f>
        <v>0</v>
      </c>
      <c r="AO136" s="853" t="str">
        <f>+VLOOKUP($AJ136,Data_Validation!$A:$D,1,0)</f>
        <v>#N/A</v>
      </c>
      <c r="AP136" s="853" t="str">
        <f>+VLOOKUP($AJ136,Data_Validation!$A:$D,3,0)</f>
        <v>#N/A</v>
      </c>
      <c r="AQ136" s="853" t="str">
        <f>+VLOOKUP($AJ136,Data_Validation!$A:$D,4,0)</f>
        <v>#N/A</v>
      </c>
      <c r="AR136" s="853" t="s">
        <v>728</v>
      </c>
      <c r="AS136" s="853" t="str">
        <f>+VLOOKUP($AJ136,Data_Validation!$A:$E,5,0)</f>
        <v>#N/A</v>
      </c>
      <c r="AT136" s="794" t="str">
        <f t="shared" ref="AT136:AU136" si="270">C136</f>
        <v>G0596</v>
      </c>
      <c r="AU136" s="854" t="str">
        <f t="shared" si="270"/>
        <v>UNIFORMES             PCS</v>
      </c>
      <c r="AV136" s="794">
        <f t="array" ref="AV136">IFERROR(INDEX(V136:AG136,1,MATCH(Parametres!$B$3,V$1:AG$1,0)-1)*IF(OR(C136="L",C136="S",C136="I"),-1,1),"")</f>
        <v>0</v>
      </c>
      <c r="AW136" s="794">
        <f t="shared" si="6"/>
        <v>0</v>
      </c>
      <c r="AX136" s="794">
        <f t="array" ref="AX136">INDEX(V136:AG136,1,MATCH(Parametres!$B$3,V$1:AG$1,0))*IF(OR(C136="L",C136="S",C136="I"),-1,1)</f>
        <v>0</v>
      </c>
      <c r="AY136" s="853" t="s">
        <v>772</v>
      </c>
      <c r="AZ136" s="853" t="str">
        <f>+VLOOKUP($AJ136,Data_Validation!$A:$E,5,0)</f>
        <v>#N/A</v>
      </c>
    </row>
    <row r="137" ht="15.0" customHeight="1">
      <c r="A137" s="849" t="s">
        <v>1239</v>
      </c>
      <c r="B137" s="849">
        <v>2026.0</v>
      </c>
      <c r="C137" s="849" t="s">
        <v>1505</v>
      </c>
      <c r="D137" s="849" t="s">
        <v>1506</v>
      </c>
      <c r="E137" s="849" t="s">
        <v>768</v>
      </c>
      <c r="F137" s="849" t="s">
        <v>1200</v>
      </c>
      <c r="G137" s="849">
        <v>0.0</v>
      </c>
      <c r="H137" s="849">
        <v>0.0</v>
      </c>
      <c r="I137" s="849">
        <v>0.0</v>
      </c>
      <c r="J137" s="849">
        <v>0.0</v>
      </c>
      <c r="K137" s="849">
        <v>0.0</v>
      </c>
      <c r="L137" s="849">
        <v>0.0</v>
      </c>
      <c r="M137" s="849">
        <v>0.0</v>
      </c>
      <c r="N137" s="849">
        <v>435.59</v>
      </c>
      <c r="O137" s="849">
        <v>980.04</v>
      </c>
      <c r="P137" s="849">
        <v>1197.82</v>
      </c>
      <c r="Q137" s="849">
        <v>0.0</v>
      </c>
      <c r="R137" s="849">
        <v>0.0</v>
      </c>
      <c r="S137" s="849">
        <v>108.89</v>
      </c>
      <c r="T137" s="849">
        <v>108.89</v>
      </c>
      <c r="U137" s="849">
        <v>0.0</v>
      </c>
      <c r="V137" s="849">
        <v>0.0</v>
      </c>
      <c r="W137" s="849">
        <v>0.0</v>
      </c>
      <c r="X137" s="849">
        <v>0.0</v>
      </c>
      <c r="Y137" s="849">
        <v>0.0</v>
      </c>
      <c r="Z137" s="849">
        <v>0.0</v>
      </c>
      <c r="AA137" s="849">
        <v>0.0</v>
      </c>
      <c r="AB137" s="849">
        <v>0.0</v>
      </c>
      <c r="AC137" s="849">
        <v>0.0</v>
      </c>
      <c r="AD137" s="849">
        <v>0.0</v>
      </c>
      <c r="AE137" s="849">
        <v>0.0</v>
      </c>
      <c r="AF137" s="849">
        <v>0.0</v>
      </c>
      <c r="AG137" s="849">
        <v>0.0</v>
      </c>
      <c r="AH137" s="849">
        <v>0.0</v>
      </c>
      <c r="AI137" s="849">
        <v>0.0</v>
      </c>
      <c r="AJ137" s="794" t="str">
        <f t="shared" ref="AJ137:AK137" si="271">C137</f>
        <v>G0597</v>
      </c>
      <c r="AK137" s="794" t="str">
        <f t="shared" si="271"/>
        <v>UNIFORMES            SAAQ</v>
      </c>
      <c r="AL137" s="794">
        <f t="array" ref="AL137">IFERROR(INDEX(G137:R137,1,MATCH(Parametres!$B$3,G$1:R$1,0)-1)*IF(OR(F137="L",F137="S",F137="I"),-1,1),"")</f>
        <v>435.59</v>
      </c>
      <c r="AM137" s="794">
        <f t="shared" si="4"/>
        <v>544.45</v>
      </c>
      <c r="AN137" s="794">
        <f t="array" ref="AN137">INDEX(G137:R137,1,MATCH(Parametres!$B$3,G$1:R$1,0))*IF(OR(F137="L",F137="S",F137="I"),-1,1)</f>
        <v>980.04</v>
      </c>
      <c r="AO137" s="853" t="str">
        <f>+VLOOKUP($AJ137,Data_Validation!$A:$D,1,0)</f>
        <v>G0597</v>
      </c>
      <c r="AP137" s="853" t="str">
        <f>+VLOOKUP($AJ137,Data_Validation!$A:$D,3,0)</f>
        <v>SAAQ</v>
      </c>
      <c r="AQ137" s="853" t="str">
        <f>+VLOOKUP($AJ137,Data_Validation!$A:$D,4,0)</f>
        <v>Uniformes</v>
      </c>
      <c r="AR137" s="853" t="s">
        <v>728</v>
      </c>
      <c r="AS137" s="853" t="str">
        <f>+VLOOKUP($AJ137,Data_Validation!$A:$E,5,0)</f>
        <v/>
      </c>
      <c r="AT137" s="794" t="str">
        <f t="shared" ref="AT137:AU137" si="272">C137</f>
        <v>G0597</v>
      </c>
      <c r="AU137" s="854" t="str">
        <f t="shared" si="272"/>
        <v>UNIFORMES            SAAQ</v>
      </c>
      <c r="AV137" s="794">
        <f t="array" ref="AV137">IFERROR(INDEX(V137:AG137,1,MATCH(Parametres!$B$3,V$1:AG$1,0)-1)*IF(OR(C137="L",C137="S",C137="I"),-1,1),"")</f>
        <v>0</v>
      </c>
      <c r="AW137" s="794">
        <f t="shared" si="6"/>
        <v>0</v>
      </c>
      <c r="AX137" s="794">
        <f t="array" ref="AX137">INDEX(V137:AG137,1,MATCH(Parametres!$B$3,V$1:AG$1,0))*IF(OR(C137="L",C137="S",C137="I"),-1,1)</f>
        <v>0</v>
      </c>
      <c r="AY137" s="853" t="s">
        <v>772</v>
      </c>
      <c r="AZ137" s="853" t="str">
        <f>+VLOOKUP($AJ137,Data_Validation!$A:$E,5,0)</f>
        <v/>
      </c>
    </row>
    <row r="138" ht="15.0" customHeight="1">
      <c r="A138" s="849" t="s">
        <v>1239</v>
      </c>
      <c r="B138" s="849">
        <v>2026.0</v>
      </c>
      <c r="C138" s="849" t="s">
        <v>1507</v>
      </c>
      <c r="D138" s="849" t="s">
        <v>1508</v>
      </c>
      <c r="E138" s="849" t="s">
        <v>768</v>
      </c>
      <c r="F138" s="849" t="s">
        <v>1200</v>
      </c>
      <c r="G138" s="849">
        <v>0.0</v>
      </c>
      <c r="H138" s="849">
        <v>0.0</v>
      </c>
      <c r="I138" s="849">
        <v>0.0</v>
      </c>
      <c r="J138" s="849">
        <v>0.0</v>
      </c>
      <c r="K138" s="849">
        <v>0.0</v>
      </c>
      <c r="L138" s="849">
        <v>0.0</v>
      </c>
      <c r="M138" s="849">
        <v>0.0</v>
      </c>
      <c r="N138" s="849">
        <v>0.0</v>
      </c>
      <c r="O138" s="849">
        <v>0.0</v>
      </c>
      <c r="P138" s="849">
        <v>0.0</v>
      </c>
      <c r="Q138" s="849">
        <v>0.0</v>
      </c>
      <c r="R138" s="849">
        <v>0.0</v>
      </c>
      <c r="S138" s="849">
        <v>0.0</v>
      </c>
      <c r="T138" s="849">
        <v>0.0</v>
      </c>
      <c r="U138" s="849">
        <v>0.0</v>
      </c>
      <c r="V138" s="849">
        <v>0.0</v>
      </c>
      <c r="W138" s="849">
        <v>0.0</v>
      </c>
      <c r="X138" s="849">
        <v>0.0</v>
      </c>
      <c r="Y138" s="849">
        <v>0.0</v>
      </c>
      <c r="Z138" s="849">
        <v>0.0</v>
      </c>
      <c r="AA138" s="849">
        <v>0.0</v>
      </c>
      <c r="AB138" s="849">
        <v>0.0</v>
      </c>
      <c r="AC138" s="849">
        <v>0.0</v>
      </c>
      <c r="AD138" s="849">
        <v>0.0</v>
      </c>
      <c r="AE138" s="849">
        <v>0.0</v>
      </c>
      <c r="AF138" s="849">
        <v>0.0</v>
      </c>
      <c r="AG138" s="849">
        <v>0.0</v>
      </c>
      <c r="AH138" s="849">
        <v>0.0</v>
      </c>
      <c r="AI138" s="849">
        <v>0.0</v>
      </c>
      <c r="AJ138" s="794" t="str">
        <f t="shared" ref="AJ138:AK138" si="273">C138</f>
        <v>G0600</v>
      </c>
      <c r="AK138" s="794" t="str">
        <f t="shared" si="273"/>
        <v>FRAIS BUREAU REP.</v>
      </c>
      <c r="AL138" s="794">
        <f t="array" ref="AL138">IFERROR(INDEX(G138:R138,1,MATCH(Parametres!$B$3,G$1:R$1,0)-1)*IF(OR(F138="L",F138="S",F138="I"),-1,1),"")</f>
        <v>0</v>
      </c>
      <c r="AM138" s="794">
        <f t="shared" si="4"/>
        <v>0</v>
      </c>
      <c r="AN138" s="794">
        <f t="array" ref="AN138">INDEX(G138:R138,1,MATCH(Parametres!$B$3,G$1:R$1,0))*IF(OR(F138="L",F138="S",F138="I"),-1,1)</f>
        <v>0</v>
      </c>
      <c r="AO138" s="853" t="str">
        <f>+VLOOKUP($AJ138,Data_Validation!$A:$D,1,0)</f>
        <v>#N/A</v>
      </c>
      <c r="AP138" s="853" t="str">
        <f>+VLOOKUP($AJ138,Data_Validation!$A:$D,3,0)</f>
        <v>#N/A</v>
      </c>
      <c r="AQ138" s="853" t="str">
        <f>+VLOOKUP($AJ138,Data_Validation!$A:$D,4,0)</f>
        <v>#N/A</v>
      </c>
      <c r="AR138" s="853" t="s">
        <v>728</v>
      </c>
      <c r="AS138" s="853" t="str">
        <f>+VLOOKUP($AJ138,Data_Validation!$A:$E,5,0)</f>
        <v>#N/A</v>
      </c>
      <c r="AT138" s="794" t="str">
        <f t="shared" ref="AT138:AU138" si="274">C138</f>
        <v>G0600</v>
      </c>
      <c r="AU138" s="854" t="str">
        <f t="shared" si="274"/>
        <v>FRAIS BUREAU REP.</v>
      </c>
      <c r="AV138" s="794">
        <f t="array" ref="AV138">IFERROR(INDEX(V138:AG138,1,MATCH(Parametres!$B$3,V$1:AG$1,0)-1)*IF(OR(C138="L",C138="S",C138="I"),-1,1),"")</f>
        <v>0</v>
      </c>
      <c r="AW138" s="794">
        <f t="shared" si="6"/>
        <v>0</v>
      </c>
      <c r="AX138" s="794">
        <f t="array" ref="AX138">INDEX(V138:AG138,1,MATCH(Parametres!$B$3,V$1:AG$1,0))*IF(OR(C138="L",C138="S",C138="I"),-1,1)</f>
        <v>0</v>
      </c>
      <c r="AY138" s="853" t="s">
        <v>772</v>
      </c>
      <c r="AZ138" s="853" t="str">
        <f>+VLOOKUP($AJ138,Data_Validation!$A:$E,5,0)</f>
        <v>#N/A</v>
      </c>
    </row>
    <row r="139" ht="15.75" customHeight="1">
      <c r="A139" s="849" t="s">
        <v>1239</v>
      </c>
      <c r="B139" s="849">
        <v>2026.0</v>
      </c>
      <c r="C139" s="849" t="s">
        <v>1509</v>
      </c>
      <c r="D139" s="849" t="s">
        <v>1510</v>
      </c>
      <c r="E139" s="849" t="s">
        <v>768</v>
      </c>
      <c r="F139" s="849" t="s">
        <v>1200</v>
      </c>
      <c r="G139" s="849">
        <v>2386.19</v>
      </c>
      <c r="H139" s="849">
        <v>4298.22</v>
      </c>
      <c r="I139" s="849">
        <v>7101.74</v>
      </c>
      <c r="J139" s="849">
        <v>10421.69</v>
      </c>
      <c r="K139" s="849">
        <v>11989.05</v>
      </c>
      <c r="L139" s="849">
        <v>13255.92</v>
      </c>
      <c r="M139" s="849">
        <v>14440.31</v>
      </c>
      <c r="N139" s="849">
        <v>15961.09</v>
      </c>
      <c r="O139" s="849">
        <v>16701.57</v>
      </c>
      <c r="P139" s="849">
        <v>18138.15</v>
      </c>
      <c r="Q139" s="849">
        <v>0.0</v>
      </c>
      <c r="R139" s="849">
        <v>0.0</v>
      </c>
      <c r="S139" s="849">
        <v>1855.73</v>
      </c>
      <c r="T139" s="849">
        <v>1855.73</v>
      </c>
      <c r="U139" s="849">
        <v>0.0</v>
      </c>
      <c r="V139" s="849">
        <v>0.0</v>
      </c>
      <c r="W139" s="849">
        <v>0.0</v>
      </c>
      <c r="X139" s="849">
        <v>0.0</v>
      </c>
      <c r="Y139" s="849">
        <v>0.0</v>
      </c>
      <c r="Z139" s="849">
        <v>0.0</v>
      </c>
      <c r="AA139" s="849">
        <v>0.0</v>
      </c>
      <c r="AB139" s="849">
        <v>0.0</v>
      </c>
      <c r="AC139" s="849">
        <v>0.0</v>
      </c>
      <c r="AD139" s="849">
        <v>0.0</v>
      </c>
      <c r="AE139" s="849">
        <v>0.0</v>
      </c>
      <c r="AF139" s="849">
        <v>0.0</v>
      </c>
      <c r="AG139" s="849">
        <v>0.0</v>
      </c>
      <c r="AH139" s="849">
        <v>0.0</v>
      </c>
      <c r="AI139" s="849">
        <v>0.0</v>
      </c>
      <c r="AJ139" s="794" t="str">
        <f t="shared" ref="AJ139:AK139" si="275">C139</f>
        <v>G0601</v>
      </c>
      <c r="AK139" s="794" t="str">
        <f t="shared" si="275"/>
        <v>FRAIS BUREAU NEUFS</v>
      </c>
      <c r="AL139" s="794">
        <f t="array" ref="AL139">IFERROR(INDEX(G139:R139,1,MATCH(Parametres!$B$3,G$1:R$1,0)-1)*IF(OR(F139="L",F139="S",F139="I"),-1,1),"")</f>
        <v>15961.09</v>
      </c>
      <c r="AM139" s="794">
        <f t="shared" si="4"/>
        <v>740.48</v>
      </c>
      <c r="AN139" s="794">
        <f t="array" ref="AN139">INDEX(G139:R139,1,MATCH(Parametres!$B$3,G$1:R$1,0))*IF(OR(F139="L",F139="S",F139="I"),-1,1)</f>
        <v>16701.57</v>
      </c>
      <c r="AO139" s="853" t="str">
        <f>+VLOOKUP($AJ139,Data_Validation!$A:$D,1,0)</f>
        <v>G0601</v>
      </c>
      <c r="AP139" s="853" t="str">
        <f>+VLOOKUP($AJ139,Data_Validation!$A:$D,3,0)</f>
        <v>Véhicules neufs</v>
      </c>
      <c r="AQ139" s="853" t="str">
        <f>+VLOOKUP($AJ139,Data_Validation!$A:$D,4,0)</f>
        <v>Papeterie</v>
      </c>
      <c r="AR139" s="853" t="s">
        <v>728</v>
      </c>
      <c r="AS139" s="853" t="str">
        <f>+VLOOKUP($AJ139,Data_Validation!$A:$E,5,0)</f>
        <v/>
      </c>
      <c r="AT139" s="794" t="str">
        <f t="shared" ref="AT139:AU139" si="276">C139</f>
        <v>G0601</v>
      </c>
      <c r="AU139" s="854" t="str">
        <f t="shared" si="276"/>
        <v>FRAIS BUREAU NEUFS</v>
      </c>
      <c r="AV139" s="794">
        <f t="array" ref="AV139">IFERROR(INDEX(V139:AG139,1,MATCH(Parametres!$B$3,V$1:AG$1,0)-1)*IF(OR(C139="L",C139="S",C139="I"),-1,1),"")</f>
        <v>0</v>
      </c>
      <c r="AW139" s="794">
        <f t="shared" si="6"/>
        <v>0</v>
      </c>
      <c r="AX139" s="794">
        <f t="array" ref="AX139">INDEX(V139:AG139,1,MATCH(Parametres!$B$3,V$1:AG$1,0))*IF(OR(C139="L",C139="S",C139="I"),-1,1)</f>
        <v>0</v>
      </c>
      <c r="AY139" s="853" t="s">
        <v>772</v>
      </c>
      <c r="AZ139" s="853" t="str">
        <f>+VLOOKUP($AJ139,Data_Validation!$A:$E,5,0)</f>
        <v/>
      </c>
    </row>
    <row r="140" ht="15.0" customHeight="1">
      <c r="A140" s="849" t="s">
        <v>1239</v>
      </c>
      <c r="B140" s="849">
        <v>2026.0</v>
      </c>
      <c r="C140" s="849" t="s">
        <v>1511</v>
      </c>
      <c r="D140" s="849" t="s">
        <v>1512</v>
      </c>
      <c r="E140" s="849" t="s">
        <v>768</v>
      </c>
      <c r="F140" s="849" t="s">
        <v>1200</v>
      </c>
      <c r="G140" s="849">
        <v>721.91</v>
      </c>
      <c r="H140" s="849">
        <v>1264.5</v>
      </c>
      <c r="I140" s="849">
        <v>2525.51</v>
      </c>
      <c r="J140" s="849">
        <v>3175.06</v>
      </c>
      <c r="K140" s="849">
        <v>4081.11</v>
      </c>
      <c r="L140" s="849">
        <v>4876.28</v>
      </c>
      <c r="M140" s="849">
        <v>5079.23</v>
      </c>
      <c r="N140" s="849">
        <v>5890.62</v>
      </c>
      <c r="O140" s="849">
        <v>6053.32</v>
      </c>
      <c r="P140" s="849">
        <v>6646.22</v>
      </c>
      <c r="Q140" s="849">
        <v>0.0</v>
      </c>
      <c r="R140" s="849">
        <v>0.0</v>
      </c>
      <c r="S140" s="849">
        <v>672.59</v>
      </c>
      <c r="T140" s="849">
        <v>672.59</v>
      </c>
      <c r="U140" s="849">
        <v>0.0</v>
      </c>
      <c r="V140" s="849">
        <v>0.0</v>
      </c>
      <c r="W140" s="849">
        <v>0.0</v>
      </c>
      <c r="X140" s="849">
        <v>0.0</v>
      </c>
      <c r="Y140" s="849">
        <v>0.0</v>
      </c>
      <c r="Z140" s="849">
        <v>0.0</v>
      </c>
      <c r="AA140" s="849">
        <v>0.0</v>
      </c>
      <c r="AB140" s="849">
        <v>0.0</v>
      </c>
      <c r="AC140" s="849">
        <v>0.0</v>
      </c>
      <c r="AD140" s="849">
        <v>0.0</v>
      </c>
      <c r="AE140" s="849">
        <v>0.0</v>
      </c>
      <c r="AF140" s="849">
        <v>0.0</v>
      </c>
      <c r="AG140" s="849">
        <v>0.0</v>
      </c>
      <c r="AH140" s="849">
        <v>0.0</v>
      </c>
      <c r="AI140" s="849">
        <v>0.0</v>
      </c>
      <c r="AJ140" s="794" t="str">
        <f t="shared" ref="AJ140:AK140" si="277">C140</f>
        <v>G0602</v>
      </c>
      <c r="AK140" s="794" t="str">
        <f t="shared" si="277"/>
        <v>FRAIS BUREAU USAGES</v>
      </c>
      <c r="AL140" s="794">
        <f t="array" ref="AL140">IFERROR(INDEX(G140:R140,1,MATCH(Parametres!$B$3,G$1:R$1,0)-1)*IF(OR(F140="L",F140="S",F140="I"),-1,1),"")</f>
        <v>5890.62</v>
      </c>
      <c r="AM140" s="794">
        <f t="shared" si="4"/>
        <v>162.7</v>
      </c>
      <c r="AN140" s="794">
        <f t="array" ref="AN140">INDEX(G140:R140,1,MATCH(Parametres!$B$3,G$1:R$1,0))*IF(OR(F140="L",F140="S",F140="I"),-1,1)</f>
        <v>6053.32</v>
      </c>
      <c r="AO140" s="853" t="str">
        <f>+VLOOKUP($AJ140,Data_Validation!$A:$D,1,0)</f>
        <v>G0602</v>
      </c>
      <c r="AP140" s="853" t="str">
        <f>+VLOOKUP($AJ140,Data_Validation!$A:$D,3,0)</f>
        <v>Véhicules usagés</v>
      </c>
      <c r="AQ140" s="853" t="str">
        <f>+VLOOKUP($AJ140,Data_Validation!$A:$D,4,0)</f>
        <v>Papeterie</v>
      </c>
      <c r="AR140" s="853" t="s">
        <v>728</v>
      </c>
      <c r="AS140" s="853" t="str">
        <f>+VLOOKUP($AJ140,Data_Validation!$A:$E,5,0)</f>
        <v/>
      </c>
      <c r="AT140" s="794" t="str">
        <f t="shared" ref="AT140:AU140" si="278">C140</f>
        <v>G0602</v>
      </c>
      <c r="AU140" s="854" t="str">
        <f t="shared" si="278"/>
        <v>FRAIS BUREAU USAGES</v>
      </c>
      <c r="AV140" s="794">
        <f t="array" ref="AV140">IFERROR(INDEX(V140:AG140,1,MATCH(Parametres!$B$3,V$1:AG$1,0)-1)*IF(OR(C140="L",C140="S",C140="I"),-1,1),"")</f>
        <v>0</v>
      </c>
      <c r="AW140" s="794">
        <f t="shared" si="6"/>
        <v>0</v>
      </c>
      <c r="AX140" s="794">
        <f t="array" ref="AX140">INDEX(V140:AG140,1,MATCH(Parametres!$B$3,V$1:AG$1,0))*IF(OR(C140="L",C140="S",C140="I"),-1,1)</f>
        <v>0</v>
      </c>
      <c r="AY140" s="853" t="s">
        <v>772</v>
      </c>
      <c r="AZ140" s="853" t="str">
        <f>+VLOOKUP($AJ140,Data_Validation!$A:$E,5,0)</f>
        <v/>
      </c>
    </row>
    <row r="141" ht="15.0" customHeight="1">
      <c r="A141" s="849" t="s">
        <v>1239</v>
      </c>
      <c r="B141" s="849">
        <v>2026.0</v>
      </c>
      <c r="C141" s="849" t="s">
        <v>1513</v>
      </c>
      <c r="D141" s="849" t="s">
        <v>1514</v>
      </c>
      <c r="E141" s="849" t="s">
        <v>768</v>
      </c>
      <c r="F141" s="849" t="s">
        <v>1200</v>
      </c>
      <c r="G141" s="849">
        <v>118.0</v>
      </c>
      <c r="H141" s="849">
        <v>118.0</v>
      </c>
      <c r="I141" s="849">
        <v>513.0</v>
      </c>
      <c r="J141" s="849">
        <v>857.0</v>
      </c>
      <c r="K141" s="849">
        <v>1552.0</v>
      </c>
      <c r="L141" s="849">
        <v>2002.0</v>
      </c>
      <c r="M141" s="849">
        <v>2252.0</v>
      </c>
      <c r="N141" s="849">
        <v>2502.0</v>
      </c>
      <c r="O141" s="849">
        <v>2502.0</v>
      </c>
      <c r="P141" s="849">
        <v>2502.0</v>
      </c>
      <c r="Q141" s="849">
        <v>0.0</v>
      </c>
      <c r="R141" s="849">
        <v>0.0</v>
      </c>
      <c r="S141" s="849">
        <v>278.0</v>
      </c>
      <c r="T141" s="849">
        <v>278.0</v>
      </c>
      <c r="U141" s="849">
        <v>0.0</v>
      </c>
      <c r="V141" s="849">
        <v>0.0</v>
      </c>
      <c r="W141" s="849">
        <v>0.0</v>
      </c>
      <c r="X141" s="849">
        <v>0.0</v>
      </c>
      <c r="Y141" s="849">
        <v>0.0</v>
      </c>
      <c r="Z141" s="849">
        <v>0.0</v>
      </c>
      <c r="AA141" s="849">
        <v>0.0</v>
      </c>
      <c r="AB141" s="849">
        <v>0.0</v>
      </c>
      <c r="AC141" s="849">
        <v>0.0</v>
      </c>
      <c r="AD141" s="849">
        <v>0.0</v>
      </c>
      <c r="AE141" s="849">
        <v>0.0</v>
      </c>
      <c r="AF141" s="849">
        <v>0.0</v>
      </c>
      <c r="AG141" s="849">
        <v>0.0</v>
      </c>
      <c r="AH141" s="849">
        <v>0.0</v>
      </c>
      <c r="AI141" s="849">
        <v>0.0</v>
      </c>
      <c r="AJ141" s="794" t="str">
        <f t="shared" ref="AJ141:AK141" si="279">C141</f>
        <v>G0603</v>
      </c>
      <c r="AK141" s="794" t="str">
        <f t="shared" si="279"/>
        <v>FRAIS BUREAU U.S.A</v>
      </c>
      <c r="AL141" s="794">
        <f t="array" ref="AL141">IFERROR(INDEX(G141:R141,1,MATCH(Parametres!$B$3,G$1:R$1,0)-1)*IF(OR(F141="L",F141="S",F141="I"),-1,1),"")</f>
        <v>2502</v>
      </c>
      <c r="AM141" s="794">
        <f t="shared" si="4"/>
        <v>0</v>
      </c>
      <c r="AN141" s="794">
        <f t="array" ref="AN141">INDEX(G141:R141,1,MATCH(Parametres!$B$3,G$1:R$1,0))*IF(OR(F141="L",F141="S",F141="I"),-1,1)</f>
        <v>2502</v>
      </c>
      <c r="AO141" s="853" t="str">
        <f>+VLOOKUP($AJ141,Data_Validation!$A:$D,1,0)</f>
        <v>G0603</v>
      </c>
      <c r="AP141" s="853" t="str">
        <f>+VLOOKUP($AJ141,Data_Validation!$A:$D,3,0)</f>
        <v>Wholesale autres</v>
      </c>
      <c r="AQ141" s="853" t="str">
        <f>+VLOOKUP($AJ141,Data_Validation!$A:$D,4,0)</f>
        <v>Papeterie</v>
      </c>
      <c r="AR141" s="853" t="s">
        <v>728</v>
      </c>
      <c r="AS141" s="853" t="str">
        <f>+VLOOKUP($AJ141,Data_Validation!$A:$E,5,0)</f>
        <v/>
      </c>
      <c r="AT141" s="794" t="str">
        <f t="shared" ref="AT141:AU141" si="280">C141</f>
        <v>G0603</v>
      </c>
      <c r="AU141" s="854" t="str">
        <f t="shared" si="280"/>
        <v>FRAIS BUREAU U.S.A</v>
      </c>
      <c r="AV141" s="794">
        <f t="array" ref="AV141">IFERROR(INDEX(V141:AG141,1,MATCH(Parametres!$B$3,V$1:AG$1,0)-1)*IF(OR(C141="L",C141="S",C141="I"),-1,1),"")</f>
        <v>0</v>
      </c>
      <c r="AW141" s="794">
        <f t="shared" si="6"/>
        <v>0</v>
      </c>
      <c r="AX141" s="794">
        <f t="array" ref="AX141">INDEX(V141:AG141,1,MATCH(Parametres!$B$3,V$1:AG$1,0))*IF(OR(C141="L",C141="S",C141="I"),-1,1)</f>
        <v>0</v>
      </c>
      <c r="AY141" s="853" t="s">
        <v>772</v>
      </c>
      <c r="AZ141" s="853" t="str">
        <f>+VLOOKUP($AJ141,Data_Validation!$A:$E,5,0)</f>
        <v/>
      </c>
    </row>
    <row r="142" ht="15.0" customHeight="1">
      <c r="A142" s="849" t="s">
        <v>1239</v>
      </c>
      <c r="B142" s="849">
        <v>2026.0</v>
      </c>
      <c r="C142" s="849" t="s">
        <v>1515</v>
      </c>
      <c r="D142" s="849" t="s">
        <v>1516</v>
      </c>
      <c r="E142" s="849" t="s">
        <v>768</v>
      </c>
      <c r="F142" s="849" t="s">
        <v>1200</v>
      </c>
      <c r="G142" s="849">
        <v>1052.16</v>
      </c>
      <c r="H142" s="849">
        <v>1960.99</v>
      </c>
      <c r="I142" s="849">
        <v>4204.47</v>
      </c>
      <c r="J142" s="849">
        <v>5318.95</v>
      </c>
      <c r="K142" s="849">
        <v>7805.23</v>
      </c>
      <c r="L142" s="849">
        <v>8998.02</v>
      </c>
      <c r="M142" s="849">
        <v>9381.23</v>
      </c>
      <c r="N142" s="849">
        <v>11012.7</v>
      </c>
      <c r="O142" s="849">
        <v>11351.24</v>
      </c>
      <c r="P142" s="849">
        <v>12389.47</v>
      </c>
      <c r="Q142" s="849">
        <v>0.0</v>
      </c>
      <c r="R142" s="849">
        <v>0.0</v>
      </c>
      <c r="S142" s="849">
        <v>1261.25</v>
      </c>
      <c r="T142" s="849">
        <v>1261.25</v>
      </c>
      <c r="U142" s="849">
        <v>0.0</v>
      </c>
      <c r="V142" s="849">
        <v>0.0</v>
      </c>
      <c r="W142" s="849">
        <v>0.0</v>
      </c>
      <c r="X142" s="849">
        <v>0.0</v>
      </c>
      <c r="Y142" s="849">
        <v>0.0</v>
      </c>
      <c r="Z142" s="849">
        <v>0.0</v>
      </c>
      <c r="AA142" s="849">
        <v>0.0</v>
      </c>
      <c r="AB142" s="849">
        <v>0.0</v>
      </c>
      <c r="AC142" s="849">
        <v>0.0</v>
      </c>
      <c r="AD142" s="849">
        <v>0.0</v>
      </c>
      <c r="AE142" s="849">
        <v>0.0</v>
      </c>
      <c r="AF142" s="849">
        <v>0.0</v>
      </c>
      <c r="AG142" s="849">
        <v>0.0</v>
      </c>
      <c r="AH142" s="849">
        <v>0.0</v>
      </c>
      <c r="AI142" s="849">
        <v>0.0</v>
      </c>
      <c r="AJ142" s="794" t="str">
        <f t="shared" ref="AJ142:AK142" si="281">C142</f>
        <v>G0604</v>
      </c>
      <c r="AK142" s="794" t="str">
        <f t="shared" si="281"/>
        <v>FRAIS BUREAU SERVICE</v>
      </c>
      <c r="AL142" s="794">
        <f t="array" ref="AL142">IFERROR(INDEX(G142:R142,1,MATCH(Parametres!$B$3,G$1:R$1,0)-1)*IF(OR(F142="L",F142="S",F142="I"),-1,1),"")</f>
        <v>11012.7</v>
      </c>
      <c r="AM142" s="794">
        <f t="shared" si="4"/>
        <v>338.54</v>
      </c>
      <c r="AN142" s="794">
        <f t="array" ref="AN142">INDEX(G142:R142,1,MATCH(Parametres!$B$3,G$1:R$1,0))*IF(OR(F142="L",F142="S",F142="I"),-1,1)</f>
        <v>11351.24</v>
      </c>
      <c r="AO142" s="853" t="str">
        <f>+VLOOKUP($AJ142,Data_Validation!$A:$D,1,0)</f>
        <v>G0604</v>
      </c>
      <c r="AP142" s="853" t="str">
        <f>+VLOOKUP($AJ142,Data_Validation!$A:$D,3,0)</f>
        <v>Service</v>
      </c>
      <c r="AQ142" s="853" t="str">
        <f>+VLOOKUP($AJ142,Data_Validation!$A:$D,4,0)</f>
        <v>Papeterie</v>
      </c>
      <c r="AR142" s="853" t="s">
        <v>728</v>
      </c>
      <c r="AS142" s="853" t="str">
        <f>+VLOOKUP($AJ142,Data_Validation!$A:$E,5,0)</f>
        <v/>
      </c>
      <c r="AT142" s="794" t="str">
        <f t="shared" ref="AT142:AU142" si="282">C142</f>
        <v>G0604</v>
      </c>
      <c r="AU142" s="854" t="str">
        <f t="shared" si="282"/>
        <v>FRAIS BUREAU SERVICE</v>
      </c>
      <c r="AV142" s="794">
        <f t="array" ref="AV142">IFERROR(INDEX(V142:AG142,1,MATCH(Parametres!$B$3,V$1:AG$1,0)-1)*IF(OR(C142="L",C142="S",C142="I"),-1,1),"")</f>
        <v>0</v>
      </c>
      <c r="AW142" s="794">
        <f t="shared" si="6"/>
        <v>0</v>
      </c>
      <c r="AX142" s="794">
        <f t="array" ref="AX142">INDEX(V142:AG142,1,MATCH(Parametres!$B$3,V$1:AG$1,0))*IF(OR(C142="L",C142="S",C142="I"),-1,1)</f>
        <v>0</v>
      </c>
      <c r="AY142" s="853" t="s">
        <v>772</v>
      </c>
      <c r="AZ142" s="853" t="str">
        <f>+VLOOKUP($AJ142,Data_Validation!$A:$E,5,0)</f>
        <v/>
      </c>
    </row>
    <row r="143" ht="15.75" customHeight="1">
      <c r="A143" s="849" t="s">
        <v>1239</v>
      </c>
      <c r="B143" s="849">
        <v>2026.0</v>
      </c>
      <c r="C143" s="849" t="s">
        <v>1517</v>
      </c>
      <c r="D143" s="849" t="s">
        <v>1518</v>
      </c>
      <c r="E143" s="849" t="s">
        <v>768</v>
      </c>
      <c r="F143" s="849" t="s">
        <v>1200</v>
      </c>
      <c r="G143" s="849">
        <v>329.75</v>
      </c>
      <c r="H143" s="849">
        <v>601.04</v>
      </c>
      <c r="I143" s="849">
        <v>1231.55</v>
      </c>
      <c r="J143" s="849">
        <v>1763.31</v>
      </c>
      <c r="K143" s="849">
        <v>2216.35</v>
      </c>
      <c r="L143" s="849">
        <v>2793.96</v>
      </c>
      <c r="M143" s="849">
        <v>2895.43</v>
      </c>
      <c r="N143" s="849">
        <v>3301.13</v>
      </c>
      <c r="O143" s="849">
        <v>3349.93</v>
      </c>
      <c r="P143" s="849">
        <v>3806.37</v>
      </c>
      <c r="Q143" s="849">
        <v>0.0</v>
      </c>
      <c r="R143" s="849">
        <v>0.0</v>
      </c>
      <c r="S143" s="849">
        <v>372.21</v>
      </c>
      <c r="T143" s="849">
        <v>372.21</v>
      </c>
      <c r="U143" s="849">
        <v>0.0</v>
      </c>
      <c r="V143" s="849">
        <v>0.0</v>
      </c>
      <c r="W143" s="849">
        <v>0.0</v>
      </c>
      <c r="X143" s="849">
        <v>0.0</v>
      </c>
      <c r="Y143" s="849">
        <v>0.0</v>
      </c>
      <c r="Z143" s="849">
        <v>0.0</v>
      </c>
      <c r="AA143" s="849">
        <v>0.0</v>
      </c>
      <c r="AB143" s="849">
        <v>0.0</v>
      </c>
      <c r="AC143" s="849">
        <v>0.0</v>
      </c>
      <c r="AD143" s="849">
        <v>0.0</v>
      </c>
      <c r="AE143" s="849">
        <v>0.0</v>
      </c>
      <c r="AF143" s="849">
        <v>0.0</v>
      </c>
      <c r="AG143" s="849">
        <v>0.0</v>
      </c>
      <c r="AH143" s="849">
        <v>0.0</v>
      </c>
      <c r="AI143" s="849">
        <v>0.0</v>
      </c>
      <c r="AJ143" s="794" t="str">
        <f t="shared" ref="AJ143:AK143" si="283">C143</f>
        <v>G0605</v>
      </c>
      <c r="AK143" s="794" t="str">
        <f t="shared" si="283"/>
        <v>FRAIS BUREAU CARROSS.</v>
      </c>
      <c r="AL143" s="794">
        <f t="array" ref="AL143">IFERROR(INDEX(G143:R143,1,MATCH(Parametres!$B$3,G$1:R$1,0)-1)*IF(OR(F143="L",F143="S",F143="I"),-1,1),"")</f>
        <v>3301.13</v>
      </c>
      <c r="AM143" s="794">
        <f t="shared" si="4"/>
        <v>48.8</v>
      </c>
      <c r="AN143" s="794">
        <f t="array" ref="AN143">INDEX(G143:R143,1,MATCH(Parametres!$B$3,G$1:R$1,0))*IF(OR(F143="L",F143="S",F143="I"),-1,1)</f>
        <v>3349.93</v>
      </c>
      <c r="AO143" s="853" t="str">
        <f>+VLOOKUP($AJ143,Data_Validation!$A:$D,1,0)</f>
        <v>G0605</v>
      </c>
      <c r="AP143" s="853" t="str">
        <f>+VLOOKUP($AJ143,Data_Validation!$A:$D,3,0)</f>
        <v>Carrosserie</v>
      </c>
      <c r="AQ143" s="853" t="str">
        <f>+VLOOKUP($AJ143,Data_Validation!$A:$D,4,0)</f>
        <v>Papeterie</v>
      </c>
      <c r="AR143" s="853" t="s">
        <v>728</v>
      </c>
      <c r="AS143" s="853" t="str">
        <f>+VLOOKUP($AJ143,Data_Validation!$A:$E,5,0)</f>
        <v/>
      </c>
      <c r="AT143" s="794" t="str">
        <f t="shared" ref="AT143:AU143" si="284">C143</f>
        <v>G0605</v>
      </c>
      <c r="AU143" s="854" t="str">
        <f t="shared" si="284"/>
        <v>FRAIS BUREAU CARROSS.</v>
      </c>
      <c r="AV143" s="794">
        <f t="array" ref="AV143">IFERROR(INDEX(V143:AG143,1,MATCH(Parametres!$B$3,V$1:AG$1,0)-1)*IF(OR(C143="L",C143="S",C143="I"),-1,1),"")</f>
        <v>0</v>
      </c>
      <c r="AW143" s="794">
        <f t="shared" si="6"/>
        <v>0</v>
      </c>
      <c r="AX143" s="794">
        <f t="array" ref="AX143">INDEX(V143:AG143,1,MATCH(Parametres!$B$3,V$1:AG$1,0))*IF(OR(C143="L",C143="S",C143="I"),-1,1)</f>
        <v>0</v>
      </c>
      <c r="AY143" s="853" t="s">
        <v>772</v>
      </c>
      <c r="AZ143" s="853" t="str">
        <f>+VLOOKUP($AJ143,Data_Validation!$A:$E,5,0)</f>
        <v/>
      </c>
    </row>
    <row r="144" ht="15.0" customHeight="1">
      <c r="A144" s="849" t="s">
        <v>1239</v>
      </c>
      <c r="B144" s="849">
        <v>2026.0</v>
      </c>
      <c r="C144" s="849" t="s">
        <v>1519</v>
      </c>
      <c r="D144" s="849" t="s">
        <v>1520</v>
      </c>
      <c r="E144" s="849" t="s">
        <v>768</v>
      </c>
      <c r="F144" s="849" t="s">
        <v>1200</v>
      </c>
      <c r="G144" s="849">
        <v>545.0</v>
      </c>
      <c r="H144" s="849">
        <v>822.28</v>
      </c>
      <c r="I144" s="849">
        <v>1662.62</v>
      </c>
      <c r="J144" s="849">
        <v>1987.37</v>
      </c>
      <c r="K144" s="849">
        <v>2440.29</v>
      </c>
      <c r="L144" s="849">
        <v>2872.38</v>
      </c>
      <c r="M144" s="849">
        <v>2973.84</v>
      </c>
      <c r="N144" s="849">
        <v>3506.87</v>
      </c>
      <c r="O144" s="849">
        <v>3584.18</v>
      </c>
      <c r="P144" s="849">
        <v>3914.58</v>
      </c>
      <c r="Q144" s="849">
        <v>0.0</v>
      </c>
      <c r="R144" s="849">
        <v>0.0</v>
      </c>
      <c r="S144" s="849">
        <v>398.24</v>
      </c>
      <c r="T144" s="849">
        <v>398.24</v>
      </c>
      <c r="U144" s="849">
        <v>0.0</v>
      </c>
      <c r="V144" s="849">
        <v>0.0</v>
      </c>
      <c r="W144" s="849">
        <v>0.0</v>
      </c>
      <c r="X144" s="849">
        <v>0.0</v>
      </c>
      <c r="Y144" s="849">
        <v>0.0</v>
      </c>
      <c r="Z144" s="849">
        <v>0.0</v>
      </c>
      <c r="AA144" s="849">
        <v>0.0</v>
      </c>
      <c r="AB144" s="849">
        <v>0.0</v>
      </c>
      <c r="AC144" s="849">
        <v>0.0</v>
      </c>
      <c r="AD144" s="849">
        <v>0.0</v>
      </c>
      <c r="AE144" s="849">
        <v>0.0</v>
      </c>
      <c r="AF144" s="849">
        <v>0.0</v>
      </c>
      <c r="AG144" s="849">
        <v>0.0</v>
      </c>
      <c r="AH144" s="849">
        <v>0.0</v>
      </c>
      <c r="AI144" s="849">
        <v>0.0</v>
      </c>
      <c r="AJ144" s="794" t="str">
        <f t="shared" ref="AJ144:AK144" si="285">C144</f>
        <v>G0606</v>
      </c>
      <c r="AK144" s="794" t="str">
        <f t="shared" si="285"/>
        <v>FRAIS BUREAU PIECES</v>
      </c>
      <c r="AL144" s="794">
        <f t="array" ref="AL144">IFERROR(INDEX(G144:R144,1,MATCH(Parametres!$B$3,G$1:R$1,0)-1)*IF(OR(F144="L",F144="S",F144="I"),-1,1),"")</f>
        <v>3506.87</v>
      </c>
      <c r="AM144" s="794">
        <f t="shared" si="4"/>
        <v>77.31</v>
      </c>
      <c r="AN144" s="794">
        <f t="array" ref="AN144">INDEX(G144:R144,1,MATCH(Parametres!$B$3,G$1:R$1,0))*IF(OR(F144="L",F144="S",F144="I"),-1,1)</f>
        <v>3584.18</v>
      </c>
      <c r="AO144" s="853" t="str">
        <f>+VLOOKUP($AJ144,Data_Validation!$A:$D,1,0)</f>
        <v>G0606</v>
      </c>
      <c r="AP144" s="853" t="str">
        <f>+VLOOKUP($AJ144,Data_Validation!$A:$D,3,0)</f>
        <v>Pièces</v>
      </c>
      <c r="AQ144" s="853" t="str">
        <f>+VLOOKUP($AJ144,Data_Validation!$A:$D,4,0)</f>
        <v>Papeterie</v>
      </c>
      <c r="AR144" s="853" t="s">
        <v>728</v>
      </c>
      <c r="AS144" s="853" t="str">
        <f>+VLOOKUP($AJ144,Data_Validation!$A:$E,5,0)</f>
        <v/>
      </c>
      <c r="AT144" s="794" t="str">
        <f t="shared" ref="AT144:AU144" si="286">C144</f>
        <v>G0606</v>
      </c>
      <c r="AU144" s="854" t="str">
        <f t="shared" si="286"/>
        <v>FRAIS BUREAU PIECES</v>
      </c>
      <c r="AV144" s="794">
        <f t="array" ref="AV144">IFERROR(INDEX(V144:AG144,1,MATCH(Parametres!$B$3,V$1:AG$1,0)-1)*IF(OR(C144="L",C144="S",C144="I"),-1,1),"")</f>
        <v>0</v>
      </c>
      <c r="AW144" s="794">
        <f t="shared" si="6"/>
        <v>0</v>
      </c>
      <c r="AX144" s="794">
        <f t="array" ref="AX144">INDEX(V144:AG144,1,MATCH(Parametres!$B$3,V$1:AG$1,0))*IF(OR(C144="L",C144="S",C144="I"),-1,1)</f>
        <v>0</v>
      </c>
      <c r="AY144" s="853" t="s">
        <v>772</v>
      </c>
      <c r="AZ144" s="853" t="str">
        <f>+VLOOKUP($AJ144,Data_Validation!$A:$E,5,0)</f>
        <v/>
      </c>
    </row>
    <row r="145" ht="15.0" customHeight="1">
      <c r="A145" s="849" t="s">
        <v>1239</v>
      </c>
      <c r="B145" s="849">
        <v>2026.0</v>
      </c>
      <c r="C145" s="849" t="s">
        <v>1521</v>
      </c>
      <c r="D145" s="849" t="s">
        <v>1522</v>
      </c>
      <c r="E145" s="849" t="s">
        <v>768</v>
      </c>
      <c r="F145" s="849" t="s">
        <v>1200</v>
      </c>
      <c r="G145" s="849">
        <v>0.0</v>
      </c>
      <c r="H145" s="849">
        <v>0.0</v>
      </c>
      <c r="I145" s="849">
        <v>0.0</v>
      </c>
      <c r="J145" s="849">
        <v>0.0</v>
      </c>
      <c r="K145" s="849">
        <v>0.0</v>
      </c>
      <c r="L145" s="849">
        <v>0.0</v>
      </c>
      <c r="M145" s="849">
        <v>0.0</v>
      </c>
      <c r="N145" s="849">
        <v>0.0</v>
      </c>
      <c r="O145" s="849">
        <v>0.0</v>
      </c>
      <c r="P145" s="849">
        <v>0.0</v>
      </c>
      <c r="Q145" s="849">
        <v>0.0</v>
      </c>
      <c r="R145" s="849">
        <v>0.0</v>
      </c>
      <c r="S145" s="849">
        <v>0.0</v>
      </c>
      <c r="T145" s="849">
        <v>0.0</v>
      </c>
      <c r="U145" s="849">
        <v>0.0</v>
      </c>
      <c r="V145" s="849">
        <v>0.0</v>
      </c>
      <c r="W145" s="849">
        <v>0.0</v>
      </c>
      <c r="X145" s="849">
        <v>0.0</v>
      </c>
      <c r="Y145" s="849">
        <v>0.0</v>
      </c>
      <c r="Z145" s="849">
        <v>0.0</v>
      </c>
      <c r="AA145" s="849">
        <v>0.0</v>
      </c>
      <c r="AB145" s="849">
        <v>0.0</v>
      </c>
      <c r="AC145" s="849">
        <v>0.0</v>
      </c>
      <c r="AD145" s="849">
        <v>0.0</v>
      </c>
      <c r="AE145" s="849">
        <v>0.0</v>
      </c>
      <c r="AF145" s="849">
        <v>0.0</v>
      </c>
      <c r="AG145" s="849">
        <v>0.0</v>
      </c>
      <c r="AH145" s="849">
        <v>0.0</v>
      </c>
      <c r="AI145" s="849">
        <v>0.0</v>
      </c>
      <c r="AJ145" s="794" t="str">
        <f t="shared" ref="AJ145:AK145" si="287">C145</f>
        <v>G0610</v>
      </c>
      <c r="AK145" s="794" t="str">
        <f t="shared" si="287"/>
        <v>AUTRES FOURNITURES REP.</v>
      </c>
      <c r="AL145" s="794">
        <f t="array" ref="AL145">IFERROR(INDEX(G145:R145,1,MATCH(Parametres!$B$3,G$1:R$1,0)-1)*IF(OR(F145="L",F145="S",F145="I"),-1,1),"")</f>
        <v>0</v>
      </c>
      <c r="AM145" s="794">
        <f t="shared" si="4"/>
        <v>0</v>
      </c>
      <c r="AN145" s="794">
        <f t="array" ref="AN145">INDEX(G145:R145,1,MATCH(Parametres!$B$3,G$1:R$1,0))*IF(OR(F145="L",F145="S",F145="I"),-1,1)</f>
        <v>0</v>
      </c>
      <c r="AO145" s="853" t="str">
        <f>+VLOOKUP($AJ145,Data_Validation!$A:$D,1,0)</f>
        <v>#N/A</v>
      </c>
      <c r="AP145" s="853" t="str">
        <f>+VLOOKUP($AJ145,Data_Validation!$A:$D,3,0)</f>
        <v>#N/A</v>
      </c>
      <c r="AQ145" s="853" t="str">
        <f>+VLOOKUP($AJ145,Data_Validation!$A:$D,4,0)</f>
        <v>#N/A</v>
      </c>
      <c r="AR145" s="853" t="s">
        <v>728</v>
      </c>
      <c r="AS145" s="853" t="str">
        <f>+VLOOKUP($AJ145,Data_Validation!$A:$E,5,0)</f>
        <v>#N/A</v>
      </c>
      <c r="AT145" s="794" t="str">
        <f t="shared" ref="AT145:AU145" si="288">C145</f>
        <v>G0610</v>
      </c>
      <c r="AU145" s="854" t="str">
        <f t="shared" si="288"/>
        <v>AUTRES FOURNITURES REP.</v>
      </c>
      <c r="AV145" s="794">
        <f t="array" ref="AV145">IFERROR(INDEX(V145:AG145,1,MATCH(Parametres!$B$3,V$1:AG$1,0)-1)*IF(OR(C145="L",C145="S",C145="I"),-1,1),"")</f>
        <v>0</v>
      </c>
      <c r="AW145" s="794">
        <f t="shared" si="6"/>
        <v>0</v>
      </c>
      <c r="AX145" s="794">
        <f t="array" ref="AX145">INDEX(V145:AG145,1,MATCH(Parametres!$B$3,V$1:AG$1,0))*IF(OR(C145="L",C145="S",C145="I"),-1,1)</f>
        <v>0</v>
      </c>
      <c r="AY145" s="853" t="s">
        <v>772</v>
      </c>
      <c r="AZ145" s="853" t="str">
        <f>+VLOOKUP($AJ145,Data_Validation!$A:$E,5,0)</f>
        <v>#N/A</v>
      </c>
    </row>
    <row r="146" ht="15.0" customHeight="1">
      <c r="A146" s="849" t="s">
        <v>1239</v>
      </c>
      <c r="B146" s="849">
        <v>2026.0</v>
      </c>
      <c r="C146" s="849" t="s">
        <v>1523</v>
      </c>
      <c r="D146" s="849" t="s">
        <v>1524</v>
      </c>
      <c r="E146" s="849" t="s">
        <v>768</v>
      </c>
      <c r="F146" s="849" t="s">
        <v>1200</v>
      </c>
      <c r="G146" s="849">
        <v>1191.47</v>
      </c>
      <c r="H146" s="849">
        <v>1592.55</v>
      </c>
      <c r="I146" s="849">
        <v>1743.21</v>
      </c>
      <c r="J146" s="849">
        <v>2123.29</v>
      </c>
      <c r="K146" s="849">
        <v>2387.65</v>
      </c>
      <c r="L146" s="849">
        <v>3190.95</v>
      </c>
      <c r="M146" s="849">
        <v>3599.4</v>
      </c>
      <c r="N146" s="849">
        <v>3744.03</v>
      </c>
      <c r="O146" s="849">
        <v>3996.33</v>
      </c>
      <c r="P146" s="849">
        <v>3996.33</v>
      </c>
      <c r="Q146" s="849">
        <v>0.0</v>
      </c>
      <c r="R146" s="849">
        <v>0.0</v>
      </c>
      <c r="S146" s="849">
        <v>444.04</v>
      </c>
      <c r="T146" s="849">
        <v>444.04</v>
      </c>
      <c r="U146" s="849">
        <v>0.0</v>
      </c>
      <c r="V146" s="849">
        <v>0.0</v>
      </c>
      <c r="W146" s="849">
        <v>0.0</v>
      </c>
      <c r="X146" s="849">
        <v>0.0</v>
      </c>
      <c r="Y146" s="849">
        <v>0.0</v>
      </c>
      <c r="Z146" s="849">
        <v>0.0</v>
      </c>
      <c r="AA146" s="849">
        <v>0.0</v>
      </c>
      <c r="AB146" s="849">
        <v>0.0</v>
      </c>
      <c r="AC146" s="849">
        <v>0.0</v>
      </c>
      <c r="AD146" s="849">
        <v>0.0</v>
      </c>
      <c r="AE146" s="849">
        <v>0.0</v>
      </c>
      <c r="AF146" s="849">
        <v>0.0</v>
      </c>
      <c r="AG146" s="849">
        <v>0.0</v>
      </c>
      <c r="AH146" s="849">
        <v>0.0</v>
      </c>
      <c r="AI146" s="849">
        <v>0.0</v>
      </c>
      <c r="AJ146" s="794" t="str">
        <f t="shared" ref="AJ146:AK146" si="289">C146</f>
        <v>G0611</v>
      </c>
      <c r="AK146" s="794" t="str">
        <f t="shared" si="289"/>
        <v>AUTRES FOURNITURES-NEUF</v>
      </c>
      <c r="AL146" s="794">
        <f t="array" ref="AL146">IFERROR(INDEX(G146:R146,1,MATCH(Parametres!$B$3,G$1:R$1,0)-1)*IF(OR(F146="L",F146="S",F146="I"),-1,1),"")</f>
        <v>3744.03</v>
      </c>
      <c r="AM146" s="794">
        <f t="shared" si="4"/>
        <v>252.3</v>
      </c>
      <c r="AN146" s="794">
        <f t="array" ref="AN146">INDEX(G146:R146,1,MATCH(Parametres!$B$3,G$1:R$1,0))*IF(OR(F146="L",F146="S",F146="I"),-1,1)</f>
        <v>3996.33</v>
      </c>
      <c r="AO146" s="853" t="str">
        <f>+VLOOKUP($AJ146,Data_Validation!$A:$D,1,0)</f>
        <v>G0611</v>
      </c>
      <c r="AP146" s="853" t="str">
        <f>+VLOOKUP($AJ146,Data_Validation!$A:$D,3,0)</f>
        <v>Véhicules neufs</v>
      </c>
      <c r="AQ146" s="853" t="str">
        <f>+VLOOKUP($AJ146,Data_Validation!$A:$D,4,0)</f>
        <v>Fournitures autres</v>
      </c>
      <c r="AR146" s="853" t="s">
        <v>728</v>
      </c>
      <c r="AS146" s="853" t="str">
        <f>+VLOOKUP($AJ146,Data_Validation!$A:$E,5,0)</f>
        <v/>
      </c>
      <c r="AT146" s="794" t="str">
        <f t="shared" ref="AT146:AU146" si="290">C146</f>
        <v>G0611</v>
      </c>
      <c r="AU146" s="854" t="str">
        <f t="shared" si="290"/>
        <v>AUTRES FOURNITURES-NEUF</v>
      </c>
      <c r="AV146" s="794">
        <f t="array" ref="AV146">IFERROR(INDEX(V146:AG146,1,MATCH(Parametres!$B$3,V$1:AG$1,0)-1)*IF(OR(C146="L",C146="S",C146="I"),-1,1),"")</f>
        <v>0</v>
      </c>
      <c r="AW146" s="794">
        <f t="shared" si="6"/>
        <v>0</v>
      </c>
      <c r="AX146" s="794">
        <f t="array" ref="AX146">INDEX(V146:AG146,1,MATCH(Parametres!$B$3,V$1:AG$1,0))*IF(OR(C146="L",C146="S",C146="I"),-1,1)</f>
        <v>0</v>
      </c>
      <c r="AY146" s="853" t="s">
        <v>772</v>
      </c>
      <c r="AZ146" s="853" t="str">
        <f>+VLOOKUP($AJ146,Data_Validation!$A:$E,5,0)</f>
        <v/>
      </c>
    </row>
    <row r="147" ht="15.0" customHeight="1">
      <c r="A147" s="849" t="s">
        <v>1239</v>
      </c>
      <c r="B147" s="849">
        <v>2026.0</v>
      </c>
      <c r="C147" s="849" t="s">
        <v>1525</v>
      </c>
      <c r="D147" s="849" t="s">
        <v>1526</v>
      </c>
      <c r="E147" s="849" t="s">
        <v>768</v>
      </c>
      <c r="F147" s="849" t="s">
        <v>1200</v>
      </c>
      <c r="G147" s="849">
        <v>173.91</v>
      </c>
      <c r="H147" s="849">
        <v>368.54</v>
      </c>
      <c r="I147" s="849">
        <v>399.48</v>
      </c>
      <c r="J147" s="849">
        <v>539.81</v>
      </c>
      <c r="K147" s="849">
        <v>688.06</v>
      </c>
      <c r="L147" s="849">
        <v>962.95</v>
      </c>
      <c r="M147" s="849">
        <v>1112.55</v>
      </c>
      <c r="N147" s="849">
        <v>1177.46</v>
      </c>
      <c r="O147" s="849">
        <v>1387.93</v>
      </c>
      <c r="P147" s="849">
        <v>1387.93</v>
      </c>
      <c r="Q147" s="849">
        <v>0.0</v>
      </c>
      <c r="R147" s="849">
        <v>0.0</v>
      </c>
      <c r="S147" s="849">
        <v>154.21</v>
      </c>
      <c r="T147" s="849">
        <v>154.21</v>
      </c>
      <c r="U147" s="849">
        <v>0.0</v>
      </c>
      <c r="V147" s="849">
        <v>0.0</v>
      </c>
      <c r="W147" s="849">
        <v>0.0</v>
      </c>
      <c r="X147" s="849">
        <v>0.0</v>
      </c>
      <c r="Y147" s="849">
        <v>0.0</v>
      </c>
      <c r="Z147" s="849">
        <v>0.0</v>
      </c>
      <c r="AA147" s="849">
        <v>0.0</v>
      </c>
      <c r="AB147" s="849">
        <v>0.0</v>
      </c>
      <c r="AC147" s="849">
        <v>0.0</v>
      </c>
      <c r="AD147" s="849">
        <v>0.0</v>
      </c>
      <c r="AE147" s="849">
        <v>0.0</v>
      </c>
      <c r="AF147" s="849">
        <v>0.0</v>
      </c>
      <c r="AG147" s="849">
        <v>0.0</v>
      </c>
      <c r="AH147" s="849">
        <v>0.0</v>
      </c>
      <c r="AI147" s="849">
        <v>0.0</v>
      </c>
      <c r="AJ147" s="794" t="str">
        <f t="shared" ref="AJ147:AK147" si="291">C147</f>
        <v>G0612</v>
      </c>
      <c r="AK147" s="794" t="str">
        <f t="shared" si="291"/>
        <v>AUTRES FOURNITURES-USAG</v>
      </c>
      <c r="AL147" s="794">
        <f t="array" ref="AL147">IFERROR(INDEX(G147:R147,1,MATCH(Parametres!$B$3,G$1:R$1,0)-1)*IF(OR(F147="L",F147="S",F147="I"),-1,1),"")</f>
        <v>1177.46</v>
      </c>
      <c r="AM147" s="794">
        <f t="shared" si="4"/>
        <v>210.47</v>
      </c>
      <c r="AN147" s="794">
        <f t="array" ref="AN147">INDEX(G147:R147,1,MATCH(Parametres!$B$3,G$1:R$1,0))*IF(OR(F147="L",F147="S",F147="I"),-1,1)</f>
        <v>1387.93</v>
      </c>
      <c r="AO147" s="853" t="str">
        <f>+VLOOKUP($AJ147,Data_Validation!$A:$D,1,0)</f>
        <v>G0612</v>
      </c>
      <c r="AP147" s="853" t="str">
        <f>+VLOOKUP($AJ147,Data_Validation!$A:$D,3,0)</f>
        <v>Véhicules usagés</v>
      </c>
      <c r="AQ147" s="853" t="str">
        <f>+VLOOKUP($AJ147,Data_Validation!$A:$D,4,0)</f>
        <v>Fournitures autres</v>
      </c>
      <c r="AR147" s="853" t="s">
        <v>728</v>
      </c>
      <c r="AS147" s="853" t="str">
        <f>+VLOOKUP($AJ147,Data_Validation!$A:$E,5,0)</f>
        <v/>
      </c>
      <c r="AT147" s="794" t="str">
        <f t="shared" ref="AT147:AU147" si="292">C147</f>
        <v>G0612</v>
      </c>
      <c r="AU147" s="854" t="str">
        <f t="shared" si="292"/>
        <v>AUTRES FOURNITURES-USAG</v>
      </c>
      <c r="AV147" s="794">
        <f t="array" ref="AV147">IFERROR(INDEX(V147:AG147,1,MATCH(Parametres!$B$3,V$1:AG$1,0)-1)*IF(OR(C147="L",C147="S",C147="I"),-1,1),"")</f>
        <v>0</v>
      </c>
      <c r="AW147" s="794">
        <f t="shared" si="6"/>
        <v>0</v>
      </c>
      <c r="AX147" s="794">
        <f t="array" ref="AX147">INDEX(V147:AG147,1,MATCH(Parametres!$B$3,V$1:AG$1,0))*IF(OR(C147="L",C147="S",C147="I"),-1,1)</f>
        <v>0</v>
      </c>
      <c r="AY147" s="853" t="s">
        <v>772</v>
      </c>
      <c r="AZ147" s="853" t="str">
        <f>+VLOOKUP($AJ147,Data_Validation!$A:$E,5,0)</f>
        <v/>
      </c>
    </row>
    <row r="148" ht="15.0" customHeight="1">
      <c r="A148" s="849" t="s">
        <v>1239</v>
      </c>
      <c r="B148" s="849">
        <v>2026.0</v>
      </c>
      <c r="C148" s="849" t="s">
        <v>1527</v>
      </c>
      <c r="D148" s="849" t="s">
        <v>1528</v>
      </c>
      <c r="E148" s="849" t="s">
        <v>768</v>
      </c>
      <c r="F148" s="849" t="s">
        <v>1200</v>
      </c>
      <c r="G148" s="849">
        <v>0.0</v>
      </c>
      <c r="H148" s="849">
        <v>0.0</v>
      </c>
      <c r="I148" s="849">
        <v>0.0</v>
      </c>
      <c r="J148" s="849">
        <v>0.0</v>
      </c>
      <c r="K148" s="849">
        <v>0.0</v>
      </c>
      <c r="L148" s="849">
        <v>0.0</v>
      </c>
      <c r="M148" s="849">
        <v>0.0</v>
      </c>
      <c r="N148" s="849">
        <v>0.0</v>
      </c>
      <c r="O148" s="849">
        <v>0.0</v>
      </c>
      <c r="P148" s="849">
        <v>0.0</v>
      </c>
      <c r="Q148" s="849">
        <v>0.0</v>
      </c>
      <c r="R148" s="849">
        <v>0.0</v>
      </c>
      <c r="S148" s="849">
        <v>0.0</v>
      </c>
      <c r="T148" s="849">
        <v>0.0</v>
      </c>
      <c r="U148" s="849">
        <v>0.0</v>
      </c>
      <c r="V148" s="849">
        <v>0.0</v>
      </c>
      <c r="W148" s="849">
        <v>0.0</v>
      </c>
      <c r="X148" s="849">
        <v>0.0</v>
      </c>
      <c r="Y148" s="849">
        <v>0.0</v>
      </c>
      <c r="Z148" s="849">
        <v>0.0</v>
      </c>
      <c r="AA148" s="849">
        <v>0.0</v>
      </c>
      <c r="AB148" s="849">
        <v>0.0</v>
      </c>
      <c r="AC148" s="849">
        <v>0.0</v>
      </c>
      <c r="AD148" s="849">
        <v>0.0</v>
      </c>
      <c r="AE148" s="849">
        <v>0.0</v>
      </c>
      <c r="AF148" s="849">
        <v>0.0</v>
      </c>
      <c r="AG148" s="849">
        <v>0.0</v>
      </c>
      <c r="AH148" s="849">
        <v>0.0</v>
      </c>
      <c r="AI148" s="849">
        <v>0.0</v>
      </c>
      <c r="AJ148" s="794" t="str">
        <f t="shared" ref="AJ148:AK148" si="293">C148</f>
        <v>G0613</v>
      </c>
      <c r="AK148" s="794" t="str">
        <f t="shared" si="293"/>
        <v>AUTRES FOURNITURES U.S.A</v>
      </c>
      <c r="AL148" s="794">
        <f t="array" ref="AL148">IFERROR(INDEX(G148:R148,1,MATCH(Parametres!$B$3,G$1:R$1,0)-1)*IF(OR(F148="L",F148="S",F148="I"),-1,1),"")</f>
        <v>0</v>
      </c>
      <c r="AM148" s="794">
        <f t="shared" si="4"/>
        <v>0</v>
      </c>
      <c r="AN148" s="794">
        <f t="array" ref="AN148">INDEX(G148:R148,1,MATCH(Parametres!$B$3,G$1:R$1,0))*IF(OR(F148="L",F148="S",F148="I"),-1,1)</f>
        <v>0</v>
      </c>
      <c r="AO148" s="853" t="str">
        <f>+VLOOKUP($AJ148,Data_Validation!$A:$D,1,0)</f>
        <v>G0613</v>
      </c>
      <c r="AP148" s="853" t="str">
        <f>+VLOOKUP($AJ148,Data_Validation!$A:$D,3,0)</f>
        <v>Wholesale autres</v>
      </c>
      <c r="AQ148" s="853" t="str">
        <f>+VLOOKUP($AJ148,Data_Validation!$A:$D,4,0)</f>
        <v>Fournitures autres</v>
      </c>
      <c r="AR148" s="853" t="s">
        <v>728</v>
      </c>
      <c r="AS148" s="853" t="str">
        <f>+VLOOKUP($AJ148,Data_Validation!$A:$E,5,0)</f>
        <v/>
      </c>
      <c r="AT148" s="794" t="str">
        <f t="shared" ref="AT148:AU148" si="294">C148</f>
        <v>G0613</v>
      </c>
      <c r="AU148" s="854" t="str">
        <f t="shared" si="294"/>
        <v>AUTRES FOURNITURES U.S.A</v>
      </c>
      <c r="AV148" s="794">
        <f t="array" ref="AV148">IFERROR(INDEX(V148:AG148,1,MATCH(Parametres!$B$3,V$1:AG$1,0)-1)*IF(OR(C148="L",C148="S",C148="I"),-1,1),"")</f>
        <v>0</v>
      </c>
      <c r="AW148" s="794">
        <f t="shared" si="6"/>
        <v>0</v>
      </c>
      <c r="AX148" s="794">
        <f t="array" ref="AX148">INDEX(V148:AG148,1,MATCH(Parametres!$B$3,V$1:AG$1,0))*IF(OR(C148="L",C148="S",C148="I"),-1,1)</f>
        <v>0</v>
      </c>
      <c r="AY148" s="853" t="s">
        <v>772</v>
      </c>
      <c r="AZ148" s="853" t="str">
        <f>+VLOOKUP($AJ148,Data_Validation!$A:$E,5,0)</f>
        <v/>
      </c>
    </row>
    <row r="149" ht="15.0" customHeight="1">
      <c r="A149" s="849" t="s">
        <v>1239</v>
      </c>
      <c r="B149" s="849">
        <v>2026.0</v>
      </c>
      <c r="C149" s="849" t="s">
        <v>1529</v>
      </c>
      <c r="D149" s="849" t="s">
        <v>1530</v>
      </c>
      <c r="E149" s="849" t="s">
        <v>768</v>
      </c>
      <c r="F149" s="849" t="s">
        <v>1200</v>
      </c>
      <c r="G149" s="849">
        <v>4259.66</v>
      </c>
      <c r="H149" s="849">
        <v>12404.23</v>
      </c>
      <c r="I149" s="849">
        <v>19270.73</v>
      </c>
      <c r="J149" s="849">
        <v>24008.9</v>
      </c>
      <c r="K149" s="849">
        <v>29666.06</v>
      </c>
      <c r="L149" s="849">
        <v>33544.38</v>
      </c>
      <c r="M149" s="849">
        <v>38409.22</v>
      </c>
      <c r="N149" s="849">
        <v>40696.01</v>
      </c>
      <c r="O149" s="849">
        <v>46080.48</v>
      </c>
      <c r="P149" s="849">
        <v>47642.74</v>
      </c>
      <c r="Q149" s="849">
        <v>0.0</v>
      </c>
      <c r="R149" s="849">
        <v>0.0</v>
      </c>
      <c r="S149" s="849">
        <v>5120.05</v>
      </c>
      <c r="T149" s="849">
        <v>5120.05</v>
      </c>
      <c r="U149" s="849">
        <v>0.0</v>
      </c>
      <c r="V149" s="849">
        <v>0.0</v>
      </c>
      <c r="W149" s="849">
        <v>0.0</v>
      </c>
      <c r="X149" s="849">
        <v>0.0</v>
      </c>
      <c r="Y149" s="849">
        <v>0.0</v>
      </c>
      <c r="Z149" s="849">
        <v>0.0</v>
      </c>
      <c r="AA149" s="849">
        <v>0.0</v>
      </c>
      <c r="AB149" s="849">
        <v>0.0</v>
      </c>
      <c r="AC149" s="849">
        <v>0.0</v>
      </c>
      <c r="AD149" s="849">
        <v>0.0</v>
      </c>
      <c r="AE149" s="849">
        <v>0.0</v>
      </c>
      <c r="AF149" s="849">
        <v>0.0</v>
      </c>
      <c r="AG149" s="849">
        <v>0.0</v>
      </c>
      <c r="AH149" s="849">
        <v>0.0</v>
      </c>
      <c r="AI149" s="849">
        <v>0.0</v>
      </c>
      <c r="AJ149" s="794" t="str">
        <f t="shared" ref="AJ149:AK149" si="295">C149</f>
        <v>G0614</v>
      </c>
      <c r="AK149" s="794" t="str">
        <f t="shared" si="295"/>
        <v>AUTRES FOURNITURES SERV.</v>
      </c>
      <c r="AL149" s="794">
        <f t="array" ref="AL149">IFERROR(INDEX(G149:R149,1,MATCH(Parametres!$B$3,G$1:R$1,0)-1)*IF(OR(F149="L",F149="S",F149="I"),-1,1),"")</f>
        <v>40696.01</v>
      </c>
      <c r="AM149" s="794">
        <f t="shared" si="4"/>
        <v>5384.47</v>
      </c>
      <c r="AN149" s="794">
        <f t="array" ref="AN149">INDEX(G149:R149,1,MATCH(Parametres!$B$3,G$1:R$1,0))*IF(OR(F149="L",F149="S",F149="I"),-1,1)</f>
        <v>46080.48</v>
      </c>
      <c r="AO149" s="853" t="str">
        <f>+VLOOKUP($AJ149,Data_Validation!$A:$D,1,0)</f>
        <v>G0614</v>
      </c>
      <c r="AP149" s="853" t="str">
        <f>+VLOOKUP($AJ149,Data_Validation!$A:$D,3,0)</f>
        <v>Service</v>
      </c>
      <c r="AQ149" s="853" t="str">
        <f>+VLOOKUP($AJ149,Data_Validation!$A:$D,4,0)</f>
        <v>Fournitures autres</v>
      </c>
      <c r="AR149" s="853" t="s">
        <v>728</v>
      </c>
      <c r="AS149" s="853" t="str">
        <f>+VLOOKUP($AJ149,Data_Validation!$A:$E,5,0)</f>
        <v/>
      </c>
      <c r="AT149" s="794" t="str">
        <f t="shared" ref="AT149:AU149" si="296">C149</f>
        <v>G0614</v>
      </c>
      <c r="AU149" s="854" t="str">
        <f t="shared" si="296"/>
        <v>AUTRES FOURNITURES SERV.</v>
      </c>
      <c r="AV149" s="794">
        <f t="array" ref="AV149">IFERROR(INDEX(V149:AG149,1,MATCH(Parametres!$B$3,V$1:AG$1,0)-1)*IF(OR(C149="L",C149="S",C149="I"),-1,1),"")</f>
        <v>0</v>
      </c>
      <c r="AW149" s="794">
        <f t="shared" si="6"/>
        <v>0</v>
      </c>
      <c r="AX149" s="794">
        <f t="array" ref="AX149">INDEX(V149:AG149,1,MATCH(Parametres!$B$3,V$1:AG$1,0))*IF(OR(C149="L",C149="S",C149="I"),-1,1)</f>
        <v>0</v>
      </c>
      <c r="AY149" s="853" t="s">
        <v>772</v>
      </c>
      <c r="AZ149" s="853" t="str">
        <f>+VLOOKUP($AJ149,Data_Validation!$A:$E,5,0)</f>
        <v/>
      </c>
    </row>
    <row r="150" ht="15.0" customHeight="1">
      <c r="A150" s="849" t="s">
        <v>1239</v>
      </c>
      <c r="B150" s="849">
        <v>2026.0</v>
      </c>
      <c r="C150" s="849" t="s">
        <v>1531</v>
      </c>
      <c r="D150" s="849" t="s">
        <v>1532</v>
      </c>
      <c r="E150" s="849" t="s">
        <v>768</v>
      </c>
      <c r="F150" s="849" t="s">
        <v>1200</v>
      </c>
      <c r="G150" s="849">
        <v>11921.31</v>
      </c>
      <c r="H150" s="849">
        <v>19204.52</v>
      </c>
      <c r="I150" s="849">
        <v>27922.29</v>
      </c>
      <c r="J150" s="849">
        <v>39897.15</v>
      </c>
      <c r="K150" s="849">
        <v>55174.64</v>
      </c>
      <c r="L150" s="849">
        <v>72580.49</v>
      </c>
      <c r="M150" s="849">
        <v>78903.42</v>
      </c>
      <c r="N150" s="849">
        <v>85396.41</v>
      </c>
      <c r="O150" s="849">
        <v>90481.03</v>
      </c>
      <c r="P150" s="849">
        <v>91325.85</v>
      </c>
      <c r="Q150" s="849">
        <v>0.0</v>
      </c>
      <c r="R150" s="849">
        <v>0.0</v>
      </c>
      <c r="S150" s="849">
        <v>10053.45</v>
      </c>
      <c r="T150" s="849">
        <v>10053.45</v>
      </c>
      <c r="U150" s="849">
        <v>0.0</v>
      </c>
      <c r="V150" s="849">
        <v>0.0</v>
      </c>
      <c r="W150" s="849">
        <v>0.0</v>
      </c>
      <c r="X150" s="849">
        <v>0.0</v>
      </c>
      <c r="Y150" s="849">
        <v>0.0</v>
      </c>
      <c r="Z150" s="849">
        <v>0.0</v>
      </c>
      <c r="AA150" s="849">
        <v>0.0</v>
      </c>
      <c r="AB150" s="849">
        <v>0.0</v>
      </c>
      <c r="AC150" s="849">
        <v>0.0</v>
      </c>
      <c r="AD150" s="849">
        <v>0.0</v>
      </c>
      <c r="AE150" s="849">
        <v>0.0</v>
      </c>
      <c r="AF150" s="849">
        <v>0.0</v>
      </c>
      <c r="AG150" s="849">
        <v>0.0</v>
      </c>
      <c r="AH150" s="849">
        <v>0.0</v>
      </c>
      <c r="AI150" s="849">
        <v>0.0</v>
      </c>
      <c r="AJ150" s="794" t="str">
        <f t="shared" ref="AJ150:AK150" si="297">C150</f>
        <v>G0615</v>
      </c>
      <c r="AK150" s="794" t="str">
        <f t="shared" si="297"/>
        <v>AUTRES FOURNITURES-CARR.</v>
      </c>
      <c r="AL150" s="794">
        <f t="array" ref="AL150">IFERROR(INDEX(G150:R150,1,MATCH(Parametres!$B$3,G$1:R$1,0)-1)*IF(OR(F150="L",F150="S",F150="I"),-1,1),"")</f>
        <v>85396.41</v>
      </c>
      <c r="AM150" s="794">
        <f t="shared" si="4"/>
        <v>5084.62</v>
      </c>
      <c r="AN150" s="794">
        <f t="array" ref="AN150">INDEX(G150:R150,1,MATCH(Parametres!$B$3,G$1:R$1,0))*IF(OR(F150="L",F150="S",F150="I"),-1,1)</f>
        <v>90481.03</v>
      </c>
      <c r="AO150" s="853" t="str">
        <f>+VLOOKUP($AJ150,Data_Validation!$A:$D,1,0)</f>
        <v>G0615</v>
      </c>
      <c r="AP150" s="853" t="str">
        <f>+VLOOKUP($AJ150,Data_Validation!$A:$D,3,0)</f>
        <v>Carrosserie</v>
      </c>
      <c r="AQ150" s="853" t="str">
        <f>+VLOOKUP($AJ150,Data_Validation!$A:$D,4,0)</f>
        <v>Fournitures autres</v>
      </c>
      <c r="AR150" s="853" t="s">
        <v>728</v>
      </c>
      <c r="AS150" s="853" t="str">
        <f>+VLOOKUP($AJ150,Data_Validation!$A:$E,5,0)</f>
        <v/>
      </c>
      <c r="AT150" s="794" t="str">
        <f t="shared" ref="AT150:AU150" si="298">C150</f>
        <v>G0615</v>
      </c>
      <c r="AU150" s="854" t="str">
        <f t="shared" si="298"/>
        <v>AUTRES FOURNITURES-CARR.</v>
      </c>
      <c r="AV150" s="794">
        <f t="array" ref="AV150">IFERROR(INDEX(V150:AG150,1,MATCH(Parametres!$B$3,V$1:AG$1,0)-1)*IF(OR(C150="L",C150="S",C150="I"),-1,1),"")</f>
        <v>0</v>
      </c>
      <c r="AW150" s="794">
        <f t="shared" si="6"/>
        <v>0</v>
      </c>
      <c r="AX150" s="794">
        <f t="array" ref="AX150">INDEX(V150:AG150,1,MATCH(Parametres!$B$3,V$1:AG$1,0))*IF(OR(C150="L",C150="S",C150="I"),-1,1)</f>
        <v>0</v>
      </c>
      <c r="AY150" s="853" t="s">
        <v>772</v>
      </c>
      <c r="AZ150" s="853" t="str">
        <f>+VLOOKUP($AJ150,Data_Validation!$A:$E,5,0)</f>
        <v/>
      </c>
    </row>
    <row r="151" ht="15.75" customHeight="1">
      <c r="A151" s="849" t="s">
        <v>1239</v>
      </c>
      <c r="B151" s="849">
        <v>2026.0</v>
      </c>
      <c r="C151" s="849" t="s">
        <v>1533</v>
      </c>
      <c r="D151" s="849" t="s">
        <v>1534</v>
      </c>
      <c r="E151" s="849" t="s">
        <v>768</v>
      </c>
      <c r="F151" s="849" t="s">
        <v>1200</v>
      </c>
      <c r="G151" s="849">
        <v>49.59</v>
      </c>
      <c r="H151" s="849">
        <v>168.25</v>
      </c>
      <c r="I151" s="849">
        <v>784.04</v>
      </c>
      <c r="J151" s="849">
        <v>971.87</v>
      </c>
      <c r="K151" s="849">
        <v>1052.0</v>
      </c>
      <c r="L151" s="849">
        <v>1197.0</v>
      </c>
      <c r="M151" s="849">
        <v>1286.66</v>
      </c>
      <c r="N151" s="849">
        <v>1325.86</v>
      </c>
      <c r="O151" s="849">
        <v>1709.55</v>
      </c>
      <c r="P151" s="849">
        <v>1709.55</v>
      </c>
      <c r="Q151" s="849">
        <v>0.0</v>
      </c>
      <c r="R151" s="849">
        <v>0.0</v>
      </c>
      <c r="S151" s="849">
        <v>189.95</v>
      </c>
      <c r="T151" s="849">
        <v>189.95</v>
      </c>
      <c r="U151" s="849">
        <v>0.0</v>
      </c>
      <c r="V151" s="849">
        <v>0.0</v>
      </c>
      <c r="W151" s="849">
        <v>0.0</v>
      </c>
      <c r="X151" s="849">
        <v>0.0</v>
      </c>
      <c r="Y151" s="849">
        <v>0.0</v>
      </c>
      <c r="Z151" s="849">
        <v>0.0</v>
      </c>
      <c r="AA151" s="849">
        <v>0.0</v>
      </c>
      <c r="AB151" s="849">
        <v>0.0</v>
      </c>
      <c r="AC151" s="849">
        <v>0.0</v>
      </c>
      <c r="AD151" s="849">
        <v>0.0</v>
      </c>
      <c r="AE151" s="849">
        <v>0.0</v>
      </c>
      <c r="AF151" s="849">
        <v>0.0</v>
      </c>
      <c r="AG151" s="849">
        <v>0.0</v>
      </c>
      <c r="AH151" s="849">
        <v>0.0</v>
      </c>
      <c r="AI151" s="849">
        <v>0.0</v>
      </c>
      <c r="AJ151" s="794" t="str">
        <f t="shared" ref="AJ151:AK151" si="299">C151</f>
        <v>G0616</v>
      </c>
      <c r="AK151" s="794" t="str">
        <f t="shared" si="299"/>
        <v>AUTRES FOURNITURES-PCES</v>
      </c>
      <c r="AL151" s="794">
        <f t="array" ref="AL151">IFERROR(INDEX(G151:R151,1,MATCH(Parametres!$B$3,G$1:R$1,0)-1)*IF(OR(F151="L",F151="S",F151="I"),-1,1),"")</f>
        <v>1325.86</v>
      </c>
      <c r="AM151" s="794">
        <f t="shared" si="4"/>
        <v>383.69</v>
      </c>
      <c r="AN151" s="794">
        <f t="array" ref="AN151">INDEX(G151:R151,1,MATCH(Parametres!$B$3,G$1:R$1,0))*IF(OR(F151="L",F151="S",F151="I"),-1,1)</f>
        <v>1709.55</v>
      </c>
      <c r="AO151" s="853" t="str">
        <f>+VLOOKUP($AJ151,Data_Validation!$A:$D,1,0)</f>
        <v>G0616</v>
      </c>
      <c r="AP151" s="853" t="str">
        <f>+VLOOKUP($AJ151,Data_Validation!$A:$D,3,0)</f>
        <v>Pièces</v>
      </c>
      <c r="AQ151" s="853" t="str">
        <f>+VLOOKUP($AJ151,Data_Validation!$A:$D,4,0)</f>
        <v>Fournitures autres</v>
      </c>
      <c r="AR151" s="853" t="s">
        <v>728</v>
      </c>
      <c r="AS151" s="853" t="str">
        <f>+VLOOKUP($AJ151,Data_Validation!$A:$E,5,0)</f>
        <v/>
      </c>
      <c r="AT151" s="794" t="str">
        <f t="shared" ref="AT151:AU151" si="300">C151</f>
        <v>G0616</v>
      </c>
      <c r="AU151" s="854" t="str">
        <f t="shared" si="300"/>
        <v>AUTRES FOURNITURES-PCES</v>
      </c>
      <c r="AV151" s="794">
        <f t="array" ref="AV151">IFERROR(INDEX(V151:AG151,1,MATCH(Parametres!$B$3,V$1:AG$1,0)-1)*IF(OR(C151="L",C151="S",C151="I"),-1,1),"")</f>
        <v>0</v>
      </c>
      <c r="AW151" s="794">
        <f t="shared" si="6"/>
        <v>0</v>
      </c>
      <c r="AX151" s="794">
        <f t="array" ref="AX151">INDEX(V151:AG151,1,MATCH(Parametres!$B$3,V$1:AG$1,0))*IF(OR(C151="L",C151="S",C151="I"),-1,1)</f>
        <v>0</v>
      </c>
      <c r="AY151" s="853" t="s">
        <v>772</v>
      </c>
      <c r="AZ151" s="853" t="str">
        <f>+VLOOKUP($AJ151,Data_Validation!$A:$E,5,0)</f>
        <v/>
      </c>
    </row>
    <row r="152" ht="15.0" customHeight="1">
      <c r="A152" s="849" t="s">
        <v>1239</v>
      </c>
      <c r="B152" s="849">
        <v>2026.0</v>
      </c>
      <c r="C152" s="849" t="s">
        <v>1535</v>
      </c>
      <c r="D152" s="849" t="s">
        <v>1536</v>
      </c>
      <c r="E152" s="849" t="s">
        <v>768</v>
      </c>
      <c r="F152" s="849" t="s">
        <v>1200</v>
      </c>
      <c r="G152" s="849">
        <v>0.0</v>
      </c>
      <c r="H152" s="849">
        <v>0.0</v>
      </c>
      <c r="I152" s="849">
        <v>0.0</v>
      </c>
      <c r="J152" s="849">
        <v>0.0</v>
      </c>
      <c r="K152" s="849">
        <v>0.0</v>
      </c>
      <c r="L152" s="849">
        <v>0.0</v>
      </c>
      <c r="M152" s="849">
        <v>0.0</v>
      </c>
      <c r="N152" s="849">
        <v>0.0</v>
      </c>
      <c r="O152" s="849">
        <v>0.0</v>
      </c>
      <c r="P152" s="849">
        <v>0.0</v>
      </c>
      <c r="Q152" s="849">
        <v>0.0</v>
      </c>
      <c r="R152" s="849">
        <v>0.0</v>
      </c>
      <c r="S152" s="849">
        <v>0.0</v>
      </c>
      <c r="T152" s="849">
        <v>0.0</v>
      </c>
      <c r="U152" s="849">
        <v>0.0</v>
      </c>
      <c r="V152" s="849">
        <v>0.0</v>
      </c>
      <c r="W152" s="849">
        <v>0.0</v>
      </c>
      <c r="X152" s="849">
        <v>0.0</v>
      </c>
      <c r="Y152" s="849">
        <v>0.0</v>
      </c>
      <c r="Z152" s="849">
        <v>0.0</v>
      </c>
      <c r="AA152" s="849">
        <v>0.0</v>
      </c>
      <c r="AB152" s="849">
        <v>0.0</v>
      </c>
      <c r="AC152" s="849">
        <v>0.0</v>
      </c>
      <c r="AD152" s="849">
        <v>0.0</v>
      </c>
      <c r="AE152" s="849">
        <v>0.0</v>
      </c>
      <c r="AF152" s="849">
        <v>0.0</v>
      </c>
      <c r="AG152" s="849">
        <v>0.0</v>
      </c>
      <c r="AH152" s="849">
        <v>0.0</v>
      </c>
      <c r="AI152" s="849">
        <v>0.0</v>
      </c>
      <c r="AJ152" s="794" t="str">
        <f t="shared" ref="AJ152:AK152" si="301">C152</f>
        <v>G0624</v>
      </c>
      <c r="AK152" s="794" t="str">
        <f t="shared" si="301"/>
        <v>PETIT OUTILLAGE</v>
      </c>
      <c r="AL152" s="794">
        <f t="array" ref="AL152">IFERROR(INDEX(G152:R152,1,MATCH(Parametres!$B$3,G$1:R$1,0)-1)*IF(OR(F152="L",F152="S",F152="I"),-1,1),"")</f>
        <v>0</v>
      </c>
      <c r="AM152" s="794">
        <f t="shared" si="4"/>
        <v>0</v>
      </c>
      <c r="AN152" s="794">
        <f t="array" ref="AN152">INDEX(G152:R152,1,MATCH(Parametres!$B$3,G$1:R$1,0))*IF(OR(F152="L",F152="S",F152="I"),-1,1)</f>
        <v>0</v>
      </c>
      <c r="AO152" s="853" t="str">
        <f>+VLOOKUP($AJ152,Data_Validation!$A:$D,1,0)</f>
        <v>G0624</v>
      </c>
      <c r="AP152" s="853" t="str">
        <f>+VLOOKUP($AJ152,Data_Validation!$A:$D,3,0)</f>
        <v>Service</v>
      </c>
      <c r="AQ152" s="853" t="str">
        <f>+VLOOKUP($AJ152,Data_Validation!$A:$D,4,0)</f>
        <v>Fournitures autres</v>
      </c>
      <c r="AR152" s="853" t="s">
        <v>728</v>
      </c>
      <c r="AS152" s="853" t="str">
        <f>+VLOOKUP($AJ152,Data_Validation!$A:$E,5,0)</f>
        <v/>
      </c>
      <c r="AT152" s="794" t="str">
        <f t="shared" ref="AT152:AU152" si="302">C152</f>
        <v>G0624</v>
      </c>
      <c r="AU152" s="854" t="str">
        <f t="shared" si="302"/>
        <v>PETIT OUTILLAGE</v>
      </c>
      <c r="AV152" s="794">
        <f t="array" ref="AV152">IFERROR(INDEX(V152:AG152,1,MATCH(Parametres!$B$3,V$1:AG$1,0)-1)*IF(OR(C152="L",C152="S",C152="I"),-1,1),"")</f>
        <v>0</v>
      </c>
      <c r="AW152" s="794">
        <f t="shared" si="6"/>
        <v>0</v>
      </c>
      <c r="AX152" s="794">
        <f t="array" ref="AX152">INDEX(V152:AG152,1,MATCH(Parametres!$B$3,V$1:AG$1,0))*IF(OR(C152="L",C152="S",C152="I"),-1,1)</f>
        <v>0</v>
      </c>
      <c r="AY152" s="853" t="s">
        <v>772</v>
      </c>
      <c r="AZ152" s="853" t="str">
        <f>+VLOOKUP($AJ152,Data_Validation!$A:$E,5,0)</f>
        <v/>
      </c>
    </row>
    <row r="153" ht="15.0" customHeight="1">
      <c r="A153" s="849" t="s">
        <v>1239</v>
      </c>
      <c r="B153" s="849">
        <v>2026.0</v>
      </c>
      <c r="C153" s="849" t="s">
        <v>1537</v>
      </c>
      <c r="D153" s="849" t="s">
        <v>1538</v>
      </c>
      <c r="E153" s="849" t="s">
        <v>768</v>
      </c>
      <c r="F153" s="849" t="s">
        <v>1200</v>
      </c>
      <c r="G153" s="849">
        <v>0.0</v>
      </c>
      <c r="H153" s="849">
        <v>0.0</v>
      </c>
      <c r="I153" s="849">
        <v>0.0</v>
      </c>
      <c r="J153" s="849">
        <v>0.0</v>
      </c>
      <c r="K153" s="849">
        <v>0.0</v>
      </c>
      <c r="L153" s="849">
        <v>0.0</v>
      </c>
      <c r="M153" s="849">
        <v>0.0</v>
      </c>
      <c r="N153" s="849">
        <v>0.0</v>
      </c>
      <c r="O153" s="849">
        <v>0.0</v>
      </c>
      <c r="P153" s="849">
        <v>0.0</v>
      </c>
      <c r="Q153" s="849">
        <v>0.0</v>
      </c>
      <c r="R153" s="849">
        <v>0.0</v>
      </c>
      <c r="S153" s="849">
        <v>0.0</v>
      </c>
      <c r="T153" s="849">
        <v>0.0</v>
      </c>
      <c r="U153" s="849">
        <v>0.0</v>
      </c>
      <c r="V153" s="849">
        <v>0.0</v>
      </c>
      <c r="W153" s="849">
        <v>0.0</v>
      </c>
      <c r="X153" s="849">
        <v>0.0</v>
      </c>
      <c r="Y153" s="849">
        <v>0.0</v>
      </c>
      <c r="Z153" s="849">
        <v>0.0</v>
      </c>
      <c r="AA153" s="849">
        <v>0.0</v>
      </c>
      <c r="AB153" s="849">
        <v>0.0</v>
      </c>
      <c r="AC153" s="849">
        <v>0.0</v>
      </c>
      <c r="AD153" s="849">
        <v>0.0</v>
      </c>
      <c r="AE153" s="849">
        <v>0.0</v>
      </c>
      <c r="AF153" s="849">
        <v>0.0</v>
      </c>
      <c r="AG153" s="849">
        <v>0.0</v>
      </c>
      <c r="AH153" s="849">
        <v>0.0</v>
      </c>
      <c r="AI153" s="849">
        <v>0.0</v>
      </c>
      <c r="AJ153" s="794" t="str">
        <f t="shared" ref="AJ153:AK153" si="303">C153</f>
        <v>G0630</v>
      </c>
      <c r="AK153" s="794" t="str">
        <f t="shared" si="303"/>
        <v>COMMERCE ELECTRON. REP</v>
      </c>
      <c r="AL153" s="794">
        <f t="array" ref="AL153">IFERROR(INDEX(G153:R153,1,MATCH(Parametres!$B$3,G$1:R$1,0)-1)*IF(OR(F153="L",F153="S",F153="I"),-1,1),"")</f>
        <v>0</v>
      </c>
      <c r="AM153" s="794">
        <f t="shared" si="4"/>
        <v>0</v>
      </c>
      <c r="AN153" s="794">
        <f t="array" ref="AN153">INDEX(G153:R153,1,MATCH(Parametres!$B$3,G$1:R$1,0))*IF(OR(F153="L",F153="S",F153="I"),-1,1)</f>
        <v>0</v>
      </c>
      <c r="AO153" s="853" t="str">
        <f>+VLOOKUP($AJ153,Data_Validation!$A:$D,1,0)</f>
        <v>#N/A</v>
      </c>
      <c r="AP153" s="853" t="str">
        <f>+VLOOKUP($AJ153,Data_Validation!$A:$D,3,0)</f>
        <v>#N/A</v>
      </c>
      <c r="AQ153" s="853" t="str">
        <f>+VLOOKUP($AJ153,Data_Validation!$A:$D,4,0)</f>
        <v>#N/A</v>
      </c>
      <c r="AR153" s="853" t="s">
        <v>728</v>
      </c>
      <c r="AS153" s="853" t="str">
        <f>+VLOOKUP($AJ153,Data_Validation!$A:$E,5,0)</f>
        <v>#N/A</v>
      </c>
      <c r="AT153" s="794" t="str">
        <f t="shared" ref="AT153:AU153" si="304">C153</f>
        <v>G0630</v>
      </c>
      <c r="AU153" s="854" t="str">
        <f t="shared" si="304"/>
        <v>COMMERCE ELECTRON. REP</v>
      </c>
      <c r="AV153" s="794">
        <f t="array" ref="AV153">IFERROR(INDEX(V153:AG153,1,MATCH(Parametres!$B$3,V$1:AG$1,0)-1)*IF(OR(C153="L",C153="S",C153="I"),-1,1),"")</f>
        <v>0</v>
      </c>
      <c r="AW153" s="794">
        <f t="shared" si="6"/>
        <v>0</v>
      </c>
      <c r="AX153" s="794">
        <f t="array" ref="AX153">INDEX(V153:AG153,1,MATCH(Parametres!$B$3,V$1:AG$1,0))*IF(OR(C153="L",C153="S",C153="I"),-1,1)</f>
        <v>0</v>
      </c>
      <c r="AY153" s="853" t="s">
        <v>772</v>
      </c>
      <c r="AZ153" s="853" t="str">
        <f>+VLOOKUP($AJ153,Data_Validation!$A:$E,5,0)</f>
        <v>#N/A</v>
      </c>
    </row>
    <row r="154" ht="15.0" customHeight="1">
      <c r="A154" s="849" t="s">
        <v>1239</v>
      </c>
      <c r="B154" s="849">
        <v>2026.0</v>
      </c>
      <c r="C154" s="849" t="s">
        <v>1539</v>
      </c>
      <c r="D154" s="849" t="s">
        <v>1540</v>
      </c>
      <c r="E154" s="849" t="s">
        <v>768</v>
      </c>
      <c r="F154" s="849" t="s">
        <v>1200</v>
      </c>
      <c r="G154" s="849">
        <v>1768.19</v>
      </c>
      <c r="H154" s="849">
        <v>3536.37</v>
      </c>
      <c r="I154" s="849">
        <v>5304.56</v>
      </c>
      <c r="J154" s="849">
        <v>6964.11</v>
      </c>
      <c r="K154" s="849">
        <v>7645.96</v>
      </c>
      <c r="L154" s="849">
        <v>9414.15</v>
      </c>
      <c r="M154" s="849">
        <v>10112.67</v>
      </c>
      <c r="N154" s="849">
        <v>11897.52</v>
      </c>
      <c r="O154" s="849">
        <v>13682.37</v>
      </c>
      <c r="P154" s="849">
        <v>13682.37</v>
      </c>
      <c r="Q154" s="849">
        <v>0.0</v>
      </c>
      <c r="R154" s="849">
        <v>0.0</v>
      </c>
      <c r="S154" s="849">
        <v>1520.26</v>
      </c>
      <c r="T154" s="849">
        <v>1520.26</v>
      </c>
      <c r="U154" s="849">
        <v>0.0</v>
      </c>
      <c r="V154" s="849">
        <v>0.0</v>
      </c>
      <c r="W154" s="849">
        <v>0.0</v>
      </c>
      <c r="X154" s="849">
        <v>0.0</v>
      </c>
      <c r="Y154" s="849">
        <v>0.0</v>
      </c>
      <c r="Z154" s="849">
        <v>0.0</v>
      </c>
      <c r="AA154" s="849">
        <v>0.0</v>
      </c>
      <c r="AB154" s="849">
        <v>0.0</v>
      </c>
      <c r="AC154" s="849">
        <v>0.0</v>
      </c>
      <c r="AD154" s="849">
        <v>0.0</v>
      </c>
      <c r="AE154" s="849">
        <v>0.0</v>
      </c>
      <c r="AF154" s="849">
        <v>0.0</v>
      </c>
      <c r="AG154" s="849">
        <v>0.0</v>
      </c>
      <c r="AH154" s="849">
        <v>0.0</v>
      </c>
      <c r="AI154" s="849">
        <v>0.0</v>
      </c>
      <c r="AJ154" s="794" t="str">
        <f t="shared" ref="AJ154:AK154" si="305">C154</f>
        <v>G0631</v>
      </c>
      <c r="AK154" s="794" t="str">
        <f t="shared" si="305"/>
        <v>COMMERCE ELECTRONIQUE-PUB</v>
      </c>
      <c r="AL154" s="794">
        <f t="array" ref="AL154">IFERROR(INDEX(G154:R154,1,MATCH(Parametres!$B$3,G$1:R$1,0)-1)*IF(OR(F154="L",F154="S",F154="I"),-1,1),"")</f>
        <v>11897.52</v>
      </c>
      <c r="AM154" s="794">
        <f t="shared" si="4"/>
        <v>1784.85</v>
      </c>
      <c r="AN154" s="794">
        <f t="array" ref="AN154">INDEX(G154:R154,1,MATCH(Parametres!$B$3,G$1:R$1,0))*IF(OR(F154="L",F154="S",F154="I"),-1,1)</f>
        <v>13682.37</v>
      </c>
      <c r="AO154" s="853" t="str">
        <f>+VLOOKUP($AJ154,Data_Validation!$A:$D,1,0)</f>
        <v>G0631</v>
      </c>
      <c r="AP154" s="853" t="str">
        <f>+VLOOKUP($AJ154,Data_Validation!$A:$D,3,0)</f>
        <v>Véhicules neufs</v>
      </c>
      <c r="AQ154" s="853" t="str">
        <f>+VLOOKUP($AJ154,Data_Validation!$A:$D,4,0)</f>
        <v>Publicité 1</v>
      </c>
      <c r="AR154" s="853" t="s">
        <v>728</v>
      </c>
      <c r="AS154" s="853" t="str">
        <f>+VLOOKUP($AJ154,Data_Validation!$A:$E,5,0)</f>
        <v/>
      </c>
      <c r="AT154" s="794" t="str">
        <f t="shared" ref="AT154:AU154" si="306">C154</f>
        <v>G0631</v>
      </c>
      <c r="AU154" s="854" t="str">
        <f t="shared" si="306"/>
        <v>COMMERCE ELECTRONIQUE-PUB</v>
      </c>
      <c r="AV154" s="794">
        <f t="array" ref="AV154">IFERROR(INDEX(V154:AG154,1,MATCH(Parametres!$B$3,V$1:AG$1,0)-1)*IF(OR(C154="L",C154="S",C154="I"),-1,1),"")</f>
        <v>0</v>
      </c>
      <c r="AW154" s="794">
        <f t="shared" si="6"/>
        <v>0</v>
      </c>
      <c r="AX154" s="794">
        <f t="array" ref="AX154">INDEX(V154:AG154,1,MATCH(Parametres!$B$3,V$1:AG$1,0))*IF(OR(C154="L",C154="S",C154="I"),-1,1)</f>
        <v>0</v>
      </c>
      <c r="AY154" s="853" t="s">
        <v>772</v>
      </c>
      <c r="AZ154" s="853" t="str">
        <f>+VLOOKUP($AJ154,Data_Validation!$A:$E,5,0)</f>
        <v/>
      </c>
    </row>
    <row r="155" ht="15.75" customHeight="1">
      <c r="A155" s="849" t="s">
        <v>1239</v>
      </c>
      <c r="B155" s="849">
        <v>2026.0</v>
      </c>
      <c r="C155" s="849" t="s">
        <v>1541</v>
      </c>
      <c r="D155" s="849" t="s">
        <v>1540</v>
      </c>
      <c r="E155" s="849" t="s">
        <v>768</v>
      </c>
      <c r="F155" s="849" t="s">
        <v>1200</v>
      </c>
      <c r="G155" s="849">
        <v>209.8</v>
      </c>
      <c r="H155" s="849">
        <v>1505.93</v>
      </c>
      <c r="I155" s="849">
        <v>1715.73</v>
      </c>
      <c r="J155" s="849">
        <v>2577.33</v>
      </c>
      <c r="K155" s="849">
        <v>2787.13</v>
      </c>
      <c r="L155" s="849">
        <v>2996.93</v>
      </c>
      <c r="M155" s="849">
        <v>3206.73</v>
      </c>
      <c r="N155" s="849">
        <v>3416.53</v>
      </c>
      <c r="O155" s="849">
        <v>3626.33</v>
      </c>
      <c r="P155" s="849">
        <v>3626.33</v>
      </c>
      <c r="Q155" s="849">
        <v>0.0</v>
      </c>
      <c r="R155" s="849">
        <v>0.0</v>
      </c>
      <c r="S155" s="849">
        <v>402.93</v>
      </c>
      <c r="T155" s="849">
        <v>402.93</v>
      </c>
      <c r="U155" s="849">
        <v>0.0</v>
      </c>
      <c r="V155" s="849">
        <v>0.0</v>
      </c>
      <c r="W155" s="849">
        <v>0.0</v>
      </c>
      <c r="X155" s="849">
        <v>0.0</v>
      </c>
      <c r="Y155" s="849">
        <v>0.0</v>
      </c>
      <c r="Z155" s="849">
        <v>0.0</v>
      </c>
      <c r="AA155" s="849">
        <v>0.0</v>
      </c>
      <c r="AB155" s="849">
        <v>0.0</v>
      </c>
      <c r="AC155" s="849">
        <v>0.0</v>
      </c>
      <c r="AD155" s="849">
        <v>0.0</v>
      </c>
      <c r="AE155" s="849">
        <v>0.0</v>
      </c>
      <c r="AF155" s="849">
        <v>0.0</v>
      </c>
      <c r="AG155" s="849">
        <v>0.0</v>
      </c>
      <c r="AH155" s="849">
        <v>0.0</v>
      </c>
      <c r="AI155" s="849">
        <v>0.0</v>
      </c>
      <c r="AJ155" s="794" t="str">
        <f t="shared" ref="AJ155:AK155" si="307">C155</f>
        <v>G0632</v>
      </c>
      <c r="AK155" s="794" t="str">
        <f t="shared" si="307"/>
        <v>COMMERCE ELECTRONIQUE-PUB</v>
      </c>
      <c r="AL155" s="794">
        <f t="array" ref="AL155">IFERROR(INDEX(G155:R155,1,MATCH(Parametres!$B$3,G$1:R$1,0)-1)*IF(OR(F155="L",F155="S",F155="I"),-1,1),"")</f>
        <v>3416.53</v>
      </c>
      <c r="AM155" s="794">
        <f t="shared" si="4"/>
        <v>209.8</v>
      </c>
      <c r="AN155" s="794">
        <f t="array" ref="AN155">INDEX(G155:R155,1,MATCH(Parametres!$B$3,G$1:R$1,0))*IF(OR(F155="L",F155="S",F155="I"),-1,1)</f>
        <v>3626.33</v>
      </c>
      <c r="AO155" s="853" t="str">
        <f>+VLOOKUP($AJ155,Data_Validation!$A:$D,1,0)</f>
        <v>G0632</v>
      </c>
      <c r="AP155" s="853" t="str">
        <f>+VLOOKUP($AJ155,Data_Validation!$A:$D,3,0)</f>
        <v>Véhicules usagés</v>
      </c>
      <c r="AQ155" s="853" t="str">
        <f>+VLOOKUP($AJ155,Data_Validation!$A:$D,4,0)</f>
        <v>Publicité 1</v>
      </c>
      <c r="AR155" s="853" t="s">
        <v>728</v>
      </c>
      <c r="AS155" s="853" t="str">
        <f>+VLOOKUP($AJ155,Data_Validation!$A:$E,5,0)</f>
        <v/>
      </c>
      <c r="AT155" s="794" t="str">
        <f t="shared" ref="AT155:AU155" si="308">C155</f>
        <v>G0632</v>
      </c>
      <c r="AU155" s="854" t="str">
        <f t="shared" si="308"/>
        <v>COMMERCE ELECTRONIQUE-PUB</v>
      </c>
      <c r="AV155" s="794">
        <f t="array" ref="AV155">IFERROR(INDEX(V155:AG155,1,MATCH(Parametres!$B$3,V$1:AG$1,0)-1)*IF(OR(C155="L",C155="S",C155="I"),-1,1),"")</f>
        <v>0</v>
      </c>
      <c r="AW155" s="794">
        <f t="shared" si="6"/>
        <v>0</v>
      </c>
      <c r="AX155" s="794">
        <f t="array" ref="AX155">INDEX(V155:AG155,1,MATCH(Parametres!$B$3,V$1:AG$1,0))*IF(OR(C155="L",C155="S",C155="I"),-1,1)</f>
        <v>0</v>
      </c>
      <c r="AY155" s="853" t="s">
        <v>772</v>
      </c>
      <c r="AZ155" s="853" t="str">
        <f>+VLOOKUP($AJ155,Data_Validation!$A:$E,5,0)</f>
        <v/>
      </c>
    </row>
    <row r="156" ht="15.0" customHeight="1">
      <c r="A156" s="849" t="s">
        <v>1239</v>
      </c>
      <c r="B156" s="849">
        <v>2026.0</v>
      </c>
      <c r="C156" s="849" t="s">
        <v>1542</v>
      </c>
      <c r="D156" s="849" t="s">
        <v>1543</v>
      </c>
      <c r="E156" s="849" t="s">
        <v>768</v>
      </c>
      <c r="F156" s="849" t="s">
        <v>1200</v>
      </c>
      <c r="G156" s="849">
        <v>0.0</v>
      </c>
      <c r="H156" s="849">
        <v>0.0</v>
      </c>
      <c r="I156" s="849">
        <v>0.0</v>
      </c>
      <c r="J156" s="849">
        <v>0.0</v>
      </c>
      <c r="K156" s="849">
        <v>0.0</v>
      </c>
      <c r="L156" s="849">
        <v>0.0</v>
      </c>
      <c r="M156" s="849">
        <v>0.0</v>
      </c>
      <c r="N156" s="849">
        <v>0.0</v>
      </c>
      <c r="O156" s="849">
        <v>0.0</v>
      </c>
      <c r="P156" s="849">
        <v>0.0</v>
      </c>
      <c r="Q156" s="849">
        <v>0.0</v>
      </c>
      <c r="R156" s="849">
        <v>0.0</v>
      </c>
      <c r="S156" s="849">
        <v>0.0</v>
      </c>
      <c r="T156" s="849">
        <v>0.0</v>
      </c>
      <c r="U156" s="849">
        <v>0.0</v>
      </c>
      <c r="V156" s="849">
        <v>0.0</v>
      </c>
      <c r="W156" s="849">
        <v>0.0</v>
      </c>
      <c r="X156" s="849">
        <v>0.0</v>
      </c>
      <c r="Y156" s="849">
        <v>0.0</v>
      </c>
      <c r="Z156" s="849">
        <v>0.0</v>
      </c>
      <c r="AA156" s="849">
        <v>0.0</v>
      </c>
      <c r="AB156" s="849">
        <v>0.0</v>
      </c>
      <c r="AC156" s="849">
        <v>0.0</v>
      </c>
      <c r="AD156" s="849">
        <v>0.0</v>
      </c>
      <c r="AE156" s="849">
        <v>0.0</v>
      </c>
      <c r="AF156" s="849">
        <v>0.0</v>
      </c>
      <c r="AG156" s="849">
        <v>0.0</v>
      </c>
      <c r="AH156" s="849">
        <v>0.0</v>
      </c>
      <c r="AI156" s="849">
        <v>0.0</v>
      </c>
      <c r="AJ156" s="794" t="str">
        <f t="shared" ref="AJ156:AK156" si="309">C156</f>
        <v>G0633</v>
      </c>
      <c r="AK156" s="794" t="str">
        <f t="shared" si="309"/>
        <v>COMMERCE ELECTRONIQ U.S.A</v>
      </c>
      <c r="AL156" s="794">
        <f t="array" ref="AL156">IFERROR(INDEX(G156:R156,1,MATCH(Parametres!$B$3,G$1:R$1,0)-1)*IF(OR(F156="L",F156="S",F156="I"),-1,1),"")</f>
        <v>0</v>
      </c>
      <c r="AM156" s="794">
        <f t="shared" si="4"/>
        <v>0</v>
      </c>
      <c r="AN156" s="794">
        <f t="array" ref="AN156">INDEX(G156:R156,1,MATCH(Parametres!$B$3,G$1:R$1,0))*IF(OR(F156="L",F156="S",F156="I"),-1,1)</f>
        <v>0</v>
      </c>
      <c r="AO156" s="853" t="str">
        <f>+VLOOKUP($AJ156,Data_Validation!$A:$D,1,0)</f>
        <v>G0633</v>
      </c>
      <c r="AP156" s="853" t="str">
        <f>+VLOOKUP($AJ156,Data_Validation!$A:$D,3,0)</f>
        <v>Wholesale autres</v>
      </c>
      <c r="AQ156" s="853" t="str">
        <f>+VLOOKUP($AJ156,Data_Validation!$A:$D,4,0)</f>
        <v>Publicité 1</v>
      </c>
      <c r="AR156" s="853" t="s">
        <v>728</v>
      </c>
      <c r="AS156" s="853" t="str">
        <f>+VLOOKUP($AJ156,Data_Validation!$A:$E,5,0)</f>
        <v/>
      </c>
      <c r="AT156" s="794" t="str">
        <f t="shared" ref="AT156:AU156" si="310">C156</f>
        <v>G0633</v>
      </c>
      <c r="AU156" s="854" t="str">
        <f t="shared" si="310"/>
        <v>COMMERCE ELECTRONIQ U.S.A</v>
      </c>
      <c r="AV156" s="794">
        <f t="array" ref="AV156">IFERROR(INDEX(V156:AG156,1,MATCH(Parametres!$B$3,V$1:AG$1,0)-1)*IF(OR(C156="L",C156="S",C156="I"),-1,1),"")</f>
        <v>0</v>
      </c>
      <c r="AW156" s="794">
        <f t="shared" si="6"/>
        <v>0</v>
      </c>
      <c r="AX156" s="794">
        <f t="array" ref="AX156">INDEX(V156:AG156,1,MATCH(Parametres!$B$3,V$1:AG$1,0))*IF(OR(C156="L",C156="S",C156="I"),-1,1)</f>
        <v>0</v>
      </c>
      <c r="AY156" s="853" t="s">
        <v>772</v>
      </c>
      <c r="AZ156" s="853" t="str">
        <f>+VLOOKUP($AJ156,Data_Validation!$A:$E,5,0)</f>
        <v/>
      </c>
    </row>
    <row r="157" ht="15.0" customHeight="1">
      <c r="A157" s="849" t="s">
        <v>1239</v>
      </c>
      <c r="B157" s="849">
        <v>2026.0</v>
      </c>
      <c r="C157" s="849" t="s">
        <v>1544</v>
      </c>
      <c r="D157" s="849" t="s">
        <v>1540</v>
      </c>
      <c r="E157" s="849" t="s">
        <v>768</v>
      </c>
      <c r="F157" s="849" t="s">
        <v>1200</v>
      </c>
      <c r="G157" s="849">
        <v>1138.78</v>
      </c>
      <c r="H157" s="849">
        <v>2277.57</v>
      </c>
      <c r="I157" s="849">
        <v>3416.36</v>
      </c>
      <c r="J157" s="849">
        <v>4446.51</v>
      </c>
      <c r="K157" s="849">
        <v>4498.96</v>
      </c>
      <c r="L157" s="849">
        <v>5637.74</v>
      </c>
      <c r="M157" s="849">
        <v>5706.86</v>
      </c>
      <c r="N157" s="849">
        <v>6862.31</v>
      </c>
      <c r="O157" s="849">
        <v>8017.76</v>
      </c>
      <c r="P157" s="849">
        <v>8017.76</v>
      </c>
      <c r="Q157" s="849">
        <v>0.0</v>
      </c>
      <c r="R157" s="849">
        <v>0.0</v>
      </c>
      <c r="S157" s="849">
        <v>890.86</v>
      </c>
      <c r="T157" s="849">
        <v>890.86</v>
      </c>
      <c r="U157" s="849">
        <v>0.0</v>
      </c>
      <c r="V157" s="849">
        <v>0.0</v>
      </c>
      <c r="W157" s="849">
        <v>0.0</v>
      </c>
      <c r="X157" s="849">
        <v>0.0</v>
      </c>
      <c r="Y157" s="849">
        <v>0.0</v>
      </c>
      <c r="Z157" s="849">
        <v>0.0</v>
      </c>
      <c r="AA157" s="849">
        <v>0.0</v>
      </c>
      <c r="AB157" s="849">
        <v>0.0</v>
      </c>
      <c r="AC157" s="849">
        <v>0.0</v>
      </c>
      <c r="AD157" s="849">
        <v>0.0</v>
      </c>
      <c r="AE157" s="849">
        <v>0.0</v>
      </c>
      <c r="AF157" s="849">
        <v>0.0</v>
      </c>
      <c r="AG157" s="849">
        <v>0.0</v>
      </c>
      <c r="AH157" s="849">
        <v>0.0</v>
      </c>
      <c r="AI157" s="849">
        <v>0.0</v>
      </c>
      <c r="AJ157" s="794" t="str">
        <f t="shared" ref="AJ157:AK157" si="311">C157</f>
        <v>G0634</v>
      </c>
      <c r="AK157" s="794" t="str">
        <f t="shared" si="311"/>
        <v>COMMERCE ELECTRONIQUE-PUB</v>
      </c>
      <c r="AL157" s="794">
        <f t="array" ref="AL157">IFERROR(INDEX(G157:R157,1,MATCH(Parametres!$B$3,G$1:R$1,0)-1)*IF(OR(F157="L",F157="S",F157="I"),-1,1),"")</f>
        <v>6862.31</v>
      </c>
      <c r="AM157" s="794">
        <f t="shared" si="4"/>
        <v>1155.45</v>
      </c>
      <c r="AN157" s="794">
        <f t="array" ref="AN157">INDEX(G157:R157,1,MATCH(Parametres!$B$3,G$1:R$1,0))*IF(OR(F157="L",F157="S",F157="I"),-1,1)</f>
        <v>8017.76</v>
      </c>
      <c r="AO157" s="853" t="str">
        <f>+VLOOKUP($AJ157,Data_Validation!$A:$D,1,0)</f>
        <v>G0634</v>
      </c>
      <c r="AP157" s="853" t="str">
        <f>+VLOOKUP($AJ157,Data_Validation!$A:$D,3,0)</f>
        <v>Service</v>
      </c>
      <c r="AQ157" s="853" t="str">
        <f>+VLOOKUP($AJ157,Data_Validation!$A:$D,4,0)</f>
        <v>Publicité 2</v>
      </c>
      <c r="AR157" s="853" t="s">
        <v>728</v>
      </c>
      <c r="AS157" s="853" t="str">
        <f>+VLOOKUP($AJ157,Data_Validation!$A:$E,5,0)</f>
        <v/>
      </c>
      <c r="AT157" s="794" t="str">
        <f t="shared" ref="AT157:AU157" si="312">C157</f>
        <v>G0634</v>
      </c>
      <c r="AU157" s="854" t="str">
        <f t="shared" si="312"/>
        <v>COMMERCE ELECTRONIQUE-PUB</v>
      </c>
      <c r="AV157" s="794">
        <f t="array" ref="AV157">IFERROR(INDEX(V157:AG157,1,MATCH(Parametres!$B$3,V$1:AG$1,0)-1)*IF(OR(C157="L",C157="S",C157="I"),-1,1),"")</f>
        <v>0</v>
      </c>
      <c r="AW157" s="794">
        <f t="shared" si="6"/>
        <v>0</v>
      </c>
      <c r="AX157" s="794">
        <f t="array" ref="AX157">INDEX(V157:AG157,1,MATCH(Parametres!$B$3,V$1:AG$1,0))*IF(OR(C157="L",C157="S",C157="I"),-1,1)</f>
        <v>0</v>
      </c>
      <c r="AY157" s="853" t="s">
        <v>772</v>
      </c>
      <c r="AZ157" s="853" t="str">
        <f>+VLOOKUP($AJ157,Data_Validation!$A:$E,5,0)</f>
        <v/>
      </c>
    </row>
    <row r="158" ht="15.0" customHeight="1">
      <c r="A158" s="849" t="s">
        <v>1239</v>
      </c>
      <c r="B158" s="849">
        <v>2026.0</v>
      </c>
      <c r="C158" s="849" t="s">
        <v>1545</v>
      </c>
      <c r="D158" s="849" t="s">
        <v>1540</v>
      </c>
      <c r="E158" s="849" t="s">
        <v>768</v>
      </c>
      <c r="F158" s="849" t="s">
        <v>1200</v>
      </c>
      <c r="G158" s="849">
        <v>52.45</v>
      </c>
      <c r="H158" s="849">
        <v>104.9</v>
      </c>
      <c r="I158" s="849">
        <v>157.35</v>
      </c>
      <c r="J158" s="849">
        <v>535.7</v>
      </c>
      <c r="K158" s="849">
        <v>588.15</v>
      </c>
      <c r="L158" s="849">
        <v>640.6</v>
      </c>
      <c r="M158" s="849">
        <v>693.05</v>
      </c>
      <c r="N158" s="849">
        <v>745.5</v>
      </c>
      <c r="O158" s="849">
        <v>797.95</v>
      </c>
      <c r="P158" s="849">
        <v>797.95</v>
      </c>
      <c r="Q158" s="849">
        <v>0.0</v>
      </c>
      <c r="R158" s="849">
        <v>0.0</v>
      </c>
      <c r="S158" s="849">
        <v>88.66</v>
      </c>
      <c r="T158" s="849">
        <v>88.66</v>
      </c>
      <c r="U158" s="849">
        <v>0.0</v>
      </c>
      <c r="V158" s="849">
        <v>0.0</v>
      </c>
      <c r="W158" s="849">
        <v>0.0</v>
      </c>
      <c r="X158" s="849">
        <v>0.0</v>
      </c>
      <c r="Y158" s="849">
        <v>0.0</v>
      </c>
      <c r="Z158" s="849">
        <v>0.0</v>
      </c>
      <c r="AA158" s="849">
        <v>0.0</v>
      </c>
      <c r="AB158" s="849">
        <v>0.0</v>
      </c>
      <c r="AC158" s="849">
        <v>0.0</v>
      </c>
      <c r="AD158" s="849">
        <v>0.0</v>
      </c>
      <c r="AE158" s="849">
        <v>0.0</v>
      </c>
      <c r="AF158" s="849">
        <v>0.0</v>
      </c>
      <c r="AG158" s="849">
        <v>0.0</v>
      </c>
      <c r="AH158" s="849">
        <v>0.0</v>
      </c>
      <c r="AI158" s="849">
        <v>0.0</v>
      </c>
      <c r="AJ158" s="794" t="str">
        <f t="shared" ref="AJ158:AK158" si="313">C158</f>
        <v>G0635</v>
      </c>
      <c r="AK158" s="794" t="str">
        <f t="shared" si="313"/>
        <v>COMMERCE ELECTRONIQUE-PUB</v>
      </c>
      <c r="AL158" s="794">
        <f t="array" ref="AL158">IFERROR(INDEX(G158:R158,1,MATCH(Parametres!$B$3,G$1:R$1,0)-1)*IF(OR(F158="L",F158="S",F158="I"),-1,1),"")</f>
        <v>745.5</v>
      </c>
      <c r="AM158" s="794">
        <f t="shared" si="4"/>
        <v>52.45</v>
      </c>
      <c r="AN158" s="794">
        <f t="array" ref="AN158">INDEX(G158:R158,1,MATCH(Parametres!$B$3,G$1:R$1,0))*IF(OR(F158="L",F158="S",F158="I"),-1,1)</f>
        <v>797.95</v>
      </c>
      <c r="AO158" s="853" t="str">
        <f>+VLOOKUP($AJ158,Data_Validation!$A:$D,1,0)</f>
        <v>G0635</v>
      </c>
      <c r="AP158" s="853" t="str">
        <f>+VLOOKUP($AJ158,Data_Validation!$A:$D,3,0)</f>
        <v>Carrosserie</v>
      </c>
      <c r="AQ158" s="853" t="str">
        <f>+VLOOKUP($AJ158,Data_Validation!$A:$D,4,0)</f>
        <v>Publicité 2</v>
      </c>
      <c r="AR158" s="853" t="s">
        <v>728</v>
      </c>
      <c r="AS158" s="853" t="str">
        <f>+VLOOKUP($AJ158,Data_Validation!$A:$E,5,0)</f>
        <v/>
      </c>
      <c r="AT158" s="794" t="str">
        <f t="shared" ref="AT158:AU158" si="314">C158</f>
        <v>G0635</v>
      </c>
      <c r="AU158" s="854" t="str">
        <f t="shared" si="314"/>
        <v>COMMERCE ELECTRONIQUE-PUB</v>
      </c>
      <c r="AV158" s="794">
        <f t="array" ref="AV158">IFERROR(INDEX(V158:AG158,1,MATCH(Parametres!$B$3,V$1:AG$1,0)-1)*IF(OR(C158="L",C158="S",C158="I"),-1,1),"")</f>
        <v>0</v>
      </c>
      <c r="AW158" s="794">
        <f t="shared" si="6"/>
        <v>0</v>
      </c>
      <c r="AX158" s="794">
        <f t="array" ref="AX158">INDEX(V158:AG158,1,MATCH(Parametres!$B$3,V$1:AG$1,0))*IF(OR(C158="L",C158="S",C158="I"),-1,1)</f>
        <v>0</v>
      </c>
      <c r="AY158" s="853" t="s">
        <v>772</v>
      </c>
      <c r="AZ158" s="853" t="str">
        <f>+VLOOKUP($AJ158,Data_Validation!$A:$E,5,0)</f>
        <v/>
      </c>
    </row>
    <row r="159" ht="15.75" customHeight="1">
      <c r="A159" s="849" t="s">
        <v>1239</v>
      </c>
      <c r="B159" s="849">
        <v>2026.0</v>
      </c>
      <c r="C159" s="849" t="s">
        <v>1546</v>
      </c>
      <c r="D159" s="849" t="s">
        <v>1540</v>
      </c>
      <c r="E159" s="849" t="s">
        <v>768</v>
      </c>
      <c r="F159" s="849" t="s">
        <v>1200</v>
      </c>
      <c r="G159" s="849">
        <v>1138.78</v>
      </c>
      <c r="H159" s="849">
        <v>1191.23</v>
      </c>
      <c r="I159" s="849">
        <v>2330.0</v>
      </c>
      <c r="J159" s="849">
        <v>2708.35</v>
      </c>
      <c r="K159" s="849">
        <v>2760.8</v>
      </c>
      <c r="L159" s="849">
        <v>3899.58</v>
      </c>
      <c r="M159" s="849">
        <v>3968.7</v>
      </c>
      <c r="N159" s="849">
        <v>5124.16</v>
      </c>
      <c r="O159" s="849">
        <v>6279.62</v>
      </c>
      <c r="P159" s="849">
        <v>6279.62</v>
      </c>
      <c r="Q159" s="849">
        <v>0.0</v>
      </c>
      <c r="R159" s="849">
        <v>0.0</v>
      </c>
      <c r="S159" s="849">
        <v>697.74</v>
      </c>
      <c r="T159" s="849">
        <v>697.74</v>
      </c>
      <c r="U159" s="849">
        <v>0.0</v>
      </c>
      <c r="V159" s="849">
        <v>0.0</v>
      </c>
      <c r="W159" s="849">
        <v>0.0</v>
      </c>
      <c r="X159" s="849">
        <v>0.0</v>
      </c>
      <c r="Y159" s="849">
        <v>0.0</v>
      </c>
      <c r="Z159" s="849">
        <v>0.0</v>
      </c>
      <c r="AA159" s="849">
        <v>0.0</v>
      </c>
      <c r="AB159" s="849">
        <v>0.0</v>
      </c>
      <c r="AC159" s="849">
        <v>0.0</v>
      </c>
      <c r="AD159" s="849">
        <v>0.0</v>
      </c>
      <c r="AE159" s="849">
        <v>0.0</v>
      </c>
      <c r="AF159" s="849">
        <v>0.0</v>
      </c>
      <c r="AG159" s="849">
        <v>0.0</v>
      </c>
      <c r="AH159" s="849">
        <v>0.0</v>
      </c>
      <c r="AI159" s="849">
        <v>0.0</v>
      </c>
      <c r="AJ159" s="794" t="str">
        <f t="shared" ref="AJ159:AK159" si="315">C159</f>
        <v>G0636</v>
      </c>
      <c r="AK159" s="794" t="str">
        <f t="shared" si="315"/>
        <v>COMMERCE ELECTRONIQUE-PUB</v>
      </c>
      <c r="AL159" s="794">
        <f t="array" ref="AL159">IFERROR(INDEX(G159:R159,1,MATCH(Parametres!$B$3,G$1:R$1,0)-1)*IF(OR(F159="L",F159="S",F159="I"),-1,1),"")</f>
        <v>5124.16</v>
      </c>
      <c r="AM159" s="794">
        <f t="shared" si="4"/>
        <v>1155.46</v>
      </c>
      <c r="AN159" s="794">
        <f t="array" ref="AN159">INDEX(G159:R159,1,MATCH(Parametres!$B$3,G$1:R$1,0))*IF(OR(F159="L",F159="S",F159="I"),-1,1)</f>
        <v>6279.62</v>
      </c>
      <c r="AO159" s="853" t="str">
        <f>+VLOOKUP($AJ159,Data_Validation!$A:$D,1,0)</f>
        <v>G0636</v>
      </c>
      <c r="AP159" s="853" t="str">
        <f>+VLOOKUP($AJ159,Data_Validation!$A:$D,3,0)</f>
        <v>Pièces</v>
      </c>
      <c r="AQ159" s="853" t="str">
        <f>+VLOOKUP($AJ159,Data_Validation!$A:$D,4,0)</f>
        <v>Publicité 2</v>
      </c>
      <c r="AR159" s="853" t="s">
        <v>728</v>
      </c>
      <c r="AS159" s="853" t="str">
        <f>+VLOOKUP($AJ159,Data_Validation!$A:$E,5,0)</f>
        <v/>
      </c>
      <c r="AT159" s="794" t="str">
        <f t="shared" ref="AT159:AU159" si="316">C159</f>
        <v>G0636</v>
      </c>
      <c r="AU159" s="854" t="str">
        <f t="shared" si="316"/>
        <v>COMMERCE ELECTRONIQUE-PUB</v>
      </c>
      <c r="AV159" s="794">
        <f t="array" ref="AV159">IFERROR(INDEX(V159:AG159,1,MATCH(Parametres!$B$3,V$1:AG$1,0)-1)*IF(OR(C159="L",C159="S",C159="I"),-1,1),"")</f>
        <v>0</v>
      </c>
      <c r="AW159" s="794">
        <f t="shared" si="6"/>
        <v>0</v>
      </c>
      <c r="AX159" s="794">
        <f t="array" ref="AX159">INDEX(V159:AG159,1,MATCH(Parametres!$B$3,V$1:AG$1,0))*IF(OR(C159="L",C159="S",C159="I"),-1,1)</f>
        <v>0</v>
      </c>
      <c r="AY159" s="853" t="s">
        <v>772</v>
      </c>
      <c r="AZ159" s="853" t="str">
        <f>+VLOOKUP($AJ159,Data_Validation!$A:$E,5,0)</f>
        <v/>
      </c>
    </row>
    <row r="160" ht="15.0" customHeight="1">
      <c r="A160" s="849" t="s">
        <v>1239</v>
      </c>
      <c r="B160" s="849">
        <v>2026.0</v>
      </c>
      <c r="C160" s="849" t="s">
        <v>1547</v>
      </c>
      <c r="D160" s="849" t="s">
        <v>1548</v>
      </c>
      <c r="E160" s="849" t="s">
        <v>768</v>
      </c>
      <c r="F160" s="849" t="s">
        <v>1200</v>
      </c>
      <c r="G160" s="849">
        <v>0.0</v>
      </c>
      <c r="H160" s="849">
        <v>0.0</v>
      </c>
      <c r="I160" s="849">
        <v>-66681.0</v>
      </c>
      <c r="J160" s="849">
        <v>-66681.0</v>
      </c>
      <c r="K160" s="849">
        <v>-66681.0</v>
      </c>
      <c r="L160" s="849">
        <v>-176074.0</v>
      </c>
      <c r="M160" s="849">
        <v>-176074.0</v>
      </c>
      <c r="N160" s="849">
        <v>-176074.0</v>
      </c>
      <c r="O160" s="849">
        <v>-254174.0</v>
      </c>
      <c r="P160" s="849">
        <v>-254174.0</v>
      </c>
      <c r="Q160" s="849">
        <v>0.0</v>
      </c>
      <c r="R160" s="849">
        <v>0.0</v>
      </c>
      <c r="S160" s="849">
        <v>-28241.56</v>
      </c>
      <c r="T160" s="849">
        <v>-28241.56</v>
      </c>
      <c r="U160" s="849">
        <v>0.0</v>
      </c>
      <c r="V160" s="849">
        <v>0.0</v>
      </c>
      <c r="W160" s="849">
        <v>0.0</v>
      </c>
      <c r="X160" s="849">
        <v>0.0</v>
      </c>
      <c r="Y160" s="849">
        <v>0.0</v>
      </c>
      <c r="Z160" s="849">
        <v>0.0</v>
      </c>
      <c r="AA160" s="849">
        <v>0.0</v>
      </c>
      <c r="AB160" s="849">
        <v>0.0</v>
      </c>
      <c r="AC160" s="849">
        <v>0.0</v>
      </c>
      <c r="AD160" s="849">
        <v>0.0</v>
      </c>
      <c r="AE160" s="849">
        <v>0.0</v>
      </c>
      <c r="AF160" s="849">
        <v>0.0</v>
      </c>
      <c r="AG160" s="849">
        <v>0.0</v>
      </c>
      <c r="AH160" s="849">
        <v>0.0</v>
      </c>
      <c r="AI160" s="849">
        <v>0.0</v>
      </c>
      <c r="AJ160" s="794" t="str">
        <f t="shared" ref="AJ160:AK160" si="317">C160</f>
        <v>G0641</v>
      </c>
      <c r="AK160" s="794" t="str">
        <f t="shared" si="317"/>
        <v>RISTOURNES DE PUBLICITE</v>
      </c>
      <c r="AL160" s="794">
        <f t="array" ref="AL160">IFERROR(INDEX(G160:R160,1,MATCH(Parametres!$B$3,G$1:R$1,0)-1)*IF(OR(F160="L",F160="S",F160="I"),-1,1),"")</f>
        <v>-176074</v>
      </c>
      <c r="AM160" s="794">
        <f t="shared" si="4"/>
        <v>-78100</v>
      </c>
      <c r="AN160" s="794">
        <f t="array" ref="AN160">INDEX(G160:R160,1,MATCH(Parametres!$B$3,G$1:R$1,0))*IF(OR(F160="L",F160="S",F160="I"),-1,1)</f>
        <v>-254174</v>
      </c>
      <c r="AO160" s="853" t="str">
        <f>+VLOOKUP($AJ160,Data_Validation!$A:$D,1,0)</f>
        <v>G0641</v>
      </c>
      <c r="AP160" s="853" t="str">
        <f>+VLOOKUP($AJ160,Data_Validation!$A:$D,3,0)</f>
        <v>Véhicules neufs</v>
      </c>
      <c r="AQ160" s="853" t="str">
        <f>+VLOOKUP($AJ160,Data_Validation!$A:$D,4,0)</f>
        <v>Publicité 1</v>
      </c>
      <c r="AR160" s="853" t="s">
        <v>728</v>
      </c>
      <c r="AS160" s="853" t="str">
        <f>+VLOOKUP($AJ160,Data_Validation!$A:$E,5,0)</f>
        <v/>
      </c>
      <c r="AT160" s="794" t="str">
        <f t="shared" ref="AT160:AU160" si="318">C160</f>
        <v>G0641</v>
      </c>
      <c r="AU160" s="854" t="str">
        <f t="shared" si="318"/>
        <v>RISTOURNES DE PUBLICITE</v>
      </c>
      <c r="AV160" s="794">
        <f t="array" ref="AV160">IFERROR(INDEX(V160:AG160,1,MATCH(Parametres!$B$3,V$1:AG$1,0)-1)*IF(OR(C160="L",C160="S",C160="I"),-1,1),"")</f>
        <v>0</v>
      </c>
      <c r="AW160" s="794">
        <f t="shared" si="6"/>
        <v>0</v>
      </c>
      <c r="AX160" s="794">
        <f t="array" ref="AX160">INDEX(V160:AG160,1,MATCH(Parametres!$B$3,V$1:AG$1,0))*IF(OR(C160="L",C160="S",C160="I"),-1,1)</f>
        <v>0</v>
      </c>
      <c r="AY160" s="853" t="s">
        <v>772</v>
      </c>
      <c r="AZ160" s="853" t="str">
        <f>+VLOOKUP($AJ160,Data_Validation!$A:$E,5,0)</f>
        <v/>
      </c>
    </row>
    <row r="161" ht="15.0" customHeight="1">
      <c r="A161" s="849" t="s">
        <v>1239</v>
      </c>
      <c r="B161" s="849">
        <v>2026.0</v>
      </c>
      <c r="C161" s="849" t="s">
        <v>1549</v>
      </c>
      <c r="D161" s="849" t="s">
        <v>1548</v>
      </c>
      <c r="E161" s="849" t="s">
        <v>768</v>
      </c>
      <c r="F161" s="849" t="s">
        <v>1200</v>
      </c>
      <c r="G161" s="849">
        <v>0.0</v>
      </c>
      <c r="H161" s="849">
        <v>0.0</v>
      </c>
      <c r="I161" s="849">
        <v>0.0</v>
      </c>
      <c r="J161" s="849">
        <v>0.0</v>
      </c>
      <c r="K161" s="849">
        <v>0.0</v>
      </c>
      <c r="L161" s="849">
        <v>0.0</v>
      </c>
      <c r="M161" s="849">
        <v>0.0</v>
      </c>
      <c r="N161" s="849">
        <v>0.0</v>
      </c>
      <c r="O161" s="849">
        <v>0.0</v>
      </c>
      <c r="P161" s="849">
        <v>0.0</v>
      </c>
      <c r="Q161" s="849">
        <v>0.0</v>
      </c>
      <c r="R161" s="849">
        <v>0.0</v>
      </c>
      <c r="S161" s="849">
        <v>0.0</v>
      </c>
      <c r="T161" s="849">
        <v>0.0</v>
      </c>
      <c r="U161" s="849">
        <v>0.0</v>
      </c>
      <c r="V161" s="849">
        <v>0.0</v>
      </c>
      <c r="W161" s="849">
        <v>0.0</v>
      </c>
      <c r="X161" s="849">
        <v>0.0</v>
      </c>
      <c r="Y161" s="849">
        <v>0.0</v>
      </c>
      <c r="Z161" s="849">
        <v>0.0</v>
      </c>
      <c r="AA161" s="849">
        <v>0.0</v>
      </c>
      <c r="AB161" s="849">
        <v>0.0</v>
      </c>
      <c r="AC161" s="849">
        <v>0.0</v>
      </c>
      <c r="AD161" s="849">
        <v>0.0</v>
      </c>
      <c r="AE161" s="849">
        <v>0.0</v>
      </c>
      <c r="AF161" s="849">
        <v>0.0</v>
      </c>
      <c r="AG161" s="849">
        <v>0.0</v>
      </c>
      <c r="AH161" s="849">
        <v>0.0</v>
      </c>
      <c r="AI161" s="849">
        <v>0.0</v>
      </c>
      <c r="AJ161" s="794" t="str">
        <f t="shared" ref="AJ161:AK161" si="319">C161</f>
        <v>G0642</v>
      </c>
      <c r="AK161" s="794" t="str">
        <f t="shared" si="319"/>
        <v>RISTOURNES DE PUBLICITE</v>
      </c>
      <c r="AL161" s="794">
        <f t="array" ref="AL161">IFERROR(INDEX(G161:R161,1,MATCH(Parametres!$B$3,G$1:R$1,0)-1)*IF(OR(F161="L",F161="S",F161="I"),-1,1),"")</f>
        <v>0</v>
      </c>
      <c r="AM161" s="794">
        <f t="shared" si="4"/>
        <v>0</v>
      </c>
      <c r="AN161" s="794">
        <f t="array" ref="AN161">INDEX(G161:R161,1,MATCH(Parametres!$B$3,G$1:R$1,0))*IF(OR(F161="L",F161="S",F161="I"),-1,1)</f>
        <v>0</v>
      </c>
      <c r="AO161" s="853" t="str">
        <f>+VLOOKUP($AJ161,Data_Validation!$A:$D,1,0)</f>
        <v>G0642</v>
      </c>
      <c r="AP161" s="853" t="str">
        <f>+VLOOKUP($AJ161,Data_Validation!$A:$D,3,0)</f>
        <v>Véhicules usagés</v>
      </c>
      <c r="AQ161" s="853" t="str">
        <f>+VLOOKUP($AJ161,Data_Validation!$A:$D,4,0)</f>
        <v>Publicité 1</v>
      </c>
      <c r="AR161" s="853" t="s">
        <v>728</v>
      </c>
      <c r="AS161" s="853" t="str">
        <f>+VLOOKUP($AJ161,Data_Validation!$A:$E,5,0)</f>
        <v/>
      </c>
      <c r="AT161" s="794" t="str">
        <f t="shared" ref="AT161:AU161" si="320">C161</f>
        <v>G0642</v>
      </c>
      <c r="AU161" s="854" t="str">
        <f t="shared" si="320"/>
        <v>RISTOURNES DE PUBLICITE</v>
      </c>
      <c r="AV161" s="794">
        <f t="array" ref="AV161">IFERROR(INDEX(V161:AG161,1,MATCH(Parametres!$B$3,V$1:AG$1,0)-1)*IF(OR(C161="L",C161="S",C161="I"),-1,1),"")</f>
        <v>0</v>
      </c>
      <c r="AW161" s="794">
        <f t="shared" si="6"/>
        <v>0</v>
      </c>
      <c r="AX161" s="794">
        <f t="array" ref="AX161">INDEX(V161:AG161,1,MATCH(Parametres!$B$3,V$1:AG$1,0))*IF(OR(C161="L",C161="S",C161="I"),-1,1)</f>
        <v>0</v>
      </c>
      <c r="AY161" s="853" t="s">
        <v>772</v>
      </c>
      <c r="AZ161" s="853" t="str">
        <f>+VLOOKUP($AJ161,Data_Validation!$A:$E,5,0)</f>
        <v/>
      </c>
    </row>
    <row r="162" ht="15.0" customHeight="1">
      <c r="A162" s="849" t="s">
        <v>1239</v>
      </c>
      <c r="B162" s="849">
        <v>2026.0</v>
      </c>
      <c r="C162" s="849" t="s">
        <v>1550</v>
      </c>
      <c r="D162" s="849" t="s">
        <v>1548</v>
      </c>
      <c r="E162" s="849" t="s">
        <v>768</v>
      </c>
      <c r="F162" s="849" t="s">
        <v>1200</v>
      </c>
      <c r="G162" s="849">
        <v>0.0</v>
      </c>
      <c r="H162" s="849">
        <v>0.0</v>
      </c>
      <c r="I162" s="849">
        <v>0.0</v>
      </c>
      <c r="J162" s="849">
        <v>0.0</v>
      </c>
      <c r="K162" s="849">
        <v>0.0</v>
      </c>
      <c r="L162" s="849">
        <v>0.0</v>
      </c>
      <c r="M162" s="849">
        <v>0.0</v>
      </c>
      <c r="N162" s="849">
        <v>0.0</v>
      </c>
      <c r="O162" s="849">
        <v>0.0</v>
      </c>
      <c r="P162" s="849">
        <v>0.0</v>
      </c>
      <c r="Q162" s="849">
        <v>0.0</v>
      </c>
      <c r="R162" s="849">
        <v>0.0</v>
      </c>
      <c r="S162" s="849">
        <v>0.0</v>
      </c>
      <c r="T162" s="849">
        <v>0.0</v>
      </c>
      <c r="U162" s="849">
        <v>0.0</v>
      </c>
      <c r="V162" s="849">
        <v>0.0</v>
      </c>
      <c r="W162" s="849">
        <v>0.0</v>
      </c>
      <c r="X162" s="849">
        <v>0.0</v>
      </c>
      <c r="Y162" s="849">
        <v>0.0</v>
      </c>
      <c r="Z162" s="849">
        <v>0.0</v>
      </c>
      <c r="AA162" s="849">
        <v>0.0</v>
      </c>
      <c r="AB162" s="849">
        <v>0.0</v>
      </c>
      <c r="AC162" s="849">
        <v>0.0</v>
      </c>
      <c r="AD162" s="849">
        <v>0.0</v>
      </c>
      <c r="AE162" s="849">
        <v>0.0</v>
      </c>
      <c r="AF162" s="849">
        <v>0.0</v>
      </c>
      <c r="AG162" s="849">
        <v>0.0</v>
      </c>
      <c r="AH162" s="849">
        <v>0.0</v>
      </c>
      <c r="AI162" s="849">
        <v>0.0</v>
      </c>
      <c r="AJ162" s="794" t="str">
        <f t="shared" ref="AJ162:AK162" si="321">C162</f>
        <v>G0644</v>
      </c>
      <c r="AK162" s="794" t="str">
        <f t="shared" si="321"/>
        <v>RISTOURNES DE PUBLICITE</v>
      </c>
      <c r="AL162" s="794">
        <f t="array" ref="AL162">IFERROR(INDEX(G162:R162,1,MATCH(Parametres!$B$3,G$1:R$1,0)-1)*IF(OR(F162="L",F162="S",F162="I"),-1,1),"")</f>
        <v>0</v>
      </c>
      <c r="AM162" s="794">
        <f t="shared" si="4"/>
        <v>0</v>
      </c>
      <c r="AN162" s="794">
        <f t="array" ref="AN162">INDEX(G162:R162,1,MATCH(Parametres!$B$3,G$1:R$1,0))*IF(OR(F162="L",F162="S",F162="I"),-1,1)</f>
        <v>0</v>
      </c>
      <c r="AO162" s="853" t="str">
        <f>+VLOOKUP($AJ162,Data_Validation!$A:$D,1,0)</f>
        <v>G0644</v>
      </c>
      <c r="AP162" s="853" t="str">
        <f>+VLOOKUP($AJ162,Data_Validation!$A:$D,3,0)</f>
        <v>Service</v>
      </c>
      <c r="AQ162" s="853" t="str">
        <f>+VLOOKUP($AJ162,Data_Validation!$A:$D,4,0)</f>
        <v>Publicité 2</v>
      </c>
      <c r="AR162" s="853" t="s">
        <v>728</v>
      </c>
      <c r="AS162" s="853" t="str">
        <f>+VLOOKUP($AJ162,Data_Validation!$A:$E,5,0)</f>
        <v/>
      </c>
      <c r="AT162" s="794" t="str">
        <f t="shared" ref="AT162:AU162" si="322">C162</f>
        <v>G0644</v>
      </c>
      <c r="AU162" s="854" t="str">
        <f t="shared" si="322"/>
        <v>RISTOURNES DE PUBLICITE</v>
      </c>
      <c r="AV162" s="794">
        <f t="array" ref="AV162">IFERROR(INDEX(V162:AG162,1,MATCH(Parametres!$B$3,V$1:AG$1,0)-1)*IF(OR(C162="L",C162="S",C162="I"),-1,1),"")</f>
        <v>0</v>
      </c>
      <c r="AW162" s="794">
        <f t="shared" si="6"/>
        <v>0</v>
      </c>
      <c r="AX162" s="794">
        <f t="array" ref="AX162">INDEX(V162:AG162,1,MATCH(Parametres!$B$3,V$1:AG$1,0))*IF(OR(C162="L",C162="S",C162="I"),-1,1)</f>
        <v>0</v>
      </c>
      <c r="AY162" s="853" t="s">
        <v>772</v>
      </c>
      <c r="AZ162" s="853" t="str">
        <f>+VLOOKUP($AJ162,Data_Validation!$A:$E,5,0)</f>
        <v/>
      </c>
    </row>
    <row r="163" ht="15.75" customHeight="1">
      <c r="A163" s="849" t="s">
        <v>1239</v>
      </c>
      <c r="B163" s="849">
        <v>2026.0</v>
      </c>
      <c r="C163" s="849" t="s">
        <v>1551</v>
      </c>
      <c r="D163" s="849" t="s">
        <v>1552</v>
      </c>
      <c r="E163" s="849" t="s">
        <v>768</v>
      </c>
      <c r="F163" s="849" t="s">
        <v>1200</v>
      </c>
      <c r="G163" s="849">
        <v>0.0</v>
      </c>
      <c r="H163" s="849">
        <v>0.0</v>
      </c>
      <c r="I163" s="849">
        <v>0.0</v>
      </c>
      <c r="J163" s="849">
        <v>0.0</v>
      </c>
      <c r="K163" s="849">
        <v>0.0</v>
      </c>
      <c r="L163" s="849">
        <v>0.0</v>
      </c>
      <c r="M163" s="849">
        <v>0.0</v>
      </c>
      <c r="N163" s="849">
        <v>0.0</v>
      </c>
      <c r="O163" s="849">
        <v>0.0</v>
      </c>
      <c r="P163" s="849">
        <v>0.0</v>
      </c>
      <c r="Q163" s="849">
        <v>0.0</v>
      </c>
      <c r="R163" s="849">
        <v>0.0</v>
      </c>
      <c r="S163" s="849">
        <v>0.0</v>
      </c>
      <c r="T163" s="849">
        <v>0.0</v>
      </c>
      <c r="U163" s="849">
        <v>0.0</v>
      </c>
      <c r="V163" s="849">
        <v>0.0</v>
      </c>
      <c r="W163" s="849">
        <v>0.0</v>
      </c>
      <c r="X163" s="849">
        <v>0.0</v>
      </c>
      <c r="Y163" s="849">
        <v>0.0</v>
      </c>
      <c r="Z163" s="849">
        <v>0.0</v>
      </c>
      <c r="AA163" s="849">
        <v>0.0</v>
      </c>
      <c r="AB163" s="849">
        <v>0.0</v>
      </c>
      <c r="AC163" s="849">
        <v>0.0</v>
      </c>
      <c r="AD163" s="849">
        <v>0.0</v>
      </c>
      <c r="AE163" s="849">
        <v>0.0</v>
      </c>
      <c r="AF163" s="849">
        <v>0.0</v>
      </c>
      <c r="AG163" s="849">
        <v>0.0</v>
      </c>
      <c r="AH163" s="849">
        <v>0.0</v>
      </c>
      <c r="AI163" s="849">
        <v>0.0</v>
      </c>
      <c r="AJ163" s="794" t="str">
        <f t="shared" ref="AJ163:AK163" si="323">C163</f>
        <v>G0645</v>
      </c>
      <c r="AK163" s="794" t="str">
        <f t="shared" si="323"/>
        <v>RABAIS PUBLICITE-SERVIC</v>
      </c>
      <c r="AL163" s="794">
        <f t="array" ref="AL163">IFERROR(INDEX(G163:R163,1,MATCH(Parametres!$B$3,G$1:R$1,0)-1)*IF(OR(F163="L",F163="S",F163="I"),-1,1),"")</f>
        <v>0</v>
      </c>
      <c r="AM163" s="794">
        <f t="shared" si="4"/>
        <v>0</v>
      </c>
      <c r="AN163" s="794">
        <f t="array" ref="AN163">INDEX(G163:R163,1,MATCH(Parametres!$B$3,G$1:R$1,0))*IF(OR(F163="L",F163="S",F163="I"),-1,1)</f>
        <v>0</v>
      </c>
      <c r="AO163" s="853" t="str">
        <f>+VLOOKUP($AJ163,Data_Validation!$A:$D,1,0)</f>
        <v>G0645</v>
      </c>
      <c r="AP163" s="853" t="str">
        <f>+VLOOKUP($AJ163,Data_Validation!$A:$D,3,0)</f>
        <v>Carrosserie</v>
      </c>
      <c r="AQ163" s="853" t="str">
        <f>+VLOOKUP($AJ163,Data_Validation!$A:$D,4,0)</f>
        <v>Publicité 2</v>
      </c>
      <c r="AR163" s="853" t="s">
        <v>728</v>
      </c>
      <c r="AS163" s="853" t="str">
        <f>+VLOOKUP($AJ163,Data_Validation!$A:$E,5,0)</f>
        <v/>
      </c>
      <c r="AT163" s="794" t="str">
        <f t="shared" ref="AT163:AU163" si="324">C163</f>
        <v>G0645</v>
      </c>
      <c r="AU163" s="854" t="str">
        <f t="shared" si="324"/>
        <v>RABAIS PUBLICITE-SERVIC</v>
      </c>
      <c r="AV163" s="794">
        <f t="array" ref="AV163">IFERROR(INDEX(V163:AG163,1,MATCH(Parametres!$B$3,V$1:AG$1,0)-1)*IF(OR(C163="L",C163="S",C163="I"),-1,1),"")</f>
        <v>0</v>
      </c>
      <c r="AW163" s="794">
        <f t="shared" si="6"/>
        <v>0</v>
      </c>
      <c r="AX163" s="794">
        <f t="array" ref="AX163">INDEX(V163:AG163,1,MATCH(Parametres!$B$3,V$1:AG$1,0))*IF(OR(C163="L",C163="S",C163="I"),-1,1)</f>
        <v>0</v>
      </c>
      <c r="AY163" s="853" t="s">
        <v>772</v>
      </c>
      <c r="AZ163" s="853" t="str">
        <f>+VLOOKUP($AJ163,Data_Validation!$A:$E,5,0)</f>
        <v/>
      </c>
    </row>
    <row r="164" ht="15.0" customHeight="1">
      <c r="A164" s="849" t="s">
        <v>1239</v>
      </c>
      <c r="B164" s="849">
        <v>2026.0</v>
      </c>
      <c r="C164" s="849" t="s">
        <v>1553</v>
      </c>
      <c r="D164" s="849" t="s">
        <v>1548</v>
      </c>
      <c r="E164" s="849" t="s">
        <v>768</v>
      </c>
      <c r="F164" s="849" t="s">
        <v>1200</v>
      </c>
      <c r="G164" s="849">
        <v>0.0</v>
      </c>
      <c r="H164" s="849">
        <v>0.0</v>
      </c>
      <c r="I164" s="849">
        <v>0.0</v>
      </c>
      <c r="J164" s="849">
        <v>0.0</v>
      </c>
      <c r="K164" s="849">
        <v>0.0</v>
      </c>
      <c r="L164" s="849">
        <v>0.0</v>
      </c>
      <c r="M164" s="849">
        <v>0.0</v>
      </c>
      <c r="N164" s="849">
        <v>0.0</v>
      </c>
      <c r="O164" s="849">
        <v>0.0</v>
      </c>
      <c r="P164" s="849">
        <v>0.0</v>
      </c>
      <c r="Q164" s="849">
        <v>0.0</v>
      </c>
      <c r="R164" s="849">
        <v>0.0</v>
      </c>
      <c r="S164" s="849">
        <v>0.0</v>
      </c>
      <c r="T164" s="849">
        <v>0.0</v>
      </c>
      <c r="U164" s="849">
        <v>0.0</v>
      </c>
      <c r="V164" s="849">
        <v>0.0</v>
      </c>
      <c r="W164" s="849">
        <v>0.0</v>
      </c>
      <c r="X164" s="849">
        <v>0.0</v>
      </c>
      <c r="Y164" s="849">
        <v>0.0</v>
      </c>
      <c r="Z164" s="849">
        <v>0.0</v>
      </c>
      <c r="AA164" s="849">
        <v>0.0</v>
      </c>
      <c r="AB164" s="849">
        <v>0.0</v>
      </c>
      <c r="AC164" s="849">
        <v>0.0</v>
      </c>
      <c r="AD164" s="849">
        <v>0.0</v>
      </c>
      <c r="AE164" s="849">
        <v>0.0</v>
      </c>
      <c r="AF164" s="849">
        <v>0.0</v>
      </c>
      <c r="AG164" s="849">
        <v>0.0</v>
      </c>
      <c r="AH164" s="849">
        <v>0.0</v>
      </c>
      <c r="AI164" s="849">
        <v>0.0</v>
      </c>
      <c r="AJ164" s="794" t="str">
        <f t="shared" ref="AJ164:AK164" si="325">C164</f>
        <v>G0646</v>
      </c>
      <c r="AK164" s="794" t="str">
        <f t="shared" si="325"/>
        <v>RISTOURNES DE PUBLICITE</v>
      </c>
      <c r="AL164" s="794">
        <f t="array" ref="AL164">IFERROR(INDEX(G164:R164,1,MATCH(Parametres!$B$3,G$1:R$1,0)-1)*IF(OR(F164="L",F164="S",F164="I"),-1,1),"")</f>
        <v>0</v>
      </c>
      <c r="AM164" s="794">
        <f t="shared" si="4"/>
        <v>0</v>
      </c>
      <c r="AN164" s="794">
        <f t="array" ref="AN164">INDEX(G164:R164,1,MATCH(Parametres!$B$3,G$1:R$1,0))*IF(OR(F164="L",F164="S",F164="I"),-1,1)</f>
        <v>0</v>
      </c>
      <c r="AO164" s="853" t="str">
        <f>+VLOOKUP($AJ164,Data_Validation!$A:$D,1,0)</f>
        <v>G0646</v>
      </c>
      <c r="AP164" s="853" t="str">
        <f>+VLOOKUP($AJ164,Data_Validation!$A:$D,3,0)</f>
        <v>Pièces</v>
      </c>
      <c r="AQ164" s="853" t="str">
        <f>+VLOOKUP($AJ164,Data_Validation!$A:$D,4,0)</f>
        <v>Publicité 2</v>
      </c>
      <c r="AR164" s="853" t="s">
        <v>728</v>
      </c>
      <c r="AS164" s="853" t="str">
        <f>+VLOOKUP($AJ164,Data_Validation!$A:$E,5,0)</f>
        <v/>
      </c>
      <c r="AT164" s="794" t="str">
        <f t="shared" ref="AT164:AU164" si="326">C164</f>
        <v>G0646</v>
      </c>
      <c r="AU164" s="854" t="str">
        <f t="shared" si="326"/>
        <v>RISTOURNES DE PUBLICITE</v>
      </c>
      <c r="AV164" s="794">
        <f t="array" ref="AV164">IFERROR(INDEX(V164:AG164,1,MATCH(Parametres!$B$3,V$1:AG$1,0)-1)*IF(OR(C164="L",C164="S",C164="I"),-1,1),"")</f>
        <v>0</v>
      </c>
      <c r="AW164" s="794">
        <f t="shared" si="6"/>
        <v>0</v>
      </c>
      <c r="AX164" s="794">
        <f t="array" ref="AX164">INDEX(V164:AG164,1,MATCH(Parametres!$B$3,V$1:AG$1,0))*IF(OR(C164="L",C164="S",C164="I"),-1,1)</f>
        <v>0</v>
      </c>
      <c r="AY164" s="853" t="s">
        <v>772</v>
      </c>
      <c r="AZ164" s="853" t="str">
        <f>+VLOOKUP($AJ164,Data_Validation!$A:$E,5,0)</f>
        <v/>
      </c>
    </row>
    <row r="165" ht="15.0" customHeight="1">
      <c r="A165" s="849" t="s">
        <v>1239</v>
      </c>
      <c r="B165" s="849">
        <v>2026.0</v>
      </c>
      <c r="C165" s="849" t="s">
        <v>1554</v>
      </c>
      <c r="D165" s="849" t="s">
        <v>1555</v>
      </c>
      <c r="E165" s="849" t="s">
        <v>768</v>
      </c>
      <c r="F165" s="849" t="s">
        <v>1200</v>
      </c>
      <c r="G165" s="849">
        <v>0.0</v>
      </c>
      <c r="H165" s="849">
        <v>0.0</v>
      </c>
      <c r="I165" s="849">
        <v>0.0</v>
      </c>
      <c r="J165" s="849">
        <v>0.0</v>
      </c>
      <c r="K165" s="849">
        <v>0.0</v>
      </c>
      <c r="L165" s="849">
        <v>0.0</v>
      </c>
      <c r="M165" s="849">
        <v>0.0</v>
      </c>
      <c r="N165" s="849">
        <v>0.0</v>
      </c>
      <c r="O165" s="849">
        <v>0.0</v>
      </c>
      <c r="P165" s="849">
        <v>0.0</v>
      </c>
      <c r="Q165" s="849">
        <v>0.0</v>
      </c>
      <c r="R165" s="849">
        <v>0.0</v>
      </c>
      <c r="S165" s="849">
        <v>0.0</v>
      </c>
      <c r="T165" s="849">
        <v>0.0</v>
      </c>
      <c r="U165" s="849">
        <v>0.0</v>
      </c>
      <c r="V165" s="849">
        <v>0.0</v>
      </c>
      <c r="W165" s="849">
        <v>0.0</v>
      </c>
      <c r="X165" s="849">
        <v>0.0</v>
      </c>
      <c r="Y165" s="849">
        <v>0.0</v>
      </c>
      <c r="Z165" s="849">
        <v>0.0</v>
      </c>
      <c r="AA165" s="849">
        <v>0.0</v>
      </c>
      <c r="AB165" s="849">
        <v>0.0</v>
      </c>
      <c r="AC165" s="849">
        <v>0.0</v>
      </c>
      <c r="AD165" s="849">
        <v>0.0</v>
      </c>
      <c r="AE165" s="849">
        <v>0.0</v>
      </c>
      <c r="AF165" s="849">
        <v>0.0</v>
      </c>
      <c r="AG165" s="849">
        <v>0.0</v>
      </c>
      <c r="AH165" s="849">
        <v>0.0</v>
      </c>
      <c r="AI165" s="849">
        <v>0.0</v>
      </c>
      <c r="AJ165" s="794" t="str">
        <f t="shared" ref="AJ165:AK165" si="327">C165</f>
        <v>G0647</v>
      </c>
      <c r="AK165" s="794" t="str">
        <f t="shared" si="327"/>
        <v>RABAIS PUBLICITE-PIECE</v>
      </c>
      <c r="AL165" s="794">
        <f t="array" ref="AL165">IFERROR(INDEX(G165:R165,1,MATCH(Parametres!$B$3,G$1:R$1,0)-1)*IF(OR(F165="L",F165="S",F165="I"),-1,1),"")</f>
        <v>0</v>
      </c>
      <c r="AM165" s="794">
        <f t="shared" si="4"/>
        <v>0</v>
      </c>
      <c r="AN165" s="794">
        <f t="array" ref="AN165">INDEX(G165:R165,1,MATCH(Parametres!$B$3,G$1:R$1,0))*IF(OR(F165="L",F165="S",F165="I"),-1,1)</f>
        <v>0</v>
      </c>
      <c r="AO165" s="853" t="str">
        <f>+VLOOKUP($AJ165,Data_Validation!$A:$D,1,0)</f>
        <v>G0647</v>
      </c>
      <c r="AP165" s="853" t="str">
        <f>+VLOOKUP($AJ165,Data_Validation!$A:$D,3,0)</f>
        <v>SAAQ</v>
      </c>
      <c r="AQ165" s="853" t="str">
        <f>+VLOOKUP($AJ165,Data_Validation!$A:$D,4,0)</f>
        <v>Publicité 2</v>
      </c>
      <c r="AR165" s="853" t="s">
        <v>728</v>
      </c>
      <c r="AS165" s="853" t="str">
        <f>+VLOOKUP($AJ165,Data_Validation!$A:$E,5,0)</f>
        <v/>
      </c>
      <c r="AT165" s="794" t="str">
        <f t="shared" ref="AT165:AU165" si="328">C165</f>
        <v>G0647</v>
      </c>
      <c r="AU165" s="854" t="str">
        <f t="shared" si="328"/>
        <v>RABAIS PUBLICITE-PIECE</v>
      </c>
      <c r="AV165" s="794">
        <f t="array" ref="AV165">IFERROR(INDEX(V165:AG165,1,MATCH(Parametres!$B$3,V$1:AG$1,0)-1)*IF(OR(C165="L",C165="S",C165="I"),-1,1),"")</f>
        <v>0</v>
      </c>
      <c r="AW165" s="794">
        <f t="shared" si="6"/>
        <v>0</v>
      </c>
      <c r="AX165" s="794">
        <f t="array" ref="AX165">INDEX(V165:AG165,1,MATCH(Parametres!$B$3,V$1:AG$1,0))*IF(OR(C165="L",C165="S",C165="I"),-1,1)</f>
        <v>0</v>
      </c>
      <c r="AY165" s="853" t="s">
        <v>772</v>
      </c>
      <c r="AZ165" s="853" t="str">
        <f>+VLOOKUP($AJ165,Data_Validation!$A:$E,5,0)</f>
        <v/>
      </c>
    </row>
    <row r="166" ht="15.0" customHeight="1">
      <c r="A166" s="849" t="s">
        <v>1239</v>
      </c>
      <c r="B166" s="849">
        <v>2026.0</v>
      </c>
      <c r="C166" s="849" t="s">
        <v>1556</v>
      </c>
      <c r="D166" s="849" t="s">
        <v>1557</v>
      </c>
      <c r="E166" s="849" t="s">
        <v>768</v>
      </c>
      <c r="F166" s="849" t="s">
        <v>1200</v>
      </c>
      <c r="G166" s="849">
        <v>0.0</v>
      </c>
      <c r="H166" s="849">
        <v>0.0</v>
      </c>
      <c r="I166" s="849">
        <v>0.0</v>
      </c>
      <c r="J166" s="849">
        <v>0.0</v>
      </c>
      <c r="K166" s="849">
        <v>0.0</v>
      </c>
      <c r="L166" s="849">
        <v>0.0</v>
      </c>
      <c r="M166" s="849">
        <v>0.0</v>
      </c>
      <c r="N166" s="849">
        <v>0.0</v>
      </c>
      <c r="O166" s="849">
        <v>0.0</v>
      </c>
      <c r="P166" s="849">
        <v>0.0</v>
      </c>
      <c r="Q166" s="849">
        <v>0.0</v>
      </c>
      <c r="R166" s="849">
        <v>0.0</v>
      </c>
      <c r="S166" s="849">
        <v>0.0</v>
      </c>
      <c r="T166" s="849">
        <v>0.0</v>
      </c>
      <c r="U166" s="849">
        <v>0.0</v>
      </c>
      <c r="V166" s="849">
        <v>0.0</v>
      </c>
      <c r="W166" s="849">
        <v>0.0</v>
      </c>
      <c r="X166" s="849">
        <v>0.0</v>
      </c>
      <c r="Y166" s="849">
        <v>0.0</v>
      </c>
      <c r="Z166" s="849">
        <v>0.0</v>
      </c>
      <c r="AA166" s="849">
        <v>0.0</v>
      </c>
      <c r="AB166" s="849">
        <v>0.0</v>
      </c>
      <c r="AC166" s="849">
        <v>0.0</v>
      </c>
      <c r="AD166" s="849">
        <v>0.0</v>
      </c>
      <c r="AE166" s="849">
        <v>0.0</v>
      </c>
      <c r="AF166" s="849">
        <v>0.0</v>
      </c>
      <c r="AG166" s="849">
        <v>0.0</v>
      </c>
      <c r="AH166" s="849">
        <v>0.0</v>
      </c>
      <c r="AI166" s="849">
        <v>0.0</v>
      </c>
      <c r="AJ166" s="794" t="str">
        <f t="shared" ref="AJ166:AK166" si="329">C166</f>
        <v>G0649</v>
      </c>
      <c r="AK166" s="794" t="str">
        <f t="shared" si="329"/>
        <v>RABAIS PUBLICITE-ADMIN</v>
      </c>
      <c r="AL166" s="794">
        <f t="array" ref="AL166">IFERROR(INDEX(G166:R166,1,MATCH(Parametres!$B$3,G$1:R$1,0)-1)*IF(OR(F166="L",F166="S",F166="I"),-1,1),"")</f>
        <v>0</v>
      </c>
      <c r="AM166" s="794">
        <f t="shared" si="4"/>
        <v>0</v>
      </c>
      <c r="AN166" s="794">
        <f t="array" ref="AN166">INDEX(G166:R166,1,MATCH(Parametres!$B$3,G$1:R$1,0))*IF(OR(F166="L",F166="S",F166="I"),-1,1)</f>
        <v>0</v>
      </c>
      <c r="AO166" s="853" t="str">
        <f>+VLOOKUP($AJ166,Data_Validation!$A:$D,1,0)</f>
        <v>#N/A</v>
      </c>
      <c r="AP166" s="853" t="str">
        <f>+VLOOKUP($AJ166,Data_Validation!$A:$D,3,0)</f>
        <v>#N/A</v>
      </c>
      <c r="AQ166" s="853" t="str">
        <f>+VLOOKUP($AJ166,Data_Validation!$A:$D,4,0)</f>
        <v>#N/A</v>
      </c>
      <c r="AR166" s="853" t="s">
        <v>728</v>
      </c>
      <c r="AS166" s="853" t="str">
        <f>+VLOOKUP($AJ166,Data_Validation!$A:$E,5,0)</f>
        <v>#N/A</v>
      </c>
      <c r="AT166" s="794" t="str">
        <f t="shared" ref="AT166:AU166" si="330">C166</f>
        <v>G0649</v>
      </c>
      <c r="AU166" s="854" t="str">
        <f t="shared" si="330"/>
        <v>RABAIS PUBLICITE-ADMIN</v>
      </c>
      <c r="AV166" s="794">
        <f t="array" ref="AV166">IFERROR(INDEX(V166:AG166,1,MATCH(Parametres!$B$3,V$1:AG$1,0)-1)*IF(OR(C166="L",C166="S",C166="I"),-1,1),"")</f>
        <v>0</v>
      </c>
      <c r="AW166" s="794">
        <f t="shared" si="6"/>
        <v>0</v>
      </c>
      <c r="AX166" s="794">
        <f t="array" ref="AX166">INDEX(V166:AG166,1,MATCH(Parametres!$B$3,V$1:AG$1,0))*IF(OR(C166="L",C166="S",C166="I"),-1,1)</f>
        <v>0</v>
      </c>
      <c r="AY166" s="853" t="s">
        <v>772</v>
      </c>
      <c r="AZ166" s="853" t="str">
        <f>+VLOOKUP($AJ166,Data_Validation!$A:$E,5,0)</f>
        <v>#N/A</v>
      </c>
    </row>
    <row r="167" ht="15.0" customHeight="1">
      <c r="A167" s="849" t="s">
        <v>1239</v>
      </c>
      <c r="B167" s="849">
        <v>2026.0</v>
      </c>
      <c r="C167" s="849" t="s">
        <v>1558</v>
      </c>
      <c r="D167" s="849" t="s">
        <v>1559</v>
      </c>
      <c r="E167" s="849" t="s">
        <v>768</v>
      </c>
      <c r="F167" s="849" t="s">
        <v>1200</v>
      </c>
      <c r="G167" s="849">
        <v>0.0</v>
      </c>
      <c r="H167" s="849">
        <v>0.0</v>
      </c>
      <c r="I167" s="849">
        <v>0.0</v>
      </c>
      <c r="J167" s="849">
        <v>0.0</v>
      </c>
      <c r="K167" s="849">
        <v>0.0</v>
      </c>
      <c r="L167" s="849">
        <v>0.0</v>
      </c>
      <c r="M167" s="849">
        <v>0.0</v>
      </c>
      <c r="N167" s="849">
        <v>0.0</v>
      </c>
      <c r="O167" s="849">
        <v>0.0</v>
      </c>
      <c r="P167" s="849">
        <v>0.0</v>
      </c>
      <c r="Q167" s="849">
        <v>0.0</v>
      </c>
      <c r="R167" s="849">
        <v>0.0</v>
      </c>
      <c r="S167" s="849">
        <v>0.0</v>
      </c>
      <c r="T167" s="849">
        <v>0.0</v>
      </c>
      <c r="U167" s="849">
        <v>0.0</v>
      </c>
      <c r="V167" s="849">
        <v>0.0</v>
      </c>
      <c r="W167" s="849">
        <v>0.0</v>
      </c>
      <c r="X167" s="849">
        <v>0.0</v>
      </c>
      <c r="Y167" s="849">
        <v>0.0</v>
      </c>
      <c r="Z167" s="849">
        <v>0.0</v>
      </c>
      <c r="AA167" s="849">
        <v>0.0</v>
      </c>
      <c r="AB167" s="849">
        <v>0.0</v>
      </c>
      <c r="AC167" s="849">
        <v>0.0</v>
      </c>
      <c r="AD167" s="849">
        <v>0.0</v>
      </c>
      <c r="AE167" s="849">
        <v>0.0</v>
      </c>
      <c r="AF167" s="849">
        <v>0.0</v>
      </c>
      <c r="AG167" s="849">
        <v>0.0</v>
      </c>
      <c r="AH167" s="849">
        <v>0.0</v>
      </c>
      <c r="AI167" s="849">
        <v>0.0</v>
      </c>
      <c r="AJ167" s="794" t="str">
        <f t="shared" ref="AJ167:AK167" si="331">C167</f>
        <v>G0650</v>
      </c>
      <c r="AK167" s="794" t="str">
        <f t="shared" si="331"/>
        <v>PUBLICITE REPRISE GENERAL</v>
      </c>
      <c r="AL167" s="794">
        <f t="array" ref="AL167">IFERROR(INDEX(G167:R167,1,MATCH(Parametres!$B$3,G$1:R$1,0)-1)*IF(OR(F167="L",F167="S",F167="I"),-1,1),"")</f>
        <v>0</v>
      </c>
      <c r="AM167" s="794">
        <f t="shared" si="4"/>
        <v>0</v>
      </c>
      <c r="AN167" s="794">
        <f t="array" ref="AN167">INDEX(G167:R167,1,MATCH(Parametres!$B$3,G$1:R$1,0))*IF(OR(F167="L",F167="S",F167="I"),-1,1)</f>
        <v>0</v>
      </c>
      <c r="AO167" s="853" t="str">
        <f>+VLOOKUP($AJ167,Data_Validation!$A:$D,1,0)</f>
        <v>#N/A</v>
      </c>
      <c r="AP167" s="853" t="str">
        <f>+VLOOKUP($AJ167,Data_Validation!$A:$D,3,0)</f>
        <v>#N/A</v>
      </c>
      <c r="AQ167" s="853" t="str">
        <f>+VLOOKUP($AJ167,Data_Validation!$A:$D,4,0)</f>
        <v>#N/A</v>
      </c>
      <c r="AR167" s="853" t="s">
        <v>728</v>
      </c>
      <c r="AS167" s="853" t="str">
        <f>+VLOOKUP($AJ167,Data_Validation!$A:$E,5,0)</f>
        <v>#N/A</v>
      </c>
      <c r="AT167" s="794" t="str">
        <f t="shared" ref="AT167:AU167" si="332">C167</f>
        <v>G0650</v>
      </c>
      <c r="AU167" s="854" t="str">
        <f t="shared" si="332"/>
        <v>PUBLICITE REPRISE GENERAL</v>
      </c>
      <c r="AV167" s="794">
        <f t="array" ref="AV167">IFERROR(INDEX(V167:AG167,1,MATCH(Parametres!$B$3,V$1:AG$1,0)-1)*IF(OR(C167="L",C167="S",C167="I"),-1,1),"")</f>
        <v>0</v>
      </c>
      <c r="AW167" s="794">
        <f t="shared" si="6"/>
        <v>0</v>
      </c>
      <c r="AX167" s="794">
        <f t="array" ref="AX167">INDEX(V167:AG167,1,MATCH(Parametres!$B$3,V$1:AG$1,0))*IF(OR(C167="L",C167="S",C167="I"),-1,1)</f>
        <v>0</v>
      </c>
      <c r="AY167" s="853" t="s">
        <v>772</v>
      </c>
      <c r="AZ167" s="853" t="str">
        <f>+VLOOKUP($AJ167,Data_Validation!$A:$E,5,0)</f>
        <v>#N/A</v>
      </c>
    </row>
    <row r="168" ht="15.75" customHeight="1">
      <c r="A168" s="849" t="s">
        <v>1239</v>
      </c>
      <c r="B168" s="849">
        <v>2026.0</v>
      </c>
      <c r="C168" s="849" t="s">
        <v>1560</v>
      </c>
      <c r="D168" s="849" t="s">
        <v>1561</v>
      </c>
      <c r="E168" s="849" t="s">
        <v>768</v>
      </c>
      <c r="F168" s="849" t="s">
        <v>1200</v>
      </c>
      <c r="G168" s="849">
        <v>7012.85</v>
      </c>
      <c r="H168" s="849">
        <v>18237.23</v>
      </c>
      <c r="I168" s="849">
        <v>28310.51</v>
      </c>
      <c r="J168" s="849">
        <v>47251.08</v>
      </c>
      <c r="K168" s="849">
        <v>54559.51</v>
      </c>
      <c r="L168" s="849">
        <v>65961.29</v>
      </c>
      <c r="M168" s="849">
        <v>80260.14</v>
      </c>
      <c r="N168" s="849">
        <v>91255.22</v>
      </c>
      <c r="O168" s="849">
        <v>101340.04</v>
      </c>
      <c r="P168" s="849">
        <v>105800.34</v>
      </c>
      <c r="Q168" s="849">
        <v>0.0</v>
      </c>
      <c r="R168" s="849">
        <v>0.0</v>
      </c>
      <c r="S168" s="849">
        <v>11260.0</v>
      </c>
      <c r="T168" s="849">
        <v>11260.0</v>
      </c>
      <c r="U168" s="849">
        <v>0.0</v>
      </c>
      <c r="V168" s="849">
        <v>0.0</v>
      </c>
      <c r="W168" s="849">
        <v>0.0</v>
      </c>
      <c r="X168" s="849">
        <v>0.0</v>
      </c>
      <c r="Y168" s="849">
        <v>0.0</v>
      </c>
      <c r="Z168" s="849">
        <v>0.0</v>
      </c>
      <c r="AA168" s="849">
        <v>0.0</v>
      </c>
      <c r="AB168" s="849">
        <v>0.0</v>
      </c>
      <c r="AC168" s="849">
        <v>0.0</v>
      </c>
      <c r="AD168" s="849">
        <v>0.0</v>
      </c>
      <c r="AE168" s="849">
        <v>0.0</v>
      </c>
      <c r="AF168" s="849">
        <v>0.0</v>
      </c>
      <c r="AG168" s="849">
        <v>0.0</v>
      </c>
      <c r="AH168" s="849">
        <v>0.0</v>
      </c>
      <c r="AI168" s="849">
        <v>0.0</v>
      </c>
      <c r="AJ168" s="794" t="str">
        <f t="shared" ref="AJ168:AK168" si="333">C168</f>
        <v>G0651</v>
      </c>
      <c r="AK168" s="794" t="str">
        <f t="shared" si="333"/>
        <v>PUBLICITE-NEUFS</v>
      </c>
      <c r="AL168" s="794">
        <f t="array" ref="AL168">IFERROR(INDEX(G168:R168,1,MATCH(Parametres!$B$3,G$1:R$1,0)-1)*IF(OR(F168="L",F168="S",F168="I"),-1,1),"")</f>
        <v>91255.22</v>
      </c>
      <c r="AM168" s="794">
        <f t="shared" si="4"/>
        <v>10084.82</v>
      </c>
      <c r="AN168" s="794">
        <f t="array" ref="AN168">INDEX(G168:R168,1,MATCH(Parametres!$B$3,G$1:R$1,0))*IF(OR(F168="L",F168="S",F168="I"),-1,1)</f>
        <v>101340.04</v>
      </c>
      <c r="AO168" s="853" t="str">
        <f>+VLOOKUP($AJ168,Data_Validation!$A:$D,1,0)</f>
        <v>G0651</v>
      </c>
      <c r="AP168" s="853" t="str">
        <f>+VLOOKUP($AJ168,Data_Validation!$A:$D,3,0)</f>
        <v>Véhicules neufs</v>
      </c>
      <c r="AQ168" s="853" t="str">
        <f>+VLOOKUP($AJ168,Data_Validation!$A:$D,4,0)</f>
        <v>Publicité 1</v>
      </c>
      <c r="AR168" s="853" t="s">
        <v>728</v>
      </c>
      <c r="AS168" s="853" t="str">
        <f>+VLOOKUP($AJ168,Data_Validation!$A:$E,5,0)</f>
        <v/>
      </c>
      <c r="AT168" s="794" t="str">
        <f t="shared" ref="AT168:AU168" si="334">C168</f>
        <v>G0651</v>
      </c>
      <c r="AU168" s="854" t="str">
        <f t="shared" si="334"/>
        <v>PUBLICITE-NEUFS</v>
      </c>
      <c r="AV168" s="794">
        <f t="array" ref="AV168">IFERROR(INDEX(V168:AG168,1,MATCH(Parametres!$B$3,V$1:AG$1,0)-1)*IF(OR(C168="L",C168="S",C168="I"),-1,1),"")</f>
        <v>0</v>
      </c>
      <c r="AW168" s="794">
        <f t="shared" si="6"/>
        <v>0</v>
      </c>
      <c r="AX168" s="794">
        <f t="array" ref="AX168">INDEX(V168:AG168,1,MATCH(Parametres!$B$3,V$1:AG$1,0))*IF(OR(C168="L",C168="S",C168="I"),-1,1)</f>
        <v>0</v>
      </c>
      <c r="AY168" s="853" t="s">
        <v>772</v>
      </c>
      <c r="AZ168" s="853" t="str">
        <f>+VLOOKUP($AJ168,Data_Validation!$A:$E,5,0)</f>
        <v/>
      </c>
    </row>
    <row r="169" ht="15.0" customHeight="1">
      <c r="A169" s="849" t="s">
        <v>1239</v>
      </c>
      <c r="B169" s="849">
        <v>2026.0</v>
      </c>
      <c r="C169" s="849" t="s">
        <v>1562</v>
      </c>
      <c r="D169" s="849" t="s">
        <v>1563</v>
      </c>
      <c r="E169" s="849" t="s">
        <v>768</v>
      </c>
      <c r="F169" s="849" t="s">
        <v>1200</v>
      </c>
      <c r="G169" s="849">
        <v>7043.93</v>
      </c>
      <c r="H169" s="849">
        <v>14433.46</v>
      </c>
      <c r="I169" s="849">
        <v>25079.68</v>
      </c>
      <c r="J169" s="849">
        <v>34295.58</v>
      </c>
      <c r="K169" s="849">
        <v>38135.97</v>
      </c>
      <c r="L169" s="849">
        <v>50383.05</v>
      </c>
      <c r="M169" s="849">
        <v>62164.55</v>
      </c>
      <c r="N169" s="849">
        <v>67348.27</v>
      </c>
      <c r="O169" s="849">
        <v>77999.82</v>
      </c>
      <c r="P169" s="849">
        <v>85417.63</v>
      </c>
      <c r="Q169" s="849">
        <v>0.0</v>
      </c>
      <c r="R169" s="849">
        <v>0.0</v>
      </c>
      <c r="S169" s="849">
        <v>8666.65</v>
      </c>
      <c r="T169" s="849">
        <v>8666.65</v>
      </c>
      <c r="U169" s="849">
        <v>0.0</v>
      </c>
      <c r="V169" s="849">
        <v>0.0</v>
      </c>
      <c r="W169" s="849">
        <v>0.0</v>
      </c>
      <c r="X169" s="849">
        <v>0.0</v>
      </c>
      <c r="Y169" s="849">
        <v>0.0</v>
      </c>
      <c r="Z169" s="849">
        <v>0.0</v>
      </c>
      <c r="AA169" s="849">
        <v>0.0</v>
      </c>
      <c r="AB169" s="849">
        <v>0.0</v>
      </c>
      <c r="AC169" s="849">
        <v>0.0</v>
      </c>
      <c r="AD169" s="849">
        <v>0.0</v>
      </c>
      <c r="AE169" s="849">
        <v>0.0</v>
      </c>
      <c r="AF169" s="849">
        <v>0.0</v>
      </c>
      <c r="AG169" s="849">
        <v>0.0</v>
      </c>
      <c r="AH169" s="849">
        <v>0.0</v>
      </c>
      <c r="AI169" s="849">
        <v>0.0</v>
      </c>
      <c r="AJ169" s="794" t="str">
        <f t="shared" ref="AJ169:AK169" si="335">C169</f>
        <v>G0652</v>
      </c>
      <c r="AK169" s="794" t="str">
        <f t="shared" si="335"/>
        <v>PUBLICITE-USAGE</v>
      </c>
      <c r="AL169" s="794">
        <f t="array" ref="AL169">IFERROR(INDEX(G169:R169,1,MATCH(Parametres!$B$3,G$1:R$1,0)-1)*IF(OR(F169="L",F169="S",F169="I"),-1,1),"")</f>
        <v>67348.27</v>
      </c>
      <c r="AM169" s="794">
        <f t="shared" si="4"/>
        <v>10651.55</v>
      </c>
      <c r="AN169" s="794">
        <f t="array" ref="AN169">INDEX(G169:R169,1,MATCH(Parametres!$B$3,G$1:R$1,0))*IF(OR(F169="L",F169="S",F169="I"),-1,1)</f>
        <v>77999.82</v>
      </c>
      <c r="AO169" s="853" t="str">
        <f>+VLOOKUP($AJ169,Data_Validation!$A:$D,1,0)</f>
        <v>G0652</v>
      </c>
      <c r="AP169" s="853" t="str">
        <f>+VLOOKUP($AJ169,Data_Validation!$A:$D,3,0)</f>
        <v>Véhicules usagés</v>
      </c>
      <c r="AQ169" s="853" t="str">
        <f>+VLOOKUP($AJ169,Data_Validation!$A:$D,4,0)</f>
        <v>Publicité 1</v>
      </c>
      <c r="AR169" s="853" t="s">
        <v>728</v>
      </c>
      <c r="AS169" s="853" t="str">
        <f>+VLOOKUP($AJ169,Data_Validation!$A:$E,5,0)</f>
        <v/>
      </c>
      <c r="AT169" s="794" t="str">
        <f t="shared" ref="AT169:AU169" si="336">C169</f>
        <v>G0652</v>
      </c>
      <c r="AU169" s="854" t="str">
        <f t="shared" si="336"/>
        <v>PUBLICITE-USAGE</v>
      </c>
      <c r="AV169" s="794">
        <f t="array" ref="AV169">IFERROR(INDEX(V169:AG169,1,MATCH(Parametres!$B$3,V$1:AG$1,0)-1)*IF(OR(C169="L",C169="S",C169="I"),-1,1),"")</f>
        <v>0</v>
      </c>
      <c r="AW169" s="794">
        <f t="shared" si="6"/>
        <v>0</v>
      </c>
      <c r="AX169" s="794">
        <f t="array" ref="AX169">INDEX(V169:AG169,1,MATCH(Parametres!$B$3,V$1:AG$1,0))*IF(OR(C169="L",C169="S",C169="I"),-1,1)</f>
        <v>0</v>
      </c>
      <c r="AY169" s="853" t="s">
        <v>772</v>
      </c>
      <c r="AZ169" s="853" t="str">
        <f>+VLOOKUP($AJ169,Data_Validation!$A:$E,5,0)</f>
        <v/>
      </c>
    </row>
    <row r="170" ht="15.0" customHeight="1">
      <c r="A170" s="849" t="s">
        <v>1239</v>
      </c>
      <c r="B170" s="849">
        <v>2026.0</v>
      </c>
      <c r="C170" s="849" t="s">
        <v>1564</v>
      </c>
      <c r="D170" s="849" t="s">
        <v>1565</v>
      </c>
      <c r="E170" s="849" t="s">
        <v>768</v>
      </c>
      <c r="F170" s="849" t="s">
        <v>1200</v>
      </c>
      <c r="G170" s="849">
        <v>0.0</v>
      </c>
      <c r="H170" s="849">
        <v>0.0</v>
      </c>
      <c r="I170" s="849">
        <v>0.0</v>
      </c>
      <c r="J170" s="849">
        <v>0.0</v>
      </c>
      <c r="K170" s="849">
        <v>0.0</v>
      </c>
      <c r="L170" s="849">
        <v>0.0</v>
      </c>
      <c r="M170" s="849">
        <v>0.0</v>
      </c>
      <c r="N170" s="849">
        <v>0.0</v>
      </c>
      <c r="O170" s="849">
        <v>0.0</v>
      </c>
      <c r="P170" s="849">
        <v>0.0</v>
      </c>
      <c r="Q170" s="849">
        <v>0.0</v>
      </c>
      <c r="R170" s="849">
        <v>0.0</v>
      </c>
      <c r="S170" s="849">
        <v>0.0</v>
      </c>
      <c r="T170" s="849">
        <v>0.0</v>
      </c>
      <c r="U170" s="849">
        <v>0.0</v>
      </c>
      <c r="V170" s="849">
        <v>0.0</v>
      </c>
      <c r="W170" s="849">
        <v>0.0</v>
      </c>
      <c r="X170" s="849">
        <v>0.0</v>
      </c>
      <c r="Y170" s="849">
        <v>0.0</v>
      </c>
      <c r="Z170" s="849">
        <v>0.0</v>
      </c>
      <c r="AA170" s="849">
        <v>0.0</v>
      </c>
      <c r="AB170" s="849">
        <v>0.0</v>
      </c>
      <c r="AC170" s="849">
        <v>0.0</v>
      </c>
      <c r="AD170" s="849">
        <v>0.0</v>
      </c>
      <c r="AE170" s="849">
        <v>0.0</v>
      </c>
      <c r="AF170" s="849">
        <v>0.0</v>
      </c>
      <c r="AG170" s="849">
        <v>0.0</v>
      </c>
      <c r="AH170" s="849">
        <v>0.0</v>
      </c>
      <c r="AI170" s="849">
        <v>0.0</v>
      </c>
      <c r="AJ170" s="794" t="str">
        <f t="shared" ref="AJ170:AK170" si="337">C170</f>
        <v>G0653</v>
      </c>
      <c r="AK170" s="794" t="str">
        <f t="shared" si="337"/>
        <v>PUBLICITE U.S.A</v>
      </c>
      <c r="AL170" s="794">
        <f t="array" ref="AL170">IFERROR(INDEX(G170:R170,1,MATCH(Parametres!$B$3,G$1:R$1,0)-1)*IF(OR(F170="L",F170="S",F170="I"),-1,1),"")</f>
        <v>0</v>
      </c>
      <c r="AM170" s="794">
        <f t="shared" si="4"/>
        <v>0</v>
      </c>
      <c r="AN170" s="794">
        <f t="array" ref="AN170">INDEX(G170:R170,1,MATCH(Parametres!$B$3,G$1:R$1,0))*IF(OR(F170="L",F170="S",F170="I"),-1,1)</f>
        <v>0</v>
      </c>
      <c r="AO170" s="853" t="str">
        <f>+VLOOKUP($AJ170,Data_Validation!$A:$D,1,0)</f>
        <v>G0653</v>
      </c>
      <c r="AP170" s="853" t="str">
        <f>+VLOOKUP($AJ170,Data_Validation!$A:$D,3,0)</f>
        <v>Wholesale autres</v>
      </c>
      <c r="AQ170" s="853" t="str">
        <f>+VLOOKUP($AJ170,Data_Validation!$A:$D,4,0)</f>
        <v>Publicité 1</v>
      </c>
      <c r="AR170" s="853" t="s">
        <v>728</v>
      </c>
      <c r="AS170" s="853" t="str">
        <f>+VLOOKUP($AJ170,Data_Validation!$A:$E,5,0)</f>
        <v/>
      </c>
      <c r="AT170" s="794" t="str">
        <f t="shared" ref="AT170:AU170" si="338">C170</f>
        <v>G0653</v>
      </c>
      <c r="AU170" s="854" t="str">
        <f t="shared" si="338"/>
        <v>PUBLICITE U.S.A</v>
      </c>
      <c r="AV170" s="794">
        <f t="array" ref="AV170">IFERROR(INDEX(V170:AG170,1,MATCH(Parametres!$B$3,V$1:AG$1,0)-1)*IF(OR(C170="L",C170="S",C170="I"),-1,1),"")</f>
        <v>0</v>
      </c>
      <c r="AW170" s="794">
        <f t="shared" si="6"/>
        <v>0</v>
      </c>
      <c r="AX170" s="794">
        <f t="array" ref="AX170">INDEX(V170:AG170,1,MATCH(Parametres!$B$3,V$1:AG$1,0))*IF(OR(C170="L",C170="S",C170="I"),-1,1)</f>
        <v>0</v>
      </c>
      <c r="AY170" s="853" t="s">
        <v>772</v>
      </c>
      <c r="AZ170" s="853" t="str">
        <f>+VLOOKUP($AJ170,Data_Validation!$A:$E,5,0)</f>
        <v/>
      </c>
    </row>
    <row r="171" ht="15.0" customHeight="1">
      <c r="A171" s="849" t="s">
        <v>1239</v>
      </c>
      <c r="B171" s="849">
        <v>2026.0</v>
      </c>
      <c r="C171" s="849" t="s">
        <v>1566</v>
      </c>
      <c r="D171" s="849" t="s">
        <v>1567</v>
      </c>
      <c r="E171" s="849" t="s">
        <v>768</v>
      </c>
      <c r="F171" s="849" t="s">
        <v>1200</v>
      </c>
      <c r="G171" s="849">
        <v>637.4</v>
      </c>
      <c r="H171" s="849">
        <v>1832.32</v>
      </c>
      <c r="I171" s="849">
        <v>3330.84</v>
      </c>
      <c r="J171" s="849">
        <v>5498.1</v>
      </c>
      <c r="K171" s="849">
        <v>6912.86</v>
      </c>
      <c r="L171" s="849">
        <v>10051.69</v>
      </c>
      <c r="M171" s="849">
        <v>11591.08</v>
      </c>
      <c r="N171" s="849">
        <v>12017.01</v>
      </c>
      <c r="O171" s="849">
        <v>13469.88</v>
      </c>
      <c r="P171" s="849">
        <v>14268.53</v>
      </c>
      <c r="Q171" s="849">
        <v>0.0</v>
      </c>
      <c r="R171" s="849">
        <v>0.0</v>
      </c>
      <c r="S171" s="849">
        <v>1496.65</v>
      </c>
      <c r="T171" s="849">
        <v>1496.65</v>
      </c>
      <c r="U171" s="849">
        <v>0.0</v>
      </c>
      <c r="V171" s="849">
        <v>0.0</v>
      </c>
      <c r="W171" s="849">
        <v>0.0</v>
      </c>
      <c r="X171" s="849">
        <v>0.0</v>
      </c>
      <c r="Y171" s="849">
        <v>0.0</v>
      </c>
      <c r="Z171" s="849">
        <v>0.0</v>
      </c>
      <c r="AA171" s="849">
        <v>0.0</v>
      </c>
      <c r="AB171" s="849">
        <v>0.0</v>
      </c>
      <c r="AC171" s="849">
        <v>0.0</v>
      </c>
      <c r="AD171" s="849">
        <v>0.0</v>
      </c>
      <c r="AE171" s="849">
        <v>0.0</v>
      </c>
      <c r="AF171" s="849">
        <v>0.0</v>
      </c>
      <c r="AG171" s="849">
        <v>0.0</v>
      </c>
      <c r="AH171" s="849">
        <v>0.0</v>
      </c>
      <c r="AI171" s="849">
        <v>0.0</v>
      </c>
      <c r="AJ171" s="794" t="str">
        <f t="shared" ref="AJ171:AK171" si="339">C171</f>
        <v>G0654</v>
      </c>
      <c r="AK171" s="794" t="str">
        <f t="shared" si="339"/>
        <v>PUBLICITE-SERVICE</v>
      </c>
      <c r="AL171" s="794">
        <f t="array" ref="AL171">IFERROR(INDEX(G171:R171,1,MATCH(Parametres!$B$3,G$1:R$1,0)-1)*IF(OR(F171="L",F171="S",F171="I"),-1,1),"")</f>
        <v>12017.01</v>
      </c>
      <c r="AM171" s="794">
        <f t="shared" si="4"/>
        <v>1452.87</v>
      </c>
      <c r="AN171" s="794">
        <f t="array" ref="AN171">INDEX(G171:R171,1,MATCH(Parametres!$B$3,G$1:R$1,0))*IF(OR(F171="L",F171="S",F171="I"),-1,1)</f>
        <v>13469.88</v>
      </c>
      <c r="AO171" s="853" t="str">
        <f>+VLOOKUP($AJ171,Data_Validation!$A:$D,1,0)</f>
        <v>G0654</v>
      </c>
      <c r="AP171" s="853" t="str">
        <f>+VLOOKUP($AJ171,Data_Validation!$A:$D,3,0)</f>
        <v>Service</v>
      </c>
      <c r="AQ171" s="853" t="str">
        <f>+VLOOKUP($AJ171,Data_Validation!$A:$D,4,0)</f>
        <v>Publicité 2</v>
      </c>
      <c r="AR171" s="853" t="s">
        <v>728</v>
      </c>
      <c r="AS171" s="853" t="str">
        <f>+VLOOKUP($AJ171,Data_Validation!$A:$E,5,0)</f>
        <v/>
      </c>
      <c r="AT171" s="794" t="str">
        <f t="shared" ref="AT171:AU171" si="340">C171</f>
        <v>G0654</v>
      </c>
      <c r="AU171" s="854" t="str">
        <f t="shared" si="340"/>
        <v>PUBLICITE-SERVICE</v>
      </c>
      <c r="AV171" s="794">
        <f t="array" ref="AV171">IFERROR(INDEX(V171:AG171,1,MATCH(Parametres!$B$3,V$1:AG$1,0)-1)*IF(OR(C171="L",C171="S",C171="I"),-1,1),"")</f>
        <v>0</v>
      </c>
      <c r="AW171" s="794">
        <f t="shared" si="6"/>
        <v>0</v>
      </c>
      <c r="AX171" s="794">
        <f t="array" ref="AX171">INDEX(V171:AG171,1,MATCH(Parametres!$B$3,V$1:AG$1,0))*IF(OR(C171="L",C171="S",C171="I"),-1,1)</f>
        <v>0</v>
      </c>
      <c r="AY171" s="853" t="s">
        <v>772</v>
      </c>
      <c r="AZ171" s="853" t="str">
        <f>+VLOOKUP($AJ171,Data_Validation!$A:$E,5,0)</f>
        <v/>
      </c>
    </row>
    <row r="172" ht="15.75" customHeight="1">
      <c r="A172" s="849" t="s">
        <v>1239</v>
      </c>
      <c r="B172" s="849">
        <v>2026.0</v>
      </c>
      <c r="C172" s="849" t="s">
        <v>1568</v>
      </c>
      <c r="D172" s="849" t="s">
        <v>1569</v>
      </c>
      <c r="E172" s="849" t="s">
        <v>768</v>
      </c>
      <c r="F172" s="849" t="s">
        <v>1200</v>
      </c>
      <c r="G172" s="849">
        <v>1072.0</v>
      </c>
      <c r="H172" s="849">
        <v>2279.52</v>
      </c>
      <c r="I172" s="849">
        <v>2668.92</v>
      </c>
      <c r="J172" s="849">
        <v>4619.36</v>
      </c>
      <c r="K172" s="849">
        <v>7031.39</v>
      </c>
      <c r="L172" s="849">
        <v>7734.39</v>
      </c>
      <c r="M172" s="849">
        <v>8125.33</v>
      </c>
      <c r="N172" s="849">
        <v>8125.33</v>
      </c>
      <c r="O172" s="849">
        <v>9958.33</v>
      </c>
      <c r="P172" s="849">
        <v>9958.33</v>
      </c>
      <c r="Q172" s="849">
        <v>0.0</v>
      </c>
      <c r="R172" s="849">
        <v>0.0</v>
      </c>
      <c r="S172" s="849">
        <v>1106.48</v>
      </c>
      <c r="T172" s="849">
        <v>1106.48</v>
      </c>
      <c r="U172" s="849">
        <v>0.0</v>
      </c>
      <c r="V172" s="849">
        <v>0.0</v>
      </c>
      <c r="W172" s="849">
        <v>0.0</v>
      </c>
      <c r="X172" s="849">
        <v>0.0</v>
      </c>
      <c r="Y172" s="849">
        <v>0.0</v>
      </c>
      <c r="Z172" s="849">
        <v>0.0</v>
      </c>
      <c r="AA172" s="849">
        <v>0.0</v>
      </c>
      <c r="AB172" s="849">
        <v>0.0</v>
      </c>
      <c r="AC172" s="849">
        <v>0.0</v>
      </c>
      <c r="AD172" s="849">
        <v>0.0</v>
      </c>
      <c r="AE172" s="849">
        <v>0.0</v>
      </c>
      <c r="AF172" s="849">
        <v>0.0</v>
      </c>
      <c r="AG172" s="849">
        <v>0.0</v>
      </c>
      <c r="AH172" s="849">
        <v>0.0</v>
      </c>
      <c r="AI172" s="849">
        <v>0.0</v>
      </c>
      <c r="AJ172" s="794" t="str">
        <f t="shared" ref="AJ172:AK172" si="341">C172</f>
        <v>G0655</v>
      </c>
      <c r="AK172" s="794" t="str">
        <f t="shared" si="341"/>
        <v>PUBLICITE-CARROSSERIE</v>
      </c>
      <c r="AL172" s="794">
        <f t="array" ref="AL172">IFERROR(INDEX(G172:R172,1,MATCH(Parametres!$B$3,G$1:R$1,0)-1)*IF(OR(F172="L",F172="S",F172="I"),-1,1),"")</f>
        <v>8125.33</v>
      </c>
      <c r="AM172" s="794">
        <f t="shared" si="4"/>
        <v>1833</v>
      </c>
      <c r="AN172" s="794">
        <f t="array" ref="AN172">INDEX(G172:R172,1,MATCH(Parametres!$B$3,G$1:R$1,0))*IF(OR(F172="L",F172="S",F172="I"),-1,1)</f>
        <v>9958.33</v>
      </c>
      <c r="AO172" s="853" t="str">
        <f>+VLOOKUP($AJ172,Data_Validation!$A:$D,1,0)</f>
        <v>G0655</v>
      </c>
      <c r="AP172" s="853" t="str">
        <f>+VLOOKUP($AJ172,Data_Validation!$A:$D,3,0)</f>
        <v>Carrosserie</v>
      </c>
      <c r="AQ172" s="853" t="str">
        <f>+VLOOKUP($AJ172,Data_Validation!$A:$D,4,0)</f>
        <v>Publicité 2</v>
      </c>
      <c r="AR172" s="853" t="s">
        <v>728</v>
      </c>
      <c r="AS172" s="853" t="str">
        <f>+VLOOKUP($AJ172,Data_Validation!$A:$E,5,0)</f>
        <v/>
      </c>
      <c r="AT172" s="794" t="str">
        <f t="shared" ref="AT172:AU172" si="342">C172</f>
        <v>G0655</v>
      </c>
      <c r="AU172" s="854" t="str">
        <f t="shared" si="342"/>
        <v>PUBLICITE-CARROSSERIE</v>
      </c>
      <c r="AV172" s="794">
        <f t="array" ref="AV172">IFERROR(INDEX(V172:AG172,1,MATCH(Parametres!$B$3,V$1:AG$1,0)-1)*IF(OR(C172="L",C172="S",C172="I"),-1,1),"")</f>
        <v>0</v>
      </c>
      <c r="AW172" s="794">
        <f t="shared" si="6"/>
        <v>0</v>
      </c>
      <c r="AX172" s="794">
        <f t="array" ref="AX172">INDEX(V172:AG172,1,MATCH(Parametres!$B$3,V$1:AG$1,0))*IF(OR(C172="L",C172="S",C172="I"),-1,1)</f>
        <v>0</v>
      </c>
      <c r="AY172" s="853" t="s">
        <v>772</v>
      </c>
      <c r="AZ172" s="853" t="str">
        <f>+VLOOKUP($AJ172,Data_Validation!$A:$E,5,0)</f>
        <v/>
      </c>
    </row>
    <row r="173" ht="15.0" customHeight="1">
      <c r="A173" s="849" t="s">
        <v>1239</v>
      </c>
      <c r="B173" s="849">
        <v>2026.0</v>
      </c>
      <c r="C173" s="849" t="s">
        <v>1570</v>
      </c>
      <c r="D173" s="849" t="s">
        <v>1571</v>
      </c>
      <c r="E173" s="849" t="s">
        <v>768</v>
      </c>
      <c r="F173" s="849" t="s">
        <v>1200</v>
      </c>
      <c r="G173" s="849">
        <v>100.0</v>
      </c>
      <c r="H173" s="849">
        <v>215.52</v>
      </c>
      <c r="I173" s="849">
        <v>604.9</v>
      </c>
      <c r="J173" s="849">
        <v>1241.33</v>
      </c>
      <c r="K173" s="849">
        <v>1565.27</v>
      </c>
      <c r="L173" s="849">
        <v>1665.27</v>
      </c>
      <c r="M173" s="849">
        <v>2056.21</v>
      </c>
      <c r="N173" s="849">
        <v>2056.21</v>
      </c>
      <c r="O173" s="849">
        <v>2139.21</v>
      </c>
      <c r="P173" s="849">
        <v>2139.21</v>
      </c>
      <c r="Q173" s="849">
        <v>0.0</v>
      </c>
      <c r="R173" s="849">
        <v>0.0</v>
      </c>
      <c r="S173" s="849">
        <v>237.69</v>
      </c>
      <c r="T173" s="849">
        <v>237.69</v>
      </c>
      <c r="U173" s="849">
        <v>0.0</v>
      </c>
      <c r="V173" s="849">
        <v>0.0</v>
      </c>
      <c r="W173" s="849">
        <v>0.0</v>
      </c>
      <c r="X173" s="849">
        <v>0.0</v>
      </c>
      <c r="Y173" s="849">
        <v>0.0</v>
      </c>
      <c r="Z173" s="849">
        <v>0.0</v>
      </c>
      <c r="AA173" s="849">
        <v>0.0</v>
      </c>
      <c r="AB173" s="849">
        <v>0.0</v>
      </c>
      <c r="AC173" s="849">
        <v>0.0</v>
      </c>
      <c r="AD173" s="849">
        <v>0.0</v>
      </c>
      <c r="AE173" s="849">
        <v>0.0</v>
      </c>
      <c r="AF173" s="849">
        <v>0.0</v>
      </c>
      <c r="AG173" s="849">
        <v>0.0</v>
      </c>
      <c r="AH173" s="849">
        <v>0.0</v>
      </c>
      <c r="AI173" s="849">
        <v>0.0</v>
      </c>
      <c r="AJ173" s="794" t="str">
        <f t="shared" ref="AJ173:AK173" si="343">C173</f>
        <v>G0656</v>
      </c>
      <c r="AK173" s="794" t="str">
        <f t="shared" si="343"/>
        <v>PUBLICITE-PIECES</v>
      </c>
      <c r="AL173" s="794">
        <f t="array" ref="AL173">IFERROR(INDEX(G173:R173,1,MATCH(Parametres!$B$3,G$1:R$1,0)-1)*IF(OR(F173="L",F173="S",F173="I"),-1,1),"")</f>
        <v>2056.21</v>
      </c>
      <c r="AM173" s="794">
        <f t="shared" si="4"/>
        <v>83</v>
      </c>
      <c r="AN173" s="794">
        <f t="array" ref="AN173">INDEX(G173:R173,1,MATCH(Parametres!$B$3,G$1:R$1,0))*IF(OR(F173="L",F173="S",F173="I"),-1,1)</f>
        <v>2139.21</v>
      </c>
      <c r="AO173" s="853" t="str">
        <f>+VLOOKUP($AJ173,Data_Validation!$A:$D,1,0)</f>
        <v>G0656</v>
      </c>
      <c r="AP173" s="853" t="str">
        <f>+VLOOKUP($AJ173,Data_Validation!$A:$D,3,0)</f>
        <v>Pièces</v>
      </c>
      <c r="AQ173" s="853" t="str">
        <f>+VLOOKUP($AJ173,Data_Validation!$A:$D,4,0)</f>
        <v>Publicité 2</v>
      </c>
      <c r="AR173" s="853" t="s">
        <v>728</v>
      </c>
      <c r="AS173" s="853" t="str">
        <f>+VLOOKUP($AJ173,Data_Validation!$A:$E,5,0)</f>
        <v/>
      </c>
      <c r="AT173" s="794" t="str">
        <f t="shared" ref="AT173:AU173" si="344">C173</f>
        <v>G0656</v>
      </c>
      <c r="AU173" s="854" t="str">
        <f t="shared" si="344"/>
        <v>PUBLICITE-PIECES</v>
      </c>
      <c r="AV173" s="794">
        <f t="array" ref="AV173">IFERROR(INDEX(V173:AG173,1,MATCH(Parametres!$B$3,V$1:AG$1,0)-1)*IF(OR(C173="L",C173="S",C173="I"),-1,1),"")</f>
        <v>0</v>
      </c>
      <c r="AW173" s="794">
        <f t="shared" si="6"/>
        <v>0</v>
      </c>
      <c r="AX173" s="794">
        <f t="array" ref="AX173">INDEX(V173:AG173,1,MATCH(Parametres!$B$3,V$1:AG$1,0))*IF(OR(C173="L",C173="S",C173="I"),-1,1)</f>
        <v>0</v>
      </c>
      <c r="AY173" s="853" t="s">
        <v>772</v>
      </c>
      <c r="AZ173" s="853" t="str">
        <f>+VLOOKUP($AJ173,Data_Validation!$A:$E,5,0)</f>
        <v/>
      </c>
    </row>
    <row r="174" ht="15.0" customHeight="1">
      <c r="A174" s="849" t="s">
        <v>1239</v>
      </c>
      <c r="B174" s="849">
        <v>2026.0</v>
      </c>
      <c r="C174" s="849" t="s">
        <v>1572</v>
      </c>
      <c r="D174" s="849" t="s">
        <v>1573</v>
      </c>
      <c r="E174" s="849" t="s">
        <v>768</v>
      </c>
      <c r="F174" s="849" t="s">
        <v>1200</v>
      </c>
      <c r="G174" s="849">
        <v>0.0</v>
      </c>
      <c r="H174" s="849">
        <v>0.0</v>
      </c>
      <c r="I174" s="849">
        <v>0.0</v>
      </c>
      <c r="J174" s="849">
        <v>0.0</v>
      </c>
      <c r="K174" s="849">
        <v>0.0</v>
      </c>
      <c r="L174" s="849">
        <v>0.0</v>
      </c>
      <c r="M174" s="849">
        <v>0.0</v>
      </c>
      <c r="N174" s="849">
        <v>0.0</v>
      </c>
      <c r="O174" s="849">
        <v>0.0</v>
      </c>
      <c r="P174" s="849">
        <v>0.0</v>
      </c>
      <c r="Q174" s="849">
        <v>0.0</v>
      </c>
      <c r="R174" s="849">
        <v>0.0</v>
      </c>
      <c r="S174" s="849">
        <v>0.0</v>
      </c>
      <c r="T174" s="849">
        <v>0.0</v>
      </c>
      <c r="U174" s="849">
        <v>0.0</v>
      </c>
      <c r="V174" s="849">
        <v>0.0</v>
      </c>
      <c r="W174" s="849">
        <v>0.0</v>
      </c>
      <c r="X174" s="849">
        <v>0.0</v>
      </c>
      <c r="Y174" s="849">
        <v>0.0</v>
      </c>
      <c r="Z174" s="849">
        <v>0.0</v>
      </c>
      <c r="AA174" s="849">
        <v>0.0</v>
      </c>
      <c r="AB174" s="849">
        <v>0.0</v>
      </c>
      <c r="AC174" s="849">
        <v>0.0</v>
      </c>
      <c r="AD174" s="849">
        <v>0.0</v>
      </c>
      <c r="AE174" s="849">
        <v>0.0</v>
      </c>
      <c r="AF174" s="849">
        <v>0.0</v>
      </c>
      <c r="AG174" s="849">
        <v>0.0</v>
      </c>
      <c r="AH174" s="849">
        <v>0.0</v>
      </c>
      <c r="AI174" s="849">
        <v>0.0</v>
      </c>
      <c r="AJ174" s="794" t="str">
        <f t="shared" ref="AJ174:AK174" si="345">C174</f>
        <v>G0660</v>
      </c>
      <c r="AK174" s="794" t="str">
        <f t="shared" si="345"/>
        <v>CONTRIBUTION - DONS</v>
      </c>
      <c r="AL174" s="794">
        <f t="array" ref="AL174">IFERROR(INDEX(G174:R174,1,MATCH(Parametres!$B$3,G$1:R$1,0)-1)*IF(OR(F174="L",F174="S",F174="I"),-1,1),"")</f>
        <v>0</v>
      </c>
      <c r="AM174" s="794">
        <f t="shared" si="4"/>
        <v>0</v>
      </c>
      <c r="AN174" s="794">
        <f t="array" ref="AN174">INDEX(G174:R174,1,MATCH(Parametres!$B$3,G$1:R$1,0))*IF(OR(F174="L",F174="S",F174="I"),-1,1)</f>
        <v>0</v>
      </c>
      <c r="AO174" s="853" t="str">
        <f>+VLOOKUP($AJ174,Data_Validation!$A:$D,1,0)</f>
        <v>#N/A</v>
      </c>
      <c r="AP174" s="853" t="str">
        <f>+VLOOKUP($AJ174,Data_Validation!$A:$D,3,0)</f>
        <v>#N/A</v>
      </c>
      <c r="AQ174" s="853" t="str">
        <f>+VLOOKUP($AJ174,Data_Validation!$A:$D,4,0)</f>
        <v>#N/A</v>
      </c>
      <c r="AR174" s="853" t="s">
        <v>728</v>
      </c>
      <c r="AS174" s="853" t="str">
        <f>+VLOOKUP($AJ174,Data_Validation!$A:$E,5,0)</f>
        <v>#N/A</v>
      </c>
      <c r="AT174" s="794" t="str">
        <f t="shared" ref="AT174:AU174" si="346">C174</f>
        <v>G0660</v>
      </c>
      <c r="AU174" s="854" t="str">
        <f t="shared" si="346"/>
        <v>CONTRIBUTION - DONS</v>
      </c>
      <c r="AV174" s="794">
        <f t="array" ref="AV174">IFERROR(INDEX(V174:AG174,1,MATCH(Parametres!$B$3,V$1:AG$1,0)-1)*IF(OR(C174="L",C174="S",C174="I"),-1,1),"")</f>
        <v>0</v>
      </c>
      <c r="AW174" s="794">
        <f t="shared" si="6"/>
        <v>0</v>
      </c>
      <c r="AX174" s="794">
        <f t="array" ref="AX174">INDEX(V174:AG174,1,MATCH(Parametres!$B$3,V$1:AG$1,0))*IF(OR(C174="L",C174="S",C174="I"),-1,1)</f>
        <v>0</v>
      </c>
      <c r="AY174" s="853" t="s">
        <v>772</v>
      </c>
      <c r="AZ174" s="853" t="str">
        <f>+VLOOKUP($AJ174,Data_Validation!$A:$E,5,0)</f>
        <v>#N/A</v>
      </c>
    </row>
    <row r="175" ht="15.0" customHeight="1">
      <c r="A175" s="849" t="s">
        <v>1239</v>
      </c>
      <c r="B175" s="849">
        <v>2026.0</v>
      </c>
      <c r="C175" s="849" t="s">
        <v>1574</v>
      </c>
      <c r="D175" s="849" t="s">
        <v>1575</v>
      </c>
      <c r="E175" s="849" t="s">
        <v>768</v>
      </c>
      <c r="F175" s="849" t="s">
        <v>1200</v>
      </c>
      <c r="G175" s="849">
        <v>0.0</v>
      </c>
      <c r="H175" s="849">
        <v>200.0</v>
      </c>
      <c r="I175" s="849">
        <v>200.0</v>
      </c>
      <c r="J175" s="849">
        <v>200.0</v>
      </c>
      <c r="K175" s="849">
        <v>200.0</v>
      </c>
      <c r="L175" s="849">
        <v>200.0</v>
      </c>
      <c r="M175" s="849">
        <v>200.0</v>
      </c>
      <c r="N175" s="849">
        <v>200.0</v>
      </c>
      <c r="O175" s="849">
        <v>200.0</v>
      </c>
      <c r="P175" s="849">
        <v>200.0</v>
      </c>
      <c r="Q175" s="849">
        <v>0.0</v>
      </c>
      <c r="R175" s="849">
        <v>0.0</v>
      </c>
      <c r="S175" s="849">
        <v>22.22</v>
      </c>
      <c r="T175" s="849">
        <v>22.22</v>
      </c>
      <c r="U175" s="849">
        <v>0.0</v>
      </c>
      <c r="V175" s="849">
        <v>0.0</v>
      </c>
      <c r="W175" s="849">
        <v>0.0</v>
      </c>
      <c r="X175" s="849">
        <v>0.0</v>
      </c>
      <c r="Y175" s="849">
        <v>0.0</v>
      </c>
      <c r="Z175" s="849">
        <v>0.0</v>
      </c>
      <c r="AA175" s="849">
        <v>0.0</v>
      </c>
      <c r="AB175" s="849">
        <v>0.0</v>
      </c>
      <c r="AC175" s="849">
        <v>0.0</v>
      </c>
      <c r="AD175" s="849">
        <v>0.0</v>
      </c>
      <c r="AE175" s="849">
        <v>0.0</v>
      </c>
      <c r="AF175" s="849">
        <v>0.0</v>
      </c>
      <c r="AG175" s="849">
        <v>0.0</v>
      </c>
      <c r="AH175" s="849">
        <v>0.0</v>
      </c>
      <c r="AI175" s="849">
        <v>0.0</v>
      </c>
      <c r="AJ175" s="794" t="str">
        <f t="shared" ref="AJ175:AK175" si="347">C175</f>
        <v>G0661</v>
      </c>
      <c r="AK175" s="794" t="str">
        <f t="shared" si="347"/>
        <v>CONTRIBUTIONS-NEUF</v>
      </c>
      <c r="AL175" s="794">
        <f t="array" ref="AL175">IFERROR(INDEX(G175:R175,1,MATCH(Parametres!$B$3,G$1:R$1,0)-1)*IF(OR(F175="L",F175="S",F175="I"),-1,1),"")</f>
        <v>200</v>
      </c>
      <c r="AM175" s="794">
        <f t="shared" si="4"/>
        <v>0</v>
      </c>
      <c r="AN175" s="794">
        <f t="array" ref="AN175">INDEX(G175:R175,1,MATCH(Parametres!$B$3,G$1:R$1,0))*IF(OR(F175="L",F175="S",F175="I"),-1,1)</f>
        <v>200</v>
      </c>
      <c r="AO175" s="853" t="str">
        <f>+VLOOKUP($AJ175,Data_Validation!$A:$D,1,0)</f>
        <v>G0661</v>
      </c>
      <c r="AP175" s="853" t="str">
        <f>+VLOOKUP($AJ175,Data_Validation!$A:$D,3,0)</f>
        <v>Véhicules neufs</v>
      </c>
      <c r="AQ175" s="853" t="str">
        <f>+VLOOKUP($AJ175,Data_Validation!$A:$D,4,0)</f>
        <v>Publicité 1</v>
      </c>
      <c r="AR175" s="853" t="s">
        <v>728</v>
      </c>
      <c r="AS175" s="853" t="str">
        <f>+VLOOKUP($AJ175,Data_Validation!$A:$E,5,0)</f>
        <v/>
      </c>
      <c r="AT175" s="794" t="str">
        <f t="shared" ref="AT175:AU175" si="348">C175</f>
        <v>G0661</v>
      </c>
      <c r="AU175" s="854" t="str">
        <f t="shared" si="348"/>
        <v>CONTRIBUTIONS-NEUF</v>
      </c>
      <c r="AV175" s="794">
        <f t="array" ref="AV175">IFERROR(INDEX(V175:AG175,1,MATCH(Parametres!$B$3,V$1:AG$1,0)-1)*IF(OR(C175="L",C175="S",C175="I"),-1,1),"")</f>
        <v>0</v>
      </c>
      <c r="AW175" s="794">
        <f t="shared" si="6"/>
        <v>0</v>
      </c>
      <c r="AX175" s="794">
        <f t="array" ref="AX175">INDEX(V175:AG175,1,MATCH(Parametres!$B$3,V$1:AG$1,0))*IF(OR(C175="L",C175="S",C175="I"),-1,1)</f>
        <v>0</v>
      </c>
      <c r="AY175" s="853" t="s">
        <v>772</v>
      </c>
      <c r="AZ175" s="853" t="str">
        <f>+VLOOKUP($AJ175,Data_Validation!$A:$E,5,0)</f>
        <v/>
      </c>
    </row>
    <row r="176" ht="15.75" customHeight="1">
      <c r="A176" s="849" t="s">
        <v>1239</v>
      </c>
      <c r="B176" s="849">
        <v>2026.0</v>
      </c>
      <c r="C176" s="849" t="s">
        <v>1576</v>
      </c>
      <c r="D176" s="849" t="s">
        <v>1577</v>
      </c>
      <c r="E176" s="849" t="s">
        <v>768</v>
      </c>
      <c r="F176" s="849" t="s">
        <v>1200</v>
      </c>
      <c r="G176" s="849">
        <v>0.0</v>
      </c>
      <c r="H176" s="849">
        <v>100.0</v>
      </c>
      <c r="I176" s="849">
        <v>100.0</v>
      </c>
      <c r="J176" s="849">
        <v>100.0</v>
      </c>
      <c r="K176" s="849">
        <v>100.0</v>
      </c>
      <c r="L176" s="849">
        <v>100.0</v>
      </c>
      <c r="M176" s="849">
        <v>100.0</v>
      </c>
      <c r="N176" s="849">
        <v>100.0</v>
      </c>
      <c r="O176" s="849">
        <v>100.0</v>
      </c>
      <c r="P176" s="849">
        <v>100.0</v>
      </c>
      <c r="Q176" s="849">
        <v>0.0</v>
      </c>
      <c r="R176" s="849">
        <v>0.0</v>
      </c>
      <c r="S176" s="849">
        <v>11.11</v>
      </c>
      <c r="T176" s="849">
        <v>11.11</v>
      </c>
      <c r="U176" s="849">
        <v>0.0</v>
      </c>
      <c r="V176" s="849">
        <v>0.0</v>
      </c>
      <c r="W176" s="849">
        <v>0.0</v>
      </c>
      <c r="X176" s="849">
        <v>0.0</v>
      </c>
      <c r="Y176" s="849">
        <v>0.0</v>
      </c>
      <c r="Z176" s="849">
        <v>0.0</v>
      </c>
      <c r="AA176" s="849">
        <v>0.0</v>
      </c>
      <c r="AB176" s="849">
        <v>0.0</v>
      </c>
      <c r="AC176" s="849">
        <v>0.0</v>
      </c>
      <c r="AD176" s="849">
        <v>0.0</v>
      </c>
      <c r="AE176" s="849">
        <v>0.0</v>
      </c>
      <c r="AF176" s="849">
        <v>0.0</v>
      </c>
      <c r="AG176" s="849">
        <v>0.0</v>
      </c>
      <c r="AH176" s="849">
        <v>0.0</v>
      </c>
      <c r="AI176" s="849">
        <v>0.0</v>
      </c>
      <c r="AJ176" s="794" t="str">
        <f t="shared" ref="AJ176:AK176" si="349">C176</f>
        <v>G0662</v>
      </c>
      <c r="AK176" s="794" t="str">
        <f t="shared" si="349"/>
        <v>CONTRIBUTIONS-USAGE</v>
      </c>
      <c r="AL176" s="794">
        <f t="array" ref="AL176">IFERROR(INDEX(G176:R176,1,MATCH(Parametres!$B$3,G$1:R$1,0)-1)*IF(OR(F176="L",F176="S",F176="I"),-1,1),"")</f>
        <v>100</v>
      </c>
      <c r="AM176" s="794">
        <f t="shared" si="4"/>
        <v>0</v>
      </c>
      <c r="AN176" s="794">
        <f t="array" ref="AN176">INDEX(G176:R176,1,MATCH(Parametres!$B$3,G$1:R$1,0))*IF(OR(F176="L",F176="S",F176="I"),-1,1)</f>
        <v>100</v>
      </c>
      <c r="AO176" s="853" t="str">
        <f>+VLOOKUP($AJ176,Data_Validation!$A:$D,1,0)</f>
        <v>G0662</v>
      </c>
      <c r="AP176" s="853" t="str">
        <f>+VLOOKUP($AJ176,Data_Validation!$A:$D,3,0)</f>
        <v>Véhicules usagés</v>
      </c>
      <c r="AQ176" s="853" t="str">
        <f>+VLOOKUP($AJ176,Data_Validation!$A:$D,4,0)</f>
        <v>Publicité 1</v>
      </c>
      <c r="AR176" s="853" t="s">
        <v>728</v>
      </c>
      <c r="AS176" s="853" t="str">
        <f>+VLOOKUP($AJ176,Data_Validation!$A:$E,5,0)</f>
        <v/>
      </c>
      <c r="AT176" s="794" t="str">
        <f t="shared" ref="AT176:AU176" si="350">C176</f>
        <v>G0662</v>
      </c>
      <c r="AU176" s="854" t="str">
        <f t="shared" si="350"/>
        <v>CONTRIBUTIONS-USAGE</v>
      </c>
      <c r="AV176" s="794">
        <f t="array" ref="AV176">IFERROR(INDEX(V176:AG176,1,MATCH(Parametres!$B$3,V$1:AG$1,0)-1)*IF(OR(C176="L",C176="S",C176="I"),-1,1),"")</f>
        <v>0</v>
      </c>
      <c r="AW176" s="794">
        <f t="shared" si="6"/>
        <v>0</v>
      </c>
      <c r="AX176" s="794">
        <f t="array" ref="AX176">INDEX(V176:AG176,1,MATCH(Parametres!$B$3,V$1:AG$1,0))*IF(OR(C176="L",C176="S",C176="I"),-1,1)</f>
        <v>0</v>
      </c>
      <c r="AY176" s="853" t="s">
        <v>772</v>
      </c>
      <c r="AZ176" s="853" t="str">
        <f>+VLOOKUP($AJ176,Data_Validation!$A:$E,5,0)</f>
        <v/>
      </c>
    </row>
    <row r="177" ht="15.0" customHeight="1">
      <c r="A177" s="849" t="s">
        <v>1239</v>
      </c>
      <c r="B177" s="849">
        <v>2026.0</v>
      </c>
      <c r="C177" s="849" t="s">
        <v>1578</v>
      </c>
      <c r="D177" s="849" t="s">
        <v>1579</v>
      </c>
      <c r="E177" s="849" t="s">
        <v>768</v>
      </c>
      <c r="F177" s="849" t="s">
        <v>1200</v>
      </c>
      <c r="G177" s="849">
        <v>0.0</v>
      </c>
      <c r="H177" s="849">
        <v>150.0</v>
      </c>
      <c r="I177" s="849">
        <v>150.0</v>
      </c>
      <c r="J177" s="849">
        <v>150.0</v>
      </c>
      <c r="K177" s="849">
        <v>150.0</v>
      </c>
      <c r="L177" s="849">
        <v>150.0</v>
      </c>
      <c r="M177" s="849">
        <v>150.0</v>
      </c>
      <c r="N177" s="849">
        <v>150.0</v>
      </c>
      <c r="O177" s="849">
        <v>150.0</v>
      </c>
      <c r="P177" s="849">
        <v>150.0</v>
      </c>
      <c r="Q177" s="849">
        <v>0.0</v>
      </c>
      <c r="R177" s="849">
        <v>0.0</v>
      </c>
      <c r="S177" s="849">
        <v>16.67</v>
      </c>
      <c r="T177" s="849">
        <v>16.67</v>
      </c>
      <c r="U177" s="849">
        <v>0.0</v>
      </c>
      <c r="V177" s="849">
        <v>0.0</v>
      </c>
      <c r="W177" s="849">
        <v>0.0</v>
      </c>
      <c r="X177" s="849">
        <v>0.0</v>
      </c>
      <c r="Y177" s="849">
        <v>0.0</v>
      </c>
      <c r="Z177" s="849">
        <v>0.0</v>
      </c>
      <c r="AA177" s="849">
        <v>0.0</v>
      </c>
      <c r="AB177" s="849">
        <v>0.0</v>
      </c>
      <c r="AC177" s="849">
        <v>0.0</v>
      </c>
      <c r="AD177" s="849">
        <v>0.0</v>
      </c>
      <c r="AE177" s="849">
        <v>0.0</v>
      </c>
      <c r="AF177" s="849">
        <v>0.0</v>
      </c>
      <c r="AG177" s="849">
        <v>0.0</v>
      </c>
      <c r="AH177" s="849">
        <v>0.0</v>
      </c>
      <c r="AI177" s="849">
        <v>0.0</v>
      </c>
      <c r="AJ177" s="794" t="str">
        <f t="shared" ref="AJ177:AK177" si="351">C177</f>
        <v>G0664</v>
      </c>
      <c r="AK177" s="794" t="str">
        <f t="shared" si="351"/>
        <v>CONTRIBUTIONS-SERVICE</v>
      </c>
      <c r="AL177" s="794">
        <f t="array" ref="AL177">IFERROR(INDEX(G177:R177,1,MATCH(Parametres!$B$3,G$1:R$1,0)-1)*IF(OR(F177="L",F177="S",F177="I"),-1,1),"")</f>
        <v>150</v>
      </c>
      <c r="AM177" s="794">
        <f t="shared" si="4"/>
        <v>0</v>
      </c>
      <c r="AN177" s="794">
        <f t="array" ref="AN177">INDEX(G177:R177,1,MATCH(Parametres!$B$3,G$1:R$1,0))*IF(OR(F177="L",F177="S",F177="I"),-1,1)</f>
        <v>150</v>
      </c>
      <c r="AO177" s="853" t="str">
        <f>+VLOOKUP($AJ177,Data_Validation!$A:$D,1,0)</f>
        <v>G0664</v>
      </c>
      <c r="AP177" s="853" t="str">
        <f>+VLOOKUP($AJ177,Data_Validation!$A:$D,3,0)</f>
        <v>Service</v>
      </c>
      <c r="AQ177" s="853" t="str">
        <f>+VLOOKUP($AJ177,Data_Validation!$A:$D,4,0)</f>
        <v>Publicité 2</v>
      </c>
      <c r="AR177" s="853" t="s">
        <v>728</v>
      </c>
      <c r="AS177" s="853" t="str">
        <f>+VLOOKUP($AJ177,Data_Validation!$A:$E,5,0)</f>
        <v/>
      </c>
      <c r="AT177" s="794" t="str">
        <f t="shared" ref="AT177:AU177" si="352">C177</f>
        <v>G0664</v>
      </c>
      <c r="AU177" s="854" t="str">
        <f t="shared" si="352"/>
        <v>CONTRIBUTIONS-SERVICE</v>
      </c>
      <c r="AV177" s="794">
        <f t="array" ref="AV177">IFERROR(INDEX(V177:AG177,1,MATCH(Parametres!$B$3,V$1:AG$1,0)-1)*IF(OR(C177="L",C177="S",C177="I"),-1,1),"")</f>
        <v>0</v>
      </c>
      <c r="AW177" s="794">
        <f t="shared" si="6"/>
        <v>0</v>
      </c>
      <c r="AX177" s="794">
        <f t="array" ref="AX177">INDEX(V177:AG177,1,MATCH(Parametres!$B$3,V$1:AG$1,0))*IF(OR(C177="L",C177="S",C177="I"),-1,1)</f>
        <v>0</v>
      </c>
      <c r="AY177" s="853" t="s">
        <v>772</v>
      </c>
      <c r="AZ177" s="853" t="str">
        <f>+VLOOKUP($AJ177,Data_Validation!$A:$E,5,0)</f>
        <v/>
      </c>
    </row>
    <row r="178" ht="15.0" customHeight="1">
      <c r="A178" s="849" t="s">
        <v>1239</v>
      </c>
      <c r="B178" s="849">
        <v>2026.0</v>
      </c>
      <c r="C178" s="849" t="s">
        <v>1580</v>
      </c>
      <c r="D178" s="849" t="s">
        <v>1581</v>
      </c>
      <c r="E178" s="849" t="s">
        <v>768</v>
      </c>
      <c r="F178" s="849" t="s">
        <v>1200</v>
      </c>
      <c r="G178" s="849">
        <v>0.0</v>
      </c>
      <c r="H178" s="849">
        <v>50.0</v>
      </c>
      <c r="I178" s="849">
        <v>50.0</v>
      </c>
      <c r="J178" s="849">
        <v>50.0</v>
      </c>
      <c r="K178" s="849">
        <v>50.0</v>
      </c>
      <c r="L178" s="849">
        <v>50.0</v>
      </c>
      <c r="M178" s="849">
        <v>50.0</v>
      </c>
      <c r="N178" s="849">
        <v>50.0</v>
      </c>
      <c r="O178" s="849">
        <v>50.0</v>
      </c>
      <c r="P178" s="849">
        <v>50.0</v>
      </c>
      <c r="Q178" s="849">
        <v>0.0</v>
      </c>
      <c r="R178" s="849">
        <v>0.0</v>
      </c>
      <c r="S178" s="849">
        <v>5.56</v>
      </c>
      <c r="T178" s="849">
        <v>5.56</v>
      </c>
      <c r="U178" s="849">
        <v>0.0</v>
      </c>
      <c r="V178" s="849">
        <v>0.0</v>
      </c>
      <c r="W178" s="849">
        <v>0.0</v>
      </c>
      <c r="X178" s="849">
        <v>0.0</v>
      </c>
      <c r="Y178" s="849">
        <v>0.0</v>
      </c>
      <c r="Z178" s="849">
        <v>0.0</v>
      </c>
      <c r="AA178" s="849">
        <v>0.0</v>
      </c>
      <c r="AB178" s="849">
        <v>0.0</v>
      </c>
      <c r="AC178" s="849">
        <v>0.0</v>
      </c>
      <c r="AD178" s="849">
        <v>0.0</v>
      </c>
      <c r="AE178" s="849">
        <v>0.0</v>
      </c>
      <c r="AF178" s="849">
        <v>0.0</v>
      </c>
      <c r="AG178" s="849">
        <v>0.0</v>
      </c>
      <c r="AH178" s="849">
        <v>0.0</v>
      </c>
      <c r="AI178" s="849">
        <v>0.0</v>
      </c>
      <c r="AJ178" s="794" t="str">
        <f t="shared" ref="AJ178:AK178" si="353">C178</f>
        <v>G0665</v>
      </c>
      <c r="AK178" s="794" t="str">
        <f t="shared" si="353"/>
        <v>CONTRIBUTIONS-B/S</v>
      </c>
      <c r="AL178" s="794">
        <f t="array" ref="AL178">IFERROR(INDEX(G178:R178,1,MATCH(Parametres!$B$3,G$1:R$1,0)-1)*IF(OR(F178="L",F178="S",F178="I"),-1,1),"")</f>
        <v>50</v>
      </c>
      <c r="AM178" s="794">
        <f t="shared" si="4"/>
        <v>0</v>
      </c>
      <c r="AN178" s="794">
        <f t="array" ref="AN178">INDEX(G178:R178,1,MATCH(Parametres!$B$3,G$1:R$1,0))*IF(OR(F178="L",F178="S",F178="I"),-1,1)</f>
        <v>50</v>
      </c>
      <c r="AO178" s="853" t="str">
        <f>+VLOOKUP($AJ178,Data_Validation!$A:$D,1,0)</f>
        <v>G0665</v>
      </c>
      <c r="AP178" s="853" t="str">
        <f>+VLOOKUP($AJ178,Data_Validation!$A:$D,3,0)</f>
        <v>Carrosserie</v>
      </c>
      <c r="AQ178" s="853" t="str">
        <f>+VLOOKUP($AJ178,Data_Validation!$A:$D,4,0)</f>
        <v>Publicité 2</v>
      </c>
      <c r="AR178" s="853" t="s">
        <v>728</v>
      </c>
      <c r="AS178" s="853" t="str">
        <f>+VLOOKUP($AJ178,Data_Validation!$A:$E,5,0)</f>
        <v/>
      </c>
      <c r="AT178" s="794" t="str">
        <f t="shared" ref="AT178:AU178" si="354">C178</f>
        <v>G0665</v>
      </c>
      <c r="AU178" s="854" t="str">
        <f t="shared" si="354"/>
        <v>CONTRIBUTIONS-B/S</v>
      </c>
      <c r="AV178" s="794">
        <f t="array" ref="AV178">IFERROR(INDEX(V178:AG178,1,MATCH(Parametres!$B$3,V$1:AG$1,0)-1)*IF(OR(C178="L",C178="S",C178="I"),-1,1),"")</f>
        <v>0</v>
      </c>
      <c r="AW178" s="794">
        <f t="shared" si="6"/>
        <v>0</v>
      </c>
      <c r="AX178" s="794">
        <f t="array" ref="AX178">INDEX(V178:AG178,1,MATCH(Parametres!$B$3,V$1:AG$1,0))*IF(OR(C178="L",C178="S",C178="I"),-1,1)</f>
        <v>0</v>
      </c>
      <c r="AY178" s="853" t="s">
        <v>772</v>
      </c>
      <c r="AZ178" s="853" t="str">
        <f>+VLOOKUP($AJ178,Data_Validation!$A:$E,5,0)</f>
        <v/>
      </c>
    </row>
    <row r="179" ht="15.0" customHeight="1">
      <c r="A179" s="849" t="s">
        <v>1239</v>
      </c>
      <c r="B179" s="849">
        <v>2026.0</v>
      </c>
      <c r="C179" s="849" t="s">
        <v>1582</v>
      </c>
      <c r="D179" s="849" t="s">
        <v>1583</v>
      </c>
      <c r="E179" s="849" t="s">
        <v>768</v>
      </c>
      <c r="F179" s="849" t="s">
        <v>1200</v>
      </c>
      <c r="G179" s="849">
        <v>0.0</v>
      </c>
      <c r="H179" s="849">
        <v>0.0</v>
      </c>
      <c r="I179" s="849">
        <v>0.0</v>
      </c>
      <c r="J179" s="849">
        <v>0.0</v>
      </c>
      <c r="K179" s="849">
        <v>0.0</v>
      </c>
      <c r="L179" s="849">
        <v>0.0</v>
      </c>
      <c r="M179" s="849">
        <v>0.0</v>
      </c>
      <c r="N179" s="849">
        <v>0.0</v>
      </c>
      <c r="O179" s="849">
        <v>0.0</v>
      </c>
      <c r="P179" s="849">
        <v>0.0</v>
      </c>
      <c r="Q179" s="849">
        <v>0.0</v>
      </c>
      <c r="R179" s="849">
        <v>0.0</v>
      </c>
      <c r="S179" s="849">
        <v>0.0</v>
      </c>
      <c r="T179" s="849">
        <v>0.0</v>
      </c>
      <c r="U179" s="849">
        <v>0.0</v>
      </c>
      <c r="V179" s="849">
        <v>0.0</v>
      </c>
      <c r="W179" s="849">
        <v>0.0</v>
      </c>
      <c r="X179" s="849">
        <v>0.0</v>
      </c>
      <c r="Y179" s="849">
        <v>0.0</v>
      </c>
      <c r="Z179" s="849">
        <v>0.0</v>
      </c>
      <c r="AA179" s="849">
        <v>0.0</v>
      </c>
      <c r="AB179" s="849">
        <v>0.0</v>
      </c>
      <c r="AC179" s="849">
        <v>0.0</v>
      </c>
      <c r="AD179" s="849">
        <v>0.0</v>
      </c>
      <c r="AE179" s="849">
        <v>0.0</v>
      </c>
      <c r="AF179" s="849">
        <v>0.0</v>
      </c>
      <c r="AG179" s="849">
        <v>0.0</v>
      </c>
      <c r="AH179" s="849">
        <v>0.0</v>
      </c>
      <c r="AI179" s="849">
        <v>0.0</v>
      </c>
      <c r="AJ179" s="794" t="str">
        <f t="shared" ref="AJ179:AK179" si="355">C179</f>
        <v>G0666</v>
      </c>
      <c r="AK179" s="794" t="str">
        <f t="shared" si="355"/>
        <v>PROFIT PIECES VOLVO BODY</v>
      </c>
      <c r="AL179" s="794">
        <f t="array" ref="AL179">IFERROR(INDEX(G179:R179,1,MATCH(Parametres!$B$3,G$1:R$1,0)-1)*IF(OR(F179="L",F179="S",F179="I"),-1,1),"")</f>
        <v>0</v>
      </c>
      <c r="AM179" s="794">
        <f t="shared" si="4"/>
        <v>0</v>
      </c>
      <c r="AN179" s="794">
        <f t="array" ref="AN179">INDEX(G179:R179,1,MATCH(Parametres!$B$3,G$1:R$1,0))*IF(OR(F179="L",F179="S",F179="I"),-1,1)</f>
        <v>0</v>
      </c>
      <c r="AO179" s="853" t="str">
        <f>+VLOOKUP($AJ179,Data_Validation!$A:$D,1,0)</f>
        <v>G0666</v>
      </c>
      <c r="AP179" s="853" t="str">
        <f>+VLOOKUP($AJ179,Data_Validation!$A:$D,3,0)</f>
        <v>Pièces</v>
      </c>
      <c r="AQ179" s="853" t="str">
        <f>+VLOOKUP($AJ179,Data_Validation!$A:$D,4,0)</f>
        <v>Publicité 2</v>
      </c>
      <c r="AR179" s="853" t="s">
        <v>728</v>
      </c>
      <c r="AS179" s="853" t="str">
        <f>+VLOOKUP($AJ179,Data_Validation!$A:$E,5,0)</f>
        <v/>
      </c>
      <c r="AT179" s="794" t="str">
        <f t="shared" ref="AT179:AU179" si="356">C179</f>
        <v>G0666</v>
      </c>
      <c r="AU179" s="854" t="str">
        <f t="shared" si="356"/>
        <v>PROFIT PIECES VOLVO BODY</v>
      </c>
      <c r="AV179" s="794">
        <f t="array" ref="AV179">IFERROR(INDEX(V179:AG179,1,MATCH(Parametres!$B$3,V$1:AG$1,0)-1)*IF(OR(C179="L",C179="S",C179="I"),-1,1),"")</f>
        <v>0</v>
      </c>
      <c r="AW179" s="794">
        <f t="shared" si="6"/>
        <v>0</v>
      </c>
      <c r="AX179" s="794">
        <f t="array" ref="AX179">INDEX(V179:AG179,1,MATCH(Parametres!$B$3,V$1:AG$1,0))*IF(OR(C179="L",C179="S",C179="I"),-1,1)</f>
        <v>0</v>
      </c>
      <c r="AY179" s="853" t="s">
        <v>772</v>
      </c>
      <c r="AZ179" s="853" t="str">
        <f>+VLOOKUP($AJ179,Data_Validation!$A:$E,5,0)</f>
        <v/>
      </c>
    </row>
    <row r="180" ht="15.0" customHeight="1">
      <c r="A180" s="849" t="s">
        <v>1239</v>
      </c>
      <c r="B180" s="849">
        <v>2026.0</v>
      </c>
      <c r="C180" s="849" t="s">
        <v>1584</v>
      </c>
      <c r="D180" s="849" t="s">
        <v>1585</v>
      </c>
      <c r="E180" s="849" t="s">
        <v>768</v>
      </c>
      <c r="F180" s="849" t="s">
        <v>1200</v>
      </c>
      <c r="G180" s="849">
        <v>497.55</v>
      </c>
      <c r="H180" s="849">
        <v>1427.49</v>
      </c>
      <c r="I180" s="849">
        <v>3542.16</v>
      </c>
      <c r="J180" s="849">
        <v>5077.13</v>
      </c>
      <c r="K180" s="849">
        <v>6931.14</v>
      </c>
      <c r="L180" s="849">
        <v>16847.89</v>
      </c>
      <c r="M180" s="849">
        <v>21446.0</v>
      </c>
      <c r="N180" s="849">
        <v>25373.78</v>
      </c>
      <c r="O180" s="849">
        <v>29175.77</v>
      </c>
      <c r="P180" s="849">
        <v>30417.74</v>
      </c>
      <c r="Q180" s="849">
        <v>0.0</v>
      </c>
      <c r="R180" s="849">
        <v>0.0</v>
      </c>
      <c r="S180" s="849">
        <v>3241.75</v>
      </c>
      <c r="T180" s="849">
        <v>3241.75</v>
      </c>
      <c r="U180" s="849">
        <v>0.0</v>
      </c>
      <c r="V180" s="849">
        <v>0.0</v>
      </c>
      <c r="W180" s="849">
        <v>0.0</v>
      </c>
      <c r="X180" s="849">
        <v>0.0</v>
      </c>
      <c r="Y180" s="849">
        <v>0.0</v>
      </c>
      <c r="Z180" s="849">
        <v>0.0</v>
      </c>
      <c r="AA180" s="849">
        <v>0.0</v>
      </c>
      <c r="AB180" s="849">
        <v>0.0</v>
      </c>
      <c r="AC180" s="849">
        <v>0.0</v>
      </c>
      <c r="AD180" s="849">
        <v>0.0</v>
      </c>
      <c r="AE180" s="849">
        <v>0.0</v>
      </c>
      <c r="AF180" s="849">
        <v>0.0</v>
      </c>
      <c r="AG180" s="849">
        <v>0.0</v>
      </c>
      <c r="AH180" s="849">
        <v>0.0</v>
      </c>
      <c r="AI180" s="849">
        <v>0.0</v>
      </c>
      <c r="AJ180" s="794" t="str">
        <f t="shared" ref="AJ180:AK180" si="357">C180</f>
        <v>G0674</v>
      </c>
      <c r="AK180" s="794" t="str">
        <f t="shared" si="357"/>
        <v>REPRISE TRAVAIL SERVICE</v>
      </c>
      <c r="AL180" s="794">
        <f t="array" ref="AL180">IFERROR(INDEX(G180:R180,1,MATCH(Parametres!$B$3,G$1:R$1,0)-1)*IF(OR(F180="L",F180="S",F180="I"),-1,1),"")</f>
        <v>25373.78</v>
      </c>
      <c r="AM180" s="794">
        <f t="shared" si="4"/>
        <v>3801.99</v>
      </c>
      <c r="AN180" s="794">
        <f t="array" ref="AN180">INDEX(G180:R180,1,MATCH(Parametres!$B$3,G$1:R$1,0))*IF(OR(F180="L",F180="S",F180="I"),-1,1)</f>
        <v>29175.77</v>
      </c>
      <c r="AO180" s="853" t="str">
        <f>+VLOOKUP($AJ180,Data_Validation!$A:$D,1,0)</f>
        <v>G0674</v>
      </c>
      <c r="AP180" s="853" t="str">
        <f>+VLOOKUP($AJ180,Data_Validation!$A:$D,3,0)</f>
        <v>Service</v>
      </c>
      <c r="AQ180" s="853" t="str">
        <f>+VLOOKUP($AJ180,Data_Validation!$A:$D,4,0)</f>
        <v>Service gratuit 2</v>
      </c>
      <c r="AR180" s="853" t="s">
        <v>728</v>
      </c>
      <c r="AS180" s="853" t="str">
        <f>+VLOOKUP($AJ180,Data_Validation!$A:$E,5,0)</f>
        <v/>
      </c>
      <c r="AT180" s="794" t="str">
        <f t="shared" ref="AT180:AU180" si="358">C180</f>
        <v>G0674</v>
      </c>
      <c r="AU180" s="854" t="str">
        <f t="shared" si="358"/>
        <v>REPRISE TRAVAIL SERVICE</v>
      </c>
      <c r="AV180" s="794">
        <f t="array" ref="AV180">IFERROR(INDEX(V180:AG180,1,MATCH(Parametres!$B$3,V$1:AG$1,0)-1)*IF(OR(C180="L",C180="S",C180="I"),-1,1),"")</f>
        <v>0</v>
      </c>
      <c r="AW180" s="794">
        <f t="shared" si="6"/>
        <v>0</v>
      </c>
      <c r="AX180" s="794">
        <f t="array" ref="AX180">INDEX(V180:AG180,1,MATCH(Parametres!$B$3,V$1:AG$1,0))*IF(OR(C180="L",C180="S",C180="I"),-1,1)</f>
        <v>0</v>
      </c>
      <c r="AY180" s="853" t="s">
        <v>772</v>
      </c>
      <c r="AZ180" s="853" t="str">
        <f>+VLOOKUP($AJ180,Data_Validation!$A:$E,5,0)</f>
        <v/>
      </c>
    </row>
    <row r="181" ht="15.75" customHeight="1">
      <c r="A181" s="849" t="s">
        <v>1239</v>
      </c>
      <c r="B181" s="849">
        <v>2026.0</v>
      </c>
      <c r="C181" s="849" t="s">
        <v>1586</v>
      </c>
      <c r="D181" s="849" t="s">
        <v>1587</v>
      </c>
      <c r="E181" s="849" t="s">
        <v>768</v>
      </c>
      <c r="F181" s="849" t="s">
        <v>1200</v>
      </c>
      <c r="G181" s="849">
        <v>380.0</v>
      </c>
      <c r="H181" s="849">
        <v>1440.25</v>
      </c>
      <c r="I181" s="849">
        <v>5113.63</v>
      </c>
      <c r="J181" s="849">
        <v>5196.08</v>
      </c>
      <c r="K181" s="849">
        <v>5371.08</v>
      </c>
      <c r="L181" s="849">
        <v>6226.7</v>
      </c>
      <c r="M181" s="849">
        <v>11197.06</v>
      </c>
      <c r="N181" s="849">
        <v>11368.35</v>
      </c>
      <c r="O181" s="849">
        <v>13197.57</v>
      </c>
      <c r="P181" s="849">
        <v>13901.01</v>
      </c>
      <c r="Q181" s="849">
        <v>0.0</v>
      </c>
      <c r="R181" s="849">
        <v>0.0</v>
      </c>
      <c r="S181" s="849">
        <v>1466.4</v>
      </c>
      <c r="T181" s="849">
        <v>1466.4</v>
      </c>
      <c r="U181" s="849">
        <v>0.0</v>
      </c>
      <c r="V181" s="849">
        <v>0.0</v>
      </c>
      <c r="W181" s="849">
        <v>0.0</v>
      </c>
      <c r="X181" s="849">
        <v>0.0</v>
      </c>
      <c r="Y181" s="849">
        <v>0.0</v>
      </c>
      <c r="Z181" s="849">
        <v>0.0</v>
      </c>
      <c r="AA181" s="849">
        <v>0.0</v>
      </c>
      <c r="AB181" s="849">
        <v>0.0</v>
      </c>
      <c r="AC181" s="849">
        <v>0.0</v>
      </c>
      <c r="AD181" s="849">
        <v>0.0</v>
      </c>
      <c r="AE181" s="849">
        <v>0.0</v>
      </c>
      <c r="AF181" s="849">
        <v>0.0</v>
      </c>
      <c r="AG181" s="849">
        <v>0.0</v>
      </c>
      <c r="AH181" s="849">
        <v>0.0</v>
      </c>
      <c r="AI181" s="849">
        <v>0.0</v>
      </c>
      <c r="AJ181" s="794" t="str">
        <f t="shared" ref="AJ181:AK181" si="359">C181</f>
        <v>G0675</v>
      </c>
      <c r="AK181" s="794" t="str">
        <f t="shared" si="359"/>
        <v>REPRISE TRAVAIL-CARROSS.</v>
      </c>
      <c r="AL181" s="794">
        <f t="array" ref="AL181">IFERROR(INDEX(G181:R181,1,MATCH(Parametres!$B$3,G$1:R$1,0)-1)*IF(OR(F181="L",F181="S",F181="I"),-1,1),"")</f>
        <v>11368.35</v>
      </c>
      <c r="AM181" s="794">
        <f t="shared" si="4"/>
        <v>1829.22</v>
      </c>
      <c r="AN181" s="794">
        <f t="array" ref="AN181">INDEX(G181:R181,1,MATCH(Parametres!$B$3,G$1:R$1,0))*IF(OR(F181="L",F181="S",F181="I"),-1,1)</f>
        <v>13197.57</v>
      </c>
      <c r="AO181" s="853" t="str">
        <f>+VLOOKUP($AJ181,Data_Validation!$A:$D,1,0)</f>
        <v>G0675</v>
      </c>
      <c r="AP181" s="853" t="str">
        <f>+VLOOKUP($AJ181,Data_Validation!$A:$D,3,0)</f>
        <v>Carrosserie</v>
      </c>
      <c r="AQ181" s="853" t="str">
        <f>+VLOOKUP($AJ181,Data_Validation!$A:$D,4,0)</f>
        <v>Service gratuit 2</v>
      </c>
      <c r="AR181" s="853" t="s">
        <v>728</v>
      </c>
      <c r="AS181" s="853" t="str">
        <f>+VLOOKUP($AJ181,Data_Validation!$A:$E,5,0)</f>
        <v/>
      </c>
      <c r="AT181" s="794" t="str">
        <f t="shared" ref="AT181:AU181" si="360">C181</f>
        <v>G0675</v>
      </c>
      <c r="AU181" s="854" t="str">
        <f t="shared" si="360"/>
        <v>REPRISE TRAVAIL-CARROSS.</v>
      </c>
      <c r="AV181" s="794">
        <f t="array" ref="AV181">IFERROR(INDEX(V181:AG181,1,MATCH(Parametres!$B$3,V$1:AG$1,0)-1)*IF(OR(C181="L",C181="S",C181="I"),-1,1),"")</f>
        <v>0</v>
      </c>
      <c r="AW181" s="794">
        <f t="shared" si="6"/>
        <v>0</v>
      </c>
      <c r="AX181" s="794">
        <f t="array" ref="AX181">INDEX(V181:AG181,1,MATCH(Parametres!$B$3,V$1:AG$1,0))*IF(OR(C181="L",C181="S",C181="I"),-1,1)</f>
        <v>0</v>
      </c>
      <c r="AY181" s="853" t="s">
        <v>772</v>
      </c>
      <c r="AZ181" s="853" t="str">
        <f>+VLOOKUP($AJ181,Data_Validation!$A:$E,5,0)</f>
        <v/>
      </c>
    </row>
    <row r="182" ht="15.75" customHeight="1">
      <c r="A182" s="849" t="s">
        <v>1239</v>
      </c>
      <c r="B182" s="849">
        <v>2026.0</v>
      </c>
      <c r="C182" s="849" t="s">
        <v>1588</v>
      </c>
      <c r="D182" s="849" t="s">
        <v>1589</v>
      </c>
      <c r="E182" s="849" t="s">
        <v>768</v>
      </c>
      <c r="F182" s="849" t="s">
        <v>1200</v>
      </c>
      <c r="G182" s="849">
        <v>0.0</v>
      </c>
      <c r="H182" s="849">
        <v>0.0</v>
      </c>
      <c r="I182" s="849">
        <v>0.0</v>
      </c>
      <c r="J182" s="849">
        <v>0.0</v>
      </c>
      <c r="K182" s="849">
        <v>0.0</v>
      </c>
      <c r="L182" s="849">
        <v>0.0</v>
      </c>
      <c r="M182" s="849">
        <v>53.47</v>
      </c>
      <c r="N182" s="849">
        <v>53.47</v>
      </c>
      <c r="O182" s="849">
        <v>53.47</v>
      </c>
      <c r="P182" s="849">
        <v>53.47</v>
      </c>
      <c r="Q182" s="849">
        <v>0.0</v>
      </c>
      <c r="R182" s="849">
        <v>0.0</v>
      </c>
      <c r="S182" s="849">
        <v>5.94</v>
      </c>
      <c r="T182" s="849">
        <v>5.94</v>
      </c>
      <c r="U182" s="849">
        <v>0.0</v>
      </c>
      <c r="V182" s="849">
        <v>0.0</v>
      </c>
      <c r="W182" s="849">
        <v>0.0</v>
      </c>
      <c r="X182" s="849">
        <v>0.0</v>
      </c>
      <c r="Y182" s="849">
        <v>0.0</v>
      </c>
      <c r="Z182" s="849">
        <v>0.0</v>
      </c>
      <c r="AA182" s="849">
        <v>0.0</v>
      </c>
      <c r="AB182" s="849">
        <v>0.0</v>
      </c>
      <c r="AC182" s="849">
        <v>0.0</v>
      </c>
      <c r="AD182" s="849">
        <v>0.0</v>
      </c>
      <c r="AE182" s="849">
        <v>0.0</v>
      </c>
      <c r="AF182" s="849">
        <v>0.0</v>
      </c>
      <c r="AG182" s="849">
        <v>0.0</v>
      </c>
      <c r="AH182" s="849">
        <v>0.0</v>
      </c>
      <c r="AI182" s="849">
        <v>0.0</v>
      </c>
      <c r="AJ182" s="794" t="str">
        <f t="shared" ref="AJ182:AK182" si="361">C182</f>
        <v>G0676</v>
      </c>
      <c r="AK182" s="794" t="str">
        <f t="shared" si="361"/>
        <v>REPRISE TRAVAIL-PIECES</v>
      </c>
      <c r="AL182" s="794">
        <f t="array" ref="AL182">IFERROR(INDEX(G182:R182,1,MATCH(Parametres!$B$3,G$1:R$1,0)-1)*IF(OR(F182="L",F182="S",F182="I"),-1,1),"")</f>
        <v>53.47</v>
      </c>
      <c r="AM182" s="794">
        <f t="shared" si="4"/>
        <v>0</v>
      </c>
      <c r="AN182" s="794">
        <f t="array" ref="AN182">INDEX(G182:R182,1,MATCH(Parametres!$B$3,G$1:R$1,0))*IF(OR(F182="L",F182="S",F182="I"),-1,1)</f>
        <v>53.47</v>
      </c>
      <c r="AO182" s="853" t="str">
        <f>+VLOOKUP($AJ182,Data_Validation!$A:$D,1,0)</f>
        <v>G0676</v>
      </c>
      <c r="AP182" s="853" t="str">
        <f>+VLOOKUP($AJ182,Data_Validation!$A:$D,3,0)</f>
        <v>Pièces</v>
      </c>
      <c r="AQ182" s="853" t="str">
        <f>+VLOOKUP($AJ182,Data_Validation!$A:$D,4,0)</f>
        <v>Service gratuit 2</v>
      </c>
      <c r="AR182" s="853" t="s">
        <v>728</v>
      </c>
      <c r="AS182" s="853" t="str">
        <f>+VLOOKUP($AJ182,Data_Validation!$A:$E,5,0)</f>
        <v/>
      </c>
      <c r="AT182" s="794" t="str">
        <f t="shared" ref="AT182:AU182" si="362">C182</f>
        <v>G0676</v>
      </c>
      <c r="AU182" s="854" t="str">
        <f t="shared" si="362"/>
        <v>REPRISE TRAVAIL-PIECES</v>
      </c>
      <c r="AV182" s="794">
        <f t="array" ref="AV182">IFERROR(INDEX(V182:AG182,1,MATCH(Parametres!$B$3,V$1:AG$1,0)-1)*IF(OR(C182="L",C182="S",C182="I"),-1,1),"")</f>
        <v>0</v>
      </c>
      <c r="AW182" s="794">
        <f t="shared" si="6"/>
        <v>0</v>
      </c>
      <c r="AX182" s="794">
        <f t="array" ref="AX182">INDEX(V182:AG182,1,MATCH(Parametres!$B$3,V$1:AG$1,0))*IF(OR(C182="L",C182="S",C182="I"),-1,1)</f>
        <v>0</v>
      </c>
      <c r="AY182" s="853" t="s">
        <v>772</v>
      </c>
      <c r="AZ182" s="853" t="str">
        <f>+VLOOKUP($AJ182,Data_Validation!$A:$E,5,0)</f>
        <v/>
      </c>
    </row>
    <row r="183" ht="15.75" customHeight="1">
      <c r="A183" s="849" t="s">
        <v>1239</v>
      </c>
      <c r="B183" s="849">
        <v>2026.0</v>
      </c>
      <c r="C183" s="849" t="s">
        <v>1590</v>
      </c>
      <c r="D183" s="849" t="s">
        <v>1591</v>
      </c>
      <c r="E183" s="849" t="s">
        <v>768</v>
      </c>
      <c r="F183" s="849" t="s">
        <v>1200</v>
      </c>
      <c r="G183" s="849">
        <v>0.0</v>
      </c>
      <c r="H183" s="849">
        <v>0.0</v>
      </c>
      <c r="I183" s="849">
        <v>0.0</v>
      </c>
      <c r="J183" s="849">
        <v>0.0</v>
      </c>
      <c r="K183" s="849">
        <v>0.0</v>
      </c>
      <c r="L183" s="849">
        <v>80.48</v>
      </c>
      <c r="M183" s="849">
        <v>80.48</v>
      </c>
      <c r="N183" s="849">
        <v>80.48</v>
      </c>
      <c r="O183" s="849">
        <v>80.48</v>
      </c>
      <c r="P183" s="849">
        <v>80.48</v>
      </c>
      <c r="Q183" s="849">
        <v>0.0</v>
      </c>
      <c r="R183" s="849">
        <v>0.0</v>
      </c>
      <c r="S183" s="849">
        <v>8.94</v>
      </c>
      <c r="T183" s="849">
        <v>8.94</v>
      </c>
      <c r="U183" s="849">
        <v>0.0</v>
      </c>
      <c r="V183" s="849">
        <v>0.0</v>
      </c>
      <c r="W183" s="849">
        <v>0.0</v>
      </c>
      <c r="X183" s="849">
        <v>0.0</v>
      </c>
      <c r="Y183" s="849">
        <v>0.0</v>
      </c>
      <c r="Z183" s="849">
        <v>0.0</v>
      </c>
      <c r="AA183" s="849">
        <v>0.0</v>
      </c>
      <c r="AB183" s="849">
        <v>0.0</v>
      </c>
      <c r="AC183" s="849">
        <v>0.0</v>
      </c>
      <c r="AD183" s="849">
        <v>0.0</v>
      </c>
      <c r="AE183" s="849">
        <v>0.0</v>
      </c>
      <c r="AF183" s="849">
        <v>0.0</v>
      </c>
      <c r="AG183" s="849">
        <v>0.0</v>
      </c>
      <c r="AH183" s="849">
        <v>0.0</v>
      </c>
      <c r="AI183" s="849">
        <v>0.0</v>
      </c>
      <c r="AJ183" s="794" t="str">
        <f t="shared" ref="AJ183:AK183" si="363">C183</f>
        <v>G0677</v>
      </c>
      <c r="AK183" s="794" t="str">
        <f t="shared" si="363"/>
        <v>REPRISE TRAVAIL SAAQ</v>
      </c>
      <c r="AL183" s="794">
        <f t="array" ref="AL183">IFERROR(INDEX(G183:R183,1,MATCH(Parametres!$B$3,G$1:R$1,0)-1)*IF(OR(F183="L",F183="S",F183="I"),-1,1),"")</f>
        <v>80.48</v>
      </c>
      <c r="AM183" s="794">
        <f t="shared" si="4"/>
        <v>0</v>
      </c>
      <c r="AN183" s="794">
        <f t="array" ref="AN183">INDEX(G183:R183,1,MATCH(Parametres!$B$3,G$1:R$1,0))*IF(OR(F183="L",F183="S",F183="I"),-1,1)</f>
        <v>80.48</v>
      </c>
      <c r="AO183" s="853" t="str">
        <f>+VLOOKUP($AJ183,Data_Validation!$A:$D,1,0)</f>
        <v>G0677</v>
      </c>
      <c r="AP183" s="853" t="str">
        <f>+VLOOKUP($AJ183,Data_Validation!$A:$D,3,0)</f>
        <v>SAAQ</v>
      </c>
      <c r="AQ183" s="853" t="str">
        <f>+VLOOKUP($AJ183,Data_Validation!$A:$D,4,0)</f>
        <v>Service gratuit 2</v>
      </c>
      <c r="AR183" s="853" t="s">
        <v>728</v>
      </c>
      <c r="AS183" s="853" t="str">
        <f>+VLOOKUP($AJ183,Data_Validation!$A:$E,5,0)</f>
        <v/>
      </c>
      <c r="AT183" s="794" t="str">
        <f t="shared" ref="AT183:AU183" si="364">C183</f>
        <v>G0677</v>
      </c>
      <c r="AU183" s="854" t="str">
        <f t="shared" si="364"/>
        <v>REPRISE TRAVAIL SAAQ</v>
      </c>
      <c r="AV183" s="794">
        <f t="array" ref="AV183">IFERROR(INDEX(V183:AG183,1,MATCH(Parametres!$B$3,V$1:AG$1,0)-1)*IF(OR(C183="L",C183="S",C183="I"),-1,1),"")</f>
        <v>0</v>
      </c>
      <c r="AW183" s="794">
        <f t="shared" si="6"/>
        <v>0</v>
      </c>
      <c r="AX183" s="794">
        <f t="array" ref="AX183">INDEX(V183:AG183,1,MATCH(Parametres!$B$3,V$1:AG$1,0))*IF(OR(C183="L",C183="S",C183="I"),-1,1)</f>
        <v>0</v>
      </c>
      <c r="AY183" s="853" t="s">
        <v>772</v>
      </c>
      <c r="AZ183" s="853" t="str">
        <f>+VLOOKUP($AJ183,Data_Validation!$A:$E,5,0)</f>
        <v/>
      </c>
    </row>
    <row r="184" ht="15.75" customHeight="1">
      <c r="A184" s="849" t="s">
        <v>1239</v>
      </c>
      <c r="B184" s="849">
        <v>2026.0</v>
      </c>
      <c r="C184" s="849" t="s">
        <v>1592</v>
      </c>
      <c r="D184" s="849" t="s">
        <v>1593</v>
      </c>
      <c r="E184" s="849" t="s">
        <v>768</v>
      </c>
      <c r="F184" s="849" t="s">
        <v>1200</v>
      </c>
      <c r="G184" s="849">
        <v>0.0</v>
      </c>
      <c r="H184" s="849">
        <v>0.0</v>
      </c>
      <c r="I184" s="849">
        <v>0.0</v>
      </c>
      <c r="J184" s="849">
        <v>0.0</v>
      </c>
      <c r="K184" s="849">
        <v>0.0</v>
      </c>
      <c r="L184" s="849">
        <v>0.0</v>
      </c>
      <c r="M184" s="849">
        <v>0.0</v>
      </c>
      <c r="N184" s="849">
        <v>0.0</v>
      </c>
      <c r="O184" s="849">
        <v>0.0</v>
      </c>
      <c r="P184" s="849">
        <v>0.0</v>
      </c>
      <c r="Q184" s="849">
        <v>0.0</v>
      </c>
      <c r="R184" s="849">
        <v>0.0</v>
      </c>
      <c r="S184" s="849">
        <v>0.0</v>
      </c>
      <c r="T184" s="849">
        <v>0.0</v>
      </c>
      <c r="U184" s="849">
        <v>0.0</v>
      </c>
      <c r="V184" s="849">
        <v>0.0</v>
      </c>
      <c r="W184" s="849">
        <v>0.0</v>
      </c>
      <c r="X184" s="849">
        <v>0.0</v>
      </c>
      <c r="Y184" s="849">
        <v>0.0</v>
      </c>
      <c r="Z184" s="849">
        <v>0.0</v>
      </c>
      <c r="AA184" s="849">
        <v>0.0</v>
      </c>
      <c r="AB184" s="849">
        <v>0.0</v>
      </c>
      <c r="AC184" s="849">
        <v>0.0</v>
      </c>
      <c r="AD184" s="849">
        <v>0.0</v>
      </c>
      <c r="AE184" s="849">
        <v>0.0</v>
      </c>
      <c r="AF184" s="849">
        <v>0.0</v>
      </c>
      <c r="AG184" s="849">
        <v>0.0</v>
      </c>
      <c r="AH184" s="849">
        <v>0.0</v>
      </c>
      <c r="AI184" s="849">
        <v>0.0</v>
      </c>
      <c r="AJ184" s="794" t="str">
        <f t="shared" ref="AJ184:AK184" si="365">C184</f>
        <v>G0680</v>
      </c>
      <c r="AK184" s="794" t="str">
        <f t="shared" si="365"/>
        <v>SERV INFORMATIQUE REP</v>
      </c>
      <c r="AL184" s="794">
        <f t="array" ref="AL184">IFERROR(INDEX(G184:R184,1,MATCH(Parametres!$B$3,G$1:R$1,0)-1)*IF(OR(F184="L",F184="S",F184="I"),-1,1),"")</f>
        <v>0</v>
      </c>
      <c r="AM184" s="794">
        <f t="shared" si="4"/>
        <v>0</v>
      </c>
      <c r="AN184" s="794">
        <f t="array" ref="AN184">INDEX(G184:R184,1,MATCH(Parametres!$B$3,G$1:R$1,0))*IF(OR(F184="L",F184="S",F184="I"),-1,1)</f>
        <v>0</v>
      </c>
      <c r="AO184" s="853" t="str">
        <f>+VLOOKUP($AJ184,Data_Validation!$A:$D,1,0)</f>
        <v>#N/A</v>
      </c>
      <c r="AP184" s="853" t="str">
        <f>+VLOOKUP($AJ184,Data_Validation!$A:$D,3,0)</f>
        <v>#N/A</v>
      </c>
      <c r="AQ184" s="853" t="str">
        <f>+VLOOKUP($AJ184,Data_Validation!$A:$D,4,0)</f>
        <v>#N/A</v>
      </c>
      <c r="AR184" s="853" t="s">
        <v>728</v>
      </c>
      <c r="AS184" s="853" t="str">
        <f>+VLOOKUP($AJ184,Data_Validation!$A:$E,5,0)</f>
        <v>#N/A</v>
      </c>
      <c r="AT184" s="794" t="str">
        <f t="shared" ref="AT184:AU184" si="366">C184</f>
        <v>G0680</v>
      </c>
      <c r="AU184" s="854" t="str">
        <f t="shared" si="366"/>
        <v>SERV INFORMATIQUE REP</v>
      </c>
      <c r="AV184" s="794">
        <f t="array" ref="AV184">IFERROR(INDEX(V184:AG184,1,MATCH(Parametres!$B$3,V$1:AG$1,0)-1)*IF(OR(C184="L",C184="S",C184="I"),-1,1),"")</f>
        <v>0</v>
      </c>
      <c r="AW184" s="794">
        <f t="shared" si="6"/>
        <v>0</v>
      </c>
      <c r="AX184" s="794">
        <f t="array" ref="AX184">INDEX(V184:AG184,1,MATCH(Parametres!$B$3,V$1:AG$1,0))*IF(OR(C184="L",C184="S",C184="I"),-1,1)</f>
        <v>0</v>
      </c>
      <c r="AY184" s="853" t="s">
        <v>772</v>
      </c>
      <c r="AZ184" s="853" t="str">
        <f>+VLOOKUP($AJ184,Data_Validation!$A:$E,5,0)</f>
        <v>#N/A</v>
      </c>
    </row>
    <row r="185" ht="15.75" customHeight="1">
      <c r="A185" s="849" t="s">
        <v>1239</v>
      </c>
      <c r="B185" s="849">
        <v>2026.0</v>
      </c>
      <c r="C185" s="849" t="s">
        <v>1594</v>
      </c>
      <c r="D185" s="849" t="s">
        <v>1595</v>
      </c>
      <c r="E185" s="849" t="s">
        <v>768</v>
      </c>
      <c r="F185" s="849" t="s">
        <v>1200</v>
      </c>
      <c r="G185" s="849">
        <v>3568.38</v>
      </c>
      <c r="H185" s="849">
        <v>6502.59</v>
      </c>
      <c r="I185" s="849">
        <v>8672.77</v>
      </c>
      <c r="J185" s="849">
        <v>11508.67</v>
      </c>
      <c r="K185" s="849">
        <v>15510.35</v>
      </c>
      <c r="L185" s="849">
        <v>18177.32</v>
      </c>
      <c r="M185" s="849">
        <v>22442.2</v>
      </c>
      <c r="N185" s="849">
        <v>27257.03</v>
      </c>
      <c r="O185" s="849">
        <v>30700.71</v>
      </c>
      <c r="P185" s="849">
        <v>32276.25</v>
      </c>
      <c r="Q185" s="849">
        <v>0.0</v>
      </c>
      <c r="R185" s="849">
        <v>0.0</v>
      </c>
      <c r="S185" s="849">
        <v>3411.19</v>
      </c>
      <c r="T185" s="849">
        <v>3411.19</v>
      </c>
      <c r="U185" s="849">
        <v>0.0</v>
      </c>
      <c r="V185" s="849">
        <v>0.0</v>
      </c>
      <c r="W185" s="849">
        <v>0.0</v>
      </c>
      <c r="X185" s="849">
        <v>0.0</v>
      </c>
      <c r="Y185" s="849">
        <v>0.0</v>
      </c>
      <c r="Z185" s="849">
        <v>0.0</v>
      </c>
      <c r="AA185" s="849">
        <v>0.0</v>
      </c>
      <c r="AB185" s="849">
        <v>0.0</v>
      </c>
      <c r="AC185" s="849">
        <v>0.0</v>
      </c>
      <c r="AD185" s="849">
        <v>0.0</v>
      </c>
      <c r="AE185" s="849">
        <v>0.0</v>
      </c>
      <c r="AF185" s="849">
        <v>0.0</v>
      </c>
      <c r="AG185" s="849">
        <v>0.0</v>
      </c>
      <c r="AH185" s="849">
        <v>0.0</v>
      </c>
      <c r="AI185" s="849">
        <v>0.0</v>
      </c>
      <c r="AJ185" s="794" t="str">
        <f t="shared" ref="AJ185:AK185" si="367">C185</f>
        <v>G0681</v>
      </c>
      <c r="AK185" s="794" t="str">
        <f t="shared" si="367"/>
        <v>SERV.INFORMATIQUE-NEUF</v>
      </c>
      <c r="AL185" s="794">
        <f t="array" ref="AL185">IFERROR(INDEX(G185:R185,1,MATCH(Parametres!$B$3,G$1:R$1,0)-1)*IF(OR(F185="L",F185="S",F185="I"),-1,1),"")</f>
        <v>27257.03</v>
      </c>
      <c r="AM185" s="794">
        <f t="shared" si="4"/>
        <v>3443.68</v>
      </c>
      <c r="AN185" s="794">
        <f t="array" ref="AN185">INDEX(G185:R185,1,MATCH(Parametres!$B$3,G$1:R$1,0))*IF(OR(F185="L",F185="S",F185="I"),-1,1)</f>
        <v>30700.71</v>
      </c>
      <c r="AO185" s="853" t="str">
        <f>+VLOOKUP($AJ185,Data_Validation!$A:$D,1,0)</f>
        <v>G0681</v>
      </c>
      <c r="AP185" s="853" t="str">
        <f>+VLOOKUP($AJ185,Data_Validation!$A:$D,3,0)</f>
        <v>Véhicules neufs</v>
      </c>
      <c r="AQ185" s="853" t="str">
        <f>+VLOOKUP($AJ185,Data_Validation!$A:$D,4,0)</f>
        <v>Informatique</v>
      </c>
      <c r="AR185" s="853" t="s">
        <v>728</v>
      </c>
      <c r="AS185" s="853" t="str">
        <f>+VLOOKUP($AJ185,Data_Validation!$A:$E,5,0)</f>
        <v/>
      </c>
      <c r="AT185" s="794" t="str">
        <f t="shared" ref="AT185:AU185" si="368">C185</f>
        <v>G0681</v>
      </c>
      <c r="AU185" s="854" t="str">
        <f t="shared" si="368"/>
        <v>SERV.INFORMATIQUE-NEUF</v>
      </c>
      <c r="AV185" s="794">
        <f t="array" ref="AV185">IFERROR(INDEX(V185:AG185,1,MATCH(Parametres!$B$3,V$1:AG$1,0)-1)*IF(OR(C185="L",C185="S",C185="I"),-1,1),"")</f>
        <v>0</v>
      </c>
      <c r="AW185" s="794">
        <f t="shared" si="6"/>
        <v>0</v>
      </c>
      <c r="AX185" s="794">
        <f t="array" ref="AX185">INDEX(V185:AG185,1,MATCH(Parametres!$B$3,V$1:AG$1,0))*IF(OR(C185="L",C185="S",C185="I"),-1,1)</f>
        <v>0</v>
      </c>
      <c r="AY185" s="853" t="s">
        <v>772</v>
      </c>
      <c r="AZ185" s="853" t="str">
        <f>+VLOOKUP($AJ185,Data_Validation!$A:$E,5,0)</f>
        <v/>
      </c>
    </row>
    <row r="186" ht="15.75" customHeight="1">
      <c r="A186" s="849" t="s">
        <v>1239</v>
      </c>
      <c r="B186" s="849">
        <v>2026.0</v>
      </c>
      <c r="C186" s="849" t="s">
        <v>1596</v>
      </c>
      <c r="D186" s="849" t="s">
        <v>1597</v>
      </c>
      <c r="E186" s="849" t="s">
        <v>768</v>
      </c>
      <c r="F186" s="849" t="s">
        <v>1200</v>
      </c>
      <c r="G186" s="849">
        <v>1895.86</v>
      </c>
      <c r="H186" s="849">
        <v>2775.23</v>
      </c>
      <c r="I186" s="849">
        <v>3760.92</v>
      </c>
      <c r="J186" s="849">
        <v>5156.92</v>
      </c>
      <c r="K186" s="849">
        <v>6829.61</v>
      </c>
      <c r="L186" s="849">
        <v>8077.16</v>
      </c>
      <c r="M186" s="849">
        <v>9914.07</v>
      </c>
      <c r="N186" s="849">
        <v>12223.18</v>
      </c>
      <c r="O186" s="849">
        <v>14112.71</v>
      </c>
      <c r="P186" s="849">
        <v>14908.33</v>
      </c>
      <c r="Q186" s="849">
        <v>0.0</v>
      </c>
      <c r="R186" s="849">
        <v>0.0</v>
      </c>
      <c r="S186" s="849">
        <v>1568.08</v>
      </c>
      <c r="T186" s="849">
        <v>1568.08</v>
      </c>
      <c r="U186" s="849">
        <v>0.0</v>
      </c>
      <c r="V186" s="849">
        <v>0.0</v>
      </c>
      <c r="W186" s="849">
        <v>0.0</v>
      </c>
      <c r="X186" s="849">
        <v>0.0</v>
      </c>
      <c r="Y186" s="849">
        <v>0.0</v>
      </c>
      <c r="Z186" s="849">
        <v>0.0</v>
      </c>
      <c r="AA186" s="849">
        <v>0.0</v>
      </c>
      <c r="AB186" s="849">
        <v>0.0</v>
      </c>
      <c r="AC186" s="849">
        <v>0.0</v>
      </c>
      <c r="AD186" s="849">
        <v>0.0</v>
      </c>
      <c r="AE186" s="849">
        <v>0.0</v>
      </c>
      <c r="AF186" s="849">
        <v>0.0</v>
      </c>
      <c r="AG186" s="849">
        <v>0.0</v>
      </c>
      <c r="AH186" s="849">
        <v>0.0</v>
      </c>
      <c r="AI186" s="849">
        <v>0.0</v>
      </c>
      <c r="AJ186" s="794" t="str">
        <f t="shared" ref="AJ186:AK186" si="369">C186</f>
        <v>G0682</v>
      </c>
      <c r="AK186" s="794" t="str">
        <f t="shared" si="369"/>
        <v>SERV.INFORMATIQUE-USAGE</v>
      </c>
      <c r="AL186" s="794">
        <f t="array" ref="AL186">IFERROR(INDEX(G186:R186,1,MATCH(Parametres!$B$3,G$1:R$1,0)-1)*IF(OR(F186="L",F186="S",F186="I"),-1,1),"")</f>
        <v>12223.18</v>
      </c>
      <c r="AM186" s="794">
        <f t="shared" si="4"/>
        <v>1889.53</v>
      </c>
      <c r="AN186" s="794">
        <f t="array" ref="AN186">INDEX(G186:R186,1,MATCH(Parametres!$B$3,G$1:R$1,0))*IF(OR(F186="L",F186="S",F186="I"),-1,1)</f>
        <v>14112.71</v>
      </c>
      <c r="AO186" s="853" t="str">
        <f>+VLOOKUP($AJ186,Data_Validation!$A:$D,1,0)</f>
        <v>G0682</v>
      </c>
      <c r="AP186" s="853" t="str">
        <f>+VLOOKUP($AJ186,Data_Validation!$A:$D,3,0)</f>
        <v>Véhicules usagés</v>
      </c>
      <c r="AQ186" s="853" t="str">
        <f>+VLOOKUP($AJ186,Data_Validation!$A:$D,4,0)</f>
        <v>Informatique</v>
      </c>
      <c r="AR186" s="853" t="s">
        <v>728</v>
      </c>
      <c r="AS186" s="853" t="str">
        <f>+VLOOKUP($AJ186,Data_Validation!$A:$E,5,0)</f>
        <v/>
      </c>
      <c r="AT186" s="794" t="str">
        <f t="shared" ref="AT186:AU186" si="370">C186</f>
        <v>G0682</v>
      </c>
      <c r="AU186" s="854" t="str">
        <f t="shared" si="370"/>
        <v>SERV.INFORMATIQUE-USAGE</v>
      </c>
      <c r="AV186" s="794">
        <f t="array" ref="AV186">IFERROR(INDEX(V186:AG186,1,MATCH(Parametres!$B$3,V$1:AG$1,0)-1)*IF(OR(C186="L",C186="S",C186="I"),-1,1),"")</f>
        <v>0</v>
      </c>
      <c r="AW186" s="794">
        <f t="shared" si="6"/>
        <v>0</v>
      </c>
      <c r="AX186" s="794">
        <f t="array" ref="AX186">INDEX(V186:AG186,1,MATCH(Parametres!$B$3,V$1:AG$1,0))*IF(OR(C186="L",C186="S",C186="I"),-1,1)</f>
        <v>0</v>
      </c>
      <c r="AY186" s="853" t="s">
        <v>772</v>
      </c>
      <c r="AZ186" s="853" t="str">
        <f>+VLOOKUP($AJ186,Data_Validation!$A:$E,5,0)</f>
        <v/>
      </c>
    </row>
    <row r="187" ht="15.0" customHeight="1">
      <c r="A187" s="849" t="s">
        <v>1239</v>
      </c>
      <c r="B187" s="849">
        <v>2026.0</v>
      </c>
      <c r="C187" s="849" t="s">
        <v>1598</v>
      </c>
      <c r="D187" s="849" t="s">
        <v>1599</v>
      </c>
      <c r="E187" s="849" t="s">
        <v>768</v>
      </c>
      <c r="F187" s="849" t="s">
        <v>1200</v>
      </c>
      <c r="G187" s="849">
        <v>0.0</v>
      </c>
      <c r="H187" s="849">
        <v>0.0</v>
      </c>
      <c r="I187" s="849">
        <v>0.0</v>
      </c>
      <c r="J187" s="849">
        <v>0.0</v>
      </c>
      <c r="K187" s="849">
        <v>0.0</v>
      </c>
      <c r="L187" s="849">
        <v>0.0</v>
      </c>
      <c r="M187" s="849">
        <v>0.0</v>
      </c>
      <c r="N187" s="849">
        <v>0.0</v>
      </c>
      <c r="O187" s="849">
        <v>0.0</v>
      </c>
      <c r="P187" s="849">
        <v>0.0</v>
      </c>
      <c r="Q187" s="849">
        <v>0.0</v>
      </c>
      <c r="R187" s="849">
        <v>0.0</v>
      </c>
      <c r="S187" s="849">
        <v>0.0</v>
      </c>
      <c r="T187" s="849">
        <v>0.0</v>
      </c>
      <c r="U187" s="849">
        <v>0.0</v>
      </c>
      <c r="V187" s="849">
        <v>0.0</v>
      </c>
      <c r="W187" s="849">
        <v>0.0</v>
      </c>
      <c r="X187" s="849">
        <v>0.0</v>
      </c>
      <c r="Y187" s="849">
        <v>0.0</v>
      </c>
      <c r="Z187" s="849">
        <v>0.0</v>
      </c>
      <c r="AA187" s="849">
        <v>0.0</v>
      </c>
      <c r="AB187" s="849">
        <v>0.0</v>
      </c>
      <c r="AC187" s="849">
        <v>0.0</v>
      </c>
      <c r="AD187" s="849">
        <v>0.0</v>
      </c>
      <c r="AE187" s="849">
        <v>0.0</v>
      </c>
      <c r="AF187" s="849">
        <v>0.0</v>
      </c>
      <c r="AG187" s="849">
        <v>0.0</v>
      </c>
      <c r="AH187" s="849">
        <v>0.0</v>
      </c>
      <c r="AI187" s="849">
        <v>0.0</v>
      </c>
      <c r="AJ187" s="794" t="str">
        <f t="shared" ref="AJ187:AK187" si="371">C187</f>
        <v>G0683</v>
      </c>
      <c r="AK187" s="794" t="str">
        <f t="shared" si="371"/>
        <v>SERV. INFORMAT. U.S.A</v>
      </c>
      <c r="AL187" s="794">
        <f t="array" ref="AL187">IFERROR(INDEX(G187:R187,1,MATCH(Parametres!$B$3,G$1:R$1,0)-1)*IF(OR(F187="L",F187="S",F187="I"),-1,1),"")</f>
        <v>0</v>
      </c>
      <c r="AM187" s="794">
        <f t="shared" si="4"/>
        <v>0</v>
      </c>
      <c r="AN187" s="794">
        <f t="array" ref="AN187">INDEX(G187:R187,1,MATCH(Parametres!$B$3,G$1:R$1,0))*IF(OR(F187="L",F187="S",F187="I"),-1,1)</f>
        <v>0</v>
      </c>
      <c r="AO187" s="853" t="str">
        <f>+VLOOKUP($AJ187,Data_Validation!$A:$D,1,0)</f>
        <v>G0683</v>
      </c>
      <c r="AP187" s="853" t="str">
        <f>+VLOOKUP($AJ187,Data_Validation!$A:$D,3,0)</f>
        <v>Wholesale autres</v>
      </c>
      <c r="AQ187" s="853" t="str">
        <f>+VLOOKUP($AJ187,Data_Validation!$A:$D,4,0)</f>
        <v>Informatique</v>
      </c>
      <c r="AR187" s="853" t="s">
        <v>728</v>
      </c>
      <c r="AS187" s="853" t="str">
        <f>+VLOOKUP($AJ187,Data_Validation!$A:$E,5,0)</f>
        <v/>
      </c>
      <c r="AT187" s="794" t="str">
        <f t="shared" ref="AT187:AU187" si="372">C187</f>
        <v>G0683</v>
      </c>
      <c r="AU187" s="854" t="str">
        <f t="shared" si="372"/>
        <v>SERV. INFORMAT. U.S.A</v>
      </c>
      <c r="AV187" s="794">
        <f t="array" ref="AV187">IFERROR(INDEX(V187:AG187,1,MATCH(Parametres!$B$3,V$1:AG$1,0)-1)*IF(OR(C187="L",C187="S",C187="I"),-1,1),"")</f>
        <v>0</v>
      </c>
      <c r="AW187" s="794">
        <f t="shared" si="6"/>
        <v>0</v>
      </c>
      <c r="AX187" s="794">
        <f t="array" ref="AX187">INDEX(V187:AG187,1,MATCH(Parametres!$B$3,V$1:AG$1,0))*IF(OR(C187="L",C187="S",C187="I"),-1,1)</f>
        <v>0</v>
      </c>
      <c r="AY187" s="853" t="s">
        <v>772</v>
      </c>
      <c r="AZ187" s="853" t="str">
        <f>+VLOOKUP($AJ187,Data_Validation!$A:$E,5,0)</f>
        <v/>
      </c>
    </row>
    <row r="188" ht="15.0" customHeight="1">
      <c r="A188" s="849" t="s">
        <v>1239</v>
      </c>
      <c r="B188" s="849">
        <v>2026.0</v>
      </c>
      <c r="C188" s="849" t="s">
        <v>1600</v>
      </c>
      <c r="D188" s="849" t="s">
        <v>1601</v>
      </c>
      <c r="E188" s="849" t="s">
        <v>768</v>
      </c>
      <c r="F188" s="849" t="s">
        <v>1200</v>
      </c>
      <c r="G188" s="849">
        <v>3715.02</v>
      </c>
      <c r="H188" s="849">
        <v>5108.23</v>
      </c>
      <c r="I188" s="849">
        <v>7457.99</v>
      </c>
      <c r="J188" s="849">
        <v>10406.55</v>
      </c>
      <c r="K188" s="849">
        <v>13191.94</v>
      </c>
      <c r="L188" s="849">
        <v>16679.64</v>
      </c>
      <c r="M188" s="849">
        <v>20768.23</v>
      </c>
      <c r="N188" s="849">
        <v>23887.06</v>
      </c>
      <c r="O188" s="849">
        <v>27414.22</v>
      </c>
      <c r="P188" s="849">
        <v>29310.64</v>
      </c>
      <c r="Q188" s="849">
        <v>0.0</v>
      </c>
      <c r="R188" s="849">
        <v>0.0</v>
      </c>
      <c r="S188" s="849">
        <v>3046.02</v>
      </c>
      <c r="T188" s="849">
        <v>3046.02</v>
      </c>
      <c r="U188" s="849">
        <v>0.0</v>
      </c>
      <c r="V188" s="849">
        <v>0.0</v>
      </c>
      <c r="W188" s="849">
        <v>0.0</v>
      </c>
      <c r="X188" s="849">
        <v>0.0</v>
      </c>
      <c r="Y188" s="849">
        <v>0.0</v>
      </c>
      <c r="Z188" s="849">
        <v>0.0</v>
      </c>
      <c r="AA188" s="849">
        <v>0.0</v>
      </c>
      <c r="AB188" s="849">
        <v>0.0</v>
      </c>
      <c r="AC188" s="849">
        <v>0.0</v>
      </c>
      <c r="AD188" s="849">
        <v>0.0</v>
      </c>
      <c r="AE188" s="849">
        <v>0.0</v>
      </c>
      <c r="AF188" s="849">
        <v>0.0</v>
      </c>
      <c r="AG188" s="849">
        <v>0.0</v>
      </c>
      <c r="AH188" s="849">
        <v>0.0</v>
      </c>
      <c r="AI188" s="849">
        <v>0.0</v>
      </c>
      <c r="AJ188" s="794" t="str">
        <f t="shared" ref="AJ188:AK188" si="373">C188</f>
        <v>G0684</v>
      </c>
      <c r="AK188" s="794" t="str">
        <f t="shared" si="373"/>
        <v>SERV.INFORMATIQUE-SERV.</v>
      </c>
      <c r="AL188" s="794">
        <f t="array" ref="AL188">IFERROR(INDEX(G188:R188,1,MATCH(Parametres!$B$3,G$1:R$1,0)-1)*IF(OR(F188="L",F188="S",F188="I"),-1,1),"")</f>
        <v>23887.06</v>
      </c>
      <c r="AM188" s="794">
        <f t="shared" si="4"/>
        <v>3527.16</v>
      </c>
      <c r="AN188" s="794">
        <f t="array" ref="AN188">INDEX(G188:R188,1,MATCH(Parametres!$B$3,G$1:R$1,0))*IF(OR(F188="L",F188="S",F188="I"),-1,1)</f>
        <v>27414.22</v>
      </c>
      <c r="AO188" s="853" t="str">
        <f>+VLOOKUP($AJ188,Data_Validation!$A:$D,1,0)</f>
        <v>G0684</v>
      </c>
      <c r="AP188" s="853" t="str">
        <f>+VLOOKUP($AJ188,Data_Validation!$A:$D,3,0)</f>
        <v>Service</v>
      </c>
      <c r="AQ188" s="853" t="str">
        <f>+VLOOKUP($AJ188,Data_Validation!$A:$D,4,0)</f>
        <v>Informatique</v>
      </c>
      <c r="AR188" s="853" t="s">
        <v>728</v>
      </c>
      <c r="AS188" s="853" t="str">
        <f>+VLOOKUP($AJ188,Data_Validation!$A:$E,5,0)</f>
        <v/>
      </c>
      <c r="AT188" s="794" t="str">
        <f t="shared" ref="AT188:AU188" si="374">C188</f>
        <v>G0684</v>
      </c>
      <c r="AU188" s="854" t="str">
        <f t="shared" si="374"/>
        <v>SERV.INFORMATIQUE-SERV.</v>
      </c>
      <c r="AV188" s="794">
        <f t="array" ref="AV188">IFERROR(INDEX(V188:AG188,1,MATCH(Parametres!$B$3,V$1:AG$1,0)-1)*IF(OR(C188="L",C188="S",C188="I"),-1,1),"")</f>
        <v>0</v>
      </c>
      <c r="AW188" s="794">
        <f t="shared" si="6"/>
        <v>0</v>
      </c>
      <c r="AX188" s="794">
        <f t="array" ref="AX188">INDEX(V188:AG188,1,MATCH(Parametres!$B$3,V$1:AG$1,0))*IF(OR(C188="L",C188="S",C188="I"),-1,1)</f>
        <v>0</v>
      </c>
      <c r="AY188" s="853" t="s">
        <v>772</v>
      </c>
      <c r="AZ188" s="853" t="str">
        <f>+VLOOKUP($AJ188,Data_Validation!$A:$E,5,0)</f>
        <v/>
      </c>
    </row>
    <row r="189" ht="15.0" customHeight="1">
      <c r="A189" s="849" t="s">
        <v>1239</v>
      </c>
      <c r="B189" s="849">
        <v>2026.0</v>
      </c>
      <c r="C189" s="849" t="s">
        <v>1602</v>
      </c>
      <c r="D189" s="849" t="s">
        <v>1603</v>
      </c>
      <c r="E189" s="849" t="s">
        <v>768</v>
      </c>
      <c r="F189" s="849" t="s">
        <v>1200</v>
      </c>
      <c r="G189" s="849">
        <v>2525.29</v>
      </c>
      <c r="H189" s="849">
        <v>3650.5</v>
      </c>
      <c r="I189" s="849">
        <v>6449.36</v>
      </c>
      <c r="J189" s="849">
        <v>8975.31</v>
      </c>
      <c r="K189" s="849">
        <v>10509.68</v>
      </c>
      <c r="L189" s="849">
        <v>12710.82</v>
      </c>
      <c r="M189" s="849">
        <v>14510.8</v>
      </c>
      <c r="N189" s="849">
        <v>16390.08</v>
      </c>
      <c r="O189" s="849">
        <v>20329.39</v>
      </c>
      <c r="P189" s="849">
        <v>22550.06</v>
      </c>
      <c r="Q189" s="849">
        <v>0.0</v>
      </c>
      <c r="R189" s="849">
        <v>0.0</v>
      </c>
      <c r="S189" s="849">
        <v>2258.82</v>
      </c>
      <c r="T189" s="849">
        <v>2258.82</v>
      </c>
      <c r="U189" s="849">
        <v>0.0</v>
      </c>
      <c r="V189" s="849">
        <v>0.0</v>
      </c>
      <c r="W189" s="849">
        <v>0.0</v>
      </c>
      <c r="X189" s="849">
        <v>0.0</v>
      </c>
      <c r="Y189" s="849">
        <v>0.0</v>
      </c>
      <c r="Z189" s="849">
        <v>0.0</v>
      </c>
      <c r="AA189" s="849">
        <v>0.0</v>
      </c>
      <c r="AB189" s="849">
        <v>0.0</v>
      </c>
      <c r="AC189" s="849">
        <v>0.0</v>
      </c>
      <c r="AD189" s="849">
        <v>0.0</v>
      </c>
      <c r="AE189" s="849">
        <v>0.0</v>
      </c>
      <c r="AF189" s="849">
        <v>0.0</v>
      </c>
      <c r="AG189" s="849">
        <v>0.0</v>
      </c>
      <c r="AH189" s="849">
        <v>0.0</v>
      </c>
      <c r="AI189" s="849">
        <v>0.0</v>
      </c>
      <c r="AJ189" s="794" t="str">
        <f t="shared" ref="AJ189:AK189" si="375">C189</f>
        <v>G0685</v>
      </c>
      <c r="AK189" s="794" t="str">
        <f t="shared" si="375"/>
        <v>SERV.INFORMATIQUE-CARR.</v>
      </c>
      <c r="AL189" s="794">
        <f t="array" ref="AL189">IFERROR(INDEX(G189:R189,1,MATCH(Parametres!$B$3,G$1:R$1,0)-1)*IF(OR(F189="L",F189="S",F189="I"),-1,1),"")</f>
        <v>16390.08</v>
      </c>
      <c r="AM189" s="794">
        <f t="shared" si="4"/>
        <v>3939.31</v>
      </c>
      <c r="AN189" s="794">
        <f t="array" ref="AN189">INDEX(G189:R189,1,MATCH(Parametres!$B$3,G$1:R$1,0))*IF(OR(F189="L",F189="S",F189="I"),-1,1)</f>
        <v>20329.39</v>
      </c>
      <c r="AO189" s="853" t="str">
        <f>+VLOOKUP($AJ189,Data_Validation!$A:$D,1,0)</f>
        <v>G0685</v>
      </c>
      <c r="AP189" s="853" t="str">
        <f>+VLOOKUP($AJ189,Data_Validation!$A:$D,3,0)</f>
        <v>Carrosserie</v>
      </c>
      <c r="AQ189" s="853" t="str">
        <f>+VLOOKUP($AJ189,Data_Validation!$A:$D,4,0)</f>
        <v>Informatique</v>
      </c>
      <c r="AR189" s="853" t="s">
        <v>728</v>
      </c>
      <c r="AS189" s="853" t="str">
        <f>+VLOOKUP($AJ189,Data_Validation!$A:$E,5,0)</f>
        <v/>
      </c>
      <c r="AT189" s="794" t="str">
        <f t="shared" ref="AT189:AU189" si="376">C189</f>
        <v>G0685</v>
      </c>
      <c r="AU189" s="854" t="str">
        <f t="shared" si="376"/>
        <v>SERV.INFORMATIQUE-CARR.</v>
      </c>
      <c r="AV189" s="794">
        <f t="array" ref="AV189">IFERROR(INDEX(V189:AG189,1,MATCH(Parametres!$B$3,V$1:AG$1,0)-1)*IF(OR(C189="L",C189="S",C189="I"),-1,1),"")</f>
        <v>0</v>
      </c>
      <c r="AW189" s="794">
        <f t="shared" si="6"/>
        <v>0</v>
      </c>
      <c r="AX189" s="794">
        <f t="array" ref="AX189">INDEX(V189:AG189,1,MATCH(Parametres!$B$3,V$1:AG$1,0))*IF(OR(C189="L",C189="S",C189="I"),-1,1)</f>
        <v>0</v>
      </c>
      <c r="AY189" s="853" t="s">
        <v>772</v>
      </c>
      <c r="AZ189" s="853" t="str">
        <f>+VLOOKUP($AJ189,Data_Validation!$A:$E,5,0)</f>
        <v/>
      </c>
    </row>
    <row r="190" ht="15.0" customHeight="1">
      <c r="A190" s="849" t="s">
        <v>1239</v>
      </c>
      <c r="B190" s="849">
        <v>2026.0</v>
      </c>
      <c r="C190" s="849" t="s">
        <v>1604</v>
      </c>
      <c r="D190" s="849" t="s">
        <v>1605</v>
      </c>
      <c r="E190" s="849" t="s">
        <v>768</v>
      </c>
      <c r="F190" s="849" t="s">
        <v>1200</v>
      </c>
      <c r="G190" s="849">
        <v>2388.42</v>
      </c>
      <c r="H190" s="849">
        <v>3037.25</v>
      </c>
      <c r="I190" s="849">
        <v>4970.59</v>
      </c>
      <c r="J190" s="849">
        <v>7368.99</v>
      </c>
      <c r="K190" s="849">
        <v>9201.96</v>
      </c>
      <c r="L190" s="849">
        <v>11089.38</v>
      </c>
      <c r="M190" s="849">
        <v>14058.71</v>
      </c>
      <c r="N190" s="849">
        <v>16040.27</v>
      </c>
      <c r="O190" s="849">
        <v>18148.96</v>
      </c>
      <c r="P190" s="849">
        <v>19573.09</v>
      </c>
      <c r="Q190" s="849">
        <v>0.0</v>
      </c>
      <c r="R190" s="849">
        <v>0.0</v>
      </c>
      <c r="S190" s="849">
        <v>2016.55</v>
      </c>
      <c r="T190" s="849">
        <v>2016.55</v>
      </c>
      <c r="U190" s="849">
        <v>0.0</v>
      </c>
      <c r="V190" s="849">
        <v>0.0</v>
      </c>
      <c r="W190" s="849">
        <v>0.0</v>
      </c>
      <c r="X190" s="849">
        <v>0.0</v>
      </c>
      <c r="Y190" s="849">
        <v>0.0</v>
      </c>
      <c r="Z190" s="849">
        <v>0.0</v>
      </c>
      <c r="AA190" s="849">
        <v>0.0</v>
      </c>
      <c r="AB190" s="849">
        <v>0.0</v>
      </c>
      <c r="AC190" s="849">
        <v>0.0</v>
      </c>
      <c r="AD190" s="849">
        <v>0.0</v>
      </c>
      <c r="AE190" s="849">
        <v>0.0</v>
      </c>
      <c r="AF190" s="849">
        <v>0.0</v>
      </c>
      <c r="AG190" s="849">
        <v>0.0</v>
      </c>
      <c r="AH190" s="849">
        <v>0.0</v>
      </c>
      <c r="AI190" s="849">
        <v>0.0</v>
      </c>
      <c r="AJ190" s="794" t="str">
        <f t="shared" ref="AJ190:AK190" si="377">C190</f>
        <v>G0686</v>
      </c>
      <c r="AK190" s="794" t="str">
        <f t="shared" si="377"/>
        <v>SERV.INFORMATIQUE-PIECES</v>
      </c>
      <c r="AL190" s="794">
        <f t="array" ref="AL190">IFERROR(INDEX(G190:R190,1,MATCH(Parametres!$B$3,G$1:R$1,0)-1)*IF(OR(F190="L",F190="S",F190="I"),-1,1),"")</f>
        <v>16040.27</v>
      </c>
      <c r="AM190" s="794">
        <f t="shared" si="4"/>
        <v>2108.69</v>
      </c>
      <c r="AN190" s="794">
        <f t="array" ref="AN190">INDEX(G190:R190,1,MATCH(Parametres!$B$3,G$1:R$1,0))*IF(OR(F190="L",F190="S",F190="I"),-1,1)</f>
        <v>18148.96</v>
      </c>
      <c r="AO190" s="853" t="str">
        <f>+VLOOKUP($AJ190,Data_Validation!$A:$D,1,0)</f>
        <v>G0686</v>
      </c>
      <c r="AP190" s="853" t="str">
        <f>+VLOOKUP($AJ190,Data_Validation!$A:$D,3,0)</f>
        <v>Pièces</v>
      </c>
      <c r="AQ190" s="853" t="str">
        <f>+VLOOKUP($AJ190,Data_Validation!$A:$D,4,0)</f>
        <v>Informatique</v>
      </c>
      <c r="AR190" s="853" t="s">
        <v>728</v>
      </c>
      <c r="AS190" s="853" t="str">
        <f>+VLOOKUP($AJ190,Data_Validation!$A:$E,5,0)</f>
        <v/>
      </c>
      <c r="AT190" s="794" t="str">
        <f t="shared" ref="AT190:AU190" si="378">C190</f>
        <v>G0686</v>
      </c>
      <c r="AU190" s="854" t="str">
        <f t="shared" si="378"/>
        <v>SERV.INFORMATIQUE-PIECES</v>
      </c>
      <c r="AV190" s="794">
        <f t="array" ref="AV190">IFERROR(INDEX(V190:AG190,1,MATCH(Parametres!$B$3,V$1:AG$1,0)-1)*IF(OR(C190="L",C190="S",C190="I"),-1,1),"")</f>
        <v>0</v>
      </c>
      <c r="AW190" s="794">
        <f t="shared" si="6"/>
        <v>0</v>
      </c>
      <c r="AX190" s="794">
        <f t="array" ref="AX190">INDEX(V190:AG190,1,MATCH(Parametres!$B$3,V$1:AG$1,0))*IF(OR(C190="L",C190="S",C190="I"),-1,1)</f>
        <v>0</v>
      </c>
      <c r="AY190" s="853" t="s">
        <v>772</v>
      </c>
      <c r="AZ190" s="853" t="str">
        <f>+VLOOKUP($AJ190,Data_Validation!$A:$E,5,0)</f>
        <v/>
      </c>
    </row>
    <row r="191" ht="15.0" customHeight="1">
      <c r="A191" s="849" t="s">
        <v>1239</v>
      </c>
      <c r="B191" s="849">
        <v>2026.0</v>
      </c>
      <c r="C191" s="849" t="s">
        <v>1606</v>
      </c>
      <c r="D191" s="849" t="s">
        <v>1607</v>
      </c>
      <c r="E191" s="849" t="s">
        <v>768</v>
      </c>
      <c r="F191" s="849" t="s">
        <v>1200</v>
      </c>
      <c r="G191" s="849">
        <v>0.0</v>
      </c>
      <c r="H191" s="849">
        <v>0.0</v>
      </c>
      <c r="I191" s="849">
        <v>0.0</v>
      </c>
      <c r="J191" s="849">
        <v>0.0</v>
      </c>
      <c r="K191" s="849">
        <v>0.0</v>
      </c>
      <c r="L191" s="849">
        <v>0.0</v>
      </c>
      <c r="M191" s="849">
        <v>0.0</v>
      </c>
      <c r="N191" s="849">
        <v>0.0</v>
      </c>
      <c r="O191" s="849">
        <v>0.0</v>
      </c>
      <c r="P191" s="849">
        <v>0.0</v>
      </c>
      <c r="Q191" s="849">
        <v>0.0</v>
      </c>
      <c r="R191" s="849">
        <v>0.0</v>
      </c>
      <c r="S191" s="849">
        <v>0.0</v>
      </c>
      <c r="T191" s="849">
        <v>0.0</v>
      </c>
      <c r="U191" s="849">
        <v>0.0</v>
      </c>
      <c r="V191" s="849">
        <v>0.0</v>
      </c>
      <c r="W191" s="849">
        <v>0.0</v>
      </c>
      <c r="X191" s="849">
        <v>0.0</v>
      </c>
      <c r="Y191" s="849">
        <v>0.0</v>
      </c>
      <c r="Z191" s="849">
        <v>0.0</v>
      </c>
      <c r="AA191" s="849">
        <v>0.0</v>
      </c>
      <c r="AB191" s="849">
        <v>0.0</v>
      </c>
      <c r="AC191" s="849">
        <v>0.0</v>
      </c>
      <c r="AD191" s="849">
        <v>0.0</v>
      </c>
      <c r="AE191" s="849">
        <v>0.0</v>
      </c>
      <c r="AF191" s="849">
        <v>0.0</v>
      </c>
      <c r="AG191" s="849">
        <v>0.0</v>
      </c>
      <c r="AH191" s="849">
        <v>0.0</v>
      </c>
      <c r="AI191" s="849">
        <v>0.0</v>
      </c>
      <c r="AJ191" s="794" t="str">
        <f t="shared" ref="AJ191:AK191" si="379">C191</f>
        <v>G0687</v>
      </c>
      <c r="AK191" s="794" t="str">
        <f t="shared" si="379"/>
        <v>SERV.INFORMATIQUE-PIECE</v>
      </c>
      <c r="AL191" s="794">
        <f t="array" ref="AL191">IFERROR(INDEX(G191:R191,1,MATCH(Parametres!$B$3,G$1:R$1,0)-1)*IF(OR(F191="L",F191="S",F191="I"),-1,1),"")</f>
        <v>0</v>
      </c>
      <c r="AM191" s="794">
        <f t="shared" si="4"/>
        <v>0</v>
      </c>
      <c r="AN191" s="794">
        <f t="array" ref="AN191">INDEX(G191:R191,1,MATCH(Parametres!$B$3,G$1:R$1,0))*IF(OR(F191="L",F191="S",F191="I"),-1,1)</f>
        <v>0</v>
      </c>
      <c r="AO191" s="853" t="str">
        <f>+VLOOKUP($AJ191,Data_Validation!$A:$D,1,0)</f>
        <v>G0687</v>
      </c>
      <c r="AP191" s="853" t="str">
        <f>+VLOOKUP($AJ191,Data_Validation!$A:$D,3,0)</f>
        <v>SAAQ</v>
      </c>
      <c r="AQ191" s="853" t="str">
        <f>+VLOOKUP($AJ191,Data_Validation!$A:$D,4,0)</f>
        <v>Informatique</v>
      </c>
      <c r="AR191" s="853" t="s">
        <v>728</v>
      </c>
      <c r="AS191" s="853" t="str">
        <f>+VLOOKUP($AJ191,Data_Validation!$A:$E,5,0)</f>
        <v/>
      </c>
      <c r="AT191" s="794" t="str">
        <f t="shared" ref="AT191:AU191" si="380">C191</f>
        <v>G0687</v>
      </c>
      <c r="AU191" s="854" t="str">
        <f t="shared" si="380"/>
        <v>SERV.INFORMATIQUE-PIECE</v>
      </c>
      <c r="AV191" s="794">
        <f t="array" ref="AV191">IFERROR(INDEX(V191:AG191,1,MATCH(Parametres!$B$3,V$1:AG$1,0)-1)*IF(OR(C191="L",C191="S",C191="I"),-1,1),"")</f>
        <v>0</v>
      </c>
      <c r="AW191" s="794">
        <f t="shared" si="6"/>
        <v>0</v>
      </c>
      <c r="AX191" s="794">
        <f t="array" ref="AX191">INDEX(V191:AG191,1,MATCH(Parametres!$B$3,V$1:AG$1,0))*IF(OR(C191="L",C191="S",C191="I"),-1,1)</f>
        <v>0</v>
      </c>
      <c r="AY191" s="853" t="s">
        <v>772</v>
      </c>
      <c r="AZ191" s="853" t="str">
        <f>+VLOOKUP($AJ191,Data_Validation!$A:$E,5,0)</f>
        <v/>
      </c>
    </row>
    <row r="192" ht="15.0" customHeight="1">
      <c r="A192" s="849" t="s">
        <v>1239</v>
      </c>
      <c r="B192" s="849">
        <v>2026.0</v>
      </c>
      <c r="C192" s="849" t="s">
        <v>1608</v>
      </c>
      <c r="D192" s="849" t="s">
        <v>1609</v>
      </c>
      <c r="E192" s="849" t="s">
        <v>768</v>
      </c>
      <c r="F192" s="849" t="s">
        <v>1200</v>
      </c>
      <c r="G192" s="849">
        <v>0.0</v>
      </c>
      <c r="H192" s="849">
        <v>0.0</v>
      </c>
      <c r="I192" s="849">
        <v>0.0</v>
      </c>
      <c r="J192" s="849">
        <v>0.0</v>
      </c>
      <c r="K192" s="849">
        <v>0.0</v>
      </c>
      <c r="L192" s="849">
        <v>0.0</v>
      </c>
      <c r="M192" s="849">
        <v>0.0</v>
      </c>
      <c r="N192" s="849">
        <v>0.0</v>
      </c>
      <c r="O192" s="849">
        <v>0.0</v>
      </c>
      <c r="P192" s="849">
        <v>0.0</v>
      </c>
      <c r="Q192" s="849">
        <v>0.0</v>
      </c>
      <c r="R192" s="849">
        <v>0.0</v>
      </c>
      <c r="S192" s="849">
        <v>0.0</v>
      </c>
      <c r="T192" s="849">
        <v>0.0</v>
      </c>
      <c r="U192" s="849">
        <v>0.0</v>
      </c>
      <c r="V192" s="849">
        <v>0.0</v>
      </c>
      <c r="W192" s="849">
        <v>0.0</v>
      </c>
      <c r="X192" s="849">
        <v>0.0</v>
      </c>
      <c r="Y192" s="849">
        <v>0.0</v>
      </c>
      <c r="Z192" s="849">
        <v>0.0</v>
      </c>
      <c r="AA192" s="849">
        <v>0.0</v>
      </c>
      <c r="AB192" s="849">
        <v>0.0</v>
      </c>
      <c r="AC192" s="849">
        <v>0.0</v>
      </c>
      <c r="AD192" s="849">
        <v>0.0</v>
      </c>
      <c r="AE192" s="849">
        <v>0.0</v>
      </c>
      <c r="AF192" s="849">
        <v>0.0</v>
      </c>
      <c r="AG192" s="849">
        <v>0.0</v>
      </c>
      <c r="AH192" s="849">
        <v>0.0</v>
      </c>
      <c r="AI192" s="849">
        <v>0.0</v>
      </c>
      <c r="AJ192" s="794" t="str">
        <f t="shared" ref="AJ192:AK192" si="381">C192</f>
        <v>G0689</v>
      </c>
      <c r="AK192" s="794" t="str">
        <f t="shared" si="381"/>
        <v>SERV.INFORMATIQUE-ADMIN</v>
      </c>
      <c r="AL192" s="794">
        <f t="array" ref="AL192">IFERROR(INDEX(G192:R192,1,MATCH(Parametres!$B$3,G$1:R$1,0)-1)*IF(OR(F192="L",F192="S",F192="I"),-1,1),"")</f>
        <v>0</v>
      </c>
      <c r="AM192" s="794">
        <f t="shared" si="4"/>
        <v>0</v>
      </c>
      <c r="AN192" s="794">
        <f t="array" ref="AN192">INDEX(G192:R192,1,MATCH(Parametres!$B$3,G$1:R$1,0))*IF(OR(F192="L",F192="S",F192="I"),-1,1)</f>
        <v>0</v>
      </c>
      <c r="AO192" s="853" t="str">
        <f>+VLOOKUP($AJ192,Data_Validation!$A:$D,1,0)</f>
        <v>#N/A</v>
      </c>
      <c r="AP192" s="853" t="str">
        <f>+VLOOKUP($AJ192,Data_Validation!$A:$D,3,0)</f>
        <v>#N/A</v>
      </c>
      <c r="AQ192" s="853" t="str">
        <f>+VLOOKUP($AJ192,Data_Validation!$A:$D,4,0)</f>
        <v>#N/A</v>
      </c>
      <c r="AR192" s="853" t="s">
        <v>728</v>
      </c>
      <c r="AS192" s="853" t="str">
        <f>+VLOOKUP($AJ192,Data_Validation!$A:$E,5,0)</f>
        <v>#N/A</v>
      </c>
      <c r="AT192" s="794" t="str">
        <f t="shared" ref="AT192:AU192" si="382">C192</f>
        <v>G0689</v>
      </c>
      <c r="AU192" s="854" t="str">
        <f t="shared" si="382"/>
        <v>SERV.INFORMATIQUE-ADMIN</v>
      </c>
      <c r="AV192" s="794">
        <f t="array" ref="AV192">IFERROR(INDEX(V192:AG192,1,MATCH(Parametres!$B$3,V$1:AG$1,0)-1)*IF(OR(C192="L",C192="S",C192="I"),-1,1),"")</f>
        <v>0</v>
      </c>
      <c r="AW192" s="794">
        <f t="shared" si="6"/>
        <v>0</v>
      </c>
      <c r="AX192" s="794">
        <f t="array" ref="AX192">INDEX(V192:AG192,1,MATCH(Parametres!$B$3,V$1:AG$1,0))*IF(OR(C192="L",C192="S",C192="I"),-1,1)</f>
        <v>0</v>
      </c>
      <c r="AY192" s="853" t="s">
        <v>772</v>
      </c>
      <c r="AZ192" s="853" t="str">
        <f>+VLOOKUP($AJ192,Data_Validation!$A:$E,5,0)</f>
        <v>#N/A</v>
      </c>
    </row>
    <row r="193" ht="15.0" customHeight="1">
      <c r="A193" s="849" t="s">
        <v>1239</v>
      </c>
      <c r="B193" s="849">
        <v>2026.0</v>
      </c>
      <c r="C193" s="849" t="s">
        <v>1610</v>
      </c>
      <c r="D193" s="849" t="s">
        <v>1611</v>
      </c>
      <c r="E193" s="849" t="s">
        <v>768</v>
      </c>
      <c r="F193" s="849" t="s">
        <v>1200</v>
      </c>
      <c r="G193" s="849">
        <v>0.0</v>
      </c>
      <c r="H193" s="849">
        <v>0.0</v>
      </c>
      <c r="I193" s="849">
        <v>0.0</v>
      </c>
      <c r="J193" s="849">
        <v>0.0</v>
      </c>
      <c r="K193" s="849">
        <v>0.0</v>
      </c>
      <c r="L193" s="849">
        <v>0.0</v>
      </c>
      <c r="M193" s="849">
        <v>0.0</v>
      </c>
      <c r="N193" s="849">
        <v>0.0</v>
      </c>
      <c r="O193" s="849">
        <v>0.0</v>
      </c>
      <c r="P193" s="849">
        <v>0.0</v>
      </c>
      <c r="Q193" s="849">
        <v>0.0</v>
      </c>
      <c r="R193" s="849">
        <v>0.0</v>
      </c>
      <c r="S193" s="849">
        <v>0.0</v>
      </c>
      <c r="T193" s="849">
        <v>0.0</v>
      </c>
      <c r="U193" s="849">
        <v>0.0</v>
      </c>
      <c r="V193" s="849">
        <v>0.0</v>
      </c>
      <c r="W193" s="849">
        <v>0.0</v>
      </c>
      <c r="X193" s="849">
        <v>0.0</v>
      </c>
      <c r="Y193" s="849">
        <v>0.0</v>
      </c>
      <c r="Z193" s="849">
        <v>0.0</v>
      </c>
      <c r="AA193" s="849">
        <v>0.0</v>
      </c>
      <c r="AB193" s="849">
        <v>0.0</v>
      </c>
      <c r="AC193" s="849">
        <v>0.0</v>
      </c>
      <c r="AD193" s="849">
        <v>0.0</v>
      </c>
      <c r="AE193" s="849">
        <v>0.0</v>
      </c>
      <c r="AF193" s="849">
        <v>0.0</v>
      </c>
      <c r="AG193" s="849">
        <v>0.0</v>
      </c>
      <c r="AH193" s="849">
        <v>0.0</v>
      </c>
      <c r="AI193" s="849">
        <v>0.0</v>
      </c>
      <c r="AJ193" s="794" t="str">
        <f t="shared" ref="AJ193:AK193" si="383">C193</f>
        <v>G0690</v>
      </c>
      <c r="AK193" s="794" t="str">
        <f t="shared" si="383"/>
        <v>SERV EXTERIEUR REP</v>
      </c>
      <c r="AL193" s="794">
        <f t="array" ref="AL193">IFERROR(INDEX(G193:R193,1,MATCH(Parametres!$B$3,G$1:R$1,0)-1)*IF(OR(F193="L",F193="S",F193="I"),-1,1),"")</f>
        <v>0</v>
      </c>
      <c r="AM193" s="794">
        <f t="shared" si="4"/>
        <v>0</v>
      </c>
      <c r="AN193" s="794">
        <f t="array" ref="AN193">INDEX(G193:R193,1,MATCH(Parametres!$B$3,G$1:R$1,0))*IF(OR(F193="L",F193="S",F193="I"),-1,1)</f>
        <v>0</v>
      </c>
      <c r="AO193" s="853" t="str">
        <f>+VLOOKUP($AJ193,Data_Validation!$A:$D,1,0)</f>
        <v>#N/A</v>
      </c>
      <c r="AP193" s="853" t="str">
        <f>+VLOOKUP($AJ193,Data_Validation!$A:$D,3,0)</f>
        <v>#N/A</v>
      </c>
      <c r="AQ193" s="853" t="str">
        <f>+VLOOKUP($AJ193,Data_Validation!$A:$D,4,0)</f>
        <v>#N/A</v>
      </c>
      <c r="AR193" s="853" t="s">
        <v>728</v>
      </c>
      <c r="AS193" s="853" t="str">
        <f>+VLOOKUP($AJ193,Data_Validation!$A:$E,5,0)</f>
        <v>#N/A</v>
      </c>
      <c r="AT193" s="794" t="str">
        <f t="shared" ref="AT193:AU193" si="384">C193</f>
        <v>G0690</v>
      </c>
      <c r="AU193" s="854" t="str">
        <f t="shared" si="384"/>
        <v>SERV EXTERIEUR REP</v>
      </c>
      <c r="AV193" s="794">
        <f t="array" ref="AV193">IFERROR(INDEX(V193:AG193,1,MATCH(Parametres!$B$3,V$1:AG$1,0)-1)*IF(OR(C193="L",C193="S",C193="I"),-1,1),"")</f>
        <v>0</v>
      </c>
      <c r="AW193" s="794">
        <f t="shared" si="6"/>
        <v>0</v>
      </c>
      <c r="AX193" s="794">
        <f t="array" ref="AX193">INDEX(V193:AG193,1,MATCH(Parametres!$B$3,V$1:AG$1,0))*IF(OR(C193="L",C193="S",C193="I"),-1,1)</f>
        <v>0</v>
      </c>
      <c r="AY193" s="853" t="s">
        <v>772</v>
      </c>
      <c r="AZ193" s="853" t="str">
        <f>+VLOOKUP($AJ193,Data_Validation!$A:$E,5,0)</f>
        <v>#N/A</v>
      </c>
    </row>
    <row r="194" ht="15.75" customHeight="1">
      <c r="A194" s="849" t="s">
        <v>1239</v>
      </c>
      <c r="B194" s="849">
        <v>2026.0</v>
      </c>
      <c r="C194" s="849" t="s">
        <v>1612</v>
      </c>
      <c r="D194" s="849" t="s">
        <v>1613</v>
      </c>
      <c r="E194" s="849" t="s">
        <v>768</v>
      </c>
      <c r="F194" s="849" t="s">
        <v>1200</v>
      </c>
      <c r="G194" s="849">
        <v>4259.85</v>
      </c>
      <c r="H194" s="849">
        <v>8088.27</v>
      </c>
      <c r="I194" s="849">
        <v>12538.47</v>
      </c>
      <c r="J194" s="849">
        <v>15739.26</v>
      </c>
      <c r="K194" s="849">
        <v>20058.32</v>
      </c>
      <c r="L194" s="849">
        <v>25168.14</v>
      </c>
      <c r="M194" s="849">
        <v>27387.33</v>
      </c>
      <c r="N194" s="849">
        <v>29436.4</v>
      </c>
      <c r="O194" s="849">
        <v>31597.71</v>
      </c>
      <c r="P194" s="849">
        <v>32893.54</v>
      </c>
      <c r="Q194" s="849">
        <v>0.0</v>
      </c>
      <c r="R194" s="849">
        <v>0.0</v>
      </c>
      <c r="S194" s="849">
        <v>3510.86</v>
      </c>
      <c r="T194" s="849">
        <v>3510.86</v>
      </c>
      <c r="U194" s="849">
        <v>0.0</v>
      </c>
      <c r="V194" s="849">
        <v>0.0</v>
      </c>
      <c r="W194" s="849">
        <v>0.0</v>
      </c>
      <c r="X194" s="849">
        <v>0.0</v>
      </c>
      <c r="Y194" s="849">
        <v>0.0</v>
      </c>
      <c r="Z194" s="849">
        <v>0.0</v>
      </c>
      <c r="AA194" s="849">
        <v>0.0</v>
      </c>
      <c r="AB194" s="849">
        <v>0.0</v>
      </c>
      <c r="AC194" s="849">
        <v>0.0</v>
      </c>
      <c r="AD194" s="849">
        <v>0.0</v>
      </c>
      <c r="AE194" s="849">
        <v>0.0</v>
      </c>
      <c r="AF194" s="849">
        <v>0.0</v>
      </c>
      <c r="AG194" s="849">
        <v>0.0</v>
      </c>
      <c r="AH194" s="849">
        <v>0.0</v>
      </c>
      <c r="AI194" s="849">
        <v>0.0</v>
      </c>
      <c r="AJ194" s="794" t="str">
        <f t="shared" ref="AJ194:AK194" si="385">C194</f>
        <v>G0691</v>
      </c>
      <c r="AK194" s="794" t="str">
        <f t="shared" si="385"/>
        <v>SERV. EXTERIEUR-NEUF</v>
      </c>
      <c r="AL194" s="794">
        <f t="array" ref="AL194">IFERROR(INDEX(G194:R194,1,MATCH(Parametres!$B$3,G$1:R$1,0)-1)*IF(OR(F194="L",F194="S",F194="I"),-1,1),"")</f>
        <v>29436.4</v>
      </c>
      <c r="AM194" s="794">
        <f t="shared" si="4"/>
        <v>2161.31</v>
      </c>
      <c r="AN194" s="794">
        <f t="array" ref="AN194">INDEX(G194:R194,1,MATCH(Parametres!$B$3,G$1:R$1,0))*IF(OR(F194="L",F194="S",F194="I"),-1,1)</f>
        <v>31597.71</v>
      </c>
      <c r="AO194" s="853" t="str">
        <f>+VLOOKUP($AJ194,Data_Validation!$A:$D,1,0)</f>
        <v>G0691</v>
      </c>
      <c r="AP194" s="853" t="str">
        <f>+VLOOKUP($AJ194,Data_Validation!$A:$D,3,0)</f>
        <v>Véhicules neufs</v>
      </c>
      <c r="AQ194" s="853" t="str">
        <f>+VLOOKUP($AJ194,Data_Validation!$A:$D,4,0)</f>
        <v>Services extérieurs</v>
      </c>
      <c r="AR194" s="853" t="s">
        <v>728</v>
      </c>
      <c r="AS194" s="853" t="str">
        <f>+VLOOKUP($AJ194,Data_Validation!$A:$E,5,0)</f>
        <v/>
      </c>
      <c r="AT194" s="794" t="str">
        <f t="shared" ref="AT194:AU194" si="386">C194</f>
        <v>G0691</v>
      </c>
      <c r="AU194" s="854" t="str">
        <f t="shared" si="386"/>
        <v>SERV. EXTERIEUR-NEUF</v>
      </c>
      <c r="AV194" s="794">
        <f t="array" ref="AV194">IFERROR(INDEX(V194:AG194,1,MATCH(Parametres!$B$3,V$1:AG$1,0)-1)*IF(OR(C194="L",C194="S",C194="I"),-1,1),"")</f>
        <v>0</v>
      </c>
      <c r="AW194" s="794">
        <f t="shared" si="6"/>
        <v>0</v>
      </c>
      <c r="AX194" s="794">
        <f t="array" ref="AX194">INDEX(V194:AG194,1,MATCH(Parametres!$B$3,V$1:AG$1,0))*IF(OR(C194="L",C194="S",C194="I"),-1,1)</f>
        <v>0</v>
      </c>
      <c r="AY194" s="853" t="s">
        <v>772</v>
      </c>
      <c r="AZ194" s="853" t="str">
        <f>+VLOOKUP($AJ194,Data_Validation!$A:$E,5,0)</f>
        <v/>
      </c>
    </row>
    <row r="195" ht="15.0" customHeight="1">
      <c r="A195" s="849" t="s">
        <v>1239</v>
      </c>
      <c r="B195" s="849">
        <v>2026.0</v>
      </c>
      <c r="C195" s="849" t="s">
        <v>1614</v>
      </c>
      <c r="D195" s="849" t="s">
        <v>1615</v>
      </c>
      <c r="E195" s="849" t="s">
        <v>768</v>
      </c>
      <c r="F195" s="849" t="s">
        <v>1200</v>
      </c>
      <c r="G195" s="849">
        <v>2314.34</v>
      </c>
      <c r="H195" s="849">
        <v>4474.75</v>
      </c>
      <c r="I195" s="849">
        <v>7112.24</v>
      </c>
      <c r="J195" s="849">
        <v>8607.73</v>
      </c>
      <c r="K195" s="849">
        <v>10117.93</v>
      </c>
      <c r="L195" s="849">
        <v>12987.0</v>
      </c>
      <c r="M195" s="849">
        <v>14170.34</v>
      </c>
      <c r="N195" s="849">
        <v>15161.92</v>
      </c>
      <c r="O195" s="849">
        <v>16338.34</v>
      </c>
      <c r="P195" s="849">
        <v>17209.95</v>
      </c>
      <c r="Q195" s="849">
        <v>0.0</v>
      </c>
      <c r="R195" s="849">
        <v>0.0</v>
      </c>
      <c r="S195" s="849">
        <v>1815.37</v>
      </c>
      <c r="T195" s="849">
        <v>1815.37</v>
      </c>
      <c r="U195" s="849">
        <v>0.0</v>
      </c>
      <c r="V195" s="849">
        <v>0.0</v>
      </c>
      <c r="W195" s="849">
        <v>0.0</v>
      </c>
      <c r="X195" s="849">
        <v>0.0</v>
      </c>
      <c r="Y195" s="849">
        <v>0.0</v>
      </c>
      <c r="Z195" s="849">
        <v>0.0</v>
      </c>
      <c r="AA195" s="849">
        <v>0.0</v>
      </c>
      <c r="AB195" s="849">
        <v>0.0</v>
      </c>
      <c r="AC195" s="849">
        <v>0.0</v>
      </c>
      <c r="AD195" s="849">
        <v>0.0</v>
      </c>
      <c r="AE195" s="849">
        <v>0.0</v>
      </c>
      <c r="AF195" s="849">
        <v>0.0</v>
      </c>
      <c r="AG195" s="849">
        <v>0.0</v>
      </c>
      <c r="AH195" s="849">
        <v>0.0</v>
      </c>
      <c r="AI195" s="849">
        <v>0.0</v>
      </c>
      <c r="AJ195" s="794" t="str">
        <f t="shared" ref="AJ195:AK195" si="387">C195</f>
        <v>G0692</v>
      </c>
      <c r="AK195" s="794" t="str">
        <f t="shared" si="387"/>
        <v>SERV. EXTERIEUR-USAGES</v>
      </c>
      <c r="AL195" s="794">
        <f t="array" ref="AL195">IFERROR(INDEX(G195:R195,1,MATCH(Parametres!$B$3,G$1:R$1,0)-1)*IF(OR(F195="L",F195="S",F195="I"),-1,1),"")</f>
        <v>15161.92</v>
      </c>
      <c r="AM195" s="794">
        <f t="shared" si="4"/>
        <v>1176.42</v>
      </c>
      <c r="AN195" s="794">
        <f t="array" ref="AN195">INDEX(G195:R195,1,MATCH(Parametres!$B$3,G$1:R$1,0))*IF(OR(F195="L",F195="S",F195="I"),-1,1)</f>
        <v>16338.34</v>
      </c>
      <c r="AO195" s="853" t="str">
        <f>+VLOOKUP($AJ195,Data_Validation!$A:$D,1,0)</f>
        <v>G0692</v>
      </c>
      <c r="AP195" s="853" t="str">
        <f>+VLOOKUP($AJ195,Data_Validation!$A:$D,3,0)</f>
        <v>Véhicules usagés</v>
      </c>
      <c r="AQ195" s="853" t="str">
        <f>+VLOOKUP($AJ195,Data_Validation!$A:$D,4,0)</f>
        <v>Services extérieurs</v>
      </c>
      <c r="AR195" s="853" t="s">
        <v>728</v>
      </c>
      <c r="AS195" s="853" t="str">
        <f>+VLOOKUP($AJ195,Data_Validation!$A:$E,5,0)</f>
        <v/>
      </c>
      <c r="AT195" s="794" t="str">
        <f t="shared" ref="AT195:AU195" si="388">C195</f>
        <v>G0692</v>
      </c>
      <c r="AU195" s="854" t="str">
        <f t="shared" si="388"/>
        <v>SERV. EXTERIEUR-USAGES</v>
      </c>
      <c r="AV195" s="794">
        <f t="array" ref="AV195">IFERROR(INDEX(V195:AG195,1,MATCH(Parametres!$B$3,V$1:AG$1,0)-1)*IF(OR(C195="L",C195="S",C195="I"),-1,1),"")</f>
        <v>0</v>
      </c>
      <c r="AW195" s="794">
        <f t="shared" si="6"/>
        <v>0</v>
      </c>
      <c r="AX195" s="794">
        <f t="array" ref="AX195">INDEX(V195:AG195,1,MATCH(Parametres!$B$3,V$1:AG$1,0))*IF(OR(C195="L",C195="S",C195="I"),-1,1)</f>
        <v>0</v>
      </c>
      <c r="AY195" s="853" t="s">
        <v>772</v>
      </c>
      <c r="AZ195" s="853" t="str">
        <f>+VLOOKUP($AJ195,Data_Validation!$A:$E,5,0)</f>
        <v/>
      </c>
    </row>
    <row r="196" ht="15.0" customHeight="1">
      <c r="A196" s="849" t="s">
        <v>1239</v>
      </c>
      <c r="B196" s="849">
        <v>2026.0</v>
      </c>
      <c r="C196" s="849" t="s">
        <v>1616</v>
      </c>
      <c r="D196" s="849" t="s">
        <v>1617</v>
      </c>
      <c r="E196" s="849" t="s">
        <v>768</v>
      </c>
      <c r="F196" s="849" t="s">
        <v>1200</v>
      </c>
      <c r="G196" s="849">
        <v>39.6</v>
      </c>
      <c r="H196" s="849">
        <v>39.6</v>
      </c>
      <c r="I196" s="849">
        <v>39.6</v>
      </c>
      <c r="J196" s="849">
        <v>528.26</v>
      </c>
      <c r="K196" s="849">
        <v>528.26</v>
      </c>
      <c r="L196" s="849">
        <v>528.26</v>
      </c>
      <c r="M196" s="849">
        <v>528.26</v>
      </c>
      <c r="N196" s="849">
        <v>528.26</v>
      </c>
      <c r="O196" s="849">
        <v>528.26</v>
      </c>
      <c r="P196" s="849">
        <v>528.26</v>
      </c>
      <c r="Q196" s="849">
        <v>0.0</v>
      </c>
      <c r="R196" s="849">
        <v>0.0</v>
      </c>
      <c r="S196" s="849">
        <v>58.7</v>
      </c>
      <c r="T196" s="849">
        <v>58.7</v>
      </c>
      <c r="U196" s="849">
        <v>0.0</v>
      </c>
      <c r="V196" s="849">
        <v>0.0</v>
      </c>
      <c r="W196" s="849">
        <v>0.0</v>
      </c>
      <c r="X196" s="849">
        <v>0.0</v>
      </c>
      <c r="Y196" s="849">
        <v>0.0</v>
      </c>
      <c r="Z196" s="849">
        <v>0.0</v>
      </c>
      <c r="AA196" s="849">
        <v>0.0</v>
      </c>
      <c r="AB196" s="849">
        <v>0.0</v>
      </c>
      <c r="AC196" s="849">
        <v>0.0</v>
      </c>
      <c r="AD196" s="849">
        <v>0.0</v>
      </c>
      <c r="AE196" s="849">
        <v>0.0</v>
      </c>
      <c r="AF196" s="849">
        <v>0.0</v>
      </c>
      <c r="AG196" s="849">
        <v>0.0</v>
      </c>
      <c r="AH196" s="849">
        <v>0.0</v>
      </c>
      <c r="AI196" s="849">
        <v>0.0</v>
      </c>
      <c r="AJ196" s="794" t="str">
        <f t="shared" ref="AJ196:AK196" si="389">C196</f>
        <v>G0693</v>
      </c>
      <c r="AK196" s="794" t="str">
        <f t="shared" si="389"/>
        <v>SERV. EXTERIEURS U.S.A</v>
      </c>
      <c r="AL196" s="794">
        <f t="array" ref="AL196">IFERROR(INDEX(G196:R196,1,MATCH(Parametres!$B$3,G$1:R$1,0)-1)*IF(OR(F196="L",F196="S",F196="I"),-1,1),"")</f>
        <v>528.26</v>
      </c>
      <c r="AM196" s="794">
        <f t="shared" si="4"/>
        <v>0</v>
      </c>
      <c r="AN196" s="794">
        <f t="array" ref="AN196">INDEX(G196:R196,1,MATCH(Parametres!$B$3,G$1:R$1,0))*IF(OR(F196="L",F196="S",F196="I"),-1,1)</f>
        <v>528.26</v>
      </c>
      <c r="AO196" s="853" t="str">
        <f>+VLOOKUP($AJ196,Data_Validation!$A:$D,1,0)</f>
        <v>G0693</v>
      </c>
      <c r="AP196" s="853" t="str">
        <f>+VLOOKUP($AJ196,Data_Validation!$A:$D,3,0)</f>
        <v>Wholesale autres</v>
      </c>
      <c r="AQ196" s="853" t="str">
        <f>+VLOOKUP($AJ196,Data_Validation!$A:$D,4,0)</f>
        <v>Services extérieurs</v>
      </c>
      <c r="AR196" s="853" t="s">
        <v>728</v>
      </c>
      <c r="AS196" s="853" t="str">
        <f>+VLOOKUP($AJ196,Data_Validation!$A:$E,5,0)</f>
        <v/>
      </c>
      <c r="AT196" s="794" t="str">
        <f t="shared" ref="AT196:AU196" si="390">C196</f>
        <v>G0693</v>
      </c>
      <c r="AU196" s="854" t="str">
        <f t="shared" si="390"/>
        <v>SERV. EXTERIEURS U.S.A</v>
      </c>
      <c r="AV196" s="794">
        <f t="array" ref="AV196">IFERROR(INDEX(V196:AG196,1,MATCH(Parametres!$B$3,V$1:AG$1,0)-1)*IF(OR(C196="L",C196="S",C196="I"),-1,1),"")</f>
        <v>0</v>
      </c>
      <c r="AW196" s="794">
        <f t="shared" si="6"/>
        <v>0</v>
      </c>
      <c r="AX196" s="794">
        <f t="array" ref="AX196">INDEX(V196:AG196,1,MATCH(Parametres!$B$3,V$1:AG$1,0))*IF(OR(C196="L",C196="S",C196="I"),-1,1)</f>
        <v>0</v>
      </c>
      <c r="AY196" s="853" t="s">
        <v>772</v>
      </c>
      <c r="AZ196" s="853" t="str">
        <f>+VLOOKUP($AJ196,Data_Validation!$A:$E,5,0)</f>
        <v/>
      </c>
    </row>
    <row r="197" ht="15.0" customHeight="1">
      <c r="A197" s="849" t="s">
        <v>1239</v>
      </c>
      <c r="B197" s="849">
        <v>2026.0</v>
      </c>
      <c r="C197" s="849" t="s">
        <v>1618</v>
      </c>
      <c r="D197" s="849" t="s">
        <v>1619</v>
      </c>
      <c r="E197" s="849" t="s">
        <v>768</v>
      </c>
      <c r="F197" s="849" t="s">
        <v>1200</v>
      </c>
      <c r="G197" s="849">
        <v>9973.28</v>
      </c>
      <c r="H197" s="849">
        <v>18785.29</v>
      </c>
      <c r="I197" s="849">
        <v>27155.02</v>
      </c>
      <c r="J197" s="849">
        <v>36448.18</v>
      </c>
      <c r="K197" s="849">
        <v>44278.11</v>
      </c>
      <c r="L197" s="849">
        <v>53556.34</v>
      </c>
      <c r="M197" s="849">
        <v>62105.78</v>
      </c>
      <c r="N197" s="849">
        <v>70175.28</v>
      </c>
      <c r="O197" s="849">
        <v>77930.09</v>
      </c>
      <c r="P197" s="849">
        <v>83509.8</v>
      </c>
      <c r="Q197" s="849">
        <v>0.0</v>
      </c>
      <c r="R197" s="849">
        <v>0.0</v>
      </c>
      <c r="S197" s="849">
        <v>8658.9</v>
      </c>
      <c r="T197" s="849">
        <v>8658.9</v>
      </c>
      <c r="U197" s="849">
        <v>0.0</v>
      </c>
      <c r="V197" s="849">
        <v>0.0</v>
      </c>
      <c r="W197" s="849">
        <v>0.0</v>
      </c>
      <c r="X197" s="849">
        <v>0.0</v>
      </c>
      <c r="Y197" s="849">
        <v>0.0</v>
      </c>
      <c r="Z197" s="849">
        <v>0.0</v>
      </c>
      <c r="AA197" s="849">
        <v>0.0</v>
      </c>
      <c r="AB197" s="849">
        <v>0.0</v>
      </c>
      <c r="AC197" s="849">
        <v>0.0</v>
      </c>
      <c r="AD197" s="849">
        <v>0.0</v>
      </c>
      <c r="AE197" s="849">
        <v>0.0</v>
      </c>
      <c r="AF197" s="849">
        <v>0.0</v>
      </c>
      <c r="AG197" s="849">
        <v>0.0</v>
      </c>
      <c r="AH197" s="849">
        <v>0.0</v>
      </c>
      <c r="AI197" s="849">
        <v>0.0</v>
      </c>
      <c r="AJ197" s="794" t="str">
        <f t="shared" ref="AJ197:AK197" si="391">C197</f>
        <v>G0694</v>
      </c>
      <c r="AK197" s="794" t="str">
        <f t="shared" si="391"/>
        <v>SERV. EXTERIEUR-SERV.</v>
      </c>
      <c r="AL197" s="794">
        <f t="array" ref="AL197">IFERROR(INDEX(G197:R197,1,MATCH(Parametres!$B$3,G$1:R$1,0)-1)*IF(OR(F197="L",F197="S",F197="I"),-1,1),"")</f>
        <v>70175.28</v>
      </c>
      <c r="AM197" s="794">
        <f t="shared" si="4"/>
        <v>7754.81</v>
      </c>
      <c r="AN197" s="794">
        <f t="array" ref="AN197">INDEX(G197:R197,1,MATCH(Parametres!$B$3,G$1:R$1,0))*IF(OR(F197="L",F197="S",F197="I"),-1,1)</f>
        <v>77930.09</v>
      </c>
      <c r="AO197" s="853" t="str">
        <f>+VLOOKUP($AJ197,Data_Validation!$A:$D,1,0)</f>
        <v>G0694</v>
      </c>
      <c r="AP197" s="853" t="str">
        <f>+VLOOKUP($AJ197,Data_Validation!$A:$D,3,0)</f>
        <v>Service</v>
      </c>
      <c r="AQ197" s="853" t="str">
        <f>+VLOOKUP($AJ197,Data_Validation!$A:$D,4,0)</f>
        <v>Services extérieurs</v>
      </c>
      <c r="AR197" s="853" t="s">
        <v>728</v>
      </c>
      <c r="AS197" s="853" t="str">
        <f>+VLOOKUP($AJ197,Data_Validation!$A:$E,5,0)</f>
        <v/>
      </c>
      <c r="AT197" s="794" t="str">
        <f t="shared" ref="AT197:AU197" si="392">C197</f>
        <v>G0694</v>
      </c>
      <c r="AU197" s="854" t="str">
        <f t="shared" si="392"/>
        <v>SERV. EXTERIEUR-SERV.</v>
      </c>
      <c r="AV197" s="794">
        <f t="array" ref="AV197">IFERROR(INDEX(V197:AG197,1,MATCH(Parametres!$B$3,V$1:AG$1,0)-1)*IF(OR(C197="L",C197="S",C197="I"),-1,1),"")</f>
        <v>0</v>
      </c>
      <c r="AW197" s="794">
        <f t="shared" si="6"/>
        <v>0</v>
      </c>
      <c r="AX197" s="794">
        <f t="array" ref="AX197">INDEX(V197:AG197,1,MATCH(Parametres!$B$3,V$1:AG$1,0))*IF(OR(C197="L",C197="S",C197="I"),-1,1)</f>
        <v>0</v>
      </c>
      <c r="AY197" s="853" t="s">
        <v>772</v>
      </c>
      <c r="AZ197" s="853" t="str">
        <f>+VLOOKUP($AJ197,Data_Validation!$A:$E,5,0)</f>
        <v/>
      </c>
    </row>
    <row r="198" ht="15.0" customHeight="1">
      <c r="A198" s="849" t="s">
        <v>1239</v>
      </c>
      <c r="B198" s="849">
        <v>2026.0</v>
      </c>
      <c r="C198" s="849" t="s">
        <v>1620</v>
      </c>
      <c r="D198" s="849" t="s">
        <v>1621</v>
      </c>
      <c r="E198" s="849" t="s">
        <v>768</v>
      </c>
      <c r="F198" s="849" t="s">
        <v>1200</v>
      </c>
      <c r="G198" s="849">
        <v>2101.29</v>
      </c>
      <c r="H198" s="849">
        <v>3901.49</v>
      </c>
      <c r="I198" s="849">
        <v>5838.99</v>
      </c>
      <c r="J198" s="849">
        <v>7555.37</v>
      </c>
      <c r="K198" s="849">
        <v>8977.62</v>
      </c>
      <c r="L198" s="849">
        <v>11016.28</v>
      </c>
      <c r="M198" s="849">
        <v>12364.67</v>
      </c>
      <c r="N198" s="849">
        <v>13899.84</v>
      </c>
      <c r="O198" s="849">
        <v>15084.3</v>
      </c>
      <c r="P198" s="849">
        <v>16166.54</v>
      </c>
      <c r="Q198" s="849">
        <v>0.0</v>
      </c>
      <c r="R198" s="849">
        <v>0.0</v>
      </c>
      <c r="S198" s="849">
        <v>1676.03</v>
      </c>
      <c r="T198" s="849">
        <v>1676.03</v>
      </c>
      <c r="U198" s="849">
        <v>0.0</v>
      </c>
      <c r="V198" s="849">
        <v>0.0</v>
      </c>
      <c r="W198" s="849">
        <v>0.0</v>
      </c>
      <c r="X198" s="849">
        <v>0.0</v>
      </c>
      <c r="Y198" s="849">
        <v>0.0</v>
      </c>
      <c r="Z198" s="849">
        <v>0.0</v>
      </c>
      <c r="AA198" s="849">
        <v>0.0</v>
      </c>
      <c r="AB198" s="849">
        <v>0.0</v>
      </c>
      <c r="AC198" s="849">
        <v>0.0</v>
      </c>
      <c r="AD198" s="849">
        <v>0.0</v>
      </c>
      <c r="AE198" s="849">
        <v>0.0</v>
      </c>
      <c r="AF198" s="849">
        <v>0.0</v>
      </c>
      <c r="AG198" s="849">
        <v>0.0</v>
      </c>
      <c r="AH198" s="849">
        <v>0.0</v>
      </c>
      <c r="AI198" s="849">
        <v>0.0</v>
      </c>
      <c r="AJ198" s="794" t="str">
        <f t="shared" ref="AJ198:AK198" si="393">C198</f>
        <v>G0695</v>
      </c>
      <c r="AK198" s="794" t="str">
        <f t="shared" si="393"/>
        <v>SERV. EXTERIEUR-CARR.</v>
      </c>
      <c r="AL198" s="794">
        <f t="array" ref="AL198">IFERROR(INDEX(G198:R198,1,MATCH(Parametres!$B$3,G$1:R$1,0)-1)*IF(OR(F198="L",F198="S",F198="I"),-1,1),"")</f>
        <v>13899.84</v>
      </c>
      <c r="AM198" s="794">
        <f t="shared" si="4"/>
        <v>1184.46</v>
      </c>
      <c r="AN198" s="794">
        <f t="array" ref="AN198">INDEX(G198:R198,1,MATCH(Parametres!$B$3,G$1:R$1,0))*IF(OR(F198="L",F198="S",F198="I"),-1,1)</f>
        <v>15084.3</v>
      </c>
      <c r="AO198" s="853" t="str">
        <f>+VLOOKUP($AJ198,Data_Validation!$A:$D,1,0)</f>
        <v>G0695</v>
      </c>
      <c r="AP198" s="853" t="str">
        <f>+VLOOKUP($AJ198,Data_Validation!$A:$D,3,0)</f>
        <v>Carrosserie</v>
      </c>
      <c r="AQ198" s="853" t="str">
        <f>+VLOOKUP($AJ198,Data_Validation!$A:$D,4,0)</f>
        <v>Services extérieurs</v>
      </c>
      <c r="AR198" s="853" t="s">
        <v>728</v>
      </c>
      <c r="AS198" s="853" t="str">
        <f>+VLOOKUP($AJ198,Data_Validation!$A:$E,5,0)</f>
        <v/>
      </c>
      <c r="AT198" s="794" t="str">
        <f t="shared" ref="AT198:AU198" si="394">C198</f>
        <v>G0695</v>
      </c>
      <c r="AU198" s="854" t="str">
        <f t="shared" si="394"/>
        <v>SERV. EXTERIEUR-CARR.</v>
      </c>
      <c r="AV198" s="794">
        <f t="array" ref="AV198">IFERROR(INDEX(V198:AG198,1,MATCH(Parametres!$B$3,V$1:AG$1,0)-1)*IF(OR(C198="L",C198="S",C198="I"),-1,1),"")</f>
        <v>0</v>
      </c>
      <c r="AW198" s="794">
        <f t="shared" si="6"/>
        <v>0</v>
      </c>
      <c r="AX198" s="794">
        <f t="array" ref="AX198">INDEX(V198:AG198,1,MATCH(Parametres!$B$3,V$1:AG$1,0))*IF(OR(C198="L",C198="S",C198="I"),-1,1)</f>
        <v>0</v>
      </c>
      <c r="AY198" s="853" t="s">
        <v>772</v>
      </c>
      <c r="AZ198" s="853" t="str">
        <f>+VLOOKUP($AJ198,Data_Validation!$A:$E,5,0)</f>
        <v/>
      </c>
    </row>
    <row r="199" ht="15.75" customHeight="1">
      <c r="A199" s="849" t="s">
        <v>1239</v>
      </c>
      <c r="B199" s="849">
        <v>2026.0</v>
      </c>
      <c r="C199" s="849" t="s">
        <v>1622</v>
      </c>
      <c r="D199" s="849" t="s">
        <v>1623</v>
      </c>
      <c r="E199" s="849" t="s">
        <v>768</v>
      </c>
      <c r="F199" s="849" t="s">
        <v>1200</v>
      </c>
      <c r="G199" s="849">
        <v>3359.94</v>
      </c>
      <c r="H199" s="849">
        <v>4440.15</v>
      </c>
      <c r="I199" s="849">
        <v>5758.86</v>
      </c>
      <c r="J199" s="849">
        <v>6506.59</v>
      </c>
      <c r="K199" s="849">
        <v>7261.67</v>
      </c>
      <c r="L199" s="849">
        <v>8696.22</v>
      </c>
      <c r="M199" s="849">
        <v>9321.59</v>
      </c>
      <c r="N199" s="849">
        <v>9834.13</v>
      </c>
      <c r="O199" s="849">
        <v>10422.35</v>
      </c>
      <c r="P199" s="849">
        <v>10901.9</v>
      </c>
      <c r="Q199" s="849">
        <v>0.0</v>
      </c>
      <c r="R199" s="849">
        <v>0.0</v>
      </c>
      <c r="S199" s="849">
        <v>1158.04</v>
      </c>
      <c r="T199" s="849">
        <v>1158.04</v>
      </c>
      <c r="U199" s="849">
        <v>0.0</v>
      </c>
      <c r="V199" s="849">
        <v>0.0</v>
      </c>
      <c r="W199" s="849">
        <v>0.0</v>
      </c>
      <c r="X199" s="849">
        <v>0.0</v>
      </c>
      <c r="Y199" s="849">
        <v>0.0</v>
      </c>
      <c r="Z199" s="849">
        <v>0.0</v>
      </c>
      <c r="AA199" s="849">
        <v>0.0</v>
      </c>
      <c r="AB199" s="849">
        <v>0.0</v>
      </c>
      <c r="AC199" s="849">
        <v>0.0</v>
      </c>
      <c r="AD199" s="849">
        <v>0.0</v>
      </c>
      <c r="AE199" s="849">
        <v>0.0</v>
      </c>
      <c r="AF199" s="849">
        <v>0.0</v>
      </c>
      <c r="AG199" s="849">
        <v>0.0</v>
      </c>
      <c r="AH199" s="849">
        <v>0.0</v>
      </c>
      <c r="AI199" s="849">
        <v>0.0</v>
      </c>
      <c r="AJ199" s="794" t="str">
        <f t="shared" ref="AJ199:AK199" si="395">C199</f>
        <v>G0696</v>
      </c>
      <c r="AK199" s="794" t="str">
        <f t="shared" si="395"/>
        <v>SERV. EXTERIEUR-PIECES</v>
      </c>
      <c r="AL199" s="794">
        <f t="array" ref="AL199">IFERROR(INDEX(G199:R199,1,MATCH(Parametres!$B$3,G$1:R$1,0)-1)*IF(OR(F199="L",F199="S",F199="I"),-1,1),"")</f>
        <v>9834.13</v>
      </c>
      <c r="AM199" s="794">
        <f t="shared" si="4"/>
        <v>588.22</v>
      </c>
      <c r="AN199" s="794">
        <f t="array" ref="AN199">INDEX(G199:R199,1,MATCH(Parametres!$B$3,G$1:R$1,0))*IF(OR(F199="L",F199="S",F199="I"),-1,1)</f>
        <v>10422.35</v>
      </c>
      <c r="AO199" s="853" t="str">
        <f>+VLOOKUP($AJ199,Data_Validation!$A:$D,1,0)</f>
        <v>G0696</v>
      </c>
      <c r="AP199" s="853" t="str">
        <f>+VLOOKUP($AJ199,Data_Validation!$A:$D,3,0)</f>
        <v>Pièces</v>
      </c>
      <c r="AQ199" s="853" t="str">
        <f>+VLOOKUP($AJ199,Data_Validation!$A:$D,4,0)</f>
        <v>Services extérieurs</v>
      </c>
      <c r="AR199" s="853" t="s">
        <v>728</v>
      </c>
      <c r="AS199" s="853" t="str">
        <f>+VLOOKUP($AJ199,Data_Validation!$A:$E,5,0)</f>
        <v/>
      </c>
      <c r="AT199" s="794" t="str">
        <f t="shared" ref="AT199:AU199" si="396">C199</f>
        <v>G0696</v>
      </c>
      <c r="AU199" s="854" t="str">
        <f t="shared" si="396"/>
        <v>SERV. EXTERIEUR-PIECES</v>
      </c>
      <c r="AV199" s="794">
        <f t="array" ref="AV199">IFERROR(INDEX(V199:AG199,1,MATCH(Parametres!$B$3,V$1:AG$1,0)-1)*IF(OR(C199="L",C199="S",C199="I"),-1,1),"")</f>
        <v>0</v>
      </c>
      <c r="AW199" s="794">
        <f t="shared" si="6"/>
        <v>0</v>
      </c>
      <c r="AX199" s="794">
        <f t="array" ref="AX199">INDEX(V199:AG199,1,MATCH(Parametres!$B$3,V$1:AG$1,0))*IF(OR(C199="L",C199="S",C199="I"),-1,1)</f>
        <v>0</v>
      </c>
      <c r="AY199" s="853" t="s">
        <v>772</v>
      </c>
      <c r="AZ199" s="853" t="str">
        <f>+VLOOKUP($AJ199,Data_Validation!$A:$E,5,0)</f>
        <v/>
      </c>
    </row>
    <row r="200" ht="15.0" customHeight="1">
      <c r="A200" s="849" t="s">
        <v>1239</v>
      </c>
      <c r="B200" s="849">
        <v>2026.0</v>
      </c>
      <c r="C200" s="849" t="s">
        <v>1624</v>
      </c>
      <c r="D200" s="849" t="s">
        <v>1625</v>
      </c>
      <c r="E200" s="849" t="s">
        <v>768</v>
      </c>
      <c r="F200" s="849" t="s">
        <v>1200</v>
      </c>
      <c r="G200" s="849">
        <v>0.0</v>
      </c>
      <c r="H200" s="849">
        <v>0.0</v>
      </c>
      <c r="I200" s="849">
        <v>0.0</v>
      </c>
      <c r="J200" s="849">
        <v>0.0</v>
      </c>
      <c r="K200" s="849">
        <v>0.0</v>
      </c>
      <c r="L200" s="849">
        <v>0.0</v>
      </c>
      <c r="M200" s="849">
        <v>0.0</v>
      </c>
      <c r="N200" s="849">
        <v>0.0</v>
      </c>
      <c r="O200" s="849">
        <v>0.0</v>
      </c>
      <c r="P200" s="849">
        <v>0.0</v>
      </c>
      <c r="Q200" s="849">
        <v>0.0</v>
      </c>
      <c r="R200" s="849">
        <v>0.0</v>
      </c>
      <c r="S200" s="849">
        <v>0.0</v>
      </c>
      <c r="T200" s="849">
        <v>0.0</v>
      </c>
      <c r="U200" s="849">
        <v>0.0</v>
      </c>
      <c r="V200" s="849">
        <v>0.0</v>
      </c>
      <c r="W200" s="849">
        <v>0.0</v>
      </c>
      <c r="X200" s="849">
        <v>0.0</v>
      </c>
      <c r="Y200" s="849">
        <v>0.0</v>
      </c>
      <c r="Z200" s="849">
        <v>0.0</v>
      </c>
      <c r="AA200" s="849">
        <v>0.0</v>
      </c>
      <c r="AB200" s="849">
        <v>0.0</v>
      </c>
      <c r="AC200" s="849">
        <v>0.0</v>
      </c>
      <c r="AD200" s="849">
        <v>0.0</v>
      </c>
      <c r="AE200" s="849">
        <v>0.0</v>
      </c>
      <c r="AF200" s="849">
        <v>0.0</v>
      </c>
      <c r="AG200" s="849">
        <v>0.0</v>
      </c>
      <c r="AH200" s="849">
        <v>0.0</v>
      </c>
      <c r="AI200" s="849">
        <v>0.0</v>
      </c>
      <c r="AJ200" s="794" t="str">
        <f t="shared" ref="AJ200:AK200" si="397">C200</f>
        <v>G0697</v>
      </c>
      <c r="AK200" s="794" t="str">
        <f t="shared" si="397"/>
        <v>SERV. EXTER.AUTRES-PIECE</v>
      </c>
      <c r="AL200" s="794">
        <f t="array" ref="AL200">IFERROR(INDEX(G200:R200,1,MATCH(Parametres!$B$3,G$1:R$1,0)-1)*IF(OR(F200="L",F200="S",F200="I"),-1,1),"")</f>
        <v>0</v>
      </c>
      <c r="AM200" s="794">
        <f t="shared" si="4"/>
        <v>0</v>
      </c>
      <c r="AN200" s="794">
        <f t="array" ref="AN200">INDEX(G200:R200,1,MATCH(Parametres!$B$3,G$1:R$1,0))*IF(OR(F200="L",F200="S",F200="I"),-1,1)</f>
        <v>0</v>
      </c>
      <c r="AO200" s="853" t="str">
        <f>+VLOOKUP($AJ200,Data_Validation!$A:$D,1,0)</f>
        <v>G0697</v>
      </c>
      <c r="AP200" s="853" t="str">
        <f>+VLOOKUP($AJ200,Data_Validation!$A:$D,3,0)</f>
        <v>SAAQ</v>
      </c>
      <c r="AQ200" s="853" t="str">
        <f>+VLOOKUP($AJ200,Data_Validation!$A:$D,4,0)</f>
        <v>Services extérieurs</v>
      </c>
      <c r="AR200" s="853" t="s">
        <v>728</v>
      </c>
      <c r="AS200" s="853" t="str">
        <f>+VLOOKUP($AJ200,Data_Validation!$A:$E,5,0)</f>
        <v/>
      </c>
      <c r="AT200" s="794" t="str">
        <f t="shared" ref="AT200:AU200" si="398">C200</f>
        <v>G0697</v>
      </c>
      <c r="AU200" s="854" t="str">
        <f t="shared" si="398"/>
        <v>SERV. EXTER.AUTRES-PIECE</v>
      </c>
      <c r="AV200" s="794">
        <f t="array" ref="AV200">IFERROR(INDEX(V200:AG200,1,MATCH(Parametres!$B$3,V$1:AG$1,0)-1)*IF(OR(C200="L",C200="S",C200="I"),-1,1),"")</f>
        <v>0</v>
      </c>
      <c r="AW200" s="794">
        <f t="shared" si="6"/>
        <v>0</v>
      </c>
      <c r="AX200" s="794">
        <f t="array" ref="AX200">INDEX(V200:AG200,1,MATCH(Parametres!$B$3,V$1:AG$1,0))*IF(OR(C200="L",C200="S",C200="I"),-1,1)</f>
        <v>0</v>
      </c>
      <c r="AY200" s="853" t="s">
        <v>772</v>
      </c>
      <c r="AZ200" s="853" t="str">
        <f>+VLOOKUP($AJ200,Data_Validation!$A:$E,5,0)</f>
        <v/>
      </c>
    </row>
    <row r="201" ht="15.0" customHeight="1">
      <c r="A201" s="849" t="s">
        <v>1239</v>
      </c>
      <c r="B201" s="849">
        <v>2026.0</v>
      </c>
      <c r="C201" s="849" t="s">
        <v>1626</v>
      </c>
      <c r="D201" s="849" t="s">
        <v>1627</v>
      </c>
      <c r="E201" s="849" t="s">
        <v>768</v>
      </c>
      <c r="F201" s="849" t="s">
        <v>1200</v>
      </c>
      <c r="G201" s="849">
        <v>0.0</v>
      </c>
      <c r="H201" s="849">
        <v>0.0</v>
      </c>
      <c r="I201" s="849">
        <v>0.0</v>
      </c>
      <c r="J201" s="849">
        <v>0.0</v>
      </c>
      <c r="K201" s="849">
        <v>0.0</v>
      </c>
      <c r="L201" s="849">
        <v>0.0</v>
      </c>
      <c r="M201" s="849">
        <v>0.0</v>
      </c>
      <c r="N201" s="849">
        <v>0.0</v>
      </c>
      <c r="O201" s="849">
        <v>0.0</v>
      </c>
      <c r="P201" s="849">
        <v>0.0</v>
      </c>
      <c r="Q201" s="849">
        <v>0.0</v>
      </c>
      <c r="R201" s="849">
        <v>0.0</v>
      </c>
      <c r="S201" s="849">
        <v>0.0</v>
      </c>
      <c r="T201" s="849">
        <v>0.0</v>
      </c>
      <c r="U201" s="849">
        <v>0.0</v>
      </c>
      <c r="V201" s="849">
        <v>0.0</v>
      </c>
      <c r="W201" s="849">
        <v>0.0</v>
      </c>
      <c r="X201" s="849">
        <v>0.0</v>
      </c>
      <c r="Y201" s="849">
        <v>0.0</v>
      </c>
      <c r="Z201" s="849">
        <v>0.0</v>
      </c>
      <c r="AA201" s="849">
        <v>0.0</v>
      </c>
      <c r="AB201" s="849">
        <v>0.0</v>
      </c>
      <c r="AC201" s="849">
        <v>0.0</v>
      </c>
      <c r="AD201" s="849">
        <v>0.0</v>
      </c>
      <c r="AE201" s="849">
        <v>0.0</v>
      </c>
      <c r="AF201" s="849">
        <v>0.0</v>
      </c>
      <c r="AG201" s="849">
        <v>0.0</v>
      </c>
      <c r="AH201" s="849">
        <v>0.0</v>
      </c>
      <c r="AI201" s="849">
        <v>0.0</v>
      </c>
      <c r="AJ201" s="794" t="str">
        <f t="shared" ref="AJ201:AK201" si="399">C201</f>
        <v>G0699</v>
      </c>
      <c r="AK201" s="794" t="str">
        <f t="shared" si="399"/>
        <v>SERV. EXTERIEUR-ADMIN</v>
      </c>
      <c r="AL201" s="794">
        <f t="array" ref="AL201">IFERROR(INDEX(G201:R201,1,MATCH(Parametres!$B$3,G$1:R$1,0)-1)*IF(OR(F201="L",F201="S",F201="I"),-1,1),"")</f>
        <v>0</v>
      </c>
      <c r="AM201" s="794">
        <f t="shared" si="4"/>
        <v>0</v>
      </c>
      <c r="AN201" s="794">
        <f t="array" ref="AN201">INDEX(G201:R201,1,MATCH(Parametres!$B$3,G$1:R$1,0))*IF(OR(F201="L",F201="S",F201="I"),-1,1)</f>
        <v>0</v>
      </c>
      <c r="AO201" s="853" t="str">
        <f>+VLOOKUP($AJ201,Data_Validation!$A:$D,1,0)</f>
        <v>#N/A</v>
      </c>
      <c r="AP201" s="853" t="str">
        <f>+VLOOKUP($AJ201,Data_Validation!$A:$D,3,0)</f>
        <v>#N/A</v>
      </c>
      <c r="AQ201" s="853" t="str">
        <f>+VLOOKUP($AJ201,Data_Validation!$A:$D,4,0)</f>
        <v>#N/A</v>
      </c>
      <c r="AR201" s="853" t="s">
        <v>728</v>
      </c>
      <c r="AS201" s="853" t="str">
        <f>+VLOOKUP($AJ201,Data_Validation!$A:$E,5,0)</f>
        <v>#N/A</v>
      </c>
      <c r="AT201" s="794" t="str">
        <f t="shared" ref="AT201:AU201" si="400">C201</f>
        <v>G0699</v>
      </c>
      <c r="AU201" s="854" t="str">
        <f t="shared" si="400"/>
        <v>SERV. EXTERIEUR-ADMIN</v>
      </c>
      <c r="AV201" s="794">
        <f t="array" ref="AV201">IFERROR(INDEX(V201:AG201,1,MATCH(Parametres!$B$3,V$1:AG$1,0)-1)*IF(OR(C201="L",C201="S",C201="I"),-1,1),"")</f>
        <v>0</v>
      </c>
      <c r="AW201" s="794">
        <f t="shared" si="6"/>
        <v>0</v>
      </c>
      <c r="AX201" s="794">
        <f t="array" ref="AX201">INDEX(V201:AG201,1,MATCH(Parametres!$B$3,V$1:AG$1,0))*IF(OR(C201="L",C201="S",C201="I"),-1,1)</f>
        <v>0</v>
      </c>
      <c r="AY201" s="853" t="s">
        <v>772</v>
      </c>
      <c r="AZ201" s="853" t="str">
        <f>+VLOOKUP($AJ201,Data_Validation!$A:$E,5,0)</f>
        <v>#N/A</v>
      </c>
    </row>
    <row r="202" ht="15.0" customHeight="1">
      <c r="A202" s="849" t="s">
        <v>1239</v>
      </c>
      <c r="B202" s="849">
        <v>2026.0</v>
      </c>
      <c r="C202" s="849" t="s">
        <v>1628</v>
      </c>
      <c r="D202" s="849" t="s">
        <v>1629</v>
      </c>
      <c r="E202" s="849" t="s">
        <v>768</v>
      </c>
      <c r="F202" s="849" t="s">
        <v>1200</v>
      </c>
      <c r="G202" s="849">
        <v>0.0</v>
      </c>
      <c r="H202" s="849">
        <v>0.0</v>
      </c>
      <c r="I202" s="849">
        <v>0.0</v>
      </c>
      <c r="J202" s="849">
        <v>0.0</v>
      </c>
      <c r="K202" s="849">
        <v>0.0</v>
      </c>
      <c r="L202" s="849">
        <v>0.0</v>
      </c>
      <c r="M202" s="849">
        <v>0.0</v>
      </c>
      <c r="N202" s="849">
        <v>0.0</v>
      </c>
      <c r="O202" s="849">
        <v>0.0</v>
      </c>
      <c r="P202" s="849">
        <v>0.0</v>
      </c>
      <c r="Q202" s="849">
        <v>0.0</v>
      </c>
      <c r="R202" s="849">
        <v>0.0</v>
      </c>
      <c r="S202" s="849">
        <v>0.0</v>
      </c>
      <c r="T202" s="849">
        <v>0.0</v>
      </c>
      <c r="U202" s="849">
        <v>0.0</v>
      </c>
      <c r="V202" s="849">
        <v>0.0</v>
      </c>
      <c r="W202" s="849">
        <v>0.0</v>
      </c>
      <c r="X202" s="849">
        <v>0.0</v>
      </c>
      <c r="Y202" s="849">
        <v>0.0</v>
      </c>
      <c r="Z202" s="849">
        <v>0.0</v>
      </c>
      <c r="AA202" s="849">
        <v>0.0</v>
      </c>
      <c r="AB202" s="849">
        <v>0.0</v>
      </c>
      <c r="AC202" s="849">
        <v>0.0</v>
      </c>
      <c r="AD202" s="849">
        <v>0.0</v>
      </c>
      <c r="AE202" s="849">
        <v>0.0</v>
      </c>
      <c r="AF202" s="849">
        <v>0.0</v>
      </c>
      <c r="AG202" s="849">
        <v>0.0</v>
      </c>
      <c r="AH202" s="849">
        <v>0.0</v>
      </c>
      <c r="AI202" s="849">
        <v>0.0</v>
      </c>
      <c r="AJ202" s="794" t="str">
        <f t="shared" ref="AJ202:AK202" si="401">C202</f>
        <v>G0700</v>
      </c>
      <c r="AK202" s="794" t="str">
        <f t="shared" si="401"/>
        <v>FRAIS REPRESENT. REP</v>
      </c>
      <c r="AL202" s="794">
        <f t="array" ref="AL202">IFERROR(INDEX(G202:R202,1,MATCH(Parametres!$B$3,G$1:R$1,0)-1)*IF(OR(F202="L",F202="S",F202="I"),-1,1),"")</f>
        <v>0</v>
      </c>
      <c r="AM202" s="794">
        <f t="shared" si="4"/>
        <v>0</v>
      </c>
      <c r="AN202" s="794">
        <f t="array" ref="AN202">INDEX(G202:R202,1,MATCH(Parametres!$B$3,G$1:R$1,0))*IF(OR(F202="L",F202="S",F202="I"),-1,1)</f>
        <v>0</v>
      </c>
      <c r="AO202" s="853" t="str">
        <f>+VLOOKUP($AJ202,Data_Validation!$A:$D,1,0)</f>
        <v>#N/A</v>
      </c>
      <c r="AP202" s="853" t="str">
        <f>+VLOOKUP($AJ202,Data_Validation!$A:$D,3,0)</f>
        <v>#N/A</v>
      </c>
      <c r="AQ202" s="853" t="str">
        <f>+VLOOKUP($AJ202,Data_Validation!$A:$D,4,0)</f>
        <v>#N/A</v>
      </c>
      <c r="AR202" s="853" t="s">
        <v>728</v>
      </c>
      <c r="AS202" s="853" t="str">
        <f>+VLOOKUP($AJ202,Data_Validation!$A:$E,5,0)</f>
        <v>#N/A</v>
      </c>
      <c r="AT202" s="794" t="str">
        <f t="shared" ref="AT202:AU202" si="402">C202</f>
        <v>G0700</v>
      </c>
      <c r="AU202" s="854" t="str">
        <f t="shared" si="402"/>
        <v>FRAIS REPRESENT. REP</v>
      </c>
      <c r="AV202" s="794">
        <f t="array" ref="AV202">IFERROR(INDEX(V202:AG202,1,MATCH(Parametres!$B$3,V$1:AG$1,0)-1)*IF(OR(C202="L",C202="S",C202="I"),-1,1),"")</f>
        <v>0</v>
      </c>
      <c r="AW202" s="794">
        <f t="shared" si="6"/>
        <v>0</v>
      </c>
      <c r="AX202" s="794">
        <f t="array" ref="AX202">INDEX(V202:AG202,1,MATCH(Parametres!$B$3,V$1:AG$1,0))*IF(OR(C202="L",C202="S",C202="I"),-1,1)</f>
        <v>0</v>
      </c>
      <c r="AY202" s="853" t="s">
        <v>772</v>
      </c>
      <c r="AZ202" s="853" t="str">
        <f>+VLOOKUP($AJ202,Data_Validation!$A:$E,5,0)</f>
        <v>#N/A</v>
      </c>
    </row>
    <row r="203" ht="15.0" customHeight="1">
      <c r="A203" s="849" t="s">
        <v>1239</v>
      </c>
      <c r="B203" s="849">
        <v>2026.0</v>
      </c>
      <c r="C203" s="849" t="s">
        <v>1630</v>
      </c>
      <c r="D203" s="849" t="s">
        <v>1631</v>
      </c>
      <c r="E203" s="849" t="s">
        <v>768</v>
      </c>
      <c r="F203" s="849" t="s">
        <v>1200</v>
      </c>
      <c r="G203" s="849">
        <v>189.74</v>
      </c>
      <c r="H203" s="849">
        <v>580.18</v>
      </c>
      <c r="I203" s="849">
        <v>1190.14</v>
      </c>
      <c r="J203" s="849">
        <v>1779.0</v>
      </c>
      <c r="K203" s="849">
        <v>2278.81</v>
      </c>
      <c r="L203" s="849">
        <v>2468.8</v>
      </c>
      <c r="M203" s="849">
        <v>2901.48</v>
      </c>
      <c r="N203" s="849">
        <v>3125.87</v>
      </c>
      <c r="O203" s="849">
        <v>3246.04</v>
      </c>
      <c r="P203" s="849">
        <v>3317.39</v>
      </c>
      <c r="Q203" s="849">
        <v>0.0</v>
      </c>
      <c r="R203" s="849">
        <v>0.0</v>
      </c>
      <c r="S203" s="849">
        <v>360.67</v>
      </c>
      <c r="T203" s="849">
        <v>360.67</v>
      </c>
      <c r="U203" s="849">
        <v>0.0</v>
      </c>
      <c r="V203" s="849">
        <v>0.0</v>
      </c>
      <c r="W203" s="849">
        <v>0.0</v>
      </c>
      <c r="X203" s="849">
        <v>0.0</v>
      </c>
      <c r="Y203" s="849">
        <v>0.0</v>
      </c>
      <c r="Z203" s="849">
        <v>0.0</v>
      </c>
      <c r="AA203" s="849">
        <v>0.0</v>
      </c>
      <c r="AB203" s="849">
        <v>0.0</v>
      </c>
      <c r="AC203" s="849">
        <v>0.0</v>
      </c>
      <c r="AD203" s="849">
        <v>0.0</v>
      </c>
      <c r="AE203" s="849">
        <v>0.0</v>
      </c>
      <c r="AF203" s="849">
        <v>0.0</v>
      </c>
      <c r="AG203" s="849">
        <v>0.0</v>
      </c>
      <c r="AH203" s="849">
        <v>0.0</v>
      </c>
      <c r="AI203" s="849">
        <v>0.0</v>
      </c>
      <c r="AJ203" s="794" t="str">
        <f t="shared" ref="AJ203:AK203" si="403">C203</f>
        <v>G07000</v>
      </c>
      <c r="AK203" s="794" t="str">
        <f t="shared" si="403"/>
        <v>FR. REPRES. 50%- REPART.</v>
      </c>
      <c r="AL203" s="794">
        <f t="array" ref="AL203">IFERROR(INDEX(G203:R203,1,MATCH(Parametres!$B$3,G$1:R$1,0)-1)*IF(OR(F203="L",F203="S",F203="I"),-1,1),"")</f>
        <v>3125.87</v>
      </c>
      <c r="AM203" s="794">
        <f t="shared" si="4"/>
        <v>120.17</v>
      </c>
      <c r="AN203" s="794">
        <f t="array" ref="AN203">INDEX(G203:R203,1,MATCH(Parametres!$B$3,G$1:R$1,0))*IF(OR(F203="L",F203="S",F203="I"),-1,1)</f>
        <v>3246.04</v>
      </c>
      <c r="AO203" s="853" t="str">
        <f>+VLOOKUP($AJ203,Data_Validation!$A:$D,1,0)</f>
        <v>G07000</v>
      </c>
      <c r="AP203" s="853" t="str">
        <f>+VLOOKUP($AJ203,Data_Validation!$A:$D,3,0)</f>
        <v>Véhicules neufs</v>
      </c>
      <c r="AQ203" s="853" t="str">
        <f>+VLOOKUP($AJ203,Data_Validation!$A:$D,4,0)</f>
        <v>Frais de déplacement</v>
      </c>
      <c r="AR203" s="853" t="s">
        <v>728</v>
      </c>
      <c r="AS203" s="853" t="str">
        <f>+VLOOKUP($AJ203,Data_Validation!$A:$E,5,0)</f>
        <v/>
      </c>
      <c r="AT203" s="794" t="str">
        <f t="shared" ref="AT203:AU203" si="404">C203</f>
        <v>G07000</v>
      </c>
      <c r="AU203" s="854" t="str">
        <f t="shared" si="404"/>
        <v>FR. REPRES. 50%- REPART.</v>
      </c>
      <c r="AV203" s="794">
        <f t="array" ref="AV203">IFERROR(INDEX(V203:AG203,1,MATCH(Parametres!$B$3,V$1:AG$1,0)-1)*IF(OR(C203="L",C203="S",C203="I"),-1,1),"")</f>
        <v>0</v>
      </c>
      <c r="AW203" s="794">
        <f t="shared" si="6"/>
        <v>0</v>
      </c>
      <c r="AX203" s="794">
        <f t="array" ref="AX203">INDEX(V203:AG203,1,MATCH(Parametres!$B$3,V$1:AG$1,0))*IF(OR(C203="L",C203="S",C203="I"),-1,1)</f>
        <v>0</v>
      </c>
      <c r="AY203" s="853" t="s">
        <v>772</v>
      </c>
      <c r="AZ203" s="853" t="str">
        <f>+VLOOKUP($AJ203,Data_Validation!$A:$E,5,0)</f>
        <v/>
      </c>
    </row>
    <row r="204" ht="15.0" customHeight="1">
      <c r="A204" s="849" t="s">
        <v>1239</v>
      </c>
      <c r="B204" s="849">
        <v>2026.0</v>
      </c>
      <c r="C204" s="849" t="s">
        <v>1632</v>
      </c>
      <c r="D204" s="849" t="s">
        <v>1633</v>
      </c>
      <c r="E204" s="849" t="s">
        <v>768</v>
      </c>
      <c r="F204" s="849" t="s">
        <v>1200</v>
      </c>
      <c r="G204" s="849">
        <v>1179.97</v>
      </c>
      <c r="H204" s="849">
        <v>3796.2</v>
      </c>
      <c r="I204" s="849">
        <v>7613.92</v>
      </c>
      <c r="J204" s="849">
        <v>17437.74</v>
      </c>
      <c r="K204" s="849">
        <v>18564.23</v>
      </c>
      <c r="L204" s="849">
        <v>19117.09</v>
      </c>
      <c r="M204" s="849">
        <v>19672.13</v>
      </c>
      <c r="N204" s="849">
        <v>20531.78</v>
      </c>
      <c r="O204" s="849">
        <v>21316.3</v>
      </c>
      <c r="P204" s="849">
        <v>21371.11</v>
      </c>
      <c r="Q204" s="849">
        <v>0.0</v>
      </c>
      <c r="R204" s="849">
        <v>0.0</v>
      </c>
      <c r="S204" s="849">
        <v>2368.48</v>
      </c>
      <c r="T204" s="849">
        <v>2368.48</v>
      </c>
      <c r="U204" s="849">
        <v>0.0</v>
      </c>
      <c r="V204" s="849">
        <v>0.0</v>
      </c>
      <c r="W204" s="849">
        <v>0.0</v>
      </c>
      <c r="X204" s="849">
        <v>0.0</v>
      </c>
      <c r="Y204" s="849">
        <v>0.0</v>
      </c>
      <c r="Z204" s="849">
        <v>0.0</v>
      </c>
      <c r="AA204" s="849">
        <v>0.0</v>
      </c>
      <c r="AB204" s="849">
        <v>0.0</v>
      </c>
      <c r="AC204" s="849">
        <v>0.0</v>
      </c>
      <c r="AD204" s="849">
        <v>0.0</v>
      </c>
      <c r="AE204" s="849">
        <v>0.0</v>
      </c>
      <c r="AF204" s="849">
        <v>0.0</v>
      </c>
      <c r="AG204" s="849">
        <v>0.0</v>
      </c>
      <c r="AH204" s="849">
        <v>0.0</v>
      </c>
      <c r="AI204" s="849">
        <v>0.0</v>
      </c>
      <c r="AJ204" s="794" t="str">
        <f t="shared" ref="AJ204:AK204" si="405">C204</f>
        <v>G0701</v>
      </c>
      <c r="AK204" s="794" t="str">
        <f t="shared" si="405"/>
        <v>FRAIS REPRES.-NEUFS</v>
      </c>
      <c r="AL204" s="794">
        <f t="array" ref="AL204">IFERROR(INDEX(G204:R204,1,MATCH(Parametres!$B$3,G$1:R$1,0)-1)*IF(OR(F204="L",F204="S",F204="I"),-1,1),"")</f>
        <v>20531.78</v>
      </c>
      <c r="AM204" s="794">
        <f t="shared" si="4"/>
        <v>784.52</v>
      </c>
      <c r="AN204" s="794">
        <f t="array" ref="AN204">INDEX(G204:R204,1,MATCH(Parametres!$B$3,G$1:R$1,0))*IF(OR(F204="L",F204="S",F204="I"),-1,1)</f>
        <v>21316.3</v>
      </c>
      <c r="AO204" s="853" t="str">
        <f>+VLOOKUP($AJ204,Data_Validation!$A:$D,1,0)</f>
        <v>G0701</v>
      </c>
      <c r="AP204" s="853" t="str">
        <f>+VLOOKUP($AJ204,Data_Validation!$A:$D,3,0)</f>
        <v>Véhicules neufs</v>
      </c>
      <c r="AQ204" s="853" t="str">
        <f>+VLOOKUP($AJ204,Data_Validation!$A:$D,4,0)</f>
        <v>Frais de déplacement</v>
      </c>
      <c r="AR204" s="853" t="s">
        <v>728</v>
      </c>
      <c r="AS204" s="853" t="str">
        <f>+VLOOKUP($AJ204,Data_Validation!$A:$E,5,0)</f>
        <v/>
      </c>
      <c r="AT204" s="794" t="str">
        <f t="shared" ref="AT204:AU204" si="406">C204</f>
        <v>G0701</v>
      </c>
      <c r="AU204" s="854" t="str">
        <f t="shared" si="406"/>
        <v>FRAIS REPRES.-NEUFS</v>
      </c>
      <c r="AV204" s="794">
        <f t="array" ref="AV204">IFERROR(INDEX(V204:AG204,1,MATCH(Parametres!$B$3,V$1:AG$1,0)-1)*IF(OR(C204="L",C204="S",C204="I"),-1,1),"")</f>
        <v>0</v>
      </c>
      <c r="AW204" s="794">
        <f t="shared" si="6"/>
        <v>0</v>
      </c>
      <c r="AX204" s="794">
        <f t="array" ref="AX204">INDEX(V204:AG204,1,MATCH(Parametres!$B$3,V$1:AG$1,0))*IF(OR(C204="L",C204="S",C204="I"),-1,1)</f>
        <v>0</v>
      </c>
      <c r="AY204" s="853" t="s">
        <v>772</v>
      </c>
      <c r="AZ204" s="853" t="str">
        <f>+VLOOKUP($AJ204,Data_Validation!$A:$E,5,0)</f>
        <v/>
      </c>
    </row>
    <row r="205" ht="15.0" customHeight="1">
      <c r="A205" s="849" t="s">
        <v>1239</v>
      </c>
      <c r="B205" s="849">
        <v>2026.0</v>
      </c>
      <c r="C205" s="849" t="s">
        <v>1634</v>
      </c>
      <c r="D205" s="849" t="s">
        <v>1635</v>
      </c>
      <c r="E205" s="849" t="s">
        <v>768</v>
      </c>
      <c r="F205" s="849" t="s">
        <v>1200</v>
      </c>
      <c r="G205" s="849">
        <v>134.44</v>
      </c>
      <c r="H205" s="849">
        <v>150.18</v>
      </c>
      <c r="I205" s="849">
        <v>150.18</v>
      </c>
      <c r="J205" s="849">
        <v>348.27</v>
      </c>
      <c r="K205" s="849">
        <v>348.27</v>
      </c>
      <c r="L205" s="849">
        <v>348.27</v>
      </c>
      <c r="M205" s="849">
        <v>348.27</v>
      </c>
      <c r="N205" s="849">
        <v>348.27</v>
      </c>
      <c r="O205" s="849">
        <v>348.27</v>
      </c>
      <c r="P205" s="849">
        <v>932.45</v>
      </c>
      <c r="Q205" s="849">
        <v>0.0</v>
      </c>
      <c r="R205" s="849">
        <v>0.0</v>
      </c>
      <c r="S205" s="849">
        <v>38.7</v>
      </c>
      <c r="T205" s="849">
        <v>38.7</v>
      </c>
      <c r="U205" s="849">
        <v>0.0</v>
      </c>
      <c r="V205" s="849">
        <v>0.0</v>
      </c>
      <c r="W205" s="849">
        <v>0.0</v>
      </c>
      <c r="X205" s="849">
        <v>0.0</v>
      </c>
      <c r="Y205" s="849">
        <v>0.0</v>
      </c>
      <c r="Z205" s="849">
        <v>0.0</v>
      </c>
      <c r="AA205" s="849">
        <v>0.0</v>
      </c>
      <c r="AB205" s="849">
        <v>0.0</v>
      </c>
      <c r="AC205" s="849">
        <v>0.0</v>
      </c>
      <c r="AD205" s="849">
        <v>0.0</v>
      </c>
      <c r="AE205" s="849">
        <v>0.0</v>
      </c>
      <c r="AF205" s="849">
        <v>0.0</v>
      </c>
      <c r="AG205" s="849">
        <v>0.0</v>
      </c>
      <c r="AH205" s="849">
        <v>0.0</v>
      </c>
      <c r="AI205" s="849">
        <v>0.0</v>
      </c>
      <c r="AJ205" s="794" t="str">
        <f t="shared" ref="AJ205:AK205" si="407">C205</f>
        <v>G07011</v>
      </c>
      <c r="AK205" s="794" t="str">
        <f t="shared" si="407"/>
        <v>FR.REPRES 50% NEUF</v>
      </c>
      <c r="AL205" s="794">
        <f t="array" ref="AL205">IFERROR(INDEX(G205:R205,1,MATCH(Parametres!$B$3,G$1:R$1,0)-1)*IF(OR(F205="L",F205="S",F205="I"),-1,1),"")</f>
        <v>348.27</v>
      </c>
      <c r="AM205" s="794">
        <f t="shared" si="4"/>
        <v>0</v>
      </c>
      <c r="AN205" s="794">
        <f t="array" ref="AN205">INDEX(G205:R205,1,MATCH(Parametres!$B$3,G$1:R$1,0))*IF(OR(F205="L",F205="S",F205="I"),-1,1)</f>
        <v>348.27</v>
      </c>
      <c r="AO205" s="853" t="str">
        <f>+VLOOKUP($AJ205,Data_Validation!$A:$D,1,0)</f>
        <v>G07011</v>
      </c>
      <c r="AP205" s="853" t="str">
        <f>+VLOOKUP($AJ205,Data_Validation!$A:$D,3,0)</f>
        <v>Véhicules neufs</v>
      </c>
      <c r="AQ205" s="853" t="str">
        <f>+VLOOKUP($AJ205,Data_Validation!$A:$D,4,0)</f>
        <v>Frais de déplacement</v>
      </c>
      <c r="AR205" s="853" t="s">
        <v>728</v>
      </c>
      <c r="AS205" s="853" t="str">
        <f>+VLOOKUP($AJ205,Data_Validation!$A:$E,5,0)</f>
        <v/>
      </c>
      <c r="AT205" s="794" t="str">
        <f t="shared" ref="AT205:AU205" si="408">C205</f>
        <v>G07011</v>
      </c>
      <c r="AU205" s="854" t="str">
        <f t="shared" si="408"/>
        <v>FR.REPRES 50% NEUF</v>
      </c>
      <c r="AV205" s="794">
        <f t="array" ref="AV205">IFERROR(INDEX(V205:AG205,1,MATCH(Parametres!$B$3,V$1:AG$1,0)-1)*IF(OR(C205="L",C205="S",C205="I"),-1,1),"")</f>
        <v>0</v>
      </c>
      <c r="AW205" s="794">
        <f t="shared" si="6"/>
        <v>0</v>
      </c>
      <c r="AX205" s="794">
        <f t="array" ref="AX205">INDEX(V205:AG205,1,MATCH(Parametres!$B$3,V$1:AG$1,0))*IF(OR(C205="L",C205="S",C205="I"),-1,1)</f>
        <v>0</v>
      </c>
      <c r="AY205" s="853" t="s">
        <v>772</v>
      </c>
      <c r="AZ205" s="853" t="str">
        <f>+VLOOKUP($AJ205,Data_Validation!$A:$E,5,0)</f>
        <v/>
      </c>
    </row>
    <row r="206" ht="15.75" customHeight="1">
      <c r="A206" s="849" t="s">
        <v>1239</v>
      </c>
      <c r="B206" s="849">
        <v>2026.0</v>
      </c>
      <c r="C206" s="849" t="s">
        <v>1636</v>
      </c>
      <c r="D206" s="849" t="s">
        <v>1637</v>
      </c>
      <c r="E206" s="849" t="s">
        <v>768</v>
      </c>
      <c r="F206" s="849" t="s">
        <v>1200</v>
      </c>
      <c r="G206" s="849">
        <v>738.38</v>
      </c>
      <c r="H206" s="849">
        <v>2482.53</v>
      </c>
      <c r="I206" s="849">
        <v>5027.67</v>
      </c>
      <c r="J206" s="849">
        <v>11576.87</v>
      </c>
      <c r="K206" s="849">
        <v>12327.86</v>
      </c>
      <c r="L206" s="849">
        <v>12696.43</v>
      </c>
      <c r="M206" s="849">
        <v>13066.45</v>
      </c>
      <c r="N206" s="849">
        <v>13623.83</v>
      </c>
      <c r="O206" s="849">
        <v>14063.22</v>
      </c>
      <c r="P206" s="849">
        <v>14099.76</v>
      </c>
      <c r="Q206" s="849">
        <v>0.0</v>
      </c>
      <c r="R206" s="849">
        <v>0.0</v>
      </c>
      <c r="S206" s="849">
        <v>1562.58</v>
      </c>
      <c r="T206" s="849">
        <v>1562.58</v>
      </c>
      <c r="U206" s="849">
        <v>0.0</v>
      </c>
      <c r="V206" s="849">
        <v>0.0</v>
      </c>
      <c r="W206" s="849">
        <v>0.0</v>
      </c>
      <c r="X206" s="849">
        <v>0.0</v>
      </c>
      <c r="Y206" s="849">
        <v>0.0</v>
      </c>
      <c r="Z206" s="849">
        <v>0.0</v>
      </c>
      <c r="AA206" s="849">
        <v>0.0</v>
      </c>
      <c r="AB206" s="849">
        <v>0.0</v>
      </c>
      <c r="AC206" s="849">
        <v>0.0</v>
      </c>
      <c r="AD206" s="849">
        <v>0.0</v>
      </c>
      <c r="AE206" s="849">
        <v>0.0</v>
      </c>
      <c r="AF206" s="849">
        <v>0.0</v>
      </c>
      <c r="AG206" s="849">
        <v>0.0</v>
      </c>
      <c r="AH206" s="849">
        <v>0.0</v>
      </c>
      <c r="AI206" s="849">
        <v>0.0</v>
      </c>
      <c r="AJ206" s="794" t="str">
        <f t="shared" ref="AJ206:AK206" si="409">C206</f>
        <v>G0702</v>
      </c>
      <c r="AK206" s="794" t="str">
        <f t="shared" si="409"/>
        <v>FRAIS REPRES.-USAGES</v>
      </c>
      <c r="AL206" s="794">
        <f t="array" ref="AL206">IFERROR(INDEX(G206:R206,1,MATCH(Parametres!$B$3,G$1:R$1,0)-1)*IF(OR(F206="L",F206="S",F206="I"),-1,1),"")</f>
        <v>13623.83</v>
      </c>
      <c r="AM206" s="794">
        <f t="shared" si="4"/>
        <v>439.39</v>
      </c>
      <c r="AN206" s="794">
        <f t="array" ref="AN206">INDEX(G206:R206,1,MATCH(Parametres!$B$3,G$1:R$1,0))*IF(OR(F206="L",F206="S",F206="I"),-1,1)</f>
        <v>14063.22</v>
      </c>
      <c r="AO206" s="853" t="str">
        <f>+VLOOKUP($AJ206,Data_Validation!$A:$D,1,0)</f>
        <v>G0702</v>
      </c>
      <c r="AP206" s="853" t="str">
        <f>+VLOOKUP($AJ206,Data_Validation!$A:$D,3,0)</f>
        <v>Véhicules usagés</v>
      </c>
      <c r="AQ206" s="853" t="str">
        <f>+VLOOKUP($AJ206,Data_Validation!$A:$D,4,0)</f>
        <v>Frais de déplacement</v>
      </c>
      <c r="AR206" s="853" t="s">
        <v>728</v>
      </c>
      <c r="AS206" s="853" t="str">
        <f>+VLOOKUP($AJ206,Data_Validation!$A:$E,5,0)</f>
        <v/>
      </c>
      <c r="AT206" s="794" t="str">
        <f t="shared" ref="AT206:AU206" si="410">C206</f>
        <v>G0702</v>
      </c>
      <c r="AU206" s="854" t="str">
        <f t="shared" si="410"/>
        <v>FRAIS REPRES.-USAGES</v>
      </c>
      <c r="AV206" s="794">
        <f t="array" ref="AV206">IFERROR(INDEX(V206:AG206,1,MATCH(Parametres!$B$3,V$1:AG$1,0)-1)*IF(OR(C206="L",C206="S",C206="I"),-1,1),"")</f>
        <v>0</v>
      </c>
      <c r="AW206" s="794">
        <f t="shared" si="6"/>
        <v>0</v>
      </c>
      <c r="AX206" s="794">
        <f t="array" ref="AX206">INDEX(V206:AG206,1,MATCH(Parametres!$B$3,V$1:AG$1,0))*IF(OR(C206="L",C206="S",C206="I"),-1,1)</f>
        <v>0</v>
      </c>
      <c r="AY206" s="853" t="s">
        <v>772</v>
      </c>
      <c r="AZ206" s="853" t="str">
        <f>+VLOOKUP($AJ206,Data_Validation!$A:$E,5,0)</f>
        <v/>
      </c>
    </row>
    <row r="207" ht="15.0" customHeight="1">
      <c r="A207" s="849" t="s">
        <v>1239</v>
      </c>
      <c r="B207" s="849">
        <v>2026.0</v>
      </c>
      <c r="C207" s="849" t="s">
        <v>1638</v>
      </c>
      <c r="D207" s="849" t="s">
        <v>1639</v>
      </c>
      <c r="E207" s="849" t="s">
        <v>768</v>
      </c>
      <c r="F207" s="849" t="s">
        <v>1200</v>
      </c>
      <c r="G207" s="849">
        <v>0.0</v>
      </c>
      <c r="H207" s="849">
        <v>0.0</v>
      </c>
      <c r="I207" s="849">
        <v>0.0</v>
      </c>
      <c r="J207" s="849">
        <v>0.0</v>
      </c>
      <c r="K207" s="849">
        <v>0.0</v>
      </c>
      <c r="L207" s="849">
        <v>0.0</v>
      </c>
      <c r="M207" s="849">
        <v>0.0</v>
      </c>
      <c r="N207" s="849">
        <v>0.0</v>
      </c>
      <c r="O207" s="849">
        <v>0.0</v>
      </c>
      <c r="P207" s="849">
        <v>0.0</v>
      </c>
      <c r="Q207" s="849">
        <v>0.0</v>
      </c>
      <c r="R207" s="849">
        <v>0.0</v>
      </c>
      <c r="S207" s="849">
        <v>0.0</v>
      </c>
      <c r="T207" s="849">
        <v>0.0</v>
      </c>
      <c r="U207" s="849">
        <v>0.0</v>
      </c>
      <c r="V207" s="849">
        <v>0.0</v>
      </c>
      <c r="W207" s="849">
        <v>0.0</v>
      </c>
      <c r="X207" s="849">
        <v>0.0</v>
      </c>
      <c r="Y207" s="849">
        <v>0.0</v>
      </c>
      <c r="Z207" s="849">
        <v>0.0</v>
      </c>
      <c r="AA207" s="849">
        <v>0.0</v>
      </c>
      <c r="AB207" s="849">
        <v>0.0</v>
      </c>
      <c r="AC207" s="849">
        <v>0.0</v>
      </c>
      <c r="AD207" s="849">
        <v>0.0</v>
      </c>
      <c r="AE207" s="849">
        <v>0.0</v>
      </c>
      <c r="AF207" s="849">
        <v>0.0</v>
      </c>
      <c r="AG207" s="849">
        <v>0.0</v>
      </c>
      <c r="AH207" s="849">
        <v>0.0</v>
      </c>
      <c r="AI207" s="849">
        <v>0.0</v>
      </c>
      <c r="AJ207" s="794" t="str">
        <f t="shared" ref="AJ207:AK207" si="411">C207</f>
        <v>G07022</v>
      </c>
      <c r="AK207" s="794" t="str">
        <f t="shared" si="411"/>
        <v>FR.REPRES 50% USAGE</v>
      </c>
      <c r="AL207" s="794">
        <f t="array" ref="AL207">IFERROR(INDEX(G207:R207,1,MATCH(Parametres!$B$3,G$1:R$1,0)-1)*IF(OR(F207="L",F207="S",F207="I"),-1,1),"")</f>
        <v>0</v>
      </c>
      <c r="AM207" s="794">
        <f t="shared" si="4"/>
        <v>0</v>
      </c>
      <c r="AN207" s="794">
        <f t="array" ref="AN207">INDEX(G207:R207,1,MATCH(Parametres!$B$3,G$1:R$1,0))*IF(OR(F207="L",F207="S",F207="I"),-1,1)</f>
        <v>0</v>
      </c>
      <c r="AO207" s="853" t="str">
        <f>+VLOOKUP($AJ207,Data_Validation!$A:$D,1,0)</f>
        <v>G07022</v>
      </c>
      <c r="AP207" s="853" t="str">
        <f>+VLOOKUP($AJ207,Data_Validation!$A:$D,3,0)</f>
        <v>Véhicules usagés</v>
      </c>
      <c r="AQ207" s="853" t="str">
        <f>+VLOOKUP($AJ207,Data_Validation!$A:$D,4,0)</f>
        <v>Frais de déplacement</v>
      </c>
      <c r="AR207" s="853" t="s">
        <v>728</v>
      </c>
      <c r="AS207" s="853" t="str">
        <f>+VLOOKUP($AJ207,Data_Validation!$A:$E,5,0)</f>
        <v/>
      </c>
      <c r="AT207" s="794" t="str">
        <f t="shared" ref="AT207:AU207" si="412">C207</f>
        <v>G07022</v>
      </c>
      <c r="AU207" s="854" t="str">
        <f t="shared" si="412"/>
        <v>FR.REPRES 50% USAGE</v>
      </c>
      <c r="AV207" s="794">
        <f t="array" ref="AV207">IFERROR(INDEX(V207:AG207,1,MATCH(Parametres!$B$3,V$1:AG$1,0)-1)*IF(OR(C207="L",C207="S",C207="I"),-1,1),"")</f>
        <v>0</v>
      </c>
      <c r="AW207" s="794">
        <f t="shared" si="6"/>
        <v>0</v>
      </c>
      <c r="AX207" s="794">
        <f t="array" ref="AX207">INDEX(V207:AG207,1,MATCH(Parametres!$B$3,V$1:AG$1,0))*IF(OR(C207="L",C207="S",C207="I"),-1,1)</f>
        <v>0</v>
      </c>
      <c r="AY207" s="853" t="s">
        <v>772</v>
      </c>
      <c r="AZ207" s="853" t="str">
        <f>+VLOOKUP($AJ207,Data_Validation!$A:$E,5,0)</f>
        <v/>
      </c>
    </row>
    <row r="208" ht="15.0" customHeight="1">
      <c r="A208" s="849" t="s">
        <v>1239</v>
      </c>
      <c r="B208" s="849">
        <v>2026.0</v>
      </c>
      <c r="C208" s="849" t="s">
        <v>1640</v>
      </c>
      <c r="D208" s="849" t="s">
        <v>1641</v>
      </c>
      <c r="E208" s="849" t="s">
        <v>768</v>
      </c>
      <c r="F208" s="849" t="s">
        <v>1200</v>
      </c>
      <c r="G208" s="849">
        <v>0.0</v>
      </c>
      <c r="H208" s="849">
        <v>2036.72</v>
      </c>
      <c r="I208" s="849">
        <v>2036.72</v>
      </c>
      <c r="J208" s="849">
        <v>2036.72</v>
      </c>
      <c r="K208" s="849">
        <v>2514.28</v>
      </c>
      <c r="L208" s="849">
        <v>2514.28</v>
      </c>
      <c r="M208" s="849">
        <v>2514.28</v>
      </c>
      <c r="N208" s="849">
        <v>2514.28</v>
      </c>
      <c r="O208" s="849">
        <v>2514.28</v>
      </c>
      <c r="P208" s="849">
        <v>2514.28</v>
      </c>
      <c r="Q208" s="849">
        <v>0.0</v>
      </c>
      <c r="R208" s="849">
        <v>0.0</v>
      </c>
      <c r="S208" s="849">
        <v>279.36</v>
      </c>
      <c r="T208" s="849">
        <v>279.36</v>
      </c>
      <c r="U208" s="849">
        <v>0.0</v>
      </c>
      <c r="V208" s="849">
        <v>0.0</v>
      </c>
      <c r="W208" s="849">
        <v>0.0</v>
      </c>
      <c r="X208" s="849">
        <v>0.0</v>
      </c>
      <c r="Y208" s="849">
        <v>0.0</v>
      </c>
      <c r="Z208" s="849">
        <v>0.0</v>
      </c>
      <c r="AA208" s="849">
        <v>0.0</v>
      </c>
      <c r="AB208" s="849">
        <v>0.0</v>
      </c>
      <c r="AC208" s="849">
        <v>0.0</v>
      </c>
      <c r="AD208" s="849">
        <v>0.0</v>
      </c>
      <c r="AE208" s="849">
        <v>0.0</v>
      </c>
      <c r="AF208" s="849">
        <v>0.0</v>
      </c>
      <c r="AG208" s="849">
        <v>0.0</v>
      </c>
      <c r="AH208" s="849">
        <v>0.0</v>
      </c>
      <c r="AI208" s="849">
        <v>0.0</v>
      </c>
      <c r="AJ208" s="794" t="str">
        <f t="shared" ref="AJ208:AK208" si="413">C208</f>
        <v>G0703</v>
      </c>
      <c r="AK208" s="794" t="str">
        <f t="shared" si="413"/>
        <v>FRAIS REPRESENT. U.S.A</v>
      </c>
      <c r="AL208" s="794">
        <f t="array" ref="AL208">IFERROR(INDEX(G208:R208,1,MATCH(Parametres!$B$3,G$1:R$1,0)-1)*IF(OR(F208="L",F208="S",F208="I"),-1,1),"")</f>
        <v>2514.28</v>
      </c>
      <c r="AM208" s="794">
        <f t="shared" si="4"/>
        <v>0</v>
      </c>
      <c r="AN208" s="794">
        <f t="array" ref="AN208">INDEX(G208:R208,1,MATCH(Parametres!$B$3,G$1:R$1,0))*IF(OR(F208="L",F208="S",F208="I"),-1,1)</f>
        <v>2514.28</v>
      </c>
      <c r="AO208" s="853" t="str">
        <f>+VLOOKUP($AJ208,Data_Validation!$A:$D,1,0)</f>
        <v>G0703</v>
      </c>
      <c r="AP208" s="853" t="str">
        <f>+VLOOKUP($AJ208,Data_Validation!$A:$D,3,0)</f>
        <v>Wholesale autres</v>
      </c>
      <c r="AQ208" s="853" t="str">
        <f>+VLOOKUP($AJ208,Data_Validation!$A:$D,4,0)</f>
        <v>Frais de déplacement</v>
      </c>
      <c r="AR208" s="853" t="s">
        <v>728</v>
      </c>
      <c r="AS208" s="853" t="str">
        <f>+VLOOKUP($AJ208,Data_Validation!$A:$E,5,0)</f>
        <v/>
      </c>
      <c r="AT208" s="794" t="str">
        <f t="shared" ref="AT208:AU208" si="414">C208</f>
        <v>G0703</v>
      </c>
      <c r="AU208" s="854" t="str">
        <f t="shared" si="414"/>
        <v>FRAIS REPRESENT. U.S.A</v>
      </c>
      <c r="AV208" s="794">
        <f t="array" ref="AV208">IFERROR(INDEX(V208:AG208,1,MATCH(Parametres!$B$3,V$1:AG$1,0)-1)*IF(OR(C208="L",C208="S",C208="I"),-1,1),"")</f>
        <v>0</v>
      </c>
      <c r="AW208" s="794">
        <f t="shared" si="6"/>
        <v>0</v>
      </c>
      <c r="AX208" s="794">
        <f t="array" ref="AX208">INDEX(V208:AG208,1,MATCH(Parametres!$B$3,V$1:AG$1,0))*IF(OR(C208="L",C208="S",C208="I"),-1,1)</f>
        <v>0</v>
      </c>
      <c r="AY208" s="853" t="s">
        <v>772</v>
      </c>
      <c r="AZ208" s="853" t="str">
        <f>+VLOOKUP($AJ208,Data_Validation!$A:$E,5,0)</f>
        <v/>
      </c>
    </row>
    <row r="209" ht="15.0" customHeight="1">
      <c r="A209" s="849" t="s">
        <v>1239</v>
      </c>
      <c r="B209" s="849">
        <v>2026.0</v>
      </c>
      <c r="C209" s="849" t="s">
        <v>1642</v>
      </c>
      <c r="D209" s="849" t="s">
        <v>1643</v>
      </c>
      <c r="E209" s="849" t="s">
        <v>768</v>
      </c>
      <c r="F209" s="849" t="s">
        <v>1200</v>
      </c>
      <c r="G209" s="849">
        <v>0.0</v>
      </c>
      <c r="H209" s="849">
        <v>0.0</v>
      </c>
      <c r="I209" s="849">
        <v>0.0</v>
      </c>
      <c r="J209" s="849">
        <v>0.0</v>
      </c>
      <c r="K209" s="849">
        <v>0.0</v>
      </c>
      <c r="L209" s="849">
        <v>0.0</v>
      </c>
      <c r="M209" s="849">
        <v>0.0</v>
      </c>
      <c r="N209" s="849">
        <v>0.0</v>
      </c>
      <c r="O209" s="849">
        <v>0.0</v>
      </c>
      <c r="P209" s="849">
        <v>0.0</v>
      </c>
      <c r="Q209" s="849">
        <v>0.0</v>
      </c>
      <c r="R209" s="849">
        <v>0.0</v>
      </c>
      <c r="S209" s="849">
        <v>0.0</v>
      </c>
      <c r="T209" s="849">
        <v>0.0</v>
      </c>
      <c r="U209" s="849">
        <v>0.0</v>
      </c>
      <c r="V209" s="849">
        <v>0.0</v>
      </c>
      <c r="W209" s="849">
        <v>0.0</v>
      </c>
      <c r="X209" s="849">
        <v>0.0</v>
      </c>
      <c r="Y209" s="849">
        <v>0.0</v>
      </c>
      <c r="Z209" s="849">
        <v>0.0</v>
      </c>
      <c r="AA209" s="849">
        <v>0.0</v>
      </c>
      <c r="AB209" s="849">
        <v>0.0</v>
      </c>
      <c r="AC209" s="849">
        <v>0.0</v>
      </c>
      <c r="AD209" s="849">
        <v>0.0</v>
      </c>
      <c r="AE209" s="849">
        <v>0.0</v>
      </c>
      <c r="AF209" s="849">
        <v>0.0</v>
      </c>
      <c r="AG209" s="849">
        <v>0.0</v>
      </c>
      <c r="AH209" s="849">
        <v>0.0</v>
      </c>
      <c r="AI209" s="849">
        <v>0.0</v>
      </c>
      <c r="AJ209" s="794" t="str">
        <f t="shared" ref="AJ209:AK209" si="415">C209</f>
        <v>G07033</v>
      </c>
      <c r="AK209" s="794" t="str">
        <f t="shared" si="415"/>
        <v>FR. REPRES. 50%- U.S.A</v>
      </c>
      <c r="AL209" s="794">
        <f t="array" ref="AL209">IFERROR(INDEX(G209:R209,1,MATCH(Parametres!$B$3,G$1:R$1,0)-1)*IF(OR(F209="L",F209="S",F209="I"),-1,1),"")</f>
        <v>0</v>
      </c>
      <c r="AM209" s="794">
        <f t="shared" si="4"/>
        <v>0</v>
      </c>
      <c r="AN209" s="794">
        <f t="array" ref="AN209">INDEX(G209:R209,1,MATCH(Parametres!$B$3,G$1:R$1,0))*IF(OR(F209="L",F209="S",F209="I"),-1,1)</f>
        <v>0</v>
      </c>
      <c r="AO209" s="853" t="str">
        <f>+VLOOKUP($AJ209,Data_Validation!$A:$D,1,0)</f>
        <v>G07033</v>
      </c>
      <c r="AP209" s="853" t="str">
        <f>+VLOOKUP($AJ209,Data_Validation!$A:$D,3,0)</f>
        <v>Wholesale autres</v>
      </c>
      <c r="AQ209" s="853" t="str">
        <f>+VLOOKUP($AJ209,Data_Validation!$A:$D,4,0)</f>
        <v>Frais de déplacement</v>
      </c>
      <c r="AR209" s="853" t="s">
        <v>728</v>
      </c>
      <c r="AS209" s="853" t="str">
        <f>+VLOOKUP($AJ209,Data_Validation!$A:$E,5,0)</f>
        <v/>
      </c>
      <c r="AT209" s="794" t="str">
        <f t="shared" ref="AT209:AU209" si="416">C209</f>
        <v>G07033</v>
      </c>
      <c r="AU209" s="854" t="str">
        <f t="shared" si="416"/>
        <v>FR. REPRES. 50%- U.S.A</v>
      </c>
      <c r="AV209" s="794">
        <f t="array" ref="AV209">IFERROR(INDEX(V209:AG209,1,MATCH(Parametres!$B$3,V$1:AG$1,0)-1)*IF(OR(C209="L",C209="S",C209="I"),-1,1),"")</f>
        <v>0</v>
      </c>
      <c r="AW209" s="794">
        <f t="shared" si="6"/>
        <v>0</v>
      </c>
      <c r="AX209" s="794">
        <f t="array" ref="AX209">INDEX(V209:AG209,1,MATCH(Parametres!$B$3,V$1:AG$1,0))*IF(OR(C209="L",C209="S",C209="I"),-1,1)</f>
        <v>0</v>
      </c>
      <c r="AY209" s="853" t="s">
        <v>772</v>
      </c>
      <c r="AZ209" s="853" t="str">
        <f>+VLOOKUP($AJ209,Data_Validation!$A:$E,5,0)</f>
        <v/>
      </c>
    </row>
    <row r="210" ht="15.0" customHeight="1">
      <c r="A210" s="849" t="s">
        <v>1239</v>
      </c>
      <c r="B210" s="849">
        <v>2026.0</v>
      </c>
      <c r="C210" s="849" t="s">
        <v>1644</v>
      </c>
      <c r="D210" s="849" t="s">
        <v>1645</v>
      </c>
      <c r="E210" s="849" t="s">
        <v>768</v>
      </c>
      <c r="F210" s="849" t="s">
        <v>1200</v>
      </c>
      <c r="G210" s="849">
        <v>1107.57</v>
      </c>
      <c r="H210" s="849">
        <v>3723.8</v>
      </c>
      <c r="I210" s="849">
        <v>7667.56</v>
      </c>
      <c r="J210" s="849">
        <v>17491.38</v>
      </c>
      <c r="K210" s="849">
        <v>18617.87</v>
      </c>
      <c r="L210" s="849">
        <v>19170.73</v>
      </c>
      <c r="M210" s="849">
        <v>19725.77</v>
      </c>
      <c r="N210" s="849">
        <v>20561.84</v>
      </c>
      <c r="O210" s="849">
        <v>21281.79</v>
      </c>
      <c r="P210" s="849">
        <v>21336.6</v>
      </c>
      <c r="Q210" s="849">
        <v>0.0</v>
      </c>
      <c r="R210" s="849">
        <v>0.0</v>
      </c>
      <c r="S210" s="849">
        <v>2364.64</v>
      </c>
      <c r="T210" s="849">
        <v>2364.64</v>
      </c>
      <c r="U210" s="849">
        <v>0.0</v>
      </c>
      <c r="V210" s="849">
        <v>0.0</v>
      </c>
      <c r="W210" s="849">
        <v>0.0</v>
      </c>
      <c r="X210" s="849">
        <v>0.0</v>
      </c>
      <c r="Y210" s="849">
        <v>0.0</v>
      </c>
      <c r="Z210" s="849">
        <v>0.0</v>
      </c>
      <c r="AA210" s="849">
        <v>0.0</v>
      </c>
      <c r="AB210" s="849">
        <v>0.0</v>
      </c>
      <c r="AC210" s="849">
        <v>0.0</v>
      </c>
      <c r="AD210" s="849">
        <v>0.0</v>
      </c>
      <c r="AE210" s="849">
        <v>0.0</v>
      </c>
      <c r="AF210" s="849">
        <v>0.0</v>
      </c>
      <c r="AG210" s="849">
        <v>0.0</v>
      </c>
      <c r="AH210" s="849">
        <v>0.0</v>
      </c>
      <c r="AI210" s="849">
        <v>0.0</v>
      </c>
      <c r="AJ210" s="794" t="str">
        <f t="shared" ref="AJ210:AK210" si="417">C210</f>
        <v>G0704</v>
      </c>
      <c r="AK210" s="794" t="str">
        <f t="shared" si="417"/>
        <v>FRAIS REPRES.-SERVICE</v>
      </c>
      <c r="AL210" s="794">
        <f t="array" ref="AL210">IFERROR(INDEX(G210:R210,1,MATCH(Parametres!$B$3,G$1:R$1,0)-1)*IF(OR(F210="L",F210="S",F210="I"),-1,1),"")</f>
        <v>20561.84</v>
      </c>
      <c r="AM210" s="794">
        <f t="shared" si="4"/>
        <v>719.95</v>
      </c>
      <c r="AN210" s="794">
        <f t="array" ref="AN210">INDEX(G210:R210,1,MATCH(Parametres!$B$3,G$1:R$1,0))*IF(OR(F210="L",F210="S",F210="I"),-1,1)</f>
        <v>21281.79</v>
      </c>
      <c r="AO210" s="853" t="str">
        <f>+VLOOKUP($AJ210,Data_Validation!$A:$D,1,0)</f>
        <v>G0704</v>
      </c>
      <c r="AP210" s="853" t="str">
        <f>+VLOOKUP($AJ210,Data_Validation!$A:$D,3,0)</f>
        <v>Service</v>
      </c>
      <c r="AQ210" s="853" t="str">
        <f>+VLOOKUP($AJ210,Data_Validation!$A:$D,4,0)</f>
        <v>Frais de déplacement</v>
      </c>
      <c r="AR210" s="853" t="s">
        <v>728</v>
      </c>
      <c r="AS210" s="853" t="str">
        <f>+VLOOKUP($AJ210,Data_Validation!$A:$E,5,0)</f>
        <v/>
      </c>
      <c r="AT210" s="794" t="str">
        <f t="shared" ref="AT210:AU210" si="418">C210</f>
        <v>G0704</v>
      </c>
      <c r="AU210" s="854" t="str">
        <f t="shared" si="418"/>
        <v>FRAIS REPRES.-SERVICE</v>
      </c>
      <c r="AV210" s="794">
        <f t="array" ref="AV210">IFERROR(INDEX(V210:AG210,1,MATCH(Parametres!$B$3,V$1:AG$1,0)-1)*IF(OR(C210="L",C210="S",C210="I"),-1,1),"")</f>
        <v>0</v>
      </c>
      <c r="AW210" s="794">
        <f t="shared" si="6"/>
        <v>0</v>
      </c>
      <c r="AX210" s="794">
        <f t="array" ref="AX210">INDEX(V210:AG210,1,MATCH(Parametres!$B$3,V$1:AG$1,0))*IF(OR(C210="L",C210="S",C210="I"),-1,1)</f>
        <v>0</v>
      </c>
      <c r="AY210" s="853" t="s">
        <v>772</v>
      </c>
      <c r="AZ210" s="853" t="str">
        <f>+VLOOKUP($AJ210,Data_Validation!$A:$E,5,0)</f>
        <v/>
      </c>
    </row>
    <row r="211" ht="15.75" customHeight="1">
      <c r="A211" s="849" t="s">
        <v>1239</v>
      </c>
      <c r="B211" s="849">
        <v>2026.0</v>
      </c>
      <c r="C211" s="849" t="s">
        <v>1646</v>
      </c>
      <c r="D211" s="849" t="s">
        <v>1647</v>
      </c>
      <c r="E211" s="849" t="s">
        <v>768</v>
      </c>
      <c r="F211" s="849" t="s">
        <v>1200</v>
      </c>
      <c r="G211" s="849">
        <v>0.0</v>
      </c>
      <c r="H211" s="849">
        <v>71.42</v>
      </c>
      <c r="I211" s="849">
        <v>168.42</v>
      </c>
      <c r="J211" s="849">
        <v>168.42</v>
      </c>
      <c r="K211" s="849">
        <v>168.42</v>
      </c>
      <c r="L211" s="849">
        <v>168.42</v>
      </c>
      <c r="M211" s="849">
        <v>168.42</v>
      </c>
      <c r="N211" s="849">
        <v>168.42</v>
      </c>
      <c r="O211" s="849">
        <v>168.42</v>
      </c>
      <c r="P211" s="849">
        <v>168.42</v>
      </c>
      <c r="Q211" s="849">
        <v>0.0</v>
      </c>
      <c r="R211" s="849">
        <v>0.0</v>
      </c>
      <c r="S211" s="849">
        <v>18.71</v>
      </c>
      <c r="T211" s="849">
        <v>18.71</v>
      </c>
      <c r="U211" s="849">
        <v>0.0</v>
      </c>
      <c r="V211" s="849">
        <v>0.0</v>
      </c>
      <c r="W211" s="849">
        <v>0.0</v>
      </c>
      <c r="X211" s="849">
        <v>0.0</v>
      </c>
      <c r="Y211" s="849">
        <v>0.0</v>
      </c>
      <c r="Z211" s="849">
        <v>0.0</v>
      </c>
      <c r="AA211" s="849">
        <v>0.0</v>
      </c>
      <c r="AB211" s="849">
        <v>0.0</v>
      </c>
      <c r="AC211" s="849">
        <v>0.0</v>
      </c>
      <c r="AD211" s="849">
        <v>0.0</v>
      </c>
      <c r="AE211" s="849">
        <v>0.0</v>
      </c>
      <c r="AF211" s="849">
        <v>0.0</v>
      </c>
      <c r="AG211" s="849">
        <v>0.0</v>
      </c>
      <c r="AH211" s="849">
        <v>0.0</v>
      </c>
      <c r="AI211" s="849">
        <v>0.0</v>
      </c>
      <c r="AJ211" s="794" t="str">
        <f t="shared" ref="AJ211:AK211" si="419">C211</f>
        <v>G07044</v>
      </c>
      <c r="AK211" s="794" t="str">
        <f t="shared" si="419"/>
        <v>FR.REPRES 50% SERVICE</v>
      </c>
      <c r="AL211" s="794">
        <f t="array" ref="AL211">IFERROR(INDEX(G211:R211,1,MATCH(Parametres!$B$3,G$1:R$1,0)-1)*IF(OR(F211="L",F211="S",F211="I"),-1,1),"")</f>
        <v>168.42</v>
      </c>
      <c r="AM211" s="794">
        <f t="shared" si="4"/>
        <v>0</v>
      </c>
      <c r="AN211" s="794">
        <f t="array" ref="AN211">INDEX(G211:R211,1,MATCH(Parametres!$B$3,G$1:R$1,0))*IF(OR(F211="L",F211="S",F211="I"),-1,1)</f>
        <v>168.42</v>
      </c>
      <c r="AO211" s="853" t="str">
        <f>+VLOOKUP($AJ211,Data_Validation!$A:$D,1,0)</f>
        <v>G07044</v>
      </c>
      <c r="AP211" s="853" t="str">
        <f>+VLOOKUP($AJ211,Data_Validation!$A:$D,3,0)</f>
        <v>Service</v>
      </c>
      <c r="AQ211" s="853" t="str">
        <f>+VLOOKUP($AJ211,Data_Validation!$A:$D,4,0)</f>
        <v>Frais de déplacement</v>
      </c>
      <c r="AR211" s="853" t="s">
        <v>728</v>
      </c>
      <c r="AS211" s="853" t="str">
        <f>+VLOOKUP($AJ211,Data_Validation!$A:$E,5,0)</f>
        <v/>
      </c>
      <c r="AT211" s="794" t="str">
        <f t="shared" ref="AT211:AU211" si="420">C211</f>
        <v>G07044</v>
      </c>
      <c r="AU211" s="854" t="str">
        <f t="shared" si="420"/>
        <v>FR.REPRES 50% SERVICE</v>
      </c>
      <c r="AV211" s="794">
        <f t="array" ref="AV211">IFERROR(INDEX(V211:AG211,1,MATCH(Parametres!$B$3,V$1:AG$1,0)-1)*IF(OR(C211="L",C211="S",C211="I"),-1,1),"")</f>
        <v>0</v>
      </c>
      <c r="AW211" s="794">
        <f t="shared" si="6"/>
        <v>0</v>
      </c>
      <c r="AX211" s="794">
        <f t="array" ref="AX211">INDEX(V211:AG211,1,MATCH(Parametres!$B$3,V$1:AG$1,0))*IF(OR(C211="L",C211="S",C211="I"),-1,1)</f>
        <v>0</v>
      </c>
      <c r="AY211" s="853" t="s">
        <v>772</v>
      </c>
      <c r="AZ211" s="853" t="str">
        <f>+VLOOKUP($AJ211,Data_Validation!$A:$E,5,0)</f>
        <v/>
      </c>
    </row>
    <row r="212" ht="15.0" customHeight="1">
      <c r="A212" s="849" t="s">
        <v>1239</v>
      </c>
      <c r="B212" s="849">
        <v>2026.0</v>
      </c>
      <c r="C212" s="849" t="s">
        <v>1648</v>
      </c>
      <c r="D212" s="849" t="s">
        <v>1649</v>
      </c>
      <c r="E212" s="849" t="s">
        <v>768</v>
      </c>
      <c r="F212" s="849" t="s">
        <v>1200</v>
      </c>
      <c r="G212" s="849">
        <v>369.19</v>
      </c>
      <c r="H212" s="849">
        <v>1241.26</v>
      </c>
      <c r="I212" s="849">
        <v>2513.84</v>
      </c>
      <c r="J212" s="849">
        <v>5788.44</v>
      </c>
      <c r="K212" s="849">
        <v>6163.94</v>
      </c>
      <c r="L212" s="849">
        <v>6348.23</v>
      </c>
      <c r="M212" s="849">
        <v>6533.24</v>
      </c>
      <c r="N212" s="849">
        <v>6811.93</v>
      </c>
      <c r="O212" s="849">
        <v>7031.62</v>
      </c>
      <c r="P212" s="849">
        <v>7049.89</v>
      </c>
      <c r="Q212" s="849">
        <v>0.0</v>
      </c>
      <c r="R212" s="849">
        <v>0.0</v>
      </c>
      <c r="S212" s="849">
        <v>781.29</v>
      </c>
      <c r="T212" s="849">
        <v>781.29</v>
      </c>
      <c r="U212" s="849">
        <v>0.0</v>
      </c>
      <c r="V212" s="849">
        <v>0.0</v>
      </c>
      <c r="W212" s="849">
        <v>0.0</v>
      </c>
      <c r="X212" s="849">
        <v>0.0</v>
      </c>
      <c r="Y212" s="849">
        <v>0.0</v>
      </c>
      <c r="Z212" s="849">
        <v>0.0</v>
      </c>
      <c r="AA212" s="849">
        <v>0.0</v>
      </c>
      <c r="AB212" s="849">
        <v>0.0</v>
      </c>
      <c r="AC212" s="849">
        <v>0.0</v>
      </c>
      <c r="AD212" s="849">
        <v>0.0</v>
      </c>
      <c r="AE212" s="849">
        <v>0.0</v>
      </c>
      <c r="AF212" s="849">
        <v>0.0</v>
      </c>
      <c r="AG212" s="849">
        <v>0.0</v>
      </c>
      <c r="AH212" s="849">
        <v>0.0</v>
      </c>
      <c r="AI212" s="849">
        <v>0.0</v>
      </c>
      <c r="AJ212" s="794" t="str">
        <f t="shared" ref="AJ212:AK212" si="421">C212</f>
        <v>G0705</v>
      </c>
      <c r="AK212" s="794" t="str">
        <f t="shared" si="421"/>
        <v>FRAIS REPRES.-CARROSS.</v>
      </c>
      <c r="AL212" s="794">
        <f t="array" ref="AL212">IFERROR(INDEX(G212:R212,1,MATCH(Parametres!$B$3,G$1:R$1,0)-1)*IF(OR(F212="L",F212="S",F212="I"),-1,1),"")</f>
        <v>6811.93</v>
      </c>
      <c r="AM212" s="794">
        <f t="shared" si="4"/>
        <v>219.69</v>
      </c>
      <c r="AN212" s="794">
        <f t="array" ref="AN212">INDEX(G212:R212,1,MATCH(Parametres!$B$3,G$1:R$1,0))*IF(OR(F212="L",F212="S",F212="I"),-1,1)</f>
        <v>7031.62</v>
      </c>
      <c r="AO212" s="853" t="str">
        <f>+VLOOKUP($AJ212,Data_Validation!$A:$D,1,0)</f>
        <v>G0705</v>
      </c>
      <c r="AP212" s="853" t="str">
        <f>+VLOOKUP($AJ212,Data_Validation!$A:$D,3,0)</f>
        <v>Carrosserie</v>
      </c>
      <c r="AQ212" s="853" t="str">
        <f>+VLOOKUP($AJ212,Data_Validation!$A:$D,4,0)</f>
        <v>Frais de déplacement</v>
      </c>
      <c r="AR212" s="853" t="s">
        <v>728</v>
      </c>
      <c r="AS212" s="853" t="str">
        <f>+VLOOKUP($AJ212,Data_Validation!$A:$E,5,0)</f>
        <v/>
      </c>
      <c r="AT212" s="794" t="str">
        <f t="shared" ref="AT212:AU212" si="422">C212</f>
        <v>G0705</v>
      </c>
      <c r="AU212" s="854" t="str">
        <f t="shared" si="422"/>
        <v>FRAIS REPRES.-CARROSS.</v>
      </c>
      <c r="AV212" s="794">
        <f t="array" ref="AV212">IFERROR(INDEX(V212:AG212,1,MATCH(Parametres!$B$3,V$1:AG$1,0)-1)*IF(OR(C212="L",C212="S",C212="I"),-1,1),"")</f>
        <v>0</v>
      </c>
      <c r="AW212" s="794">
        <f t="shared" si="6"/>
        <v>0</v>
      </c>
      <c r="AX212" s="794">
        <f t="array" ref="AX212">INDEX(V212:AG212,1,MATCH(Parametres!$B$3,V$1:AG$1,0))*IF(OR(C212="L",C212="S",C212="I"),-1,1)</f>
        <v>0</v>
      </c>
      <c r="AY212" s="853" t="s">
        <v>772</v>
      </c>
      <c r="AZ212" s="853" t="str">
        <f>+VLOOKUP($AJ212,Data_Validation!$A:$E,5,0)</f>
        <v/>
      </c>
    </row>
    <row r="213" ht="15.0" customHeight="1">
      <c r="A213" s="849" t="s">
        <v>1239</v>
      </c>
      <c r="B213" s="849">
        <v>2026.0</v>
      </c>
      <c r="C213" s="849" t="s">
        <v>1650</v>
      </c>
      <c r="D213" s="849" t="s">
        <v>1651</v>
      </c>
      <c r="E213" s="849" t="s">
        <v>768</v>
      </c>
      <c r="F213" s="849" t="s">
        <v>1200</v>
      </c>
      <c r="G213" s="849">
        <v>0.0</v>
      </c>
      <c r="H213" s="849">
        <v>0.0</v>
      </c>
      <c r="I213" s="849">
        <v>0.0</v>
      </c>
      <c r="J213" s="849">
        <v>0.0</v>
      </c>
      <c r="K213" s="849">
        <v>0.0</v>
      </c>
      <c r="L213" s="849">
        <v>0.0</v>
      </c>
      <c r="M213" s="849">
        <v>0.0</v>
      </c>
      <c r="N213" s="849">
        <v>0.0</v>
      </c>
      <c r="O213" s="849">
        <v>0.0</v>
      </c>
      <c r="P213" s="849">
        <v>0.0</v>
      </c>
      <c r="Q213" s="849">
        <v>0.0</v>
      </c>
      <c r="R213" s="849">
        <v>0.0</v>
      </c>
      <c r="S213" s="849">
        <v>0.0</v>
      </c>
      <c r="T213" s="849">
        <v>0.0</v>
      </c>
      <c r="U213" s="849">
        <v>0.0</v>
      </c>
      <c r="V213" s="849">
        <v>0.0</v>
      </c>
      <c r="W213" s="849">
        <v>0.0</v>
      </c>
      <c r="X213" s="849">
        <v>0.0</v>
      </c>
      <c r="Y213" s="849">
        <v>0.0</v>
      </c>
      <c r="Z213" s="849">
        <v>0.0</v>
      </c>
      <c r="AA213" s="849">
        <v>0.0</v>
      </c>
      <c r="AB213" s="849">
        <v>0.0</v>
      </c>
      <c r="AC213" s="849">
        <v>0.0</v>
      </c>
      <c r="AD213" s="849">
        <v>0.0</v>
      </c>
      <c r="AE213" s="849">
        <v>0.0</v>
      </c>
      <c r="AF213" s="849">
        <v>0.0</v>
      </c>
      <c r="AG213" s="849">
        <v>0.0</v>
      </c>
      <c r="AH213" s="849">
        <v>0.0</v>
      </c>
      <c r="AI213" s="849">
        <v>0.0</v>
      </c>
      <c r="AJ213" s="794" t="str">
        <f t="shared" ref="AJ213:AK213" si="423">C213</f>
        <v>G07055</v>
      </c>
      <c r="AK213" s="794" t="str">
        <f t="shared" si="423"/>
        <v>FR.REPRES 50% CARROSSERIE</v>
      </c>
      <c r="AL213" s="794">
        <f t="array" ref="AL213">IFERROR(INDEX(G213:R213,1,MATCH(Parametres!$B$3,G$1:R$1,0)-1)*IF(OR(F213="L",F213="S",F213="I"),-1,1),"")</f>
        <v>0</v>
      </c>
      <c r="AM213" s="794">
        <f t="shared" si="4"/>
        <v>0</v>
      </c>
      <c r="AN213" s="794">
        <f t="array" ref="AN213">INDEX(G213:R213,1,MATCH(Parametres!$B$3,G$1:R$1,0))*IF(OR(F213="L",F213="S",F213="I"),-1,1)</f>
        <v>0</v>
      </c>
      <c r="AO213" s="853" t="str">
        <f>+VLOOKUP($AJ213,Data_Validation!$A:$D,1,0)</f>
        <v>G07055</v>
      </c>
      <c r="AP213" s="853" t="str">
        <f>+VLOOKUP($AJ213,Data_Validation!$A:$D,3,0)</f>
        <v>Carrosserie</v>
      </c>
      <c r="AQ213" s="853" t="str">
        <f>+VLOOKUP($AJ213,Data_Validation!$A:$D,4,0)</f>
        <v>Frais de déplacement</v>
      </c>
      <c r="AR213" s="853" t="s">
        <v>728</v>
      </c>
      <c r="AS213" s="853" t="str">
        <f>+VLOOKUP($AJ213,Data_Validation!$A:$E,5,0)</f>
        <v/>
      </c>
      <c r="AT213" s="794" t="str">
        <f t="shared" ref="AT213:AU213" si="424">C213</f>
        <v>G07055</v>
      </c>
      <c r="AU213" s="854" t="str">
        <f t="shared" si="424"/>
        <v>FR.REPRES 50% CARROSSERIE</v>
      </c>
      <c r="AV213" s="794">
        <f t="array" ref="AV213">IFERROR(INDEX(V213:AG213,1,MATCH(Parametres!$B$3,V$1:AG$1,0)-1)*IF(OR(C213="L",C213="S",C213="I"),-1,1),"")</f>
        <v>0</v>
      </c>
      <c r="AW213" s="794">
        <f t="shared" si="6"/>
        <v>0</v>
      </c>
      <c r="AX213" s="794">
        <f t="array" ref="AX213">INDEX(V213:AG213,1,MATCH(Parametres!$B$3,V$1:AG$1,0))*IF(OR(C213="L",C213="S",C213="I"),-1,1)</f>
        <v>0</v>
      </c>
      <c r="AY213" s="853" t="s">
        <v>772</v>
      </c>
      <c r="AZ213" s="853" t="str">
        <f>+VLOOKUP($AJ213,Data_Validation!$A:$E,5,0)</f>
        <v/>
      </c>
    </row>
    <row r="214" ht="15.0" customHeight="1">
      <c r="A214" s="849" t="s">
        <v>1239</v>
      </c>
      <c r="B214" s="849">
        <v>2026.0</v>
      </c>
      <c r="C214" s="849" t="s">
        <v>1652</v>
      </c>
      <c r="D214" s="849" t="s">
        <v>1653</v>
      </c>
      <c r="E214" s="849" t="s">
        <v>768</v>
      </c>
      <c r="F214" s="849" t="s">
        <v>1200</v>
      </c>
      <c r="G214" s="849">
        <v>369.2</v>
      </c>
      <c r="H214" s="849">
        <v>1241.29</v>
      </c>
      <c r="I214" s="849">
        <v>2513.88</v>
      </c>
      <c r="J214" s="849">
        <v>5788.47</v>
      </c>
      <c r="K214" s="849">
        <v>6163.97</v>
      </c>
      <c r="L214" s="849">
        <v>6348.24</v>
      </c>
      <c r="M214" s="849">
        <v>6533.25</v>
      </c>
      <c r="N214" s="849">
        <v>6811.94</v>
      </c>
      <c r="O214" s="849">
        <v>7031.61</v>
      </c>
      <c r="P214" s="849">
        <v>7049.85</v>
      </c>
      <c r="Q214" s="849">
        <v>0.0</v>
      </c>
      <c r="R214" s="849">
        <v>0.0</v>
      </c>
      <c r="S214" s="849">
        <v>781.29</v>
      </c>
      <c r="T214" s="849">
        <v>781.29</v>
      </c>
      <c r="U214" s="849">
        <v>0.0</v>
      </c>
      <c r="V214" s="849">
        <v>0.0</v>
      </c>
      <c r="W214" s="849">
        <v>0.0</v>
      </c>
      <c r="X214" s="849">
        <v>0.0</v>
      </c>
      <c r="Y214" s="849">
        <v>0.0</v>
      </c>
      <c r="Z214" s="849">
        <v>0.0</v>
      </c>
      <c r="AA214" s="849">
        <v>0.0</v>
      </c>
      <c r="AB214" s="849">
        <v>0.0</v>
      </c>
      <c r="AC214" s="849">
        <v>0.0</v>
      </c>
      <c r="AD214" s="849">
        <v>0.0</v>
      </c>
      <c r="AE214" s="849">
        <v>0.0</v>
      </c>
      <c r="AF214" s="849">
        <v>0.0</v>
      </c>
      <c r="AG214" s="849">
        <v>0.0</v>
      </c>
      <c r="AH214" s="849">
        <v>0.0</v>
      </c>
      <c r="AI214" s="849">
        <v>0.0</v>
      </c>
      <c r="AJ214" s="794" t="str">
        <f t="shared" ref="AJ214:AK214" si="425">C214</f>
        <v>G0706</v>
      </c>
      <c r="AK214" s="794" t="str">
        <f t="shared" si="425"/>
        <v>FRAIS REPRES.-PIECE</v>
      </c>
      <c r="AL214" s="794">
        <f t="array" ref="AL214">IFERROR(INDEX(G214:R214,1,MATCH(Parametres!$B$3,G$1:R$1,0)-1)*IF(OR(F214="L",F214="S",F214="I"),-1,1),"")</f>
        <v>6811.94</v>
      </c>
      <c r="AM214" s="794">
        <f t="shared" si="4"/>
        <v>219.67</v>
      </c>
      <c r="AN214" s="794">
        <f t="array" ref="AN214">INDEX(G214:R214,1,MATCH(Parametres!$B$3,G$1:R$1,0))*IF(OR(F214="L",F214="S",F214="I"),-1,1)</f>
        <v>7031.61</v>
      </c>
      <c r="AO214" s="853" t="str">
        <f>+VLOOKUP($AJ214,Data_Validation!$A:$D,1,0)</f>
        <v>G0706</v>
      </c>
      <c r="AP214" s="853" t="str">
        <f>+VLOOKUP($AJ214,Data_Validation!$A:$D,3,0)</f>
        <v>Pièces</v>
      </c>
      <c r="AQ214" s="853" t="str">
        <f>+VLOOKUP($AJ214,Data_Validation!$A:$D,4,0)</f>
        <v>Frais de déplacement</v>
      </c>
      <c r="AR214" s="853" t="s">
        <v>728</v>
      </c>
      <c r="AS214" s="853" t="str">
        <f>+VLOOKUP($AJ214,Data_Validation!$A:$E,5,0)</f>
        <v/>
      </c>
      <c r="AT214" s="794" t="str">
        <f t="shared" ref="AT214:AU214" si="426">C214</f>
        <v>G0706</v>
      </c>
      <c r="AU214" s="854" t="str">
        <f t="shared" si="426"/>
        <v>FRAIS REPRES.-PIECE</v>
      </c>
      <c r="AV214" s="794">
        <f t="array" ref="AV214">IFERROR(INDEX(V214:AG214,1,MATCH(Parametres!$B$3,V$1:AG$1,0)-1)*IF(OR(C214="L",C214="S",C214="I"),-1,1),"")</f>
        <v>0</v>
      </c>
      <c r="AW214" s="794">
        <f t="shared" si="6"/>
        <v>0</v>
      </c>
      <c r="AX214" s="794">
        <f t="array" ref="AX214">INDEX(V214:AG214,1,MATCH(Parametres!$B$3,V$1:AG$1,0))*IF(OR(C214="L",C214="S",C214="I"),-1,1)</f>
        <v>0</v>
      </c>
      <c r="AY214" s="853" t="s">
        <v>772</v>
      </c>
      <c r="AZ214" s="853" t="str">
        <f>+VLOOKUP($AJ214,Data_Validation!$A:$E,5,0)</f>
        <v/>
      </c>
    </row>
    <row r="215" ht="15.75" customHeight="1">
      <c r="A215" s="849" t="s">
        <v>1239</v>
      </c>
      <c r="B215" s="849">
        <v>2026.0</v>
      </c>
      <c r="C215" s="849" t="s">
        <v>1654</v>
      </c>
      <c r="D215" s="849" t="s">
        <v>1655</v>
      </c>
      <c r="E215" s="849" t="s">
        <v>768</v>
      </c>
      <c r="F215" s="849" t="s">
        <v>1200</v>
      </c>
      <c r="G215" s="849">
        <v>124.73</v>
      </c>
      <c r="H215" s="849">
        <v>124.73</v>
      </c>
      <c r="I215" s="849">
        <v>124.73</v>
      </c>
      <c r="J215" s="849">
        <v>124.73</v>
      </c>
      <c r="K215" s="849">
        <v>124.73</v>
      </c>
      <c r="L215" s="849">
        <v>124.73</v>
      </c>
      <c r="M215" s="849">
        <v>124.73</v>
      </c>
      <c r="N215" s="849">
        <v>124.73</v>
      </c>
      <c r="O215" s="849">
        <v>124.73</v>
      </c>
      <c r="P215" s="849">
        <v>124.73</v>
      </c>
      <c r="Q215" s="849">
        <v>0.0</v>
      </c>
      <c r="R215" s="849">
        <v>0.0</v>
      </c>
      <c r="S215" s="849">
        <v>13.86</v>
      </c>
      <c r="T215" s="849">
        <v>13.86</v>
      </c>
      <c r="U215" s="849">
        <v>0.0</v>
      </c>
      <c r="V215" s="849">
        <v>0.0</v>
      </c>
      <c r="W215" s="849">
        <v>0.0</v>
      </c>
      <c r="X215" s="849">
        <v>0.0</v>
      </c>
      <c r="Y215" s="849">
        <v>0.0</v>
      </c>
      <c r="Z215" s="849">
        <v>0.0</v>
      </c>
      <c r="AA215" s="849">
        <v>0.0</v>
      </c>
      <c r="AB215" s="849">
        <v>0.0</v>
      </c>
      <c r="AC215" s="849">
        <v>0.0</v>
      </c>
      <c r="AD215" s="849">
        <v>0.0</v>
      </c>
      <c r="AE215" s="849">
        <v>0.0</v>
      </c>
      <c r="AF215" s="849">
        <v>0.0</v>
      </c>
      <c r="AG215" s="849">
        <v>0.0</v>
      </c>
      <c r="AH215" s="849">
        <v>0.0</v>
      </c>
      <c r="AI215" s="849">
        <v>0.0</v>
      </c>
      <c r="AJ215" s="794" t="str">
        <f t="shared" ref="AJ215:AK215" si="427">C215</f>
        <v>G07066</v>
      </c>
      <c r="AK215" s="794" t="str">
        <f t="shared" si="427"/>
        <v>FR.REPRES 50% PIECES</v>
      </c>
      <c r="AL215" s="794">
        <f t="array" ref="AL215">IFERROR(INDEX(G215:R215,1,MATCH(Parametres!$B$3,G$1:R$1,0)-1)*IF(OR(F215="L",F215="S",F215="I"),-1,1),"")</f>
        <v>124.73</v>
      </c>
      <c r="AM215" s="794">
        <f t="shared" si="4"/>
        <v>0</v>
      </c>
      <c r="AN215" s="794">
        <f t="array" ref="AN215">INDEX(G215:R215,1,MATCH(Parametres!$B$3,G$1:R$1,0))*IF(OR(F215="L",F215="S",F215="I"),-1,1)</f>
        <v>124.73</v>
      </c>
      <c r="AO215" s="853" t="str">
        <f>+VLOOKUP($AJ215,Data_Validation!$A:$D,1,0)</f>
        <v>G07066</v>
      </c>
      <c r="AP215" s="853" t="str">
        <f>+VLOOKUP($AJ215,Data_Validation!$A:$D,3,0)</f>
        <v>Pièces</v>
      </c>
      <c r="AQ215" s="853" t="str">
        <f>+VLOOKUP($AJ215,Data_Validation!$A:$D,4,0)</f>
        <v>Frais de déplacement</v>
      </c>
      <c r="AR215" s="853" t="s">
        <v>728</v>
      </c>
      <c r="AS215" s="853" t="str">
        <f>+VLOOKUP($AJ215,Data_Validation!$A:$E,5,0)</f>
        <v/>
      </c>
      <c r="AT215" s="794" t="str">
        <f t="shared" ref="AT215:AU215" si="428">C215</f>
        <v>G07066</v>
      </c>
      <c r="AU215" s="854" t="str">
        <f t="shared" si="428"/>
        <v>FR.REPRES 50% PIECES</v>
      </c>
      <c r="AV215" s="794">
        <f t="array" ref="AV215">IFERROR(INDEX(V215:AG215,1,MATCH(Parametres!$B$3,V$1:AG$1,0)-1)*IF(OR(C215="L",C215="S",C215="I"),-1,1),"")</f>
        <v>0</v>
      </c>
      <c r="AW215" s="794">
        <f t="shared" si="6"/>
        <v>0</v>
      </c>
      <c r="AX215" s="794">
        <f t="array" ref="AX215">INDEX(V215:AG215,1,MATCH(Parametres!$B$3,V$1:AG$1,0))*IF(OR(C215="L",C215="S",C215="I"),-1,1)</f>
        <v>0</v>
      </c>
      <c r="AY215" s="853" t="s">
        <v>772</v>
      </c>
      <c r="AZ215" s="853" t="str">
        <f>+VLOOKUP($AJ215,Data_Validation!$A:$E,5,0)</f>
        <v/>
      </c>
    </row>
    <row r="216" ht="15.0" customHeight="1">
      <c r="A216" s="849" t="s">
        <v>1239</v>
      </c>
      <c r="B216" s="849">
        <v>2026.0</v>
      </c>
      <c r="C216" s="849" t="s">
        <v>1656</v>
      </c>
      <c r="D216" s="849" t="s">
        <v>1657</v>
      </c>
      <c r="E216" s="849" t="s">
        <v>768</v>
      </c>
      <c r="F216" s="849" t="s">
        <v>1200</v>
      </c>
      <c r="G216" s="849">
        <v>0.0</v>
      </c>
      <c r="H216" s="849">
        <v>0.0</v>
      </c>
      <c r="I216" s="849">
        <v>0.0</v>
      </c>
      <c r="J216" s="849">
        <v>0.0</v>
      </c>
      <c r="K216" s="849">
        <v>0.0</v>
      </c>
      <c r="L216" s="849">
        <v>0.0</v>
      </c>
      <c r="M216" s="849">
        <v>0.0</v>
      </c>
      <c r="N216" s="849">
        <v>0.0</v>
      </c>
      <c r="O216" s="849">
        <v>0.0</v>
      </c>
      <c r="P216" s="849">
        <v>0.0</v>
      </c>
      <c r="Q216" s="849">
        <v>0.0</v>
      </c>
      <c r="R216" s="849">
        <v>0.0</v>
      </c>
      <c r="S216" s="849">
        <v>0.0</v>
      </c>
      <c r="T216" s="849">
        <v>0.0</v>
      </c>
      <c r="U216" s="849">
        <v>0.0</v>
      </c>
      <c r="V216" s="849">
        <v>0.0</v>
      </c>
      <c r="W216" s="849">
        <v>0.0</v>
      </c>
      <c r="X216" s="849">
        <v>0.0</v>
      </c>
      <c r="Y216" s="849">
        <v>0.0</v>
      </c>
      <c r="Z216" s="849">
        <v>0.0</v>
      </c>
      <c r="AA216" s="849">
        <v>0.0</v>
      </c>
      <c r="AB216" s="849">
        <v>0.0</v>
      </c>
      <c r="AC216" s="849">
        <v>0.0</v>
      </c>
      <c r="AD216" s="849">
        <v>0.0</v>
      </c>
      <c r="AE216" s="849">
        <v>0.0</v>
      </c>
      <c r="AF216" s="849">
        <v>0.0</v>
      </c>
      <c r="AG216" s="849">
        <v>0.0</v>
      </c>
      <c r="AH216" s="849">
        <v>0.0</v>
      </c>
      <c r="AI216" s="849">
        <v>0.0</v>
      </c>
      <c r="AJ216" s="794" t="str">
        <f t="shared" ref="AJ216:AK216" si="429">C216</f>
        <v>G0710</v>
      </c>
      <c r="AK216" s="794" t="str">
        <f t="shared" si="429"/>
        <v>COTISATIONS REP.</v>
      </c>
      <c r="AL216" s="794">
        <f t="array" ref="AL216">IFERROR(INDEX(G216:R216,1,MATCH(Parametres!$B$3,G$1:R$1,0)-1)*IF(OR(F216="L",F216="S",F216="I"),-1,1),"")</f>
        <v>0</v>
      </c>
      <c r="AM216" s="794">
        <f t="shared" si="4"/>
        <v>0</v>
      </c>
      <c r="AN216" s="794">
        <f t="array" ref="AN216">INDEX(G216:R216,1,MATCH(Parametres!$B$3,G$1:R$1,0))*IF(OR(F216="L",F216="S",F216="I"),-1,1)</f>
        <v>0</v>
      </c>
      <c r="AO216" s="853" t="str">
        <f>+VLOOKUP($AJ216,Data_Validation!$A:$D,1,0)</f>
        <v>#N/A</v>
      </c>
      <c r="AP216" s="853" t="str">
        <f>+VLOOKUP($AJ216,Data_Validation!$A:$D,3,0)</f>
        <v>#N/A</v>
      </c>
      <c r="AQ216" s="853" t="str">
        <f>+VLOOKUP($AJ216,Data_Validation!$A:$D,4,0)</f>
        <v>#N/A</v>
      </c>
      <c r="AR216" s="853" t="s">
        <v>728</v>
      </c>
      <c r="AS216" s="853" t="str">
        <f>+VLOOKUP($AJ216,Data_Validation!$A:$E,5,0)</f>
        <v>#N/A</v>
      </c>
      <c r="AT216" s="794" t="str">
        <f t="shared" ref="AT216:AU216" si="430">C216</f>
        <v>G0710</v>
      </c>
      <c r="AU216" s="854" t="str">
        <f t="shared" si="430"/>
        <v>COTISATIONS REP.</v>
      </c>
      <c r="AV216" s="794">
        <f t="array" ref="AV216">IFERROR(INDEX(V216:AG216,1,MATCH(Parametres!$B$3,V$1:AG$1,0)-1)*IF(OR(C216="L",C216="S",C216="I"),-1,1),"")</f>
        <v>0</v>
      </c>
      <c r="AW216" s="794">
        <f t="shared" si="6"/>
        <v>0</v>
      </c>
      <c r="AX216" s="794">
        <f t="array" ref="AX216">INDEX(V216:AG216,1,MATCH(Parametres!$B$3,V$1:AG$1,0))*IF(OR(C216="L",C216="S",C216="I"),-1,1)</f>
        <v>0</v>
      </c>
      <c r="AY216" s="853" t="s">
        <v>772</v>
      </c>
      <c r="AZ216" s="853" t="str">
        <f>+VLOOKUP($AJ216,Data_Validation!$A:$E,5,0)</f>
        <v>#N/A</v>
      </c>
    </row>
    <row r="217" ht="15.0" customHeight="1">
      <c r="A217" s="849" t="s">
        <v>1239</v>
      </c>
      <c r="B217" s="849">
        <v>2026.0</v>
      </c>
      <c r="C217" s="849" t="s">
        <v>1658</v>
      </c>
      <c r="D217" s="849" t="s">
        <v>1659</v>
      </c>
      <c r="E217" s="849" t="s">
        <v>768</v>
      </c>
      <c r="F217" s="849" t="s">
        <v>1200</v>
      </c>
      <c r="G217" s="849">
        <v>1341.1</v>
      </c>
      <c r="H217" s="849">
        <v>4295.71</v>
      </c>
      <c r="I217" s="849">
        <v>6459.83</v>
      </c>
      <c r="J217" s="849">
        <v>7940.72</v>
      </c>
      <c r="K217" s="849">
        <v>9376.24</v>
      </c>
      <c r="L217" s="849">
        <v>11581.52</v>
      </c>
      <c r="M217" s="849">
        <v>13661.08</v>
      </c>
      <c r="N217" s="849">
        <v>15660.64</v>
      </c>
      <c r="O217" s="849">
        <v>18536.3</v>
      </c>
      <c r="P217" s="849">
        <v>19717.8</v>
      </c>
      <c r="Q217" s="849">
        <v>0.0</v>
      </c>
      <c r="R217" s="849">
        <v>0.0</v>
      </c>
      <c r="S217" s="849">
        <v>2059.59</v>
      </c>
      <c r="T217" s="849">
        <v>2059.59</v>
      </c>
      <c r="U217" s="849">
        <v>0.0</v>
      </c>
      <c r="V217" s="849">
        <v>0.0</v>
      </c>
      <c r="W217" s="849">
        <v>0.0</v>
      </c>
      <c r="X217" s="849">
        <v>0.0</v>
      </c>
      <c r="Y217" s="849">
        <v>0.0</v>
      </c>
      <c r="Z217" s="849">
        <v>0.0</v>
      </c>
      <c r="AA217" s="849">
        <v>0.0</v>
      </c>
      <c r="AB217" s="849">
        <v>0.0</v>
      </c>
      <c r="AC217" s="849">
        <v>0.0</v>
      </c>
      <c r="AD217" s="849">
        <v>0.0</v>
      </c>
      <c r="AE217" s="849">
        <v>0.0</v>
      </c>
      <c r="AF217" s="849">
        <v>0.0</v>
      </c>
      <c r="AG217" s="849">
        <v>0.0</v>
      </c>
      <c r="AH217" s="849">
        <v>0.0</v>
      </c>
      <c r="AI217" s="849">
        <v>0.0</v>
      </c>
      <c r="AJ217" s="794" t="str">
        <f t="shared" ref="AJ217:AK217" si="431">C217</f>
        <v>G0711</v>
      </c>
      <c r="AK217" s="794" t="str">
        <f t="shared" si="431"/>
        <v>COTISATIONS-NEUFS</v>
      </c>
      <c r="AL217" s="794">
        <f t="array" ref="AL217">IFERROR(INDEX(G217:R217,1,MATCH(Parametres!$B$3,G$1:R$1,0)-1)*IF(OR(F217="L",F217="S",F217="I"),-1,1),"")</f>
        <v>15660.64</v>
      </c>
      <c r="AM217" s="794">
        <f t="shared" si="4"/>
        <v>2875.66</v>
      </c>
      <c r="AN217" s="794">
        <f t="array" ref="AN217">INDEX(G217:R217,1,MATCH(Parametres!$B$3,G$1:R$1,0))*IF(OR(F217="L",F217="S",F217="I"),-1,1)</f>
        <v>18536.3</v>
      </c>
      <c r="AO217" s="853" t="str">
        <f>+VLOOKUP($AJ217,Data_Validation!$A:$D,1,0)</f>
        <v>G0711</v>
      </c>
      <c r="AP217" s="853" t="str">
        <f>+VLOOKUP($AJ217,Data_Validation!$A:$D,3,0)</f>
        <v>Véhicules neufs</v>
      </c>
      <c r="AQ217" s="853" t="str">
        <f>+VLOOKUP($AJ217,Data_Validation!$A:$D,4,0)</f>
        <v>Divers</v>
      </c>
      <c r="AR217" s="853" t="s">
        <v>728</v>
      </c>
      <c r="AS217" s="853" t="str">
        <f>+VLOOKUP($AJ217,Data_Validation!$A:$E,5,0)</f>
        <v/>
      </c>
      <c r="AT217" s="794" t="str">
        <f t="shared" ref="AT217:AU217" si="432">C217</f>
        <v>G0711</v>
      </c>
      <c r="AU217" s="854" t="str">
        <f t="shared" si="432"/>
        <v>COTISATIONS-NEUFS</v>
      </c>
      <c r="AV217" s="794">
        <f t="array" ref="AV217">IFERROR(INDEX(V217:AG217,1,MATCH(Parametres!$B$3,V$1:AG$1,0)-1)*IF(OR(C217="L",C217="S",C217="I"),-1,1),"")</f>
        <v>0</v>
      </c>
      <c r="AW217" s="794">
        <f t="shared" si="6"/>
        <v>0</v>
      </c>
      <c r="AX217" s="794">
        <f t="array" ref="AX217">INDEX(V217:AG217,1,MATCH(Parametres!$B$3,V$1:AG$1,0))*IF(OR(C217="L",C217="S",C217="I"),-1,1)</f>
        <v>0</v>
      </c>
      <c r="AY217" s="853" t="s">
        <v>772</v>
      </c>
      <c r="AZ217" s="853" t="str">
        <f>+VLOOKUP($AJ217,Data_Validation!$A:$E,5,0)</f>
        <v/>
      </c>
    </row>
    <row r="218" ht="15.0" customHeight="1">
      <c r="A218" s="849" t="s">
        <v>1239</v>
      </c>
      <c r="B218" s="849">
        <v>2026.0</v>
      </c>
      <c r="C218" s="849" t="s">
        <v>1660</v>
      </c>
      <c r="D218" s="849" t="s">
        <v>1661</v>
      </c>
      <c r="E218" s="849" t="s">
        <v>768</v>
      </c>
      <c r="F218" s="849" t="s">
        <v>1200</v>
      </c>
      <c r="G218" s="849">
        <v>1222.9</v>
      </c>
      <c r="H218" s="849">
        <v>4355.9</v>
      </c>
      <c r="I218" s="849">
        <v>5933.38</v>
      </c>
      <c r="J218" s="849">
        <v>7497.95</v>
      </c>
      <c r="K218" s="849">
        <v>8765.15</v>
      </c>
      <c r="L218" s="849">
        <v>10026.45</v>
      </c>
      <c r="M218" s="849">
        <v>11328.72</v>
      </c>
      <c r="N218" s="849">
        <v>12478.02</v>
      </c>
      <c r="O218" s="849">
        <v>13863.82</v>
      </c>
      <c r="P218" s="849">
        <v>14561.82</v>
      </c>
      <c r="Q218" s="849">
        <v>0.0</v>
      </c>
      <c r="R218" s="849">
        <v>0.0</v>
      </c>
      <c r="S218" s="849">
        <v>1540.42</v>
      </c>
      <c r="T218" s="849">
        <v>1540.42</v>
      </c>
      <c r="U218" s="849">
        <v>0.0</v>
      </c>
      <c r="V218" s="849">
        <v>0.0</v>
      </c>
      <c r="W218" s="849">
        <v>0.0</v>
      </c>
      <c r="X218" s="849">
        <v>0.0</v>
      </c>
      <c r="Y218" s="849">
        <v>0.0</v>
      </c>
      <c r="Z218" s="849">
        <v>0.0</v>
      </c>
      <c r="AA218" s="849">
        <v>0.0</v>
      </c>
      <c r="AB218" s="849">
        <v>0.0</v>
      </c>
      <c r="AC218" s="849">
        <v>0.0</v>
      </c>
      <c r="AD218" s="849">
        <v>0.0</v>
      </c>
      <c r="AE218" s="849">
        <v>0.0</v>
      </c>
      <c r="AF218" s="849">
        <v>0.0</v>
      </c>
      <c r="AG218" s="849">
        <v>0.0</v>
      </c>
      <c r="AH218" s="849">
        <v>0.0</v>
      </c>
      <c r="AI218" s="849">
        <v>0.0</v>
      </c>
      <c r="AJ218" s="794" t="str">
        <f t="shared" ref="AJ218:AK218" si="433">C218</f>
        <v>G0712</v>
      </c>
      <c r="AK218" s="794" t="str">
        <f t="shared" si="433"/>
        <v>COTISATIONS-USAGES</v>
      </c>
      <c r="AL218" s="794">
        <f t="array" ref="AL218">IFERROR(INDEX(G218:R218,1,MATCH(Parametres!$B$3,G$1:R$1,0)-1)*IF(OR(F218="L",F218="S",F218="I"),-1,1),"")</f>
        <v>12478.02</v>
      </c>
      <c r="AM218" s="794">
        <f t="shared" si="4"/>
        <v>1385.8</v>
      </c>
      <c r="AN218" s="794">
        <f t="array" ref="AN218">INDEX(G218:R218,1,MATCH(Parametres!$B$3,G$1:R$1,0))*IF(OR(F218="L",F218="S",F218="I"),-1,1)</f>
        <v>13863.82</v>
      </c>
      <c r="AO218" s="853" t="str">
        <f>+VLOOKUP($AJ218,Data_Validation!$A:$D,1,0)</f>
        <v>G0712</v>
      </c>
      <c r="AP218" s="853" t="str">
        <f>+VLOOKUP($AJ218,Data_Validation!$A:$D,3,0)</f>
        <v>Véhicules usagés</v>
      </c>
      <c r="AQ218" s="853" t="str">
        <f>+VLOOKUP($AJ218,Data_Validation!$A:$D,4,0)</f>
        <v>Divers</v>
      </c>
      <c r="AR218" s="853" t="s">
        <v>728</v>
      </c>
      <c r="AS218" s="853" t="str">
        <f>+VLOOKUP($AJ218,Data_Validation!$A:$E,5,0)</f>
        <v/>
      </c>
      <c r="AT218" s="794" t="str">
        <f t="shared" ref="AT218:AU218" si="434">C218</f>
        <v>G0712</v>
      </c>
      <c r="AU218" s="854" t="str">
        <f t="shared" si="434"/>
        <v>COTISATIONS-USAGES</v>
      </c>
      <c r="AV218" s="794">
        <f t="array" ref="AV218">IFERROR(INDEX(V218:AG218,1,MATCH(Parametres!$B$3,V$1:AG$1,0)-1)*IF(OR(C218="L",C218="S",C218="I"),-1,1),"")</f>
        <v>0</v>
      </c>
      <c r="AW218" s="794">
        <f t="shared" si="6"/>
        <v>0</v>
      </c>
      <c r="AX218" s="794">
        <f t="array" ref="AX218">INDEX(V218:AG218,1,MATCH(Parametres!$B$3,V$1:AG$1,0))*IF(OR(C218="L",C218="S",C218="I"),-1,1)</f>
        <v>0</v>
      </c>
      <c r="AY218" s="853" t="s">
        <v>772</v>
      </c>
      <c r="AZ218" s="853" t="str">
        <f>+VLOOKUP($AJ218,Data_Validation!$A:$E,5,0)</f>
        <v/>
      </c>
    </row>
    <row r="219" ht="15.75" customHeight="1">
      <c r="A219" s="849" t="s">
        <v>1239</v>
      </c>
      <c r="B219" s="849">
        <v>2026.0</v>
      </c>
      <c r="C219" s="849" t="s">
        <v>1662</v>
      </c>
      <c r="D219" s="849" t="s">
        <v>1663</v>
      </c>
      <c r="E219" s="849" t="s">
        <v>768</v>
      </c>
      <c r="F219" s="849" t="s">
        <v>1200</v>
      </c>
      <c r="G219" s="849">
        <v>568.75</v>
      </c>
      <c r="H219" s="849">
        <v>1137.5</v>
      </c>
      <c r="I219" s="849">
        <v>2074.47</v>
      </c>
      <c r="J219" s="849">
        <v>2821.32</v>
      </c>
      <c r="K219" s="849">
        <v>3454.97</v>
      </c>
      <c r="L219" s="849">
        <v>4133.67</v>
      </c>
      <c r="M219" s="849">
        <v>4812.37</v>
      </c>
      <c r="N219" s="849">
        <v>5491.07</v>
      </c>
      <c r="O219" s="849">
        <v>6349.87</v>
      </c>
      <c r="P219" s="849">
        <v>6932.37</v>
      </c>
      <c r="Q219" s="849">
        <v>0.0</v>
      </c>
      <c r="R219" s="849">
        <v>0.0</v>
      </c>
      <c r="S219" s="849">
        <v>705.54</v>
      </c>
      <c r="T219" s="849">
        <v>705.54</v>
      </c>
      <c r="U219" s="849">
        <v>0.0</v>
      </c>
      <c r="V219" s="849">
        <v>0.0</v>
      </c>
      <c r="W219" s="849">
        <v>0.0</v>
      </c>
      <c r="X219" s="849">
        <v>0.0</v>
      </c>
      <c r="Y219" s="849">
        <v>0.0</v>
      </c>
      <c r="Z219" s="849">
        <v>0.0</v>
      </c>
      <c r="AA219" s="849">
        <v>0.0</v>
      </c>
      <c r="AB219" s="849">
        <v>0.0</v>
      </c>
      <c r="AC219" s="849">
        <v>0.0</v>
      </c>
      <c r="AD219" s="849">
        <v>0.0</v>
      </c>
      <c r="AE219" s="849">
        <v>0.0</v>
      </c>
      <c r="AF219" s="849">
        <v>0.0</v>
      </c>
      <c r="AG219" s="849">
        <v>0.0</v>
      </c>
      <c r="AH219" s="849">
        <v>0.0</v>
      </c>
      <c r="AI219" s="849">
        <v>0.0</v>
      </c>
      <c r="AJ219" s="794" t="str">
        <f t="shared" ref="AJ219:AK219" si="435">C219</f>
        <v>G0714</v>
      </c>
      <c r="AK219" s="794" t="str">
        <f t="shared" si="435"/>
        <v>COTISATIONS-SERVICE</v>
      </c>
      <c r="AL219" s="794">
        <f t="array" ref="AL219">IFERROR(INDEX(G219:R219,1,MATCH(Parametres!$B$3,G$1:R$1,0)-1)*IF(OR(F219="L",F219="S",F219="I"),-1,1),"")</f>
        <v>5491.07</v>
      </c>
      <c r="AM219" s="794">
        <f t="shared" si="4"/>
        <v>858.8</v>
      </c>
      <c r="AN219" s="794">
        <f t="array" ref="AN219">INDEX(G219:R219,1,MATCH(Parametres!$B$3,G$1:R$1,0))*IF(OR(F219="L",F219="S",F219="I"),-1,1)</f>
        <v>6349.87</v>
      </c>
      <c r="AO219" s="853" t="str">
        <f>+VLOOKUP($AJ219,Data_Validation!$A:$D,1,0)</f>
        <v>G0714</v>
      </c>
      <c r="AP219" s="853" t="str">
        <f>+VLOOKUP($AJ219,Data_Validation!$A:$D,3,0)</f>
        <v>Service</v>
      </c>
      <c r="AQ219" s="853" t="str">
        <f>+VLOOKUP($AJ219,Data_Validation!$A:$D,4,0)</f>
        <v>Divers</v>
      </c>
      <c r="AR219" s="853" t="s">
        <v>728</v>
      </c>
      <c r="AS219" s="853" t="str">
        <f>+VLOOKUP($AJ219,Data_Validation!$A:$E,5,0)</f>
        <v/>
      </c>
      <c r="AT219" s="794" t="str">
        <f t="shared" ref="AT219:AU219" si="436">C219</f>
        <v>G0714</v>
      </c>
      <c r="AU219" s="854" t="str">
        <f t="shared" si="436"/>
        <v>COTISATIONS-SERVICE</v>
      </c>
      <c r="AV219" s="794">
        <f t="array" ref="AV219">IFERROR(INDEX(V219:AG219,1,MATCH(Parametres!$B$3,V$1:AG$1,0)-1)*IF(OR(C219="L",C219="S",C219="I"),-1,1),"")</f>
        <v>0</v>
      </c>
      <c r="AW219" s="794">
        <f t="shared" si="6"/>
        <v>0</v>
      </c>
      <c r="AX219" s="794">
        <f t="array" ref="AX219">INDEX(V219:AG219,1,MATCH(Parametres!$B$3,V$1:AG$1,0))*IF(OR(C219="L",C219="S",C219="I"),-1,1)</f>
        <v>0</v>
      </c>
      <c r="AY219" s="853" t="s">
        <v>772</v>
      </c>
      <c r="AZ219" s="853" t="str">
        <f>+VLOOKUP($AJ219,Data_Validation!$A:$E,5,0)</f>
        <v/>
      </c>
    </row>
    <row r="220" ht="15.0" customHeight="1">
      <c r="A220" s="849" t="s">
        <v>1239</v>
      </c>
      <c r="B220" s="849">
        <v>2026.0</v>
      </c>
      <c r="C220" s="849" t="s">
        <v>1664</v>
      </c>
      <c r="D220" s="849" t="s">
        <v>1665</v>
      </c>
      <c r="E220" s="849" t="s">
        <v>768</v>
      </c>
      <c r="F220" s="849" t="s">
        <v>1200</v>
      </c>
      <c r="G220" s="849">
        <v>1103.71</v>
      </c>
      <c r="H220" s="849">
        <v>1623.67</v>
      </c>
      <c r="I220" s="849">
        <v>3393.46</v>
      </c>
      <c r="J220" s="849">
        <v>4823.74</v>
      </c>
      <c r="K220" s="849">
        <v>6245.81</v>
      </c>
      <c r="L220" s="849">
        <v>8701.19</v>
      </c>
      <c r="M220" s="849">
        <v>9988.99</v>
      </c>
      <c r="N220" s="849">
        <v>11316.42</v>
      </c>
      <c r="O220" s="849">
        <v>12696.43</v>
      </c>
      <c r="P220" s="849">
        <v>13183.19</v>
      </c>
      <c r="Q220" s="849">
        <v>0.0</v>
      </c>
      <c r="R220" s="849">
        <v>0.0</v>
      </c>
      <c r="S220" s="849">
        <v>1410.71</v>
      </c>
      <c r="T220" s="849">
        <v>1410.71</v>
      </c>
      <c r="U220" s="849">
        <v>0.0</v>
      </c>
      <c r="V220" s="849">
        <v>0.0</v>
      </c>
      <c r="W220" s="849">
        <v>0.0</v>
      </c>
      <c r="X220" s="849">
        <v>0.0</v>
      </c>
      <c r="Y220" s="849">
        <v>0.0</v>
      </c>
      <c r="Z220" s="849">
        <v>0.0</v>
      </c>
      <c r="AA220" s="849">
        <v>0.0</v>
      </c>
      <c r="AB220" s="849">
        <v>0.0</v>
      </c>
      <c r="AC220" s="849">
        <v>0.0</v>
      </c>
      <c r="AD220" s="849">
        <v>0.0</v>
      </c>
      <c r="AE220" s="849">
        <v>0.0</v>
      </c>
      <c r="AF220" s="849">
        <v>0.0</v>
      </c>
      <c r="AG220" s="849">
        <v>0.0</v>
      </c>
      <c r="AH220" s="849">
        <v>0.0</v>
      </c>
      <c r="AI220" s="849">
        <v>0.0</v>
      </c>
      <c r="AJ220" s="794" t="str">
        <f t="shared" ref="AJ220:AK220" si="437">C220</f>
        <v>G0715</v>
      </c>
      <c r="AK220" s="794" t="str">
        <f t="shared" si="437"/>
        <v>COTISATIONS-CARROSS.</v>
      </c>
      <c r="AL220" s="794">
        <f t="array" ref="AL220">IFERROR(INDEX(G220:R220,1,MATCH(Parametres!$B$3,G$1:R$1,0)-1)*IF(OR(F220="L",F220="S",F220="I"),-1,1),"")</f>
        <v>11316.42</v>
      </c>
      <c r="AM220" s="794">
        <f t="shared" si="4"/>
        <v>1380.01</v>
      </c>
      <c r="AN220" s="794">
        <f t="array" ref="AN220">INDEX(G220:R220,1,MATCH(Parametres!$B$3,G$1:R$1,0))*IF(OR(F220="L",F220="S",F220="I"),-1,1)</f>
        <v>12696.43</v>
      </c>
      <c r="AO220" s="853" t="str">
        <f>+VLOOKUP($AJ220,Data_Validation!$A:$D,1,0)</f>
        <v>G0715</v>
      </c>
      <c r="AP220" s="853" t="str">
        <f>+VLOOKUP($AJ220,Data_Validation!$A:$D,3,0)</f>
        <v>Carrosserie</v>
      </c>
      <c r="AQ220" s="853" t="str">
        <f>+VLOOKUP($AJ220,Data_Validation!$A:$D,4,0)</f>
        <v>Divers</v>
      </c>
      <c r="AR220" s="853" t="s">
        <v>728</v>
      </c>
      <c r="AS220" s="853" t="str">
        <f>+VLOOKUP($AJ220,Data_Validation!$A:$E,5,0)</f>
        <v/>
      </c>
      <c r="AT220" s="794" t="str">
        <f t="shared" ref="AT220:AU220" si="438">C220</f>
        <v>G0715</v>
      </c>
      <c r="AU220" s="854" t="str">
        <f t="shared" si="438"/>
        <v>COTISATIONS-CARROSS.</v>
      </c>
      <c r="AV220" s="794">
        <f t="array" ref="AV220">IFERROR(INDEX(V220:AG220,1,MATCH(Parametres!$B$3,V$1:AG$1,0)-1)*IF(OR(C220="L",C220="S",C220="I"),-1,1),"")</f>
        <v>0</v>
      </c>
      <c r="AW220" s="794">
        <f t="shared" si="6"/>
        <v>0</v>
      </c>
      <c r="AX220" s="794">
        <f t="array" ref="AX220">INDEX(V220:AG220,1,MATCH(Parametres!$B$3,V$1:AG$1,0))*IF(OR(C220="L",C220="S",C220="I"),-1,1)</f>
        <v>0</v>
      </c>
      <c r="AY220" s="853" t="s">
        <v>772</v>
      </c>
      <c r="AZ220" s="853" t="str">
        <f>+VLOOKUP($AJ220,Data_Validation!$A:$E,5,0)</f>
        <v/>
      </c>
    </row>
    <row r="221" ht="15.0" customHeight="1">
      <c r="A221" s="849" t="s">
        <v>1239</v>
      </c>
      <c r="B221" s="849">
        <v>2026.0</v>
      </c>
      <c r="C221" s="849" t="s">
        <v>1666</v>
      </c>
      <c r="D221" s="849" t="s">
        <v>1667</v>
      </c>
      <c r="E221" s="849" t="s">
        <v>768</v>
      </c>
      <c r="F221" s="849" t="s">
        <v>1200</v>
      </c>
      <c r="G221" s="849">
        <v>0.0</v>
      </c>
      <c r="H221" s="849">
        <v>0.0</v>
      </c>
      <c r="I221" s="849">
        <v>0.0</v>
      </c>
      <c r="J221" s="849">
        <v>0.0</v>
      </c>
      <c r="K221" s="849">
        <v>1516.27</v>
      </c>
      <c r="L221" s="849">
        <v>5439.79</v>
      </c>
      <c r="M221" s="849">
        <v>8514.79</v>
      </c>
      <c r="N221" s="849">
        <v>11870.98</v>
      </c>
      <c r="O221" s="849">
        <v>14149.36</v>
      </c>
      <c r="P221" s="849">
        <v>14149.36</v>
      </c>
      <c r="Q221" s="849">
        <v>0.0</v>
      </c>
      <c r="R221" s="849">
        <v>0.0</v>
      </c>
      <c r="S221" s="849">
        <v>1572.15</v>
      </c>
      <c r="T221" s="849">
        <v>1572.15</v>
      </c>
      <c r="U221" s="849">
        <v>0.0</v>
      </c>
      <c r="V221" s="849">
        <v>0.0</v>
      </c>
      <c r="W221" s="849">
        <v>0.0</v>
      </c>
      <c r="X221" s="849">
        <v>0.0</v>
      </c>
      <c r="Y221" s="849">
        <v>0.0</v>
      </c>
      <c r="Z221" s="849">
        <v>0.0</v>
      </c>
      <c r="AA221" s="849">
        <v>0.0</v>
      </c>
      <c r="AB221" s="849">
        <v>0.0</v>
      </c>
      <c r="AC221" s="849">
        <v>0.0</v>
      </c>
      <c r="AD221" s="849">
        <v>0.0</v>
      </c>
      <c r="AE221" s="849">
        <v>0.0</v>
      </c>
      <c r="AF221" s="849">
        <v>0.0</v>
      </c>
      <c r="AG221" s="849">
        <v>0.0</v>
      </c>
      <c r="AH221" s="849">
        <v>0.0</v>
      </c>
      <c r="AI221" s="849">
        <v>0.0</v>
      </c>
      <c r="AJ221" s="794" t="str">
        <f t="shared" ref="AJ221:AK221" si="439">C221</f>
        <v>G07150</v>
      </c>
      <c r="AK221" s="794" t="str">
        <f t="shared" si="439"/>
        <v>FRAIS ASSURANCES - BODY</v>
      </c>
      <c r="AL221" s="794">
        <f t="array" ref="AL221">IFERROR(INDEX(G221:R221,1,MATCH(Parametres!$B$3,G$1:R$1,0)-1)*IF(OR(F221="L",F221="S",F221="I"),-1,1),"")</f>
        <v>11870.98</v>
      </c>
      <c r="AM221" s="794">
        <f t="shared" si="4"/>
        <v>2278.38</v>
      </c>
      <c r="AN221" s="794">
        <f t="array" ref="AN221">INDEX(G221:R221,1,MATCH(Parametres!$B$3,G$1:R$1,0))*IF(OR(F221="L",F221="S",F221="I"),-1,1)</f>
        <v>14149.36</v>
      </c>
      <c r="AO221" s="853" t="str">
        <f>+VLOOKUP($AJ221,Data_Validation!$A:$D,1,0)</f>
        <v>G07150</v>
      </c>
      <c r="AP221" s="853" t="str">
        <f>+VLOOKUP($AJ221,Data_Validation!$A:$D,3,0)</f>
        <v>Carrosserie</v>
      </c>
      <c r="AQ221" s="853" t="str">
        <f>+VLOOKUP($AJ221,Data_Validation!$A:$D,4,0)</f>
        <v>Frais assurances</v>
      </c>
      <c r="AR221" s="853" t="s">
        <v>728</v>
      </c>
      <c r="AS221" s="853" t="str">
        <f>+VLOOKUP($AJ221,Data_Validation!$A:$E,5,0)</f>
        <v/>
      </c>
      <c r="AT221" s="794" t="str">
        <f t="shared" ref="AT221:AU221" si="440">C221</f>
        <v>G07150</v>
      </c>
      <c r="AU221" s="854" t="str">
        <f t="shared" si="440"/>
        <v>FRAIS ASSURANCES - BODY</v>
      </c>
      <c r="AV221" s="794">
        <f t="array" ref="AV221">IFERROR(INDEX(V221:AG221,1,MATCH(Parametres!$B$3,V$1:AG$1,0)-1)*IF(OR(C221="L",C221="S",C221="I"),-1,1),"")</f>
        <v>0</v>
      </c>
      <c r="AW221" s="794">
        <f t="shared" si="6"/>
        <v>0</v>
      </c>
      <c r="AX221" s="794">
        <f t="array" ref="AX221">INDEX(V221:AG221,1,MATCH(Parametres!$B$3,V$1:AG$1,0))*IF(OR(C221="L",C221="S",C221="I"),-1,1)</f>
        <v>0</v>
      </c>
      <c r="AY221" s="853" t="s">
        <v>772</v>
      </c>
      <c r="AZ221" s="853" t="str">
        <f>+VLOOKUP($AJ221,Data_Validation!$A:$E,5,0)</f>
        <v/>
      </c>
    </row>
    <row r="222" ht="15.0" customHeight="1">
      <c r="A222" s="849" t="s">
        <v>1239</v>
      </c>
      <c r="B222" s="849">
        <v>2026.0</v>
      </c>
      <c r="C222" s="849" t="s">
        <v>1668</v>
      </c>
      <c r="D222" s="849" t="s">
        <v>1669</v>
      </c>
      <c r="E222" s="849" t="s">
        <v>768</v>
      </c>
      <c r="F222" s="849" t="s">
        <v>1200</v>
      </c>
      <c r="G222" s="849">
        <v>994.95</v>
      </c>
      <c r="H222" s="849">
        <v>2214.9</v>
      </c>
      <c r="I222" s="849">
        <v>3067.57</v>
      </c>
      <c r="J222" s="849">
        <v>4082.31</v>
      </c>
      <c r="K222" s="849">
        <v>8367.91</v>
      </c>
      <c r="L222" s="849">
        <v>9334.51</v>
      </c>
      <c r="M222" s="849">
        <v>10361.11</v>
      </c>
      <c r="N222" s="849">
        <v>11327.71</v>
      </c>
      <c r="O222" s="849">
        <v>12354.31</v>
      </c>
      <c r="P222" s="849">
        <v>13024.26</v>
      </c>
      <c r="Q222" s="849">
        <v>0.0</v>
      </c>
      <c r="R222" s="849">
        <v>0.0</v>
      </c>
      <c r="S222" s="849">
        <v>1372.7</v>
      </c>
      <c r="T222" s="849">
        <v>1372.7</v>
      </c>
      <c r="U222" s="849">
        <v>0.0</v>
      </c>
      <c r="V222" s="849">
        <v>0.0</v>
      </c>
      <c r="W222" s="849">
        <v>0.0</v>
      </c>
      <c r="X222" s="849">
        <v>0.0</v>
      </c>
      <c r="Y222" s="849">
        <v>0.0</v>
      </c>
      <c r="Z222" s="849">
        <v>0.0</v>
      </c>
      <c r="AA222" s="849">
        <v>0.0</v>
      </c>
      <c r="AB222" s="849">
        <v>0.0</v>
      </c>
      <c r="AC222" s="849">
        <v>0.0</v>
      </c>
      <c r="AD222" s="849">
        <v>0.0</v>
      </c>
      <c r="AE222" s="849">
        <v>0.0</v>
      </c>
      <c r="AF222" s="849">
        <v>0.0</v>
      </c>
      <c r="AG222" s="849">
        <v>0.0</v>
      </c>
      <c r="AH222" s="849">
        <v>0.0</v>
      </c>
      <c r="AI222" s="849">
        <v>0.0</v>
      </c>
      <c r="AJ222" s="794" t="str">
        <f t="shared" ref="AJ222:AK222" si="441">C222</f>
        <v>G0716</v>
      </c>
      <c r="AK222" s="794" t="str">
        <f t="shared" si="441"/>
        <v>COTISATIONS-PIECES</v>
      </c>
      <c r="AL222" s="794">
        <f t="array" ref="AL222">IFERROR(INDEX(G222:R222,1,MATCH(Parametres!$B$3,G$1:R$1,0)-1)*IF(OR(F222="L",F222="S",F222="I"),-1,1),"")</f>
        <v>11327.71</v>
      </c>
      <c r="AM222" s="794">
        <f t="shared" si="4"/>
        <v>1026.6</v>
      </c>
      <c r="AN222" s="794">
        <f t="array" ref="AN222">INDEX(G222:R222,1,MATCH(Parametres!$B$3,G$1:R$1,0))*IF(OR(F222="L",F222="S",F222="I"),-1,1)</f>
        <v>12354.31</v>
      </c>
      <c r="AO222" s="853" t="str">
        <f>+VLOOKUP($AJ222,Data_Validation!$A:$D,1,0)</f>
        <v>G0716</v>
      </c>
      <c r="AP222" s="853" t="str">
        <f>+VLOOKUP($AJ222,Data_Validation!$A:$D,3,0)</f>
        <v>Pièces</v>
      </c>
      <c r="AQ222" s="853" t="str">
        <f>+VLOOKUP($AJ222,Data_Validation!$A:$D,4,0)</f>
        <v>Divers</v>
      </c>
      <c r="AR222" s="853" t="s">
        <v>728</v>
      </c>
      <c r="AS222" s="853" t="str">
        <f>+VLOOKUP($AJ222,Data_Validation!$A:$E,5,0)</f>
        <v/>
      </c>
      <c r="AT222" s="794" t="str">
        <f t="shared" ref="AT222:AU222" si="442">C222</f>
        <v>G0716</v>
      </c>
      <c r="AU222" s="854" t="str">
        <f t="shared" si="442"/>
        <v>COTISATIONS-PIECES</v>
      </c>
      <c r="AV222" s="794">
        <f t="array" ref="AV222">IFERROR(INDEX(V222:AG222,1,MATCH(Parametres!$B$3,V$1:AG$1,0)-1)*IF(OR(C222="L",C222="S",C222="I"),-1,1),"")</f>
        <v>0</v>
      </c>
      <c r="AW222" s="794">
        <f t="shared" si="6"/>
        <v>0</v>
      </c>
      <c r="AX222" s="794">
        <f t="array" ref="AX222">INDEX(V222:AG222,1,MATCH(Parametres!$B$3,V$1:AG$1,0))*IF(OR(C222="L",C222="S",C222="I"),-1,1)</f>
        <v>0</v>
      </c>
      <c r="AY222" s="853" t="s">
        <v>772</v>
      </c>
      <c r="AZ222" s="853" t="str">
        <f>+VLOOKUP($AJ222,Data_Validation!$A:$E,5,0)</f>
        <v/>
      </c>
    </row>
    <row r="223" ht="15.0" customHeight="1">
      <c r="A223" s="849" t="s">
        <v>1239</v>
      </c>
      <c r="B223" s="849">
        <v>2026.0</v>
      </c>
      <c r="C223" s="849" t="s">
        <v>1670</v>
      </c>
      <c r="D223" s="849" t="s">
        <v>1671</v>
      </c>
      <c r="E223" s="849" t="s">
        <v>768</v>
      </c>
      <c r="F223" s="849" t="s">
        <v>1200</v>
      </c>
      <c r="G223" s="849">
        <v>0.0</v>
      </c>
      <c r="H223" s="849">
        <v>0.0</v>
      </c>
      <c r="I223" s="849">
        <v>0.0</v>
      </c>
      <c r="J223" s="849">
        <v>0.0</v>
      </c>
      <c r="K223" s="849">
        <v>0.0</v>
      </c>
      <c r="L223" s="849">
        <v>0.0</v>
      </c>
      <c r="M223" s="849">
        <v>0.0</v>
      </c>
      <c r="N223" s="849">
        <v>0.0</v>
      </c>
      <c r="O223" s="849">
        <v>0.0</v>
      </c>
      <c r="P223" s="849">
        <v>0.0</v>
      </c>
      <c r="Q223" s="849">
        <v>0.0</v>
      </c>
      <c r="R223" s="849">
        <v>0.0</v>
      </c>
      <c r="S223" s="849">
        <v>0.0</v>
      </c>
      <c r="T223" s="849">
        <v>0.0</v>
      </c>
      <c r="U223" s="849">
        <v>0.0</v>
      </c>
      <c r="V223" s="849">
        <v>0.0</v>
      </c>
      <c r="W223" s="849">
        <v>0.0</v>
      </c>
      <c r="X223" s="849">
        <v>0.0</v>
      </c>
      <c r="Y223" s="849">
        <v>0.0</v>
      </c>
      <c r="Z223" s="849">
        <v>0.0</v>
      </c>
      <c r="AA223" s="849">
        <v>0.0</v>
      </c>
      <c r="AB223" s="849">
        <v>0.0</v>
      </c>
      <c r="AC223" s="849">
        <v>0.0</v>
      </c>
      <c r="AD223" s="849">
        <v>0.0</v>
      </c>
      <c r="AE223" s="849">
        <v>0.0</v>
      </c>
      <c r="AF223" s="849">
        <v>0.0</v>
      </c>
      <c r="AG223" s="849">
        <v>0.0</v>
      </c>
      <c r="AH223" s="849">
        <v>0.0</v>
      </c>
      <c r="AI223" s="849">
        <v>0.0</v>
      </c>
      <c r="AJ223" s="794" t="str">
        <f t="shared" ref="AJ223:AK223" si="443">C223</f>
        <v>G0720</v>
      </c>
      <c r="AK223" s="794" t="str">
        <f t="shared" si="443"/>
        <v>HONORAIRES PROF. REP</v>
      </c>
      <c r="AL223" s="794">
        <f t="array" ref="AL223">IFERROR(INDEX(G223:R223,1,MATCH(Parametres!$B$3,G$1:R$1,0)-1)*IF(OR(F223="L",F223="S",F223="I"),-1,1),"")</f>
        <v>0</v>
      </c>
      <c r="AM223" s="794">
        <f t="shared" si="4"/>
        <v>0</v>
      </c>
      <c r="AN223" s="794">
        <f t="array" ref="AN223">INDEX(G223:R223,1,MATCH(Parametres!$B$3,G$1:R$1,0))*IF(OR(F223="L",F223="S",F223="I"),-1,1)</f>
        <v>0</v>
      </c>
      <c r="AO223" s="853" t="str">
        <f>+VLOOKUP($AJ223,Data_Validation!$A:$D,1,0)</f>
        <v>#N/A</v>
      </c>
      <c r="AP223" s="853" t="str">
        <f>+VLOOKUP($AJ223,Data_Validation!$A:$D,3,0)</f>
        <v>#N/A</v>
      </c>
      <c r="AQ223" s="853" t="str">
        <f>+VLOOKUP($AJ223,Data_Validation!$A:$D,4,0)</f>
        <v>#N/A</v>
      </c>
      <c r="AR223" s="853" t="s">
        <v>728</v>
      </c>
      <c r="AS223" s="853" t="str">
        <f>+VLOOKUP($AJ223,Data_Validation!$A:$E,5,0)</f>
        <v>#N/A</v>
      </c>
      <c r="AT223" s="794" t="str">
        <f t="shared" ref="AT223:AU223" si="444">C223</f>
        <v>G0720</v>
      </c>
      <c r="AU223" s="854" t="str">
        <f t="shared" si="444"/>
        <v>HONORAIRES PROF. REP</v>
      </c>
      <c r="AV223" s="794">
        <f t="array" ref="AV223">IFERROR(INDEX(V223:AG223,1,MATCH(Parametres!$B$3,V$1:AG$1,0)-1)*IF(OR(C223="L",C223="S",C223="I"),-1,1),"")</f>
        <v>0</v>
      </c>
      <c r="AW223" s="794">
        <f t="shared" si="6"/>
        <v>0</v>
      </c>
      <c r="AX223" s="794">
        <f t="array" ref="AX223">INDEX(V223:AG223,1,MATCH(Parametres!$B$3,V$1:AG$1,0))*IF(OR(C223="L",C223="S",C223="I"),-1,1)</f>
        <v>0</v>
      </c>
      <c r="AY223" s="853" t="s">
        <v>772</v>
      </c>
      <c r="AZ223" s="853" t="str">
        <f>+VLOOKUP($AJ223,Data_Validation!$A:$E,5,0)</f>
        <v>#N/A</v>
      </c>
    </row>
    <row r="224" ht="15.0" customHeight="1">
      <c r="A224" s="849" t="s">
        <v>1239</v>
      </c>
      <c r="B224" s="849">
        <v>2026.0</v>
      </c>
      <c r="C224" s="849" t="s">
        <v>1672</v>
      </c>
      <c r="D224" s="849" t="s">
        <v>1673</v>
      </c>
      <c r="E224" s="849" t="s">
        <v>768</v>
      </c>
      <c r="F224" s="849" t="s">
        <v>1200</v>
      </c>
      <c r="G224" s="849">
        <v>125.0</v>
      </c>
      <c r="H224" s="849">
        <v>354.2</v>
      </c>
      <c r="I224" s="849">
        <v>2995.24</v>
      </c>
      <c r="J224" s="849">
        <v>4675.24</v>
      </c>
      <c r="K224" s="849">
        <v>6750.24</v>
      </c>
      <c r="L224" s="849">
        <v>7800.24</v>
      </c>
      <c r="M224" s="849">
        <v>9200.24</v>
      </c>
      <c r="N224" s="849">
        <v>12510.68</v>
      </c>
      <c r="O224" s="849">
        <v>14042.68</v>
      </c>
      <c r="P224" s="849">
        <v>14042.68</v>
      </c>
      <c r="Q224" s="849">
        <v>0.0</v>
      </c>
      <c r="R224" s="849">
        <v>0.0</v>
      </c>
      <c r="S224" s="849">
        <v>1560.3</v>
      </c>
      <c r="T224" s="849">
        <v>1560.3</v>
      </c>
      <c r="U224" s="849">
        <v>0.0</v>
      </c>
      <c r="V224" s="849">
        <v>0.0</v>
      </c>
      <c r="W224" s="849">
        <v>0.0</v>
      </c>
      <c r="X224" s="849">
        <v>0.0</v>
      </c>
      <c r="Y224" s="849">
        <v>0.0</v>
      </c>
      <c r="Z224" s="849">
        <v>0.0</v>
      </c>
      <c r="AA224" s="849">
        <v>0.0</v>
      </c>
      <c r="AB224" s="849">
        <v>0.0</v>
      </c>
      <c r="AC224" s="849">
        <v>0.0</v>
      </c>
      <c r="AD224" s="849">
        <v>0.0</v>
      </c>
      <c r="AE224" s="849">
        <v>0.0</v>
      </c>
      <c r="AF224" s="849">
        <v>0.0</v>
      </c>
      <c r="AG224" s="849">
        <v>0.0</v>
      </c>
      <c r="AH224" s="849">
        <v>0.0</v>
      </c>
      <c r="AI224" s="849">
        <v>0.0</v>
      </c>
      <c r="AJ224" s="794" t="str">
        <f t="shared" ref="AJ224:AK224" si="445">C224</f>
        <v>G0721</v>
      </c>
      <c r="AK224" s="794" t="str">
        <f t="shared" si="445"/>
        <v>HONORAIRES PROF.-NEUFS</v>
      </c>
      <c r="AL224" s="794">
        <f t="array" ref="AL224">IFERROR(INDEX(G224:R224,1,MATCH(Parametres!$B$3,G$1:R$1,0)-1)*IF(OR(F224="L",F224="S",F224="I"),-1,1),"")</f>
        <v>12510.68</v>
      </c>
      <c r="AM224" s="794">
        <f t="shared" si="4"/>
        <v>1532</v>
      </c>
      <c r="AN224" s="794">
        <f t="array" ref="AN224">INDEX(G224:R224,1,MATCH(Parametres!$B$3,G$1:R$1,0))*IF(OR(F224="L",F224="S",F224="I"),-1,1)</f>
        <v>14042.68</v>
      </c>
      <c r="AO224" s="853" t="str">
        <f>+VLOOKUP($AJ224,Data_Validation!$A:$D,1,0)</f>
        <v>G0721</v>
      </c>
      <c r="AP224" s="853" t="str">
        <f>+VLOOKUP($AJ224,Data_Validation!$A:$D,3,0)</f>
        <v>Véhicules neufs</v>
      </c>
      <c r="AQ224" s="853" t="str">
        <f>+VLOOKUP($AJ224,Data_Validation!$A:$D,4,0)</f>
        <v>Honoraires</v>
      </c>
      <c r="AR224" s="853" t="s">
        <v>728</v>
      </c>
      <c r="AS224" s="853" t="str">
        <f>+VLOOKUP($AJ224,Data_Validation!$A:$E,5,0)</f>
        <v/>
      </c>
      <c r="AT224" s="794" t="str">
        <f t="shared" ref="AT224:AU224" si="446">C224</f>
        <v>G0721</v>
      </c>
      <c r="AU224" s="854" t="str">
        <f t="shared" si="446"/>
        <v>HONORAIRES PROF.-NEUFS</v>
      </c>
      <c r="AV224" s="794">
        <f t="array" ref="AV224">IFERROR(INDEX(V224:AG224,1,MATCH(Parametres!$B$3,V$1:AG$1,0)-1)*IF(OR(C224="L",C224="S",C224="I"),-1,1),"")</f>
        <v>0</v>
      </c>
      <c r="AW224" s="794">
        <f t="shared" si="6"/>
        <v>0</v>
      </c>
      <c r="AX224" s="794">
        <f t="array" ref="AX224">INDEX(V224:AG224,1,MATCH(Parametres!$B$3,V$1:AG$1,0))*IF(OR(C224="L",C224="S",C224="I"),-1,1)</f>
        <v>0</v>
      </c>
      <c r="AY224" s="853" t="s">
        <v>772</v>
      </c>
      <c r="AZ224" s="853" t="str">
        <f>+VLOOKUP($AJ224,Data_Validation!$A:$E,5,0)</f>
        <v/>
      </c>
    </row>
    <row r="225" ht="15.75" customHeight="1">
      <c r="A225" s="849" t="s">
        <v>1239</v>
      </c>
      <c r="B225" s="849">
        <v>2026.0</v>
      </c>
      <c r="C225" s="849" t="s">
        <v>1674</v>
      </c>
      <c r="D225" s="849" t="s">
        <v>1675</v>
      </c>
      <c r="E225" s="849" t="s">
        <v>768</v>
      </c>
      <c r="F225" s="849" t="s">
        <v>1200</v>
      </c>
      <c r="G225" s="849">
        <v>0.0</v>
      </c>
      <c r="H225" s="849">
        <v>152.8</v>
      </c>
      <c r="I225" s="849">
        <v>1913.5</v>
      </c>
      <c r="J225" s="849">
        <v>3033.5</v>
      </c>
      <c r="K225" s="849">
        <v>3733.5</v>
      </c>
      <c r="L225" s="849">
        <v>4433.5</v>
      </c>
      <c r="M225" s="849">
        <v>5366.83</v>
      </c>
      <c r="N225" s="849">
        <v>7419.77</v>
      </c>
      <c r="O225" s="849">
        <v>8353.1</v>
      </c>
      <c r="P225" s="849">
        <v>8353.1</v>
      </c>
      <c r="Q225" s="849">
        <v>0.0</v>
      </c>
      <c r="R225" s="849">
        <v>0.0</v>
      </c>
      <c r="S225" s="849">
        <v>928.12</v>
      </c>
      <c r="T225" s="849">
        <v>928.12</v>
      </c>
      <c r="U225" s="849">
        <v>0.0</v>
      </c>
      <c r="V225" s="849">
        <v>0.0</v>
      </c>
      <c r="W225" s="849">
        <v>0.0</v>
      </c>
      <c r="X225" s="849">
        <v>0.0</v>
      </c>
      <c r="Y225" s="849">
        <v>0.0</v>
      </c>
      <c r="Z225" s="849">
        <v>0.0</v>
      </c>
      <c r="AA225" s="849">
        <v>0.0</v>
      </c>
      <c r="AB225" s="849">
        <v>0.0</v>
      </c>
      <c r="AC225" s="849">
        <v>0.0</v>
      </c>
      <c r="AD225" s="849">
        <v>0.0</v>
      </c>
      <c r="AE225" s="849">
        <v>0.0</v>
      </c>
      <c r="AF225" s="849">
        <v>0.0</v>
      </c>
      <c r="AG225" s="849">
        <v>0.0</v>
      </c>
      <c r="AH225" s="849">
        <v>0.0</v>
      </c>
      <c r="AI225" s="849">
        <v>0.0</v>
      </c>
      <c r="AJ225" s="794" t="str">
        <f t="shared" ref="AJ225:AK225" si="447">C225</f>
        <v>G0722</v>
      </c>
      <c r="AK225" s="794" t="str">
        <f t="shared" si="447"/>
        <v>HONORAIRES PROF.-USAGES</v>
      </c>
      <c r="AL225" s="794">
        <f t="array" ref="AL225">IFERROR(INDEX(G225:R225,1,MATCH(Parametres!$B$3,G$1:R$1,0)-1)*IF(OR(F225="L",F225="S",F225="I"),-1,1),"")</f>
        <v>7419.77</v>
      </c>
      <c r="AM225" s="794">
        <f t="shared" si="4"/>
        <v>933.33</v>
      </c>
      <c r="AN225" s="794">
        <f t="array" ref="AN225">INDEX(G225:R225,1,MATCH(Parametres!$B$3,G$1:R$1,0))*IF(OR(F225="L",F225="S",F225="I"),-1,1)</f>
        <v>8353.1</v>
      </c>
      <c r="AO225" s="853" t="str">
        <f>+VLOOKUP($AJ225,Data_Validation!$A:$D,1,0)</f>
        <v>G0722</v>
      </c>
      <c r="AP225" s="853" t="str">
        <f>+VLOOKUP($AJ225,Data_Validation!$A:$D,3,0)</f>
        <v>Véhicules usagés</v>
      </c>
      <c r="AQ225" s="853" t="str">
        <f>+VLOOKUP($AJ225,Data_Validation!$A:$D,4,0)</f>
        <v>Honoraires</v>
      </c>
      <c r="AR225" s="853" t="s">
        <v>728</v>
      </c>
      <c r="AS225" s="853" t="str">
        <f>+VLOOKUP($AJ225,Data_Validation!$A:$E,5,0)</f>
        <v/>
      </c>
      <c r="AT225" s="794" t="str">
        <f t="shared" ref="AT225:AU225" si="448">C225</f>
        <v>G0722</v>
      </c>
      <c r="AU225" s="854" t="str">
        <f t="shared" si="448"/>
        <v>HONORAIRES PROF.-USAGES</v>
      </c>
      <c r="AV225" s="794">
        <f t="array" ref="AV225">IFERROR(INDEX(V225:AG225,1,MATCH(Parametres!$B$3,V$1:AG$1,0)-1)*IF(OR(C225="L",C225="S",C225="I"),-1,1),"")</f>
        <v>0</v>
      </c>
      <c r="AW225" s="794">
        <f t="shared" si="6"/>
        <v>0</v>
      </c>
      <c r="AX225" s="794">
        <f t="array" ref="AX225">INDEX(V225:AG225,1,MATCH(Parametres!$B$3,V$1:AG$1,0))*IF(OR(C225="L",C225="S",C225="I"),-1,1)</f>
        <v>0</v>
      </c>
      <c r="AY225" s="853" t="s">
        <v>772</v>
      </c>
      <c r="AZ225" s="853" t="str">
        <f>+VLOOKUP($AJ225,Data_Validation!$A:$E,5,0)</f>
        <v/>
      </c>
    </row>
    <row r="226" ht="15.0" customHeight="1">
      <c r="A226" s="849" t="s">
        <v>1239</v>
      </c>
      <c r="B226" s="849">
        <v>2026.0</v>
      </c>
      <c r="C226" s="849" t="s">
        <v>1676</v>
      </c>
      <c r="D226" s="849" t="s">
        <v>1677</v>
      </c>
      <c r="E226" s="849" t="s">
        <v>768</v>
      </c>
      <c r="F226" s="849" t="s">
        <v>1200</v>
      </c>
      <c r="G226" s="849">
        <v>0.0</v>
      </c>
      <c r="H226" s="849">
        <v>0.0</v>
      </c>
      <c r="I226" s="849">
        <v>0.0</v>
      </c>
      <c r="J226" s="849">
        <v>0.0</v>
      </c>
      <c r="K226" s="849">
        <v>0.0</v>
      </c>
      <c r="L226" s="849">
        <v>0.0</v>
      </c>
      <c r="M226" s="849">
        <v>0.0</v>
      </c>
      <c r="N226" s="849">
        <v>0.0</v>
      </c>
      <c r="O226" s="849">
        <v>0.0</v>
      </c>
      <c r="P226" s="849">
        <v>0.0</v>
      </c>
      <c r="Q226" s="849">
        <v>0.0</v>
      </c>
      <c r="R226" s="849">
        <v>0.0</v>
      </c>
      <c r="S226" s="849">
        <v>0.0</v>
      </c>
      <c r="T226" s="849">
        <v>0.0</v>
      </c>
      <c r="U226" s="849">
        <v>0.0</v>
      </c>
      <c r="V226" s="849">
        <v>0.0</v>
      </c>
      <c r="W226" s="849">
        <v>0.0</v>
      </c>
      <c r="X226" s="849">
        <v>0.0</v>
      </c>
      <c r="Y226" s="849">
        <v>0.0</v>
      </c>
      <c r="Z226" s="849">
        <v>0.0</v>
      </c>
      <c r="AA226" s="849">
        <v>0.0</v>
      </c>
      <c r="AB226" s="849">
        <v>0.0</v>
      </c>
      <c r="AC226" s="849">
        <v>0.0</v>
      </c>
      <c r="AD226" s="849">
        <v>0.0</v>
      </c>
      <c r="AE226" s="849">
        <v>0.0</v>
      </c>
      <c r="AF226" s="849">
        <v>0.0</v>
      </c>
      <c r="AG226" s="849">
        <v>0.0</v>
      </c>
      <c r="AH226" s="849">
        <v>0.0</v>
      </c>
      <c r="AI226" s="849">
        <v>0.0</v>
      </c>
      <c r="AJ226" s="794" t="str">
        <f t="shared" ref="AJ226:AK226" si="449">C226</f>
        <v>G0723</v>
      </c>
      <c r="AK226" s="794" t="str">
        <f t="shared" si="449"/>
        <v>HONORAIRES PROF. U.S.A</v>
      </c>
      <c r="AL226" s="794">
        <f t="array" ref="AL226">IFERROR(INDEX(G226:R226,1,MATCH(Parametres!$B$3,G$1:R$1,0)-1)*IF(OR(F226="L",F226="S",F226="I"),-1,1),"")</f>
        <v>0</v>
      </c>
      <c r="AM226" s="794">
        <f t="shared" si="4"/>
        <v>0</v>
      </c>
      <c r="AN226" s="794">
        <f t="array" ref="AN226">INDEX(G226:R226,1,MATCH(Parametres!$B$3,G$1:R$1,0))*IF(OR(F226="L",F226="S",F226="I"),-1,1)</f>
        <v>0</v>
      </c>
      <c r="AO226" s="853" t="str">
        <f>+VLOOKUP($AJ226,Data_Validation!$A:$D,1,0)</f>
        <v>G0723</v>
      </c>
      <c r="AP226" s="853" t="str">
        <f>+VLOOKUP($AJ226,Data_Validation!$A:$D,3,0)</f>
        <v>Wholesale autres</v>
      </c>
      <c r="AQ226" s="853" t="str">
        <f>+VLOOKUP($AJ226,Data_Validation!$A:$D,4,0)</f>
        <v>Honoraires</v>
      </c>
      <c r="AR226" s="853" t="s">
        <v>728</v>
      </c>
      <c r="AS226" s="853" t="str">
        <f>+VLOOKUP($AJ226,Data_Validation!$A:$E,5,0)</f>
        <v/>
      </c>
      <c r="AT226" s="794" t="str">
        <f t="shared" ref="AT226:AU226" si="450">C226</f>
        <v>G0723</v>
      </c>
      <c r="AU226" s="854" t="str">
        <f t="shared" si="450"/>
        <v>HONORAIRES PROF. U.S.A</v>
      </c>
      <c r="AV226" s="794">
        <f t="array" ref="AV226">IFERROR(INDEX(V226:AG226,1,MATCH(Parametres!$B$3,V$1:AG$1,0)-1)*IF(OR(C226="L",C226="S",C226="I"),-1,1),"")</f>
        <v>0</v>
      </c>
      <c r="AW226" s="794">
        <f t="shared" si="6"/>
        <v>0</v>
      </c>
      <c r="AX226" s="794">
        <f t="array" ref="AX226">INDEX(V226:AG226,1,MATCH(Parametres!$B$3,V$1:AG$1,0))*IF(OR(C226="L",C226="S",C226="I"),-1,1)</f>
        <v>0</v>
      </c>
      <c r="AY226" s="853" t="s">
        <v>772</v>
      </c>
      <c r="AZ226" s="853" t="str">
        <f>+VLOOKUP($AJ226,Data_Validation!$A:$E,5,0)</f>
        <v/>
      </c>
    </row>
    <row r="227" ht="15.0" customHeight="1">
      <c r="A227" s="849" t="s">
        <v>1239</v>
      </c>
      <c r="B227" s="849">
        <v>2026.0</v>
      </c>
      <c r="C227" s="849" t="s">
        <v>1678</v>
      </c>
      <c r="D227" s="849" t="s">
        <v>1679</v>
      </c>
      <c r="E227" s="849" t="s">
        <v>768</v>
      </c>
      <c r="F227" s="849" t="s">
        <v>1200</v>
      </c>
      <c r="G227" s="849">
        <v>302.48</v>
      </c>
      <c r="H227" s="849">
        <v>809.1</v>
      </c>
      <c r="I227" s="849">
        <v>3450.14</v>
      </c>
      <c r="J227" s="849">
        <v>5130.14</v>
      </c>
      <c r="K227" s="849">
        <v>6241.94</v>
      </c>
      <c r="L227" s="849">
        <v>7321.94</v>
      </c>
      <c r="M227" s="849">
        <v>9168.42</v>
      </c>
      <c r="N227" s="849">
        <v>12277.86</v>
      </c>
      <c r="O227" s="849">
        <v>13932.34</v>
      </c>
      <c r="P227" s="849">
        <v>13932.34</v>
      </c>
      <c r="Q227" s="849">
        <v>0.0</v>
      </c>
      <c r="R227" s="849">
        <v>0.0</v>
      </c>
      <c r="S227" s="849">
        <v>1548.04</v>
      </c>
      <c r="T227" s="849">
        <v>1548.04</v>
      </c>
      <c r="U227" s="849">
        <v>0.0</v>
      </c>
      <c r="V227" s="849">
        <v>0.0</v>
      </c>
      <c r="W227" s="849">
        <v>0.0</v>
      </c>
      <c r="X227" s="849">
        <v>0.0</v>
      </c>
      <c r="Y227" s="849">
        <v>0.0</v>
      </c>
      <c r="Z227" s="849">
        <v>0.0</v>
      </c>
      <c r="AA227" s="849">
        <v>0.0</v>
      </c>
      <c r="AB227" s="849">
        <v>0.0</v>
      </c>
      <c r="AC227" s="849">
        <v>0.0</v>
      </c>
      <c r="AD227" s="849">
        <v>0.0</v>
      </c>
      <c r="AE227" s="849">
        <v>0.0</v>
      </c>
      <c r="AF227" s="849">
        <v>0.0</v>
      </c>
      <c r="AG227" s="849">
        <v>0.0</v>
      </c>
      <c r="AH227" s="849">
        <v>0.0</v>
      </c>
      <c r="AI227" s="849">
        <v>0.0</v>
      </c>
      <c r="AJ227" s="794" t="str">
        <f t="shared" ref="AJ227:AK227" si="451">C227</f>
        <v>G0724</v>
      </c>
      <c r="AK227" s="794" t="str">
        <f t="shared" si="451"/>
        <v>HONORAIRES PROF.-SERVICE</v>
      </c>
      <c r="AL227" s="794">
        <f t="array" ref="AL227">IFERROR(INDEX(G227:R227,1,MATCH(Parametres!$B$3,G$1:R$1,0)-1)*IF(OR(F227="L",F227="S",F227="I"),-1,1),"")</f>
        <v>12277.86</v>
      </c>
      <c r="AM227" s="794">
        <f t="shared" si="4"/>
        <v>1654.48</v>
      </c>
      <c r="AN227" s="794">
        <f t="array" ref="AN227">INDEX(G227:R227,1,MATCH(Parametres!$B$3,G$1:R$1,0))*IF(OR(F227="L",F227="S",F227="I"),-1,1)</f>
        <v>13932.34</v>
      </c>
      <c r="AO227" s="853" t="str">
        <f>+VLOOKUP($AJ227,Data_Validation!$A:$D,1,0)</f>
        <v>G0724</v>
      </c>
      <c r="AP227" s="853" t="str">
        <f>+VLOOKUP($AJ227,Data_Validation!$A:$D,3,0)</f>
        <v>Service</v>
      </c>
      <c r="AQ227" s="853" t="str">
        <f>+VLOOKUP($AJ227,Data_Validation!$A:$D,4,0)</f>
        <v>Honoraires</v>
      </c>
      <c r="AR227" s="853" t="s">
        <v>728</v>
      </c>
      <c r="AS227" s="853" t="str">
        <f>+VLOOKUP($AJ227,Data_Validation!$A:$E,5,0)</f>
        <v/>
      </c>
      <c r="AT227" s="794" t="str">
        <f t="shared" ref="AT227:AU227" si="452">C227</f>
        <v>G0724</v>
      </c>
      <c r="AU227" s="854" t="str">
        <f t="shared" si="452"/>
        <v>HONORAIRES PROF.-SERVICE</v>
      </c>
      <c r="AV227" s="794">
        <f t="array" ref="AV227">IFERROR(INDEX(V227:AG227,1,MATCH(Parametres!$B$3,V$1:AG$1,0)-1)*IF(OR(C227="L",C227="S",C227="I"),-1,1),"")</f>
        <v>0</v>
      </c>
      <c r="AW227" s="794">
        <f t="shared" si="6"/>
        <v>0</v>
      </c>
      <c r="AX227" s="794">
        <f t="array" ref="AX227">INDEX(V227:AG227,1,MATCH(Parametres!$B$3,V$1:AG$1,0))*IF(OR(C227="L",C227="S",C227="I"),-1,1)</f>
        <v>0</v>
      </c>
      <c r="AY227" s="853" t="s">
        <v>772</v>
      </c>
      <c r="AZ227" s="853" t="str">
        <f>+VLOOKUP($AJ227,Data_Validation!$A:$E,5,0)</f>
        <v/>
      </c>
    </row>
    <row r="228" ht="15.0" customHeight="1">
      <c r="A228" s="849" t="s">
        <v>1239</v>
      </c>
      <c r="B228" s="849">
        <v>2026.0</v>
      </c>
      <c r="C228" s="849" t="s">
        <v>1680</v>
      </c>
      <c r="D228" s="849" t="s">
        <v>1681</v>
      </c>
      <c r="E228" s="849" t="s">
        <v>768</v>
      </c>
      <c r="F228" s="849" t="s">
        <v>1200</v>
      </c>
      <c r="G228" s="849">
        <v>302.48</v>
      </c>
      <c r="H228" s="849">
        <v>486.88</v>
      </c>
      <c r="I228" s="849">
        <v>1367.22</v>
      </c>
      <c r="J228" s="849">
        <v>1927.22</v>
      </c>
      <c r="K228" s="849">
        <v>2277.22</v>
      </c>
      <c r="L228" s="849">
        <v>2627.22</v>
      </c>
      <c r="M228" s="849">
        <v>3420.37</v>
      </c>
      <c r="N228" s="849">
        <v>4446.85</v>
      </c>
      <c r="O228" s="849">
        <v>5168.0</v>
      </c>
      <c r="P228" s="849">
        <v>5168.0</v>
      </c>
      <c r="Q228" s="849">
        <v>0.0</v>
      </c>
      <c r="R228" s="849">
        <v>0.0</v>
      </c>
      <c r="S228" s="849">
        <v>574.22</v>
      </c>
      <c r="T228" s="849">
        <v>574.22</v>
      </c>
      <c r="U228" s="849">
        <v>0.0</v>
      </c>
      <c r="V228" s="849">
        <v>0.0</v>
      </c>
      <c r="W228" s="849">
        <v>0.0</v>
      </c>
      <c r="X228" s="849">
        <v>0.0</v>
      </c>
      <c r="Y228" s="849">
        <v>0.0</v>
      </c>
      <c r="Z228" s="849">
        <v>0.0</v>
      </c>
      <c r="AA228" s="849">
        <v>0.0</v>
      </c>
      <c r="AB228" s="849">
        <v>0.0</v>
      </c>
      <c r="AC228" s="849">
        <v>0.0</v>
      </c>
      <c r="AD228" s="849">
        <v>0.0</v>
      </c>
      <c r="AE228" s="849">
        <v>0.0</v>
      </c>
      <c r="AF228" s="849">
        <v>0.0</v>
      </c>
      <c r="AG228" s="849">
        <v>0.0</v>
      </c>
      <c r="AH228" s="849">
        <v>0.0</v>
      </c>
      <c r="AI228" s="849">
        <v>0.0</v>
      </c>
      <c r="AJ228" s="794" t="str">
        <f t="shared" ref="AJ228:AK228" si="453">C228</f>
        <v>G0725</v>
      </c>
      <c r="AK228" s="794" t="str">
        <f t="shared" si="453"/>
        <v>HONORAIRES PORF.-CARROSS.</v>
      </c>
      <c r="AL228" s="794">
        <f t="array" ref="AL228">IFERROR(INDEX(G228:R228,1,MATCH(Parametres!$B$3,G$1:R$1,0)-1)*IF(OR(F228="L",F228="S",F228="I"),-1,1),"")</f>
        <v>4446.85</v>
      </c>
      <c r="AM228" s="794">
        <f t="shared" si="4"/>
        <v>721.15</v>
      </c>
      <c r="AN228" s="794">
        <f t="array" ref="AN228">INDEX(G228:R228,1,MATCH(Parametres!$B$3,G$1:R$1,0))*IF(OR(F228="L",F228="S",F228="I"),-1,1)</f>
        <v>5168</v>
      </c>
      <c r="AO228" s="853" t="str">
        <f>+VLOOKUP($AJ228,Data_Validation!$A:$D,1,0)</f>
        <v>G0725</v>
      </c>
      <c r="AP228" s="853" t="str">
        <f>+VLOOKUP($AJ228,Data_Validation!$A:$D,3,0)</f>
        <v>Carrosserie</v>
      </c>
      <c r="AQ228" s="853" t="str">
        <f>+VLOOKUP($AJ228,Data_Validation!$A:$D,4,0)</f>
        <v>Honoraires</v>
      </c>
      <c r="AR228" s="853" t="s">
        <v>728</v>
      </c>
      <c r="AS228" s="853" t="str">
        <f>+VLOOKUP($AJ228,Data_Validation!$A:$E,5,0)</f>
        <v/>
      </c>
      <c r="AT228" s="794" t="str">
        <f t="shared" ref="AT228:AU228" si="454">C228</f>
        <v>G0725</v>
      </c>
      <c r="AU228" s="854" t="str">
        <f t="shared" si="454"/>
        <v>HONORAIRES PORF.-CARROSS.</v>
      </c>
      <c r="AV228" s="794">
        <f t="array" ref="AV228">IFERROR(INDEX(V228:AG228,1,MATCH(Parametres!$B$3,V$1:AG$1,0)-1)*IF(OR(C228="L",C228="S",C228="I"),-1,1),"")</f>
        <v>0</v>
      </c>
      <c r="AW228" s="794">
        <f t="shared" si="6"/>
        <v>0</v>
      </c>
      <c r="AX228" s="794">
        <f t="array" ref="AX228">INDEX(V228:AG228,1,MATCH(Parametres!$B$3,V$1:AG$1,0))*IF(OR(C228="L",C228="S",C228="I"),-1,1)</f>
        <v>0</v>
      </c>
      <c r="AY228" s="853" t="s">
        <v>772</v>
      </c>
      <c r="AZ228" s="853" t="str">
        <f>+VLOOKUP($AJ228,Data_Validation!$A:$E,5,0)</f>
        <v/>
      </c>
    </row>
    <row r="229" ht="15.75" customHeight="1">
      <c r="A229" s="849" t="s">
        <v>1239</v>
      </c>
      <c r="B229" s="849">
        <v>2026.0</v>
      </c>
      <c r="C229" s="849" t="s">
        <v>1682</v>
      </c>
      <c r="D229" s="849" t="s">
        <v>1683</v>
      </c>
      <c r="E229" s="849" t="s">
        <v>768</v>
      </c>
      <c r="F229" s="849" t="s">
        <v>1200</v>
      </c>
      <c r="G229" s="849">
        <v>151.24</v>
      </c>
      <c r="H229" s="849">
        <v>281.64</v>
      </c>
      <c r="I229" s="849">
        <v>1162.0</v>
      </c>
      <c r="J229" s="849">
        <v>1722.0</v>
      </c>
      <c r="K229" s="849">
        <v>2072.0</v>
      </c>
      <c r="L229" s="849">
        <v>2422.0</v>
      </c>
      <c r="M229" s="849">
        <v>3051.89</v>
      </c>
      <c r="N229" s="849">
        <v>4078.35</v>
      </c>
      <c r="O229" s="849">
        <v>4672.26</v>
      </c>
      <c r="P229" s="849">
        <v>4672.26</v>
      </c>
      <c r="Q229" s="849">
        <v>0.0</v>
      </c>
      <c r="R229" s="849">
        <v>0.0</v>
      </c>
      <c r="S229" s="849">
        <v>519.14</v>
      </c>
      <c r="T229" s="849">
        <v>519.14</v>
      </c>
      <c r="U229" s="849">
        <v>0.0</v>
      </c>
      <c r="V229" s="849">
        <v>0.0</v>
      </c>
      <c r="W229" s="849">
        <v>0.0</v>
      </c>
      <c r="X229" s="849">
        <v>0.0</v>
      </c>
      <c r="Y229" s="849">
        <v>0.0</v>
      </c>
      <c r="Z229" s="849">
        <v>0.0</v>
      </c>
      <c r="AA229" s="849">
        <v>0.0</v>
      </c>
      <c r="AB229" s="849">
        <v>0.0</v>
      </c>
      <c r="AC229" s="849">
        <v>0.0</v>
      </c>
      <c r="AD229" s="849">
        <v>0.0</v>
      </c>
      <c r="AE229" s="849">
        <v>0.0</v>
      </c>
      <c r="AF229" s="849">
        <v>0.0</v>
      </c>
      <c r="AG229" s="849">
        <v>0.0</v>
      </c>
      <c r="AH229" s="849">
        <v>0.0</v>
      </c>
      <c r="AI229" s="849">
        <v>0.0</v>
      </c>
      <c r="AJ229" s="794" t="str">
        <f t="shared" ref="AJ229:AK229" si="455">C229</f>
        <v>G0726</v>
      </c>
      <c r="AK229" s="794" t="str">
        <f t="shared" si="455"/>
        <v>HONORAIRES PROF.-PIECES</v>
      </c>
      <c r="AL229" s="794">
        <f t="array" ref="AL229">IFERROR(INDEX(G229:R229,1,MATCH(Parametres!$B$3,G$1:R$1,0)-1)*IF(OR(F229="L",F229="S",F229="I"),-1,1),"")</f>
        <v>4078.35</v>
      </c>
      <c r="AM229" s="794">
        <f t="shared" si="4"/>
        <v>593.91</v>
      </c>
      <c r="AN229" s="794">
        <f t="array" ref="AN229">INDEX(G229:R229,1,MATCH(Parametres!$B$3,G$1:R$1,0))*IF(OR(F229="L",F229="S",F229="I"),-1,1)</f>
        <v>4672.26</v>
      </c>
      <c r="AO229" s="853" t="str">
        <f>+VLOOKUP($AJ229,Data_Validation!$A:$D,1,0)</f>
        <v>G0726</v>
      </c>
      <c r="AP229" s="853" t="str">
        <f>+VLOOKUP($AJ229,Data_Validation!$A:$D,3,0)</f>
        <v>Pièces</v>
      </c>
      <c r="AQ229" s="853" t="str">
        <f>+VLOOKUP($AJ229,Data_Validation!$A:$D,4,0)</f>
        <v>Honoraires</v>
      </c>
      <c r="AR229" s="853" t="s">
        <v>728</v>
      </c>
      <c r="AS229" s="853" t="str">
        <f>+VLOOKUP($AJ229,Data_Validation!$A:$E,5,0)</f>
        <v/>
      </c>
      <c r="AT229" s="794" t="str">
        <f t="shared" ref="AT229:AU229" si="456">C229</f>
        <v>G0726</v>
      </c>
      <c r="AU229" s="854" t="str">
        <f t="shared" si="456"/>
        <v>HONORAIRES PROF.-PIECES</v>
      </c>
      <c r="AV229" s="794">
        <f t="array" ref="AV229">IFERROR(INDEX(V229:AG229,1,MATCH(Parametres!$B$3,V$1:AG$1,0)-1)*IF(OR(C229="L",C229="S",C229="I"),-1,1),"")</f>
        <v>0</v>
      </c>
      <c r="AW229" s="794">
        <f t="shared" si="6"/>
        <v>0</v>
      </c>
      <c r="AX229" s="794">
        <f t="array" ref="AX229">INDEX(V229:AG229,1,MATCH(Parametres!$B$3,V$1:AG$1,0))*IF(OR(C229="L",C229="S",C229="I"),-1,1)</f>
        <v>0</v>
      </c>
      <c r="AY229" s="853" t="s">
        <v>772</v>
      </c>
      <c r="AZ229" s="853" t="str">
        <f>+VLOOKUP($AJ229,Data_Validation!$A:$E,5,0)</f>
        <v/>
      </c>
    </row>
    <row r="230" ht="15.0" customHeight="1">
      <c r="A230" s="849" t="s">
        <v>1239</v>
      </c>
      <c r="B230" s="849">
        <v>2026.0</v>
      </c>
      <c r="C230" s="849" t="s">
        <v>1684</v>
      </c>
      <c r="D230" s="849" t="s">
        <v>1685</v>
      </c>
      <c r="E230" s="849" t="s">
        <v>768</v>
      </c>
      <c r="F230" s="849" t="s">
        <v>1200</v>
      </c>
      <c r="G230" s="849">
        <v>0.0</v>
      </c>
      <c r="H230" s="849">
        <v>0.0</v>
      </c>
      <c r="I230" s="849">
        <v>0.0</v>
      </c>
      <c r="J230" s="849">
        <v>0.0</v>
      </c>
      <c r="K230" s="849">
        <v>0.0</v>
      </c>
      <c r="L230" s="849">
        <v>0.0</v>
      </c>
      <c r="M230" s="849">
        <v>0.0</v>
      </c>
      <c r="N230" s="849">
        <v>0.0</v>
      </c>
      <c r="O230" s="849">
        <v>0.0</v>
      </c>
      <c r="P230" s="849">
        <v>0.0</v>
      </c>
      <c r="Q230" s="849">
        <v>0.0</v>
      </c>
      <c r="R230" s="849">
        <v>0.0</v>
      </c>
      <c r="S230" s="849">
        <v>0.0</v>
      </c>
      <c r="T230" s="849">
        <v>0.0</v>
      </c>
      <c r="U230" s="849">
        <v>0.0</v>
      </c>
      <c r="V230" s="849">
        <v>0.0</v>
      </c>
      <c r="W230" s="849">
        <v>0.0</v>
      </c>
      <c r="X230" s="849">
        <v>0.0</v>
      </c>
      <c r="Y230" s="849">
        <v>0.0</v>
      </c>
      <c r="Z230" s="849">
        <v>0.0</v>
      </c>
      <c r="AA230" s="849">
        <v>0.0</v>
      </c>
      <c r="AB230" s="849">
        <v>0.0</v>
      </c>
      <c r="AC230" s="849">
        <v>0.0</v>
      </c>
      <c r="AD230" s="849">
        <v>0.0</v>
      </c>
      <c r="AE230" s="849">
        <v>0.0</v>
      </c>
      <c r="AF230" s="849">
        <v>0.0</v>
      </c>
      <c r="AG230" s="849">
        <v>0.0</v>
      </c>
      <c r="AH230" s="849">
        <v>0.0</v>
      </c>
      <c r="AI230" s="849">
        <v>0.0</v>
      </c>
      <c r="AJ230" s="794" t="str">
        <f t="shared" ref="AJ230:AK230" si="457">C230</f>
        <v>G0740</v>
      </c>
      <c r="AK230" s="794" t="str">
        <f t="shared" si="457"/>
        <v>TELEPHONE REP.</v>
      </c>
      <c r="AL230" s="794">
        <f t="array" ref="AL230">IFERROR(INDEX(G230:R230,1,MATCH(Parametres!$B$3,G$1:R$1,0)-1)*IF(OR(F230="L",F230="S",F230="I"),-1,1),"")</f>
        <v>0</v>
      </c>
      <c r="AM230" s="794">
        <f t="shared" si="4"/>
        <v>0</v>
      </c>
      <c r="AN230" s="794">
        <f t="array" ref="AN230">INDEX(G230:R230,1,MATCH(Parametres!$B$3,G$1:R$1,0))*IF(OR(F230="L",F230="S",F230="I"),-1,1)</f>
        <v>0</v>
      </c>
      <c r="AO230" s="853" t="str">
        <f>+VLOOKUP($AJ230,Data_Validation!$A:$D,1,0)</f>
        <v>#N/A</v>
      </c>
      <c r="AP230" s="853" t="str">
        <f>+VLOOKUP($AJ230,Data_Validation!$A:$D,3,0)</f>
        <v>#N/A</v>
      </c>
      <c r="AQ230" s="853" t="str">
        <f>+VLOOKUP($AJ230,Data_Validation!$A:$D,4,0)</f>
        <v>#N/A</v>
      </c>
      <c r="AR230" s="853" t="s">
        <v>728</v>
      </c>
      <c r="AS230" s="853" t="str">
        <f>+VLOOKUP($AJ230,Data_Validation!$A:$E,5,0)</f>
        <v>#N/A</v>
      </c>
      <c r="AT230" s="794" t="str">
        <f t="shared" ref="AT230:AU230" si="458">C230</f>
        <v>G0740</v>
      </c>
      <c r="AU230" s="854" t="str">
        <f t="shared" si="458"/>
        <v>TELEPHONE REP.</v>
      </c>
      <c r="AV230" s="794">
        <f t="array" ref="AV230">IFERROR(INDEX(V230:AG230,1,MATCH(Parametres!$B$3,V$1:AG$1,0)-1)*IF(OR(C230="L",C230="S",C230="I"),-1,1),"")</f>
        <v>0</v>
      </c>
      <c r="AW230" s="794">
        <f t="shared" si="6"/>
        <v>0</v>
      </c>
      <c r="AX230" s="794">
        <f t="array" ref="AX230">INDEX(V230:AG230,1,MATCH(Parametres!$B$3,V$1:AG$1,0))*IF(OR(C230="L",C230="S",C230="I"),-1,1)</f>
        <v>0</v>
      </c>
      <c r="AY230" s="853" t="s">
        <v>772</v>
      </c>
      <c r="AZ230" s="853" t="str">
        <f>+VLOOKUP($AJ230,Data_Validation!$A:$E,5,0)</f>
        <v>#N/A</v>
      </c>
    </row>
    <row r="231" ht="15.0" customHeight="1">
      <c r="A231" s="849" t="s">
        <v>1239</v>
      </c>
      <c r="B231" s="849">
        <v>2026.0</v>
      </c>
      <c r="C231" s="849" t="s">
        <v>1686</v>
      </c>
      <c r="D231" s="849" t="s">
        <v>1687</v>
      </c>
      <c r="E231" s="849" t="s">
        <v>768</v>
      </c>
      <c r="F231" s="849" t="s">
        <v>1200</v>
      </c>
      <c r="G231" s="849">
        <v>660.81</v>
      </c>
      <c r="H231" s="849">
        <v>908.81</v>
      </c>
      <c r="I231" s="849">
        <v>1203.28</v>
      </c>
      <c r="J231" s="849">
        <v>1712.27</v>
      </c>
      <c r="K231" s="849">
        <v>3151.7</v>
      </c>
      <c r="L231" s="849">
        <v>3487.02</v>
      </c>
      <c r="M231" s="849">
        <v>4117.27</v>
      </c>
      <c r="N231" s="849">
        <v>4789.62</v>
      </c>
      <c r="O231" s="849">
        <v>5233.81</v>
      </c>
      <c r="P231" s="849">
        <v>5511.02</v>
      </c>
      <c r="Q231" s="849">
        <v>0.0</v>
      </c>
      <c r="R231" s="849">
        <v>0.0</v>
      </c>
      <c r="S231" s="849">
        <v>581.53</v>
      </c>
      <c r="T231" s="849">
        <v>581.53</v>
      </c>
      <c r="U231" s="849">
        <v>0.0</v>
      </c>
      <c r="V231" s="849">
        <v>0.0</v>
      </c>
      <c r="W231" s="849">
        <v>0.0</v>
      </c>
      <c r="X231" s="849">
        <v>0.0</v>
      </c>
      <c r="Y231" s="849">
        <v>0.0</v>
      </c>
      <c r="Z231" s="849">
        <v>0.0</v>
      </c>
      <c r="AA231" s="849">
        <v>0.0</v>
      </c>
      <c r="AB231" s="849">
        <v>0.0</v>
      </c>
      <c r="AC231" s="849">
        <v>0.0</v>
      </c>
      <c r="AD231" s="849">
        <v>0.0</v>
      </c>
      <c r="AE231" s="849">
        <v>0.0</v>
      </c>
      <c r="AF231" s="849">
        <v>0.0</v>
      </c>
      <c r="AG231" s="849">
        <v>0.0</v>
      </c>
      <c r="AH231" s="849">
        <v>0.0</v>
      </c>
      <c r="AI231" s="849">
        <v>0.0</v>
      </c>
      <c r="AJ231" s="794" t="str">
        <f t="shared" ref="AJ231:AK231" si="459">C231</f>
        <v>G0741</v>
      </c>
      <c r="AK231" s="794" t="str">
        <f t="shared" si="459"/>
        <v>TELEPHONE-NEUFS</v>
      </c>
      <c r="AL231" s="794">
        <f t="array" ref="AL231">IFERROR(INDEX(G231:R231,1,MATCH(Parametres!$B$3,G$1:R$1,0)-1)*IF(OR(F231="L",F231="S",F231="I"),-1,1),"")</f>
        <v>4789.62</v>
      </c>
      <c r="AM231" s="794">
        <f t="shared" si="4"/>
        <v>444.19</v>
      </c>
      <c r="AN231" s="794">
        <f t="array" ref="AN231">INDEX(G231:R231,1,MATCH(Parametres!$B$3,G$1:R$1,0))*IF(OR(F231="L",F231="S",F231="I"),-1,1)</f>
        <v>5233.81</v>
      </c>
      <c r="AO231" s="853" t="str">
        <f>+VLOOKUP($AJ231,Data_Validation!$A:$D,1,0)</f>
        <v>G0741</v>
      </c>
      <c r="AP231" s="853" t="str">
        <f>+VLOOKUP($AJ231,Data_Validation!$A:$D,3,0)</f>
        <v>Véhicules neufs</v>
      </c>
      <c r="AQ231" s="853" t="str">
        <f>+VLOOKUP($AJ231,Data_Validation!$A:$D,4,0)</f>
        <v>Téléphone</v>
      </c>
      <c r="AR231" s="853" t="s">
        <v>728</v>
      </c>
      <c r="AS231" s="853" t="str">
        <f>+VLOOKUP($AJ231,Data_Validation!$A:$E,5,0)</f>
        <v/>
      </c>
      <c r="AT231" s="794" t="str">
        <f t="shared" ref="AT231:AU231" si="460">C231</f>
        <v>G0741</v>
      </c>
      <c r="AU231" s="854" t="str">
        <f t="shared" si="460"/>
        <v>TELEPHONE-NEUFS</v>
      </c>
      <c r="AV231" s="794">
        <f t="array" ref="AV231">IFERROR(INDEX(V231:AG231,1,MATCH(Parametres!$B$3,V$1:AG$1,0)-1)*IF(OR(C231="L",C231="S",C231="I"),-1,1),"")</f>
        <v>0</v>
      </c>
      <c r="AW231" s="794">
        <f t="shared" si="6"/>
        <v>0</v>
      </c>
      <c r="AX231" s="794">
        <f t="array" ref="AX231">INDEX(V231:AG231,1,MATCH(Parametres!$B$3,V$1:AG$1,0))*IF(OR(C231="L",C231="S",C231="I"),-1,1)</f>
        <v>0</v>
      </c>
      <c r="AY231" s="853" t="s">
        <v>772</v>
      </c>
      <c r="AZ231" s="853" t="str">
        <f>+VLOOKUP($AJ231,Data_Validation!$A:$E,5,0)</f>
        <v/>
      </c>
    </row>
    <row r="232" ht="15.0" customHeight="1">
      <c r="A232" s="849" t="s">
        <v>1239</v>
      </c>
      <c r="B232" s="849">
        <v>2026.0</v>
      </c>
      <c r="C232" s="849" t="s">
        <v>1688</v>
      </c>
      <c r="D232" s="849" t="s">
        <v>1689</v>
      </c>
      <c r="E232" s="849" t="s">
        <v>768</v>
      </c>
      <c r="F232" s="849" t="s">
        <v>1200</v>
      </c>
      <c r="G232" s="849">
        <v>166.87</v>
      </c>
      <c r="H232" s="849">
        <v>332.2</v>
      </c>
      <c r="I232" s="849">
        <v>528.51</v>
      </c>
      <c r="J232" s="849">
        <v>719.16</v>
      </c>
      <c r="K232" s="849">
        <v>1678.78</v>
      </c>
      <c r="L232" s="849">
        <v>1902.33</v>
      </c>
      <c r="M232" s="849">
        <v>2322.51</v>
      </c>
      <c r="N232" s="849">
        <v>2770.74</v>
      </c>
      <c r="O232" s="849">
        <v>3066.87</v>
      </c>
      <c r="P232" s="849">
        <v>3251.68</v>
      </c>
      <c r="Q232" s="849">
        <v>0.0</v>
      </c>
      <c r="R232" s="849">
        <v>0.0</v>
      </c>
      <c r="S232" s="849">
        <v>340.76</v>
      </c>
      <c r="T232" s="849">
        <v>340.76</v>
      </c>
      <c r="U232" s="849">
        <v>0.0</v>
      </c>
      <c r="V232" s="849">
        <v>0.0</v>
      </c>
      <c r="W232" s="849">
        <v>0.0</v>
      </c>
      <c r="X232" s="849">
        <v>0.0</v>
      </c>
      <c r="Y232" s="849">
        <v>0.0</v>
      </c>
      <c r="Z232" s="849">
        <v>0.0</v>
      </c>
      <c r="AA232" s="849">
        <v>0.0</v>
      </c>
      <c r="AB232" s="849">
        <v>0.0</v>
      </c>
      <c r="AC232" s="849">
        <v>0.0</v>
      </c>
      <c r="AD232" s="849">
        <v>0.0</v>
      </c>
      <c r="AE232" s="849">
        <v>0.0</v>
      </c>
      <c r="AF232" s="849">
        <v>0.0</v>
      </c>
      <c r="AG232" s="849">
        <v>0.0</v>
      </c>
      <c r="AH232" s="849">
        <v>0.0</v>
      </c>
      <c r="AI232" s="849">
        <v>0.0</v>
      </c>
      <c r="AJ232" s="794" t="str">
        <f t="shared" ref="AJ232:AK232" si="461">C232</f>
        <v>G0742</v>
      </c>
      <c r="AK232" s="794" t="str">
        <f t="shared" si="461"/>
        <v>TELEPHONE-USAGES</v>
      </c>
      <c r="AL232" s="794">
        <f t="array" ref="AL232">IFERROR(INDEX(G232:R232,1,MATCH(Parametres!$B$3,G$1:R$1,0)-1)*IF(OR(F232="L",F232="S",F232="I"),-1,1),"")</f>
        <v>2770.74</v>
      </c>
      <c r="AM232" s="794">
        <f t="shared" si="4"/>
        <v>296.13</v>
      </c>
      <c r="AN232" s="794">
        <f t="array" ref="AN232">INDEX(G232:R232,1,MATCH(Parametres!$B$3,G$1:R$1,0))*IF(OR(F232="L",F232="S",F232="I"),-1,1)</f>
        <v>3066.87</v>
      </c>
      <c r="AO232" s="853" t="str">
        <f>+VLOOKUP($AJ232,Data_Validation!$A:$D,1,0)</f>
        <v>G0742</v>
      </c>
      <c r="AP232" s="853" t="str">
        <f>+VLOOKUP($AJ232,Data_Validation!$A:$D,3,0)</f>
        <v>Véhicules usagés</v>
      </c>
      <c r="AQ232" s="853" t="str">
        <f>+VLOOKUP($AJ232,Data_Validation!$A:$D,4,0)</f>
        <v>Téléphone</v>
      </c>
      <c r="AR232" s="853" t="s">
        <v>728</v>
      </c>
      <c r="AS232" s="853" t="str">
        <f>+VLOOKUP($AJ232,Data_Validation!$A:$E,5,0)</f>
        <v/>
      </c>
      <c r="AT232" s="794" t="str">
        <f t="shared" ref="AT232:AU232" si="462">C232</f>
        <v>G0742</v>
      </c>
      <c r="AU232" s="854" t="str">
        <f t="shared" si="462"/>
        <v>TELEPHONE-USAGES</v>
      </c>
      <c r="AV232" s="794">
        <f t="array" ref="AV232">IFERROR(INDEX(V232:AG232,1,MATCH(Parametres!$B$3,V$1:AG$1,0)-1)*IF(OR(C232="L",C232="S",C232="I"),-1,1),"")</f>
        <v>0</v>
      </c>
      <c r="AW232" s="794">
        <f t="shared" si="6"/>
        <v>0</v>
      </c>
      <c r="AX232" s="794">
        <f t="array" ref="AX232">INDEX(V232:AG232,1,MATCH(Parametres!$B$3,V$1:AG$1,0))*IF(OR(C232="L",C232="S",C232="I"),-1,1)</f>
        <v>0</v>
      </c>
      <c r="AY232" s="853" t="s">
        <v>772</v>
      </c>
      <c r="AZ232" s="853" t="str">
        <f>+VLOOKUP($AJ232,Data_Validation!$A:$E,5,0)</f>
        <v/>
      </c>
    </row>
    <row r="233" ht="15.0" customHeight="1">
      <c r="A233" s="849" t="s">
        <v>1239</v>
      </c>
      <c r="B233" s="849">
        <v>2026.0</v>
      </c>
      <c r="C233" s="849" t="s">
        <v>1690</v>
      </c>
      <c r="D233" s="849" t="s">
        <v>1691</v>
      </c>
      <c r="E233" s="849" t="s">
        <v>768</v>
      </c>
      <c r="F233" s="849" t="s">
        <v>1200</v>
      </c>
      <c r="G233" s="849">
        <v>0.0</v>
      </c>
      <c r="H233" s="849">
        <v>0.0</v>
      </c>
      <c r="I233" s="849">
        <v>0.0</v>
      </c>
      <c r="J233" s="849">
        <v>0.0</v>
      </c>
      <c r="K233" s="849">
        <v>0.0</v>
      </c>
      <c r="L233" s="849">
        <v>630.0</v>
      </c>
      <c r="M233" s="849">
        <v>630.0</v>
      </c>
      <c r="N233" s="849">
        <v>630.0</v>
      </c>
      <c r="O233" s="849">
        <v>630.0</v>
      </c>
      <c r="P233" s="849">
        <v>630.0</v>
      </c>
      <c r="Q233" s="849">
        <v>0.0</v>
      </c>
      <c r="R233" s="849">
        <v>0.0</v>
      </c>
      <c r="S233" s="849">
        <v>70.0</v>
      </c>
      <c r="T233" s="849">
        <v>70.0</v>
      </c>
      <c r="U233" s="849">
        <v>0.0</v>
      </c>
      <c r="V233" s="849">
        <v>0.0</v>
      </c>
      <c r="W233" s="849">
        <v>0.0</v>
      </c>
      <c r="X233" s="849">
        <v>0.0</v>
      </c>
      <c r="Y233" s="849">
        <v>0.0</v>
      </c>
      <c r="Z233" s="849">
        <v>0.0</v>
      </c>
      <c r="AA233" s="849">
        <v>0.0</v>
      </c>
      <c r="AB233" s="849">
        <v>0.0</v>
      </c>
      <c r="AC233" s="849">
        <v>0.0</v>
      </c>
      <c r="AD233" s="849">
        <v>0.0</v>
      </c>
      <c r="AE233" s="849">
        <v>0.0</v>
      </c>
      <c r="AF233" s="849">
        <v>0.0</v>
      </c>
      <c r="AG233" s="849">
        <v>0.0</v>
      </c>
      <c r="AH233" s="849">
        <v>0.0</v>
      </c>
      <c r="AI233" s="849">
        <v>0.0</v>
      </c>
      <c r="AJ233" s="794" t="str">
        <f t="shared" ref="AJ233:AK233" si="463">C233</f>
        <v>G0743</v>
      </c>
      <c r="AK233" s="794" t="str">
        <f t="shared" si="463"/>
        <v>TELEPHONE U.S.A</v>
      </c>
      <c r="AL233" s="794">
        <f t="array" ref="AL233">IFERROR(INDEX(G233:R233,1,MATCH(Parametres!$B$3,G$1:R$1,0)-1)*IF(OR(F233="L",F233="S",F233="I"),-1,1),"")</f>
        <v>630</v>
      </c>
      <c r="AM233" s="794">
        <f t="shared" si="4"/>
        <v>0</v>
      </c>
      <c r="AN233" s="794">
        <f t="array" ref="AN233">INDEX(G233:R233,1,MATCH(Parametres!$B$3,G$1:R$1,0))*IF(OR(F233="L",F233="S",F233="I"),-1,1)</f>
        <v>630</v>
      </c>
      <c r="AO233" s="853" t="str">
        <f>+VLOOKUP($AJ233,Data_Validation!$A:$D,1,0)</f>
        <v>G0743</v>
      </c>
      <c r="AP233" s="853" t="str">
        <f>+VLOOKUP($AJ233,Data_Validation!$A:$D,3,0)</f>
        <v>Wholesale autres</v>
      </c>
      <c r="AQ233" s="853" t="str">
        <f>+VLOOKUP($AJ233,Data_Validation!$A:$D,4,0)</f>
        <v>Téléphone</v>
      </c>
      <c r="AR233" s="853" t="s">
        <v>728</v>
      </c>
      <c r="AS233" s="853" t="str">
        <f>+VLOOKUP($AJ233,Data_Validation!$A:$E,5,0)</f>
        <v/>
      </c>
      <c r="AT233" s="794" t="str">
        <f t="shared" ref="AT233:AU233" si="464">C233</f>
        <v>G0743</v>
      </c>
      <c r="AU233" s="854" t="str">
        <f t="shared" si="464"/>
        <v>TELEPHONE U.S.A</v>
      </c>
      <c r="AV233" s="794">
        <f t="array" ref="AV233">IFERROR(INDEX(V233:AG233,1,MATCH(Parametres!$B$3,V$1:AG$1,0)-1)*IF(OR(C233="L",C233="S",C233="I"),-1,1),"")</f>
        <v>0</v>
      </c>
      <c r="AW233" s="794">
        <f t="shared" si="6"/>
        <v>0</v>
      </c>
      <c r="AX233" s="794">
        <f t="array" ref="AX233">INDEX(V233:AG233,1,MATCH(Parametres!$B$3,V$1:AG$1,0))*IF(OR(C233="L",C233="S",C233="I"),-1,1)</f>
        <v>0</v>
      </c>
      <c r="AY233" s="853" t="s">
        <v>772</v>
      </c>
      <c r="AZ233" s="853" t="str">
        <f>+VLOOKUP($AJ233,Data_Validation!$A:$E,5,0)</f>
        <v/>
      </c>
    </row>
    <row r="234" ht="15.75" customHeight="1">
      <c r="A234" s="849" t="s">
        <v>1239</v>
      </c>
      <c r="B234" s="849">
        <v>2026.0</v>
      </c>
      <c r="C234" s="849" t="s">
        <v>1692</v>
      </c>
      <c r="D234" s="849" t="s">
        <v>1693</v>
      </c>
      <c r="E234" s="849" t="s">
        <v>768</v>
      </c>
      <c r="F234" s="849" t="s">
        <v>1200</v>
      </c>
      <c r="G234" s="849">
        <v>277.81</v>
      </c>
      <c r="H234" s="849">
        <v>553.31</v>
      </c>
      <c r="I234" s="849">
        <v>875.28</v>
      </c>
      <c r="J234" s="849">
        <v>1166.26</v>
      </c>
      <c r="K234" s="849">
        <v>2633.27</v>
      </c>
      <c r="L234" s="849">
        <v>2968.59</v>
      </c>
      <c r="M234" s="849">
        <v>3783.64</v>
      </c>
      <c r="N234" s="849">
        <v>4510.99</v>
      </c>
      <c r="O234" s="849">
        <v>5010.18</v>
      </c>
      <c r="P234" s="849">
        <v>5314.89</v>
      </c>
      <c r="Q234" s="849">
        <v>0.0</v>
      </c>
      <c r="R234" s="849">
        <v>0.0</v>
      </c>
      <c r="S234" s="849">
        <v>556.69</v>
      </c>
      <c r="T234" s="849">
        <v>556.69</v>
      </c>
      <c r="U234" s="849">
        <v>0.0</v>
      </c>
      <c r="V234" s="849">
        <v>0.0</v>
      </c>
      <c r="W234" s="849">
        <v>0.0</v>
      </c>
      <c r="X234" s="849">
        <v>0.0</v>
      </c>
      <c r="Y234" s="849">
        <v>0.0</v>
      </c>
      <c r="Z234" s="849">
        <v>0.0</v>
      </c>
      <c r="AA234" s="849">
        <v>0.0</v>
      </c>
      <c r="AB234" s="849">
        <v>0.0</v>
      </c>
      <c r="AC234" s="849">
        <v>0.0</v>
      </c>
      <c r="AD234" s="849">
        <v>0.0</v>
      </c>
      <c r="AE234" s="849">
        <v>0.0</v>
      </c>
      <c r="AF234" s="849">
        <v>0.0</v>
      </c>
      <c r="AG234" s="849">
        <v>0.0</v>
      </c>
      <c r="AH234" s="849">
        <v>0.0</v>
      </c>
      <c r="AI234" s="849">
        <v>0.0</v>
      </c>
      <c r="AJ234" s="794" t="str">
        <f t="shared" ref="AJ234:AK234" si="465">C234</f>
        <v>G0744</v>
      </c>
      <c r="AK234" s="794" t="str">
        <f t="shared" si="465"/>
        <v>TELEPHONE-SERVICE</v>
      </c>
      <c r="AL234" s="794">
        <f t="array" ref="AL234">IFERROR(INDEX(G234:R234,1,MATCH(Parametres!$B$3,G$1:R$1,0)-1)*IF(OR(F234="L",F234="S",F234="I"),-1,1),"")</f>
        <v>4510.99</v>
      </c>
      <c r="AM234" s="794">
        <f t="shared" si="4"/>
        <v>499.19</v>
      </c>
      <c r="AN234" s="794">
        <f t="array" ref="AN234">INDEX(G234:R234,1,MATCH(Parametres!$B$3,G$1:R$1,0))*IF(OR(F234="L",F234="S",F234="I"),-1,1)</f>
        <v>5010.18</v>
      </c>
      <c r="AO234" s="853" t="str">
        <f>+VLOOKUP($AJ234,Data_Validation!$A:$D,1,0)</f>
        <v>G0744</v>
      </c>
      <c r="AP234" s="853" t="str">
        <f>+VLOOKUP($AJ234,Data_Validation!$A:$D,3,0)</f>
        <v>Service</v>
      </c>
      <c r="AQ234" s="853" t="str">
        <f>+VLOOKUP($AJ234,Data_Validation!$A:$D,4,0)</f>
        <v>Téléphone</v>
      </c>
      <c r="AR234" s="853" t="s">
        <v>728</v>
      </c>
      <c r="AS234" s="853" t="str">
        <f>+VLOOKUP($AJ234,Data_Validation!$A:$E,5,0)</f>
        <v/>
      </c>
      <c r="AT234" s="794" t="str">
        <f t="shared" ref="AT234:AU234" si="466">C234</f>
        <v>G0744</v>
      </c>
      <c r="AU234" s="854" t="str">
        <f t="shared" si="466"/>
        <v>TELEPHONE-SERVICE</v>
      </c>
      <c r="AV234" s="794">
        <f t="array" ref="AV234">IFERROR(INDEX(V234:AG234,1,MATCH(Parametres!$B$3,V$1:AG$1,0)-1)*IF(OR(C234="L",C234="S",C234="I"),-1,1),"")</f>
        <v>0</v>
      </c>
      <c r="AW234" s="794">
        <f t="shared" si="6"/>
        <v>0</v>
      </c>
      <c r="AX234" s="794">
        <f t="array" ref="AX234">INDEX(V234:AG234,1,MATCH(Parametres!$B$3,V$1:AG$1,0))*IF(OR(C234="L",C234="S",C234="I"),-1,1)</f>
        <v>0</v>
      </c>
      <c r="AY234" s="853" t="s">
        <v>772</v>
      </c>
      <c r="AZ234" s="853" t="str">
        <f>+VLOOKUP($AJ234,Data_Validation!$A:$E,5,0)</f>
        <v/>
      </c>
    </row>
    <row r="235" ht="15.0" customHeight="1">
      <c r="A235" s="849" t="s">
        <v>1239</v>
      </c>
      <c r="B235" s="849">
        <v>2026.0</v>
      </c>
      <c r="C235" s="849" t="s">
        <v>1694</v>
      </c>
      <c r="D235" s="849" t="s">
        <v>1695</v>
      </c>
      <c r="E235" s="849" t="s">
        <v>768</v>
      </c>
      <c r="F235" s="849" t="s">
        <v>1200</v>
      </c>
      <c r="G235" s="849">
        <v>83.44</v>
      </c>
      <c r="H235" s="849">
        <v>166.11</v>
      </c>
      <c r="I235" s="849">
        <v>264.26</v>
      </c>
      <c r="J235" s="849">
        <v>359.59</v>
      </c>
      <c r="K235" s="849">
        <v>839.4</v>
      </c>
      <c r="L235" s="849">
        <v>951.18</v>
      </c>
      <c r="M235" s="849">
        <v>1161.27</v>
      </c>
      <c r="N235" s="849">
        <v>1385.39</v>
      </c>
      <c r="O235" s="849">
        <v>1891.46</v>
      </c>
      <c r="P235" s="849">
        <v>1983.86</v>
      </c>
      <c r="Q235" s="849">
        <v>0.0</v>
      </c>
      <c r="R235" s="849">
        <v>0.0</v>
      </c>
      <c r="S235" s="849">
        <v>210.16</v>
      </c>
      <c r="T235" s="849">
        <v>210.16</v>
      </c>
      <c r="U235" s="849">
        <v>0.0</v>
      </c>
      <c r="V235" s="849">
        <v>0.0</v>
      </c>
      <c r="W235" s="849">
        <v>0.0</v>
      </c>
      <c r="X235" s="849">
        <v>0.0</v>
      </c>
      <c r="Y235" s="849">
        <v>0.0</v>
      </c>
      <c r="Z235" s="849">
        <v>0.0</v>
      </c>
      <c r="AA235" s="849">
        <v>0.0</v>
      </c>
      <c r="AB235" s="849">
        <v>0.0</v>
      </c>
      <c r="AC235" s="849">
        <v>0.0</v>
      </c>
      <c r="AD235" s="849">
        <v>0.0</v>
      </c>
      <c r="AE235" s="849">
        <v>0.0</v>
      </c>
      <c r="AF235" s="849">
        <v>0.0</v>
      </c>
      <c r="AG235" s="849">
        <v>0.0</v>
      </c>
      <c r="AH235" s="849">
        <v>0.0</v>
      </c>
      <c r="AI235" s="849">
        <v>0.0</v>
      </c>
      <c r="AJ235" s="794" t="str">
        <f t="shared" ref="AJ235:AK235" si="467">C235</f>
        <v>G0745</v>
      </c>
      <c r="AK235" s="794" t="str">
        <f t="shared" si="467"/>
        <v>TELEPHONE-CARROSSERIE</v>
      </c>
      <c r="AL235" s="794">
        <f t="array" ref="AL235">IFERROR(INDEX(G235:R235,1,MATCH(Parametres!$B$3,G$1:R$1,0)-1)*IF(OR(F235="L",F235="S",F235="I"),-1,1),"")</f>
        <v>1385.39</v>
      </c>
      <c r="AM235" s="794">
        <f t="shared" si="4"/>
        <v>506.07</v>
      </c>
      <c r="AN235" s="794">
        <f t="array" ref="AN235">INDEX(G235:R235,1,MATCH(Parametres!$B$3,G$1:R$1,0))*IF(OR(F235="L",F235="S",F235="I"),-1,1)</f>
        <v>1891.46</v>
      </c>
      <c r="AO235" s="853" t="str">
        <f>+VLOOKUP($AJ235,Data_Validation!$A:$D,1,0)</f>
        <v>G0745</v>
      </c>
      <c r="AP235" s="853" t="str">
        <f>+VLOOKUP($AJ235,Data_Validation!$A:$D,3,0)</f>
        <v>Carrosserie</v>
      </c>
      <c r="AQ235" s="853" t="str">
        <f>+VLOOKUP($AJ235,Data_Validation!$A:$D,4,0)</f>
        <v>Téléphone</v>
      </c>
      <c r="AR235" s="853" t="s">
        <v>728</v>
      </c>
      <c r="AS235" s="853" t="str">
        <f>+VLOOKUP($AJ235,Data_Validation!$A:$E,5,0)</f>
        <v/>
      </c>
      <c r="AT235" s="794" t="str">
        <f t="shared" ref="AT235:AU235" si="468">C235</f>
        <v>G0745</v>
      </c>
      <c r="AU235" s="854" t="str">
        <f t="shared" si="468"/>
        <v>TELEPHONE-CARROSSERIE</v>
      </c>
      <c r="AV235" s="794">
        <f t="array" ref="AV235">IFERROR(INDEX(V235:AG235,1,MATCH(Parametres!$B$3,V$1:AG$1,0)-1)*IF(OR(C235="L",C235="S",C235="I"),-1,1),"")</f>
        <v>0</v>
      </c>
      <c r="AW235" s="794">
        <f t="shared" si="6"/>
        <v>0</v>
      </c>
      <c r="AX235" s="794">
        <f t="array" ref="AX235">INDEX(V235:AG235,1,MATCH(Parametres!$B$3,V$1:AG$1,0))*IF(OR(C235="L",C235="S",C235="I"),-1,1)</f>
        <v>0</v>
      </c>
      <c r="AY235" s="853" t="s">
        <v>772</v>
      </c>
      <c r="AZ235" s="853" t="str">
        <f>+VLOOKUP($AJ235,Data_Validation!$A:$E,5,0)</f>
        <v/>
      </c>
    </row>
    <row r="236" ht="15.0" customHeight="1">
      <c r="A236" s="849" t="s">
        <v>1239</v>
      </c>
      <c r="B236" s="849">
        <v>2026.0</v>
      </c>
      <c r="C236" s="849" t="s">
        <v>1696</v>
      </c>
      <c r="D236" s="849" t="s">
        <v>1697</v>
      </c>
      <c r="E236" s="849" t="s">
        <v>768</v>
      </c>
      <c r="F236" s="849" t="s">
        <v>1200</v>
      </c>
      <c r="G236" s="849">
        <v>83.41</v>
      </c>
      <c r="H236" s="849">
        <v>166.08</v>
      </c>
      <c r="I236" s="849">
        <v>264.24</v>
      </c>
      <c r="J236" s="849">
        <v>359.54</v>
      </c>
      <c r="K236" s="849">
        <v>839.34</v>
      </c>
      <c r="L236" s="849">
        <v>951.13</v>
      </c>
      <c r="M236" s="849">
        <v>1161.21</v>
      </c>
      <c r="N236" s="849">
        <v>1385.3</v>
      </c>
      <c r="O236" s="849">
        <v>1533.36</v>
      </c>
      <c r="P236" s="849">
        <v>1625.76</v>
      </c>
      <c r="Q236" s="849">
        <v>0.0</v>
      </c>
      <c r="R236" s="849">
        <v>0.0</v>
      </c>
      <c r="S236" s="849">
        <v>170.37</v>
      </c>
      <c r="T236" s="849">
        <v>170.37</v>
      </c>
      <c r="U236" s="849">
        <v>0.0</v>
      </c>
      <c r="V236" s="849">
        <v>0.0</v>
      </c>
      <c r="W236" s="849">
        <v>0.0</v>
      </c>
      <c r="X236" s="849">
        <v>0.0</v>
      </c>
      <c r="Y236" s="849">
        <v>0.0</v>
      </c>
      <c r="Z236" s="849">
        <v>0.0</v>
      </c>
      <c r="AA236" s="849">
        <v>0.0</v>
      </c>
      <c r="AB236" s="849">
        <v>0.0</v>
      </c>
      <c r="AC236" s="849">
        <v>0.0</v>
      </c>
      <c r="AD236" s="849">
        <v>0.0</v>
      </c>
      <c r="AE236" s="849">
        <v>0.0</v>
      </c>
      <c r="AF236" s="849">
        <v>0.0</v>
      </c>
      <c r="AG236" s="849">
        <v>0.0</v>
      </c>
      <c r="AH236" s="849">
        <v>0.0</v>
      </c>
      <c r="AI236" s="849">
        <v>0.0</v>
      </c>
      <c r="AJ236" s="794" t="str">
        <f t="shared" ref="AJ236:AK236" si="469">C236</f>
        <v>G0746</v>
      </c>
      <c r="AK236" s="794" t="str">
        <f t="shared" si="469"/>
        <v>TELEPHONE-PIECES</v>
      </c>
      <c r="AL236" s="794">
        <f t="array" ref="AL236">IFERROR(INDEX(G236:R236,1,MATCH(Parametres!$B$3,G$1:R$1,0)-1)*IF(OR(F236="L",F236="S",F236="I"),-1,1),"")</f>
        <v>1385.3</v>
      </c>
      <c r="AM236" s="794">
        <f t="shared" si="4"/>
        <v>148.06</v>
      </c>
      <c r="AN236" s="794">
        <f t="array" ref="AN236">INDEX(G236:R236,1,MATCH(Parametres!$B$3,G$1:R$1,0))*IF(OR(F236="L",F236="S",F236="I"),-1,1)</f>
        <v>1533.36</v>
      </c>
      <c r="AO236" s="853" t="str">
        <f>+VLOOKUP($AJ236,Data_Validation!$A:$D,1,0)</f>
        <v>G0746</v>
      </c>
      <c r="AP236" s="853" t="str">
        <f>+VLOOKUP($AJ236,Data_Validation!$A:$D,3,0)</f>
        <v>Pièces</v>
      </c>
      <c r="AQ236" s="853" t="str">
        <f>+VLOOKUP($AJ236,Data_Validation!$A:$D,4,0)</f>
        <v>Téléphone</v>
      </c>
      <c r="AR236" s="853" t="s">
        <v>728</v>
      </c>
      <c r="AS236" s="853" t="str">
        <f>+VLOOKUP($AJ236,Data_Validation!$A:$E,5,0)</f>
        <v/>
      </c>
      <c r="AT236" s="794" t="str">
        <f t="shared" ref="AT236:AU236" si="470">C236</f>
        <v>G0746</v>
      </c>
      <c r="AU236" s="854" t="str">
        <f t="shared" si="470"/>
        <v>TELEPHONE-PIECES</v>
      </c>
      <c r="AV236" s="794">
        <f t="array" ref="AV236">IFERROR(INDEX(V236:AG236,1,MATCH(Parametres!$B$3,V$1:AG$1,0)-1)*IF(OR(C236="L",C236="S",C236="I"),-1,1),"")</f>
        <v>0</v>
      </c>
      <c r="AW236" s="794">
        <f t="shared" si="6"/>
        <v>0</v>
      </c>
      <c r="AX236" s="794">
        <f t="array" ref="AX236">INDEX(V236:AG236,1,MATCH(Parametres!$B$3,V$1:AG$1,0))*IF(OR(C236="L",C236="S",C236="I"),-1,1)</f>
        <v>0</v>
      </c>
      <c r="AY236" s="853" t="s">
        <v>772</v>
      </c>
      <c r="AZ236" s="853" t="str">
        <f>+VLOOKUP($AJ236,Data_Validation!$A:$E,5,0)</f>
        <v/>
      </c>
    </row>
    <row r="237" ht="15.0" customHeight="1">
      <c r="A237" s="849" t="s">
        <v>1239</v>
      </c>
      <c r="B237" s="849">
        <v>2026.0</v>
      </c>
      <c r="C237" s="849" t="s">
        <v>1698</v>
      </c>
      <c r="D237" s="849" t="s">
        <v>1699</v>
      </c>
      <c r="E237" s="849" t="s">
        <v>768</v>
      </c>
      <c r="F237" s="849" t="s">
        <v>1200</v>
      </c>
      <c r="G237" s="849">
        <v>0.0</v>
      </c>
      <c r="H237" s="849">
        <v>0.0</v>
      </c>
      <c r="I237" s="849">
        <v>0.0</v>
      </c>
      <c r="J237" s="849">
        <v>0.0</v>
      </c>
      <c r="K237" s="849">
        <v>0.0</v>
      </c>
      <c r="L237" s="849">
        <v>0.0</v>
      </c>
      <c r="M237" s="849">
        <v>0.0</v>
      </c>
      <c r="N237" s="849">
        <v>0.0</v>
      </c>
      <c r="O237" s="849">
        <v>0.0</v>
      </c>
      <c r="P237" s="849">
        <v>0.0</v>
      </c>
      <c r="Q237" s="849">
        <v>0.0</v>
      </c>
      <c r="R237" s="849">
        <v>0.0</v>
      </c>
      <c r="S237" s="849">
        <v>0.0</v>
      </c>
      <c r="T237" s="849">
        <v>0.0</v>
      </c>
      <c r="U237" s="849">
        <v>0.0</v>
      </c>
      <c r="V237" s="849">
        <v>0.0</v>
      </c>
      <c r="W237" s="849">
        <v>0.0</v>
      </c>
      <c r="X237" s="849">
        <v>0.0</v>
      </c>
      <c r="Y237" s="849">
        <v>0.0</v>
      </c>
      <c r="Z237" s="849">
        <v>0.0</v>
      </c>
      <c r="AA237" s="849">
        <v>0.0</v>
      </c>
      <c r="AB237" s="849">
        <v>0.0</v>
      </c>
      <c r="AC237" s="849">
        <v>0.0</v>
      </c>
      <c r="AD237" s="849">
        <v>0.0</v>
      </c>
      <c r="AE237" s="849">
        <v>0.0</v>
      </c>
      <c r="AF237" s="849">
        <v>0.0</v>
      </c>
      <c r="AG237" s="849">
        <v>0.0</v>
      </c>
      <c r="AH237" s="849">
        <v>0.0</v>
      </c>
      <c r="AI237" s="849">
        <v>0.0</v>
      </c>
      <c r="AJ237" s="794" t="str">
        <f t="shared" ref="AJ237:AK237" si="471">C237</f>
        <v>G0750</v>
      </c>
      <c r="AK237" s="794" t="str">
        <f t="shared" si="471"/>
        <v>FORMATION REP</v>
      </c>
      <c r="AL237" s="794">
        <f t="array" ref="AL237">IFERROR(INDEX(G237:R237,1,MATCH(Parametres!$B$3,G$1:R$1,0)-1)*IF(OR(F237="L",F237="S",F237="I"),-1,1),"")</f>
        <v>0</v>
      </c>
      <c r="AM237" s="794">
        <f t="shared" si="4"/>
        <v>0</v>
      </c>
      <c r="AN237" s="794">
        <f t="array" ref="AN237">INDEX(G237:R237,1,MATCH(Parametres!$B$3,G$1:R$1,0))*IF(OR(F237="L",F237="S",F237="I"),-1,1)</f>
        <v>0</v>
      </c>
      <c r="AO237" s="853" t="str">
        <f>+VLOOKUP($AJ237,Data_Validation!$A:$D,1,0)</f>
        <v>#N/A</v>
      </c>
      <c r="AP237" s="853" t="str">
        <f>+VLOOKUP($AJ237,Data_Validation!$A:$D,3,0)</f>
        <v>#N/A</v>
      </c>
      <c r="AQ237" s="853" t="str">
        <f>+VLOOKUP($AJ237,Data_Validation!$A:$D,4,0)</f>
        <v>#N/A</v>
      </c>
      <c r="AR237" s="853" t="s">
        <v>728</v>
      </c>
      <c r="AS237" s="853" t="str">
        <f>+VLOOKUP($AJ237,Data_Validation!$A:$E,5,0)</f>
        <v>#N/A</v>
      </c>
      <c r="AT237" s="794" t="str">
        <f t="shared" ref="AT237:AU237" si="472">C237</f>
        <v>G0750</v>
      </c>
      <c r="AU237" s="854" t="str">
        <f t="shared" si="472"/>
        <v>FORMATION REP</v>
      </c>
      <c r="AV237" s="794">
        <f t="array" ref="AV237">IFERROR(INDEX(V237:AG237,1,MATCH(Parametres!$B$3,V$1:AG$1,0)-1)*IF(OR(C237="L",C237="S",C237="I"),-1,1),"")</f>
        <v>0</v>
      </c>
      <c r="AW237" s="794">
        <f t="shared" si="6"/>
        <v>0</v>
      </c>
      <c r="AX237" s="794">
        <f t="array" ref="AX237">INDEX(V237:AG237,1,MATCH(Parametres!$B$3,V$1:AG$1,0))*IF(OR(C237="L",C237="S",C237="I"),-1,1)</f>
        <v>0</v>
      </c>
      <c r="AY237" s="853" t="s">
        <v>772</v>
      </c>
      <c r="AZ237" s="853" t="str">
        <f>+VLOOKUP($AJ237,Data_Validation!$A:$E,5,0)</f>
        <v>#N/A</v>
      </c>
    </row>
    <row r="238" ht="15.75" customHeight="1">
      <c r="A238" s="849" t="s">
        <v>1239</v>
      </c>
      <c r="B238" s="849">
        <v>2026.0</v>
      </c>
      <c r="C238" s="849" t="s">
        <v>1700</v>
      </c>
      <c r="D238" s="849" t="s">
        <v>1701</v>
      </c>
      <c r="E238" s="849" t="s">
        <v>768</v>
      </c>
      <c r="F238" s="849" t="s">
        <v>1200</v>
      </c>
      <c r="G238" s="849">
        <v>855.0</v>
      </c>
      <c r="H238" s="849">
        <v>1615.0</v>
      </c>
      <c r="I238" s="849">
        <v>4468.21</v>
      </c>
      <c r="J238" s="849">
        <v>5323.21</v>
      </c>
      <c r="K238" s="849">
        <v>10624.21</v>
      </c>
      <c r="L238" s="849">
        <v>11699.21</v>
      </c>
      <c r="M238" s="849">
        <v>12269.21</v>
      </c>
      <c r="N238" s="849">
        <v>12839.21</v>
      </c>
      <c r="O238" s="849">
        <v>13409.21</v>
      </c>
      <c r="P238" s="849">
        <v>13979.21</v>
      </c>
      <c r="Q238" s="849">
        <v>0.0</v>
      </c>
      <c r="R238" s="849">
        <v>0.0</v>
      </c>
      <c r="S238" s="849">
        <v>1489.91</v>
      </c>
      <c r="T238" s="849">
        <v>1489.91</v>
      </c>
      <c r="U238" s="849">
        <v>0.0</v>
      </c>
      <c r="V238" s="849">
        <v>0.0</v>
      </c>
      <c r="W238" s="849">
        <v>0.0</v>
      </c>
      <c r="X238" s="849">
        <v>0.0</v>
      </c>
      <c r="Y238" s="849">
        <v>0.0</v>
      </c>
      <c r="Z238" s="849">
        <v>0.0</v>
      </c>
      <c r="AA238" s="849">
        <v>0.0</v>
      </c>
      <c r="AB238" s="849">
        <v>0.0</v>
      </c>
      <c r="AC238" s="849">
        <v>0.0</v>
      </c>
      <c r="AD238" s="849">
        <v>0.0</v>
      </c>
      <c r="AE238" s="849">
        <v>0.0</v>
      </c>
      <c r="AF238" s="849">
        <v>0.0</v>
      </c>
      <c r="AG238" s="849">
        <v>0.0</v>
      </c>
      <c r="AH238" s="849">
        <v>0.0</v>
      </c>
      <c r="AI238" s="849">
        <v>0.0</v>
      </c>
      <c r="AJ238" s="794" t="str">
        <f t="shared" ref="AJ238:AK238" si="473">C238</f>
        <v>G0751</v>
      </c>
      <c r="AK238" s="794" t="str">
        <f t="shared" si="473"/>
        <v>FORMATION-NEUFS</v>
      </c>
      <c r="AL238" s="794">
        <f t="array" ref="AL238">IFERROR(INDEX(G238:R238,1,MATCH(Parametres!$B$3,G$1:R$1,0)-1)*IF(OR(F238="L",F238="S",F238="I"),-1,1),"")</f>
        <v>12839.21</v>
      </c>
      <c r="AM238" s="794">
        <f t="shared" si="4"/>
        <v>570</v>
      </c>
      <c r="AN238" s="794">
        <f t="array" ref="AN238">INDEX(G238:R238,1,MATCH(Parametres!$B$3,G$1:R$1,0))*IF(OR(F238="L",F238="S",F238="I"),-1,1)</f>
        <v>13409.21</v>
      </c>
      <c r="AO238" s="853" t="str">
        <f>+VLOOKUP($AJ238,Data_Validation!$A:$D,1,0)</f>
        <v>G0751</v>
      </c>
      <c r="AP238" s="853" t="str">
        <f>+VLOOKUP($AJ238,Data_Validation!$A:$D,3,0)</f>
        <v>Véhicules neufs</v>
      </c>
      <c r="AQ238" s="853" t="str">
        <f>+VLOOKUP($AJ238,Data_Validation!$A:$D,4,0)</f>
        <v>Formation</v>
      </c>
      <c r="AR238" s="853" t="s">
        <v>728</v>
      </c>
      <c r="AS238" s="853" t="str">
        <f>+VLOOKUP($AJ238,Data_Validation!$A:$E,5,0)</f>
        <v/>
      </c>
      <c r="AT238" s="794" t="str">
        <f t="shared" ref="AT238:AU238" si="474">C238</f>
        <v>G0751</v>
      </c>
      <c r="AU238" s="854" t="str">
        <f t="shared" si="474"/>
        <v>FORMATION-NEUFS</v>
      </c>
      <c r="AV238" s="794">
        <f t="array" ref="AV238">IFERROR(INDEX(V238:AG238,1,MATCH(Parametres!$B$3,V$1:AG$1,0)-1)*IF(OR(C238="L",C238="S",C238="I"),-1,1),"")</f>
        <v>0</v>
      </c>
      <c r="AW238" s="794">
        <f t="shared" si="6"/>
        <v>0</v>
      </c>
      <c r="AX238" s="794">
        <f t="array" ref="AX238">INDEX(V238:AG238,1,MATCH(Parametres!$B$3,V$1:AG$1,0))*IF(OR(C238="L",C238="S",C238="I"),-1,1)</f>
        <v>0</v>
      </c>
      <c r="AY238" s="853" t="s">
        <v>772</v>
      </c>
      <c r="AZ238" s="853" t="str">
        <f>+VLOOKUP($AJ238,Data_Validation!$A:$E,5,0)</f>
        <v/>
      </c>
    </row>
    <row r="239" ht="15.0" customHeight="1">
      <c r="A239" s="849" t="s">
        <v>1239</v>
      </c>
      <c r="B239" s="849">
        <v>2026.0</v>
      </c>
      <c r="C239" s="849" t="s">
        <v>1702</v>
      </c>
      <c r="D239" s="849" t="s">
        <v>1703</v>
      </c>
      <c r="E239" s="849" t="s">
        <v>768</v>
      </c>
      <c r="F239" s="849" t="s">
        <v>1200</v>
      </c>
      <c r="G239" s="849">
        <v>0.0</v>
      </c>
      <c r="H239" s="849">
        <v>0.0</v>
      </c>
      <c r="I239" s="849">
        <v>1156.69</v>
      </c>
      <c r="J239" s="849">
        <v>1156.69</v>
      </c>
      <c r="K239" s="849">
        <v>2210.69</v>
      </c>
      <c r="L239" s="849">
        <v>2210.69</v>
      </c>
      <c r="M239" s="849">
        <v>2210.69</v>
      </c>
      <c r="N239" s="849">
        <v>2210.69</v>
      </c>
      <c r="O239" s="849">
        <v>2210.69</v>
      </c>
      <c r="P239" s="849">
        <v>2210.69</v>
      </c>
      <c r="Q239" s="849">
        <v>0.0</v>
      </c>
      <c r="R239" s="849">
        <v>0.0</v>
      </c>
      <c r="S239" s="849">
        <v>245.63</v>
      </c>
      <c r="T239" s="849">
        <v>245.63</v>
      </c>
      <c r="U239" s="849">
        <v>0.0</v>
      </c>
      <c r="V239" s="849">
        <v>0.0</v>
      </c>
      <c r="W239" s="849">
        <v>0.0</v>
      </c>
      <c r="X239" s="849">
        <v>0.0</v>
      </c>
      <c r="Y239" s="849">
        <v>0.0</v>
      </c>
      <c r="Z239" s="849">
        <v>0.0</v>
      </c>
      <c r="AA239" s="849">
        <v>0.0</v>
      </c>
      <c r="AB239" s="849">
        <v>0.0</v>
      </c>
      <c r="AC239" s="849">
        <v>0.0</v>
      </c>
      <c r="AD239" s="849">
        <v>0.0</v>
      </c>
      <c r="AE239" s="849">
        <v>0.0</v>
      </c>
      <c r="AF239" s="849">
        <v>0.0</v>
      </c>
      <c r="AG239" s="849">
        <v>0.0</v>
      </c>
      <c r="AH239" s="849">
        <v>0.0</v>
      </c>
      <c r="AI239" s="849">
        <v>0.0</v>
      </c>
      <c r="AJ239" s="794" t="str">
        <f t="shared" ref="AJ239:AK239" si="475">C239</f>
        <v>G0752</v>
      </c>
      <c r="AK239" s="794" t="str">
        <f t="shared" si="475"/>
        <v>FORMATION-USAGES</v>
      </c>
      <c r="AL239" s="794">
        <f t="array" ref="AL239">IFERROR(INDEX(G239:R239,1,MATCH(Parametres!$B$3,G$1:R$1,0)-1)*IF(OR(F239="L",F239="S",F239="I"),-1,1),"")</f>
        <v>2210.69</v>
      </c>
      <c r="AM239" s="794">
        <f t="shared" si="4"/>
        <v>0</v>
      </c>
      <c r="AN239" s="794">
        <f t="array" ref="AN239">INDEX(G239:R239,1,MATCH(Parametres!$B$3,G$1:R$1,0))*IF(OR(F239="L",F239="S",F239="I"),-1,1)</f>
        <v>2210.69</v>
      </c>
      <c r="AO239" s="853" t="str">
        <f>+VLOOKUP($AJ239,Data_Validation!$A:$D,1,0)</f>
        <v>G0752</v>
      </c>
      <c r="AP239" s="853" t="str">
        <f>+VLOOKUP($AJ239,Data_Validation!$A:$D,3,0)</f>
        <v>Véhicules usagés</v>
      </c>
      <c r="AQ239" s="853" t="str">
        <f>+VLOOKUP($AJ239,Data_Validation!$A:$D,4,0)</f>
        <v>Formation</v>
      </c>
      <c r="AR239" s="853" t="s">
        <v>728</v>
      </c>
      <c r="AS239" s="853" t="str">
        <f>+VLOOKUP($AJ239,Data_Validation!$A:$E,5,0)</f>
        <v/>
      </c>
      <c r="AT239" s="794" t="str">
        <f t="shared" ref="AT239:AU239" si="476">C239</f>
        <v>G0752</v>
      </c>
      <c r="AU239" s="854" t="str">
        <f t="shared" si="476"/>
        <v>FORMATION-USAGES</v>
      </c>
      <c r="AV239" s="794">
        <f t="array" ref="AV239">IFERROR(INDEX(V239:AG239,1,MATCH(Parametres!$B$3,V$1:AG$1,0)-1)*IF(OR(C239="L",C239="S",C239="I"),-1,1),"")</f>
        <v>0</v>
      </c>
      <c r="AW239" s="794">
        <f t="shared" si="6"/>
        <v>0</v>
      </c>
      <c r="AX239" s="794">
        <f t="array" ref="AX239">INDEX(V239:AG239,1,MATCH(Parametres!$B$3,V$1:AG$1,0))*IF(OR(C239="L",C239="S",C239="I"),-1,1)</f>
        <v>0</v>
      </c>
      <c r="AY239" s="853" t="s">
        <v>772</v>
      </c>
      <c r="AZ239" s="853" t="str">
        <f>+VLOOKUP($AJ239,Data_Validation!$A:$E,5,0)</f>
        <v/>
      </c>
    </row>
    <row r="240" ht="15.0" customHeight="1">
      <c r="A240" s="849" t="s">
        <v>1239</v>
      </c>
      <c r="B240" s="849">
        <v>2026.0</v>
      </c>
      <c r="C240" s="849" t="s">
        <v>1704</v>
      </c>
      <c r="D240" s="849" t="s">
        <v>1705</v>
      </c>
      <c r="E240" s="849" t="s">
        <v>768</v>
      </c>
      <c r="F240" s="849" t="s">
        <v>1200</v>
      </c>
      <c r="G240" s="849">
        <v>0.0</v>
      </c>
      <c r="H240" s="849">
        <v>0.0</v>
      </c>
      <c r="I240" s="849">
        <v>0.0</v>
      </c>
      <c r="J240" s="849">
        <v>0.0</v>
      </c>
      <c r="K240" s="849">
        <v>0.0</v>
      </c>
      <c r="L240" s="849">
        <v>0.0</v>
      </c>
      <c r="M240" s="849">
        <v>0.0</v>
      </c>
      <c r="N240" s="849">
        <v>0.0</v>
      </c>
      <c r="O240" s="849">
        <v>0.0</v>
      </c>
      <c r="P240" s="849">
        <v>0.0</v>
      </c>
      <c r="Q240" s="849">
        <v>0.0</v>
      </c>
      <c r="R240" s="849">
        <v>0.0</v>
      </c>
      <c r="S240" s="849">
        <v>0.0</v>
      </c>
      <c r="T240" s="849">
        <v>0.0</v>
      </c>
      <c r="U240" s="849">
        <v>0.0</v>
      </c>
      <c r="V240" s="849">
        <v>0.0</v>
      </c>
      <c r="W240" s="849">
        <v>0.0</v>
      </c>
      <c r="X240" s="849">
        <v>0.0</v>
      </c>
      <c r="Y240" s="849">
        <v>0.0</v>
      </c>
      <c r="Z240" s="849">
        <v>0.0</v>
      </c>
      <c r="AA240" s="849">
        <v>0.0</v>
      </c>
      <c r="AB240" s="849">
        <v>0.0</v>
      </c>
      <c r="AC240" s="849">
        <v>0.0</v>
      </c>
      <c r="AD240" s="849">
        <v>0.0</v>
      </c>
      <c r="AE240" s="849">
        <v>0.0</v>
      </c>
      <c r="AF240" s="849">
        <v>0.0</v>
      </c>
      <c r="AG240" s="849">
        <v>0.0</v>
      </c>
      <c r="AH240" s="849">
        <v>0.0</v>
      </c>
      <c r="AI240" s="849">
        <v>0.0</v>
      </c>
      <c r="AJ240" s="794" t="str">
        <f t="shared" ref="AJ240:AK240" si="477">C240</f>
        <v>G0753</v>
      </c>
      <c r="AK240" s="794" t="str">
        <f t="shared" si="477"/>
        <v>FORMATION U.S.A.</v>
      </c>
      <c r="AL240" s="794">
        <f t="array" ref="AL240">IFERROR(INDEX(G240:R240,1,MATCH(Parametres!$B$3,G$1:R$1,0)-1)*IF(OR(F240="L",F240="S",F240="I"),-1,1),"")</f>
        <v>0</v>
      </c>
      <c r="AM240" s="794">
        <f t="shared" si="4"/>
        <v>0</v>
      </c>
      <c r="AN240" s="794">
        <f t="array" ref="AN240">INDEX(G240:R240,1,MATCH(Parametres!$B$3,G$1:R$1,0))*IF(OR(F240="L",F240="S",F240="I"),-1,1)</f>
        <v>0</v>
      </c>
      <c r="AO240" s="853" t="str">
        <f>+VLOOKUP($AJ240,Data_Validation!$A:$D,1,0)</f>
        <v>G0753</v>
      </c>
      <c r="AP240" s="853" t="str">
        <f>+VLOOKUP($AJ240,Data_Validation!$A:$D,3,0)</f>
        <v>Wholesale autres</v>
      </c>
      <c r="AQ240" s="853" t="str">
        <f>+VLOOKUP($AJ240,Data_Validation!$A:$D,4,0)</f>
        <v>Formation</v>
      </c>
      <c r="AR240" s="853" t="s">
        <v>728</v>
      </c>
      <c r="AS240" s="853" t="str">
        <f>+VLOOKUP($AJ240,Data_Validation!$A:$E,5,0)</f>
        <v/>
      </c>
      <c r="AT240" s="794" t="str">
        <f t="shared" ref="AT240:AU240" si="478">C240</f>
        <v>G0753</v>
      </c>
      <c r="AU240" s="854" t="str">
        <f t="shared" si="478"/>
        <v>FORMATION U.S.A.</v>
      </c>
      <c r="AV240" s="794">
        <f t="array" ref="AV240">IFERROR(INDEX(V240:AG240,1,MATCH(Parametres!$B$3,V$1:AG$1,0)-1)*IF(OR(C240="L",C240="S",C240="I"),-1,1),"")</f>
        <v>0</v>
      </c>
      <c r="AW240" s="794">
        <f t="shared" si="6"/>
        <v>0</v>
      </c>
      <c r="AX240" s="794">
        <f t="array" ref="AX240">INDEX(V240:AG240,1,MATCH(Parametres!$B$3,V$1:AG$1,0))*IF(OR(C240="L",C240="S",C240="I"),-1,1)</f>
        <v>0</v>
      </c>
      <c r="AY240" s="853" t="s">
        <v>772</v>
      </c>
      <c r="AZ240" s="853" t="str">
        <f>+VLOOKUP($AJ240,Data_Validation!$A:$E,5,0)</f>
        <v/>
      </c>
    </row>
    <row r="241" ht="15.0" customHeight="1">
      <c r="A241" s="849" t="s">
        <v>1239</v>
      </c>
      <c r="B241" s="849">
        <v>2026.0</v>
      </c>
      <c r="C241" s="849" t="s">
        <v>1706</v>
      </c>
      <c r="D241" s="849" t="s">
        <v>1707</v>
      </c>
      <c r="E241" s="849" t="s">
        <v>768</v>
      </c>
      <c r="F241" s="849" t="s">
        <v>1200</v>
      </c>
      <c r="G241" s="849">
        <v>1426.24</v>
      </c>
      <c r="H241" s="849">
        <v>5993.52</v>
      </c>
      <c r="I241" s="849">
        <v>9299.16</v>
      </c>
      <c r="J241" s="849">
        <v>11069.47</v>
      </c>
      <c r="K241" s="849">
        <v>12097.44</v>
      </c>
      <c r="L241" s="849">
        <v>12469.97</v>
      </c>
      <c r="M241" s="849">
        <v>13012.47</v>
      </c>
      <c r="N241" s="849">
        <v>14178.47</v>
      </c>
      <c r="O241" s="849">
        <v>18542.64</v>
      </c>
      <c r="P241" s="849">
        <v>21917.64</v>
      </c>
      <c r="Q241" s="849">
        <v>0.0</v>
      </c>
      <c r="R241" s="849">
        <v>0.0</v>
      </c>
      <c r="S241" s="849">
        <v>2060.29</v>
      </c>
      <c r="T241" s="849">
        <v>2060.29</v>
      </c>
      <c r="U241" s="849">
        <v>0.0</v>
      </c>
      <c r="V241" s="849">
        <v>0.0</v>
      </c>
      <c r="W241" s="849">
        <v>0.0</v>
      </c>
      <c r="X241" s="849">
        <v>0.0</v>
      </c>
      <c r="Y241" s="849">
        <v>0.0</v>
      </c>
      <c r="Z241" s="849">
        <v>0.0</v>
      </c>
      <c r="AA241" s="849">
        <v>0.0</v>
      </c>
      <c r="AB241" s="849">
        <v>0.0</v>
      </c>
      <c r="AC241" s="849">
        <v>0.0</v>
      </c>
      <c r="AD241" s="849">
        <v>0.0</v>
      </c>
      <c r="AE241" s="849">
        <v>0.0</v>
      </c>
      <c r="AF241" s="849">
        <v>0.0</v>
      </c>
      <c r="AG241" s="849">
        <v>0.0</v>
      </c>
      <c r="AH241" s="849">
        <v>0.0</v>
      </c>
      <c r="AI241" s="849">
        <v>0.0</v>
      </c>
      <c r="AJ241" s="794" t="str">
        <f t="shared" ref="AJ241:AK241" si="479">C241</f>
        <v>G0754</v>
      </c>
      <c r="AK241" s="794" t="str">
        <f t="shared" si="479"/>
        <v>FORMATION-SERVICE</v>
      </c>
      <c r="AL241" s="794">
        <f t="array" ref="AL241">IFERROR(INDEX(G241:R241,1,MATCH(Parametres!$B$3,G$1:R$1,0)-1)*IF(OR(F241="L",F241="S",F241="I"),-1,1),"")</f>
        <v>14178.47</v>
      </c>
      <c r="AM241" s="794">
        <f t="shared" si="4"/>
        <v>4364.17</v>
      </c>
      <c r="AN241" s="794">
        <f t="array" ref="AN241">INDEX(G241:R241,1,MATCH(Parametres!$B$3,G$1:R$1,0))*IF(OR(F241="L",F241="S",F241="I"),-1,1)</f>
        <v>18542.64</v>
      </c>
      <c r="AO241" s="853" t="str">
        <f>+VLOOKUP($AJ241,Data_Validation!$A:$D,1,0)</f>
        <v>G0754</v>
      </c>
      <c r="AP241" s="853" t="str">
        <f>+VLOOKUP($AJ241,Data_Validation!$A:$D,3,0)</f>
        <v>Service</v>
      </c>
      <c r="AQ241" s="853" t="str">
        <f>+VLOOKUP($AJ241,Data_Validation!$A:$D,4,0)</f>
        <v>Formation</v>
      </c>
      <c r="AR241" s="853" t="s">
        <v>728</v>
      </c>
      <c r="AS241" s="853" t="str">
        <f>+VLOOKUP($AJ241,Data_Validation!$A:$E,5,0)</f>
        <v/>
      </c>
      <c r="AT241" s="794" t="str">
        <f t="shared" ref="AT241:AU241" si="480">C241</f>
        <v>G0754</v>
      </c>
      <c r="AU241" s="854" t="str">
        <f t="shared" si="480"/>
        <v>FORMATION-SERVICE</v>
      </c>
      <c r="AV241" s="794">
        <f t="array" ref="AV241">IFERROR(INDEX(V241:AG241,1,MATCH(Parametres!$B$3,V$1:AG$1,0)-1)*IF(OR(C241="L",C241="S",C241="I"),-1,1),"")</f>
        <v>0</v>
      </c>
      <c r="AW241" s="794">
        <f t="shared" si="6"/>
        <v>0</v>
      </c>
      <c r="AX241" s="794">
        <f t="array" ref="AX241">INDEX(V241:AG241,1,MATCH(Parametres!$B$3,V$1:AG$1,0))*IF(OR(C241="L",C241="S",C241="I"),-1,1)</f>
        <v>0</v>
      </c>
      <c r="AY241" s="853" t="s">
        <v>772</v>
      </c>
      <c r="AZ241" s="853" t="str">
        <f>+VLOOKUP($AJ241,Data_Validation!$A:$E,5,0)</f>
        <v/>
      </c>
    </row>
    <row r="242" ht="15.0" customHeight="1">
      <c r="A242" s="849" t="s">
        <v>1239</v>
      </c>
      <c r="B242" s="849">
        <v>2026.0</v>
      </c>
      <c r="C242" s="849" t="s">
        <v>1708</v>
      </c>
      <c r="D242" s="849" t="s">
        <v>1709</v>
      </c>
      <c r="E242" s="849" t="s">
        <v>768</v>
      </c>
      <c r="F242" s="849" t="s">
        <v>1200</v>
      </c>
      <c r="G242" s="849">
        <v>309.87</v>
      </c>
      <c r="H242" s="849">
        <v>365.87</v>
      </c>
      <c r="I242" s="849">
        <v>944.21</v>
      </c>
      <c r="J242" s="849">
        <v>944.21</v>
      </c>
      <c r="K242" s="849">
        <v>944.21</v>
      </c>
      <c r="L242" s="849">
        <v>944.21</v>
      </c>
      <c r="M242" s="849">
        <v>1417.21</v>
      </c>
      <c r="N242" s="849">
        <v>1417.21</v>
      </c>
      <c r="O242" s="849">
        <v>1417.21</v>
      </c>
      <c r="P242" s="849">
        <v>1417.21</v>
      </c>
      <c r="Q242" s="849">
        <v>0.0</v>
      </c>
      <c r="R242" s="849">
        <v>0.0</v>
      </c>
      <c r="S242" s="849">
        <v>157.47</v>
      </c>
      <c r="T242" s="849">
        <v>157.47</v>
      </c>
      <c r="U242" s="849">
        <v>0.0</v>
      </c>
      <c r="V242" s="849">
        <v>0.0</v>
      </c>
      <c r="W242" s="849">
        <v>0.0</v>
      </c>
      <c r="X242" s="849">
        <v>0.0</v>
      </c>
      <c r="Y242" s="849">
        <v>0.0</v>
      </c>
      <c r="Z242" s="849">
        <v>0.0</v>
      </c>
      <c r="AA242" s="849">
        <v>0.0</v>
      </c>
      <c r="AB242" s="849">
        <v>0.0</v>
      </c>
      <c r="AC242" s="849">
        <v>0.0</v>
      </c>
      <c r="AD242" s="849">
        <v>0.0</v>
      </c>
      <c r="AE242" s="849">
        <v>0.0</v>
      </c>
      <c r="AF242" s="849">
        <v>0.0</v>
      </c>
      <c r="AG242" s="849">
        <v>0.0</v>
      </c>
      <c r="AH242" s="849">
        <v>0.0</v>
      </c>
      <c r="AI242" s="849">
        <v>0.0</v>
      </c>
      <c r="AJ242" s="794" t="str">
        <f t="shared" ref="AJ242:AK242" si="481">C242</f>
        <v>G0755</v>
      </c>
      <c r="AK242" s="794" t="str">
        <f t="shared" si="481"/>
        <v>FORMATION-CARROSSERIE</v>
      </c>
      <c r="AL242" s="794">
        <f t="array" ref="AL242">IFERROR(INDEX(G242:R242,1,MATCH(Parametres!$B$3,G$1:R$1,0)-1)*IF(OR(F242="L",F242="S",F242="I"),-1,1),"")</f>
        <v>1417.21</v>
      </c>
      <c r="AM242" s="794">
        <f t="shared" si="4"/>
        <v>0</v>
      </c>
      <c r="AN242" s="794">
        <f t="array" ref="AN242">INDEX(G242:R242,1,MATCH(Parametres!$B$3,G$1:R$1,0))*IF(OR(F242="L",F242="S",F242="I"),-1,1)</f>
        <v>1417.21</v>
      </c>
      <c r="AO242" s="853" t="str">
        <f>+VLOOKUP($AJ242,Data_Validation!$A:$D,1,0)</f>
        <v>G0755</v>
      </c>
      <c r="AP242" s="853" t="str">
        <f>+VLOOKUP($AJ242,Data_Validation!$A:$D,3,0)</f>
        <v>Carrosserie</v>
      </c>
      <c r="AQ242" s="853" t="str">
        <f>+VLOOKUP($AJ242,Data_Validation!$A:$D,4,0)</f>
        <v>Formation</v>
      </c>
      <c r="AR242" s="853" t="s">
        <v>728</v>
      </c>
      <c r="AS242" s="853" t="str">
        <f>+VLOOKUP($AJ242,Data_Validation!$A:$E,5,0)</f>
        <v/>
      </c>
      <c r="AT242" s="794" t="str">
        <f t="shared" ref="AT242:AU242" si="482">C242</f>
        <v>G0755</v>
      </c>
      <c r="AU242" s="854" t="str">
        <f t="shared" si="482"/>
        <v>FORMATION-CARROSSERIE</v>
      </c>
      <c r="AV242" s="794">
        <f t="array" ref="AV242">IFERROR(INDEX(V242:AG242,1,MATCH(Parametres!$B$3,V$1:AG$1,0)-1)*IF(OR(C242="L",C242="S",C242="I"),-1,1),"")</f>
        <v>0</v>
      </c>
      <c r="AW242" s="794">
        <f t="shared" si="6"/>
        <v>0</v>
      </c>
      <c r="AX242" s="794">
        <f t="array" ref="AX242">INDEX(V242:AG242,1,MATCH(Parametres!$B$3,V$1:AG$1,0))*IF(OR(C242="L",C242="S",C242="I"),-1,1)</f>
        <v>0</v>
      </c>
      <c r="AY242" s="853" t="s">
        <v>772</v>
      </c>
      <c r="AZ242" s="853" t="str">
        <f>+VLOOKUP($AJ242,Data_Validation!$A:$E,5,0)</f>
        <v/>
      </c>
    </row>
    <row r="243" ht="15.75" customHeight="1">
      <c r="A243" s="849" t="s">
        <v>1239</v>
      </c>
      <c r="B243" s="849">
        <v>2026.0</v>
      </c>
      <c r="C243" s="849" t="s">
        <v>1710</v>
      </c>
      <c r="D243" s="849" t="s">
        <v>1711</v>
      </c>
      <c r="E243" s="849" t="s">
        <v>768</v>
      </c>
      <c r="F243" s="849" t="s">
        <v>1200</v>
      </c>
      <c r="G243" s="849">
        <v>0.0</v>
      </c>
      <c r="H243" s="849">
        <v>186.0</v>
      </c>
      <c r="I243" s="849">
        <v>764.33</v>
      </c>
      <c r="J243" s="849">
        <v>764.33</v>
      </c>
      <c r="K243" s="849">
        <v>764.33</v>
      </c>
      <c r="L243" s="849">
        <v>764.33</v>
      </c>
      <c r="M243" s="849">
        <v>764.33</v>
      </c>
      <c r="N243" s="849">
        <v>764.33</v>
      </c>
      <c r="O243" s="849">
        <v>764.33</v>
      </c>
      <c r="P243" s="849">
        <v>764.33</v>
      </c>
      <c r="Q243" s="849">
        <v>0.0</v>
      </c>
      <c r="R243" s="849">
        <v>0.0</v>
      </c>
      <c r="S243" s="849">
        <v>84.93</v>
      </c>
      <c r="T243" s="849">
        <v>84.93</v>
      </c>
      <c r="U243" s="849">
        <v>0.0</v>
      </c>
      <c r="V243" s="849">
        <v>0.0</v>
      </c>
      <c r="W243" s="849">
        <v>0.0</v>
      </c>
      <c r="X243" s="849">
        <v>0.0</v>
      </c>
      <c r="Y243" s="849">
        <v>0.0</v>
      </c>
      <c r="Z243" s="849">
        <v>0.0</v>
      </c>
      <c r="AA243" s="849">
        <v>0.0</v>
      </c>
      <c r="AB243" s="849">
        <v>0.0</v>
      </c>
      <c r="AC243" s="849">
        <v>0.0</v>
      </c>
      <c r="AD243" s="849">
        <v>0.0</v>
      </c>
      <c r="AE243" s="849">
        <v>0.0</v>
      </c>
      <c r="AF243" s="849">
        <v>0.0</v>
      </c>
      <c r="AG243" s="849">
        <v>0.0</v>
      </c>
      <c r="AH243" s="849">
        <v>0.0</v>
      </c>
      <c r="AI243" s="849">
        <v>0.0</v>
      </c>
      <c r="AJ243" s="794" t="str">
        <f t="shared" ref="AJ243:AK243" si="483">C243</f>
        <v>G0756</v>
      </c>
      <c r="AK243" s="794" t="str">
        <f t="shared" si="483"/>
        <v>FORMATION-PIECES</v>
      </c>
      <c r="AL243" s="794">
        <f t="array" ref="AL243">IFERROR(INDEX(G243:R243,1,MATCH(Parametres!$B$3,G$1:R$1,0)-1)*IF(OR(F243="L",F243="S",F243="I"),-1,1),"")</f>
        <v>764.33</v>
      </c>
      <c r="AM243" s="794">
        <f t="shared" si="4"/>
        <v>0</v>
      </c>
      <c r="AN243" s="794">
        <f t="array" ref="AN243">INDEX(G243:R243,1,MATCH(Parametres!$B$3,G$1:R$1,0))*IF(OR(F243="L",F243="S",F243="I"),-1,1)</f>
        <v>764.33</v>
      </c>
      <c r="AO243" s="853" t="str">
        <f>+VLOOKUP($AJ243,Data_Validation!$A:$D,1,0)</f>
        <v>G0756</v>
      </c>
      <c r="AP243" s="853" t="str">
        <f>+VLOOKUP($AJ243,Data_Validation!$A:$D,3,0)</f>
        <v>Pièces</v>
      </c>
      <c r="AQ243" s="853" t="str">
        <f>+VLOOKUP($AJ243,Data_Validation!$A:$D,4,0)</f>
        <v>Formation</v>
      </c>
      <c r="AR243" s="853" t="s">
        <v>728</v>
      </c>
      <c r="AS243" s="853" t="str">
        <f>+VLOOKUP($AJ243,Data_Validation!$A:$E,5,0)</f>
        <v/>
      </c>
      <c r="AT243" s="794" t="str">
        <f t="shared" ref="AT243:AU243" si="484">C243</f>
        <v>G0756</v>
      </c>
      <c r="AU243" s="854" t="str">
        <f t="shared" si="484"/>
        <v>FORMATION-PIECES</v>
      </c>
      <c r="AV243" s="794">
        <f t="array" ref="AV243">IFERROR(INDEX(V243:AG243,1,MATCH(Parametres!$B$3,V$1:AG$1,0)-1)*IF(OR(C243="L",C243="S",C243="I"),-1,1),"")</f>
        <v>0</v>
      </c>
      <c r="AW243" s="794">
        <f t="shared" si="6"/>
        <v>0</v>
      </c>
      <c r="AX243" s="794">
        <f t="array" ref="AX243">INDEX(V243:AG243,1,MATCH(Parametres!$B$3,V$1:AG$1,0))*IF(OR(C243="L",C243="S",C243="I"),-1,1)</f>
        <v>0</v>
      </c>
      <c r="AY243" s="853" t="s">
        <v>772</v>
      </c>
      <c r="AZ243" s="853" t="str">
        <f>+VLOOKUP($AJ243,Data_Validation!$A:$E,5,0)</f>
        <v/>
      </c>
    </row>
    <row r="244" ht="15.0" customHeight="1">
      <c r="A244" s="849" t="s">
        <v>1239</v>
      </c>
      <c r="B244" s="849">
        <v>2026.0</v>
      </c>
      <c r="C244" s="849" t="s">
        <v>1712</v>
      </c>
      <c r="D244" s="849" t="s">
        <v>1713</v>
      </c>
      <c r="E244" s="849" t="s">
        <v>768</v>
      </c>
      <c r="F244" s="849" t="s">
        <v>1200</v>
      </c>
      <c r="G244" s="849">
        <v>0.0</v>
      </c>
      <c r="H244" s="849">
        <v>0.0</v>
      </c>
      <c r="I244" s="849">
        <v>0.0</v>
      </c>
      <c r="J244" s="849">
        <v>0.0</v>
      </c>
      <c r="K244" s="849">
        <v>0.0</v>
      </c>
      <c r="L244" s="849">
        <v>0.0</v>
      </c>
      <c r="M244" s="849">
        <v>2256.24</v>
      </c>
      <c r="N244" s="849">
        <v>2256.24</v>
      </c>
      <c r="O244" s="849">
        <v>3833.52</v>
      </c>
      <c r="P244" s="849">
        <v>3833.52</v>
      </c>
      <c r="Q244" s="849">
        <v>0.0</v>
      </c>
      <c r="R244" s="849">
        <v>0.0</v>
      </c>
      <c r="S244" s="849">
        <v>425.95</v>
      </c>
      <c r="T244" s="849">
        <v>425.95</v>
      </c>
      <c r="U244" s="849">
        <v>0.0</v>
      </c>
      <c r="V244" s="849">
        <v>0.0</v>
      </c>
      <c r="W244" s="849">
        <v>0.0</v>
      </c>
      <c r="X244" s="849">
        <v>0.0</v>
      </c>
      <c r="Y244" s="849">
        <v>0.0</v>
      </c>
      <c r="Z244" s="849">
        <v>0.0</v>
      </c>
      <c r="AA244" s="849">
        <v>0.0</v>
      </c>
      <c r="AB244" s="849">
        <v>0.0</v>
      </c>
      <c r="AC244" s="849">
        <v>0.0</v>
      </c>
      <c r="AD244" s="849">
        <v>0.0</v>
      </c>
      <c r="AE244" s="849">
        <v>0.0</v>
      </c>
      <c r="AF244" s="849">
        <v>0.0</v>
      </c>
      <c r="AG244" s="849">
        <v>0.0</v>
      </c>
      <c r="AH244" s="849">
        <v>0.0</v>
      </c>
      <c r="AI244" s="849">
        <v>0.0</v>
      </c>
      <c r="AJ244" s="794" t="str">
        <f t="shared" ref="AJ244:AK244" si="485">C244</f>
        <v>G0757</v>
      </c>
      <c r="AK244" s="794" t="str">
        <f t="shared" si="485"/>
        <v>FORMATION-SAAQ</v>
      </c>
      <c r="AL244" s="794">
        <f t="array" ref="AL244">IFERROR(INDEX(G244:R244,1,MATCH(Parametres!$B$3,G$1:R$1,0)-1)*IF(OR(F244="L",F244="S",F244="I"),-1,1),"")</f>
        <v>2256.24</v>
      </c>
      <c r="AM244" s="794">
        <f t="shared" si="4"/>
        <v>1577.28</v>
      </c>
      <c r="AN244" s="794">
        <f t="array" ref="AN244">INDEX(G244:R244,1,MATCH(Parametres!$B$3,G$1:R$1,0))*IF(OR(F244="L",F244="S",F244="I"),-1,1)</f>
        <v>3833.52</v>
      </c>
      <c r="AO244" s="853" t="str">
        <f>+VLOOKUP($AJ244,Data_Validation!$A:$D,1,0)</f>
        <v>G0757</v>
      </c>
      <c r="AP244" s="853" t="str">
        <f>+VLOOKUP($AJ244,Data_Validation!$A:$D,3,0)</f>
        <v>SAAQ</v>
      </c>
      <c r="AQ244" s="853" t="str">
        <f>+VLOOKUP($AJ244,Data_Validation!$A:$D,4,0)</f>
        <v>Formation</v>
      </c>
      <c r="AR244" s="853" t="s">
        <v>728</v>
      </c>
      <c r="AS244" s="853" t="str">
        <f>+VLOOKUP($AJ244,Data_Validation!$A:$E,5,0)</f>
        <v/>
      </c>
      <c r="AT244" s="794" t="str">
        <f t="shared" ref="AT244:AU244" si="486">C244</f>
        <v>G0757</v>
      </c>
      <c r="AU244" s="854" t="str">
        <f t="shared" si="486"/>
        <v>FORMATION-SAAQ</v>
      </c>
      <c r="AV244" s="794">
        <f t="array" ref="AV244">IFERROR(INDEX(V244:AG244,1,MATCH(Parametres!$B$3,V$1:AG$1,0)-1)*IF(OR(C244="L",C244="S",C244="I"),-1,1),"")</f>
        <v>0</v>
      </c>
      <c r="AW244" s="794">
        <f t="shared" si="6"/>
        <v>0</v>
      </c>
      <c r="AX244" s="794">
        <f t="array" ref="AX244">INDEX(V244:AG244,1,MATCH(Parametres!$B$3,V$1:AG$1,0))*IF(OR(C244="L",C244="S",C244="I"),-1,1)</f>
        <v>0</v>
      </c>
      <c r="AY244" s="853" t="s">
        <v>772</v>
      </c>
      <c r="AZ244" s="853" t="str">
        <f>+VLOOKUP($AJ244,Data_Validation!$A:$E,5,0)</f>
        <v/>
      </c>
    </row>
    <row r="245" ht="15.0" customHeight="1">
      <c r="A245" s="849" t="s">
        <v>1239</v>
      </c>
      <c r="B245" s="849">
        <v>2026.0</v>
      </c>
      <c r="C245" s="849" t="s">
        <v>1714</v>
      </c>
      <c r="D245" s="849" t="s">
        <v>1715</v>
      </c>
      <c r="E245" s="849" t="s">
        <v>768</v>
      </c>
      <c r="F245" s="849" t="s">
        <v>1200</v>
      </c>
      <c r="G245" s="849">
        <v>0.0</v>
      </c>
      <c r="H245" s="849">
        <v>13939.86</v>
      </c>
      <c r="I245" s="849">
        <v>0.0</v>
      </c>
      <c r="J245" s="849">
        <v>0.0</v>
      </c>
      <c r="K245" s="849">
        <v>0.0</v>
      </c>
      <c r="L245" s="849">
        <v>0.0</v>
      </c>
      <c r="M245" s="849">
        <v>0.0</v>
      </c>
      <c r="N245" s="849">
        <v>0.0</v>
      </c>
      <c r="O245" s="849">
        <v>0.0</v>
      </c>
      <c r="P245" s="849">
        <v>0.0</v>
      </c>
      <c r="Q245" s="849">
        <v>0.0</v>
      </c>
      <c r="R245" s="849">
        <v>0.0</v>
      </c>
      <c r="S245" s="849">
        <v>0.0</v>
      </c>
      <c r="T245" s="849">
        <v>0.0</v>
      </c>
      <c r="U245" s="849">
        <v>0.0</v>
      </c>
      <c r="V245" s="849">
        <v>0.0</v>
      </c>
      <c r="W245" s="849">
        <v>0.0</v>
      </c>
      <c r="X245" s="849">
        <v>0.0</v>
      </c>
      <c r="Y245" s="849">
        <v>0.0</v>
      </c>
      <c r="Z245" s="849">
        <v>0.0</v>
      </c>
      <c r="AA245" s="849">
        <v>0.0</v>
      </c>
      <c r="AB245" s="849">
        <v>0.0</v>
      </c>
      <c r="AC245" s="849">
        <v>0.0</v>
      </c>
      <c r="AD245" s="849">
        <v>0.0</v>
      </c>
      <c r="AE245" s="849">
        <v>0.0</v>
      </c>
      <c r="AF245" s="849">
        <v>0.0</v>
      </c>
      <c r="AG245" s="849">
        <v>0.0</v>
      </c>
      <c r="AH245" s="849">
        <v>0.0</v>
      </c>
      <c r="AI245" s="849">
        <v>0.0</v>
      </c>
      <c r="AJ245" s="794" t="str">
        <f t="shared" ref="AJ245:AK245" si="487">C245</f>
        <v>G0760</v>
      </c>
      <c r="AK245" s="794" t="str">
        <f t="shared" si="487"/>
        <v>INTERET VEH. REP 4</v>
      </c>
      <c r="AL245" s="794">
        <f t="array" ref="AL245">IFERROR(INDEX(G245:R245,1,MATCH(Parametres!$B$3,G$1:R$1,0)-1)*IF(OR(F245="L",F245="S",F245="I"),-1,1),"")</f>
        <v>0</v>
      </c>
      <c r="AM245" s="794">
        <f t="shared" si="4"/>
        <v>0</v>
      </c>
      <c r="AN245" s="794">
        <f t="array" ref="AN245">INDEX(G245:R245,1,MATCH(Parametres!$B$3,G$1:R$1,0))*IF(OR(F245="L",F245="S",F245="I"),-1,1)</f>
        <v>0</v>
      </c>
      <c r="AO245" s="853" t="str">
        <f>+VLOOKUP($AJ245,Data_Validation!$A:$D,1,0)</f>
        <v>G0760</v>
      </c>
      <c r="AP245" s="853" t="str">
        <f>+VLOOKUP($AJ245,Data_Validation!$A:$D,3,0)</f>
        <v/>
      </c>
      <c r="AQ245" s="853" t="str">
        <f>+VLOOKUP($AJ245,Data_Validation!$A:$D,4,0)</f>
        <v/>
      </c>
      <c r="AR245" s="853" t="s">
        <v>728</v>
      </c>
      <c r="AS245" s="853" t="str">
        <f>+VLOOKUP($AJ245,Data_Validation!$A:$E,5,0)</f>
        <v/>
      </c>
      <c r="AT245" s="794" t="str">
        <f t="shared" ref="AT245:AU245" si="488">C245</f>
        <v>G0760</v>
      </c>
      <c r="AU245" s="854" t="str">
        <f t="shared" si="488"/>
        <v>INTERET VEH. REP 4</v>
      </c>
      <c r="AV245" s="794">
        <f t="array" ref="AV245">IFERROR(INDEX(V245:AG245,1,MATCH(Parametres!$B$3,V$1:AG$1,0)-1)*IF(OR(C245="L",C245="S",C245="I"),-1,1),"")</f>
        <v>0</v>
      </c>
      <c r="AW245" s="794">
        <f t="shared" si="6"/>
        <v>0</v>
      </c>
      <c r="AX245" s="794">
        <f t="array" ref="AX245">INDEX(V245:AG245,1,MATCH(Parametres!$B$3,V$1:AG$1,0))*IF(OR(C245="L",C245="S",C245="I"),-1,1)</f>
        <v>0</v>
      </c>
      <c r="AY245" s="853" t="s">
        <v>772</v>
      </c>
      <c r="AZ245" s="853" t="str">
        <f>+VLOOKUP($AJ245,Data_Validation!$A:$E,5,0)</f>
        <v/>
      </c>
    </row>
    <row r="246" ht="15.0" customHeight="1">
      <c r="A246" s="849" t="s">
        <v>1239</v>
      </c>
      <c r="B246" s="849">
        <v>2026.0</v>
      </c>
      <c r="C246" s="849" t="s">
        <v>1716</v>
      </c>
      <c r="D246" s="849" t="s">
        <v>1717</v>
      </c>
      <c r="E246" s="849" t="s">
        <v>768</v>
      </c>
      <c r="F246" s="849" t="s">
        <v>1200</v>
      </c>
      <c r="G246" s="849">
        <v>81385.13</v>
      </c>
      <c r="H246" s="849">
        <v>159998.48</v>
      </c>
      <c r="I246" s="849">
        <v>243112.44</v>
      </c>
      <c r="J246" s="849">
        <v>280940.63</v>
      </c>
      <c r="K246" s="849">
        <v>327727.48</v>
      </c>
      <c r="L246" s="849">
        <v>366424.51</v>
      </c>
      <c r="M246" s="849">
        <v>422644.11</v>
      </c>
      <c r="N246" s="849">
        <v>449168.84</v>
      </c>
      <c r="O246" s="849">
        <v>490451.64</v>
      </c>
      <c r="P246" s="849">
        <v>486352.84</v>
      </c>
      <c r="Q246" s="849">
        <v>0.0</v>
      </c>
      <c r="R246" s="849">
        <v>0.0</v>
      </c>
      <c r="S246" s="849">
        <v>54494.63</v>
      </c>
      <c r="T246" s="849">
        <v>54494.63</v>
      </c>
      <c r="U246" s="849">
        <v>0.0</v>
      </c>
      <c r="V246" s="849">
        <v>0.0</v>
      </c>
      <c r="W246" s="849">
        <v>0.0</v>
      </c>
      <c r="X246" s="849">
        <v>0.0</v>
      </c>
      <c r="Y246" s="849">
        <v>0.0</v>
      </c>
      <c r="Z246" s="849">
        <v>0.0</v>
      </c>
      <c r="AA246" s="849">
        <v>0.0</v>
      </c>
      <c r="AB246" s="849">
        <v>0.0</v>
      </c>
      <c r="AC246" s="849">
        <v>0.0</v>
      </c>
      <c r="AD246" s="849">
        <v>0.0</v>
      </c>
      <c r="AE246" s="849">
        <v>0.0</v>
      </c>
      <c r="AF246" s="849">
        <v>0.0</v>
      </c>
      <c r="AG246" s="849">
        <v>0.0</v>
      </c>
      <c r="AH246" s="849">
        <v>0.0</v>
      </c>
      <c r="AI246" s="849">
        <v>0.0</v>
      </c>
      <c r="AJ246" s="794" t="str">
        <f t="shared" ref="AJ246:AK246" si="489">C246</f>
        <v>G0761</v>
      </c>
      <c r="AK246" s="794" t="str">
        <f t="shared" si="489"/>
        <v>INTERETS VEHICULES-NEUFS</v>
      </c>
      <c r="AL246" s="794">
        <f t="array" ref="AL246">IFERROR(INDEX(G246:R246,1,MATCH(Parametres!$B$3,G$1:R$1,0)-1)*IF(OR(F246="L",F246="S",F246="I"),-1,1),"")</f>
        <v>449168.84</v>
      </c>
      <c r="AM246" s="794">
        <f t="shared" si="4"/>
        <v>41282.8</v>
      </c>
      <c r="AN246" s="794">
        <f t="array" ref="AN246">INDEX(G246:R246,1,MATCH(Parametres!$B$3,G$1:R$1,0))*IF(OR(F246="L",F246="S",F246="I"),-1,1)</f>
        <v>490451.64</v>
      </c>
      <c r="AO246" s="853" t="str">
        <f>+VLOOKUP($AJ246,Data_Validation!$A:$D,1,0)</f>
        <v>G0761</v>
      </c>
      <c r="AP246" s="853" t="str">
        <f>+VLOOKUP($AJ246,Data_Validation!$A:$D,3,0)</f>
        <v>Véhicules neufs</v>
      </c>
      <c r="AQ246" s="853" t="str">
        <f>+VLOOKUP($AJ246,Data_Validation!$A:$D,4,0)</f>
        <v>Intérêt de gros</v>
      </c>
      <c r="AR246" s="853" t="s">
        <v>728</v>
      </c>
      <c r="AS246" s="853" t="str">
        <f>+VLOOKUP($AJ246,Data_Validation!$A:$E,5,0)</f>
        <v/>
      </c>
      <c r="AT246" s="794" t="str">
        <f t="shared" ref="AT246:AU246" si="490">C246</f>
        <v>G0761</v>
      </c>
      <c r="AU246" s="854" t="str">
        <f t="shared" si="490"/>
        <v>INTERETS VEHICULES-NEUFS</v>
      </c>
      <c r="AV246" s="794">
        <f t="array" ref="AV246">IFERROR(INDEX(V246:AG246,1,MATCH(Parametres!$B$3,V$1:AG$1,0)-1)*IF(OR(C246="L",C246="S",C246="I"),-1,1),"")</f>
        <v>0</v>
      </c>
      <c r="AW246" s="794">
        <f t="shared" si="6"/>
        <v>0</v>
      </c>
      <c r="AX246" s="794">
        <f t="array" ref="AX246">INDEX(V246:AG246,1,MATCH(Parametres!$B$3,V$1:AG$1,0))*IF(OR(C246="L",C246="S",C246="I"),-1,1)</f>
        <v>0</v>
      </c>
      <c r="AY246" s="853" t="s">
        <v>772</v>
      </c>
      <c r="AZ246" s="853" t="str">
        <f>+VLOOKUP($AJ246,Data_Validation!$A:$E,5,0)</f>
        <v/>
      </c>
    </row>
    <row r="247" ht="15.75" customHeight="1">
      <c r="A247" s="849" t="s">
        <v>1239</v>
      </c>
      <c r="B247" s="849">
        <v>2026.0</v>
      </c>
      <c r="C247" s="849" t="s">
        <v>1718</v>
      </c>
      <c r="D247" s="849" t="s">
        <v>1719</v>
      </c>
      <c r="E247" s="849" t="s">
        <v>768</v>
      </c>
      <c r="F247" s="849" t="s">
        <v>1200</v>
      </c>
      <c r="G247" s="849">
        <v>49336.54</v>
      </c>
      <c r="H247" s="849">
        <v>107015.05</v>
      </c>
      <c r="I247" s="849">
        <v>159577.68</v>
      </c>
      <c r="J247" s="849">
        <v>193357.01</v>
      </c>
      <c r="K247" s="849">
        <v>213907.7</v>
      </c>
      <c r="L247" s="849">
        <v>207273.84</v>
      </c>
      <c r="M247" s="849">
        <v>209045.48</v>
      </c>
      <c r="N247" s="849">
        <v>215114.0</v>
      </c>
      <c r="O247" s="849">
        <v>217542.63</v>
      </c>
      <c r="P247" s="849">
        <v>215542.63</v>
      </c>
      <c r="Q247" s="849">
        <v>0.0</v>
      </c>
      <c r="R247" s="849">
        <v>0.0</v>
      </c>
      <c r="S247" s="849">
        <v>24171.4</v>
      </c>
      <c r="T247" s="849">
        <v>24171.4</v>
      </c>
      <c r="U247" s="849">
        <v>0.0</v>
      </c>
      <c r="V247" s="849">
        <v>0.0</v>
      </c>
      <c r="W247" s="849">
        <v>0.0</v>
      </c>
      <c r="X247" s="849">
        <v>0.0</v>
      </c>
      <c r="Y247" s="849">
        <v>0.0</v>
      </c>
      <c r="Z247" s="849">
        <v>0.0</v>
      </c>
      <c r="AA247" s="849">
        <v>0.0</v>
      </c>
      <c r="AB247" s="849">
        <v>0.0</v>
      </c>
      <c r="AC247" s="849">
        <v>0.0</v>
      </c>
      <c r="AD247" s="849">
        <v>0.0</v>
      </c>
      <c r="AE247" s="849">
        <v>0.0</v>
      </c>
      <c r="AF247" s="849">
        <v>0.0</v>
      </c>
      <c r="AG247" s="849">
        <v>0.0</v>
      </c>
      <c r="AH247" s="849">
        <v>0.0</v>
      </c>
      <c r="AI247" s="849">
        <v>0.0</v>
      </c>
      <c r="AJ247" s="794" t="str">
        <f t="shared" ref="AJ247:AK247" si="491">C247</f>
        <v>G0762</v>
      </c>
      <c r="AK247" s="794" t="str">
        <f t="shared" si="491"/>
        <v>INTERETS VEHICULES-USAGES</v>
      </c>
      <c r="AL247" s="794">
        <f t="array" ref="AL247">IFERROR(INDEX(G247:R247,1,MATCH(Parametres!$B$3,G$1:R$1,0)-1)*IF(OR(F247="L",F247="S",F247="I"),-1,1),"")</f>
        <v>215114</v>
      </c>
      <c r="AM247" s="794">
        <f t="shared" si="4"/>
        <v>2428.63</v>
      </c>
      <c r="AN247" s="794">
        <f t="array" ref="AN247">INDEX(G247:R247,1,MATCH(Parametres!$B$3,G$1:R$1,0))*IF(OR(F247="L",F247="S",F247="I"),-1,1)</f>
        <v>217542.63</v>
      </c>
      <c r="AO247" s="853" t="str">
        <f>+VLOOKUP($AJ247,Data_Validation!$A:$D,1,0)</f>
        <v>G0762</v>
      </c>
      <c r="AP247" s="853" t="str">
        <f>+VLOOKUP($AJ247,Data_Validation!$A:$D,3,0)</f>
        <v>Véhicules usagés</v>
      </c>
      <c r="AQ247" s="853" t="str">
        <f>+VLOOKUP($AJ247,Data_Validation!$A:$D,4,0)</f>
        <v>Intérêt de gros</v>
      </c>
      <c r="AR247" s="853" t="s">
        <v>728</v>
      </c>
      <c r="AS247" s="853" t="str">
        <f>+VLOOKUP($AJ247,Data_Validation!$A:$E,5,0)</f>
        <v/>
      </c>
      <c r="AT247" s="794" t="str">
        <f t="shared" ref="AT247:AU247" si="492">C247</f>
        <v>G0762</v>
      </c>
      <c r="AU247" s="854" t="str">
        <f t="shared" si="492"/>
        <v>INTERETS VEHICULES-USAGES</v>
      </c>
      <c r="AV247" s="794">
        <f t="array" ref="AV247">IFERROR(INDEX(V247:AG247,1,MATCH(Parametres!$B$3,V$1:AG$1,0)-1)*IF(OR(C247="L",C247="S",C247="I"),-1,1),"")</f>
        <v>0</v>
      </c>
      <c r="AW247" s="794">
        <f t="shared" si="6"/>
        <v>0</v>
      </c>
      <c r="AX247" s="794">
        <f t="array" ref="AX247">INDEX(V247:AG247,1,MATCH(Parametres!$B$3,V$1:AG$1,0))*IF(OR(C247="L",C247="S",C247="I"),-1,1)</f>
        <v>0</v>
      </c>
      <c r="AY247" s="853" t="s">
        <v>772</v>
      </c>
      <c r="AZ247" s="853" t="str">
        <f>+VLOOKUP($AJ247,Data_Validation!$A:$E,5,0)</f>
        <v/>
      </c>
    </row>
    <row r="248" ht="15.0" customHeight="1">
      <c r="A248" s="849" t="s">
        <v>1239</v>
      </c>
      <c r="B248" s="849">
        <v>2026.0</v>
      </c>
      <c r="C248" s="849" t="s">
        <v>1720</v>
      </c>
      <c r="D248" s="849" t="s">
        <v>1721</v>
      </c>
      <c r="E248" s="849" t="s">
        <v>768</v>
      </c>
      <c r="F248" s="849" t="s">
        <v>1200</v>
      </c>
      <c r="G248" s="849">
        <v>21593.24</v>
      </c>
      <c r="H248" s="849">
        <v>21593.24</v>
      </c>
      <c r="I248" s="849">
        <v>36167.45</v>
      </c>
      <c r="J248" s="849">
        <v>62987.9</v>
      </c>
      <c r="K248" s="849">
        <v>99197.87</v>
      </c>
      <c r="L248" s="849">
        <v>131373.47</v>
      </c>
      <c r="M248" s="849">
        <v>160065.55</v>
      </c>
      <c r="N248" s="849">
        <v>171325.95</v>
      </c>
      <c r="O248" s="849">
        <v>176727.91</v>
      </c>
      <c r="P248" s="849">
        <v>176827.91</v>
      </c>
      <c r="Q248" s="849">
        <v>0.0</v>
      </c>
      <c r="R248" s="849">
        <v>0.0</v>
      </c>
      <c r="S248" s="849">
        <v>19636.43</v>
      </c>
      <c r="T248" s="849">
        <v>19636.43</v>
      </c>
      <c r="U248" s="849">
        <v>0.0</v>
      </c>
      <c r="V248" s="849">
        <v>0.0</v>
      </c>
      <c r="W248" s="849">
        <v>0.0</v>
      </c>
      <c r="X248" s="849">
        <v>0.0</v>
      </c>
      <c r="Y248" s="849">
        <v>0.0</v>
      </c>
      <c r="Z248" s="849">
        <v>0.0</v>
      </c>
      <c r="AA248" s="849">
        <v>0.0</v>
      </c>
      <c r="AB248" s="849">
        <v>0.0</v>
      </c>
      <c r="AC248" s="849">
        <v>0.0</v>
      </c>
      <c r="AD248" s="849">
        <v>0.0</v>
      </c>
      <c r="AE248" s="849">
        <v>0.0</v>
      </c>
      <c r="AF248" s="849">
        <v>0.0</v>
      </c>
      <c r="AG248" s="849">
        <v>0.0</v>
      </c>
      <c r="AH248" s="849">
        <v>0.0</v>
      </c>
      <c r="AI248" s="849">
        <v>0.0</v>
      </c>
      <c r="AJ248" s="794" t="str">
        <f t="shared" ref="AJ248:AK248" si="493">C248</f>
        <v>G0763</v>
      </c>
      <c r="AK248" s="794" t="str">
        <f t="shared" si="493"/>
        <v>INTERETS VEHICULES U.S.A</v>
      </c>
      <c r="AL248" s="794">
        <f t="array" ref="AL248">IFERROR(INDEX(G248:R248,1,MATCH(Parametres!$B$3,G$1:R$1,0)-1)*IF(OR(F248="L",F248="S",F248="I"),-1,1),"")</f>
        <v>171325.95</v>
      </c>
      <c r="AM248" s="794">
        <f t="shared" si="4"/>
        <v>5401.96</v>
      </c>
      <c r="AN248" s="794">
        <f t="array" ref="AN248">INDEX(G248:R248,1,MATCH(Parametres!$B$3,G$1:R$1,0))*IF(OR(F248="L",F248="S",F248="I"),-1,1)</f>
        <v>176727.91</v>
      </c>
      <c r="AO248" s="853" t="str">
        <f>+VLOOKUP($AJ248,Data_Validation!$A:$D,1,0)</f>
        <v>G0763</v>
      </c>
      <c r="AP248" s="853" t="str">
        <f>+VLOOKUP($AJ248,Data_Validation!$A:$D,3,0)</f>
        <v>Wholesale autres</v>
      </c>
      <c r="AQ248" s="853" t="str">
        <f>+VLOOKUP($AJ248,Data_Validation!$A:$D,4,0)</f>
        <v>Intérêt de gros</v>
      </c>
      <c r="AR248" s="853" t="s">
        <v>728</v>
      </c>
      <c r="AS248" s="853" t="str">
        <f>+VLOOKUP($AJ248,Data_Validation!$A:$E,5,0)</f>
        <v/>
      </c>
      <c r="AT248" s="794" t="str">
        <f t="shared" ref="AT248:AU248" si="494">C248</f>
        <v>G0763</v>
      </c>
      <c r="AU248" s="854" t="str">
        <f t="shared" si="494"/>
        <v>INTERETS VEHICULES U.S.A</v>
      </c>
      <c r="AV248" s="794">
        <f t="array" ref="AV248">IFERROR(INDEX(V248:AG248,1,MATCH(Parametres!$B$3,V$1:AG$1,0)-1)*IF(OR(C248="L",C248="S",C248="I"),-1,1),"")</f>
        <v>0</v>
      </c>
      <c r="AW248" s="794">
        <f t="shared" si="6"/>
        <v>0</v>
      </c>
      <c r="AX248" s="794">
        <f t="array" ref="AX248">INDEX(V248:AG248,1,MATCH(Parametres!$B$3,V$1:AG$1,0))*IF(OR(C248="L",C248="S",C248="I"),-1,1)</f>
        <v>0</v>
      </c>
      <c r="AY248" s="853" t="s">
        <v>772</v>
      </c>
      <c r="AZ248" s="853" t="str">
        <f>+VLOOKUP($AJ248,Data_Validation!$A:$E,5,0)</f>
        <v/>
      </c>
    </row>
    <row r="249" ht="15.0" customHeight="1">
      <c r="A249" s="849" t="s">
        <v>1239</v>
      </c>
      <c r="B249" s="849">
        <v>2026.0</v>
      </c>
      <c r="C249" s="849" t="s">
        <v>1722</v>
      </c>
      <c r="D249" s="849" t="s">
        <v>1723</v>
      </c>
      <c r="E249" s="849" t="s">
        <v>768</v>
      </c>
      <c r="F249" s="849" t="s">
        <v>1200</v>
      </c>
      <c r="G249" s="849">
        <v>0.0</v>
      </c>
      <c r="H249" s="849">
        <v>0.0</v>
      </c>
      <c r="I249" s="849">
        <v>55.68</v>
      </c>
      <c r="J249" s="849">
        <v>0.0</v>
      </c>
      <c r="K249" s="849">
        <v>0.0</v>
      </c>
      <c r="L249" s="849">
        <v>0.0</v>
      </c>
      <c r="M249" s="849">
        <v>0.0</v>
      </c>
      <c r="N249" s="849">
        <v>0.0</v>
      </c>
      <c r="O249" s="849">
        <v>0.0</v>
      </c>
      <c r="P249" s="849">
        <v>0.0</v>
      </c>
      <c r="Q249" s="849">
        <v>0.0</v>
      </c>
      <c r="R249" s="849">
        <v>0.0</v>
      </c>
      <c r="S249" s="849">
        <v>0.0</v>
      </c>
      <c r="T249" s="849">
        <v>0.0</v>
      </c>
      <c r="U249" s="849">
        <v>0.0</v>
      </c>
      <c r="V249" s="849">
        <v>0.0</v>
      </c>
      <c r="W249" s="849">
        <v>0.0</v>
      </c>
      <c r="X249" s="849">
        <v>0.0</v>
      </c>
      <c r="Y249" s="849">
        <v>0.0</v>
      </c>
      <c r="Z249" s="849">
        <v>0.0</v>
      </c>
      <c r="AA249" s="849">
        <v>0.0</v>
      </c>
      <c r="AB249" s="849">
        <v>0.0</v>
      </c>
      <c r="AC249" s="849">
        <v>0.0</v>
      </c>
      <c r="AD249" s="849">
        <v>0.0</v>
      </c>
      <c r="AE249" s="849">
        <v>0.0</v>
      </c>
      <c r="AF249" s="849">
        <v>0.0</v>
      </c>
      <c r="AG249" s="849">
        <v>0.0</v>
      </c>
      <c r="AH249" s="849">
        <v>0.0</v>
      </c>
      <c r="AI249" s="849">
        <v>0.0</v>
      </c>
      <c r="AJ249" s="794" t="str">
        <f t="shared" ref="AJ249:AK249" si="495">C249</f>
        <v>G0764</v>
      </c>
      <c r="AK249" s="794" t="str">
        <f t="shared" si="495"/>
        <v>INTERETS SERVICE</v>
      </c>
      <c r="AL249" s="794">
        <f t="array" ref="AL249">IFERROR(INDEX(G249:R249,1,MATCH(Parametres!$B$3,G$1:R$1,0)-1)*IF(OR(F249="L",F249="S",F249="I"),-1,1),"")</f>
        <v>0</v>
      </c>
      <c r="AM249" s="794">
        <f t="shared" si="4"/>
        <v>0</v>
      </c>
      <c r="AN249" s="794">
        <f t="array" ref="AN249">INDEX(G249:R249,1,MATCH(Parametres!$B$3,G$1:R$1,0))*IF(OR(F249="L",F249="S",F249="I"),-1,1)</f>
        <v>0</v>
      </c>
      <c r="AO249" s="853" t="str">
        <f>+VLOOKUP($AJ249,Data_Validation!$A:$D,1,0)</f>
        <v>G0764</v>
      </c>
      <c r="AP249" s="853" t="str">
        <f>+VLOOKUP($AJ249,Data_Validation!$A:$D,3,0)</f>
        <v>Service</v>
      </c>
      <c r="AQ249" s="853" t="str">
        <f>+VLOOKUP($AJ249,Data_Validation!$A:$D,4,0)</f>
        <v>Divers</v>
      </c>
      <c r="AR249" s="853" t="s">
        <v>728</v>
      </c>
      <c r="AS249" s="853" t="str">
        <f>+VLOOKUP($AJ249,Data_Validation!$A:$E,5,0)</f>
        <v/>
      </c>
      <c r="AT249" s="794" t="str">
        <f t="shared" ref="AT249:AU249" si="496">C249</f>
        <v>G0764</v>
      </c>
      <c r="AU249" s="854" t="str">
        <f t="shared" si="496"/>
        <v>INTERETS SERVICE</v>
      </c>
      <c r="AV249" s="794">
        <f t="array" ref="AV249">IFERROR(INDEX(V249:AG249,1,MATCH(Parametres!$B$3,V$1:AG$1,0)-1)*IF(OR(C249="L",C249="S",C249="I"),-1,1),"")</f>
        <v>0</v>
      </c>
      <c r="AW249" s="794">
        <f t="shared" si="6"/>
        <v>0</v>
      </c>
      <c r="AX249" s="794">
        <f t="array" ref="AX249">INDEX(V249:AG249,1,MATCH(Parametres!$B$3,V$1:AG$1,0))*IF(OR(C249="L",C249="S",C249="I"),-1,1)</f>
        <v>0</v>
      </c>
      <c r="AY249" s="853" t="s">
        <v>772</v>
      </c>
      <c r="AZ249" s="853" t="str">
        <f>+VLOOKUP($AJ249,Data_Validation!$A:$E,5,0)</f>
        <v/>
      </c>
    </row>
    <row r="250" ht="15.0" customHeight="1">
      <c r="A250" s="849" t="s">
        <v>1239</v>
      </c>
      <c r="B250" s="849">
        <v>2026.0</v>
      </c>
      <c r="C250" s="849" t="s">
        <v>1724</v>
      </c>
      <c r="D250" s="849" t="s">
        <v>1725</v>
      </c>
      <c r="E250" s="849" t="s">
        <v>768</v>
      </c>
      <c r="F250" s="849" t="s">
        <v>1200</v>
      </c>
      <c r="G250" s="849">
        <v>0.0</v>
      </c>
      <c r="H250" s="849">
        <v>0.0</v>
      </c>
      <c r="I250" s="849">
        <v>0.0</v>
      </c>
      <c r="J250" s="849">
        <v>0.0</v>
      </c>
      <c r="K250" s="849">
        <v>0.0</v>
      </c>
      <c r="L250" s="849">
        <v>0.0</v>
      </c>
      <c r="M250" s="849">
        <v>0.0</v>
      </c>
      <c r="N250" s="849">
        <v>0.0</v>
      </c>
      <c r="O250" s="849">
        <v>0.0</v>
      </c>
      <c r="P250" s="849">
        <v>0.0</v>
      </c>
      <c r="Q250" s="849">
        <v>0.0</v>
      </c>
      <c r="R250" s="849">
        <v>0.0</v>
      </c>
      <c r="S250" s="849">
        <v>0.0</v>
      </c>
      <c r="T250" s="849">
        <v>0.0</v>
      </c>
      <c r="U250" s="849">
        <v>0.0</v>
      </c>
      <c r="V250" s="849">
        <v>0.0</v>
      </c>
      <c r="W250" s="849">
        <v>0.0</v>
      </c>
      <c r="X250" s="849">
        <v>0.0</v>
      </c>
      <c r="Y250" s="849">
        <v>0.0</v>
      </c>
      <c r="Z250" s="849">
        <v>0.0</v>
      </c>
      <c r="AA250" s="849">
        <v>0.0</v>
      </c>
      <c r="AB250" s="849">
        <v>0.0</v>
      </c>
      <c r="AC250" s="849">
        <v>0.0</v>
      </c>
      <c r="AD250" s="849">
        <v>0.0</v>
      </c>
      <c r="AE250" s="849">
        <v>0.0</v>
      </c>
      <c r="AF250" s="849">
        <v>0.0</v>
      </c>
      <c r="AG250" s="849">
        <v>0.0</v>
      </c>
      <c r="AH250" s="849">
        <v>0.0</v>
      </c>
      <c r="AI250" s="849">
        <v>0.0</v>
      </c>
      <c r="AJ250" s="794" t="str">
        <f t="shared" ref="AJ250:AK250" si="497">C250</f>
        <v>G0766</v>
      </c>
      <c r="AK250" s="794" t="str">
        <f t="shared" si="497"/>
        <v>INTERETS PIECES</v>
      </c>
      <c r="AL250" s="794">
        <f t="array" ref="AL250">IFERROR(INDEX(G250:R250,1,MATCH(Parametres!$B$3,G$1:R$1,0)-1)*IF(OR(F250="L",F250="S",F250="I"),-1,1),"")</f>
        <v>0</v>
      </c>
      <c r="AM250" s="794">
        <f t="shared" si="4"/>
        <v>0</v>
      </c>
      <c r="AN250" s="794">
        <f t="array" ref="AN250">INDEX(G250:R250,1,MATCH(Parametres!$B$3,G$1:R$1,0))*IF(OR(F250="L",F250="S",F250="I"),-1,1)</f>
        <v>0</v>
      </c>
      <c r="AO250" s="853" t="str">
        <f>+VLOOKUP($AJ250,Data_Validation!$A:$D,1,0)</f>
        <v>#N/A</v>
      </c>
      <c r="AP250" s="853" t="str">
        <f>+VLOOKUP($AJ250,Data_Validation!$A:$D,3,0)</f>
        <v>#N/A</v>
      </c>
      <c r="AQ250" s="853" t="str">
        <f>+VLOOKUP($AJ250,Data_Validation!$A:$D,4,0)</f>
        <v>#N/A</v>
      </c>
      <c r="AR250" s="853" t="s">
        <v>728</v>
      </c>
      <c r="AS250" s="853" t="str">
        <f>+VLOOKUP($AJ250,Data_Validation!$A:$E,5,0)</f>
        <v>#N/A</v>
      </c>
      <c r="AT250" s="794" t="str">
        <f t="shared" ref="AT250:AU250" si="498">C250</f>
        <v>G0766</v>
      </c>
      <c r="AU250" s="854" t="str">
        <f t="shared" si="498"/>
        <v>INTERETS PIECES</v>
      </c>
      <c r="AV250" s="794">
        <f t="array" ref="AV250">IFERROR(INDEX(V250:AG250,1,MATCH(Parametres!$B$3,V$1:AG$1,0)-1)*IF(OR(C250="L",C250="S",C250="I"),-1,1),"")</f>
        <v>0</v>
      </c>
      <c r="AW250" s="794">
        <f t="shared" si="6"/>
        <v>0</v>
      </c>
      <c r="AX250" s="794">
        <f t="array" ref="AX250">INDEX(V250:AG250,1,MATCH(Parametres!$B$3,V$1:AG$1,0))*IF(OR(C250="L",C250="S",C250="I"),-1,1)</f>
        <v>0</v>
      </c>
      <c r="AY250" s="853" t="s">
        <v>772</v>
      </c>
      <c r="AZ250" s="853" t="str">
        <f>+VLOOKUP($AJ250,Data_Validation!$A:$E,5,0)</f>
        <v>#N/A</v>
      </c>
    </row>
    <row r="251" ht="15.0" customHeight="1">
      <c r="A251" s="849" t="s">
        <v>1239</v>
      </c>
      <c r="B251" s="849">
        <v>2026.0</v>
      </c>
      <c r="C251" s="849" t="s">
        <v>1726</v>
      </c>
      <c r="D251" s="849" t="s">
        <v>1727</v>
      </c>
      <c r="E251" s="849" t="s">
        <v>768</v>
      </c>
      <c r="F251" s="849" t="s">
        <v>1200</v>
      </c>
      <c r="G251" s="849">
        <v>0.0</v>
      </c>
      <c r="H251" s="849">
        <v>0.0</v>
      </c>
      <c r="I251" s="849">
        <v>0.0</v>
      </c>
      <c r="J251" s="849">
        <v>0.0</v>
      </c>
      <c r="K251" s="849">
        <v>0.0</v>
      </c>
      <c r="L251" s="849">
        <v>0.0</v>
      </c>
      <c r="M251" s="849">
        <v>0.0</v>
      </c>
      <c r="N251" s="849">
        <v>0.0</v>
      </c>
      <c r="O251" s="849">
        <v>0.0</v>
      </c>
      <c r="P251" s="849">
        <v>0.0</v>
      </c>
      <c r="Q251" s="849">
        <v>0.0</v>
      </c>
      <c r="R251" s="849">
        <v>0.0</v>
      </c>
      <c r="S251" s="849">
        <v>0.0</v>
      </c>
      <c r="T251" s="849">
        <v>0.0</v>
      </c>
      <c r="U251" s="849">
        <v>0.0</v>
      </c>
      <c r="V251" s="849">
        <v>0.0</v>
      </c>
      <c r="W251" s="849">
        <v>0.0</v>
      </c>
      <c r="X251" s="849">
        <v>0.0</v>
      </c>
      <c r="Y251" s="849">
        <v>0.0</v>
      </c>
      <c r="Z251" s="849">
        <v>0.0</v>
      </c>
      <c r="AA251" s="849">
        <v>0.0</v>
      </c>
      <c r="AB251" s="849">
        <v>0.0</v>
      </c>
      <c r="AC251" s="849">
        <v>0.0</v>
      </c>
      <c r="AD251" s="849">
        <v>0.0</v>
      </c>
      <c r="AE251" s="849">
        <v>0.0</v>
      </c>
      <c r="AF251" s="849">
        <v>0.0</v>
      </c>
      <c r="AG251" s="849">
        <v>0.0</v>
      </c>
      <c r="AH251" s="849">
        <v>0.0</v>
      </c>
      <c r="AI251" s="849">
        <v>0.0</v>
      </c>
      <c r="AJ251" s="794" t="str">
        <f t="shared" ref="AJ251:AK251" si="499">C251</f>
        <v>G0770</v>
      </c>
      <c r="AK251" s="794" t="str">
        <f t="shared" si="499"/>
        <v>DEPENSES DIVERS REP.</v>
      </c>
      <c r="AL251" s="794">
        <f t="array" ref="AL251">IFERROR(INDEX(G251:R251,1,MATCH(Parametres!$B$3,G$1:R$1,0)-1)*IF(OR(F251="L",F251="S",F251="I"),-1,1),"")</f>
        <v>0</v>
      </c>
      <c r="AM251" s="794">
        <f t="shared" si="4"/>
        <v>0</v>
      </c>
      <c r="AN251" s="794">
        <f t="array" ref="AN251">INDEX(G251:R251,1,MATCH(Parametres!$B$3,G$1:R$1,0))*IF(OR(F251="L",F251="S",F251="I"),-1,1)</f>
        <v>0</v>
      </c>
      <c r="AO251" s="853" t="str">
        <f>+VLOOKUP($AJ251,Data_Validation!$A:$D,1,0)</f>
        <v>#N/A</v>
      </c>
      <c r="AP251" s="853" t="str">
        <f>+VLOOKUP($AJ251,Data_Validation!$A:$D,3,0)</f>
        <v>#N/A</v>
      </c>
      <c r="AQ251" s="853" t="str">
        <f>+VLOOKUP($AJ251,Data_Validation!$A:$D,4,0)</f>
        <v>#N/A</v>
      </c>
      <c r="AR251" s="853" t="s">
        <v>728</v>
      </c>
      <c r="AS251" s="853" t="str">
        <f>+VLOOKUP($AJ251,Data_Validation!$A:$E,5,0)</f>
        <v>#N/A</v>
      </c>
      <c r="AT251" s="794" t="str">
        <f t="shared" ref="AT251:AU251" si="500">C251</f>
        <v>G0770</v>
      </c>
      <c r="AU251" s="854" t="str">
        <f t="shared" si="500"/>
        <v>DEPENSES DIVERS REP.</v>
      </c>
      <c r="AV251" s="794">
        <f t="array" ref="AV251">IFERROR(INDEX(V251:AG251,1,MATCH(Parametres!$B$3,V$1:AG$1,0)-1)*IF(OR(C251="L",C251="S",C251="I"),-1,1),"")</f>
        <v>0</v>
      </c>
      <c r="AW251" s="794">
        <f t="shared" si="6"/>
        <v>0</v>
      </c>
      <c r="AX251" s="794">
        <f t="array" ref="AX251">INDEX(V251:AG251,1,MATCH(Parametres!$B$3,V$1:AG$1,0))*IF(OR(C251="L",C251="S",C251="I"),-1,1)</f>
        <v>0</v>
      </c>
      <c r="AY251" s="853" t="s">
        <v>772</v>
      </c>
      <c r="AZ251" s="853" t="str">
        <f>+VLOOKUP($AJ251,Data_Validation!$A:$E,5,0)</f>
        <v>#N/A</v>
      </c>
    </row>
    <row r="252" ht="15.75" customHeight="1">
      <c r="A252" s="849" t="s">
        <v>1239</v>
      </c>
      <c r="B252" s="849">
        <v>2026.0</v>
      </c>
      <c r="C252" s="849" t="s">
        <v>1728</v>
      </c>
      <c r="D252" s="849" t="s">
        <v>1729</v>
      </c>
      <c r="E252" s="849" t="s">
        <v>768</v>
      </c>
      <c r="F252" s="849" t="s">
        <v>1200</v>
      </c>
      <c r="G252" s="849">
        <v>1397.55</v>
      </c>
      <c r="H252" s="849">
        <v>5761.83</v>
      </c>
      <c r="I252" s="849">
        <v>4663.36</v>
      </c>
      <c r="J252" s="849">
        <v>6040.6</v>
      </c>
      <c r="K252" s="849">
        <v>7236.48</v>
      </c>
      <c r="L252" s="849">
        <v>7747.54</v>
      </c>
      <c r="M252" s="849">
        <v>8271.02</v>
      </c>
      <c r="N252" s="849">
        <v>9717.0</v>
      </c>
      <c r="O252" s="849">
        <v>10546.6</v>
      </c>
      <c r="P252" s="849">
        <v>10576.18</v>
      </c>
      <c r="Q252" s="849">
        <v>0.0</v>
      </c>
      <c r="R252" s="849">
        <v>0.0</v>
      </c>
      <c r="S252" s="849">
        <v>1171.84</v>
      </c>
      <c r="T252" s="849">
        <v>1171.84</v>
      </c>
      <c r="U252" s="849">
        <v>0.0</v>
      </c>
      <c r="V252" s="849">
        <v>0.0</v>
      </c>
      <c r="W252" s="849">
        <v>0.0</v>
      </c>
      <c r="X252" s="849">
        <v>0.0</v>
      </c>
      <c r="Y252" s="849">
        <v>0.0</v>
      </c>
      <c r="Z252" s="849">
        <v>0.0</v>
      </c>
      <c r="AA252" s="849">
        <v>0.0</v>
      </c>
      <c r="AB252" s="849">
        <v>0.0</v>
      </c>
      <c r="AC252" s="849">
        <v>0.0</v>
      </c>
      <c r="AD252" s="849">
        <v>0.0</v>
      </c>
      <c r="AE252" s="849">
        <v>0.0</v>
      </c>
      <c r="AF252" s="849">
        <v>0.0</v>
      </c>
      <c r="AG252" s="849">
        <v>0.0</v>
      </c>
      <c r="AH252" s="849">
        <v>0.0</v>
      </c>
      <c r="AI252" s="849">
        <v>0.0</v>
      </c>
      <c r="AJ252" s="794" t="str">
        <f t="shared" ref="AJ252:AK252" si="501">C252</f>
        <v>G0771</v>
      </c>
      <c r="AK252" s="794" t="str">
        <f t="shared" si="501"/>
        <v>DEPENSES DIVERSES-NEUFS</v>
      </c>
      <c r="AL252" s="794">
        <f t="array" ref="AL252">IFERROR(INDEX(G252:R252,1,MATCH(Parametres!$B$3,G$1:R$1,0)-1)*IF(OR(F252="L",F252="S",F252="I"),-1,1),"")</f>
        <v>9717</v>
      </c>
      <c r="AM252" s="794">
        <f t="shared" si="4"/>
        <v>829.6</v>
      </c>
      <c r="AN252" s="794">
        <f t="array" ref="AN252">INDEX(G252:R252,1,MATCH(Parametres!$B$3,G$1:R$1,0))*IF(OR(F252="L",F252="S",F252="I"),-1,1)</f>
        <v>10546.6</v>
      </c>
      <c r="AO252" s="853" t="str">
        <f>+VLOOKUP($AJ252,Data_Validation!$A:$D,1,0)</f>
        <v>G0771</v>
      </c>
      <c r="AP252" s="853" t="str">
        <f>+VLOOKUP($AJ252,Data_Validation!$A:$D,3,0)</f>
        <v>Véhicules neufs</v>
      </c>
      <c r="AQ252" s="853" t="str">
        <f>+VLOOKUP($AJ252,Data_Validation!$A:$D,4,0)</f>
        <v>Divers</v>
      </c>
      <c r="AR252" s="853" t="s">
        <v>728</v>
      </c>
      <c r="AS252" s="853" t="str">
        <f>+VLOOKUP($AJ252,Data_Validation!$A:$E,5,0)</f>
        <v/>
      </c>
      <c r="AT252" s="794" t="str">
        <f t="shared" ref="AT252:AU252" si="502">C252</f>
        <v>G0771</v>
      </c>
      <c r="AU252" s="854" t="str">
        <f t="shared" si="502"/>
        <v>DEPENSES DIVERSES-NEUFS</v>
      </c>
      <c r="AV252" s="794">
        <f t="array" ref="AV252">IFERROR(INDEX(V252:AG252,1,MATCH(Parametres!$B$3,V$1:AG$1,0)-1)*IF(OR(C252="L",C252="S",C252="I"),-1,1),"")</f>
        <v>0</v>
      </c>
      <c r="AW252" s="794">
        <f t="shared" si="6"/>
        <v>0</v>
      </c>
      <c r="AX252" s="794">
        <f t="array" ref="AX252">INDEX(V252:AG252,1,MATCH(Parametres!$B$3,V$1:AG$1,0))*IF(OR(C252="L",C252="S",C252="I"),-1,1)</f>
        <v>0</v>
      </c>
      <c r="AY252" s="853" t="s">
        <v>772</v>
      </c>
      <c r="AZ252" s="853" t="str">
        <f>+VLOOKUP($AJ252,Data_Validation!$A:$E,5,0)</f>
        <v/>
      </c>
    </row>
    <row r="253" ht="15.0" customHeight="1">
      <c r="A253" s="849" t="s">
        <v>1239</v>
      </c>
      <c r="B253" s="849">
        <v>2026.0</v>
      </c>
      <c r="C253" s="849" t="s">
        <v>1730</v>
      </c>
      <c r="D253" s="849" t="s">
        <v>1731</v>
      </c>
      <c r="E253" s="849" t="s">
        <v>768</v>
      </c>
      <c r="F253" s="849" t="s">
        <v>1200</v>
      </c>
      <c r="G253" s="849">
        <v>931.7</v>
      </c>
      <c r="H253" s="849">
        <v>2941.19</v>
      </c>
      <c r="I253" s="849">
        <v>3108.87</v>
      </c>
      <c r="J253" s="849">
        <v>3980.52</v>
      </c>
      <c r="K253" s="849">
        <v>4762.13</v>
      </c>
      <c r="L253" s="849">
        <v>5076.7</v>
      </c>
      <c r="M253" s="849">
        <v>5197.6</v>
      </c>
      <c r="N253" s="849">
        <v>5693.24</v>
      </c>
      <c r="O253" s="849">
        <v>6179.63</v>
      </c>
      <c r="P253" s="849">
        <v>6179.63</v>
      </c>
      <c r="Q253" s="849">
        <v>0.0</v>
      </c>
      <c r="R253" s="849">
        <v>0.0</v>
      </c>
      <c r="S253" s="849">
        <v>686.63</v>
      </c>
      <c r="T253" s="849">
        <v>686.63</v>
      </c>
      <c r="U253" s="849">
        <v>0.0</v>
      </c>
      <c r="V253" s="849">
        <v>0.0</v>
      </c>
      <c r="W253" s="849">
        <v>0.0</v>
      </c>
      <c r="X253" s="849">
        <v>0.0</v>
      </c>
      <c r="Y253" s="849">
        <v>0.0</v>
      </c>
      <c r="Z253" s="849">
        <v>0.0</v>
      </c>
      <c r="AA253" s="849">
        <v>0.0</v>
      </c>
      <c r="AB253" s="849">
        <v>0.0</v>
      </c>
      <c r="AC253" s="849">
        <v>0.0</v>
      </c>
      <c r="AD253" s="849">
        <v>0.0</v>
      </c>
      <c r="AE253" s="849">
        <v>0.0</v>
      </c>
      <c r="AF253" s="849">
        <v>0.0</v>
      </c>
      <c r="AG253" s="849">
        <v>0.0</v>
      </c>
      <c r="AH253" s="849">
        <v>0.0</v>
      </c>
      <c r="AI253" s="849">
        <v>0.0</v>
      </c>
      <c r="AJ253" s="794" t="str">
        <f t="shared" ref="AJ253:AK253" si="503">C253</f>
        <v>G0772</v>
      </c>
      <c r="AK253" s="794" t="str">
        <f t="shared" si="503"/>
        <v>DEPENSES DIVERSES-USAGES</v>
      </c>
      <c r="AL253" s="794">
        <f t="array" ref="AL253">IFERROR(INDEX(G253:R253,1,MATCH(Parametres!$B$3,G$1:R$1,0)-1)*IF(OR(F253="L",F253="S",F253="I"),-1,1),"")</f>
        <v>5693.24</v>
      </c>
      <c r="AM253" s="794">
        <f t="shared" si="4"/>
        <v>486.39</v>
      </c>
      <c r="AN253" s="794">
        <f t="array" ref="AN253">INDEX(G253:R253,1,MATCH(Parametres!$B$3,G$1:R$1,0))*IF(OR(F253="L",F253="S",F253="I"),-1,1)</f>
        <v>6179.63</v>
      </c>
      <c r="AO253" s="853" t="str">
        <f>+VLOOKUP($AJ253,Data_Validation!$A:$D,1,0)</f>
        <v>G0772</v>
      </c>
      <c r="AP253" s="853" t="str">
        <f>+VLOOKUP($AJ253,Data_Validation!$A:$D,3,0)</f>
        <v>Véhicules usagés</v>
      </c>
      <c r="AQ253" s="853" t="str">
        <f>+VLOOKUP($AJ253,Data_Validation!$A:$D,4,0)</f>
        <v>Divers</v>
      </c>
      <c r="AR253" s="853" t="s">
        <v>728</v>
      </c>
      <c r="AS253" s="853" t="str">
        <f>+VLOOKUP($AJ253,Data_Validation!$A:$E,5,0)</f>
        <v/>
      </c>
      <c r="AT253" s="794" t="str">
        <f t="shared" ref="AT253:AU253" si="504">C253</f>
        <v>G0772</v>
      </c>
      <c r="AU253" s="854" t="str">
        <f t="shared" si="504"/>
        <v>DEPENSES DIVERSES-USAGES</v>
      </c>
      <c r="AV253" s="794">
        <f t="array" ref="AV253">IFERROR(INDEX(V253:AG253,1,MATCH(Parametres!$B$3,V$1:AG$1,0)-1)*IF(OR(C253="L",C253="S",C253="I"),-1,1),"")</f>
        <v>0</v>
      </c>
      <c r="AW253" s="794">
        <f t="shared" si="6"/>
        <v>0</v>
      </c>
      <c r="AX253" s="794">
        <f t="array" ref="AX253">INDEX(V253:AG253,1,MATCH(Parametres!$B$3,V$1:AG$1,0))*IF(OR(C253="L",C253="S",C253="I"),-1,1)</f>
        <v>0</v>
      </c>
      <c r="AY253" s="853" t="s">
        <v>772</v>
      </c>
      <c r="AZ253" s="853" t="str">
        <f>+VLOOKUP($AJ253,Data_Validation!$A:$E,5,0)</f>
        <v/>
      </c>
    </row>
    <row r="254" ht="15.0" customHeight="1">
      <c r="A254" s="849" t="s">
        <v>1239</v>
      </c>
      <c r="B254" s="849">
        <v>2026.0</v>
      </c>
      <c r="C254" s="849" t="s">
        <v>1732</v>
      </c>
      <c r="D254" s="849" t="s">
        <v>1733</v>
      </c>
      <c r="E254" s="849" t="s">
        <v>768</v>
      </c>
      <c r="F254" s="849" t="s">
        <v>1200</v>
      </c>
      <c r="G254" s="849">
        <v>0.0</v>
      </c>
      <c r="H254" s="849">
        <v>0.0</v>
      </c>
      <c r="I254" s="849">
        <v>0.0</v>
      </c>
      <c r="J254" s="849">
        <v>0.0</v>
      </c>
      <c r="K254" s="849">
        <v>0.0</v>
      </c>
      <c r="L254" s="849">
        <v>0.0</v>
      </c>
      <c r="M254" s="849">
        <v>0.0</v>
      </c>
      <c r="N254" s="849">
        <v>0.0</v>
      </c>
      <c r="O254" s="849">
        <v>0.0</v>
      </c>
      <c r="P254" s="849">
        <v>0.0</v>
      </c>
      <c r="Q254" s="849">
        <v>0.0</v>
      </c>
      <c r="R254" s="849">
        <v>0.0</v>
      </c>
      <c r="S254" s="849">
        <v>0.0</v>
      </c>
      <c r="T254" s="849">
        <v>0.0</v>
      </c>
      <c r="U254" s="849">
        <v>0.0</v>
      </c>
      <c r="V254" s="849">
        <v>0.0</v>
      </c>
      <c r="W254" s="849">
        <v>0.0</v>
      </c>
      <c r="X254" s="849">
        <v>0.0</v>
      </c>
      <c r="Y254" s="849">
        <v>0.0</v>
      </c>
      <c r="Z254" s="849">
        <v>0.0</v>
      </c>
      <c r="AA254" s="849">
        <v>0.0</v>
      </c>
      <c r="AB254" s="849">
        <v>0.0</v>
      </c>
      <c r="AC254" s="849">
        <v>0.0</v>
      </c>
      <c r="AD254" s="849">
        <v>0.0</v>
      </c>
      <c r="AE254" s="849">
        <v>0.0</v>
      </c>
      <c r="AF254" s="849">
        <v>0.0</v>
      </c>
      <c r="AG254" s="849">
        <v>0.0</v>
      </c>
      <c r="AH254" s="849">
        <v>0.0</v>
      </c>
      <c r="AI254" s="849">
        <v>0.0</v>
      </c>
      <c r="AJ254" s="794" t="str">
        <f t="shared" ref="AJ254:AK254" si="505">C254</f>
        <v>G0773</v>
      </c>
      <c r="AK254" s="794" t="str">
        <f t="shared" si="505"/>
        <v>DEPENSES DIVERSES U.S.A</v>
      </c>
      <c r="AL254" s="794">
        <f t="array" ref="AL254">IFERROR(INDEX(G254:R254,1,MATCH(Parametres!$B$3,G$1:R$1,0)-1)*IF(OR(F254="L",F254="S",F254="I"),-1,1),"")</f>
        <v>0</v>
      </c>
      <c r="AM254" s="794">
        <f t="shared" si="4"/>
        <v>0</v>
      </c>
      <c r="AN254" s="794">
        <f t="array" ref="AN254">INDEX(G254:R254,1,MATCH(Parametres!$B$3,G$1:R$1,0))*IF(OR(F254="L",F254="S",F254="I"),-1,1)</f>
        <v>0</v>
      </c>
      <c r="AO254" s="853" t="str">
        <f>+VLOOKUP($AJ254,Data_Validation!$A:$D,1,0)</f>
        <v>G0773</v>
      </c>
      <c r="AP254" s="853" t="str">
        <f>+VLOOKUP($AJ254,Data_Validation!$A:$D,3,0)</f>
        <v>Wholesale autres</v>
      </c>
      <c r="AQ254" s="853" t="str">
        <f>+VLOOKUP($AJ254,Data_Validation!$A:$D,4,0)</f>
        <v>Divers</v>
      </c>
      <c r="AR254" s="853" t="s">
        <v>728</v>
      </c>
      <c r="AS254" s="853" t="str">
        <f>+VLOOKUP($AJ254,Data_Validation!$A:$E,5,0)</f>
        <v/>
      </c>
      <c r="AT254" s="794" t="str">
        <f t="shared" ref="AT254:AU254" si="506">C254</f>
        <v>G0773</v>
      </c>
      <c r="AU254" s="854" t="str">
        <f t="shared" si="506"/>
        <v>DEPENSES DIVERSES U.S.A</v>
      </c>
      <c r="AV254" s="794">
        <f t="array" ref="AV254">IFERROR(INDEX(V254:AG254,1,MATCH(Parametres!$B$3,V$1:AG$1,0)-1)*IF(OR(C254="L",C254="S",C254="I"),-1,1),"")</f>
        <v>0</v>
      </c>
      <c r="AW254" s="794">
        <f t="shared" si="6"/>
        <v>0</v>
      </c>
      <c r="AX254" s="794">
        <f t="array" ref="AX254">INDEX(V254:AG254,1,MATCH(Parametres!$B$3,V$1:AG$1,0))*IF(OR(C254="L",C254="S",C254="I"),-1,1)</f>
        <v>0</v>
      </c>
      <c r="AY254" s="853" t="s">
        <v>772</v>
      </c>
      <c r="AZ254" s="853" t="str">
        <f>+VLOOKUP($AJ254,Data_Validation!$A:$E,5,0)</f>
        <v/>
      </c>
    </row>
    <row r="255" ht="15.0" customHeight="1">
      <c r="A255" s="849" t="s">
        <v>1239</v>
      </c>
      <c r="B255" s="849">
        <v>2026.0</v>
      </c>
      <c r="C255" s="849" t="s">
        <v>1734</v>
      </c>
      <c r="D255" s="849" t="s">
        <v>1735</v>
      </c>
      <c r="E255" s="849" t="s">
        <v>768</v>
      </c>
      <c r="F255" s="849" t="s">
        <v>1200</v>
      </c>
      <c r="G255" s="849">
        <v>1397.55</v>
      </c>
      <c r="H255" s="849">
        <v>4411.84</v>
      </c>
      <c r="I255" s="849">
        <v>3599.75</v>
      </c>
      <c r="J255" s="849">
        <v>1419.59</v>
      </c>
      <c r="K255" s="849">
        <v>1268.97</v>
      </c>
      <c r="L255" s="849">
        <v>2120.26</v>
      </c>
      <c r="M255" s="849">
        <v>2475.78</v>
      </c>
      <c r="N255" s="849">
        <v>3219.25</v>
      </c>
      <c r="O255" s="849">
        <v>3719.05</v>
      </c>
      <c r="P255" s="849">
        <v>3579.15</v>
      </c>
      <c r="Q255" s="849">
        <v>0.0</v>
      </c>
      <c r="R255" s="849">
        <v>0.0</v>
      </c>
      <c r="S255" s="849">
        <v>413.23</v>
      </c>
      <c r="T255" s="849">
        <v>413.23</v>
      </c>
      <c r="U255" s="849">
        <v>0.0</v>
      </c>
      <c r="V255" s="849">
        <v>0.0</v>
      </c>
      <c r="W255" s="849">
        <v>0.0</v>
      </c>
      <c r="X255" s="849">
        <v>0.0</v>
      </c>
      <c r="Y255" s="849">
        <v>0.0</v>
      </c>
      <c r="Z255" s="849">
        <v>0.0</v>
      </c>
      <c r="AA255" s="849">
        <v>0.0</v>
      </c>
      <c r="AB255" s="849">
        <v>0.0</v>
      </c>
      <c r="AC255" s="849">
        <v>0.0</v>
      </c>
      <c r="AD255" s="849">
        <v>0.0</v>
      </c>
      <c r="AE255" s="849">
        <v>0.0</v>
      </c>
      <c r="AF255" s="849">
        <v>0.0</v>
      </c>
      <c r="AG255" s="849">
        <v>0.0</v>
      </c>
      <c r="AH255" s="849">
        <v>0.0</v>
      </c>
      <c r="AI255" s="849">
        <v>0.0</v>
      </c>
      <c r="AJ255" s="794" t="str">
        <f t="shared" ref="AJ255:AK255" si="507">C255</f>
        <v>G0774</v>
      </c>
      <c r="AK255" s="794" t="str">
        <f t="shared" si="507"/>
        <v>DEPENSES DIVERSES-SERVICE</v>
      </c>
      <c r="AL255" s="794">
        <f t="array" ref="AL255">IFERROR(INDEX(G255:R255,1,MATCH(Parametres!$B$3,G$1:R$1,0)-1)*IF(OR(F255="L",F255="S",F255="I"),-1,1),"")</f>
        <v>3219.25</v>
      </c>
      <c r="AM255" s="794">
        <f t="shared" si="4"/>
        <v>499.8</v>
      </c>
      <c r="AN255" s="794">
        <f t="array" ref="AN255">INDEX(G255:R255,1,MATCH(Parametres!$B$3,G$1:R$1,0))*IF(OR(F255="L",F255="S",F255="I"),-1,1)</f>
        <v>3719.05</v>
      </c>
      <c r="AO255" s="853" t="str">
        <f>+VLOOKUP($AJ255,Data_Validation!$A:$D,1,0)</f>
        <v>G0774</v>
      </c>
      <c r="AP255" s="853" t="str">
        <f>+VLOOKUP($AJ255,Data_Validation!$A:$D,3,0)</f>
        <v>Service</v>
      </c>
      <c r="AQ255" s="853" t="str">
        <f>+VLOOKUP($AJ255,Data_Validation!$A:$D,4,0)</f>
        <v>Divers</v>
      </c>
      <c r="AR255" s="853" t="s">
        <v>728</v>
      </c>
      <c r="AS255" s="853" t="str">
        <f>+VLOOKUP($AJ255,Data_Validation!$A:$E,5,0)</f>
        <v/>
      </c>
      <c r="AT255" s="794" t="str">
        <f t="shared" ref="AT255:AU255" si="508">C255</f>
        <v>G0774</v>
      </c>
      <c r="AU255" s="854" t="str">
        <f t="shared" si="508"/>
        <v>DEPENSES DIVERSES-SERVICE</v>
      </c>
      <c r="AV255" s="794">
        <f t="array" ref="AV255">IFERROR(INDEX(V255:AG255,1,MATCH(Parametres!$B$3,V$1:AG$1,0)-1)*IF(OR(C255="L",C255="S",C255="I"),-1,1),"")</f>
        <v>0</v>
      </c>
      <c r="AW255" s="794">
        <f t="shared" si="6"/>
        <v>0</v>
      </c>
      <c r="AX255" s="794">
        <f t="array" ref="AX255">INDEX(V255:AG255,1,MATCH(Parametres!$B$3,V$1:AG$1,0))*IF(OR(C255="L",C255="S",C255="I"),-1,1)</f>
        <v>0</v>
      </c>
      <c r="AY255" s="853" t="s">
        <v>772</v>
      </c>
      <c r="AZ255" s="853" t="str">
        <f>+VLOOKUP($AJ255,Data_Validation!$A:$E,5,0)</f>
        <v/>
      </c>
    </row>
    <row r="256" ht="15.75" customHeight="1">
      <c r="A256" s="849" t="s">
        <v>1239</v>
      </c>
      <c r="B256" s="849">
        <v>2026.0</v>
      </c>
      <c r="C256" s="849" t="s">
        <v>1736</v>
      </c>
      <c r="D256" s="849" t="s">
        <v>1737</v>
      </c>
      <c r="E256" s="849" t="s">
        <v>768</v>
      </c>
      <c r="F256" s="849" t="s">
        <v>1200</v>
      </c>
      <c r="G256" s="849">
        <v>465.85</v>
      </c>
      <c r="H256" s="849">
        <v>1470.6</v>
      </c>
      <c r="I256" s="849">
        <v>1554.43</v>
      </c>
      <c r="J256" s="849">
        <v>1990.25</v>
      </c>
      <c r="K256" s="849">
        <v>2381.07</v>
      </c>
      <c r="L256" s="849">
        <v>2538.36</v>
      </c>
      <c r="M256" s="849">
        <v>2598.84</v>
      </c>
      <c r="N256" s="849">
        <v>2846.67</v>
      </c>
      <c r="O256" s="849">
        <v>3089.88</v>
      </c>
      <c r="P256" s="849">
        <v>3089.88</v>
      </c>
      <c r="Q256" s="849">
        <v>0.0</v>
      </c>
      <c r="R256" s="849">
        <v>0.0</v>
      </c>
      <c r="S256" s="849">
        <v>343.32</v>
      </c>
      <c r="T256" s="849">
        <v>343.32</v>
      </c>
      <c r="U256" s="849">
        <v>0.0</v>
      </c>
      <c r="V256" s="849">
        <v>0.0</v>
      </c>
      <c r="W256" s="849">
        <v>0.0</v>
      </c>
      <c r="X256" s="849">
        <v>0.0</v>
      </c>
      <c r="Y256" s="849">
        <v>0.0</v>
      </c>
      <c r="Z256" s="849">
        <v>0.0</v>
      </c>
      <c r="AA256" s="849">
        <v>0.0</v>
      </c>
      <c r="AB256" s="849">
        <v>0.0</v>
      </c>
      <c r="AC256" s="849">
        <v>0.0</v>
      </c>
      <c r="AD256" s="849">
        <v>0.0</v>
      </c>
      <c r="AE256" s="849">
        <v>0.0</v>
      </c>
      <c r="AF256" s="849">
        <v>0.0</v>
      </c>
      <c r="AG256" s="849">
        <v>0.0</v>
      </c>
      <c r="AH256" s="849">
        <v>0.0</v>
      </c>
      <c r="AI256" s="849">
        <v>0.0</v>
      </c>
      <c r="AJ256" s="794" t="str">
        <f t="shared" ref="AJ256:AK256" si="509">C256</f>
        <v>G0775</v>
      </c>
      <c r="AK256" s="794" t="str">
        <f t="shared" si="509"/>
        <v>DEPENSES DIVERSES-CARROSS</v>
      </c>
      <c r="AL256" s="794">
        <f t="array" ref="AL256">IFERROR(INDEX(G256:R256,1,MATCH(Parametres!$B$3,G$1:R$1,0)-1)*IF(OR(F256="L",F256="S",F256="I"),-1,1),"")</f>
        <v>2846.67</v>
      </c>
      <c r="AM256" s="794">
        <f t="shared" si="4"/>
        <v>243.21</v>
      </c>
      <c r="AN256" s="794">
        <f t="array" ref="AN256">INDEX(G256:R256,1,MATCH(Parametres!$B$3,G$1:R$1,0))*IF(OR(F256="L",F256="S",F256="I"),-1,1)</f>
        <v>3089.88</v>
      </c>
      <c r="AO256" s="853" t="str">
        <f>+VLOOKUP($AJ256,Data_Validation!$A:$D,1,0)</f>
        <v>G0775</v>
      </c>
      <c r="AP256" s="853" t="str">
        <f>+VLOOKUP($AJ256,Data_Validation!$A:$D,3,0)</f>
        <v>Carrosserie</v>
      </c>
      <c r="AQ256" s="853" t="str">
        <f>+VLOOKUP($AJ256,Data_Validation!$A:$D,4,0)</f>
        <v>Divers</v>
      </c>
      <c r="AR256" s="853" t="s">
        <v>728</v>
      </c>
      <c r="AS256" s="853" t="str">
        <f>+VLOOKUP($AJ256,Data_Validation!$A:$E,5,0)</f>
        <v/>
      </c>
      <c r="AT256" s="794" t="str">
        <f t="shared" ref="AT256:AU256" si="510">C256</f>
        <v>G0775</v>
      </c>
      <c r="AU256" s="854" t="str">
        <f t="shared" si="510"/>
        <v>DEPENSES DIVERSES-CARROSS</v>
      </c>
      <c r="AV256" s="794">
        <f t="array" ref="AV256">IFERROR(INDEX(V256:AG256,1,MATCH(Parametres!$B$3,V$1:AG$1,0)-1)*IF(OR(C256="L",C256="S",C256="I"),-1,1),"")</f>
        <v>0</v>
      </c>
      <c r="AW256" s="794">
        <f t="shared" si="6"/>
        <v>0</v>
      </c>
      <c r="AX256" s="794">
        <f t="array" ref="AX256">INDEX(V256:AG256,1,MATCH(Parametres!$B$3,V$1:AG$1,0))*IF(OR(C256="L",C256="S",C256="I"),-1,1)</f>
        <v>0</v>
      </c>
      <c r="AY256" s="853" t="s">
        <v>772</v>
      </c>
      <c r="AZ256" s="853" t="str">
        <f>+VLOOKUP($AJ256,Data_Validation!$A:$E,5,0)</f>
        <v/>
      </c>
    </row>
    <row r="257" ht="15.0" customHeight="1">
      <c r="A257" s="849" t="s">
        <v>1239</v>
      </c>
      <c r="B257" s="849">
        <v>2026.0</v>
      </c>
      <c r="C257" s="849" t="s">
        <v>1738</v>
      </c>
      <c r="D257" s="849" t="s">
        <v>1739</v>
      </c>
      <c r="E257" s="849" t="s">
        <v>768</v>
      </c>
      <c r="F257" s="849" t="s">
        <v>1200</v>
      </c>
      <c r="G257" s="849">
        <v>465.84</v>
      </c>
      <c r="H257" s="849">
        <v>1470.55</v>
      </c>
      <c r="I257" s="849">
        <v>1554.39</v>
      </c>
      <c r="J257" s="849">
        <v>1990.22</v>
      </c>
      <c r="K257" s="849">
        <v>2381.01</v>
      </c>
      <c r="L257" s="849">
        <v>2538.3</v>
      </c>
      <c r="M257" s="849">
        <v>2598.72</v>
      </c>
      <c r="N257" s="849">
        <v>2846.53</v>
      </c>
      <c r="O257" s="849">
        <v>3109.99</v>
      </c>
      <c r="P257" s="849">
        <v>3109.99</v>
      </c>
      <c r="Q257" s="849">
        <v>0.0</v>
      </c>
      <c r="R257" s="849">
        <v>0.0</v>
      </c>
      <c r="S257" s="849">
        <v>345.55</v>
      </c>
      <c r="T257" s="849">
        <v>345.55</v>
      </c>
      <c r="U257" s="849">
        <v>0.0</v>
      </c>
      <c r="V257" s="849">
        <v>0.0</v>
      </c>
      <c r="W257" s="849">
        <v>0.0</v>
      </c>
      <c r="X257" s="849">
        <v>0.0</v>
      </c>
      <c r="Y257" s="849">
        <v>0.0</v>
      </c>
      <c r="Z257" s="849">
        <v>0.0</v>
      </c>
      <c r="AA257" s="849">
        <v>0.0</v>
      </c>
      <c r="AB257" s="849">
        <v>0.0</v>
      </c>
      <c r="AC257" s="849">
        <v>0.0</v>
      </c>
      <c r="AD257" s="849">
        <v>0.0</v>
      </c>
      <c r="AE257" s="849">
        <v>0.0</v>
      </c>
      <c r="AF257" s="849">
        <v>0.0</v>
      </c>
      <c r="AG257" s="849">
        <v>0.0</v>
      </c>
      <c r="AH257" s="849">
        <v>0.0</v>
      </c>
      <c r="AI257" s="849">
        <v>0.0</v>
      </c>
      <c r="AJ257" s="794" t="str">
        <f t="shared" ref="AJ257:AK257" si="511">C257</f>
        <v>G0776</v>
      </c>
      <c r="AK257" s="794" t="str">
        <f t="shared" si="511"/>
        <v>DEPENSES DIVERSES-PCES</v>
      </c>
      <c r="AL257" s="794">
        <f t="array" ref="AL257">IFERROR(INDEX(G257:R257,1,MATCH(Parametres!$B$3,G$1:R$1,0)-1)*IF(OR(F257="L",F257="S",F257="I"),-1,1),"")</f>
        <v>2846.53</v>
      </c>
      <c r="AM257" s="794">
        <f t="shared" si="4"/>
        <v>263.46</v>
      </c>
      <c r="AN257" s="794">
        <f t="array" ref="AN257">INDEX(G257:R257,1,MATCH(Parametres!$B$3,G$1:R$1,0))*IF(OR(F257="L",F257="S",F257="I"),-1,1)</f>
        <v>3109.99</v>
      </c>
      <c r="AO257" s="853" t="str">
        <f>+VLOOKUP($AJ257,Data_Validation!$A:$D,1,0)</f>
        <v>G0776</v>
      </c>
      <c r="AP257" s="853" t="str">
        <f>+VLOOKUP($AJ257,Data_Validation!$A:$D,3,0)</f>
        <v>Pièces</v>
      </c>
      <c r="AQ257" s="853" t="str">
        <f>+VLOOKUP($AJ257,Data_Validation!$A:$D,4,0)</f>
        <v>Divers</v>
      </c>
      <c r="AR257" s="853" t="s">
        <v>728</v>
      </c>
      <c r="AS257" s="853" t="str">
        <f>+VLOOKUP($AJ257,Data_Validation!$A:$E,5,0)</f>
        <v/>
      </c>
      <c r="AT257" s="794" t="str">
        <f t="shared" ref="AT257:AU257" si="512">C257</f>
        <v>G0776</v>
      </c>
      <c r="AU257" s="854" t="str">
        <f t="shared" si="512"/>
        <v>DEPENSES DIVERSES-PCES</v>
      </c>
      <c r="AV257" s="794">
        <f t="array" ref="AV257">IFERROR(INDEX(V257:AG257,1,MATCH(Parametres!$B$3,V$1:AG$1,0)-1)*IF(OR(C257="L",C257="S",C257="I"),-1,1),"")</f>
        <v>0</v>
      </c>
      <c r="AW257" s="794">
        <f t="shared" si="6"/>
        <v>0</v>
      </c>
      <c r="AX257" s="794">
        <f t="array" ref="AX257">INDEX(V257:AG257,1,MATCH(Parametres!$B$3,V$1:AG$1,0))*IF(OR(C257="L",C257="S",C257="I"),-1,1)</f>
        <v>0</v>
      </c>
      <c r="AY257" s="853" t="s">
        <v>772</v>
      </c>
      <c r="AZ257" s="853" t="str">
        <f>+VLOOKUP($AJ257,Data_Validation!$A:$E,5,0)</f>
        <v/>
      </c>
    </row>
    <row r="258" ht="15.0" customHeight="1">
      <c r="A258" s="849" t="s">
        <v>1239</v>
      </c>
      <c r="B258" s="849">
        <v>2026.0</v>
      </c>
      <c r="C258" s="849" t="s">
        <v>1740</v>
      </c>
      <c r="D258" s="849" t="s">
        <v>1741</v>
      </c>
      <c r="E258" s="849" t="s">
        <v>768</v>
      </c>
      <c r="F258" s="849" t="s">
        <v>1200</v>
      </c>
      <c r="G258" s="849">
        <v>0.0</v>
      </c>
      <c r="H258" s="849">
        <v>0.0</v>
      </c>
      <c r="I258" s="849">
        <v>0.0</v>
      </c>
      <c r="J258" s="849">
        <v>0.0</v>
      </c>
      <c r="K258" s="849">
        <v>0.0</v>
      </c>
      <c r="L258" s="849">
        <v>0.0</v>
      </c>
      <c r="M258" s="849">
        <v>0.0</v>
      </c>
      <c r="N258" s="849">
        <v>0.0</v>
      </c>
      <c r="O258" s="849">
        <v>75.0</v>
      </c>
      <c r="P258" s="849">
        <v>275.0</v>
      </c>
      <c r="Q258" s="849">
        <v>0.0</v>
      </c>
      <c r="R258" s="849">
        <v>0.0</v>
      </c>
      <c r="S258" s="849">
        <v>8.33</v>
      </c>
      <c r="T258" s="849">
        <v>8.33</v>
      </c>
      <c r="U258" s="849">
        <v>0.0</v>
      </c>
      <c r="V258" s="849">
        <v>0.0</v>
      </c>
      <c r="W258" s="849">
        <v>0.0</v>
      </c>
      <c r="X258" s="849">
        <v>0.0</v>
      </c>
      <c r="Y258" s="849">
        <v>0.0</v>
      </c>
      <c r="Z258" s="849">
        <v>0.0</v>
      </c>
      <c r="AA258" s="849">
        <v>0.0</v>
      </c>
      <c r="AB258" s="849">
        <v>0.0</v>
      </c>
      <c r="AC258" s="849">
        <v>0.0</v>
      </c>
      <c r="AD258" s="849">
        <v>0.0</v>
      </c>
      <c r="AE258" s="849">
        <v>0.0</v>
      </c>
      <c r="AF258" s="849">
        <v>0.0</v>
      </c>
      <c r="AG258" s="849">
        <v>0.0</v>
      </c>
      <c r="AH258" s="849">
        <v>0.0</v>
      </c>
      <c r="AI258" s="849">
        <v>0.0</v>
      </c>
      <c r="AJ258" s="794" t="str">
        <f t="shared" ref="AJ258:AK258" si="513">C258</f>
        <v>G0777</v>
      </c>
      <c r="AK258" s="794" t="str">
        <f t="shared" si="513"/>
        <v>DEPENSES DIVERSES-SAAQ</v>
      </c>
      <c r="AL258" s="794">
        <f t="array" ref="AL258">IFERROR(INDEX(G258:R258,1,MATCH(Parametres!$B$3,G$1:R$1,0)-1)*IF(OR(F258="L",F258="S",F258="I"),-1,1),"")</f>
        <v>0</v>
      </c>
      <c r="AM258" s="794">
        <f t="shared" si="4"/>
        <v>75</v>
      </c>
      <c r="AN258" s="794">
        <f t="array" ref="AN258">INDEX(G258:R258,1,MATCH(Parametres!$B$3,G$1:R$1,0))*IF(OR(F258="L",F258="S",F258="I"),-1,1)</f>
        <v>75</v>
      </c>
      <c r="AO258" s="853" t="str">
        <f>+VLOOKUP($AJ258,Data_Validation!$A:$D,1,0)</f>
        <v>G0777</v>
      </c>
      <c r="AP258" s="853" t="str">
        <f>+VLOOKUP($AJ258,Data_Validation!$A:$D,3,0)</f>
        <v>SAAQ</v>
      </c>
      <c r="AQ258" s="853" t="str">
        <f>+VLOOKUP($AJ258,Data_Validation!$A:$D,4,0)</f>
        <v>Divers</v>
      </c>
      <c r="AR258" s="853" t="s">
        <v>728</v>
      </c>
      <c r="AS258" s="853" t="str">
        <f>+VLOOKUP($AJ258,Data_Validation!$A:$E,5,0)</f>
        <v/>
      </c>
      <c r="AT258" s="794" t="str">
        <f t="shared" ref="AT258:AU258" si="514">C258</f>
        <v>G0777</v>
      </c>
      <c r="AU258" s="854" t="str">
        <f t="shared" si="514"/>
        <v>DEPENSES DIVERSES-SAAQ</v>
      </c>
      <c r="AV258" s="794">
        <f t="array" ref="AV258">IFERROR(INDEX(V258:AG258,1,MATCH(Parametres!$B$3,V$1:AG$1,0)-1)*IF(OR(C258="L",C258="S",C258="I"),-1,1),"")</f>
        <v>0</v>
      </c>
      <c r="AW258" s="794">
        <f t="shared" si="6"/>
        <v>0</v>
      </c>
      <c r="AX258" s="794">
        <f t="array" ref="AX258">INDEX(V258:AG258,1,MATCH(Parametres!$B$3,V$1:AG$1,0))*IF(OR(C258="L",C258="S",C258="I"),-1,1)</f>
        <v>0</v>
      </c>
      <c r="AY258" s="853" t="s">
        <v>772</v>
      </c>
      <c r="AZ258" s="853" t="str">
        <f>+VLOOKUP($AJ258,Data_Validation!$A:$E,5,0)</f>
        <v/>
      </c>
    </row>
    <row r="259" ht="15.0" customHeight="1">
      <c r="A259" s="849" t="s">
        <v>1239</v>
      </c>
      <c r="B259" s="849">
        <v>2026.0</v>
      </c>
      <c r="C259" s="849" t="s">
        <v>1742</v>
      </c>
      <c r="D259" s="849" t="s">
        <v>1743</v>
      </c>
      <c r="E259" s="849" t="s">
        <v>768</v>
      </c>
      <c r="F259" s="849" t="s">
        <v>1200</v>
      </c>
      <c r="G259" s="849">
        <v>0.0</v>
      </c>
      <c r="H259" s="849">
        <v>0.0</v>
      </c>
      <c r="I259" s="849">
        <v>0.0</v>
      </c>
      <c r="J259" s="849">
        <v>0.0</v>
      </c>
      <c r="K259" s="849">
        <v>0.0</v>
      </c>
      <c r="L259" s="849">
        <v>0.0</v>
      </c>
      <c r="M259" s="849">
        <v>0.0</v>
      </c>
      <c r="N259" s="849">
        <v>0.0</v>
      </c>
      <c r="O259" s="849">
        <v>0.0</v>
      </c>
      <c r="P259" s="849">
        <v>1976.88</v>
      </c>
      <c r="Q259" s="849">
        <v>0.0</v>
      </c>
      <c r="R259" s="849">
        <v>0.0</v>
      </c>
      <c r="S259" s="849">
        <v>0.0</v>
      </c>
      <c r="T259" s="849">
        <v>0.0</v>
      </c>
      <c r="U259" s="849">
        <v>0.0</v>
      </c>
      <c r="V259" s="849">
        <v>0.0</v>
      </c>
      <c r="W259" s="849">
        <v>0.0</v>
      </c>
      <c r="X259" s="849">
        <v>0.0</v>
      </c>
      <c r="Y259" s="849">
        <v>0.0</v>
      </c>
      <c r="Z259" s="849">
        <v>0.0</v>
      </c>
      <c r="AA259" s="849">
        <v>0.0</v>
      </c>
      <c r="AB259" s="849">
        <v>0.0</v>
      </c>
      <c r="AC259" s="849">
        <v>0.0</v>
      </c>
      <c r="AD259" s="849">
        <v>0.0</v>
      </c>
      <c r="AE259" s="849">
        <v>0.0</v>
      </c>
      <c r="AF259" s="849">
        <v>0.0</v>
      </c>
      <c r="AG259" s="849">
        <v>0.0</v>
      </c>
      <c r="AH259" s="849">
        <v>0.0</v>
      </c>
      <c r="AI259" s="849">
        <v>0.0</v>
      </c>
      <c r="AJ259" s="794" t="str">
        <f t="shared" ref="AJ259:AK259" si="515">C259</f>
        <v>G0779</v>
      </c>
      <c r="AK259" s="794" t="str">
        <f t="shared" si="515"/>
        <v>DEPENSES DIVERSES-INTERCO</v>
      </c>
      <c r="AL259" s="794">
        <f t="array" ref="AL259">IFERROR(INDEX(G259:R259,1,MATCH(Parametres!$B$3,G$1:R$1,0)-1)*IF(OR(F259="L",F259="S",F259="I"),-1,1),"")</f>
        <v>0</v>
      </c>
      <c r="AM259" s="794">
        <f t="shared" si="4"/>
        <v>0</v>
      </c>
      <c r="AN259" s="794">
        <f t="array" ref="AN259">INDEX(G259:R259,1,MATCH(Parametres!$B$3,G$1:R$1,0))*IF(OR(F259="L",F259="S",F259="I"),-1,1)</f>
        <v>0</v>
      </c>
      <c r="AO259" s="853" t="str">
        <f>+VLOOKUP($AJ259,Data_Validation!$A:$D,1,0)</f>
        <v>G0779</v>
      </c>
      <c r="AP259" s="853" t="str">
        <f>+VLOOKUP($AJ259,Data_Validation!$A:$D,3,0)</f>
        <v/>
      </c>
      <c r="AQ259" s="853" t="str">
        <f>+VLOOKUP($AJ259,Data_Validation!$A:$D,4,0)</f>
        <v/>
      </c>
      <c r="AR259" s="853" t="s">
        <v>728</v>
      </c>
      <c r="AS259" s="853" t="str">
        <f>+VLOOKUP($AJ259,Data_Validation!$A:$E,5,0)</f>
        <v/>
      </c>
      <c r="AT259" s="794" t="str">
        <f t="shared" ref="AT259:AU259" si="516">C259</f>
        <v>G0779</v>
      </c>
      <c r="AU259" s="854" t="str">
        <f t="shared" si="516"/>
        <v>DEPENSES DIVERSES-INTERCO</v>
      </c>
      <c r="AV259" s="794">
        <f t="array" ref="AV259">IFERROR(INDEX(V259:AG259,1,MATCH(Parametres!$B$3,V$1:AG$1,0)-1)*IF(OR(C259="L",C259="S",C259="I"),-1,1),"")</f>
        <v>0</v>
      </c>
      <c r="AW259" s="794">
        <f t="shared" si="6"/>
        <v>0</v>
      </c>
      <c r="AX259" s="794">
        <f t="array" ref="AX259">INDEX(V259:AG259,1,MATCH(Parametres!$B$3,V$1:AG$1,0))*IF(OR(C259="L",C259="S",C259="I"),-1,1)</f>
        <v>0</v>
      </c>
      <c r="AY259" s="853" t="s">
        <v>772</v>
      </c>
      <c r="AZ259" s="853" t="str">
        <f>+VLOOKUP($AJ259,Data_Validation!$A:$E,5,0)</f>
        <v/>
      </c>
    </row>
    <row r="260" ht="15.0" customHeight="1">
      <c r="A260" s="849" t="s">
        <v>1239</v>
      </c>
      <c r="B260" s="849">
        <v>2026.0</v>
      </c>
      <c r="C260" s="849" t="s">
        <v>1744</v>
      </c>
      <c r="D260" s="849" t="s">
        <v>1478</v>
      </c>
      <c r="E260" s="849" t="s">
        <v>768</v>
      </c>
      <c r="F260" s="849" t="s">
        <v>1200</v>
      </c>
      <c r="G260" s="849">
        <v>0.0</v>
      </c>
      <c r="H260" s="849">
        <v>0.0</v>
      </c>
      <c r="I260" s="849">
        <v>0.0</v>
      </c>
      <c r="J260" s="849">
        <v>0.0</v>
      </c>
      <c r="K260" s="849">
        <v>0.0</v>
      </c>
      <c r="L260" s="849">
        <v>0.0</v>
      </c>
      <c r="M260" s="849">
        <v>0.0</v>
      </c>
      <c r="N260" s="849">
        <v>0.0</v>
      </c>
      <c r="O260" s="849">
        <v>0.0</v>
      </c>
      <c r="P260" s="849">
        <v>0.0</v>
      </c>
      <c r="Q260" s="849">
        <v>0.0</v>
      </c>
      <c r="R260" s="849">
        <v>0.0</v>
      </c>
      <c r="S260" s="849">
        <v>0.0</v>
      </c>
      <c r="T260" s="849">
        <v>0.0</v>
      </c>
      <c r="U260" s="849">
        <v>0.0</v>
      </c>
      <c r="V260" s="849">
        <v>0.0</v>
      </c>
      <c r="W260" s="849">
        <v>0.0</v>
      </c>
      <c r="X260" s="849">
        <v>0.0</v>
      </c>
      <c r="Y260" s="849">
        <v>0.0</v>
      </c>
      <c r="Z260" s="849">
        <v>0.0</v>
      </c>
      <c r="AA260" s="849">
        <v>0.0</v>
      </c>
      <c r="AB260" s="849">
        <v>0.0</v>
      </c>
      <c r="AC260" s="849">
        <v>0.0</v>
      </c>
      <c r="AD260" s="849">
        <v>0.0</v>
      </c>
      <c r="AE260" s="849">
        <v>0.0</v>
      </c>
      <c r="AF260" s="849">
        <v>0.0</v>
      </c>
      <c r="AG260" s="849">
        <v>0.0</v>
      </c>
      <c r="AH260" s="849">
        <v>0.0</v>
      </c>
      <c r="AI260" s="849">
        <v>0.0</v>
      </c>
      <c r="AJ260" s="794" t="str">
        <f t="shared" ref="AJ260:AK260" si="517">C260</f>
        <v>G0780</v>
      </c>
      <c r="AK260" s="794" t="str">
        <f t="shared" si="517"/>
        <v>FRAIS DE BANQUE</v>
      </c>
      <c r="AL260" s="794">
        <f t="array" ref="AL260">IFERROR(INDEX(G260:R260,1,MATCH(Parametres!$B$3,G$1:R$1,0)-1)*IF(OR(F260="L",F260="S",F260="I"),-1,1),"")</f>
        <v>0</v>
      </c>
      <c r="AM260" s="794">
        <f t="shared" si="4"/>
        <v>0</v>
      </c>
      <c r="AN260" s="794">
        <f t="array" ref="AN260">INDEX(G260:R260,1,MATCH(Parametres!$B$3,G$1:R$1,0))*IF(OR(F260="L",F260="S",F260="I"),-1,1)</f>
        <v>0</v>
      </c>
      <c r="AO260" s="853" t="str">
        <f>+VLOOKUP($AJ260,Data_Validation!$A:$D,1,0)</f>
        <v>#N/A</v>
      </c>
      <c r="AP260" s="853" t="str">
        <f>+VLOOKUP($AJ260,Data_Validation!$A:$D,3,0)</f>
        <v>#N/A</v>
      </c>
      <c r="AQ260" s="853" t="str">
        <f>+VLOOKUP($AJ260,Data_Validation!$A:$D,4,0)</f>
        <v>#N/A</v>
      </c>
      <c r="AR260" s="853" t="s">
        <v>728</v>
      </c>
      <c r="AS260" s="853" t="str">
        <f>+VLOOKUP($AJ260,Data_Validation!$A:$E,5,0)</f>
        <v>#N/A</v>
      </c>
      <c r="AT260" s="794" t="str">
        <f t="shared" ref="AT260:AU260" si="518">C260</f>
        <v>G0780</v>
      </c>
      <c r="AU260" s="854" t="str">
        <f t="shared" si="518"/>
        <v>FRAIS DE BANQUE</v>
      </c>
      <c r="AV260" s="794">
        <f t="array" ref="AV260">IFERROR(INDEX(V260:AG260,1,MATCH(Parametres!$B$3,V$1:AG$1,0)-1)*IF(OR(C260="L",C260="S",C260="I"),-1,1),"")</f>
        <v>0</v>
      </c>
      <c r="AW260" s="794">
        <f t="shared" si="6"/>
        <v>0</v>
      </c>
      <c r="AX260" s="794">
        <f t="array" ref="AX260">INDEX(V260:AG260,1,MATCH(Parametres!$B$3,V$1:AG$1,0))*IF(OR(C260="L",C260="S",C260="I"),-1,1)</f>
        <v>0</v>
      </c>
      <c r="AY260" s="853" t="s">
        <v>772</v>
      </c>
      <c r="AZ260" s="853" t="str">
        <f>+VLOOKUP($AJ260,Data_Validation!$A:$E,5,0)</f>
        <v>#N/A</v>
      </c>
    </row>
    <row r="261" ht="15.0" customHeight="1">
      <c r="A261" s="849" t="s">
        <v>1239</v>
      </c>
      <c r="B261" s="849">
        <v>2026.0</v>
      </c>
      <c r="C261" s="849" t="s">
        <v>1745</v>
      </c>
      <c r="D261" s="849" t="s">
        <v>1746</v>
      </c>
      <c r="E261" s="849" t="s">
        <v>768</v>
      </c>
      <c r="F261" s="849" t="s">
        <v>1200</v>
      </c>
      <c r="G261" s="849">
        <v>-210647.35</v>
      </c>
      <c r="H261" s="849">
        <v>-411790.73</v>
      </c>
      <c r="I261" s="849">
        <v>-783485.23</v>
      </c>
      <c r="J261" s="849">
        <v>-954266.99</v>
      </c>
      <c r="K261" s="849">
        <v>-1161796.28</v>
      </c>
      <c r="L261" s="849">
        <v>-1282068.6</v>
      </c>
      <c r="M261" s="849">
        <v>-1413704.34</v>
      </c>
      <c r="N261" s="849">
        <v>-1479891.08</v>
      </c>
      <c r="O261" s="849">
        <v>-1608211.02</v>
      </c>
      <c r="P261" s="849">
        <v>-1608211.02</v>
      </c>
      <c r="Q261" s="849">
        <v>0.0</v>
      </c>
      <c r="R261" s="849">
        <v>0.0</v>
      </c>
      <c r="S261" s="849">
        <v>-178690.11</v>
      </c>
      <c r="T261" s="849">
        <v>-178690.11</v>
      </c>
      <c r="U261" s="849">
        <v>0.0</v>
      </c>
      <c r="V261" s="849">
        <v>0.0</v>
      </c>
      <c r="W261" s="849">
        <v>0.0</v>
      </c>
      <c r="X261" s="849">
        <v>0.0</v>
      </c>
      <c r="Y261" s="849">
        <v>0.0</v>
      </c>
      <c r="Z261" s="849">
        <v>0.0</v>
      </c>
      <c r="AA261" s="849">
        <v>0.0</v>
      </c>
      <c r="AB261" s="849">
        <v>0.0</v>
      </c>
      <c r="AC261" s="849">
        <v>0.0</v>
      </c>
      <c r="AD261" s="849">
        <v>0.0</v>
      </c>
      <c r="AE261" s="849">
        <v>0.0</v>
      </c>
      <c r="AF261" s="849">
        <v>0.0</v>
      </c>
      <c r="AG261" s="849">
        <v>0.0</v>
      </c>
      <c r="AH261" s="849">
        <v>0.0</v>
      </c>
      <c r="AI261" s="849">
        <v>0.0</v>
      </c>
      <c r="AJ261" s="794" t="str">
        <f t="shared" ref="AJ261:AK261" si="519">C261</f>
        <v>G0781</v>
      </c>
      <c r="AK261" s="794" t="str">
        <f t="shared" si="519"/>
        <v>INTERET-CREDIT FIN.STOCKS</v>
      </c>
      <c r="AL261" s="794">
        <f t="array" ref="AL261">IFERROR(INDEX(G261:R261,1,MATCH(Parametres!$B$3,G$1:R$1,0)-1)*IF(OR(F261="L",F261="S",F261="I"),-1,1),"")</f>
        <v>-1479891.08</v>
      </c>
      <c r="AM261" s="794">
        <f t="shared" si="4"/>
        <v>-128319.94</v>
      </c>
      <c r="AN261" s="794">
        <f t="array" ref="AN261">INDEX(G261:R261,1,MATCH(Parametres!$B$3,G$1:R$1,0))*IF(OR(F261="L",F261="S",F261="I"),-1,1)</f>
        <v>-1608211.02</v>
      </c>
      <c r="AO261" s="853" t="str">
        <f>+VLOOKUP($AJ261,Data_Validation!$A:$D,1,0)</f>
        <v>G0781</v>
      </c>
      <c r="AP261" s="853" t="str">
        <f>+VLOOKUP($AJ261,Data_Validation!$A:$D,3,0)</f>
        <v>Véhicules neufs</v>
      </c>
      <c r="AQ261" s="853" t="str">
        <f>+VLOOKUP($AJ261,Data_Validation!$A:$D,4,0)</f>
        <v>Crédit Intérêts Floor Plan</v>
      </c>
      <c r="AR261" s="853" t="s">
        <v>728</v>
      </c>
      <c r="AS261" s="853" t="str">
        <f>+VLOOKUP($AJ261,Data_Validation!$A:$E,5,0)</f>
        <v/>
      </c>
      <c r="AT261" s="794" t="str">
        <f t="shared" ref="AT261:AU261" si="520">C261</f>
        <v>G0781</v>
      </c>
      <c r="AU261" s="854" t="str">
        <f t="shared" si="520"/>
        <v>INTERET-CREDIT FIN.STOCKS</v>
      </c>
      <c r="AV261" s="794">
        <f t="array" ref="AV261">IFERROR(INDEX(V261:AG261,1,MATCH(Parametres!$B$3,V$1:AG$1,0)-1)*IF(OR(C261="L",C261="S",C261="I"),-1,1),"")</f>
        <v>0</v>
      </c>
      <c r="AW261" s="794">
        <f t="shared" si="6"/>
        <v>0</v>
      </c>
      <c r="AX261" s="794">
        <f t="array" ref="AX261">INDEX(V261:AG261,1,MATCH(Parametres!$B$3,V$1:AG$1,0))*IF(OR(C261="L",C261="S",C261="I"),-1,1)</f>
        <v>0</v>
      </c>
      <c r="AY261" s="853" t="s">
        <v>772</v>
      </c>
      <c r="AZ261" s="853" t="str">
        <f>+VLOOKUP($AJ261,Data_Validation!$A:$E,5,0)</f>
        <v/>
      </c>
    </row>
    <row r="262" ht="15.75" customHeight="1">
      <c r="A262" s="849" t="s">
        <v>1239</v>
      </c>
      <c r="B262" s="849">
        <v>2026.0</v>
      </c>
      <c r="C262" s="849" t="s">
        <v>1747</v>
      </c>
      <c r="D262" s="849" t="s">
        <v>1748</v>
      </c>
      <c r="E262" s="849" t="s">
        <v>768</v>
      </c>
      <c r="F262" s="849" t="s">
        <v>1200</v>
      </c>
      <c r="G262" s="849">
        <v>0.0</v>
      </c>
      <c r="H262" s="849">
        <v>0.0</v>
      </c>
      <c r="I262" s="849">
        <v>0.0</v>
      </c>
      <c r="J262" s="849">
        <v>0.0</v>
      </c>
      <c r="K262" s="849">
        <v>0.0</v>
      </c>
      <c r="L262" s="849">
        <v>0.0</v>
      </c>
      <c r="M262" s="849">
        <v>0.0</v>
      </c>
      <c r="N262" s="849">
        <v>0.0</v>
      </c>
      <c r="O262" s="849">
        <v>0.0</v>
      </c>
      <c r="P262" s="849">
        <v>0.0</v>
      </c>
      <c r="Q262" s="849">
        <v>0.0</v>
      </c>
      <c r="R262" s="849">
        <v>0.0</v>
      </c>
      <c r="S262" s="849">
        <v>0.0</v>
      </c>
      <c r="T262" s="849">
        <v>0.0</v>
      </c>
      <c r="U262" s="849">
        <v>0.0</v>
      </c>
      <c r="V262" s="849">
        <v>0.0</v>
      </c>
      <c r="W262" s="849">
        <v>0.0</v>
      </c>
      <c r="X262" s="849">
        <v>0.0</v>
      </c>
      <c r="Y262" s="849">
        <v>0.0</v>
      </c>
      <c r="Z262" s="849">
        <v>0.0</v>
      </c>
      <c r="AA262" s="849">
        <v>0.0</v>
      </c>
      <c r="AB262" s="849">
        <v>0.0</v>
      </c>
      <c r="AC262" s="849">
        <v>0.0</v>
      </c>
      <c r="AD262" s="849">
        <v>0.0</v>
      </c>
      <c r="AE262" s="849">
        <v>0.0</v>
      </c>
      <c r="AF262" s="849">
        <v>0.0</v>
      </c>
      <c r="AG262" s="849">
        <v>0.0</v>
      </c>
      <c r="AH262" s="849">
        <v>0.0</v>
      </c>
      <c r="AI262" s="849">
        <v>0.0</v>
      </c>
      <c r="AJ262" s="794" t="str">
        <f t="shared" ref="AJ262:AK262" si="521">C262</f>
        <v>G0782</v>
      </c>
      <c r="AK262" s="794" t="str">
        <f t="shared" si="521"/>
        <v>CREDIT INT.FINANC.-USAGE</v>
      </c>
      <c r="AL262" s="794">
        <f t="array" ref="AL262">IFERROR(INDEX(G262:R262,1,MATCH(Parametres!$B$3,G$1:R$1,0)-1)*IF(OR(F262="L",F262="S",F262="I"),-1,1),"")</f>
        <v>0</v>
      </c>
      <c r="AM262" s="794">
        <f t="shared" si="4"/>
        <v>0</v>
      </c>
      <c r="AN262" s="794">
        <f t="array" ref="AN262">INDEX(G262:R262,1,MATCH(Parametres!$B$3,G$1:R$1,0))*IF(OR(F262="L",F262="S",F262="I"),-1,1)</f>
        <v>0</v>
      </c>
      <c r="AO262" s="853" t="str">
        <f>+VLOOKUP($AJ262,Data_Validation!$A:$D,1,0)</f>
        <v>G0782</v>
      </c>
      <c r="AP262" s="853" t="str">
        <f>+VLOOKUP($AJ262,Data_Validation!$A:$D,3,0)</f>
        <v>Véhicules usagés</v>
      </c>
      <c r="AQ262" s="853" t="str">
        <f>+VLOOKUP($AJ262,Data_Validation!$A:$D,4,0)</f>
        <v>Crédit Intérêts Floor Plan</v>
      </c>
      <c r="AR262" s="853" t="s">
        <v>728</v>
      </c>
      <c r="AS262" s="853" t="str">
        <f>+VLOOKUP($AJ262,Data_Validation!$A:$E,5,0)</f>
        <v/>
      </c>
      <c r="AT262" s="794" t="str">
        <f t="shared" ref="AT262:AU262" si="522">C262</f>
        <v>G0782</v>
      </c>
      <c r="AU262" s="854" t="str">
        <f t="shared" si="522"/>
        <v>CREDIT INT.FINANC.-USAGE</v>
      </c>
      <c r="AV262" s="794">
        <f t="array" ref="AV262">IFERROR(INDEX(V262:AG262,1,MATCH(Parametres!$B$3,V$1:AG$1,0)-1)*IF(OR(C262="L",C262="S",C262="I"),-1,1),"")</f>
        <v>0</v>
      </c>
      <c r="AW262" s="794">
        <f t="shared" si="6"/>
        <v>0</v>
      </c>
      <c r="AX262" s="794">
        <f t="array" ref="AX262">INDEX(V262:AG262,1,MATCH(Parametres!$B$3,V$1:AG$1,0))*IF(OR(C262="L",C262="S",C262="I"),-1,1)</f>
        <v>0</v>
      </c>
      <c r="AY262" s="853" t="s">
        <v>772</v>
      </c>
      <c r="AZ262" s="853" t="str">
        <f>+VLOOKUP($AJ262,Data_Validation!$A:$E,5,0)</f>
        <v/>
      </c>
    </row>
    <row r="263" ht="15.0" customHeight="1">
      <c r="A263" s="849" t="s">
        <v>1239</v>
      </c>
      <c r="B263" s="849">
        <v>2026.0</v>
      </c>
      <c r="C263" s="849" t="s">
        <v>1749</v>
      </c>
      <c r="D263" s="849" t="s">
        <v>1750</v>
      </c>
      <c r="E263" s="849" t="s">
        <v>768</v>
      </c>
      <c r="F263" s="849" t="s">
        <v>1200</v>
      </c>
      <c r="G263" s="849">
        <v>0.0</v>
      </c>
      <c r="H263" s="849">
        <v>0.0</v>
      </c>
      <c r="I263" s="849">
        <v>0.0</v>
      </c>
      <c r="J263" s="849">
        <v>0.0</v>
      </c>
      <c r="K263" s="849">
        <v>0.0</v>
      </c>
      <c r="L263" s="849">
        <v>0.0</v>
      </c>
      <c r="M263" s="849">
        <v>0.0</v>
      </c>
      <c r="N263" s="849">
        <v>0.0</v>
      </c>
      <c r="O263" s="849">
        <v>0.0</v>
      </c>
      <c r="P263" s="849">
        <v>0.0</v>
      </c>
      <c r="Q263" s="849">
        <v>0.0</v>
      </c>
      <c r="R263" s="849">
        <v>0.0</v>
      </c>
      <c r="S263" s="849">
        <v>0.0</v>
      </c>
      <c r="T263" s="849">
        <v>0.0</v>
      </c>
      <c r="U263" s="849">
        <v>0.0</v>
      </c>
      <c r="V263" s="849">
        <v>0.0</v>
      </c>
      <c r="W263" s="849">
        <v>0.0</v>
      </c>
      <c r="X263" s="849">
        <v>0.0</v>
      </c>
      <c r="Y263" s="849">
        <v>0.0</v>
      </c>
      <c r="Z263" s="849">
        <v>0.0</v>
      </c>
      <c r="AA263" s="849">
        <v>0.0</v>
      </c>
      <c r="AB263" s="849">
        <v>0.0</v>
      </c>
      <c r="AC263" s="849">
        <v>0.0</v>
      </c>
      <c r="AD263" s="849">
        <v>0.0</v>
      </c>
      <c r="AE263" s="849">
        <v>0.0</v>
      </c>
      <c r="AF263" s="849">
        <v>0.0</v>
      </c>
      <c r="AG263" s="849">
        <v>0.0</v>
      </c>
      <c r="AH263" s="849">
        <v>0.0</v>
      </c>
      <c r="AI263" s="849">
        <v>0.0</v>
      </c>
      <c r="AJ263" s="794" t="str">
        <f t="shared" ref="AJ263:AK263" si="523">C263</f>
        <v>G0783</v>
      </c>
      <c r="AK263" s="794" t="str">
        <f t="shared" si="523"/>
        <v>CREDIT INT.FINANC.-LOC.</v>
      </c>
      <c r="AL263" s="794">
        <f t="array" ref="AL263">IFERROR(INDEX(G263:R263,1,MATCH(Parametres!$B$3,G$1:R$1,0)-1)*IF(OR(F263="L",F263="S",F263="I"),-1,1),"")</f>
        <v>0</v>
      </c>
      <c r="AM263" s="794">
        <f t="shared" si="4"/>
        <v>0</v>
      </c>
      <c r="AN263" s="794">
        <f t="array" ref="AN263">INDEX(G263:R263,1,MATCH(Parametres!$B$3,G$1:R$1,0))*IF(OR(F263="L",F263="S",F263="I"),-1,1)</f>
        <v>0</v>
      </c>
      <c r="AO263" s="853" t="str">
        <f>+VLOOKUP($AJ263,Data_Validation!$A:$D,1,0)</f>
        <v>G0783</v>
      </c>
      <c r="AP263" s="853" t="str">
        <f>+VLOOKUP($AJ263,Data_Validation!$A:$D,3,0)</f>
        <v>Wholesale autres</v>
      </c>
      <c r="AQ263" s="853" t="str">
        <f>+VLOOKUP($AJ263,Data_Validation!$A:$D,4,0)</f>
        <v>Crédit Intérêts Floor Plan</v>
      </c>
      <c r="AR263" s="853" t="s">
        <v>728</v>
      </c>
      <c r="AS263" s="853" t="str">
        <f>+VLOOKUP($AJ263,Data_Validation!$A:$E,5,0)</f>
        <v/>
      </c>
      <c r="AT263" s="794" t="str">
        <f t="shared" ref="AT263:AU263" si="524">C263</f>
        <v>G0783</v>
      </c>
      <c r="AU263" s="854" t="str">
        <f t="shared" si="524"/>
        <v>CREDIT INT.FINANC.-LOC.</v>
      </c>
      <c r="AV263" s="794">
        <f t="array" ref="AV263">IFERROR(INDEX(V263:AG263,1,MATCH(Parametres!$B$3,V$1:AG$1,0)-1)*IF(OR(C263="L",C263="S",C263="I"),-1,1),"")</f>
        <v>0</v>
      </c>
      <c r="AW263" s="794">
        <f t="shared" si="6"/>
        <v>0</v>
      </c>
      <c r="AX263" s="794">
        <f t="array" ref="AX263">INDEX(V263:AG263,1,MATCH(Parametres!$B$3,V$1:AG$1,0))*IF(OR(C263="L",C263="S",C263="I"),-1,1)</f>
        <v>0</v>
      </c>
      <c r="AY263" s="853" t="s">
        <v>772</v>
      </c>
      <c r="AZ263" s="853" t="str">
        <f>+VLOOKUP($AJ263,Data_Validation!$A:$E,5,0)</f>
        <v/>
      </c>
    </row>
    <row r="264" ht="15.0" customHeight="1">
      <c r="A264" s="849" t="s">
        <v>1239</v>
      </c>
      <c r="B264" s="849">
        <v>2026.0</v>
      </c>
      <c r="C264" s="849" t="s">
        <v>1751</v>
      </c>
      <c r="D264" s="849" t="s">
        <v>1752</v>
      </c>
      <c r="E264" s="849" t="s">
        <v>768</v>
      </c>
      <c r="F264" s="849" t="s">
        <v>1200</v>
      </c>
      <c r="G264" s="849">
        <v>0.0</v>
      </c>
      <c r="H264" s="849">
        <v>0.0</v>
      </c>
      <c r="I264" s="849">
        <v>0.0</v>
      </c>
      <c r="J264" s="849">
        <v>0.0</v>
      </c>
      <c r="K264" s="849">
        <v>0.0</v>
      </c>
      <c r="L264" s="849">
        <v>0.0</v>
      </c>
      <c r="M264" s="849">
        <v>0.0</v>
      </c>
      <c r="N264" s="849">
        <v>0.0</v>
      </c>
      <c r="O264" s="849">
        <v>0.0</v>
      </c>
      <c r="P264" s="849">
        <v>0.0</v>
      </c>
      <c r="Q264" s="849">
        <v>0.0</v>
      </c>
      <c r="R264" s="849">
        <v>0.0</v>
      </c>
      <c r="S264" s="849">
        <v>0.0</v>
      </c>
      <c r="T264" s="849">
        <v>0.0</v>
      </c>
      <c r="U264" s="849">
        <v>0.0</v>
      </c>
      <c r="V264" s="849">
        <v>0.0</v>
      </c>
      <c r="W264" s="849">
        <v>0.0</v>
      </c>
      <c r="X264" s="849">
        <v>0.0</v>
      </c>
      <c r="Y264" s="849">
        <v>0.0</v>
      </c>
      <c r="Z264" s="849">
        <v>0.0</v>
      </c>
      <c r="AA264" s="849">
        <v>0.0</v>
      </c>
      <c r="AB264" s="849">
        <v>0.0</v>
      </c>
      <c r="AC264" s="849">
        <v>0.0</v>
      </c>
      <c r="AD264" s="849">
        <v>0.0</v>
      </c>
      <c r="AE264" s="849">
        <v>0.0</v>
      </c>
      <c r="AF264" s="849">
        <v>0.0</v>
      </c>
      <c r="AG264" s="849">
        <v>0.0</v>
      </c>
      <c r="AH264" s="849">
        <v>0.0</v>
      </c>
      <c r="AI264" s="849">
        <v>0.0</v>
      </c>
      <c r="AJ264" s="794" t="str">
        <f t="shared" ref="AJ264:AK264" si="525">C264</f>
        <v>G0790</v>
      </c>
      <c r="AK264" s="794" t="str">
        <f t="shared" si="525"/>
        <v>INTERETS MARGE CREDIT REP</v>
      </c>
      <c r="AL264" s="794">
        <f t="array" ref="AL264">IFERROR(INDEX(G264:R264,1,MATCH(Parametres!$B$3,G$1:R$1,0)-1)*IF(OR(F264="L",F264="S",F264="I"),-1,1),"")</f>
        <v>0</v>
      </c>
      <c r="AM264" s="794">
        <f t="shared" si="4"/>
        <v>0</v>
      </c>
      <c r="AN264" s="794">
        <f t="array" ref="AN264">INDEX(G264:R264,1,MATCH(Parametres!$B$3,G$1:R$1,0))*IF(OR(F264="L",F264="S",F264="I"),-1,1)</f>
        <v>0</v>
      </c>
      <c r="AO264" s="853" t="str">
        <f>+VLOOKUP($AJ264,Data_Validation!$A:$D,1,0)</f>
        <v>#N/A</v>
      </c>
      <c r="AP264" s="853" t="str">
        <f>+VLOOKUP($AJ264,Data_Validation!$A:$D,3,0)</f>
        <v>#N/A</v>
      </c>
      <c r="AQ264" s="853" t="str">
        <f>+VLOOKUP($AJ264,Data_Validation!$A:$D,4,0)</f>
        <v>#N/A</v>
      </c>
      <c r="AR264" s="853" t="s">
        <v>728</v>
      </c>
      <c r="AS264" s="853" t="str">
        <f>+VLOOKUP($AJ264,Data_Validation!$A:$E,5,0)</f>
        <v>#N/A</v>
      </c>
      <c r="AT264" s="794" t="str">
        <f t="shared" ref="AT264:AU264" si="526">C264</f>
        <v>G0790</v>
      </c>
      <c r="AU264" s="854" t="str">
        <f t="shared" si="526"/>
        <v>INTERETS MARGE CREDIT REP</v>
      </c>
      <c r="AV264" s="794">
        <f t="array" ref="AV264">IFERROR(INDEX(V264:AG264,1,MATCH(Parametres!$B$3,V$1:AG$1,0)-1)*IF(OR(C264="L",C264="S",C264="I"),-1,1),"")</f>
        <v>0</v>
      </c>
      <c r="AW264" s="794">
        <f t="shared" si="6"/>
        <v>0</v>
      </c>
      <c r="AX264" s="794">
        <f t="array" ref="AX264">INDEX(V264:AG264,1,MATCH(Parametres!$B$3,V$1:AG$1,0))*IF(OR(C264="L",C264="S",C264="I"),-1,1)</f>
        <v>0</v>
      </c>
      <c r="AY264" s="853" t="s">
        <v>772</v>
      </c>
      <c r="AZ264" s="853" t="str">
        <f>+VLOOKUP($AJ264,Data_Validation!$A:$E,5,0)</f>
        <v>#N/A</v>
      </c>
    </row>
    <row r="265" ht="15.0" customHeight="1">
      <c r="A265" s="849" t="s">
        <v>1239</v>
      </c>
      <c r="B265" s="849">
        <v>2026.0</v>
      </c>
      <c r="C265" s="849" t="s">
        <v>1753</v>
      </c>
      <c r="D265" s="849" t="s">
        <v>1754</v>
      </c>
      <c r="E265" s="849" t="s">
        <v>768</v>
      </c>
      <c r="F265" s="849" t="s">
        <v>1200</v>
      </c>
      <c r="G265" s="849">
        <v>0.0</v>
      </c>
      <c r="H265" s="849">
        <v>0.0</v>
      </c>
      <c r="I265" s="849">
        <v>0.0</v>
      </c>
      <c r="J265" s="849">
        <v>0.0</v>
      </c>
      <c r="K265" s="849">
        <v>0.0</v>
      </c>
      <c r="L265" s="849">
        <v>0.0</v>
      </c>
      <c r="M265" s="849">
        <v>10.31</v>
      </c>
      <c r="N265" s="849">
        <v>10.31</v>
      </c>
      <c r="O265" s="849">
        <v>10.31</v>
      </c>
      <c r="P265" s="849">
        <v>10.31</v>
      </c>
      <c r="Q265" s="849">
        <v>0.0</v>
      </c>
      <c r="R265" s="849">
        <v>0.0</v>
      </c>
      <c r="S265" s="849">
        <v>1.15</v>
      </c>
      <c r="T265" s="849">
        <v>1.15</v>
      </c>
      <c r="U265" s="849">
        <v>0.0</v>
      </c>
      <c r="V265" s="849">
        <v>0.0</v>
      </c>
      <c r="W265" s="849">
        <v>0.0</v>
      </c>
      <c r="X265" s="849">
        <v>0.0</v>
      </c>
      <c r="Y265" s="849">
        <v>0.0</v>
      </c>
      <c r="Z265" s="849">
        <v>0.0</v>
      </c>
      <c r="AA265" s="849">
        <v>0.0</v>
      </c>
      <c r="AB265" s="849">
        <v>0.0</v>
      </c>
      <c r="AC265" s="849">
        <v>0.0</v>
      </c>
      <c r="AD265" s="849">
        <v>0.0</v>
      </c>
      <c r="AE265" s="849">
        <v>0.0</v>
      </c>
      <c r="AF265" s="849">
        <v>0.0</v>
      </c>
      <c r="AG265" s="849">
        <v>0.0</v>
      </c>
      <c r="AH265" s="849">
        <v>0.0</v>
      </c>
      <c r="AI265" s="849">
        <v>0.0</v>
      </c>
      <c r="AJ265" s="794" t="str">
        <f t="shared" ref="AJ265:AK265" si="527">C265</f>
        <v>G0791</v>
      </c>
      <c r="AK265" s="794" t="str">
        <f t="shared" si="527"/>
        <v>INTÉRETS MARGE CRÉDIT</v>
      </c>
      <c r="AL265" s="794">
        <f t="array" ref="AL265">IFERROR(INDEX(G265:R265,1,MATCH(Parametres!$B$3,G$1:R$1,0)-1)*IF(OR(F265="L",F265="S",F265="I"),-1,1),"")</f>
        <v>10.31</v>
      </c>
      <c r="AM265" s="794">
        <f t="shared" si="4"/>
        <v>0</v>
      </c>
      <c r="AN265" s="794">
        <f t="array" ref="AN265">INDEX(G265:R265,1,MATCH(Parametres!$B$3,G$1:R$1,0))*IF(OR(F265="L",F265="S",F265="I"),-1,1)</f>
        <v>10.31</v>
      </c>
      <c r="AO265" s="853" t="str">
        <f>+VLOOKUP($AJ265,Data_Validation!$A:$D,1,0)</f>
        <v>G0791</v>
      </c>
      <c r="AP265" s="853" t="str">
        <f>+VLOOKUP($AJ265,Data_Validation!$A:$D,3,0)</f>
        <v>Véhicules neufs</v>
      </c>
      <c r="AQ265" s="853" t="str">
        <f>+VLOOKUP($AJ265,Data_Validation!$A:$D,4,0)</f>
        <v>Divers</v>
      </c>
      <c r="AR265" s="853" t="s">
        <v>728</v>
      </c>
      <c r="AS265" s="853" t="str">
        <f>+VLOOKUP($AJ265,Data_Validation!$A:$E,5,0)</f>
        <v/>
      </c>
      <c r="AT265" s="794" t="str">
        <f t="shared" ref="AT265:AU265" si="528">C265</f>
        <v>G0791</v>
      </c>
      <c r="AU265" s="854" t="str">
        <f t="shared" si="528"/>
        <v>INTÉRETS MARGE CRÉDIT</v>
      </c>
      <c r="AV265" s="794">
        <f t="array" ref="AV265">IFERROR(INDEX(V265:AG265,1,MATCH(Parametres!$B$3,V$1:AG$1,0)-1)*IF(OR(C265="L",C265="S",C265="I"),-1,1),"")</f>
        <v>0</v>
      </c>
      <c r="AW265" s="794">
        <f t="shared" si="6"/>
        <v>0</v>
      </c>
      <c r="AX265" s="794">
        <f t="array" ref="AX265">INDEX(V265:AG265,1,MATCH(Parametres!$B$3,V$1:AG$1,0))*IF(OR(C265="L",C265="S",C265="I"),-1,1)</f>
        <v>0</v>
      </c>
      <c r="AY265" s="853" t="s">
        <v>772</v>
      </c>
      <c r="AZ265" s="853" t="str">
        <f>+VLOOKUP($AJ265,Data_Validation!$A:$E,5,0)</f>
        <v/>
      </c>
    </row>
    <row r="266" ht="15.0" customHeight="1">
      <c r="A266" s="849" t="s">
        <v>1239</v>
      </c>
      <c r="B266" s="849">
        <v>2026.0</v>
      </c>
      <c r="C266" s="849" t="s">
        <v>1755</v>
      </c>
      <c r="D266" s="849" t="s">
        <v>1756</v>
      </c>
      <c r="E266" s="849" t="s">
        <v>768</v>
      </c>
      <c r="F266" s="849" t="s">
        <v>1200</v>
      </c>
      <c r="G266" s="849">
        <v>0.0</v>
      </c>
      <c r="H266" s="849">
        <v>0.0</v>
      </c>
      <c r="I266" s="849">
        <v>0.0</v>
      </c>
      <c r="J266" s="849">
        <v>0.0</v>
      </c>
      <c r="K266" s="849">
        <v>0.0</v>
      </c>
      <c r="L266" s="849">
        <v>0.0</v>
      </c>
      <c r="M266" s="849">
        <v>6.88</v>
      </c>
      <c r="N266" s="849">
        <v>6.88</v>
      </c>
      <c r="O266" s="849">
        <v>6.88</v>
      </c>
      <c r="P266" s="849">
        <v>6.88</v>
      </c>
      <c r="Q266" s="849">
        <v>0.0</v>
      </c>
      <c r="R266" s="849">
        <v>0.0</v>
      </c>
      <c r="S266" s="849">
        <v>0.76</v>
      </c>
      <c r="T266" s="849">
        <v>0.76</v>
      </c>
      <c r="U266" s="849">
        <v>0.0</v>
      </c>
      <c r="V266" s="849">
        <v>0.0</v>
      </c>
      <c r="W266" s="849">
        <v>0.0</v>
      </c>
      <c r="X266" s="849">
        <v>0.0</v>
      </c>
      <c r="Y266" s="849">
        <v>0.0</v>
      </c>
      <c r="Z266" s="849">
        <v>0.0</v>
      </c>
      <c r="AA266" s="849">
        <v>0.0</v>
      </c>
      <c r="AB266" s="849">
        <v>0.0</v>
      </c>
      <c r="AC266" s="849">
        <v>0.0</v>
      </c>
      <c r="AD266" s="849">
        <v>0.0</v>
      </c>
      <c r="AE266" s="849">
        <v>0.0</v>
      </c>
      <c r="AF266" s="849">
        <v>0.0</v>
      </c>
      <c r="AG266" s="849">
        <v>0.0</v>
      </c>
      <c r="AH266" s="849">
        <v>0.0</v>
      </c>
      <c r="AI266" s="849">
        <v>0.0</v>
      </c>
      <c r="AJ266" s="794" t="str">
        <f t="shared" ref="AJ266:AK266" si="529">C266</f>
        <v>G0792</v>
      </c>
      <c r="AK266" s="794" t="str">
        <f t="shared" si="529"/>
        <v>INTÉRETS MARGE CREDIT</v>
      </c>
      <c r="AL266" s="794">
        <f t="array" ref="AL266">IFERROR(INDEX(G266:R266,1,MATCH(Parametres!$B$3,G$1:R$1,0)-1)*IF(OR(F266="L",F266="S",F266="I"),-1,1),"")</f>
        <v>6.88</v>
      </c>
      <c r="AM266" s="794">
        <f t="shared" si="4"/>
        <v>0</v>
      </c>
      <c r="AN266" s="794">
        <f t="array" ref="AN266">INDEX(G266:R266,1,MATCH(Parametres!$B$3,G$1:R$1,0))*IF(OR(F266="L",F266="S",F266="I"),-1,1)</f>
        <v>6.88</v>
      </c>
      <c r="AO266" s="853" t="str">
        <f>+VLOOKUP($AJ266,Data_Validation!$A:$D,1,0)</f>
        <v>G0792</v>
      </c>
      <c r="AP266" s="853" t="str">
        <f>+VLOOKUP($AJ266,Data_Validation!$A:$D,3,0)</f>
        <v>Véhicules usagés</v>
      </c>
      <c r="AQ266" s="853" t="str">
        <f>+VLOOKUP($AJ266,Data_Validation!$A:$D,4,0)</f>
        <v>Divers</v>
      </c>
      <c r="AR266" s="853" t="s">
        <v>728</v>
      </c>
      <c r="AS266" s="853" t="str">
        <f>+VLOOKUP($AJ266,Data_Validation!$A:$E,5,0)</f>
        <v/>
      </c>
      <c r="AT266" s="794" t="str">
        <f t="shared" ref="AT266:AU266" si="530">C266</f>
        <v>G0792</v>
      </c>
      <c r="AU266" s="854" t="str">
        <f t="shared" si="530"/>
        <v>INTÉRETS MARGE CREDIT</v>
      </c>
      <c r="AV266" s="794">
        <f t="array" ref="AV266">IFERROR(INDEX(V266:AG266,1,MATCH(Parametres!$B$3,V$1:AG$1,0)-1)*IF(OR(C266="L",C266="S",C266="I"),-1,1),"")</f>
        <v>0</v>
      </c>
      <c r="AW266" s="794">
        <f t="shared" si="6"/>
        <v>0</v>
      </c>
      <c r="AX266" s="794">
        <f t="array" ref="AX266">INDEX(V266:AG266,1,MATCH(Parametres!$B$3,V$1:AG$1,0))*IF(OR(C266="L",C266="S",C266="I"),-1,1)</f>
        <v>0</v>
      </c>
      <c r="AY266" s="853" t="s">
        <v>772</v>
      </c>
      <c r="AZ266" s="853" t="str">
        <f>+VLOOKUP($AJ266,Data_Validation!$A:$E,5,0)</f>
        <v/>
      </c>
    </row>
    <row r="267" ht="15.0" customHeight="1">
      <c r="A267" s="849" t="s">
        <v>1239</v>
      </c>
      <c r="B267" s="849">
        <v>2026.0</v>
      </c>
      <c r="C267" s="849" t="s">
        <v>1757</v>
      </c>
      <c r="D267" s="849" t="s">
        <v>1758</v>
      </c>
      <c r="E267" s="849" t="s">
        <v>768</v>
      </c>
      <c r="F267" s="849" t="s">
        <v>1200</v>
      </c>
      <c r="G267" s="849">
        <v>0.0</v>
      </c>
      <c r="H267" s="849">
        <v>0.0</v>
      </c>
      <c r="I267" s="849">
        <v>0.0</v>
      </c>
      <c r="J267" s="849">
        <v>0.0</v>
      </c>
      <c r="K267" s="849">
        <v>0.0</v>
      </c>
      <c r="L267" s="849">
        <v>0.0</v>
      </c>
      <c r="M267" s="849">
        <v>10.31</v>
      </c>
      <c r="N267" s="849">
        <v>10.31</v>
      </c>
      <c r="O267" s="849">
        <v>10.31</v>
      </c>
      <c r="P267" s="849">
        <v>10.31</v>
      </c>
      <c r="Q267" s="849">
        <v>0.0</v>
      </c>
      <c r="R267" s="849">
        <v>0.0</v>
      </c>
      <c r="S267" s="849">
        <v>1.15</v>
      </c>
      <c r="T267" s="849">
        <v>1.15</v>
      </c>
      <c r="U267" s="849">
        <v>0.0</v>
      </c>
      <c r="V267" s="849">
        <v>0.0</v>
      </c>
      <c r="W267" s="849">
        <v>0.0</v>
      </c>
      <c r="X267" s="849">
        <v>0.0</v>
      </c>
      <c r="Y267" s="849">
        <v>0.0</v>
      </c>
      <c r="Z267" s="849">
        <v>0.0</v>
      </c>
      <c r="AA267" s="849">
        <v>0.0</v>
      </c>
      <c r="AB267" s="849">
        <v>0.0</v>
      </c>
      <c r="AC267" s="849">
        <v>0.0</v>
      </c>
      <c r="AD267" s="849">
        <v>0.0</v>
      </c>
      <c r="AE267" s="849">
        <v>0.0</v>
      </c>
      <c r="AF267" s="849">
        <v>0.0</v>
      </c>
      <c r="AG267" s="849">
        <v>0.0</v>
      </c>
      <c r="AH267" s="849">
        <v>0.0</v>
      </c>
      <c r="AI267" s="849">
        <v>0.0</v>
      </c>
      <c r="AJ267" s="794" t="str">
        <f t="shared" ref="AJ267:AK267" si="531">C267</f>
        <v>G0794</v>
      </c>
      <c r="AK267" s="794" t="str">
        <f t="shared" si="531"/>
        <v>INTERETS MARGE DE CREDIT</v>
      </c>
      <c r="AL267" s="794">
        <f t="array" ref="AL267">IFERROR(INDEX(G267:R267,1,MATCH(Parametres!$B$3,G$1:R$1,0)-1)*IF(OR(F267="L",F267="S",F267="I"),-1,1),"")</f>
        <v>10.31</v>
      </c>
      <c r="AM267" s="794">
        <f t="shared" si="4"/>
        <v>0</v>
      </c>
      <c r="AN267" s="794">
        <f t="array" ref="AN267">INDEX(G267:R267,1,MATCH(Parametres!$B$3,G$1:R$1,0))*IF(OR(F267="L",F267="S",F267="I"),-1,1)</f>
        <v>10.31</v>
      </c>
      <c r="AO267" s="853" t="str">
        <f>+VLOOKUP($AJ267,Data_Validation!$A:$D,1,0)</f>
        <v>G0794</v>
      </c>
      <c r="AP267" s="853" t="str">
        <f>+VLOOKUP($AJ267,Data_Validation!$A:$D,3,0)</f>
        <v>Service</v>
      </c>
      <c r="AQ267" s="853" t="str">
        <f>+VLOOKUP($AJ267,Data_Validation!$A:$D,4,0)</f>
        <v>Divers</v>
      </c>
      <c r="AR267" s="853" t="s">
        <v>728</v>
      </c>
      <c r="AS267" s="853" t="str">
        <f>+VLOOKUP($AJ267,Data_Validation!$A:$E,5,0)</f>
        <v/>
      </c>
      <c r="AT267" s="794" t="str">
        <f t="shared" ref="AT267:AU267" si="532">C267</f>
        <v>G0794</v>
      </c>
      <c r="AU267" s="854" t="str">
        <f t="shared" si="532"/>
        <v>INTERETS MARGE DE CREDIT</v>
      </c>
      <c r="AV267" s="794">
        <f t="array" ref="AV267">IFERROR(INDEX(V267:AG267,1,MATCH(Parametres!$B$3,V$1:AG$1,0)-1)*IF(OR(C267="L",C267="S",C267="I"),-1,1),"")</f>
        <v>0</v>
      </c>
      <c r="AW267" s="794">
        <f t="shared" si="6"/>
        <v>0</v>
      </c>
      <c r="AX267" s="794">
        <f t="array" ref="AX267">INDEX(V267:AG267,1,MATCH(Parametres!$B$3,V$1:AG$1,0))*IF(OR(C267="L",C267="S",C267="I"),-1,1)</f>
        <v>0</v>
      </c>
      <c r="AY267" s="853" t="s">
        <v>772</v>
      </c>
      <c r="AZ267" s="853" t="str">
        <f>+VLOOKUP($AJ267,Data_Validation!$A:$E,5,0)</f>
        <v/>
      </c>
    </row>
    <row r="268" ht="15.0" customHeight="1">
      <c r="A268" s="849" t="s">
        <v>1239</v>
      </c>
      <c r="B268" s="849">
        <v>2026.0</v>
      </c>
      <c r="C268" s="849" t="s">
        <v>1759</v>
      </c>
      <c r="D268" s="849" t="s">
        <v>1758</v>
      </c>
      <c r="E268" s="849" t="s">
        <v>768</v>
      </c>
      <c r="F268" s="849" t="s">
        <v>1200</v>
      </c>
      <c r="G268" s="849">
        <v>0.0</v>
      </c>
      <c r="H268" s="849">
        <v>0.0</v>
      </c>
      <c r="I268" s="849">
        <v>0.0</v>
      </c>
      <c r="J268" s="849">
        <v>0.0</v>
      </c>
      <c r="K268" s="849">
        <v>0.0</v>
      </c>
      <c r="L268" s="849">
        <v>0.0</v>
      </c>
      <c r="M268" s="849">
        <v>3.44</v>
      </c>
      <c r="N268" s="849">
        <v>3.44</v>
      </c>
      <c r="O268" s="849">
        <v>3.44</v>
      </c>
      <c r="P268" s="849">
        <v>3.44</v>
      </c>
      <c r="Q268" s="849">
        <v>0.0</v>
      </c>
      <c r="R268" s="849">
        <v>0.0</v>
      </c>
      <c r="S268" s="849">
        <v>0.38</v>
      </c>
      <c r="T268" s="849">
        <v>0.38</v>
      </c>
      <c r="U268" s="849">
        <v>0.0</v>
      </c>
      <c r="V268" s="849">
        <v>0.0</v>
      </c>
      <c r="W268" s="849">
        <v>0.0</v>
      </c>
      <c r="X268" s="849">
        <v>0.0</v>
      </c>
      <c r="Y268" s="849">
        <v>0.0</v>
      </c>
      <c r="Z268" s="849">
        <v>0.0</v>
      </c>
      <c r="AA268" s="849">
        <v>0.0</v>
      </c>
      <c r="AB268" s="849">
        <v>0.0</v>
      </c>
      <c r="AC268" s="849">
        <v>0.0</v>
      </c>
      <c r="AD268" s="849">
        <v>0.0</v>
      </c>
      <c r="AE268" s="849">
        <v>0.0</v>
      </c>
      <c r="AF268" s="849">
        <v>0.0</v>
      </c>
      <c r="AG268" s="849">
        <v>0.0</v>
      </c>
      <c r="AH268" s="849">
        <v>0.0</v>
      </c>
      <c r="AI268" s="849">
        <v>0.0</v>
      </c>
      <c r="AJ268" s="794" t="str">
        <f t="shared" ref="AJ268:AK268" si="533">C268</f>
        <v>G0795</v>
      </c>
      <c r="AK268" s="794" t="str">
        <f t="shared" si="533"/>
        <v>INTERETS MARGE DE CREDIT</v>
      </c>
      <c r="AL268" s="794">
        <f t="array" ref="AL268">IFERROR(INDEX(G268:R268,1,MATCH(Parametres!$B$3,G$1:R$1,0)-1)*IF(OR(F268="L",F268="S",F268="I"),-1,1),"")</f>
        <v>3.44</v>
      </c>
      <c r="AM268" s="794">
        <f t="shared" si="4"/>
        <v>0</v>
      </c>
      <c r="AN268" s="794">
        <f t="array" ref="AN268">INDEX(G268:R268,1,MATCH(Parametres!$B$3,G$1:R$1,0))*IF(OR(F268="L",F268="S",F268="I"),-1,1)</f>
        <v>3.44</v>
      </c>
      <c r="AO268" s="853" t="str">
        <f>+VLOOKUP($AJ268,Data_Validation!$A:$D,1,0)</f>
        <v>G0795</v>
      </c>
      <c r="AP268" s="853" t="str">
        <f>+VLOOKUP($AJ268,Data_Validation!$A:$D,3,0)</f>
        <v>Carrosserie</v>
      </c>
      <c r="AQ268" s="853" t="str">
        <f>+VLOOKUP($AJ268,Data_Validation!$A:$D,4,0)</f>
        <v>Divers</v>
      </c>
      <c r="AR268" s="853" t="s">
        <v>728</v>
      </c>
      <c r="AS268" s="853" t="str">
        <f>+VLOOKUP($AJ268,Data_Validation!$A:$E,5,0)</f>
        <v/>
      </c>
      <c r="AT268" s="794" t="str">
        <f t="shared" ref="AT268:AU268" si="534">C268</f>
        <v>G0795</v>
      </c>
      <c r="AU268" s="854" t="str">
        <f t="shared" si="534"/>
        <v>INTERETS MARGE DE CREDIT</v>
      </c>
      <c r="AV268" s="794">
        <f t="array" ref="AV268">IFERROR(INDEX(V268:AG268,1,MATCH(Parametres!$B$3,V$1:AG$1,0)-1)*IF(OR(C268="L",C268="S",C268="I"),-1,1),"")</f>
        <v>0</v>
      </c>
      <c r="AW268" s="794">
        <f t="shared" si="6"/>
        <v>0</v>
      </c>
      <c r="AX268" s="794">
        <f t="array" ref="AX268">INDEX(V268:AG268,1,MATCH(Parametres!$B$3,V$1:AG$1,0))*IF(OR(C268="L",C268="S",C268="I"),-1,1)</f>
        <v>0</v>
      </c>
      <c r="AY268" s="853" t="s">
        <v>772</v>
      </c>
      <c r="AZ268" s="853" t="str">
        <f>+VLOOKUP($AJ268,Data_Validation!$A:$E,5,0)</f>
        <v/>
      </c>
    </row>
    <row r="269" ht="15.0" customHeight="1">
      <c r="A269" s="849" t="s">
        <v>1239</v>
      </c>
      <c r="B269" s="849">
        <v>2026.0</v>
      </c>
      <c r="C269" s="849" t="s">
        <v>1760</v>
      </c>
      <c r="D269" s="849" t="s">
        <v>1761</v>
      </c>
      <c r="E269" s="849" t="s">
        <v>768</v>
      </c>
      <c r="F269" s="849" t="s">
        <v>1200</v>
      </c>
      <c r="G269" s="849">
        <v>0.0</v>
      </c>
      <c r="H269" s="849">
        <v>0.0</v>
      </c>
      <c r="I269" s="849">
        <v>0.0</v>
      </c>
      <c r="J269" s="849">
        <v>0.0</v>
      </c>
      <c r="K269" s="849">
        <v>0.0</v>
      </c>
      <c r="L269" s="849">
        <v>0.0</v>
      </c>
      <c r="M269" s="849">
        <v>3.44</v>
      </c>
      <c r="N269" s="849">
        <v>3.44</v>
      </c>
      <c r="O269" s="849">
        <v>3.44</v>
      </c>
      <c r="P269" s="849">
        <v>3.44</v>
      </c>
      <c r="Q269" s="849">
        <v>0.0</v>
      </c>
      <c r="R269" s="849">
        <v>0.0</v>
      </c>
      <c r="S269" s="849">
        <v>0.38</v>
      </c>
      <c r="T269" s="849">
        <v>0.38</v>
      </c>
      <c r="U269" s="849">
        <v>0.0</v>
      </c>
      <c r="V269" s="849">
        <v>0.0</v>
      </c>
      <c r="W269" s="849">
        <v>0.0</v>
      </c>
      <c r="X269" s="849">
        <v>0.0</v>
      </c>
      <c r="Y269" s="849">
        <v>0.0</v>
      </c>
      <c r="Z269" s="849">
        <v>0.0</v>
      </c>
      <c r="AA269" s="849">
        <v>0.0</v>
      </c>
      <c r="AB269" s="849">
        <v>0.0</v>
      </c>
      <c r="AC269" s="849">
        <v>0.0</v>
      </c>
      <c r="AD269" s="849">
        <v>0.0</v>
      </c>
      <c r="AE269" s="849">
        <v>0.0</v>
      </c>
      <c r="AF269" s="849">
        <v>0.0</v>
      </c>
      <c r="AG269" s="849">
        <v>0.0</v>
      </c>
      <c r="AH269" s="849">
        <v>0.0</v>
      </c>
      <c r="AI269" s="849">
        <v>0.0</v>
      </c>
      <c r="AJ269" s="794" t="str">
        <f t="shared" ref="AJ269:AK269" si="535">C269</f>
        <v>G0796</v>
      </c>
      <c r="AK269" s="794" t="str">
        <f t="shared" si="535"/>
        <v>INTÉRETS MARGE DE CRÉDIT</v>
      </c>
      <c r="AL269" s="794">
        <f t="array" ref="AL269">IFERROR(INDEX(G269:R269,1,MATCH(Parametres!$B$3,G$1:R$1,0)-1)*IF(OR(F269="L",F269="S",F269="I"),-1,1),"")</f>
        <v>3.44</v>
      </c>
      <c r="AM269" s="794">
        <f t="shared" si="4"/>
        <v>0</v>
      </c>
      <c r="AN269" s="794">
        <f t="array" ref="AN269">INDEX(G269:R269,1,MATCH(Parametres!$B$3,G$1:R$1,0))*IF(OR(F269="L",F269="S",F269="I"),-1,1)</f>
        <v>3.44</v>
      </c>
      <c r="AO269" s="853" t="str">
        <f>+VLOOKUP($AJ269,Data_Validation!$A:$D,1,0)</f>
        <v>G0796</v>
      </c>
      <c r="AP269" s="853" t="str">
        <f>+VLOOKUP($AJ269,Data_Validation!$A:$D,3,0)</f>
        <v>Pièces</v>
      </c>
      <c r="AQ269" s="853" t="str">
        <f>+VLOOKUP($AJ269,Data_Validation!$A:$D,4,0)</f>
        <v>Divers</v>
      </c>
      <c r="AR269" s="853" t="s">
        <v>728</v>
      </c>
      <c r="AS269" s="853" t="str">
        <f>+VLOOKUP($AJ269,Data_Validation!$A:$E,5,0)</f>
        <v/>
      </c>
      <c r="AT269" s="794" t="str">
        <f t="shared" ref="AT269:AU269" si="536">C269</f>
        <v>G0796</v>
      </c>
      <c r="AU269" s="854" t="str">
        <f t="shared" si="536"/>
        <v>INTÉRETS MARGE DE CRÉDIT</v>
      </c>
      <c r="AV269" s="794">
        <f t="array" ref="AV269">IFERROR(INDEX(V269:AG269,1,MATCH(Parametres!$B$3,V$1:AG$1,0)-1)*IF(OR(C269="L",C269="S",C269="I"),-1,1),"")</f>
        <v>0</v>
      </c>
      <c r="AW269" s="794">
        <f t="shared" si="6"/>
        <v>0</v>
      </c>
      <c r="AX269" s="794">
        <f t="array" ref="AX269">INDEX(V269:AG269,1,MATCH(Parametres!$B$3,V$1:AG$1,0))*IF(OR(C269="L",C269="S",C269="I"),-1,1)</f>
        <v>0</v>
      </c>
      <c r="AY269" s="853" t="s">
        <v>772</v>
      </c>
      <c r="AZ269" s="853" t="str">
        <f>+VLOOKUP($AJ269,Data_Validation!$A:$E,5,0)</f>
        <v/>
      </c>
    </row>
    <row r="270" ht="15.0" customHeight="1">
      <c r="A270" s="849" t="s">
        <v>1239</v>
      </c>
      <c r="B270" s="849">
        <v>2026.0</v>
      </c>
      <c r="C270" s="849" t="s">
        <v>1762</v>
      </c>
      <c r="D270" s="849" t="s">
        <v>1763</v>
      </c>
      <c r="E270" s="849" t="s">
        <v>768</v>
      </c>
      <c r="F270" s="849" t="s">
        <v>1200</v>
      </c>
      <c r="G270" s="849">
        <v>0.0</v>
      </c>
      <c r="H270" s="849">
        <v>0.0</v>
      </c>
      <c r="I270" s="849">
        <v>0.0</v>
      </c>
      <c r="J270" s="849">
        <v>0.0</v>
      </c>
      <c r="K270" s="849">
        <v>0.0</v>
      </c>
      <c r="L270" s="849">
        <v>0.0</v>
      </c>
      <c r="M270" s="849">
        <v>0.0</v>
      </c>
      <c r="N270" s="849">
        <v>0.0</v>
      </c>
      <c r="O270" s="849">
        <v>0.0</v>
      </c>
      <c r="P270" s="849">
        <v>0.0</v>
      </c>
      <c r="Q270" s="849">
        <v>0.0</v>
      </c>
      <c r="R270" s="849">
        <v>0.0</v>
      </c>
      <c r="S270" s="849">
        <v>0.0</v>
      </c>
      <c r="T270" s="849">
        <v>0.0</v>
      </c>
      <c r="U270" s="849">
        <v>0.0</v>
      </c>
      <c r="V270" s="849">
        <v>0.0</v>
      </c>
      <c r="W270" s="849">
        <v>0.0</v>
      </c>
      <c r="X270" s="849">
        <v>0.0</v>
      </c>
      <c r="Y270" s="849">
        <v>0.0</v>
      </c>
      <c r="Z270" s="849">
        <v>0.0</v>
      </c>
      <c r="AA270" s="849">
        <v>0.0</v>
      </c>
      <c r="AB270" s="849">
        <v>0.0</v>
      </c>
      <c r="AC270" s="849">
        <v>0.0</v>
      </c>
      <c r="AD270" s="849">
        <v>0.0</v>
      </c>
      <c r="AE270" s="849">
        <v>0.0</v>
      </c>
      <c r="AF270" s="849">
        <v>0.0</v>
      </c>
      <c r="AG270" s="849">
        <v>0.0</v>
      </c>
      <c r="AH270" s="849">
        <v>0.0</v>
      </c>
      <c r="AI270" s="849">
        <v>0.0</v>
      </c>
      <c r="AJ270" s="794" t="str">
        <f t="shared" ref="AJ270:AK270" si="537">C270</f>
        <v>G0800</v>
      </c>
      <c r="AK270" s="794" t="str">
        <f t="shared" si="537"/>
        <v>LOCATION REP.</v>
      </c>
      <c r="AL270" s="794">
        <f t="array" ref="AL270">IFERROR(INDEX(G270:R270,1,MATCH(Parametres!$B$3,G$1:R$1,0)-1)*IF(OR(F270="L",F270="S",F270="I"),-1,1),"")</f>
        <v>0</v>
      </c>
      <c r="AM270" s="794">
        <f t="shared" si="4"/>
        <v>0</v>
      </c>
      <c r="AN270" s="794">
        <f t="array" ref="AN270">INDEX(G270:R270,1,MATCH(Parametres!$B$3,G$1:R$1,0))*IF(OR(F270="L",F270="S",F270="I"),-1,1)</f>
        <v>0</v>
      </c>
      <c r="AO270" s="853" t="str">
        <f>+VLOOKUP($AJ270,Data_Validation!$A:$D,1,0)</f>
        <v>#N/A</v>
      </c>
      <c r="AP270" s="853" t="str">
        <f>+VLOOKUP($AJ270,Data_Validation!$A:$D,3,0)</f>
        <v>#N/A</v>
      </c>
      <c r="AQ270" s="853" t="str">
        <f>+VLOOKUP($AJ270,Data_Validation!$A:$D,4,0)</f>
        <v>#N/A</v>
      </c>
      <c r="AR270" s="853" t="s">
        <v>728</v>
      </c>
      <c r="AS270" s="853" t="str">
        <f>+VLOOKUP($AJ270,Data_Validation!$A:$E,5,0)</f>
        <v>#N/A</v>
      </c>
      <c r="AT270" s="794" t="str">
        <f t="shared" ref="AT270:AU270" si="538">C270</f>
        <v>G0800</v>
      </c>
      <c r="AU270" s="854" t="str">
        <f t="shared" si="538"/>
        <v>LOCATION REP.</v>
      </c>
      <c r="AV270" s="794">
        <f t="array" ref="AV270">IFERROR(INDEX(V270:AG270,1,MATCH(Parametres!$B$3,V$1:AG$1,0)-1)*IF(OR(C270="L",C270="S",C270="I"),-1,1),"")</f>
        <v>0</v>
      </c>
      <c r="AW270" s="794">
        <f t="shared" si="6"/>
        <v>0</v>
      </c>
      <c r="AX270" s="794">
        <f t="array" ref="AX270">INDEX(V270:AG270,1,MATCH(Parametres!$B$3,V$1:AG$1,0))*IF(OR(C270="L",C270="S",C270="I"),-1,1)</f>
        <v>0</v>
      </c>
      <c r="AY270" s="853" t="s">
        <v>772</v>
      </c>
      <c r="AZ270" s="853" t="str">
        <f>+VLOOKUP($AJ270,Data_Validation!$A:$E,5,0)</f>
        <v>#N/A</v>
      </c>
    </row>
    <row r="271" ht="15.0" customHeight="1">
      <c r="A271" s="849" t="s">
        <v>1239</v>
      </c>
      <c r="B271" s="849">
        <v>2026.0</v>
      </c>
      <c r="C271" s="849" t="s">
        <v>1764</v>
      </c>
      <c r="D271" s="849" t="s">
        <v>1765</v>
      </c>
      <c r="E271" s="849" t="s">
        <v>768</v>
      </c>
      <c r="F271" s="849" t="s">
        <v>1200</v>
      </c>
      <c r="G271" s="849">
        <v>21000.0</v>
      </c>
      <c r="H271" s="849">
        <v>42315.0</v>
      </c>
      <c r="I271" s="849">
        <v>66527.38</v>
      </c>
      <c r="J271" s="849">
        <v>85260.44</v>
      </c>
      <c r="K271" s="849">
        <v>106575.44</v>
      </c>
      <c r="L271" s="849">
        <v>127890.44</v>
      </c>
      <c r="M271" s="849">
        <v>149205.44</v>
      </c>
      <c r="N271" s="849">
        <v>170520.44</v>
      </c>
      <c r="O271" s="849">
        <v>213150.44</v>
      </c>
      <c r="P271" s="849">
        <v>234465.44</v>
      </c>
      <c r="Q271" s="849">
        <v>0.0</v>
      </c>
      <c r="R271" s="849">
        <v>0.0</v>
      </c>
      <c r="S271" s="849">
        <v>23683.38</v>
      </c>
      <c r="T271" s="849">
        <v>23683.38</v>
      </c>
      <c r="U271" s="849">
        <v>0.0</v>
      </c>
      <c r="V271" s="849">
        <v>0.0</v>
      </c>
      <c r="W271" s="849">
        <v>0.0</v>
      </c>
      <c r="X271" s="849">
        <v>0.0</v>
      </c>
      <c r="Y271" s="849">
        <v>0.0</v>
      </c>
      <c r="Z271" s="849">
        <v>0.0</v>
      </c>
      <c r="AA271" s="849">
        <v>0.0</v>
      </c>
      <c r="AB271" s="849">
        <v>0.0</v>
      </c>
      <c r="AC271" s="849">
        <v>0.0</v>
      </c>
      <c r="AD271" s="849">
        <v>0.0</v>
      </c>
      <c r="AE271" s="849">
        <v>0.0</v>
      </c>
      <c r="AF271" s="849">
        <v>0.0</v>
      </c>
      <c r="AG271" s="849">
        <v>0.0</v>
      </c>
      <c r="AH271" s="849">
        <v>0.0</v>
      </c>
      <c r="AI271" s="849">
        <v>0.0</v>
      </c>
      <c r="AJ271" s="794" t="str">
        <f t="shared" ref="AJ271:AK271" si="539">C271</f>
        <v>G0801</v>
      </c>
      <c r="AK271" s="794" t="str">
        <f t="shared" si="539"/>
        <v>LOCATION-NEUFS</v>
      </c>
      <c r="AL271" s="794">
        <f t="array" ref="AL271">IFERROR(INDEX(G271:R271,1,MATCH(Parametres!$B$3,G$1:R$1,0)-1)*IF(OR(F271="L",F271="S",F271="I"),-1,1),"")</f>
        <v>170520.44</v>
      </c>
      <c r="AM271" s="794">
        <f t="shared" si="4"/>
        <v>42630</v>
      </c>
      <c r="AN271" s="794">
        <f t="array" ref="AN271">INDEX(G271:R271,1,MATCH(Parametres!$B$3,G$1:R$1,0))*IF(OR(F271="L",F271="S",F271="I"),-1,1)</f>
        <v>213150.44</v>
      </c>
      <c r="AO271" s="853" t="str">
        <f>+VLOOKUP($AJ271,Data_Validation!$A:$D,1,0)</f>
        <v>G0801</v>
      </c>
      <c r="AP271" s="853" t="str">
        <f>+VLOOKUP($AJ271,Data_Validation!$A:$D,3,0)</f>
        <v>Véhicules neufs</v>
      </c>
      <c r="AQ271" s="853" t="str">
        <f>+VLOOKUP($AJ271,Data_Validation!$A:$D,4,0)</f>
        <v>Loyer</v>
      </c>
      <c r="AR271" s="853" t="s">
        <v>728</v>
      </c>
      <c r="AS271" s="853" t="str">
        <f>+VLOOKUP($AJ271,Data_Validation!$A:$E,5,0)</f>
        <v/>
      </c>
      <c r="AT271" s="794" t="str">
        <f t="shared" ref="AT271:AU271" si="540">C271</f>
        <v>G0801</v>
      </c>
      <c r="AU271" s="854" t="str">
        <f t="shared" si="540"/>
        <v>LOCATION-NEUFS</v>
      </c>
      <c r="AV271" s="794">
        <f t="array" ref="AV271">IFERROR(INDEX(V271:AG271,1,MATCH(Parametres!$B$3,V$1:AG$1,0)-1)*IF(OR(C271="L",C271="S",C271="I"),-1,1),"")</f>
        <v>0</v>
      </c>
      <c r="AW271" s="794">
        <f t="shared" si="6"/>
        <v>0</v>
      </c>
      <c r="AX271" s="794">
        <f t="array" ref="AX271">INDEX(V271:AG271,1,MATCH(Parametres!$B$3,V$1:AG$1,0))*IF(OR(C271="L",C271="S",C271="I"),-1,1)</f>
        <v>0</v>
      </c>
      <c r="AY271" s="853" t="s">
        <v>772</v>
      </c>
      <c r="AZ271" s="853" t="str">
        <f>+VLOOKUP($AJ271,Data_Validation!$A:$E,5,0)</f>
        <v/>
      </c>
    </row>
    <row r="272" ht="15.75" customHeight="1">
      <c r="A272" s="849" t="s">
        <v>1239</v>
      </c>
      <c r="B272" s="849">
        <v>2026.0</v>
      </c>
      <c r="C272" s="849" t="s">
        <v>1766</v>
      </c>
      <c r="D272" s="849" t="s">
        <v>1767</v>
      </c>
      <c r="E272" s="849" t="s">
        <v>768</v>
      </c>
      <c r="F272" s="849" t="s">
        <v>1200</v>
      </c>
      <c r="G272" s="849">
        <v>14000.0</v>
      </c>
      <c r="H272" s="849">
        <v>28210.0</v>
      </c>
      <c r="I272" s="849">
        <v>44351.58</v>
      </c>
      <c r="J272" s="849">
        <v>56840.3</v>
      </c>
      <c r="K272" s="849">
        <v>71050.3</v>
      </c>
      <c r="L272" s="849">
        <v>85260.3</v>
      </c>
      <c r="M272" s="849">
        <v>99470.3</v>
      </c>
      <c r="N272" s="849">
        <v>113680.3</v>
      </c>
      <c r="O272" s="849">
        <v>142100.3</v>
      </c>
      <c r="P272" s="849">
        <v>156310.3</v>
      </c>
      <c r="Q272" s="849">
        <v>0.0</v>
      </c>
      <c r="R272" s="849">
        <v>0.0</v>
      </c>
      <c r="S272" s="849">
        <v>15788.92</v>
      </c>
      <c r="T272" s="849">
        <v>15788.92</v>
      </c>
      <c r="U272" s="849">
        <v>0.0</v>
      </c>
      <c r="V272" s="849">
        <v>0.0</v>
      </c>
      <c r="W272" s="849">
        <v>0.0</v>
      </c>
      <c r="X272" s="849">
        <v>0.0</v>
      </c>
      <c r="Y272" s="849">
        <v>0.0</v>
      </c>
      <c r="Z272" s="849">
        <v>0.0</v>
      </c>
      <c r="AA272" s="849">
        <v>0.0</v>
      </c>
      <c r="AB272" s="849">
        <v>0.0</v>
      </c>
      <c r="AC272" s="849">
        <v>0.0</v>
      </c>
      <c r="AD272" s="849">
        <v>0.0</v>
      </c>
      <c r="AE272" s="849">
        <v>0.0</v>
      </c>
      <c r="AF272" s="849">
        <v>0.0</v>
      </c>
      <c r="AG272" s="849">
        <v>0.0</v>
      </c>
      <c r="AH272" s="849">
        <v>0.0</v>
      </c>
      <c r="AI272" s="849">
        <v>0.0</v>
      </c>
      <c r="AJ272" s="794" t="str">
        <f t="shared" ref="AJ272:AK272" si="541">C272</f>
        <v>G0802</v>
      </c>
      <c r="AK272" s="794" t="str">
        <f t="shared" si="541"/>
        <v>LOCATION-USAGES</v>
      </c>
      <c r="AL272" s="794">
        <f t="array" ref="AL272">IFERROR(INDEX(G272:R272,1,MATCH(Parametres!$B$3,G$1:R$1,0)-1)*IF(OR(F272="L",F272="S",F272="I"),-1,1),"")</f>
        <v>113680.3</v>
      </c>
      <c r="AM272" s="794">
        <f t="shared" si="4"/>
        <v>28420</v>
      </c>
      <c r="AN272" s="794">
        <f t="array" ref="AN272">INDEX(G272:R272,1,MATCH(Parametres!$B$3,G$1:R$1,0))*IF(OR(F272="L",F272="S",F272="I"),-1,1)</f>
        <v>142100.3</v>
      </c>
      <c r="AO272" s="853" t="str">
        <f>+VLOOKUP($AJ272,Data_Validation!$A:$D,1,0)</f>
        <v>G0802</v>
      </c>
      <c r="AP272" s="853" t="str">
        <f>+VLOOKUP($AJ272,Data_Validation!$A:$D,3,0)</f>
        <v>Véhicules usagés</v>
      </c>
      <c r="AQ272" s="853" t="str">
        <f>+VLOOKUP($AJ272,Data_Validation!$A:$D,4,0)</f>
        <v>Loyer</v>
      </c>
      <c r="AR272" s="853" t="s">
        <v>728</v>
      </c>
      <c r="AS272" s="853" t="str">
        <f>+VLOOKUP($AJ272,Data_Validation!$A:$E,5,0)</f>
        <v/>
      </c>
      <c r="AT272" s="794" t="str">
        <f t="shared" ref="AT272:AU272" si="542">C272</f>
        <v>G0802</v>
      </c>
      <c r="AU272" s="854" t="str">
        <f t="shared" si="542"/>
        <v>LOCATION-USAGES</v>
      </c>
      <c r="AV272" s="794">
        <f t="array" ref="AV272">IFERROR(INDEX(V272:AG272,1,MATCH(Parametres!$B$3,V$1:AG$1,0)-1)*IF(OR(C272="L",C272="S",C272="I"),-1,1),"")</f>
        <v>0</v>
      </c>
      <c r="AW272" s="794">
        <f t="shared" si="6"/>
        <v>0</v>
      </c>
      <c r="AX272" s="794">
        <f t="array" ref="AX272">INDEX(V272:AG272,1,MATCH(Parametres!$B$3,V$1:AG$1,0))*IF(OR(C272="L",C272="S",C272="I"),-1,1)</f>
        <v>0</v>
      </c>
      <c r="AY272" s="853" t="s">
        <v>772</v>
      </c>
      <c r="AZ272" s="853" t="str">
        <f>+VLOOKUP($AJ272,Data_Validation!$A:$E,5,0)</f>
        <v/>
      </c>
    </row>
    <row r="273" ht="15.0" customHeight="1">
      <c r="A273" s="849" t="s">
        <v>1239</v>
      </c>
      <c r="B273" s="849">
        <v>2026.0</v>
      </c>
      <c r="C273" s="849" t="s">
        <v>1768</v>
      </c>
      <c r="D273" s="849" t="s">
        <v>1769</v>
      </c>
      <c r="E273" s="849" t="s">
        <v>768</v>
      </c>
      <c r="F273" s="849" t="s">
        <v>1200</v>
      </c>
      <c r="G273" s="849">
        <v>0.0</v>
      </c>
      <c r="H273" s="849">
        <v>0.0</v>
      </c>
      <c r="I273" s="849">
        <v>0.0</v>
      </c>
      <c r="J273" s="849">
        <v>0.0</v>
      </c>
      <c r="K273" s="849">
        <v>0.0</v>
      </c>
      <c r="L273" s="849">
        <v>0.0</v>
      </c>
      <c r="M273" s="849">
        <v>0.0</v>
      </c>
      <c r="N273" s="849">
        <v>0.0</v>
      </c>
      <c r="O273" s="849">
        <v>0.0</v>
      </c>
      <c r="P273" s="849">
        <v>0.0</v>
      </c>
      <c r="Q273" s="849">
        <v>0.0</v>
      </c>
      <c r="R273" s="849">
        <v>0.0</v>
      </c>
      <c r="S273" s="849">
        <v>0.0</v>
      </c>
      <c r="T273" s="849">
        <v>0.0</v>
      </c>
      <c r="U273" s="849">
        <v>0.0</v>
      </c>
      <c r="V273" s="849">
        <v>0.0</v>
      </c>
      <c r="W273" s="849">
        <v>0.0</v>
      </c>
      <c r="X273" s="849">
        <v>0.0</v>
      </c>
      <c r="Y273" s="849">
        <v>0.0</v>
      </c>
      <c r="Z273" s="849">
        <v>0.0</v>
      </c>
      <c r="AA273" s="849">
        <v>0.0</v>
      </c>
      <c r="AB273" s="849">
        <v>0.0</v>
      </c>
      <c r="AC273" s="849">
        <v>0.0</v>
      </c>
      <c r="AD273" s="849">
        <v>0.0</v>
      </c>
      <c r="AE273" s="849">
        <v>0.0</v>
      </c>
      <c r="AF273" s="849">
        <v>0.0</v>
      </c>
      <c r="AG273" s="849">
        <v>0.0</v>
      </c>
      <c r="AH273" s="849">
        <v>0.0</v>
      </c>
      <c r="AI273" s="849">
        <v>0.0</v>
      </c>
      <c r="AJ273" s="794" t="str">
        <f t="shared" ref="AJ273:AK273" si="543">C273</f>
        <v>G0803</v>
      </c>
      <c r="AK273" s="794" t="str">
        <f t="shared" si="543"/>
        <v>LOCATION U.S.A.</v>
      </c>
      <c r="AL273" s="794">
        <f t="array" ref="AL273">IFERROR(INDEX(G273:R273,1,MATCH(Parametres!$B$3,G$1:R$1,0)-1)*IF(OR(F273="L",F273="S",F273="I"),-1,1),"")</f>
        <v>0</v>
      </c>
      <c r="AM273" s="794">
        <f t="shared" si="4"/>
        <v>0</v>
      </c>
      <c r="AN273" s="794">
        <f t="array" ref="AN273">INDEX(G273:R273,1,MATCH(Parametres!$B$3,G$1:R$1,0))*IF(OR(F273="L",F273="S",F273="I"),-1,1)</f>
        <v>0</v>
      </c>
      <c r="AO273" s="853" t="str">
        <f>+VLOOKUP($AJ273,Data_Validation!$A:$D,1,0)</f>
        <v>G0803</v>
      </c>
      <c r="AP273" s="853" t="str">
        <f>+VLOOKUP($AJ273,Data_Validation!$A:$D,3,0)</f>
        <v>Wholesale autres</v>
      </c>
      <c r="AQ273" s="853" t="str">
        <f>+VLOOKUP($AJ273,Data_Validation!$A:$D,4,0)</f>
        <v>Loyer</v>
      </c>
      <c r="AR273" s="853" t="s">
        <v>728</v>
      </c>
      <c r="AS273" s="853" t="str">
        <f>+VLOOKUP($AJ273,Data_Validation!$A:$E,5,0)</f>
        <v/>
      </c>
      <c r="AT273" s="794" t="str">
        <f t="shared" ref="AT273:AU273" si="544">C273</f>
        <v>G0803</v>
      </c>
      <c r="AU273" s="854" t="str">
        <f t="shared" si="544"/>
        <v>LOCATION U.S.A.</v>
      </c>
      <c r="AV273" s="794">
        <f t="array" ref="AV273">IFERROR(INDEX(V273:AG273,1,MATCH(Parametres!$B$3,V$1:AG$1,0)-1)*IF(OR(C273="L",C273="S",C273="I"),-1,1),"")</f>
        <v>0</v>
      </c>
      <c r="AW273" s="794">
        <f t="shared" si="6"/>
        <v>0</v>
      </c>
      <c r="AX273" s="794">
        <f t="array" ref="AX273">INDEX(V273:AG273,1,MATCH(Parametres!$B$3,V$1:AG$1,0))*IF(OR(C273="L",C273="S",C273="I"),-1,1)</f>
        <v>0</v>
      </c>
      <c r="AY273" s="853" t="s">
        <v>772</v>
      </c>
      <c r="AZ273" s="853" t="str">
        <f>+VLOOKUP($AJ273,Data_Validation!$A:$E,5,0)</f>
        <v/>
      </c>
    </row>
    <row r="274" ht="15.0" customHeight="1">
      <c r="A274" s="849" t="s">
        <v>1239</v>
      </c>
      <c r="B274" s="849">
        <v>2026.0</v>
      </c>
      <c r="C274" s="849" t="s">
        <v>1770</v>
      </c>
      <c r="D274" s="849" t="s">
        <v>1771</v>
      </c>
      <c r="E274" s="849" t="s">
        <v>768</v>
      </c>
      <c r="F274" s="849" t="s">
        <v>1200</v>
      </c>
      <c r="G274" s="849">
        <v>21000.0</v>
      </c>
      <c r="H274" s="849">
        <v>42315.0</v>
      </c>
      <c r="I274" s="849">
        <v>66527.38</v>
      </c>
      <c r="J274" s="849">
        <v>85260.44</v>
      </c>
      <c r="K274" s="849">
        <v>106575.44</v>
      </c>
      <c r="L274" s="849">
        <v>127890.44</v>
      </c>
      <c r="M274" s="849">
        <v>149205.44</v>
      </c>
      <c r="N274" s="849">
        <v>170520.44</v>
      </c>
      <c r="O274" s="849">
        <v>213150.44</v>
      </c>
      <c r="P274" s="849">
        <v>234465.44</v>
      </c>
      <c r="Q274" s="849">
        <v>0.0</v>
      </c>
      <c r="R274" s="849">
        <v>0.0</v>
      </c>
      <c r="S274" s="849">
        <v>23683.38</v>
      </c>
      <c r="T274" s="849">
        <v>23683.38</v>
      </c>
      <c r="U274" s="849">
        <v>0.0</v>
      </c>
      <c r="V274" s="849">
        <v>0.0</v>
      </c>
      <c r="W274" s="849">
        <v>0.0</v>
      </c>
      <c r="X274" s="849">
        <v>0.0</v>
      </c>
      <c r="Y274" s="849">
        <v>0.0</v>
      </c>
      <c r="Z274" s="849">
        <v>0.0</v>
      </c>
      <c r="AA274" s="849">
        <v>0.0</v>
      </c>
      <c r="AB274" s="849">
        <v>0.0</v>
      </c>
      <c r="AC274" s="849">
        <v>0.0</v>
      </c>
      <c r="AD274" s="849">
        <v>0.0</v>
      </c>
      <c r="AE274" s="849">
        <v>0.0</v>
      </c>
      <c r="AF274" s="849">
        <v>0.0</v>
      </c>
      <c r="AG274" s="849">
        <v>0.0</v>
      </c>
      <c r="AH274" s="849">
        <v>0.0</v>
      </c>
      <c r="AI274" s="849">
        <v>0.0</v>
      </c>
      <c r="AJ274" s="794" t="str">
        <f t="shared" ref="AJ274:AK274" si="545">C274</f>
        <v>G0804</v>
      </c>
      <c r="AK274" s="794" t="str">
        <f t="shared" si="545"/>
        <v>LOCATION-SERVICE</v>
      </c>
      <c r="AL274" s="794">
        <f t="array" ref="AL274">IFERROR(INDEX(G274:R274,1,MATCH(Parametres!$B$3,G$1:R$1,0)-1)*IF(OR(F274="L",F274="S",F274="I"),-1,1),"")</f>
        <v>170520.44</v>
      </c>
      <c r="AM274" s="794">
        <f t="shared" si="4"/>
        <v>42630</v>
      </c>
      <c r="AN274" s="794">
        <f t="array" ref="AN274">INDEX(G274:R274,1,MATCH(Parametres!$B$3,G$1:R$1,0))*IF(OR(F274="L",F274="S",F274="I"),-1,1)</f>
        <v>213150.44</v>
      </c>
      <c r="AO274" s="853" t="str">
        <f>+VLOOKUP($AJ274,Data_Validation!$A:$D,1,0)</f>
        <v>G0804</v>
      </c>
      <c r="AP274" s="853" t="str">
        <f>+VLOOKUP($AJ274,Data_Validation!$A:$D,3,0)</f>
        <v>Service</v>
      </c>
      <c r="AQ274" s="853" t="str">
        <f>+VLOOKUP($AJ274,Data_Validation!$A:$D,4,0)</f>
        <v>Loyer</v>
      </c>
      <c r="AR274" s="853" t="s">
        <v>728</v>
      </c>
      <c r="AS274" s="853" t="str">
        <f>+VLOOKUP($AJ274,Data_Validation!$A:$E,5,0)</f>
        <v/>
      </c>
      <c r="AT274" s="794" t="str">
        <f t="shared" ref="AT274:AU274" si="546">C274</f>
        <v>G0804</v>
      </c>
      <c r="AU274" s="854" t="str">
        <f t="shared" si="546"/>
        <v>LOCATION-SERVICE</v>
      </c>
      <c r="AV274" s="794">
        <f t="array" ref="AV274">IFERROR(INDEX(V274:AG274,1,MATCH(Parametres!$B$3,V$1:AG$1,0)-1)*IF(OR(C274="L",C274="S",C274="I"),-1,1),"")</f>
        <v>0</v>
      </c>
      <c r="AW274" s="794">
        <f t="shared" si="6"/>
        <v>0</v>
      </c>
      <c r="AX274" s="794">
        <f t="array" ref="AX274">INDEX(V274:AG274,1,MATCH(Parametres!$B$3,V$1:AG$1,0))*IF(OR(C274="L",C274="S",C274="I"),-1,1)</f>
        <v>0</v>
      </c>
      <c r="AY274" s="853" t="s">
        <v>772</v>
      </c>
      <c r="AZ274" s="853" t="str">
        <f>+VLOOKUP($AJ274,Data_Validation!$A:$E,5,0)</f>
        <v/>
      </c>
    </row>
    <row r="275" ht="15.0" customHeight="1">
      <c r="A275" s="849" t="s">
        <v>1239</v>
      </c>
      <c r="B275" s="849">
        <v>2026.0</v>
      </c>
      <c r="C275" s="849" t="s">
        <v>1772</v>
      </c>
      <c r="D275" s="849" t="s">
        <v>1773</v>
      </c>
      <c r="E275" s="849" t="s">
        <v>768</v>
      </c>
      <c r="F275" s="849" t="s">
        <v>1200</v>
      </c>
      <c r="G275" s="849">
        <v>7000.0</v>
      </c>
      <c r="H275" s="849">
        <v>14105.0</v>
      </c>
      <c r="I275" s="849">
        <v>22175.79</v>
      </c>
      <c r="J275" s="849">
        <v>28420.15</v>
      </c>
      <c r="K275" s="849">
        <v>35525.15</v>
      </c>
      <c r="L275" s="849">
        <v>42630.15</v>
      </c>
      <c r="M275" s="849">
        <v>49735.15</v>
      </c>
      <c r="N275" s="849">
        <v>56840.15</v>
      </c>
      <c r="O275" s="849">
        <v>71050.15</v>
      </c>
      <c r="P275" s="849">
        <v>78155.15</v>
      </c>
      <c r="Q275" s="849">
        <v>0.0</v>
      </c>
      <c r="R275" s="849">
        <v>0.0</v>
      </c>
      <c r="S275" s="849">
        <v>7894.46</v>
      </c>
      <c r="T275" s="849">
        <v>7894.46</v>
      </c>
      <c r="U275" s="849">
        <v>0.0</v>
      </c>
      <c r="V275" s="849">
        <v>0.0</v>
      </c>
      <c r="W275" s="849">
        <v>0.0</v>
      </c>
      <c r="X275" s="849">
        <v>0.0</v>
      </c>
      <c r="Y275" s="849">
        <v>0.0</v>
      </c>
      <c r="Z275" s="849">
        <v>0.0</v>
      </c>
      <c r="AA275" s="849">
        <v>0.0</v>
      </c>
      <c r="AB275" s="849">
        <v>0.0</v>
      </c>
      <c r="AC275" s="849">
        <v>0.0</v>
      </c>
      <c r="AD275" s="849">
        <v>0.0</v>
      </c>
      <c r="AE275" s="849">
        <v>0.0</v>
      </c>
      <c r="AF275" s="849">
        <v>0.0</v>
      </c>
      <c r="AG275" s="849">
        <v>0.0</v>
      </c>
      <c r="AH275" s="849">
        <v>0.0</v>
      </c>
      <c r="AI275" s="849">
        <v>0.0</v>
      </c>
      <c r="AJ275" s="794" t="str">
        <f t="shared" ref="AJ275:AK275" si="547">C275</f>
        <v>G0805</v>
      </c>
      <c r="AK275" s="794" t="str">
        <f t="shared" si="547"/>
        <v>LOCATION-CARROSSERIE</v>
      </c>
      <c r="AL275" s="794">
        <f t="array" ref="AL275">IFERROR(INDEX(G275:R275,1,MATCH(Parametres!$B$3,G$1:R$1,0)-1)*IF(OR(F275="L",F275="S",F275="I"),-1,1),"")</f>
        <v>56840.15</v>
      </c>
      <c r="AM275" s="794">
        <f t="shared" si="4"/>
        <v>14210</v>
      </c>
      <c r="AN275" s="794">
        <f t="array" ref="AN275">INDEX(G275:R275,1,MATCH(Parametres!$B$3,G$1:R$1,0))*IF(OR(F275="L",F275="S",F275="I"),-1,1)</f>
        <v>71050.15</v>
      </c>
      <c r="AO275" s="853" t="str">
        <f>+VLOOKUP($AJ275,Data_Validation!$A:$D,1,0)</f>
        <v>G0805</v>
      </c>
      <c r="AP275" s="853" t="str">
        <f>+VLOOKUP($AJ275,Data_Validation!$A:$D,3,0)</f>
        <v>Carrosserie</v>
      </c>
      <c r="AQ275" s="853" t="str">
        <f>+VLOOKUP($AJ275,Data_Validation!$A:$D,4,0)</f>
        <v>Loyer</v>
      </c>
      <c r="AR275" s="853" t="s">
        <v>728</v>
      </c>
      <c r="AS275" s="853" t="str">
        <f>+VLOOKUP($AJ275,Data_Validation!$A:$E,5,0)</f>
        <v/>
      </c>
      <c r="AT275" s="794" t="str">
        <f t="shared" ref="AT275:AU275" si="548">C275</f>
        <v>G0805</v>
      </c>
      <c r="AU275" s="854" t="str">
        <f t="shared" si="548"/>
        <v>LOCATION-CARROSSERIE</v>
      </c>
      <c r="AV275" s="794">
        <f t="array" ref="AV275">IFERROR(INDEX(V275:AG275,1,MATCH(Parametres!$B$3,V$1:AG$1,0)-1)*IF(OR(C275="L",C275="S",C275="I"),-1,1),"")</f>
        <v>0</v>
      </c>
      <c r="AW275" s="794">
        <f t="shared" si="6"/>
        <v>0</v>
      </c>
      <c r="AX275" s="794">
        <f t="array" ref="AX275">INDEX(V275:AG275,1,MATCH(Parametres!$B$3,V$1:AG$1,0))*IF(OR(C275="L",C275="S",C275="I"),-1,1)</f>
        <v>0</v>
      </c>
      <c r="AY275" s="853" t="s">
        <v>772</v>
      </c>
      <c r="AZ275" s="853" t="str">
        <f>+VLOOKUP($AJ275,Data_Validation!$A:$E,5,0)</f>
        <v/>
      </c>
    </row>
    <row r="276" ht="15.0" customHeight="1">
      <c r="A276" s="849" t="s">
        <v>1239</v>
      </c>
      <c r="B276" s="849">
        <v>2026.0</v>
      </c>
      <c r="C276" s="849" t="s">
        <v>1774</v>
      </c>
      <c r="D276" s="849" t="s">
        <v>1775</v>
      </c>
      <c r="E276" s="849" t="s">
        <v>768</v>
      </c>
      <c r="F276" s="849" t="s">
        <v>1200</v>
      </c>
      <c r="G276" s="849">
        <v>7000.0</v>
      </c>
      <c r="H276" s="849">
        <v>14105.0</v>
      </c>
      <c r="I276" s="849">
        <v>22175.79</v>
      </c>
      <c r="J276" s="849">
        <v>28420.15</v>
      </c>
      <c r="K276" s="849">
        <v>35525.15</v>
      </c>
      <c r="L276" s="849">
        <v>42630.15</v>
      </c>
      <c r="M276" s="849">
        <v>49735.15</v>
      </c>
      <c r="N276" s="849">
        <v>56840.15</v>
      </c>
      <c r="O276" s="849">
        <v>71050.15</v>
      </c>
      <c r="P276" s="849">
        <v>78155.15</v>
      </c>
      <c r="Q276" s="849">
        <v>0.0</v>
      </c>
      <c r="R276" s="849">
        <v>0.0</v>
      </c>
      <c r="S276" s="849">
        <v>7894.46</v>
      </c>
      <c r="T276" s="849">
        <v>7894.46</v>
      </c>
      <c r="U276" s="849">
        <v>0.0</v>
      </c>
      <c r="V276" s="849">
        <v>0.0</v>
      </c>
      <c r="W276" s="849">
        <v>0.0</v>
      </c>
      <c r="X276" s="849">
        <v>0.0</v>
      </c>
      <c r="Y276" s="849">
        <v>0.0</v>
      </c>
      <c r="Z276" s="849">
        <v>0.0</v>
      </c>
      <c r="AA276" s="849">
        <v>0.0</v>
      </c>
      <c r="AB276" s="849">
        <v>0.0</v>
      </c>
      <c r="AC276" s="849">
        <v>0.0</v>
      </c>
      <c r="AD276" s="849">
        <v>0.0</v>
      </c>
      <c r="AE276" s="849">
        <v>0.0</v>
      </c>
      <c r="AF276" s="849">
        <v>0.0</v>
      </c>
      <c r="AG276" s="849">
        <v>0.0</v>
      </c>
      <c r="AH276" s="849">
        <v>0.0</v>
      </c>
      <c r="AI276" s="849">
        <v>0.0</v>
      </c>
      <c r="AJ276" s="794" t="str">
        <f t="shared" ref="AJ276:AK276" si="549">C276</f>
        <v>G0806</v>
      </c>
      <c r="AK276" s="794" t="str">
        <f t="shared" si="549"/>
        <v>LOCATION-PIECES</v>
      </c>
      <c r="AL276" s="794">
        <f t="array" ref="AL276">IFERROR(INDEX(G276:R276,1,MATCH(Parametres!$B$3,G$1:R$1,0)-1)*IF(OR(F276="L",F276="S",F276="I"),-1,1),"")</f>
        <v>56840.15</v>
      </c>
      <c r="AM276" s="794">
        <f t="shared" si="4"/>
        <v>14210</v>
      </c>
      <c r="AN276" s="794">
        <f t="array" ref="AN276">INDEX(G276:R276,1,MATCH(Parametres!$B$3,G$1:R$1,0))*IF(OR(F276="L",F276="S",F276="I"),-1,1)</f>
        <v>71050.15</v>
      </c>
      <c r="AO276" s="853" t="str">
        <f>+VLOOKUP($AJ276,Data_Validation!$A:$D,1,0)</f>
        <v>G0806</v>
      </c>
      <c r="AP276" s="853" t="str">
        <f>+VLOOKUP($AJ276,Data_Validation!$A:$D,3,0)</f>
        <v>Pièces</v>
      </c>
      <c r="AQ276" s="853" t="str">
        <f>+VLOOKUP($AJ276,Data_Validation!$A:$D,4,0)</f>
        <v>Loyer</v>
      </c>
      <c r="AR276" s="853" t="s">
        <v>728</v>
      </c>
      <c r="AS276" s="853" t="str">
        <f>+VLOOKUP($AJ276,Data_Validation!$A:$E,5,0)</f>
        <v/>
      </c>
      <c r="AT276" s="794" t="str">
        <f t="shared" ref="AT276:AU276" si="550">C276</f>
        <v>G0806</v>
      </c>
      <c r="AU276" s="854" t="str">
        <f t="shared" si="550"/>
        <v>LOCATION-PIECES</v>
      </c>
      <c r="AV276" s="794">
        <f t="array" ref="AV276">IFERROR(INDEX(V276:AG276,1,MATCH(Parametres!$B$3,V$1:AG$1,0)-1)*IF(OR(C276="L",C276="S",C276="I"),-1,1),"")</f>
        <v>0</v>
      </c>
      <c r="AW276" s="794">
        <f t="shared" si="6"/>
        <v>0</v>
      </c>
      <c r="AX276" s="794">
        <f t="array" ref="AX276">INDEX(V276:AG276,1,MATCH(Parametres!$B$3,V$1:AG$1,0))*IF(OR(C276="L",C276="S",C276="I"),-1,1)</f>
        <v>0</v>
      </c>
      <c r="AY276" s="853" t="s">
        <v>772</v>
      </c>
      <c r="AZ276" s="853" t="str">
        <f>+VLOOKUP($AJ276,Data_Validation!$A:$E,5,0)</f>
        <v/>
      </c>
    </row>
    <row r="277" ht="15.0" customHeight="1">
      <c r="A277" s="849" t="s">
        <v>1239</v>
      </c>
      <c r="B277" s="849">
        <v>2026.0</v>
      </c>
      <c r="C277" s="849" t="s">
        <v>1776</v>
      </c>
      <c r="D277" s="849" t="s">
        <v>1777</v>
      </c>
      <c r="E277" s="849" t="s">
        <v>768</v>
      </c>
      <c r="F277" s="849" t="s">
        <v>1200</v>
      </c>
      <c r="G277" s="849">
        <v>0.0</v>
      </c>
      <c r="H277" s="849">
        <v>0.0</v>
      </c>
      <c r="I277" s="849">
        <v>0.0</v>
      </c>
      <c r="J277" s="849">
        <v>0.0</v>
      </c>
      <c r="K277" s="849">
        <v>0.0</v>
      </c>
      <c r="L277" s="849">
        <v>0.0</v>
      </c>
      <c r="M277" s="849">
        <v>0.0</v>
      </c>
      <c r="N277" s="849">
        <v>0.0</v>
      </c>
      <c r="O277" s="849">
        <v>0.0</v>
      </c>
      <c r="P277" s="849">
        <v>0.0</v>
      </c>
      <c r="Q277" s="849">
        <v>0.0</v>
      </c>
      <c r="R277" s="849">
        <v>0.0</v>
      </c>
      <c r="S277" s="849">
        <v>0.0</v>
      </c>
      <c r="T277" s="849">
        <v>0.0</v>
      </c>
      <c r="U277" s="849">
        <v>0.0</v>
      </c>
      <c r="V277" s="849">
        <v>0.0</v>
      </c>
      <c r="W277" s="849">
        <v>0.0</v>
      </c>
      <c r="X277" s="849">
        <v>0.0</v>
      </c>
      <c r="Y277" s="849">
        <v>0.0</v>
      </c>
      <c r="Z277" s="849">
        <v>0.0</v>
      </c>
      <c r="AA277" s="849">
        <v>0.0</v>
      </c>
      <c r="AB277" s="849">
        <v>0.0</v>
      </c>
      <c r="AC277" s="849">
        <v>0.0</v>
      </c>
      <c r="AD277" s="849">
        <v>0.0</v>
      </c>
      <c r="AE277" s="849">
        <v>0.0</v>
      </c>
      <c r="AF277" s="849">
        <v>0.0</v>
      </c>
      <c r="AG277" s="849">
        <v>0.0</v>
      </c>
      <c r="AH277" s="849">
        <v>0.0</v>
      </c>
      <c r="AI277" s="849">
        <v>0.0</v>
      </c>
      <c r="AJ277" s="794" t="str">
        <f t="shared" ref="AJ277:AK277" si="551">C277</f>
        <v>G0810</v>
      </c>
      <c r="AK277" s="794" t="str">
        <f t="shared" si="551"/>
        <v>LOYER TERRAIN</v>
      </c>
      <c r="AL277" s="794">
        <f t="array" ref="AL277">IFERROR(INDEX(G277:R277,1,MATCH(Parametres!$B$3,G$1:R$1,0)-1)*IF(OR(F277="L",F277="S",F277="I"),-1,1),"")</f>
        <v>0</v>
      </c>
      <c r="AM277" s="794">
        <f t="shared" si="4"/>
        <v>0</v>
      </c>
      <c r="AN277" s="794">
        <f t="array" ref="AN277">INDEX(G277:R277,1,MATCH(Parametres!$B$3,G$1:R$1,0))*IF(OR(F277="L",F277="S",F277="I"),-1,1)</f>
        <v>0</v>
      </c>
      <c r="AO277" s="853" t="str">
        <f>+VLOOKUP($AJ277,Data_Validation!$A:$D,1,0)</f>
        <v>#N/A</v>
      </c>
      <c r="AP277" s="853" t="str">
        <f>+VLOOKUP($AJ277,Data_Validation!$A:$D,3,0)</f>
        <v>#N/A</v>
      </c>
      <c r="AQ277" s="853" t="str">
        <f>+VLOOKUP($AJ277,Data_Validation!$A:$D,4,0)</f>
        <v>#N/A</v>
      </c>
      <c r="AR277" s="853" t="s">
        <v>728</v>
      </c>
      <c r="AS277" s="853" t="str">
        <f>+VLOOKUP($AJ277,Data_Validation!$A:$E,5,0)</f>
        <v>#N/A</v>
      </c>
      <c r="AT277" s="794" t="str">
        <f t="shared" ref="AT277:AU277" si="552">C277</f>
        <v>G0810</v>
      </c>
      <c r="AU277" s="854" t="str">
        <f t="shared" si="552"/>
        <v>LOYER TERRAIN</v>
      </c>
      <c r="AV277" s="794">
        <f t="array" ref="AV277">IFERROR(INDEX(V277:AG277,1,MATCH(Parametres!$B$3,V$1:AG$1,0)-1)*IF(OR(C277="L",C277="S",C277="I"),-1,1),"")</f>
        <v>0</v>
      </c>
      <c r="AW277" s="794">
        <f t="shared" si="6"/>
        <v>0</v>
      </c>
      <c r="AX277" s="794">
        <f t="array" ref="AX277">INDEX(V277:AG277,1,MATCH(Parametres!$B$3,V$1:AG$1,0))*IF(OR(C277="L",C277="S",C277="I"),-1,1)</f>
        <v>0</v>
      </c>
      <c r="AY277" s="853" t="s">
        <v>772</v>
      </c>
      <c r="AZ277" s="853" t="str">
        <f>+VLOOKUP($AJ277,Data_Validation!$A:$E,5,0)</f>
        <v>#N/A</v>
      </c>
    </row>
    <row r="278" ht="15.0" customHeight="1">
      <c r="A278" s="849" t="s">
        <v>1239</v>
      </c>
      <c r="B278" s="849">
        <v>2026.0</v>
      </c>
      <c r="C278" s="849" t="s">
        <v>1778</v>
      </c>
      <c r="D278" s="849" t="s">
        <v>1779</v>
      </c>
      <c r="E278" s="849" t="s">
        <v>768</v>
      </c>
      <c r="F278" s="849" t="s">
        <v>1200</v>
      </c>
      <c r="G278" s="849">
        <v>3244.12</v>
      </c>
      <c r="H278" s="849">
        <v>6488.24</v>
      </c>
      <c r="I278" s="849">
        <v>7559.34</v>
      </c>
      <c r="J278" s="849">
        <v>13186.87</v>
      </c>
      <c r="K278" s="849">
        <v>16232.47</v>
      </c>
      <c r="L278" s="849">
        <v>16171.87</v>
      </c>
      <c r="M278" s="849">
        <v>16171.87</v>
      </c>
      <c r="N278" s="849">
        <v>16233.07</v>
      </c>
      <c r="O278" s="849">
        <v>16233.07</v>
      </c>
      <c r="P278" s="849">
        <v>16233.07</v>
      </c>
      <c r="Q278" s="849">
        <v>0.0</v>
      </c>
      <c r="R278" s="849">
        <v>0.0</v>
      </c>
      <c r="S278" s="849">
        <v>1803.67</v>
      </c>
      <c r="T278" s="849">
        <v>1803.67</v>
      </c>
      <c r="U278" s="849">
        <v>0.0</v>
      </c>
      <c r="V278" s="849">
        <v>0.0</v>
      </c>
      <c r="W278" s="849">
        <v>0.0</v>
      </c>
      <c r="X278" s="849">
        <v>0.0</v>
      </c>
      <c r="Y278" s="849">
        <v>0.0</v>
      </c>
      <c r="Z278" s="849">
        <v>0.0</v>
      </c>
      <c r="AA278" s="849">
        <v>0.0</v>
      </c>
      <c r="AB278" s="849">
        <v>0.0</v>
      </c>
      <c r="AC278" s="849">
        <v>0.0</v>
      </c>
      <c r="AD278" s="849">
        <v>0.0</v>
      </c>
      <c r="AE278" s="849">
        <v>0.0</v>
      </c>
      <c r="AF278" s="849">
        <v>0.0</v>
      </c>
      <c r="AG278" s="849">
        <v>0.0</v>
      </c>
      <c r="AH278" s="849">
        <v>0.0</v>
      </c>
      <c r="AI278" s="849">
        <v>0.0</v>
      </c>
      <c r="AJ278" s="794" t="str">
        <f t="shared" ref="AJ278:AK278" si="553">C278</f>
        <v>G0811</v>
      </c>
      <c r="AK278" s="794" t="str">
        <f t="shared" si="553"/>
        <v>LOYER TERRAIN-NEUF</v>
      </c>
      <c r="AL278" s="794">
        <f t="array" ref="AL278">IFERROR(INDEX(G278:R278,1,MATCH(Parametres!$B$3,G$1:R$1,0)-1)*IF(OR(F278="L",F278="S",F278="I"),-1,1),"")</f>
        <v>16233.07</v>
      </c>
      <c r="AM278" s="794">
        <f t="shared" si="4"/>
        <v>0</v>
      </c>
      <c r="AN278" s="794">
        <f t="array" ref="AN278">INDEX(G278:R278,1,MATCH(Parametres!$B$3,G$1:R$1,0))*IF(OR(F278="L",F278="S",F278="I"),-1,1)</f>
        <v>16233.07</v>
      </c>
      <c r="AO278" s="853" t="str">
        <f>+VLOOKUP($AJ278,Data_Validation!$A:$D,1,0)</f>
        <v>G0811</v>
      </c>
      <c r="AP278" s="853" t="str">
        <f>+VLOOKUP($AJ278,Data_Validation!$A:$D,3,0)</f>
        <v>Véhicules neufs</v>
      </c>
      <c r="AQ278" s="853" t="str">
        <f>+VLOOKUP($AJ278,Data_Validation!$A:$D,4,0)</f>
        <v>Loyer</v>
      </c>
      <c r="AR278" s="853" t="s">
        <v>728</v>
      </c>
      <c r="AS278" s="853" t="str">
        <f>+VLOOKUP($AJ278,Data_Validation!$A:$E,5,0)</f>
        <v/>
      </c>
      <c r="AT278" s="794" t="str">
        <f t="shared" ref="AT278:AU278" si="554">C278</f>
        <v>G0811</v>
      </c>
      <c r="AU278" s="854" t="str">
        <f t="shared" si="554"/>
        <v>LOYER TERRAIN-NEUF</v>
      </c>
      <c r="AV278" s="794">
        <f t="array" ref="AV278">IFERROR(INDEX(V278:AG278,1,MATCH(Parametres!$B$3,V$1:AG$1,0)-1)*IF(OR(C278="L",C278="S",C278="I"),-1,1),"")</f>
        <v>0</v>
      </c>
      <c r="AW278" s="794">
        <f t="shared" si="6"/>
        <v>0</v>
      </c>
      <c r="AX278" s="794">
        <f t="array" ref="AX278">INDEX(V278:AG278,1,MATCH(Parametres!$B$3,V$1:AG$1,0))*IF(OR(C278="L",C278="S",C278="I"),-1,1)</f>
        <v>0</v>
      </c>
      <c r="AY278" s="853" t="s">
        <v>772</v>
      </c>
      <c r="AZ278" s="853" t="str">
        <f>+VLOOKUP($AJ278,Data_Validation!$A:$E,5,0)</f>
        <v/>
      </c>
    </row>
    <row r="279" ht="15.75" customHeight="1">
      <c r="A279" s="849" t="s">
        <v>1239</v>
      </c>
      <c r="B279" s="849">
        <v>2026.0</v>
      </c>
      <c r="C279" s="849" t="s">
        <v>1780</v>
      </c>
      <c r="D279" s="849" t="s">
        <v>1781</v>
      </c>
      <c r="E279" s="849" t="s">
        <v>768</v>
      </c>
      <c r="F279" s="849" t="s">
        <v>1200</v>
      </c>
      <c r="G279" s="849">
        <v>2162.75</v>
      </c>
      <c r="H279" s="849">
        <v>4325.5</v>
      </c>
      <c r="I279" s="849">
        <v>5039.55</v>
      </c>
      <c r="J279" s="849">
        <v>8791.24</v>
      </c>
      <c r="K279" s="849">
        <v>10821.64</v>
      </c>
      <c r="L279" s="849">
        <v>10781.24</v>
      </c>
      <c r="M279" s="849">
        <v>10781.24</v>
      </c>
      <c r="N279" s="849">
        <v>10822.04</v>
      </c>
      <c r="O279" s="849">
        <v>10822.04</v>
      </c>
      <c r="P279" s="849">
        <v>10822.04</v>
      </c>
      <c r="Q279" s="849">
        <v>0.0</v>
      </c>
      <c r="R279" s="849">
        <v>0.0</v>
      </c>
      <c r="S279" s="849">
        <v>1202.45</v>
      </c>
      <c r="T279" s="849">
        <v>1202.45</v>
      </c>
      <c r="U279" s="849">
        <v>0.0</v>
      </c>
      <c r="V279" s="849">
        <v>0.0</v>
      </c>
      <c r="W279" s="849">
        <v>0.0</v>
      </c>
      <c r="X279" s="849">
        <v>0.0</v>
      </c>
      <c r="Y279" s="849">
        <v>0.0</v>
      </c>
      <c r="Z279" s="849">
        <v>0.0</v>
      </c>
      <c r="AA279" s="849">
        <v>0.0</v>
      </c>
      <c r="AB279" s="849">
        <v>0.0</v>
      </c>
      <c r="AC279" s="849">
        <v>0.0</v>
      </c>
      <c r="AD279" s="849">
        <v>0.0</v>
      </c>
      <c r="AE279" s="849">
        <v>0.0</v>
      </c>
      <c r="AF279" s="849">
        <v>0.0</v>
      </c>
      <c r="AG279" s="849">
        <v>0.0</v>
      </c>
      <c r="AH279" s="849">
        <v>0.0</v>
      </c>
      <c r="AI279" s="849">
        <v>0.0</v>
      </c>
      <c r="AJ279" s="794" t="str">
        <f t="shared" ref="AJ279:AK279" si="555">C279</f>
        <v>G0812</v>
      </c>
      <c r="AK279" s="794" t="str">
        <f t="shared" si="555"/>
        <v>LOYER TERRAIN-USAGES</v>
      </c>
      <c r="AL279" s="794">
        <f t="array" ref="AL279">IFERROR(INDEX(G279:R279,1,MATCH(Parametres!$B$3,G$1:R$1,0)-1)*IF(OR(F279="L",F279="S",F279="I"),-1,1),"")</f>
        <v>10822.04</v>
      </c>
      <c r="AM279" s="794">
        <f t="shared" si="4"/>
        <v>0</v>
      </c>
      <c r="AN279" s="794">
        <f t="array" ref="AN279">INDEX(G279:R279,1,MATCH(Parametres!$B$3,G$1:R$1,0))*IF(OR(F279="L",F279="S",F279="I"),-1,1)</f>
        <v>10822.04</v>
      </c>
      <c r="AO279" s="853" t="str">
        <f>+VLOOKUP($AJ279,Data_Validation!$A:$D,1,0)</f>
        <v>G0812</v>
      </c>
      <c r="AP279" s="853" t="str">
        <f>+VLOOKUP($AJ279,Data_Validation!$A:$D,3,0)</f>
        <v>Véhicules usagés</v>
      </c>
      <c r="AQ279" s="853" t="str">
        <f>+VLOOKUP($AJ279,Data_Validation!$A:$D,4,0)</f>
        <v>Loyer</v>
      </c>
      <c r="AR279" s="853" t="s">
        <v>728</v>
      </c>
      <c r="AS279" s="853" t="str">
        <f>+VLOOKUP($AJ279,Data_Validation!$A:$E,5,0)</f>
        <v/>
      </c>
      <c r="AT279" s="794" t="str">
        <f t="shared" ref="AT279:AU279" si="556">C279</f>
        <v>G0812</v>
      </c>
      <c r="AU279" s="854" t="str">
        <f t="shared" si="556"/>
        <v>LOYER TERRAIN-USAGES</v>
      </c>
      <c r="AV279" s="794">
        <f t="array" ref="AV279">IFERROR(INDEX(V279:AG279,1,MATCH(Parametres!$B$3,V$1:AG$1,0)-1)*IF(OR(C279="L",C279="S",C279="I"),-1,1),"")</f>
        <v>0</v>
      </c>
      <c r="AW279" s="794">
        <f t="shared" si="6"/>
        <v>0</v>
      </c>
      <c r="AX279" s="794">
        <f t="array" ref="AX279">INDEX(V279:AG279,1,MATCH(Parametres!$B$3,V$1:AG$1,0))*IF(OR(C279="L",C279="S",C279="I"),-1,1)</f>
        <v>0</v>
      </c>
      <c r="AY279" s="853" t="s">
        <v>772</v>
      </c>
      <c r="AZ279" s="853" t="str">
        <f>+VLOOKUP($AJ279,Data_Validation!$A:$E,5,0)</f>
        <v/>
      </c>
    </row>
    <row r="280" ht="15.0" customHeight="1">
      <c r="A280" s="849" t="s">
        <v>1239</v>
      </c>
      <c r="B280" s="849">
        <v>2026.0</v>
      </c>
      <c r="C280" s="849" t="s">
        <v>1782</v>
      </c>
      <c r="D280" s="849" t="s">
        <v>1783</v>
      </c>
      <c r="E280" s="849" t="s">
        <v>768</v>
      </c>
      <c r="F280" s="849" t="s">
        <v>1200</v>
      </c>
      <c r="G280" s="849">
        <v>0.0</v>
      </c>
      <c r="H280" s="849">
        <v>0.0</v>
      </c>
      <c r="I280" s="849">
        <v>0.0</v>
      </c>
      <c r="J280" s="849">
        <v>0.0</v>
      </c>
      <c r="K280" s="849">
        <v>0.0</v>
      </c>
      <c r="L280" s="849">
        <v>0.0</v>
      </c>
      <c r="M280" s="849">
        <v>0.0</v>
      </c>
      <c r="N280" s="849">
        <v>0.0</v>
      </c>
      <c r="O280" s="849">
        <v>0.0</v>
      </c>
      <c r="P280" s="849">
        <v>0.0</v>
      </c>
      <c r="Q280" s="849">
        <v>0.0</v>
      </c>
      <c r="R280" s="849">
        <v>0.0</v>
      </c>
      <c r="S280" s="849">
        <v>0.0</v>
      </c>
      <c r="T280" s="849">
        <v>0.0</v>
      </c>
      <c r="U280" s="849">
        <v>0.0</v>
      </c>
      <c r="V280" s="849">
        <v>0.0</v>
      </c>
      <c r="W280" s="849">
        <v>0.0</v>
      </c>
      <c r="X280" s="849">
        <v>0.0</v>
      </c>
      <c r="Y280" s="849">
        <v>0.0</v>
      </c>
      <c r="Z280" s="849">
        <v>0.0</v>
      </c>
      <c r="AA280" s="849">
        <v>0.0</v>
      </c>
      <c r="AB280" s="849">
        <v>0.0</v>
      </c>
      <c r="AC280" s="849">
        <v>0.0</v>
      </c>
      <c r="AD280" s="849">
        <v>0.0</v>
      </c>
      <c r="AE280" s="849">
        <v>0.0</v>
      </c>
      <c r="AF280" s="849">
        <v>0.0</v>
      </c>
      <c r="AG280" s="849">
        <v>0.0</v>
      </c>
      <c r="AH280" s="849">
        <v>0.0</v>
      </c>
      <c r="AI280" s="849">
        <v>0.0</v>
      </c>
      <c r="AJ280" s="794" t="str">
        <f t="shared" ref="AJ280:AK280" si="557">C280</f>
        <v>G0813</v>
      </c>
      <c r="AK280" s="794" t="str">
        <f t="shared" si="557"/>
        <v>LOYER TERRAIN-U.S.A</v>
      </c>
      <c r="AL280" s="794">
        <f t="array" ref="AL280">IFERROR(INDEX(G280:R280,1,MATCH(Parametres!$B$3,G$1:R$1,0)-1)*IF(OR(F280="L",F280="S",F280="I"),-1,1),"")</f>
        <v>0</v>
      </c>
      <c r="AM280" s="794">
        <f t="shared" si="4"/>
        <v>0</v>
      </c>
      <c r="AN280" s="794">
        <f t="array" ref="AN280">INDEX(G280:R280,1,MATCH(Parametres!$B$3,G$1:R$1,0))*IF(OR(F280="L",F280="S",F280="I"),-1,1)</f>
        <v>0</v>
      </c>
      <c r="AO280" s="853" t="str">
        <f>+VLOOKUP($AJ280,Data_Validation!$A:$D,1,0)</f>
        <v>G0813</v>
      </c>
      <c r="AP280" s="853" t="str">
        <f>+VLOOKUP($AJ280,Data_Validation!$A:$D,3,0)</f>
        <v>Wholesale autres</v>
      </c>
      <c r="AQ280" s="853" t="str">
        <f>+VLOOKUP($AJ280,Data_Validation!$A:$D,4,0)</f>
        <v>Loyer</v>
      </c>
      <c r="AR280" s="853" t="s">
        <v>728</v>
      </c>
      <c r="AS280" s="853" t="str">
        <f>+VLOOKUP($AJ280,Data_Validation!$A:$E,5,0)</f>
        <v/>
      </c>
      <c r="AT280" s="794" t="str">
        <f t="shared" ref="AT280:AU280" si="558">C280</f>
        <v>G0813</v>
      </c>
      <c r="AU280" s="854" t="str">
        <f t="shared" si="558"/>
        <v>LOYER TERRAIN-U.S.A</v>
      </c>
      <c r="AV280" s="794">
        <f t="array" ref="AV280">IFERROR(INDEX(V280:AG280,1,MATCH(Parametres!$B$3,V$1:AG$1,0)-1)*IF(OR(C280="L",C280="S",C280="I"),-1,1),"")</f>
        <v>0</v>
      </c>
      <c r="AW280" s="794">
        <f t="shared" si="6"/>
        <v>0</v>
      </c>
      <c r="AX280" s="794">
        <f t="array" ref="AX280">INDEX(V280:AG280,1,MATCH(Parametres!$B$3,V$1:AG$1,0))*IF(OR(C280="L",C280="S",C280="I"),-1,1)</f>
        <v>0</v>
      </c>
      <c r="AY280" s="853" t="s">
        <v>772</v>
      </c>
      <c r="AZ280" s="853" t="str">
        <f>+VLOOKUP($AJ280,Data_Validation!$A:$E,5,0)</f>
        <v/>
      </c>
    </row>
    <row r="281" ht="15.0" customHeight="1">
      <c r="A281" s="849" t="s">
        <v>1239</v>
      </c>
      <c r="B281" s="849">
        <v>2026.0</v>
      </c>
      <c r="C281" s="849" t="s">
        <v>1784</v>
      </c>
      <c r="D281" s="849" t="s">
        <v>1785</v>
      </c>
      <c r="E281" s="849" t="s">
        <v>768</v>
      </c>
      <c r="F281" s="849" t="s">
        <v>1200</v>
      </c>
      <c r="G281" s="849">
        <v>3244.12</v>
      </c>
      <c r="H281" s="849">
        <v>6488.24</v>
      </c>
      <c r="I281" s="849">
        <v>7559.34</v>
      </c>
      <c r="J281" s="849">
        <v>13186.87</v>
      </c>
      <c r="K281" s="849">
        <v>16232.47</v>
      </c>
      <c r="L281" s="849">
        <v>16171.87</v>
      </c>
      <c r="M281" s="849">
        <v>16171.87</v>
      </c>
      <c r="N281" s="849">
        <v>16233.07</v>
      </c>
      <c r="O281" s="849">
        <v>16233.07</v>
      </c>
      <c r="P281" s="849">
        <v>16233.07</v>
      </c>
      <c r="Q281" s="849">
        <v>0.0</v>
      </c>
      <c r="R281" s="849">
        <v>0.0</v>
      </c>
      <c r="S281" s="849">
        <v>1803.67</v>
      </c>
      <c r="T281" s="849">
        <v>1803.67</v>
      </c>
      <c r="U281" s="849">
        <v>0.0</v>
      </c>
      <c r="V281" s="849">
        <v>0.0</v>
      </c>
      <c r="W281" s="849">
        <v>0.0</v>
      </c>
      <c r="X281" s="849">
        <v>0.0</v>
      </c>
      <c r="Y281" s="849">
        <v>0.0</v>
      </c>
      <c r="Z281" s="849">
        <v>0.0</v>
      </c>
      <c r="AA281" s="849">
        <v>0.0</v>
      </c>
      <c r="AB281" s="849">
        <v>0.0</v>
      </c>
      <c r="AC281" s="849">
        <v>0.0</v>
      </c>
      <c r="AD281" s="849">
        <v>0.0</v>
      </c>
      <c r="AE281" s="849">
        <v>0.0</v>
      </c>
      <c r="AF281" s="849">
        <v>0.0</v>
      </c>
      <c r="AG281" s="849">
        <v>0.0</v>
      </c>
      <c r="AH281" s="849">
        <v>0.0</v>
      </c>
      <c r="AI281" s="849">
        <v>0.0</v>
      </c>
      <c r="AJ281" s="794" t="str">
        <f t="shared" ref="AJ281:AK281" si="559">C281</f>
        <v>G0814</v>
      </c>
      <c r="AK281" s="794" t="str">
        <f t="shared" si="559"/>
        <v>LOYER TERRAIN-SERVICE</v>
      </c>
      <c r="AL281" s="794">
        <f t="array" ref="AL281">IFERROR(INDEX(G281:R281,1,MATCH(Parametres!$B$3,G$1:R$1,0)-1)*IF(OR(F281="L",F281="S",F281="I"),-1,1),"")</f>
        <v>16233.07</v>
      </c>
      <c r="AM281" s="794">
        <f t="shared" si="4"/>
        <v>0</v>
      </c>
      <c r="AN281" s="794">
        <f t="array" ref="AN281">INDEX(G281:R281,1,MATCH(Parametres!$B$3,G$1:R$1,0))*IF(OR(F281="L",F281="S",F281="I"),-1,1)</f>
        <v>16233.07</v>
      </c>
      <c r="AO281" s="853" t="str">
        <f>+VLOOKUP($AJ281,Data_Validation!$A:$D,1,0)</f>
        <v>G0814</v>
      </c>
      <c r="AP281" s="853" t="str">
        <f>+VLOOKUP($AJ281,Data_Validation!$A:$D,3,0)</f>
        <v>Service</v>
      </c>
      <c r="AQ281" s="853" t="str">
        <f>+VLOOKUP($AJ281,Data_Validation!$A:$D,4,0)</f>
        <v>Loyer</v>
      </c>
      <c r="AR281" s="853" t="s">
        <v>728</v>
      </c>
      <c r="AS281" s="853" t="str">
        <f>+VLOOKUP($AJ281,Data_Validation!$A:$E,5,0)</f>
        <v/>
      </c>
      <c r="AT281" s="794" t="str">
        <f t="shared" ref="AT281:AU281" si="560">C281</f>
        <v>G0814</v>
      </c>
      <c r="AU281" s="854" t="str">
        <f t="shared" si="560"/>
        <v>LOYER TERRAIN-SERVICE</v>
      </c>
      <c r="AV281" s="794">
        <f t="array" ref="AV281">IFERROR(INDEX(V281:AG281,1,MATCH(Parametres!$B$3,V$1:AG$1,0)-1)*IF(OR(C281="L",C281="S",C281="I"),-1,1),"")</f>
        <v>0</v>
      </c>
      <c r="AW281" s="794">
        <f t="shared" si="6"/>
        <v>0</v>
      </c>
      <c r="AX281" s="794">
        <f t="array" ref="AX281">INDEX(V281:AG281,1,MATCH(Parametres!$B$3,V$1:AG$1,0))*IF(OR(C281="L",C281="S",C281="I"),-1,1)</f>
        <v>0</v>
      </c>
      <c r="AY281" s="853" t="s">
        <v>772</v>
      </c>
      <c r="AZ281" s="853" t="str">
        <f>+VLOOKUP($AJ281,Data_Validation!$A:$E,5,0)</f>
        <v/>
      </c>
    </row>
    <row r="282" ht="15.0" customHeight="1">
      <c r="A282" s="849" t="s">
        <v>1239</v>
      </c>
      <c r="B282" s="849">
        <v>2026.0</v>
      </c>
      <c r="C282" s="849" t="s">
        <v>1786</v>
      </c>
      <c r="D282" s="849" t="s">
        <v>1787</v>
      </c>
      <c r="E282" s="849" t="s">
        <v>768</v>
      </c>
      <c r="F282" s="849" t="s">
        <v>1200</v>
      </c>
      <c r="G282" s="849">
        <v>1081.37</v>
      </c>
      <c r="H282" s="849">
        <v>2162.74</v>
      </c>
      <c r="I282" s="849">
        <v>2519.76</v>
      </c>
      <c r="J282" s="849">
        <v>4395.6</v>
      </c>
      <c r="K282" s="849">
        <v>5410.8</v>
      </c>
      <c r="L282" s="849">
        <v>5390.6</v>
      </c>
      <c r="M282" s="849">
        <v>5390.6</v>
      </c>
      <c r="N282" s="849">
        <v>5411.0</v>
      </c>
      <c r="O282" s="849">
        <v>5411.0</v>
      </c>
      <c r="P282" s="849">
        <v>5411.0</v>
      </c>
      <c r="Q282" s="849">
        <v>0.0</v>
      </c>
      <c r="R282" s="849">
        <v>0.0</v>
      </c>
      <c r="S282" s="849">
        <v>601.22</v>
      </c>
      <c r="T282" s="849">
        <v>601.22</v>
      </c>
      <c r="U282" s="849">
        <v>0.0</v>
      </c>
      <c r="V282" s="849">
        <v>0.0</v>
      </c>
      <c r="W282" s="849">
        <v>0.0</v>
      </c>
      <c r="X282" s="849">
        <v>0.0</v>
      </c>
      <c r="Y282" s="849">
        <v>0.0</v>
      </c>
      <c r="Z282" s="849">
        <v>0.0</v>
      </c>
      <c r="AA282" s="849">
        <v>0.0</v>
      </c>
      <c r="AB282" s="849">
        <v>0.0</v>
      </c>
      <c r="AC282" s="849">
        <v>0.0</v>
      </c>
      <c r="AD282" s="849">
        <v>0.0</v>
      </c>
      <c r="AE282" s="849">
        <v>0.0</v>
      </c>
      <c r="AF282" s="849">
        <v>0.0</v>
      </c>
      <c r="AG282" s="849">
        <v>0.0</v>
      </c>
      <c r="AH282" s="849">
        <v>0.0</v>
      </c>
      <c r="AI282" s="849">
        <v>0.0</v>
      </c>
      <c r="AJ282" s="794" t="str">
        <f t="shared" ref="AJ282:AK282" si="561">C282</f>
        <v>G0815</v>
      </c>
      <c r="AK282" s="794" t="str">
        <f t="shared" si="561"/>
        <v>LOYER TERRAIN-CARROSSERIE</v>
      </c>
      <c r="AL282" s="794">
        <f t="array" ref="AL282">IFERROR(INDEX(G282:R282,1,MATCH(Parametres!$B$3,G$1:R$1,0)-1)*IF(OR(F282="L",F282="S",F282="I"),-1,1),"")</f>
        <v>5411</v>
      </c>
      <c r="AM282" s="794">
        <f t="shared" si="4"/>
        <v>0</v>
      </c>
      <c r="AN282" s="794">
        <f t="array" ref="AN282">INDEX(G282:R282,1,MATCH(Parametres!$B$3,G$1:R$1,0))*IF(OR(F282="L",F282="S",F282="I"),-1,1)</f>
        <v>5411</v>
      </c>
      <c r="AO282" s="853" t="str">
        <f>+VLOOKUP($AJ282,Data_Validation!$A:$D,1,0)</f>
        <v>G0815</v>
      </c>
      <c r="AP282" s="853" t="str">
        <f>+VLOOKUP($AJ282,Data_Validation!$A:$D,3,0)</f>
        <v>Carrosserie</v>
      </c>
      <c r="AQ282" s="853" t="str">
        <f>+VLOOKUP($AJ282,Data_Validation!$A:$D,4,0)</f>
        <v>Loyer</v>
      </c>
      <c r="AR282" s="853" t="s">
        <v>728</v>
      </c>
      <c r="AS282" s="853" t="str">
        <f>+VLOOKUP($AJ282,Data_Validation!$A:$E,5,0)</f>
        <v/>
      </c>
      <c r="AT282" s="794" t="str">
        <f t="shared" ref="AT282:AU282" si="562">C282</f>
        <v>G0815</v>
      </c>
      <c r="AU282" s="854" t="str">
        <f t="shared" si="562"/>
        <v>LOYER TERRAIN-CARROSSERIE</v>
      </c>
      <c r="AV282" s="794">
        <f t="array" ref="AV282">IFERROR(INDEX(V282:AG282,1,MATCH(Parametres!$B$3,V$1:AG$1,0)-1)*IF(OR(C282="L",C282="S",C282="I"),-1,1),"")</f>
        <v>0</v>
      </c>
      <c r="AW282" s="794">
        <f t="shared" si="6"/>
        <v>0</v>
      </c>
      <c r="AX282" s="794">
        <f t="array" ref="AX282">INDEX(V282:AG282,1,MATCH(Parametres!$B$3,V$1:AG$1,0))*IF(OR(C282="L",C282="S",C282="I"),-1,1)</f>
        <v>0</v>
      </c>
      <c r="AY282" s="853" t="s">
        <v>772</v>
      </c>
      <c r="AZ282" s="853" t="str">
        <f>+VLOOKUP($AJ282,Data_Validation!$A:$E,5,0)</f>
        <v/>
      </c>
    </row>
    <row r="283" ht="15.75" customHeight="1">
      <c r="A283" s="849" t="s">
        <v>1239</v>
      </c>
      <c r="B283" s="849">
        <v>2026.0</v>
      </c>
      <c r="C283" s="849" t="s">
        <v>1788</v>
      </c>
      <c r="D283" s="849" t="s">
        <v>1789</v>
      </c>
      <c r="E283" s="849" t="s">
        <v>768</v>
      </c>
      <c r="F283" s="849" t="s">
        <v>1200</v>
      </c>
      <c r="G283" s="849">
        <v>1081.37</v>
      </c>
      <c r="H283" s="849">
        <v>2162.74</v>
      </c>
      <c r="I283" s="849">
        <v>2519.76</v>
      </c>
      <c r="J283" s="849">
        <v>4395.61</v>
      </c>
      <c r="K283" s="849">
        <v>5410.81</v>
      </c>
      <c r="L283" s="849">
        <v>5390.61</v>
      </c>
      <c r="M283" s="849">
        <v>5390.61</v>
      </c>
      <c r="N283" s="849">
        <v>5411.01</v>
      </c>
      <c r="O283" s="849">
        <v>5411.01</v>
      </c>
      <c r="P283" s="849">
        <v>5411.01</v>
      </c>
      <c r="Q283" s="849">
        <v>0.0</v>
      </c>
      <c r="R283" s="849">
        <v>0.0</v>
      </c>
      <c r="S283" s="849">
        <v>601.22</v>
      </c>
      <c r="T283" s="849">
        <v>601.22</v>
      </c>
      <c r="U283" s="849">
        <v>0.0</v>
      </c>
      <c r="V283" s="849">
        <v>0.0</v>
      </c>
      <c r="W283" s="849">
        <v>0.0</v>
      </c>
      <c r="X283" s="849">
        <v>0.0</v>
      </c>
      <c r="Y283" s="849">
        <v>0.0</v>
      </c>
      <c r="Z283" s="849">
        <v>0.0</v>
      </c>
      <c r="AA283" s="849">
        <v>0.0</v>
      </c>
      <c r="AB283" s="849">
        <v>0.0</v>
      </c>
      <c r="AC283" s="849">
        <v>0.0</v>
      </c>
      <c r="AD283" s="849">
        <v>0.0</v>
      </c>
      <c r="AE283" s="849">
        <v>0.0</v>
      </c>
      <c r="AF283" s="849">
        <v>0.0</v>
      </c>
      <c r="AG283" s="849">
        <v>0.0</v>
      </c>
      <c r="AH283" s="849">
        <v>0.0</v>
      </c>
      <c r="AI283" s="849">
        <v>0.0</v>
      </c>
      <c r="AJ283" s="794" t="str">
        <f t="shared" ref="AJ283:AK283" si="563">C283</f>
        <v>G0816</v>
      </c>
      <c r="AK283" s="794" t="str">
        <f t="shared" si="563"/>
        <v>LOYER TERRAIN- PIECES</v>
      </c>
      <c r="AL283" s="794">
        <f t="array" ref="AL283">IFERROR(INDEX(G283:R283,1,MATCH(Parametres!$B$3,G$1:R$1,0)-1)*IF(OR(F283="L",F283="S",F283="I"),-1,1),"")</f>
        <v>5411.01</v>
      </c>
      <c r="AM283" s="794">
        <f t="shared" si="4"/>
        <v>0</v>
      </c>
      <c r="AN283" s="794">
        <f t="array" ref="AN283">INDEX(G283:R283,1,MATCH(Parametres!$B$3,G$1:R$1,0))*IF(OR(F283="L",F283="S",F283="I"),-1,1)</f>
        <v>5411.01</v>
      </c>
      <c r="AO283" s="853" t="str">
        <f>+VLOOKUP($AJ283,Data_Validation!$A:$D,1,0)</f>
        <v>G0816</v>
      </c>
      <c r="AP283" s="853" t="str">
        <f>+VLOOKUP($AJ283,Data_Validation!$A:$D,3,0)</f>
        <v>Pièces</v>
      </c>
      <c r="AQ283" s="853" t="str">
        <f>+VLOOKUP($AJ283,Data_Validation!$A:$D,4,0)</f>
        <v>Loyer</v>
      </c>
      <c r="AR283" s="853" t="s">
        <v>728</v>
      </c>
      <c r="AS283" s="853" t="str">
        <f>+VLOOKUP($AJ283,Data_Validation!$A:$E,5,0)</f>
        <v/>
      </c>
      <c r="AT283" s="794" t="str">
        <f t="shared" ref="AT283:AU283" si="564">C283</f>
        <v>G0816</v>
      </c>
      <c r="AU283" s="854" t="str">
        <f t="shared" si="564"/>
        <v>LOYER TERRAIN- PIECES</v>
      </c>
      <c r="AV283" s="794">
        <f t="array" ref="AV283">IFERROR(INDEX(V283:AG283,1,MATCH(Parametres!$B$3,V$1:AG$1,0)-1)*IF(OR(C283="L",C283="S",C283="I"),-1,1),"")</f>
        <v>0</v>
      </c>
      <c r="AW283" s="794">
        <f t="shared" si="6"/>
        <v>0</v>
      </c>
      <c r="AX283" s="794">
        <f t="array" ref="AX283">INDEX(V283:AG283,1,MATCH(Parametres!$B$3,V$1:AG$1,0))*IF(OR(C283="L",C283="S",C283="I"),-1,1)</f>
        <v>0</v>
      </c>
      <c r="AY283" s="853" t="s">
        <v>772</v>
      </c>
      <c r="AZ283" s="853" t="str">
        <f>+VLOOKUP($AJ283,Data_Validation!$A:$E,5,0)</f>
        <v/>
      </c>
    </row>
    <row r="284" ht="15.0" customHeight="1">
      <c r="A284" s="849" t="s">
        <v>1239</v>
      </c>
      <c r="B284" s="849">
        <v>2026.0</v>
      </c>
      <c r="C284" s="849" t="s">
        <v>1790</v>
      </c>
      <c r="D284" s="849" t="s">
        <v>1791</v>
      </c>
      <c r="E284" s="849" t="s">
        <v>768</v>
      </c>
      <c r="F284" s="849" t="s">
        <v>1200</v>
      </c>
      <c r="G284" s="849">
        <v>0.0</v>
      </c>
      <c r="H284" s="849">
        <v>0.0</v>
      </c>
      <c r="I284" s="849">
        <v>0.0</v>
      </c>
      <c r="J284" s="849">
        <v>0.0</v>
      </c>
      <c r="K284" s="849">
        <v>0.0</v>
      </c>
      <c r="L284" s="849">
        <v>0.0</v>
      </c>
      <c r="M284" s="849">
        <v>0.0</v>
      </c>
      <c r="N284" s="849">
        <v>0.0</v>
      </c>
      <c r="O284" s="849">
        <v>0.0</v>
      </c>
      <c r="P284" s="849">
        <v>0.0</v>
      </c>
      <c r="Q284" s="849">
        <v>0.0</v>
      </c>
      <c r="R284" s="849">
        <v>0.0</v>
      </c>
      <c r="S284" s="849">
        <v>0.0</v>
      </c>
      <c r="T284" s="849">
        <v>0.0</v>
      </c>
      <c r="U284" s="849">
        <v>0.0</v>
      </c>
      <c r="V284" s="849">
        <v>0.0</v>
      </c>
      <c r="W284" s="849">
        <v>0.0</v>
      </c>
      <c r="X284" s="849">
        <v>0.0</v>
      </c>
      <c r="Y284" s="849">
        <v>0.0</v>
      </c>
      <c r="Z284" s="849">
        <v>0.0</v>
      </c>
      <c r="AA284" s="849">
        <v>0.0</v>
      </c>
      <c r="AB284" s="849">
        <v>0.0</v>
      </c>
      <c r="AC284" s="849">
        <v>0.0</v>
      </c>
      <c r="AD284" s="849">
        <v>0.0</v>
      </c>
      <c r="AE284" s="849">
        <v>0.0</v>
      </c>
      <c r="AF284" s="849">
        <v>0.0</v>
      </c>
      <c r="AG284" s="849">
        <v>0.0</v>
      </c>
      <c r="AH284" s="849">
        <v>0.0</v>
      </c>
      <c r="AI284" s="849">
        <v>0.0</v>
      </c>
      <c r="AJ284" s="794" t="str">
        <f t="shared" ref="AJ284:AK284" si="565">C284</f>
        <v>G0820</v>
      </c>
      <c r="AK284" s="794" t="str">
        <f t="shared" si="565"/>
        <v>ENT BATIMENT REP.</v>
      </c>
      <c r="AL284" s="794">
        <f t="array" ref="AL284">IFERROR(INDEX(G284:R284,1,MATCH(Parametres!$B$3,G$1:R$1,0)-1)*IF(OR(F284="L",F284="S",F284="I"),-1,1),"")</f>
        <v>0</v>
      </c>
      <c r="AM284" s="794">
        <f t="shared" si="4"/>
        <v>0</v>
      </c>
      <c r="AN284" s="794">
        <f t="array" ref="AN284">INDEX(G284:R284,1,MATCH(Parametres!$B$3,G$1:R$1,0))*IF(OR(F284="L",F284="S",F284="I"),-1,1)</f>
        <v>0</v>
      </c>
      <c r="AO284" s="853" t="str">
        <f>+VLOOKUP($AJ284,Data_Validation!$A:$D,1,0)</f>
        <v>#N/A</v>
      </c>
      <c r="AP284" s="853" t="str">
        <f>+VLOOKUP($AJ284,Data_Validation!$A:$D,3,0)</f>
        <v>#N/A</v>
      </c>
      <c r="AQ284" s="853" t="str">
        <f>+VLOOKUP($AJ284,Data_Validation!$A:$D,4,0)</f>
        <v>#N/A</v>
      </c>
      <c r="AR284" s="853" t="s">
        <v>728</v>
      </c>
      <c r="AS284" s="853" t="str">
        <f>+VLOOKUP($AJ284,Data_Validation!$A:$E,5,0)</f>
        <v>#N/A</v>
      </c>
      <c r="AT284" s="794" t="str">
        <f t="shared" ref="AT284:AU284" si="566">C284</f>
        <v>G0820</v>
      </c>
      <c r="AU284" s="854" t="str">
        <f t="shared" si="566"/>
        <v>ENT BATIMENT REP.</v>
      </c>
      <c r="AV284" s="794">
        <f t="array" ref="AV284">IFERROR(INDEX(V284:AG284,1,MATCH(Parametres!$B$3,V$1:AG$1,0)-1)*IF(OR(C284="L",C284="S",C284="I"),-1,1),"")</f>
        <v>0</v>
      </c>
      <c r="AW284" s="794">
        <f t="shared" si="6"/>
        <v>0</v>
      </c>
      <c r="AX284" s="794">
        <f t="array" ref="AX284">INDEX(V284:AG284,1,MATCH(Parametres!$B$3,V$1:AG$1,0))*IF(OR(C284="L",C284="S",C284="I"),-1,1)</f>
        <v>0</v>
      </c>
      <c r="AY284" s="853" t="s">
        <v>772</v>
      </c>
      <c r="AZ284" s="853" t="str">
        <f>+VLOOKUP($AJ284,Data_Validation!$A:$E,5,0)</f>
        <v>#N/A</v>
      </c>
    </row>
    <row r="285" ht="15.0" customHeight="1">
      <c r="A285" s="849" t="s">
        <v>1239</v>
      </c>
      <c r="B285" s="849">
        <v>2026.0</v>
      </c>
      <c r="C285" s="849" t="s">
        <v>1792</v>
      </c>
      <c r="D285" s="849" t="s">
        <v>1793</v>
      </c>
      <c r="E285" s="849" t="s">
        <v>768</v>
      </c>
      <c r="F285" s="849" t="s">
        <v>1200</v>
      </c>
      <c r="G285" s="849">
        <v>5810.59</v>
      </c>
      <c r="H285" s="849">
        <v>7012.67</v>
      </c>
      <c r="I285" s="849">
        <v>11674.34</v>
      </c>
      <c r="J285" s="849">
        <v>15566.72</v>
      </c>
      <c r="K285" s="849">
        <v>16295.62</v>
      </c>
      <c r="L285" s="849">
        <v>19762.92</v>
      </c>
      <c r="M285" s="849">
        <v>22687.84</v>
      </c>
      <c r="N285" s="849">
        <v>24187.47</v>
      </c>
      <c r="O285" s="849">
        <v>25358.37</v>
      </c>
      <c r="P285" s="849">
        <v>25934.37</v>
      </c>
      <c r="Q285" s="849">
        <v>0.0</v>
      </c>
      <c r="R285" s="849">
        <v>0.0</v>
      </c>
      <c r="S285" s="849">
        <v>2817.6</v>
      </c>
      <c r="T285" s="849">
        <v>2817.6</v>
      </c>
      <c r="U285" s="849">
        <v>0.0</v>
      </c>
      <c r="V285" s="849">
        <v>0.0</v>
      </c>
      <c r="W285" s="849">
        <v>0.0</v>
      </c>
      <c r="X285" s="849">
        <v>0.0</v>
      </c>
      <c r="Y285" s="849">
        <v>0.0</v>
      </c>
      <c r="Z285" s="849">
        <v>0.0</v>
      </c>
      <c r="AA285" s="849">
        <v>0.0</v>
      </c>
      <c r="AB285" s="849">
        <v>0.0</v>
      </c>
      <c r="AC285" s="849">
        <v>0.0</v>
      </c>
      <c r="AD285" s="849">
        <v>0.0</v>
      </c>
      <c r="AE285" s="849">
        <v>0.0</v>
      </c>
      <c r="AF285" s="849">
        <v>0.0</v>
      </c>
      <c r="AG285" s="849">
        <v>0.0</v>
      </c>
      <c r="AH285" s="849">
        <v>0.0</v>
      </c>
      <c r="AI285" s="849">
        <v>0.0</v>
      </c>
      <c r="AJ285" s="794" t="str">
        <f t="shared" ref="AJ285:AK285" si="567">C285</f>
        <v>G0821</v>
      </c>
      <c r="AK285" s="794" t="str">
        <f t="shared" si="567"/>
        <v>ENT. REP. BATISSE-NEUFS</v>
      </c>
      <c r="AL285" s="794">
        <f t="array" ref="AL285">IFERROR(INDEX(G285:R285,1,MATCH(Parametres!$B$3,G$1:R$1,0)-1)*IF(OR(F285="L",F285="S",F285="I"),-1,1),"")</f>
        <v>24187.47</v>
      </c>
      <c r="AM285" s="794">
        <f t="shared" si="4"/>
        <v>1170.9</v>
      </c>
      <c r="AN285" s="794">
        <f t="array" ref="AN285">INDEX(G285:R285,1,MATCH(Parametres!$B$3,G$1:R$1,0))*IF(OR(F285="L",F285="S",F285="I"),-1,1)</f>
        <v>25358.37</v>
      </c>
      <c r="AO285" s="853" t="str">
        <f>+VLOOKUP($AJ285,Data_Validation!$A:$D,1,0)</f>
        <v>G0821</v>
      </c>
      <c r="AP285" s="853" t="str">
        <f>+VLOOKUP($AJ285,Data_Validation!$A:$D,3,0)</f>
        <v>Véhicules neufs</v>
      </c>
      <c r="AQ285" s="853" t="str">
        <f>+VLOOKUP($AJ285,Data_Validation!$A:$D,4,0)</f>
        <v>Services extérieurs</v>
      </c>
      <c r="AR285" s="853" t="s">
        <v>728</v>
      </c>
      <c r="AS285" s="853" t="str">
        <f>+VLOOKUP($AJ285,Data_Validation!$A:$E,5,0)</f>
        <v/>
      </c>
      <c r="AT285" s="794" t="str">
        <f t="shared" ref="AT285:AU285" si="568">C285</f>
        <v>G0821</v>
      </c>
      <c r="AU285" s="854" t="str">
        <f t="shared" si="568"/>
        <v>ENT. REP. BATISSE-NEUFS</v>
      </c>
      <c r="AV285" s="794">
        <f t="array" ref="AV285">IFERROR(INDEX(V285:AG285,1,MATCH(Parametres!$B$3,V$1:AG$1,0)-1)*IF(OR(C285="L",C285="S",C285="I"),-1,1),"")</f>
        <v>0</v>
      </c>
      <c r="AW285" s="794">
        <f t="shared" si="6"/>
        <v>0</v>
      </c>
      <c r="AX285" s="794">
        <f t="array" ref="AX285">INDEX(V285:AG285,1,MATCH(Parametres!$B$3,V$1:AG$1,0))*IF(OR(C285="L",C285="S",C285="I"),-1,1)</f>
        <v>0</v>
      </c>
      <c r="AY285" s="853" t="s">
        <v>772</v>
      </c>
      <c r="AZ285" s="853" t="str">
        <f>+VLOOKUP($AJ285,Data_Validation!$A:$E,5,0)</f>
        <v/>
      </c>
    </row>
    <row r="286" ht="15.0" customHeight="1">
      <c r="A286" s="849" t="s">
        <v>1239</v>
      </c>
      <c r="B286" s="849">
        <v>2026.0</v>
      </c>
      <c r="C286" s="849" t="s">
        <v>1794</v>
      </c>
      <c r="D286" s="849" t="s">
        <v>1795</v>
      </c>
      <c r="E286" s="849" t="s">
        <v>768</v>
      </c>
      <c r="F286" s="849" t="s">
        <v>1200</v>
      </c>
      <c r="G286" s="849">
        <v>3691.27</v>
      </c>
      <c r="H286" s="849">
        <v>4492.65</v>
      </c>
      <c r="I286" s="849">
        <v>7600.42</v>
      </c>
      <c r="J286" s="849">
        <v>10195.34</v>
      </c>
      <c r="K286" s="849">
        <v>10681.29</v>
      </c>
      <c r="L286" s="849">
        <v>12992.82</v>
      </c>
      <c r="M286" s="849">
        <v>14604.75</v>
      </c>
      <c r="N286" s="849">
        <v>15604.49</v>
      </c>
      <c r="O286" s="849">
        <v>16385.09</v>
      </c>
      <c r="P286" s="849">
        <v>16769.09</v>
      </c>
      <c r="Q286" s="849">
        <v>0.0</v>
      </c>
      <c r="R286" s="849">
        <v>0.0</v>
      </c>
      <c r="S286" s="849">
        <v>1820.57</v>
      </c>
      <c r="T286" s="849">
        <v>1820.57</v>
      </c>
      <c r="U286" s="849">
        <v>0.0</v>
      </c>
      <c r="V286" s="849">
        <v>0.0</v>
      </c>
      <c r="W286" s="849">
        <v>0.0</v>
      </c>
      <c r="X286" s="849">
        <v>0.0</v>
      </c>
      <c r="Y286" s="849">
        <v>0.0</v>
      </c>
      <c r="Z286" s="849">
        <v>0.0</v>
      </c>
      <c r="AA286" s="849">
        <v>0.0</v>
      </c>
      <c r="AB286" s="849">
        <v>0.0</v>
      </c>
      <c r="AC286" s="849">
        <v>0.0</v>
      </c>
      <c r="AD286" s="849">
        <v>0.0</v>
      </c>
      <c r="AE286" s="849">
        <v>0.0</v>
      </c>
      <c r="AF286" s="849">
        <v>0.0</v>
      </c>
      <c r="AG286" s="849">
        <v>0.0</v>
      </c>
      <c r="AH286" s="849">
        <v>0.0</v>
      </c>
      <c r="AI286" s="849">
        <v>0.0</v>
      </c>
      <c r="AJ286" s="794" t="str">
        <f t="shared" ref="AJ286:AK286" si="569">C286</f>
        <v>G0822</v>
      </c>
      <c r="AK286" s="794" t="str">
        <f t="shared" si="569"/>
        <v>ENT. REP. BATISSE-USAGES</v>
      </c>
      <c r="AL286" s="794">
        <f t="array" ref="AL286">IFERROR(INDEX(G286:R286,1,MATCH(Parametres!$B$3,G$1:R$1,0)-1)*IF(OR(F286="L",F286="S",F286="I"),-1,1),"")</f>
        <v>15604.49</v>
      </c>
      <c r="AM286" s="794">
        <f t="shared" si="4"/>
        <v>780.6</v>
      </c>
      <c r="AN286" s="794">
        <f t="array" ref="AN286">INDEX(G286:R286,1,MATCH(Parametres!$B$3,G$1:R$1,0))*IF(OR(F286="L",F286="S",F286="I"),-1,1)</f>
        <v>16385.09</v>
      </c>
      <c r="AO286" s="853" t="str">
        <f>+VLOOKUP($AJ286,Data_Validation!$A:$D,1,0)</f>
        <v>G0822</v>
      </c>
      <c r="AP286" s="853" t="str">
        <f>+VLOOKUP($AJ286,Data_Validation!$A:$D,3,0)</f>
        <v>Véhicules usagés</v>
      </c>
      <c r="AQ286" s="853" t="str">
        <f>+VLOOKUP($AJ286,Data_Validation!$A:$D,4,0)</f>
        <v>Services extérieurs</v>
      </c>
      <c r="AR286" s="853" t="s">
        <v>728</v>
      </c>
      <c r="AS286" s="853" t="str">
        <f>+VLOOKUP($AJ286,Data_Validation!$A:$E,5,0)</f>
        <v/>
      </c>
      <c r="AT286" s="794" t="str">
        <f t="shared" ref="AT286:AU286" si="570">C286</f>
        <v>G0822</v>
      </c>
      <c r="AU286" s="854" t="str">
        <f t="shared" si="570"/>
        <v>ENT. REP. BATISSE-USAGES</v>
      </c>
      <c r="AV286" s="794">
        <f t="array" ref="AV286">IFERROR(INDEX(V286:AG286,1,MATCH(Parametres!$B$3,V$1:AG$1,0)-1)*IF(OR(C286="L",C286="S",C286="I"),-1,1),"")</f>
        <v>0</v>
      </c>
      <c r="AW286" s="794">
        <f t="shared" si="6"/>
        <v>0</v>
      </c>
      <c r="AX286" s="794">
        <f t="array" ref="AX286">INDEX(V286:AG286,1,MATCH(Parametres!$B$3,V$1:AG$1,0))*IF(OR(C286="L",C286="S",C286="I"),-1,1)</f>
        <v>0</v>
      </c>
      <c r="AY286" s="853" t="s">
        <v>772</v>
      </c>
      <c r="AZ286" s="853" t="str">
        <f>+VLOOKUP($AJ286,Data_Validation!$A:$E,5,0)</f>
        <v/>
      </c>
    </row>
    <row r="287" ht="15.75" customHeight="1">
      <c r="A287" s="849" t="s">
        <v>1239</v>
      </c>
      <c r="B287" s="849">
        <v>2026.0</v>
      </c>
      <c r="C287" s="849" t="s">
        <v>1796</v>
      </c>
      <c r="D287" s="849" t="s">
        <v>1797</v>
      </c>
      <c r="E287" s="849" t="s">
        <v>768</v>
      </c>
      <c r="F287" s="849" t="s">
        <v>1200</v>
      </c>
      <c r="G287" s="849">
        <v>0.0</v>
      </c>
      <c r="H287" s="849">
        <v>0.0</v>
      </c>
      <c r="I287" s="849">
        <v>0.0</v>
      </c>
      <c r="J287" s="849">
        <v>0.0</v>
      </c>
      <c r="K287" s="849">
        <v>0.0</v>
      </c>
      <c r="L287" s="849">
        <v>0.0</v>
      </c>
      <c r="M287" s="849">
        <v>0.0</v>
      </c>
      <c r="N287" s="849">
        <v>0.0</v>
      </c>
      <c r="O287" s="849">
        <v>0.0</v>
      </c>
      <c r="P287" s="849">
        <v>0.0</v>
      </c>
      <c r="Q287" s="849">
        <v>0.0</v>
      </c>
      <c r="R287" s="849">
        <v>0.0</v>
      </c>
      <c r="S287" s="849">
        <v>0.0</v>
      </c>
      <c r="T287" s="849">
        <v>0.0</v>
      </c>
      <c r="U287" s="849">
        <v>0.0</v>
      </c>
      <c r="V287" s="849">
        <v>0.0</v>
      </c>
      <c r="W287" s="849">
        <v>0.0</v>
      </c>
      <c r="X287" s="849">
        <v>0.0</v>
      </c>
      <c r="Y287" s="849">
        <v>0.0</v>
      </c>
      <c r="Z287" s="849">
        <v>0.0</v>
      </c>
      <c r="AA287" s="849">
        <v>0.0</v>
      </c>
      <c r="AB287" s="849">
        <v>0.0</v>
      </c>
      <c r="AC287" s="849">
        <v>0.0</v>
      </c>
      <c r="AD287" s="849">
        <v>0.0</v>
      </c>
      <c r="AE287" s="849">
        <v>0.0</v>
      </c>
      <c r="AF287" s="849">
        <v>0.0</v>
      </c>
      <c r="AG287" s="849">
        <v>0.0</v>
      </c>
      <c r="AH287" s="849">
        <v>0.0</v>
      </c>
      <c r="AI287" s="849">
        <v>0.0</v>
      </c>
      <c r="AJ287" s="794" t="str">
        <f t="shared" ref="AJ287:AK287" si="571">C287</f>
        <v>G0823</v>
      </c>
      <c r="AK287" s="794" t="str">
        <f t="shared" si="571"/>
        <v>ENT. REP. BATISSE U.S.A</v>
      </c>
      <c r="AL287" s="794">
        <f t="array" ref="AL287">IFERROR(INDEX(G287:R287,1,MATCH(Parametres!$B$3,G$1:R$1,0)-1)*IF(OR(F287="L",F287="S",F287="I"),-1,1),"")</f>
        <v>0</v>
      </c>
      <c r="AM287" s="794">
        <f t="shared" si="4"/>
        <v>0</v>
      </c>
      <c r="AN287" s="794">
        <f t="array" ref="AN287">INDEX(G287:R287,1,MATCH(Parametres!$B$3,G$1:R$1,0))*IF(OR(F287="L",F287="S",F287="I"),-1,1)</f>
        <v>0</v>
      </c>
      <c r="AO287" s="853" t="str">
        <f>+VLOOKUP($AJ287,Data_Validation!$A:$D,1,0)</f>
        <v>G0823</v>
      </c>
      <c r="AP287" s="853" t="str">
        <f>+VLOOKUP($AJ287,Data_Validation!$A:$D,3,0)</f>
        <v>Wholesale autres</v>
      </c>
      <c r="AQ287" s="853" t="str">
        <f>+VLOOKUP($AJ287,Data_Validation!$A:$D,4,0)</f>
        <v>Services extérieurs</v>
      </c>
      <c r="AR287" s="853" t="s">
        <v>728</v>
      </c>
      <c r="AS287" s="853" t="str">
        <f>+VLOOKUP($AJ287,Data_Validation!$A:$E,5,0)</f>
        <v/>
      </c>
      <c r="AT287" s="794" t="str">
        <f t="shared" ref="AT287:AU287" si="572">C287</f>
        <v>G0823</v>
      </c>
      <c r="AU287" s="854" t="str">
        <f t="shared" si="572"/>
        <v>ENT. REP. BATISSE U.S.A</v>
      </c>
      <c r="AV287" s="794">
        <f t="array" ref="AV287">IFERROR(INDEX(V287:AG287,1,MATCH(Parametres!$B$3,V$1:AG$1,0)-1)*IF(OR(C287="L",C287="S",C287="I"),-1,1),"")</f>
        <v>0</v>
      </c>
      <c r="AW287" s="794">
        <f t="shared" si="6"/>
        <v>0</v>
      </c>
      <c r="AX287" s="794">
        <f t="array" ref="AX287">INDEX(V287:AG287,1,MATCH(Parametres!$B$3,V$1:AG$1,0))*IF(OR(C287="L",C287="S",C287="I"),-1,1)</f>
        <v>0</v>
      </c>
      <c r="AY287" s="853" t="s">
        <v>772</v>
      </c>
      <c r="AZ287" s="853" t="str">
        <f>+VLOOKUP($AJ287,Data_Validation!$A:$E,5,0)</f>
        <v/>
      </c>
    </row>
    <row r="288" ht="15.0" customHeight="1">
      <c r="A288" s="849" t="s">
        <v>1239</v>
      </c>
      <c r="B288" s="849">
        <v>2026.0</v>
      </c>
      <c r="C288" s="849" t="s">
        <v>1798</v>
      </c>
      <c r="D288" s="849" t="s">
        <v>1799</v>
      </c>
      <c r="E288" s="849" t="s">
        <v>768</v>
      </c>
      <c r="F288" s="849" t="s">
        <v>1200</v>
      </c>
      <c r="G288" s="849">
        <v>5838.67</v>
      </c>
      <c r="H288" s="849">
        <v>11637.94</v>
      </c>
      <c r="I288" s="849">
        <v>17192.81</v>
      </c>
      <c r="J288" s="849">
        <v>22212.19</v>
      </c>
      <c r="K288" s="849">
        <v>22941.09</v>
      </c>
      <c r="L288" s="849">
        <v>26408.39</v>
      </c>
      <c r="M288" s="849">
        <v>28826.28</v>
      </c>
      <c r="N288" s="849">
        <v>30325.91</v>
      </c>
      <c r="O288" s="849">
        <v>32196.38</v>
      </c>
      <c r="P288" s="849">
        <v>32772.38</v>
      </c>
      <c r="Q288" s="849">
        <v>0.0</v>
      </c>
      <c r="R288" s="849">
        <v>0.0</v>
      </c>
      <c r="S288" s="849">
        <v>3577.38</v>
      </c>
      <c r="T288" s="849">
        <v>3577.38</v>
      </c>
      <c r="U288" s="849">
        <v>0.0</v>
      </c>
      <c r="V288" s="849">
        <v>0.0</v>
      </c>
      <c r="W288" s="849">
        <v>0.0</v>
      </c>
      <c r="X288" s="849">
        <v>0.0</v>
      </c>
      <c r="Y288" s="849">
        <v>0.0</v>
      </c>
      <c r="Z288" s="849">
        <v>0.0</v>
      </c>
      <c r="AA288" s="849">
        <v>0.0</v>
      </c>
      <c r="AB288" s="849">
        <v>0.0</v>
      </c>
      <c r="AC288" s="849">
        <v>0.0</v>
      </c>
      <c r="AD288" s="849">
        <v>0.0</v>
      </c>
      <c r="AE288" s="849">
        <v>0.0</v>
      </c>
      <c r="AF288" s="849">
        <v>0.0</v>
      </c>
      <c r="AG288" s="849">
        <v>0.0</v>
      </c>
      <c r="AH288" s="849">
        <v>0.0</v>
      </c>
      <c r="AI288" s="849">
        <v>0.0</v>
      </c>
      <c r="AJ288" s="794" t="str">
        <f t="shared" ref="AJ288:AK288" si="573">C288</f>
        <v>G0824</v>
      </c>
      <c r="AK288" s="794" t="str">
        <f t="shared" si="573"/>
        <v>ENT. REP. BATISSE-SERVICE</v>
      </c>
      <c r="AL288" s="794">
        <f t="array" ref="AL288">IFERROR(INDEX(G288:R288,1,MATCH(Parametres!$B$3,G$1:R$1,0)-1)*IF(OR(F288="L",F288="S",F288="I"),-1,1),"")</f>
        <v>30325.91</v>
      </c>
      <c r="AM288" s="794">
        <f t="shared" si="4"/>
        <v>1870.47</v>
      </c>
      <c r="AN288" s="794">
        <f t="array" ref="AN288">INDEX(G288:R288,1,MATCH(Parametres!$B$3,G$1:R$1,0))*IF(OR(F288="L",F288="S",F288="I"),-1,1)</f>
        <v>32196.38</v>
      </c>
      <c r="AO288" s="853" t="str">
        <f>+VLOOKUP($AJ288,Data_Validation!$A:$D,1,0)</f>
        <v>G0824</v>
      </c>
      <c r="AP288" s="853" t="str">
        <f>+VLOOKUP($AJ288,Data_Validation!$A:$D,3,0)</f>
        <v>Service</v>
      </c>
      <c r="AQ288" s="853" t="str">
        <f>+VLOOKUP($AJ288,Data_Validation!$A:$D,4,0)</f>
        <v>Services extérieurs</v>
      </c>
      <c r="AR288" s="853" t="s">
        <v>728</v>
      </c>
      <c r="AS288" s="853" t="str">
        <f>+VLOOKUP($AJ288,Data_Validation!$A:$E,5,0)</f>
        <v/>
      </c>
      <c r="AT288" s="794" t="str">
        <f t="shared" ref="AT288:AU288" si="574">C288</f>
        <v>G0824</v>
      </c>
      <c r="AU288" s="854" t="str">
        <f t="shared" si="574"/>
        <v>ENT. REP. BATISSE-SERVICE</v>
      </c>
      <c r="AV288" s="794">
        <f t="array" ref="AV288">IFERROR(INDEX(V288:AG288,1,MATCH(Parametres!$B$3,V$1:AG$1,0)-1)*IF(OR(C288="L",C288="S",C288="I"),-1,1),"")</f>
        <v>0</v>
      </c>
      <c r="AW288" s="794">
        <f t="shared" si="6"/>
        <v>0</v>
      </c>
      <c r="AX288" s="794">
        <f t="array" ref="AX288">INDEX(V288:AG288,1,MATCH(Parametres!$B$3,V$1:AG$1,0))*IF(OR(C288="L",C288="S",C288="I"),-1,1)</f>
        <v>0</v>
      </c>
      <c r="AY288" s="853" t="s">
        <v>772</v>
      </c>
      <c r="AZ288" s="853" t="str">
        <f>+VLOOKUP($AJ288,Data_Validation!$A:$E,5,0)</f>
        <v/>
      </c>
    </row>
    <row r="289" ht="15.0" customHeight="1">
      <c r="A289" s="849" t="s">
        <v>1239</v>
      </c>
      <c r="B289" s="849">
        <v>2026.0</v>
      </c>
      <c r="C289" s="849" t="s">
        <v>1800</v>
      </c>
      <c r="D289" s="849" t="s">
        <v>1801</v>
      </c>
      <c r="E289" s="849" t="s">
        <v>768</v>
      </c>
      <c r="F289" s="849" t="s">
        <v>1200</v>
      </c>
      <c r="G289" s="849">
        <v>2108.32</v>
      </c>
      <c r="H289" s="849">
        <v>2618.48</v>
      </c>
      <c r="I289" s="849">
        <v>5214.86</v>
      </c>
      <c r="J289" s="849">
        <v>6707.35</v>
      </c>
      <c r="K289" s="849">
        <v>10063.52</v>
      </c>
      <c r="L289" s="849">
        <v>11528.29</v>
      </c>
      <c r="M289" s="849">
        <v>12334.25</v>
      </c>
      <c r="N289" s="849">
        <v>12834.13</v>
      </c>
      <c r="O289" s="849">
        <v>13398.2</v>
      </c>
      <c r="P289" s="849">
        <v>13590.2</v>
      </c>
      <c r="Q289" s="849">
        <v>0.0</v>
      </c>
      <c r="R289" s="849">
        <v>0.0</v>
      </c>
      <c r="S289" s="849">
        <v>1488.69</v>
      </c>
      <c r="T289" s="849">
        <v>1488.69</v>
      </c>
      <c r="U289" s="849">
        <v>0.0</v>
      </c>
      <c r="V289" s="849">
        <v>0.0</v>
      </c>
      <c r="W289" s="849">
        <v>0.0</v>
      </c>
      <c r="X289" s="849">
        <v>0.0</v>
      </c>
      <c r="Y289" s="849">
        <v>0.0</v>
      </c>
      <c r="Z289" s="849">
        <v>0.0</v>
      </c>
      <c r="AA289" s="849">
        <v>0.0</v>
      </c>
      <c r="AB289" s="849">
        <v>0.0</v>
      </c>
      <c r="AC289" s="849">
        <v>0.0</v>
      </c>
      <c r="AD289" s="849">
        <v>0.0</v>
      </c>
      <c r="AE289" s="849">
        <v>0.0</v>
      </c>
      <c r="AF289" s="849">
        <v>0.0</v>
      </c>
      <c r="AG289" s="849">
        <v>0.0</v>
      </c>
      <c r="AH289" s="849">
        <v>0.0</v>
      </c>
      <c r="AI289" s="849">
        <v>0.0</v>
      </c>
      <c r="AJ289" s="794" t="str">
        <f t="shared" ref="AJ289:AK289" si="575">C289</f>
        <v>G0825</v>
      </c>
      <c r="AK289" s="794" t="str">
        <f t="shared" si="575"/>
        <v>ENT. REP. BATISSE-CARROSS</v>
      </c>
      <c r="AL289" s="794">
        <f t="array" ref="AL289">IFERROR(INDEX(G289:R289,1,MATCH(Parametres!$B$3,G$1:R$1,0)-1)*IF(OR(F289="L",F289="S",F289="I"),-1,1),"")</f>
        <v>12834.13</v>
      </c>
      <c r="AM289" s="794">
        <f t="shared" si="4"/>
        <v>564.07</v>
      </c>
      <c r="AN289" s="794">
        <f t="array" ref="AN289">INDEX(G289:R289,1,MATCH(Parametres!$B$3,G$1:R$1,0))*IF(OR(F289="L",F289="S",F289="I"),-1,1)</f>
        <v>13398.2</v>
      </c>
      <c r="AO289" s="853" t="str">
        <f>+VLOOKUP($AJ289,Data_Validation!$A:$D,1,0)</f>
        <v>G0825</v>
      </c>
      <c r="AP289" s="853" t="str">
        <f>+VLOOKUP($AJ289,Data_Validation!$A:$D,3,0)</f>
        <v>Carrosserie</v>
      </c>
      <c r="AQ289" s="853" t="str">
        <f>+VLOOKUP($AJ289,Data_Validation!$A:$D,4,0)</f>
        <v>Services extérieurs</v>
      </c>
      <c r="AR289" s="853" t="s">
        <v>728</v>
      </c>
      <c r="AS289" s="853" t="str">
        <f>+VLOOKUP($AJ289,Data_Validation!$A:$E,5,0)</f>
        <v/>
      </c>
      <c r="AT289" s="794" t="str">
        <f t="shared" ref="AT289:AU289" si="576">C289</f>
        <v>G0825</v>
      </c>
      <c r="AU289" s="854" t="str">
        <f t="shared" si="576"/>
        <v>ENT. REP. BATISSE-CARROSS</v>
      </c>
      <c r="AV289" s="794">
        <f t="array" ref="AV289">IFERROR(INDEX(V289:AG289,1,MATCH(Parametres!$B$3,V$1:AG$1,0)-1)*IF(OR(C289="L",C289="S",C289="I"),-1,1),"")</f>
        <v>0</v>
      </c>
      <c r="AW289" s="794">
        <f t="shared" si="6"/>
        <v>0</v>
      </c>
      <c r="AX289" s="794">
        <f t="array" ref="AX289">INDEX(V289:AG289,1,MATCH(Parametres!$B$3,V$1:AG$1,0))*IF(OR(C289="L",C289="S",C289="I"),-1,1)</f>
        <v>0</v>
      </c>
      <c r="AY289" s="853" t="s">
        <v>772</v>
      </c>
      <c r="AZ289" s="853" t="str">
        <f>+VLOOKUP($AJ289,Data_Validation!$A:$E,5,0)</f>
        <v/>
      </c>
    </row>
    <row r="290" ht="15.0" customHeight="1">
      <c r="A290" s="849" t="s">
        <v>1239</v>
      </c>
      <c r="B290" s="849">
        <v>2026.0</v>
      </c>
      <c r="C290" s="849" t="s">
        <v>1802</v>
      </c>
      <c r="D290" s="849" t="s">
        <v>1803</v>
      </c>
      <c r="E290" s="849" t="s">
        <v>768</v>
      </c>
      <c r="F290" s="849" t="s">
        <v>1200</v>
      </c>
      <c r="G290" s="849">
        <v>1845.63</v>
      </c>
      <c r="H290" s="849">
        <v>2246.32</v>
      </c>
      <c r="I290" s="849">
        <v>3800.19</v>
      </c>
      <c r="J290" s="849">
        <v>5097.61</v>
      </c>
      <c r="K290" s="849">
        <v>7441.58</v>
      </c>
      <c r="L290" s="849">
        <v>8597.35</v>
      </c>
      <c r="M290" s="849">
        <v>9403.33</v>
      </c>
      <c r="N290" s="849">
        <v>9903.18</v>
      </c>
      <c r="O290" s="849">
        <v>10293.47</v>
      </c>
      <c r="P290" s="849">
        <v>10485.47</v>
      </c>
      <c r="Q290" s="849">
        <v>0.0</v>
      </c>
      <c r="R290" s="849">
        <v>0.0</v>
      </c>
      <c r="S290" s="849">
        <v>1143.72</v>
      </c>
      <c r="T290" s="849">
        <v>1143.72</v>
      </c>
      <c r="U290" s="849">
        <v>0.0</v>
      </c>
      <c r="V290" s="849">
        <v>0.0</v>
      </c>
      <c r="W290" s="849">
        <v>0.0</v>
      </c>
      <c r="X290" s="849">
        <v>0.0</v>
      </c>
      <c r="Y290" s="849">
        <v>0.0</v>
      </c>
      <c r="Z290" s="849">
        <v>0.0</v>
      </c>
      <c r="AA290" s="849">
        <v>0.0</v>
      </c>
      <c r="AB290" s="849">
        <v>0.0</v>
      </c>
      <c r="AC290" s="849">
        <v>0.0</v>
      </c>
      <c r="AD290" s="849">
        <v>0.0</v>
      </c>
      <c r="AE290" s="849">
        <v>0.0</v>
      </c>
      <c r="AF290" s="849">
        <v>0.0</v>
      </c>
      <c r="AG290" s="849">
        <v>0.0</v>
      </c>
      <c r="AH290" s="849">
        <v>0.0</v>
      </c>
      <c r="AI290" s="849">
        <v>0.0</v>
      </c>
      <c r="AJ290" s="794" t="str">
        <f t="shared" ref="AJ290:AK290" si="577">C290</f>
        <v>G0826</v>
      </c>
      <c r="AK290" s="794" t="str">
        <f t="shared" si="577"/>
        <v>ENT. REP. BATISSE-PIECES</v>
      </c>
      <c r="AL290" s="794">
        <f t="array" ref="AL290">IFERROR(INDEX(G290:R290,1,MATCH(Parametres!$B$3,G$1:R$1,0)-1)*IF(OR(F290="L",F290="S",F290="I"),-1,1),"")</f>
        <v>9903.18</v>
      </c>
      <c r="AM290" s="794">
        <f t="shared" si="4"/>
        <v>390.29</v>
      </c>
      <c r="AN290" s="794">
        <f t="array" ref="AN290">INDEX(G290:R290,1,MATCH(Parametres!$B$3,G$1:R$1,0))*IF(OR(F290="L",F290="S",F290="I"),-1,1)</f>
        <v>10293.47</v>
      </c>
      <c r="AO290" s="853" t="str">
        <f>+VLOOKUP($AJ290,Data_Validation!$A:$D,1,0)</f>
        <v>G0826</v>
      </c>
      <c r="AP290" s="853" t="str">
        <f>+VLOOKUP($AJ290,Data_Validation!$A:$D,3,0)</f>
        <v>Pièces</v>
      </c>
      <c r="AQ290" s="853" t="str">
        <f>+VLOOKUP($AJ290,Data_Validation!$A:$D,4,0)</f>
        <v>Services extérieurs</v>
      </c>
      <c r="AR290" s="853" t="s">
        <v>728</v>
      </c>
      <c r="AS290" s="853" t="str">
        <f>+VLOOKUP($AJ290,Data_Validation!$A:$E,5,0)</f>
        <v/>
      </c>
      <c r="AT290" s="794" t="str">
        <f t="shared" ref="AT290:AU290" si="578">C290</f>
        <v>G0826</v>
      </c>
      <c r="AU290" s="854" t="str">
        <f t="shared" si="578"/>
        <v>ENT. REP. BATISSE-PIECES</v>
      </c>
      <c r="AV290" s="794">
        <f t="array" ref="AV290">IFERROR(INDEX(V290:AG290,1,MATCH(Parametres!$B$3,V$1:AG$1,0)-1)*IF(OR(C290="L",C290="S",C290="I"),-1,1),"")</f>
        <v>0</v>
      </c>
      <c r="AW290" s="794">
        <f t="shared" si="6"/>
        <v>0</v>
      </c>
      <c r="AX290" s="794">
        <f t="array" ref="AX290">INDEX(V290:AG290,1,MATCH(Parametres!$B$3,V$1:AG$1,0))*IF(OR(C290="L",C290="S",C290="I"),-1,1)</f>
        <v>0</v>
      </c>
      <c r="AY290" s="853" t="s">
        <v>772</v>
      </c>
      <c r="AZ290" s="853" t="str">
        <f>+VLOOKUP($AJ290,Data_Validation!$A:$E,5,0)</f>
        <v/>
      </c>
    </row>
    <row r="291" ht="15.75" customHeight="1">
      <c r="A291" s="849" t="s">
        <v>1239</v>
      </c>
      <c r="B291" s="849">
        <v>2026.0</v>
      </c>
      <c r="C291" s="849" t="s">
        <v>1804</v>
      </c>
      <c r="D291" s="849" t="s">
        <v>1805</v>
      </c>
      <c r="E291" s="849" t="s">
        <v>768</v>
      </c>
      <c r="F291" s="849" t="s">
        <v>1200</v>
      </c>
      <c r="G291" s="849">
        <v>0.0</v>
      </c>
      <c r="H291" s="849">
        <v>0.0</v>
      </c>
      <c r="I291" s="849">
        <v>0.0</v>
      </c>
      <c r="J291" s="849">
        <v>0.0</v>
      </c>
      <c r="K291" s="849">
        <v>0.0</v>
      </c>
      <c r="L291" s="849">
        <v>0.0</v>
      </c>
      <c r="M291" s="849">
        <v>0.0</v>
      </c>
      <c r="N291" s="849">
        <v>0.0</v>
      </c>
      <c r="O291" s="849">
        <v>567.63</v>
      </c>
      <c r="P291" s="849">
        <v>567.63</v>
      </c>
      <c r="Q291" s="849">
        <v>0.0</v>
      </c>
      <c r="R291" s="849">
        <v>0.0</v>
      </c>
      <c r="S291" s="849">
        <v>63.07</v>
      </c>
      <c r="T291" s="849">
        <v>63.07</v>
      </c>
      <c r="U291" s="849">
        <v>0.0</v>
      </c>
      <c r="V291" s="849">
        <v>0.0</v>
      </c>
      <c r="W291" s="849">
        <v>0.0</v>
      </c>
      <c r="X291" s="849">
        <v>0.0</v>
      </c>
      <c r="Y291" s="849">
        <v>0.0</v>
      </c>
      <c r="Z291" s="849">
        <v>0.0</v>
      </c>
      <c r="AA291" s="849">
        <v>0.0</v>
      </c>
      <c r="AB291" s="849">
        <v>0.0</v>
      </c>
      <c r="AC291" s="849">
        <v>0.0</v>
      </c>
      <c r="AD291" s="849">
        <v>0.0</v>
      </c>
      <c r="AE291" s="849">
        <v>0.0</v>
      </c>
      <c r="AF291" s="849">
        <v>0.0</v>
      </c>
      <c r="AG291" s="849">
        <v>0.0</v>
      </c>
      <c r="AH291" s="849">
        <v>0.0</v>
      </c>
      <c r="AI291" s="849">
        <v>0.0</v>
      </c>
      <c r="AJ291" s="794" t="str">
        <f t="shared" ref="AJ291:AK291" si="579">C291</f>
        <v>G0827</v>
      </c>
      <c r="AK291" s="794" t="str">
        <f t="shared" si="579"/>
        <v>ENT. REP. BATISSE-SAAQ</v>
      </c>
      <c r="AL291" s="794">
        <f t="array" ref="AL291">IFERROR(INDEX(G291:R291,1,MATCH(Parametres!$B$3,G$1:R$1,0)-1)*IF(OR(F291="L",F291="S",F291="I"),-1,1),"")</f>
        <v>0</v>
      </c>
      <c r="AM291" s="794">
        <f t="shared" si="4"/>
        <v>567.63</v>
      </c>
      <c r="AN291" s="794">
        <f t="array" ref="AN291">INDEX(G291:R291,1,MATCH(Parametres!$B$3,G$1:R$1,0))*IF(OR(F291="L",F291="S",F291="I"),-1,1)</f>
        <v>567.63</v>
      </c>
      <c r="AO291" s="853" t="str">
        <f>+VLOOKUP($AJ291,Data_Validation!$A:$D,1,0)</f>
        <v>G0827</v>
      </c>
      <c r="AP291" s="853" t="str">
        <f>+VLOOKUP($AJ291,Data_Validation!$A:$D,3,0)</f>
        <v>SAAQ</v>
      </c>
      <c r="AQ291" s="853" t="str">
        <f>+VLOOKUP($AJ291,Data_Validation!$A:$D,4,0)</f>
        <v>Services extérieurs</v>
      </c>
      <c r="AR291" s="853" t="s">
        <v>728</v>
      </c>
      <c r="AS291" s="853" t="str">
        <f>+VLOOKUP($AJ291,Data_Validation!$A:$E,5,0)</f>
        <v/>
      </c>
      <c r="AT291" s="794" t="str">
        <f t="shared" ref="AT291:AU291" si="580">C291</f>
        <v>G0827</v>
      </c>
      <c r="AU291" s="854" t="str">
        <f t="shared" si="580"/>
        <v>ENT. REP. BATISSE-SAAQ</v>
      </c>
      <c r="AV291" s="794">
        <f t="array" ref="AV291">IFERROR(INDEX(V291:AG291,1,MATCH(Parametres!$B$3,V$1:AG$1,0)-1)*IF(OR(C291="L",C291="S",C291="I"),-1,1),"")</f>
        <v>0</v>
      </c>
      <c r="AW291" s="794">
        <f t="shared" si="6"/>
        <v>0</v>
      </c>
      <c r="AX291" s="794">
        <f t="array" ref="AX291">INDEX(V291:AG291,1,MATCH(Parametres!$B$3,V$1:AG$1,0))*IF(OR(C291="L",C291="S",C291="I"),-1,1)</f>
        <v>0</v>
      </c>
      <c r="AY291" s="853" t="s">
        <v>772</v>
      </c>
      <c r="AZ291" s="853" t="str">
        <f>+VLOOKUP($AJ291,Data_Validation!$A:$E,5,0)</f>
        <v/>
      </c>
    </row>
    <row r="292" ht="15.0" customHeight="1">
      <c r="A292" s="849" t="s">
        <v>1239</v>
      </c>
      <c r="B292" s="849">
        <v>2026.0</v>
      </c>
      <c r="C292" s="849" t="s">
        <v>1806</v>
      </c>
      <c r="D292" s="849" t="s">
        <v>1807</v>
      </c>
      <c r="E292" s="849" t="s">
        <v>768</v>
      </c>
      <c r="F292" s="849" t="s">
        <v>1200</v>
      </c>
      <c r="G292" s="849">
        <v>0.0</v>
      </c>
      <c r="H292" s="849">
        <v>0.0</v>
      </c>
      <c r="I292" s="849">
        <v>0.0</v>
      </c>
      <c r="J292" s="849">
        <v>0.0</v>
      </c>
      <c r="K292" s="849">
        <v>0.0</v>
      </c>
      <c r="L292" s="849">
        <v>0.0</v>
      </c>
      <c r="M292" s="849">
        <v>0.0</v>
      </c>
      <c r="N292" s="849">
        <v>0.0</v>
      </c>
      <c r="O292" s="849">
        <v>0.0</v>
      </c>
      <c r="P292" s="849">
        <v>0.0</v>
      </c>
      <c r="Q292" s="849">
        <v>0.0</v>
      </c>
      <c r="R292" s="849">
        <v>0.0</v>
      </c>
      <c r="S292" s="849">
        <v>0.0</v>
      </c>
      <c r="T292" s="849">
        <v>0.0</v>
      </c>
      <c r="U292" s="849">
        <v>0.0</v>
      </c>
      <c r="V292" s="849">
        <v>0.0</v>
      </c>
      <c r="W292" s="849">
        <v>0.0</v>
      </c>
      <c r="X292" s="849">
        <v>0.0</v>
      </c>
      <c r="Y292" s="849">
        <v>0.0</v>
      </c>
      <c r="Z292" s="849">
        <v>0.0</v>
      </c>
      <c r="AA292" s="849">
        <v>0.0</v>
      </c>
      <c r="AB292" s="849">
        <v>0.0</v>
      </c>
      <c r="AC292" s="849">
        <v>0.0</v>
      </c>
      <c r="AD292" s="849">
        <v>0.0</v>
      </c>
      <c r="AE292" s="849">
        <v>0.0</v>
      </c>
      <c r="AF292" s="849">
        <v>0.0</v>
      </c>
      <c r="AG292" s="849">
        <v>0.0</v>
      </c>
      <c r="AH292" s="849">
        <v>0.0</v>
      </c>
      <c r="AI292" s="849">
        <v>0.0</v>
      </c>
      <c r="AJ292" s="794" t="str">
        <f t="shared" ref="AJ292:AK292" si="581">C292</f>
        <v>G0830</v>
      </c>
      <c r="AK292" s="794" t="str">
        <f t="shared" si="581"/>
        <v>AMORT. BATIMENT REP</v>
      </c>
      <c r="AL292" s="794">
        <f t="array" ref="AL292">IFERROR(INDEX(G292:R292,1,MATCH(Parametres!$B$3,G$1:R$1,0)-1)*IF(OR(F292="L",F292="S",F292="I"),-1,1),"")</f>
        <v>0</v>
      </c>
      <c r="AM292" s="794">
        <f t="shared" si="4"/>
        <v>0</v>
      </c>
      <c r="AN292" s="794">
        <f t="array" ref="AN292">INDEX(G292:R292,1,MATCH(Parametres!$B$3,G$1:R$1,0))*IF(OR(F292="L",F292="S",F292="I"),-1,1)</f>
        <v>0</v>
      </c>
      <c r="AO292" s="853" t="str">
        <f>+VLOOKUP($AJ292,Data_Validation!$A:$D,1,0)</f>
        <v>#N/A</v>
      </c>
      <c r="AP292" s="853" t="str">
        <f>+VLOOKUP($AJ292,Data_Validation!$A:$D,3,0)</f>
        <v>#N/A</v>
      </c>
      <c r="AQ292" s="853" t="str">
        <f>+VLOOKUP($AJ292,Data_Validation!$A:$D,4,0)</f>
        <v>#N/A</v>
      </c>
      <c r="AR292" s="853" t="s">
        <v>728</v>
      </c>
      <c r="AS292" s="853" t="str">
        <f>+VLOOKUP($AJ292,Data_Validation!$A:$E,5,0)</f>
        <v>#N/A</v>
      </c>
      <c r="AT292" s="794" t="str">
        <f t="shared" ref="AT292:AU292" si="582">C292</f>
        <v>G0830</v>
      </c>
      <c r="AU292" s="854" t="str">
        <f t="shared" si="582"/>
        <v>AMORT. BATIMENT REP</v>
      </c>
      <c r="AV292" s="794">
        <f t="array" ref="AV292">IFERROR(INDEX(V292:AG292,1,MATCH(Parametres!$B$3,V$1:AG$1,0)-1)*IF(OR(C292="L",C292="S",C292="I"),-1,1),"")</f>
        <v>0</v>
      </c>
      <c r="AW292" s="794">
        <f t="shared" si="6"/>
        <v>0</v>
      </c>
      <c r="AX292" s="794">
        <f t="array" ref="AX292">INDEX(V292:AG292,1,MATCH(Parametres!$B$3,V$1:AG$1,0))*IF(OR(C292="L",C292="S",C292="I"),-1,1)</f>
        <v>0</v>
      </c>
      <c r="AY292" s="853" t="s">
        <v>772</v>
      </c>
      <c r="AZ292" s="853" t="str">
        <f>+VLOOKUP($AJ292,Data_Validation!$A:$E,5,0)</f>
        <v>#N/A</v>
      </c>
    </row>
    <row r="293" ht="15.0" customHeight="1">
      <c r="A293" s="849" t="s">
        <v>1239</v>
      </c>
      <c r="B293" s="849">
        <v>2026.0</v>
      </c>
      <c r="C293" s="849" t="s">
        <v>1808</v>
      </c>
      <c r="D293" s="849" t="s">
        <v>1809</v>
      </c>
      <c r="E293" s="849" t="s">
        <v>768</v>
      </c>
      <c r="F293" s="849" t="s">
        <v>1200</v>
      </c>
      <c r="G293" s="849">
        <v>28.5</v>
      </c>
      <c r="H293" s="849">
        <v>57.0</v>
      </c>
      <c r="I293" s="849">
        <v>85.5</v>
      </c>
      <c r="J293" s="849">
        <v>114.0</v>
      </c>
      <c r="K293" s="849">
        <v>142.5</v>
      </c>
      <c r="L293" s="849">
        <v>171.0</v>
      </c>
      <c r="M293" s="849">
        <v>199.5</v>
      </c>
      <c r="N293" s="849">
        <v>228.0</v>
      </c>
      <c r="O293" s="849">
        <v>256.5</v>
      </c>
      <c r="P293" s="849">
        <v>256.5</v>
      </c>
      <c r="Q293" s="849">
        <v>0.0</v>
      </c>
      <c r="R293" s="849">
        <v>0.0</v>
      </c>
      <c r="S293" s="849">
        <v>28.5</v>
      </c>
      <c r="T293" s="849">
        <v>28.5</v>
      </c>
      <c r="U293" s="849">
        <v>0.0</v>
      </c>
      <c r="V293" s="849">
        <v>0.0</v>
      </c>
      <c r="W293" s="849">
        <v>0.0</v>
      </c>
      <c r="X293" s="849">
        <v>0.0</v>
      </c>
      <c r="Y293" s="849">
        <v>0.0</v>
      </c>
      <c r="Z293" s="849">
        <v>0.0</v>
      </c>
      <c r="AA293" s="849">
        <v>0.0</v>
      </c>
      <c r="AB293" s="849">
        <v>0.0</v>
      </c>
      <c r="AC293" s="849">
        <v>0.0</v>
      </c>
      <c r="AD293" s="849">
        <v>0.0</v>
      </c>
      <c r="AE293" s="849">
        <v>0.0</v>
      </c>
      <c r="AF293" s="849">
        <v>0.0</v>
      </c>
      <c r="AG293" s="849">
        <v>0.0</v>
      </c>
      <c r="AH293" s="849">
        <v>0.0</v>
      </c>
      <c r="AI293" s="849">
        <v>0.0</v>
      </c>
      <c r="AJ293" s="794" t="str">
        <f t="shared" ref="AJ293:AK293" si="583">C293</f>
        <v>G0831</v>
      </c>
      <c r="AK293" s="794" t="str">
        <f t="shared" si="583"/>
        <v>AMORT. BATISSE-NEUFS</v>
      </c>
      <c r="AL293" s="794">
        <f t="array" ref="AL293">IFERROR(INDEX(G293:R293,1,MATCH(Parametres!$B$3,G$1:R$1,0)-1)*IF(OR(F293="L",F293="S",F293="I"),-1,1),"")</f>
        <v>228</v>
      </c>
      <c r="AM293" s="794">
        <f t="shared" si="4"/>
        <v>28.5</v>
      </c>
      <c r="AN293" s="794">
        <f t="array" ref="AN293">INDEX(G293:R293,1,MATCH(Parametres!$B$3,G$1:R$1,0))*IF(OR(F293="L",F293="S",F293="I"),-1,1)</f>
        <v>256.5</v>
      </c>
      <c r="AO293" s="853" t="str">
        <f>+VLOOKUP($AJ293,Data_Validation!$A:$D,1,0)</f>
        <v>G0831</v>
      </c>
      <c r="AP293" s="853" t="str">
        <f>+VLOOKUP($AJ293,Data_Validation!$A:$D,3,0)</f>
        <v>Véhicules neufs</v>
      </c>
      <c r="AQ293" s="853" t="str">
        <f>+VLOOKUP($AJ293,Data_Validation!$A:$D,4,0)</f>
        <v>Amortissement</v>
      </c>
      <c r="AR293" s="853" t="s">
        <v>728</v>
      </c>
      <c r="AS293" s="853" t="str">
        <f>+VLOOKUP($AJ293,Data_Validation!$A:$E,5,0)</f>
        <v/>
      </c>
      <c r="AT293" s="794" t="str">
        <f t="shared" ref="AT293:AU293" si="584">C293</f>
        <v>G0831</v>
      </c>
      <c r="AU293" s="854" t="str">
        <f t="shared" si="584"/>
        <v>AMORT. BATISSE-NEUFS</v>
      </c>
      <c r="AV293" s="794">
        <f t="array" ref="AV293">IFERROR(INDEX(V293:AG293,1,MATCH(Parametres!$B$3,V$1:AG$1,0)-1)*IF(OR(C293="L",C293="S",C293="I"),-1,1),"")</f>
        <v>0</v>
      </c>
      <c r="AW293" s="794">
        <f t="shared" si="6"/>
        <v>0</v>
      </c>
      <c r="AX293" s="794">
        <f t="array" ref="AX293">INDEX(V293:AG293,1,MATCH(Parametres!$B$3,V$1:AG$1,0))*IF(OR(C293="L",C293="S",C293="I"),-1,1)</f>
        <v>0</v>
      </c>
      <c r="AY293" s="853" t="s">
        <v>772</v>
      </c>
      <c r="AZ293" s="853" t="str">
        <f>+VLOOKUP($AJ293,Data_Validation!$A:$E,5,0)</f>
        <v/>
      </c>
    </row>
    <row r="294" ht="15.0" customHeight="1">
      <c r="A294" s="849" t="s">
        <v>1239</v>
      </c>
      <c r="B294" s="849">
        <v>2026.0</v>
      </c>
      <c r="C294" s="849" t="s">
        <v>1810</v>
      </c>
      <c r="D294" s="849" t="s">
        <v>1811</v>
      </c>
      <c r="E294" s="849" t="s">
        <v>768</v>
      </c>
      <c r="F294" s="849" t="s">
        <v>1200</v>
      </c>
      <c r="G294" s="849">
        <v>19.0</v>
      </c>
      <c r="H294" s="849">
        <v>38.0</v>
      </c>
      <c r="I294" s="849">
        <v>57.0</v>
      </c>
      <c r="J294" s="849">
        <v>76.0</v>
      </c>
      <c r="K294" s="849">
        <v>95.0</v>
      </c>
      <c r="L294" s="849">
        <v>114.0</v>
      </c>
      <c r="M294" s="849">
        <v>133.0</v>
      </c>
      <c r="N294" s="849">
        <v>152.0</v>
      </c>
      <c r="O294" s="849">
        <v>171.0</v>
      </c>
      <c r="P294" s="849">
        <v>171.0</v>
      </c>
      <c r="Q294" s="849">
        <v>0.0</v>
      </c>
      <c r="R294" s="849">
        <v>0.0</v>
      </c>
      <c r="S294" s="849">
        <v>19.0</v>
      </c>
      <c r="T294" s="849">
        <v>19.0</v>
      </c>
      <c r="U294" s="849">
        <v>0.0</v>
      </c>
      <c r="V294" s="849">
        <v>0.0</v>
      </c>
      <c r="W294" s="849">
        <v>0.0</v>
      </c>
      <c r="X294" s="849">
        <v>0.0</v>
      </c>
      <c r="Y294" s="849">
        <v>0.0</v>
      </c>
      <c r="Z294" s="849">
        <v>0.0</v>
      </c>
      <c r="AA294" s="849">
        <v>0.0</v>
      </c>
      <c r="AB294" s="849">
        <v>0.0</v>
      </c>
      <c r="AC294" s="849">
        <v>0.0</v>
      </c>
      <c r="AD294" s="849">
        <v>0.0</v>
      </c>
      <c r="AE294" s="849">
        <v>0.0</v>
      </c>
      <c r="AF294" s="849">
        <v>0.0</v>
      </c>
      <c r="AG294" s="849">
        <v>0.0</v>
      </c>
      <c r="AH294" s="849">
        <v>0.0</v>
      </c>
      <c r="AI294" s="849">
        <v>0.0</v>
      </c>
      <c r="AJ294" s="794" t="str">
        <f t="shared" ref="AJ294:AK294" si="585">C294</f>
        <v>G0832</v>
      </c>
      <c r="AK294" s="794" t="str">
        <f t="shared" si="585"/>
        <v>AMORT. BATISSE-USAGES</v>
      </c>
      <c r="AL294" s="794">
        <f t="array" ref="AL294">IFERROR(INDEX(G294:R294,1,MATCH(Parametres!$B$3,G$1:R$1,0)-1)*IF(OR(F294="L",F294="S",F294="I"),-1,1),"")</f>
        <v>152</v>
      </c>
      <c r="AM294" s="794">
        <f t="shared" si="4"/>
        <v>19</v>
      </c>
      <c r="AN294" s="794">
        <f t="array" ref="AN294">INDEX(G294:R294,1,MATCH(Parametres!$B$3,G$1:R$1,0))*IF(OR(F294="L",F294="S",F294="I"),-1,1)</f>
        <v>171</v>
      </c>
      <c r="AO294" s="853" t="str">
        <f>+VLOOKUP($AJ294,Data_Validation!$A:$D,1,0)</f>
        <v>G0832</v>
      </c>
      <c r="AP294" s="853" t="str">
        <f>+VLOOKUP($AJ294,Data_Validation!$A:$D,3,0)</f>
        <v>Véhicules usagés</v>
      </c>
      <c r="AQ294" s="853" t="str">
        <f>+VLOOKUP($AJ294,Data_Validation!$A:$D,4,0)</f>
        <v>Amortissement</v>
      </c>
      <c r="AR294" s="853" t="s">
        <v>728</v>
      </c>
      <c r="AS294" s="853" t="str">
        <f>+VLOOKUP($AJ294,Data_Validation!$A:$E,5,0)</f>
        <v/>
      </c>
      <c r="AT294" s="794" t="str">
        <f t="shared" ref="AT294:AU294" si="586">C294</f>
        <v>G0832</v>
      </c>
      <c r="AU294" s="854" t="str">
        <f t="shared" si="586"/>
        <v>AMORT. BATISSE-USAGES</v>
      </c>
      <c r="AV294" s="794">
        <f t="array" ref="AV294">IFERROR(INDEX(V294:AG294,1,MATCH(Parametres!$B$3,V$1:AG$1,0)-1)*IF(OR(C294="L",C294="S",C294="I"),-1,1),"")</f>
        <v>0</v>
      </c>
      <c r="AW294" s="794">
        <f t="shared" si="6"/>
        <v>0</v>
      </c>
      <c r="AX294" s="794">
        <f t="array" ref="AX294">INDEX(V294:AG294,1,MATCH(Parametres!$B$3,V$1:AG$1,0))*IF(OR(C294="L",C294="S",C294="I"),-1,1)</f>
        <v>0</v>
      </c>
      <c r="AY294" s="853" t="s">
        <v>772</v>
      </c>
      <c r="AZ294" s="853" t="str">
        <f>+VLOOKUP($AJ294,Data_Validation!$A:$E,5,0)</f>
        <v/>
      </c>
    </row>
    <row r="295" ht="15.0" customHeight="1">
      <c r="A295" s="849" t="s">
        <v>1239</v>
      </c>
      <c r="B295" s="849">
        <v>2026.0</v>
      </c>
      <c r="C295" s="849" t="s">
        <v>1812</v>
      </c>
      <c r="D295" s="849" t="s">
        <v>1813</v>
      </c>
      <c r="E295" s="849" t="s">
        <v>768</v>
      </c>
      <c r="F295" s="849" t="s">
        <v>1200</v>
      </c>
      <c r="G295" s="849">
        <v>28.5</v>
      </c>
      <c r="H295" s="849">
        <v>57.0</v>
      </c>
      <c r="I295" s="849">
        <v>85.5</v>
      </c>
      <c r="J295" s="849">
        <v>114.0</v>
      </c>
      <c r="K295" s="849">
        <v>142.5</v>
      </c>
      <c r="L295" s="849">
        <v>171.0</v>
      </c>
      <c r="M295" s="849">
        <v>199.5</v>
      </c>
      <c r="N295" s="849">
        <v>228.0</v>
      </c>
      <c r="O295" s="849">
        <v>256.5</v>
      </c>
      <c r="P295" s="849">
        <v>256.5</v>
      </c>
      <c r="Q295" s="849">
        <v>0.0</v>
      </c>
      <c r="R295" s="849">
        <v>0.0</v>
      </c>
      <c r="S295" s="849">
        <v>28.5</v>
      </c>
      <c r="T295" s="849">
        <v>28.5</v>
      </c>
      <c r="U295" s="849">
        <v>0.0</v>
      </c>
      <c r="V295" s="849">
        <v>0.0</v>
      </c>
      <c r="W295" s="849">
        <v>0.0</v>
      </c>
      <c r="X295" s="849">
        <v>0.0</v>
      </c>
      <c r="Y295" s="849">
        <v>0.0</v>
      </c>
      <c r="Z295" s="849">
        <v>0.0</v>
      </c>
      <c r="AA295" s="849">
        <v>0.0</v>
      </c>
      <c r="AB295" s="849">
        <v>0.0</v>
      </c>
      <c r="AC295" s="849">
        <v>0.0</v>
      </c>
      <c r="AD295" s="849">
        <v>0.0</v>
      </c>
      <c r="AE295" s="849">
        <v>0.0</v>
      </c>
      <c r="AF295" s="849">
        <v>0.0</v>
      </c>
      <c r="AG295" s="849">
        <v>0.0</v>
      </c>
      <c r="AH295" s="849">
        <v>0.0</v>
      </c>
      <c r="AI295" s="849">
        <v>0.0</v>
      </c>
      <c r="AJ295" s="794" t="str">
        <f t="shared" ref="AJ295:AK295" si="587">C295</f>
        <v>G0834</v>
      </c>
      <c r="AK295" s="794" t="str">
        <f t="shared" si="587"/>
        <v>AMORT. BATISSE-SERVICE</v>
      </c>
      <c r="AL295" s="794">
        <f t="array" ref="AL295">IFERROR(INDEX(G295:R295,1,MATCH(Parametres!$B$3,G$1:R$1,0)-1)*IF(OR(F295="L",F295="S",F295="I"),-1,1),"")</f>
        <v>228</v>
      </c>
      <c r="AM295" s="794">
        <f t="shared" si="4"/>
        <v>28.5</v>
      </c>
      <c r="AN295" s="794">
        <f t="array" ref="AN295">INDEX(G295:R295,1,MATCH(Parametres!$B$3,G$1:R$1,0))*IF(OR(F295="L",F295="S",F295="I"),-1,1)</f>
        <v>256.5</v>
      </c>
      <c r="AO295" s="853" t="str">
        <f>+VLOOKUP($AJ295,Data_Validation!$A:$D,1,0)</f>
        <v>G0834</v>
      </c>
      <c r="AP295" s="853" t="str">
        <f>+VLOOKUP($AJ295,Data_Validation!$A:$D,3,0)</f>
        <v>Service</v>
      </c>
      <c r="AQ295" s="853" t="str">
        <f>+VLOOKUP($AJ295,Data_Validation!$A:$D,4,0)</f>
        <v>Amortissement</v>
      </c>
      <c r="AR295" s="853" t="s">
        <v>728</v>
      </c>
      <c r="AS295" s="853" t="str">
        <f>+VLOOKUP($AJ295,Data_Validation!$A:$E,5,0)</f>
        <v/>
      </c>
      <c r="AT295" s="794" t="str">
        <f t="shared" ref="AT295:AU295" si="588">C295</f>
        <v>G0834</v>
      </c>
      <c r="AU295" s="854" t="str">
        <f t="shared" si="588"/>
        <v>AMORT. BATISSE-SERVICE</v>
      </c>
      <c r="AV295" s="794">
        <f t="array" ref="AV295">IFERROR(INDEX(V295:AG295,1,MATCH(Parametres!$B$3,V$1:AG$1,0)-1)*IF(OR(C295="L",C295="S",C295="I"),-1,1),"")</f>
        <v>0</v>
      </c>
      <c r="AW295" s="794">
        <f t="shared" si="6"/>
        <v>0</v>
      </c>
      <c r="AX295" s="794">
        <f t="array" ref="AX295">INDEX(V295:AG295,1,MATCH(Parametres!$B$3,V$1:AG$1,0))*IF(OR(C295="L",C295="S",C295="I"),-1,1)</f>
        <v>0</v>
      </c>
      <c r="AY295" s="853" t="s">
        <v>772</v>
      </c>
      <c r="AZ295" s="853" t="str">
        <f>+VLOOKUP($AJ295,Data_Validation!$A:$E,5,0)</f>
        <v/>
      </c>
    </row>
    <row r="296" ht="15.0" customHeight="1">
      <c r="A296" s="849" t="s">
        <v>1239</v>
      </c>
      <c r="B296" s="849">
        <v>2026.0</v>
      </c>
      <c r="C296" s="849" t="s">
        <v>1814</v>
      </c>
      <c r="D296" s="849" t="s">
        <v>1815</v>
      </c>
      <c r="E296" s="849" t="s">
        <v>768</v>
      </c>
      <c r="F296" s="849" t="s">
        <v>1200</v>
      </c>
      <c r="G296" s="849">
        <v>9.5</v>
      </c>
      <c r="H296" s="849">
        <v>19.0</v>
      </c>
      <c r="I296" s="849">
        <v>28.5</v>
      </c>
      <c r="J296" s="849">
        <v>38.0</v>
      </c>
      <c r="K296" s="849">
        <v>47.5</v>
      </c>
      <c r="L296" s="849">
        <v>57.0</v>
      </c>
      <c r="M296" s="849">
        <v>66.5</v>
      </c>
      <c r="N296" s="849">
        <v>76.0</v>
      </c>
      <c r="O296" s="849">
        <v>85.5</v>
      </c>
      <c r="P296" s="849">
        <v>85.5</v>
      </c>
      <c r="Q296" s="849">
        <v>0.0</v>
      </c>
      <c r="R296" s="849">
        <v>0.0</v>
      </c>
      <c r="S296" s="849">
        <v>9.5</v>
      </c>
      <c r="T296" s="849">
        <v>9.5</v>
      </c>
      <c r="U296" s="849">
        <v>0.0</v>
      </c>
      <c r="V296" s="849">
        <v>0.0</v>
      </c>
      <c r="W296" s="849">
        <v>0.0</v>
      </c>
      <c r="X296" s="849">
        <v>0.0</v>
      </c>
      <c r="Y296" s="849">
        <v>0.0</v>
      </c>
      <c r="Z296" s="849">
        <v>0.0</v>
      </c>
      <c r="AA296" s="849">
        <v>0.0</v>
      </c>
      <c r="AB296" s="849">
        <v>0.0</v>
      </c>
      <c r="AC296" s="849">
        <v>0.0</v>
      </c>
      <c r="AD296" s="849">
        <v>0.0</v>
      </c>
      <c r="AE296" s="849">
        <v>0.0</v>
      </c>
      <c r="AF296" s="849">
        <v>0.0</v>
      </c>
      <c r="AG296" s="849">
        <v>0.0</v>
      </c>
      <c r="AH296" s="849">
        <v>0.0</v>
      </c>
      <c r="AI296" s="849">
        <v>0.0</v>
      </c>
      <c r="AJ296" s="794" t="str">
        <f t="shared" ref="AJ296:AK296" si="589">C296</f>
        <v>G0835</v>
      </c>
      <c r="AK296" s="794" t="str">
        <f t="shared" si="589"/>
        <v>AMORT. BATISSE-CARROSS.</v>
      </c>
      <c r="AL296" s="794">
        <f t="array" ref="AL296">IFERROR(INDEX(G296:R296,1,MATCH(Parametres!$B$3,G$1:R$1,0)-1)*IF(OR(F296="L",F296="S",F296="I"),-1,1),"")</f>
        <v>76</v>
      </c>
      <c r="AM296" s="794">
        <f t="shared" si="4"/>
        <v>9.5</v>
      </c>
      <c r="AN296" s="794">
        <f t="array" ref="AN296">INDEX(G296:R296,1,MATCH(Parametres!$B$3,G$1:R$1,0))*IF(OR(F296="L",F296="S",F296="I"),-1,1)</f>
        <v>85.5</v>
      </c>
      <c r="AO296" s="853" t="str">
        <f>+VLOOKUP($AJ296,Data_Validation!$A:$D,1,0)</f>
        <v>G0835</v>
      </c>
      <c r="AP296" s="853" t="str">
        <f>+VLOOKUP($AJ296,Data_Validation!$A:$D,3,0)</f>
        <v>Carrosserie</v>
      </c>
      <c r="AQ296" s="853" t="str">
        <f>+VLOOKUP($AJ296,Data_Validation!$A:$D,4,0)</f>
        <v>Amortissement</v>
      </c>
      <c r="AR296" s="853" t="s">
        <v>728</v>
      </c>
      <c r="AS296" s="853" t="str">
        <f>+VLOOKUP($AJ296,Data_Validation!$A:$E,5,0)</f>
        <v/>
      </c>
      <c r="AT296" s="794" t="str">
        <f t="shared" ref="AT296:AU296" si="590">C296</f>
        <v>G0835</v>
      </c>
      <c r="AU296" s="854" t="str">
        <f t="shared" si="590"/>
        <v>AMORT. BATISSE-CARROSS.</v>
      </c>
      <c r="AV296" s="794">
        <f t="array" ref="AV296">IFERROR(INDEX(V296:AG296,1,MATCH(Parametres!$B$3,V$1:AG$1,0)-1)*IF(OR(C296="L",C296="S",C296="I"),-1,1),"")</f>
        <v>0</v>
      </c>
      <c r="AW296" s="794">
        <f t="shared" si="6"/>
        <v>0</v>
      </c>
      <c r="AX296" s="794">
        <f t="array" ref="AX296">INDEX(V296:AG296,1,MATCH(Parametres!$B$3,V$1:AG$1,0))*IF(OR(C296="L",C296="S",C296="I"),-1,1)</f>
        <v>0</v>
      </c>
      <c r="AY296" s="853" t="s">
        <v>772</v>
      </c>
      <c r="AZ296" s="853" t="str">
        <f>+VLOOKUP($AJ296,Data_Validation!$A:$E,5,0)</f>
        <v/>
      </c>
    </row>
    <row r="297" ht="15.75" customHeight="1">
      <c r="A297" s="849" t="s">
        <v>1239</v>
      </c>
      <c r="B297" s="849">
        <v>2026.0</v>
      </c>
      <c r="C297" s="849" t="s">
        <v>1816</v>
      </c>
      <c r="D297" s="849" t="s">
        <v>1817</v>
      </c>
      <c r="E297" s="849" t="s">
        <v>768</v>
      </c>
      <c r="F297" s="849" t="s">
        <v>1200</v>
      </c>
      <c r="G297" s="849">
        <v>9.5</v>
      </c>
      <c r="H297" s="849">
        <v>19.0</v>
      </c>
      <c r="I297" s="849">
        <v>28.5</v>
      </c>
      <c r="J297" s="849">
        <v>38.0</v>
      </c>
      <c r="K297" s="849">
        <v>47.5</v>
      </c>
      <c r="L297" s="849">
        <v>57.0</v>
      </c>
      <c r="M297" s="849">
        <v>66.5</v>
      </c>
      <c r="N297" s="849">
        <v>76.0</v>
      </c>
      <c r="O297" s="849">
        <v>85.5</v>
      </c>
      <c r="P297" s="849">
        <v>85.5</v>
      </c>
      <c r="Q297" s="849">
        <v>0.0</v>
      </c>
      <c r="R297" s="849">
        <v>0.0</v>
      </c>
      <c r="S297" s="849">
        <v>9.5</v>
      </c>
      <c r="T297" s="849">
        <v>9.5</v>
      </c>
      <c r="U297" s="849">
        <v>0.0</v>
      </c>
      <c r="V297" s="849">
        <v>0.0</v>
      </c>
      <c r="W297" s="849">
        <v>0.0</v>
      </c>
      <c r="X297" s="849">
        <v>0.0</v>
      </c>
      <c r="Y297" s="849">
        <v>0.0</v>
      </c>
      <c r="Z297" s="849">
        <v>0.0</v>
      </c>
      <c r="AA297" s="849">
        <v>0.0</v>
      </c>
      <c r="AB297" s="849">
        <v>0.0</v>
      </c>
      <c r="AC297" s="849">
        <v>0.0</v>
      </c>
      <c r="AD297" s="849">
        <v>0.0</v>
      </c>
      <c r="AE297" s="849">
        <v>0.0</v>
      </c>
      <c r="AF297" s="849">
        <v>0.0</v>
      </c>
      <c r="AG297" s="849">
        <v>0.0</v>
      </c>
      <c r="AH297" s="849">
        <v>0.0</v>
      </c>
      <c r="AI297" s="849">
        <v>0.0</v>
      </c>
      <c r="AJ297" s="794" t="str">
        <f t="shared" ref="AJ297:AK297" si="591">C297</f>
        <v>G0836</v>
      </c>
      <c r="AK297" s="794" t="str">
        <f t="shared" si="591"/>
        <v>AMORT. BATISSE-PIECES</v>
      </c>
      <c r="AL297" s="794">
        <f t="array" ref="AL297">IFERROR(INDEX(G297:R297,1,MATCH(Parametres!$B$3,G$1:R$1,0)-1)*IF(OR(F297="L",F297="S",F297="I"),-1,1),"")</f>
        <v>76</v>
      </c>
      <c r="AM297" s="794">
        <f t="shared" si="4"/>
        <v>9.5</v>
      </c>
      <c r="AN297" s="794">
        <f t="array" ref="AN297">INDEX(G297:R297,1,MATCH(Parametres!$B$3,G$1:R$1,0))*IF(OR(F297="L",F297="S",F297="I"),-1,1)</f>
        <v>85.5</v>
      </c>
      <c r="AO297" s="853" t="str">
        <f>+VLOOKUP($AJ297,Data_Validation!$A:$D,1,0)</f>
        <v>G0836</v>
      </c>
      <c r="AP297" s="853" t="str">
        <f>+VLOOKUP($AJ297,Data_Validation!$A:$D,3,0)</f>
        <v>Pièces</v>
      </c>
      <c r="AQ297" s="853" t="str">
        <f>+VLOOKUP($AJ297,Data_Validation!$A:$D,4,0)</f>
        <v>Amortissement</v>
      </c>
      <c r="AR297" s="853" t="s">
        <v>728</v>
      </c>
      <c r="AS297" s="853" t="str">
        <f>+VLOOKUP($AJ297,Data_Validation!$A:$E,5,0)</f>
        <v/>
      </c>
      <c r="AT297" s="794" t="str">
        <f t="shared" ref="AT297:AU297" si="592">C297</f>
        <v>G0836</v>
      </c>
      <c r="AU297" s="854" t="str">
        <f t="shared" si="592"/>
        <v>AMORT. BATISSE-PIECES</v>
      </c>
      <c r="AV297" s="794">
        <f t="array" ref="AV297">IFERROR(INDEX(V297:AG297,1,MATCH(Parametres!$B$3,V$1:AG$1,0)-1)*IF(OR(C297="L",C297="S",C297="I"),-1,1),"")</f>
        <v>0</v>
      </c>
      <c r="AW297" s="794">
        <f t="shared" si="6"/>
        <v>0</v>
      </c>
      <c r="AX297" s="794">
        <f t="array" ref="AX297">INDEX(V297:AG297,1,MATCH(Parametres!$B$3,V$1:AG$1,0))*IF(OR(C297="L",C297="S",C297="I"),-1,1)</f>
        <v>0</v>
      </c>
      <c r="AY297" s="853" t="s">
        <v>772</v>
      </c>
      <c r="AZ297" s="853" t="str">
        <f>+VLOOKUP($AJ297,Data_Validation!$A:$E,5,0)</f>
        <v/>
      </c>
    </row>
    <row r="298" ht="15.0" customHeight="1">
      <c r="A298" s="849" t="s">
        <v>1239</v>
      </c>
      <c r="B298" s="849">
        <v>2026.0</v>
      </c>
      <c r="C298" s="849" t="s">
        <v>1818</v>
      </c>
      <c r="D298" s="849" t="s">
        <v>1819</v>
      </c>
      <c r="E298" s="849" t="s">
        <v>768</v>
      </c>
      <c r="F298" s="849" t="s">
        <v>1200</v>
      </c>
      <c r="G298" s="849">
        <v>0.0</v>
      </c>
      <c r="H298" s="849">
        <v>0.0</v>
      </c>
      <c r="I298" s="849">
        <v>0.0</v>
      </c>
      <c r="J298" s="849">
        <v>0.0</v>
      </c>
      <c r="K298" s="849">
        <v>0.0</v>
      </c>
      <c r="L298" s="849">
        <v>0.0</v>
      </c>
      <c r="M298" s="849">
        <v>0.0</v>
      </c>
      <c r="N298" s="849">
        <v>0.0</v>
      </c>
      <c r="O298" s="849">
        <v>0.0</v>
      </c>
      <c r="P298" s="849">
        <v>0.0</v>
      </c>
      <c r="Q298" s="849">
        <v>0.0</v>
      </c>
      <c r="R298" s="849">
        <v>0.0</v>
      </c>
      <c r="S298" s="849">
        <v>0.0</v>
      </c>
      <c r="T298" s="849">
        <v>0.0</v>
      </c>
      <c r="U298" s="849">
        <v>0.0</v>
      </c>
      <c r="V298" s="849">
        <v>0.0</v>
      </c>
      <c r="W298" s="849">
        <v>0.0</v>
      </c>
      <c r="X298" s="849">
        <v>0.0</v>
      </c>
      <c r="Y298" s="849">
        <v>0.0</v>
      </c>
      <c r="Z298" s="849">
        <v>0.0</v>
      </c>
      <c r="AA298" s="849">
        <v>0.0</v>
      </c>
      <c r="AB298" s="849">
        <v>0.0</v>
      </c>
      <c r="AC298" s="849">
        <v>0.0</v>
      </c>
      <c r="AD298" s="849">
        <v>0.0</v>
      </c>
      <c r="AE298" s="849">
        <v>0.0</v>
      </c>
      <c r="AF298" s="849">
        <v>0.0</v>
      </c>
      <c r="AG298" s="849">
        <v>0.0</v>
      </c>
      <c r="AH298" s="849">
        <v>0.0</v>
      </c>
      <c r="AI298" s="849">
        <v>0.0</v>
      </c>
      <c r="AJ298" s="794" t="str">
        <f t="shared" ref="AJ298:AK298" si="593">C298</f>
        <v>G0840</v>
      </c>
      <c r="AK298" s="794" t="str">
        <f t="shared" si="593"/>
        <v>IMPOTS FONCIERS REP.</v>
      </c>
      <c r="AL298" s="794">
        <f t="array" ref="AL298">IFERROR(INDEX(G298:R298,1,MATCH(Parametres!$B$3,G$1:R$1,0)-1)*IF(OR(F298="L",F298="S",F298="I"),-1,1),"")</f>
        <v>0</v>
      </c>
      <c r="AM298" s="794">
        <f t="shared" si="4"/>
        <v>0</v>
      </c>
      <c r="AN298" s="794">
        <f t="array" ref="AN298">INDEX(G298:R298,1,MATCH(Parametres!$B$3,G$1:R$1,0))*IF(OR(F298="L",F298="S",F298="I"),-1,1)</f>
        <v>0</v>
      </c>
      <c r="AO298" s="853" t="str">
        <f>+VLOOKUP($AJ298,Data_Validation!$A:$D,1,0)</f>
        <v>#N/A</v>
      </c>
      <c r="AP298" s="853" t="str">
        <f>+VLOOKUP($AJ298,Data_Validation!$A:$D,3,0)</f>
        <v>#N/A</v>
      </c>
      <c r="AQ298" s="853" t="str">
        <f>+VLOOKUP($AJ298,Data_Validation!$A:$D,4,0)</f>
        <v>#N/A</v>
      </c>
      <c r="AR298" s="853" t="s">
        <v>728</v>
      </c>
      <c r="AS298" s="853" t="str">
        <f>+VLOOKUP($AJ298,Data_Validation!$A:$E,5,0)</f>
        <v>#N/A</v>
      </c>
      <c r="AT298" s="794" t="str">
        <f t="shared" ref="AT298:AU298" si="594">C298</f>
        <v>G0840</v>
      </c>
      <c r="AU298" s="854" t="str">
        <f t="shared" si="594"/>
        <v>IMPOTS FONCIERS REP.</v>
      </c>
      <c r="AV298" s="794">
        <f t="array" ref="AV298">IFERROR(INDEX(V298:AG298,1,MATCH(Parametres!$B$3,V$1:AG$1,0)-1)*IF(OR(C298="L",C298="S",C298="I"),-1,1),"")</f>
        <v>0</v>
      </c>
      <c r="AW298" s="794">
        <f t="shared" si="6"/>
        <v>0</v>
      </c>
      <c r="AX298" s="794">
        <f t="array" ref="AX298">INDEX(V298:AG298,1,MATCH(Parametres!$B$3,V$1:AG$1,0))*IF(OR(C298="L",C298="S",C298="I"),-1,1)</f>
        <v>0</v>
      </c>
      <c r="AY298" s="853" t="s">
        <v>772</v>
      </c>
      <c r="AZ298" s="853" t="str">
        <f>+VLOOKUP($AJ298,Data_Validation!$A:$E,5,0)</f>
        <v>#N/A</v>
      </c>
    </row>
    <row r="299" ht="15.0" customHeight="1">
      <c r="A299" s="849" t="s">
        <v>1239</v>
      </c>
      <c r="B299" s="849">
        <v>2026.0</v>
      </c>
      <c r="C299" s="849" t="s">
        <v>1820</v>
      </c>
      <c r="D299" s="849" t="s">
        <v>1821</v>
      </c>
      <c r="E299" s="849" t="s">
        <v>768</v>
      </c>
      <c r="F299" s="849" t="s">
        <v>1200</v>
      </c>
      <c r="G299" s="849">
        <v>3690.0</v>
      </c>
      <c r="H299" s="849">
        <v>7380.0</v>
      </c>
      <c r="I299" s="849">
        <v>9585.0</v>
      </c>
      <c r="J299" s="849">
        <v>11790.0</v>
      </c>
      <c r="K299" s="849">
        <v>13995.0</v>
      </c>
      <c r="L299" s="849">
        <v>16200.0</v>
      </c>
      <c r="M299" s="849">
        <v>18316.17</v>
      </c>
      <c r="N299" s="849">
        <v>20432.34</v>
      </c>
      <c r="O299" s="849">
        <v>22548.51</v>
      </c>
      <c r="P299" s="849">
        <v>22548.51</v>
      </c>
      <c r="Q299" s="849">
        <v>0.0</v>
      </c>
      <c r="R299" s="849">
        <v>0.0</v>
      </c>
      <c r="S299" s="849">
        <v>2505.39</v>
      </c>
      <c r="T299" s="849">
        <v>2505.39</v>
      </c>
      <c r="U299" s="849">
        <v>0.0</v>
      </c>
      <c r="V299" s="849">
        <v>0.0</v>
      </c>
      <c r="W299" s="849">
        <v>0.0</v>
      </c>
      <c r="X299" s="849">
        <v>0.0</v>
      </c>
      <c r="Y299" s="849">
        <v>0.0</v>
      </c>
      <c r="Z299" s="849">
        <v>0.0</v>
      </c>
      <c r="AA299" s="849">
        <v>0.0</v>
      </c>
      <c r="AB299" s="849">
        <v>0.0</v>
      </c>
      <c r="AC299" s="849">
        <v>0.0</v>
      </c>
      <c r="AD299" s="849">
        <v>0.0</v>
      </c>
      <c r="AE299" s="849">
        <v>0.0</v>
      </c>
      <c r="AF299" s="849">
        <v>0.0</v>
      </c>
      <c r="AG299" s="849">
        <v>0.0</v>
      </c>
      <c r="AH299" s="849">
        <v>0.0</v>
      </c>
      <c r="AI299" s="849">
        <v>0.0</v>
      </c>
      <c r="AJ299" s="794" t="str">
        <f t="shared" ref="AJ299:AK299" si="595">C299</f>
        <v>G0841</v>
      </c>
      <c r="AK299" s="794" t="str">
        <f t="shared" si="595"/>
        <v>IMPOT FONCIERS-NEUFS</v>
      </c>
      <c r="AL299" s="794">
        <f t="array" ref="AL299">IFERROR(INDEX(G299:R299,1,MATCH(Parametres!$B$3,G$1:R$1,0)-1)*IF(OR(F299="L",F299="S",F299="I"),-1,1),"")</f>
        <v>20432.34</v>
      </c>
      <c r="AM299" s="794">
        <f t="shared" si="4"/>
        <v>2116.17</v>
      </c>
      <c r="AN299" s="794">
        <f t="array" ref="AN299">INDEX(G299:R299,1,MATCH(Parametres!$B$3,G$1:R$1,0))*IF(OR(F299="L",F299="S",F299="I"),-1,1)</f>
        <v>22548.51</v>
      </c>
      <c r="AO299" s="853" t="str">
        <f>+VLOOKUP($AJ299,Data_Validation!$A:$D,1,0)</f>
        <v>G0841</v>
      </c>
      <c r="AP299" s="853" t="str">
        <f>+VLOOKUP($AJ299,Data_Validation!$A:$D,3,0)</f>
        <v>Véhicules neufs</v>
      </c>
      <c r="AQ299" s="853" t="str">
        <f>+VLOOKUP($AJ299,Data_Validation!$A:$D,4,0)</f>
        <v>Taxes foncières</v>
      </c>
      <c r="AR299" s="853" t="s">
        <v>728</v>
      </c>
      <c r="AS299" s="853" t="str">
        <f>+VLOOKUP($AJ299,Data_Validation!$A:$E,5,0)</f>
        <v/>
      </c>
      <c r="AT299" s="794" t="str">
        <f t="shared" ref="AT299:AU299" si="596">C299</f>
        <v>G0841</v>
      </c>
      <c r="AU299" s="854" t="str">
        <f t="shared" si="596"/>
        <v>IMPOT FONCIERS-NEUFS</v>
      </c>
      <c r="AV299" s="794">
        <f t="array" ref="AV299">IFERROR(INDEX(V299:AG299,1,MATCH(Parametres!$B$3,V$1:AG$1,0)-1)*IF(OR(C299="L",C299="S",C299="I"),-1,1),"")</f>
        <v>0</v>
      </c>
      <c r="AW299" s="794">
        <f t="shared" si="6"/>
        <v>0</v>
      </c>
      <c r="AX299" s="794">
        <f t="array" ref="AX299">INDEX(V299:AG299,1,MATCH(Parametres!$B$3,V$1:AG$1,0))*IF(OR(C299="L",C299="S",C299="I"),-1,1)</f>
        <v>0</v>
      </c>
      <c r="AY299" s="853" t="s">
        <v>772</v>
      </c>
      <c r="AZ299" s="853" t="str">
        <f>+VLOOKUP($AJ299,Data_Validation!$A:$E,5,0)</f>
        <v/>
      </c>
    </row>
    <row r="300" ht="15.0" customHeight="1">
      <c r="A300" s="849" t="s">
        <v>1239</v>
      </c>
      <c r="B300" s="849">
        <v>2026.0</v>
      </c>
      <c r="C300" s="849" t="s">
        <v>1822</v>
      </c>
      <c r="D300" s="849" t="s">
        <v>1823</v>
      </c>
      <c r="E300" s="849" t="s">
        <v>768</v>
      </c>
      <c r="F300" s="849" t="s">
        <v>1200</v>
      </c>
      <c r="G300" s="849">
        <v>2460.0</v>
      </c>
      <c r="H300" s="849">
        <v>4920.0</v>
      </c>
      <c r="I300" s="849">
        <v>6390.0</v>
      </c>
      <c r="J300" s="849">
        <v>7860.0</v>
      </c>
      <c r="K300" s="849">
        <v>9330.0</v>
      </c>
      <c r="L300" s="849">
        <v>10800.0</v>
      </c>
      <c r="M300" s="849">
        <v>12210.78</v>
      </c>
      <c r="N300" s="849">
        <v>13621.56</v>
      </c>
      <c r="O300" s="849">
        <v>15032.34</v>
      </c>
      <c r="P300" s="849">
        <v>15032.34</v>
      </c>
      <c r="Q300" s="849">
        <v>0.0</v>
      </c>
      <c r="R300" s="849">
        <v>0.0</v>
      </c>
      <c r="S300" s="849">
        <v>1670.26</v>
      </c>
      <c r="T300" s="849">
        <v>1670.26</v>
      </c>
      <c r="U300" s="849">
        <v>0.0</v>
      </c>
      <c r="V300" s="849">
        <v>0.0</v>
      </c>
      <c r="W300" s="849">
        <v>0.0</v>
      </c>
      <c r="X300" s="849">
        <v>0.0</v>
      </c>
      <c r="Y300" s="849">
        <v>0.0</v>
      </c>
      <c r="Z300" s="849">
        <v>0.0</v>
      </c>
      <c r="AA300" s="849">
        <v>0.0</v>
      </c>
      <c r="AB300" s="849">
        <v>0.0</v>
      </c>
      <c r="AC300" s="849">
        <v>0.0</v>
      </c>
      <c r="AD300" s="849">
        <v>0.0</v>
      </c>
      <c r="AE300" s="849">
        <v>0.0</v>
      </c>
      <c r="AF300" s="849">
        <v>0.0</v>
      </c>
      <c r="AG300" s="849">
        <v>0.0</v>
      </c>
      <c r="AH300" s="849">
        <v>0.0</v>
      </c>
      <c r="AI300" s="849">
        <v>0.0</v>
      </c>
      <c r="AJ300" s="794" t="str">
        <f t="shared" ref="AJ300:AK300" si="597">C300</f>
        <v>G0842</v>
      </c>
      <c r="AK300" s="794" t="str">
        <f t="shared" si="597"/>
        <v>IMPOT FONCIERS-USAGES</v>
      </c>
      <c r="AL300" s="794">
        <f t="array" ref="AL300">IFERROR(INDEX(G300:R300,1,MATCH(Parametres!$B$3,G$1:R$1,0)-1)*IF(OR(F300="L",F300="S",F300="I"),-1,1),"")</f>
        <v>13621.56</v>
      </c>
      <c r="AM300" s="794">
        <f t="shared" si="4"/>
        <v>1410.78</v>
      </c>
      <c r="AN300" s="794">
        <f t="array" ref="AN300">INDEX(G300:R300,1,MATCH(Parametres!$B$3,G$1:R$1,0))*IF(OR(F300="L",F300="S",F300="I"),-1,1)</f>
        <v>15032.34</v>
      </c>
      <c r="AO300" s="853" t="str">
        <f>+VLOOKUP($AJ300,Data_Validation!$A:$D,1,0)</f>
        <v>G0842</v>
      </c>
      <c r="AP300" s="853" t="str">
        <f>+VLOOKUP($AJ300,Data_Validation!$A:$D,3,0)</f>
        <v>Véhicules usagés</v>
      </c>
      <c r="AQ300" s="853" t="str">
        <f>+VLOOKUP($AJ300,Data_Validation!$A:$D,4,0)</f>
        <v>Taxes foncières</v>
      </c>
      <c r="AR300" s="853" t="s">
        <v>728</v>
      </c>
      <c r="AS300" s="853" t="str">
        <f>+VLOOKUP($AJ300,Data_Validation!$A:$E,5,0)</f>
        <v/>
      </c>
      <c r="AT300" s="794" t="str">
        <f t="shared" ref="AT300:AU300" si="598">C300</f>
        <v>G0842</v>
      </c>
      <c r="AU300" s="854" t="str">
        <f t="shared" si="598"/>
        <v>IMPOT FONCIERS-USAGES</v>
      </c>
      <c r="AV300" s="794">
        <f t="array" ref="AV300">IFERROR(INDEX(V300:AG300,1,MATCH(Parametres!$B$3,V$1:AG$1,0)-1)*IF(OR(C300="L",C300="S",C300="I"),-1,1),"")</f>
        <v>0</v>
      </c>
      <c r="AW300" s="794">
        <f t="shared" si="6"/>
        <v>0</v>
      </c>
      <c r="AX300" s="794">
        <f t="array" ref="AX300">INDEX(V300:AG300,1,MATCH(Parametres!$B$3,V$1:AG$1,0))*IF(OR(C300="L",C300="S",C300="I"),-1,1)</f>
        <v>0</v>
      </c>
      <c r="AY300" s="853" t="s">
        <v>772</v>
      </c>
      <c r="AZ300" s="853" t="str">
        <f>+VLOOKUP($AJ300,Data_Validation!$A:$E,5,0)</f>
        <v/>
      </c>
    </row>
    <row r="301" ht="15.75" customHeight="1">
      <c r="A301" s="849" t="s">
        <v>1239</v>
      </c>
      <c r="B301" s="849">
        <v>2026.0</v>
      </c>
      <c r="C301" s="849" t="s">
        <v>1824</v>
      </c>
      <c r="D301" s="849" t="s">
        <v>1825</v>
      </c>
      <c r="E301" s="849" t="s">
        <v>768</v>
      </c>
      <c r="F301" s="849" t="s">
        <v>1200</v>
      </c>
      <c r="G301" s="849">
        <v>3690.0</v>
      </c>
      <c r="H301" s="849">
        <v>7380.0</v>
      </c>
      <c r="I301" s="849">
        <v>9585.0</v>
      </c>
      <c r="J301" s="849">
        <v>11790.0</v>
      </c>
      <c r="K301" s="849">
        <v>13995.0</v>
      </c>
      <c r="L301" s="849">
        <v>16200.0</v>
      </c>
      <c r="M301" s="849">
        <v>18316.17</v>
      </c>
      <c r="N301" s="849">
        <v>20432.34</v>
      </c>
      <c r="O301" s="849">
        <v>22548.51</v>
      </c>
      <c r="P301" s="849">
        <v>22548.51</v>
      </c>
      <c r="Q301" s="849">
        <v>0.0</v>
      </c>
      <c r="R301" s="849">
        <v>0.0</v>
      </c>
      <c r="S301" s="849">
        <v>2505.39</v>
      </c>
      <c r="T301" s="849">
        <v>2505.39</v>
      </c>
      <c r="U301" s="849">
        <v>0.0</v>
      </c>
      <c r="V301" s="849">
        <v>0.0</v>
      </c>
      <c r="W301" s="849">
        <v>0.0</v>
      </c>
      <c r="X301" s="849">
        <v>0.0</v>
      </c>
      <c r="Y301" s="849">
        <v>0.0</v>
      </c>
      <c r="Z301" s="849">
        <v>0.0</v>
      </c>
      <c r="AA301" s="849">
        <v>0.0</v>
      </c>
      <c r="AB301" s="849">
        <v>0.0</v>
      </c>
      <c r="AC301" s="849">
        <v>0.0</v>
      </c>
      <c r="AD301" s="849">
        <v>0.0</v>
      </c>
      <c r="AE301" s="849">
        <v>0.0</v>
      </c>
      <c r="AF301" s="849">
        <v>0.0</v>
      </c>
      <c r="AG301" s="849">
        <v>0.0</v>
      </c>
      <c r="AH301" s="849">
        <v>0.0</v>
      </c>
      <c r="AI301" s="849">
        <v>0.0</v>
      </c>
      <c r="AJ301" s="794" t="str">
        <f t="shared" ref="AJ301:AK301" si="599">C301</f>
        <v>G0844</v>
      </c>
      <c r="AK301" s="794" t="str">
        <f t="shared" si="599"/>
        <v>IMPOT FONCIERS-SERVICE</v>
      </c>
      <c r="AL301" s="794">
        <f t="array" ref="AL301">IFERROR(INDEX(G301:R301,1,MATCH(Parametres!$B$3,G$1:R$1,0)-1)*IF(OR(F301="L",F301="S",F301="I"),-1,1),"")</f>
        <v>20432.34</v>
      </c>
      <c r="AM301" s="794">
        <f t="shared" si="4"/>
        <v>2116.17</v>
      </c>
      <c r="AN301" s="794">
        <f t="array" ref="AN301">INDEX(G301:R301,1,MATCH(Parametres!$B$3,G$1:R$1,0))*IF(OR(F301="L",F301="S",F301="I"),-1,1)</f>
        <v>22548.51</v>
      </c>
      <c r="AO301" s="853" t="str">
        <f>+VLOOKUP($AJ301,Data_Validation!$A:$D,1,0)</f>
        <v>G0844</v>
      </c>
      <c r="AP301" s="853" t="str">
        <f>+VLOOKUP($AJ301,Data_Validation!$A:$D,3,0)</f>
        <v>Service</v>
      </c>
      <c r="AQ301" s="853" t="str">
        <f>+VLOOKUP($AJ301,Data_Validation!$A:$D,4,0)</f>
        <v>Taxes foncières</v>
      </c>
      <c r="AR301" s="853" t="s">
        <v>728</v>
      </c>
      <c r="AS301" s="853" t="str">
        <f>+VLOOKUP($AJ301,Data_Validation!$A:$E,5,0)</f>
        <v/>
      </c>
      <c r="AT301" s="794" t="str">
        <f t="shared" ref="AT301:AU301" si="600">C301</f>
        <v>G0844</v>
      </c>
      <c r="AU301" s="854" t="str">
        <f t="shared" si="600"/>
        <v>IMPOT FONCIERS-SERVICE</v>
      </c>
      <c r="AV301" s="794">
        <f t="array" ref="AV301">IFERROR(INDEX(V301:AG301,1,MATCH(Parametres!$B$3,V$1:AG$1,0)-1)*IF(OR(C301="L",C301="S",C301="I"),-1,1),"")</f>
        <v>0</v>
      </c>
      <c r="AW301" s="794">
        <f t="shared" si="6"/>
        <v>0</v>
      </c>
      <c r="AX301" s="794">
        <f t="array" ref="AX301">INDEX(V301:AG301,1,MATCH(Parametres!$B$3,V$1:AG$1,0))*IF(OR(C301="L",C301="S",C301="I"),-1,1)</f>
        <v>0</v>
      </c>
      <c r="AY301" s="853" t="s">
        <v>772</v>
      </c>
      <c r="AZ301" s="853" t="str">
        <f>+VLOOKUP($AJ301,Data_Validation!$A:$E,5,0)</f>
        <v/>
      </c>
    </row>
    <row r="302" ht="15.0" customHeight="1">
      <c r="A302" s="849" t="s">
        <v>1239</v>
      </c>
      <c r="B302" s="849">
        <v>2026.0</v>
      </c>
      <c r="C302" s="849" t="s">
        <v>1826</v>
      </c>
      <c r="D302" s="849" t="s">
        <v>1827</v>
      </c>
      <c r="E302" s="849" t="s">
        <v>768</v>
      </c>
      <c r="F302" s="849" t="s">
        <v>1200</v>
      </c>
      <c r="G302" s="849">
        <v>1230.0</v>
      </c>
      <c r="H302" s="849">
        <v>2460.0</v>
      </c>
      <c r="I302" s="849">
        <v>3195.0</v>
      </c>
      <c r="J302" s="849">
        <v>3930.0</v>
      </c>
      <c r="K302" s="849">
        <v>4665.0</v>
      </c>
      <c r="L302" s="849">
        <v>5400.0</v>
      </c>
      <c r="M302" s="849">
        <v>6105.39</v>
      </c>
      <c r="N302" s="849">
        <v>6810.78</v>
      </c>
      <c r="O302" s="849">
        <v>7516.17</v>
      </c>
      <c r="P302" s="849">
        <v>7516.17</v>
      </c>
      <c r="Q302" s="849">
        <v>0.0</v>
      </c>
      <c r="R302" s="849">
        <v>0.0</v>
      </c>
      <c r="S302" s="849">
        <v>835.13</v>
      </c>
      <c r="T302" s="849">
        <v>835.13</v>
      </c>
      <c r="U302" s="849">
        <v>0.0</v>
      </c>
      <c r="V302" s="849">
        <v>0.0</v>
      </c>
      <c r="W302" s="849">
        <v>0.0</v>
      </c>
      <c r="X302" s="849">
        <v>0.0</v>
      </c>
      <c r="Y302" s="849">
        <v>0.0</v>
      </c>
      <c r="Z302" s="849">
        <v>0.0</v>
      </c>
      <c r="AA302" s="849">
        <v>0.0</v>
      </c>
      <c r="AB302" s="849">
        <v>0.0</v>
      </c>
      <c r="AC302" s="849">
        <v>0.0</v>
      </c>
      <c r="AD302" s="849">
        <v>0.0</v>
      </c>
      <c r="AE302" s="849">
        <v>0.0</v>
      </c>
      <c r="AF302" s="849">
        <v>0.0</v>
      </c>
      <c r="AG302" s="849">
        <v>0.0</v>
      </c>
      <c r="AH302" s="849">
        <v>0.0</v>
      </c>
      <c r="AI302" s="849">
        <v>0.0</v>
      </c>
      <c r="AJ302" s="794" t="str">
        <f t="shared" ref="AJ302:AK302" si="601">C302</f>
        <v>G0845</v>
      </c>
      <c r="AK302" s="794" t="str">
        <f t="shared" si="601"/>
        <v>IMPOT FONCIERS-CARROSS.</v>
      </c>
      <c r="AL302" s="794">
        <f t="array" ref="AL302">IFERROR(INDEX(G302:R302,1,MATCH(Parametres!$B$3,G$1:R$1,0)-1)*IF(OR(F302="L",F302="S",F302="I"),-1,1),"")</f>
        <v>6810.78</v>
      </c>
      <c r="AM302" s="794">
        <f t="shared" si="4"/>
        <v>705.39</v>
      </c>
      <c r="AN302" s="794">
        <f t="array" ref="AN302">INDEX(G302:R302,1,MATCH(Parametres!$B$3,G$1:R$1,0))*IF(OR(F302="L",F302="S",F302="I"),-1,1)</f>
        <v>7516.17</v>
      </c>
      <c r="AO302" s="853" t="str">
        <f>+VLOOKUP($AJ302,Data_Validation!$A:$D,1,0)</f>
        <v>G0845</v>
      </c>
      <c r="AP302" s="853" t="str">
        <f>+VLOOKUP($AJ302,Data_Validation!$A:$D,3,0)</f>
        <v>Carrosserie</v>
      </c>
      <c r="AQ302" s="853" t="str">
        <f>+VLOOKUP($AJ302,Data_Validation!$A:$D,4,0)</f>
        <v>Taxes foncières</v>
      </c>
      <c r="AR302" s="853" t="s">
        <v>728</v>
      </c>
      <c r="AS302" s="853" t="str">
        <f>+VLOOKUP($AJ302,Data_Validation!$A:$E,5,0)</f>
        <v/>
      </c>
      <c r="AT302" s="794" t="str">
        <f t="shared" ref="AT302:AU302" si="602">C302</f>
        <v>G0845</v>
      </c>
      <c r="AU302" s="854" t="str">
        <f t="shared" si="602"/>
        <v>IMPOT FONCIERS-CARROSS.</v>
      </c>
      <c r="AV302" s="794">
        <f t="array" ref="AV302">IFERROR(INDEX(V302:AG302,1,MATCH(Parametres!$B$3,V$1:AG$1,0)-1)*IF(OR(C302="L",C302="S",C302="I"),-1,1),"")</f>
        <v>0</v>
      </c>
      <c r="AW302" s="794">
        <f t="shared" si="6"/>
        <v>0</v>
      </c>
      <c r="AX302" s="794">
        <f t="array" ref="AX302">INDEX(V302:AG302,1,MATCH(Parametres!$B$3,V$1:AG$1,0))*IF(OR(C302="L",C302="S",C302="I"),-1,1)</f>
        <v>0</v>
      </c>
      <c r="AY302" s="853" t="s">
        <v>772</v>
      </c>
      <c r="AZ302" s="853" t="str">
        <f>+VLOOKUP($AJ302,Data_Validation!$A:$E,5,0)</f>
        <v/>
      </c>
    </row>
    <row r="303" ht="15.0" customHeight="1">
      <c r="A303" s="849" t="s">
        <v>1239</v>
      </c>
      <c r="B303" s="849">
        <v>2026.0</v>
      </c>
      <c r="C303" s="849" t="s">
        <v>1828</v>
      </c>
      <c r="D303" s="849" t="s">
        <v>1829</v>
      </c>
      <c r="E303" s="849" t="s">
        <v>768</v>
      </c>
      <c r="F303" s="849" t="s">
        <v>1200</v>
      </c>
      <c r="G303" s="849">
        <v>1230.0</v>
      </c>
      <c r="H303" s="849">
        <v>2460.0</v>
      </c>
      <c r="I303" s="849">
        <v>3195.0</v>
      </c>
      <c r="J303" s="849">
        <v>3930.0</v>
      </c>
      <c r="K303" s="849">
        <v>4665.0</v>
      </c>
      <c r="L303" s="849">
        <v>5400.0</v>
      </c>
      <c r="M303" s="849">
        <v>6105.38</v>
      </c>
      <c r="N303" s="849">
        <v>6810.76</v>
      </c>
      <c r="O303" s="849">
        <v>7516.14</v>
      </c>
      <c r="P303" s="849">
        <v>7516.14</v>
      </c>
      <c r="Q303" s="849">
        <v>0.0</v>
      </c>
      <c r="R303" s="849">
        <v>0.0</v>
      </c>
      <c r="S303" s="849">
        <v>835.13</v>
      </c>
      <c r="T303" s="849">
        <v>835.13</v>
      </c>
      <c r="U303" s="849">
        <v>0.0</v>
      </c>
      <c r="V303" s="849">
        <v>0.0</v>
      </c>
      <c r="W303" s="849">
        <v>0.0</v>
      </c>
      <c r="X303" s="849">
        <v>0.0</v>
      </c>
      <c r="Y303" s="849">
        <v>0.0</v>
      </c>
      <c r="Z303" s="849">
        <v>0.0</v>
      </c>
      <c r="AA303" s="849">
        <v>0.0</v>
      </c>
      <c r="AB303" s="849">
        <v>0.0</v>
      </c>
      <c r="AC303" s="849">
        <v>0.0</v>
      </c>
      <c r="AD303" s="849">
        <v>0.0</v>
      </c>
      <c r="AE303" s="849">
        <v>0.0</v>
      </c>
      <c r="AF303" s="849">
        <v>0.0</v>
      </c>
      <c r="AG303" s="849">
        <v>0.0</v>
      </c>
      <c r="AH303" s="849">
        <v>0.0</v>
      </c>
      <c r="AI303" s="849">
        <v>0.0</v>
      </c>
      <c r="AJ303" s="794" t="str">
        <f t="shared" ref="AJ303:AK303" si="603">C303</f>
        <v>G0846</v>
      </c>
      <c r="AK303" s="794" t="str">
        <f t="shared" si="603"/>
        <v>IMPOT FONCIERS-PIECES</v>
      </c>
      <c r="AL303" s="794">
        <f t="array" ref="AL303">IFERROR(INDEX(G303:R303,1,MATCH(Parametres!$B$3,G$1:R$1,0)-1)*IF(OR(F303="L",F303="S",F303="I"),-1,1),"")</f>
        <v>6810.76</v>
      </c>
      <c r="AM303" s="794">
        <f t="shared" si="4"/>
        <v>705.38</v>
      </c>
      <c r="AN303" s="794">
        <f t="array" ref="AN303">INDEX(G303:R303,1,MATCH(Parametres!$B$3,G$1:R$1,0))*IF(OR(F303="L",F303="S",F303="I"),-1,1)</f>
        <v>7516.14</v>
      </c>
      <c r="AO303" s="853" t="str">
        <f>+VLOOKUP($AJ303,Data_Validation!$A:$D,1,0)</f>
        <v>G0846</v>
      </c>
      <c r="AP303" s="853" t="str">
        <f>+VLOOKUP($AJ303,Data_Validation!$A:$D,3,0)</f>
        <v>Pièces</v>
      </c>
      <c r="AQ303" s="853" t="str">
        <f>+VLOOKUP($AJ303,Data_Validation!$A:$D,4,0)</f>
        <v>Taxes foncières</v>
      </c>
      <c r="AR303" s="853" t="s">
        <v>728</v>
      </c>
      <c r="AS303" s="853" t="str">
        <f>+VLOOKUP($AJ303,Data_Validation!$A:$E,5,0)</f>
        <v/>
      </c>
      <c r="AT303" s="794" t="str">
        <f t="shared" ref="AT303:AU303" si="604">C303</f>
        <v>G0846</v>
      </c>
      <c r="AU303" s="854" t="str">
        <f t="shared" si="604"/>
        <v>IMPOT FONCIERS-PIECES</v>
      </c>
      <c r="AV303" s="794">
        <f t="array" ref="AV303">IFERROR(INDEX(V303:AG303,1,MATCH(Parametres!$B$3,V$1:AG$1,0)-1)*IF(OR(C303="L",C303="S",C303="I"),-1,1),"")</f>
        <v>0</v>
      </c>
      <c r="AW303" s="794">
        <f t="shared" si="6"/>
        <v>0</v>
      </c>
      <c r="AX303" s="794">
        <f t="array" ref="AX303">INDEX(V303:AG303,1,MATCH(Parametres!$B$3,V$1:AG$1,0))*IF(OR(C303="L",C303="S",C303="I"),-1,1)</f>
        <v>0</v>
      </c>
      <c r="AY303" s="853" t="s">
        <v>772</v>
      </c>
      <c r="AZ303" s="853" t="str">
        <f>+VLOOKUP($AJ303,Data_Validation!$A:$E,5,0)</f>
        <v/>
      </c>
    </row>
    <row r="304" ht="15.0" customHeight="1">
      <c r="A304" s="849" t="s">
        <v>1239</v>
      </c>
      <c r="B304" s="849">
        <v>2026.0</v>
      </c>
      <c r="C304" s="849" t="s">
        <v>1830</v>
      </c>
      <c r="D304" s="849" t="s">
        <v>1831</v>
      </c>
      <c r="E304" s="849" t="s">
        <v>768</v>
      </c>
      <c r="F304" s="849" t="s">
        <v>1200</v>
      </c>
      <c r="G304" s="849">
        <v>0.0</v>
      </c>
      <c r="H304" s="849">
        <v>0.0</v>
      </c>
      <c r="I304" s="849">
        <v>0.0</v>
      </c>
      <c r="J304" s="849">
        <v>0.0</v>
      </c>
      <c r="K304" s="849">
        <v>0.0</v>
      </c>
      <c r="L304" s="849">
        <v>0.0</v>
      </c>
      <c r="M304" s="849">
        <v>0.0</v>
      </c>
      <c r="N304" s="849">
        <v>0.0</v>
      </c>
      <c r="O304" s="849">
        <v>0.0</v>
      </c>
      <c r="P304" s="849">
        <v>0.0</v>
      </c>
      <c r="Q304" s="849">
        <v>0.0</v>
      </c>
      <c r="R304" s="849">
        <v>0.0</v>
      </c>
      <c r="S304" s="849">
        <v>0.0</v>
      </c>
      <c r="T304" s="849">
        <v>0.0</v>
      </c>
      <c r="U304" s="849">
        <v>0.0</v>
      </c>
      <c r="V304" s="849">
        <v>0.0</v>
      </c>
      <c r="W304" s="849">
        <v>0.0</v>
      </c>
      <c r="X304" s="849">
        <v>0.0</v>
      </c>
      <c r="Y304" s="849">
        <v>0.0</v>
      </c>
      <c r="Z304" s="849">
        <v>0.0</v>
      </c>
      <c r="AA304" s="849">
        <v>0.0</v>
      </c>
      <c r="AB304" s="849">
        <v>0.0</v>
      </c>
      <c r="AC304" s="849">
        <v>0.0</v>
      </c>
      <c r="AD304" s="849">
        <v>0.0</v>
      </c>
      <c r="AE304" s="849">
        <v>0.0</v>
      </c>
      <c r="AF304" s="849">
        <v>0.0</v>
      </c>
      <c r="AG304" s="849">
        <v>0.0</v>
      </c>
      <c r="AH304" s="849">
        <v>0.0</v>
      </c>
      <c r="AI304" s="849">
        <v>0.0</v>
      </c>
      <c r="AJ304" s="794" t="str">
        <f t="shared" ref="AJ304:AK304" si="605">C304</f>
        <v>G0850</v>
      </c>
      <c r="AK304" s="794" t="str">
        <f t="shared" si="605"/>
        <v>ASSURANCE BATIMENT REP</v>
      </c>
      <c r="AL304" s="794">
        <f t="array" ref="AL304">IFERROR(INDEX(G304:R304,1,MATCH(Parametres!$B$3,G$1:R$1,0)-1)*IF(OR(F304="L",F304="S",F304="I"),-1,1),"")</f>
        <v>0</v>
      </c>
      <c r="AM304" s="794">
        <f t="shared" si="4"/>
        <v>0</v>
      </c>
      <c r="AN304" s="794">
        <f t="array" ref="AN304">INDEX(G304:R304,1,MATCH(Parametres!$B$3,G$1:R$1,0))*IF(OR(F304="L",F304="S",F304="I"),-1,1)</f>
        <v>0</v>
      </c>
      <c r="AO304" s="853" t="str">
        <f>+VLOOKUP($AJ304,Data_Validation!$A:$D,1,0)</f>
        <v>#N/A</v>
      </c>
      <c r="AP304" s="853" t="str">
        <f>+VLOOKUP($AJ304,Data_Validation!$A:$D,3,0)</f>
        <v>#N/A</v>
      </c>
      <c r="AQ304" s="853" t="str">
        <f>+VLOOKUP($AJ304,Data_Validation!$A:$D,4,0)</f>
        <v>#N/A</v>
      </c>
      <c r="AR304" s="853" t="s">
        <v>728</v>
      </c>
      <c r="AS304" s="853" t="str">
        <f>+VLOOKUP($AJ304,Data_Validation!$A:$E,5,0)</f>
        <v>#N/A</v>
      </c>
      <c r="AT304" s="794" t="str">
        <f t="shared" ref="AT304:AU304" si="606">C304</f>
        <v>G0850</v>
      </c>
      <c r="AU304" s="854" t="str">
        <f t="shared" si="606"/>
        <v>ASSURANCE BATIMENT REP</v>
      </c>
      <c r="AV304" s="794">
        <f t="array" ref="AV304">IFERROR(INDEX(V304:AG304,1,MATCH(Parametres!$B$3,V$1:AG$1,0)-1)*IF(OR(C304="L",C304="S",C304="I"),-1,1),"")</f>
        <v>0</v>
      </c>
      <c r="AW304" s="794">
        <f t="shared" si="6"/>
        <v>0</v>
      </c>
      <c r="AX304" s="794">
        <f t="array" ref="AX304">INDEX(V304:AG304,1,MATCH(Parametres!$B$3,V$1:AG$1,0))*IF(OR(C304="L",C304="S",C304="I"),-1,1)</f>
        <v>0</v>
      </c>
      <c r="AY304" s="853" t="s">
        <v>772</v>
      </c>
      <c r="AZ304" s="853" t="str">
        <f>+VLOOKUP($AJ304,Data_Validation!$A:$E,5,0)</f>
        <v>#N/A</v>
      </c>
    </row>
    <row r="305" ht="15.75" customHeight="1">
      <c r="A305" s="849" t="s">
        <v>1239</v>
      </c>
      <c r="B305" s="849">
        <v>2026.0</v>
      </c>
      <c r="C305" s="849" t="s">
        <v>1832</v>
      </c>
      <c r="D305" s="849" t="s">
        <v>1833</v>
      </c>
      <c r="E305" s="849" t="s">
        <v>768</v>
      </c>
      <c r="F305" s="849" t="s">
        <v>1200</v>
      </c>
      <c r="G305" s="849">
        <v>2016.34</v>
      </c>
      <c r="H305" s="849">
        <v>4032.68</v>
      </c>
      <c r="I305" s="849">
        <v>6049.02</v>
      </c>
      <c r="J305" s="849">
        <v>8065.36</v>
      </c>
      <c r="K305" s="849">
        <v>10081.7</v>
      </c>
      <c r="L305" s="849">
        <v>12098.04</v>
      </c>
      <c r="M305" s="849">
        <v>14450.43</v>
      </c>
      <c r="N305" s="849">
        <v>16802.82</v>
      </c>
      <c r="O305" s="849">
        <v>19155.21</v>
      </c>
      <c r="P305" s="849">
        <v>19155.21</v>
      </c>
      <c r="Q305" s="849">
        <v>0.0</v>
      </c>
      <c r="R305" s="849">
        <v>0.0</v>
      </c>
      <c r="S305" s="849">
        <v>2128.36</v>
      </c>
      <c r="T305" s="849">
        <v>2128.36</v>
      </c>
      <c r="U305" s="849">
        <v>0.0</v>
      </c>
      <c r="V305" s="849">
        <v>0.0</v>
      </c>
      <c r="W305" s="849">
        <v>0.0</v>
      </c>
      <c r="X305" s="849">
        <v>0.0</v>
      </c>
      <c r="Y305" s="849">
        <v>0.0</v>
      </c>
      <c r="Z305" s="849">
        <v>0.0</v>
      </c>
      <c r="AA305" s="849">
        <v>0.0</v>
      </c>
      <c r="AB305" s="849">
        <v>0.0</v>
      </c>
      <c r="AC305" s="849">
        <v>0.0</v>
      </c>
      <c r="AD305" s="849">
        <v>0.0</v>
      </c>
      <c r="AE305" s="849">
        <v>0.0</v>
      </c>
      <c r="AF305" s="849">
        <v>0.0</v>
      </c>
      <c r="AG305" s="849">
        <v>0.0</v>
      </c>
      <c r="AH305" s="849">
        <v>0.0</v>
      </c>
      <c r="AI305" s="849">
        <v>0.0</v>
      </c>
      <c r="AJ305" s="794" t="str">
        <f t="shared" ref="AJ305:AK305" si="607">C305</f>
        <v>G0851</v>
      </c>
      <c r="AK305" s="794" t="str">
        <f t="shared" si="607"/>
        <v>ASSURANCE BATISSE-NEUFS</v>
      </c>
      <c r="AL305" s="794">
        <f t="array" ref="AL305">IFERROR(INDEX(G305:R305,1,MATCH(Parametres!$B$3,G$1:R$1,0)-1)*IF(OR(F305="L",F305="S",F305="I"),-1,1),"")</f>
        <v>16802.82</v>
      </c>
      <c r="AM305" s="794">
        <f t="shared" si="4"/>
        <v>2352.39</v>
      </c>
      <c r="AN305" s="794">
        <f t="array" ref="AN305">INDEX(G305:R305,1,MATCH(Parametres!$B$3,G$1:R$1,0))*IF(OR(F305="L",F305="S",F305="I"),-1,1)</f>
        <v>19155.21</v>
      </c>
      <c r="AO305" s="853" t="str">
        <f>+VLOOKUP($AJ305,Data_Validation!$A:$D,1,0)</f>
        <v>G0851</v>
      </c>
      <c r="AP305" s="853" t="str">
        <f>+VLOOKUP($AJ305,Data_Validation!$A:$D,3,0)</f>
        <v>Véhicules neufs</v>
      </c>
      <c r="AQ305" s="853" t="str">
        <f>+VLOOKUP($AJ305,Data_Validation!$A:$D,4,0)</f>
        <v>Assurances</v>
      </c>
      <c r="AR305" s="853" t="s">
        <v>728</v>
      </c>
      <c r="AS305" s="853" t="str">
        <f>+VLOOKUP($AJ305,Data_Validation!$A:$E,5,0)</f>
        <v/>
      </c>
      <c r="AT305" s="794" t="str">
        <f t="shared" ref="AT305:AU305" si="608">C305</f>
        <v>G0851</v>
      </c>
      <c r="AU305" s="854" t="str">
        <f t="shared" si="608"/>
        <v>ASSURANCE BATISSE-NEUFS</v>
      </c>
      <c r="AV305" s="794">
        <f t="array" ref="AV305">IFERROR(INDEX(V305:AG305,1,MATCH(Parametres!$B$3,V$1:AG$1,0)-1)*IF(OR(C305="L",C305="S",C305="I"),-1,1),"")</f>
        <v>0</v>
      </c>
      <c r="AW305" s="794">
        <f t="shared" si="6"/>
        <v>0</v>
      </c>
      <c r="AX305" s="794">
        <f t="array" ref="AX305">INDEX(V305:AG305,1,MATCH(Parametres!$B$3,V$1:AG$1,0))*IF(OR(C305="L",C305="S",C305="I"),-1,1)</f>
        <v>0</v>
      </c>
      <c r="AY305" s="853" t="s">
        <v>772</v>
      </c>
      <c r="AZ305" s="853" t="str">
        <f>+VLOOKUP($AJ305,Data_Validation!$A:$E,5,0)</f>
        <v/>
      </c>
    </row>
    <row r="306" ht="15.0" customHeight="1">
      <c r="A306" s="849" t="s">
        <v>1239</v>
      </c>
      <c r="B306" s="849">
        <v>2026.0</v>
      </c>
      <c r="C306" s="849" t="s">
        <v>1834</v>
      </c>
      <c r="D306" s="849" t="s">
        <v>1835</v>
      </c>
      <c r="E306" s="849" t="s">
        <v>768</v>
      </c>
      <c r="F306" s="849" t="s">
        <v>1200</v>
      </c>
      <c r="G306" s="849">
        <v>1344.22</v>
      </c>
      <c r="H306" s="849">
        <v>2688.44</v>
      </c>
      <c r="I306" s="849">
        <v>4032.66</v>
      </c>
      <c r="J306" s="849">
        <v>5411.78</v>
      </c>
      <c r="K306" s="849">
        <v>6756.0</v>
      </c>
      <c r="L306" s="849">
        <v>8100.22</v>
      </c>
      <c r="M306" s="849">
        <v>9668.48</v>
      </c>
      <c r="N306" s="849">
        <v>11236.74</v>
      </c>
      <c r="O306" s="849">
        <v>12805.0</v>
      </c>
      <c r="P306" s="849">
        <v>12805.0</v>
      </c>
      <c r="Q306" s="849">
        <v>0.0</v>
      </c>
      <c r="R306" s="849">
        <v>0.0</v>
      </c>
      <c r="S306" s="849">
        <v>1422.78</v>
      </c>
      <c r="T306" s="849">
        <v>1422.78</v>
      </c>
      <c r="U306" s="849">
        <v>0.0</v>
      </c>
      <c r="V306" s="849">
        <v>0.0</v>
      </c>
      <c r="W306" s="849">
        <v>0.0</v>
      </c>
      <c r="X306" s="849">
        <v>0.0</v>
      </c>
      <c r="Y306" s="849">
        <v>0.0</v>
      </c>
      <c r="Z306" s="849">
        <v>0.0</v>
      </c>
      <c r="AA306" s="849">
        <v>0.0</v>
      </c>
      <c r="AB306" s="849">
        <v>0.0</v>
      </c>
      <c r="AC306" s="849">
        <v>0.0</v>
      </c>
      <c r="AD306" s="849">
        <v>0.0</v>
      </c>
      <c r="AE306" s="849">
        <v>0.0</v>
      </c>
      <c r="AF306" s="849">
        <v>0.0</v>
      </c>
      <c r="AG306" s="849">
        <v>0.0</v>
      </c>
      <c r="AH306" s="849">
        <v>0.0</v>
      </c>
      <c r="AI306" s="849">
        <v>0.0</v>
      </c>
      <c r="AJ306" s="794" t="str">
        <f t="shared" ref="AJ306:AK306" si="609">C306</f>
        <v>G0852</v>
      </c>
      <c r="AK306" s="794" t="str">
        <f t="shared" si="609"/>
        <v>ASSURANCE BATISSE-USAGES</v>
      </c>
      <c r="AL306" s="794">
        <f t="array" ref="AL306">IFERROR(INDEX(G306:R306,1,MATCH(Parametres!$B$3,G$1:R$1,0)-1)*IF(OR(F306="L",F306="S",F306="I"),-1,1),"")</f>
        <v>11236.74</v>
      </c>
      <c r="AM306" s="794">
        <f t="shared" si="4"/>
        <v>1568.26</v>
      </c>
      <c r="AN306" s="794">
        <f t="array" ref="AN306">INDEX(G306:R306,1,MATCH(Parametres!$B$3,G$1:R$1,0))*IF(OR(F306="L",F306="S",F306="I"),-1,1)</f>
        <v>12805</v>
      </c>
      <c r="AO306" s="853" t="str">
        <f>+VLOOKUP($AJ306,Data_Validation!$A:$D,1,0)</f>
        <v>G0852</v>
      </c>
      <c r="AP306" s="853" t="str">
        <f>+VLOOKUP($AJ306,Data_Validation!$A:$D,3,0)</f>
        <v>Véhicules usagés</v>
      </c>
      <c r="AQ306" s="853" t="str">
        <f>+VLOOKUP($AJ306,Data_Validation!$A:$D,4,0)</f>
        <v>Assurances</v>
      </c>
      <c r="AR306" s="853" t="s">
        <v>728</v>
      </c>
      <c r="AS306" s="853" t="str">
        <f>+VLOOKUP($AJ306,Data_Validation!$A:$E,5,0)</f>
        <v/>
      </c>
      <c r="AT306" s="794" t="str">
        <f t="shared" ref="AT306:AU306" si="610">C306</f>
        <v>G0852</v>
      </c>
      <c r="AU306" s="854" t="str">
        <f t="shared" si="610"/>
        <v>ASSURANCE BATISSE-USAGES</v>
      </c>
      <c r="AV306" s="794">
        <f t="array" ref="AV306">IFERROR(INDEX(V306:AG306,1,MATCH(Parametres!$B$3,V$1:AG$1,0)-1)*IF(OR(C306="L",C306="S",C306="I"),-1,1),"")</f>
        <v>0</v>
      </c>
      <c r="AW306" s="794">
        <f t="shared" si="6"/>
        <v>0</v>
      </c>
      <c r="AX306" s="794">
        <f t="array" ref="AX306">INDEX(V306:AG306,1,MATCH(Parametres!$B$3,V$1:AG$1,0))*IF(OR(C306="L",C306="S",C306="I"),-1,1)</f>
        <v>0</v>
      </c>
      <c r="AY306" s="853" t="s">
        <v>772</v>
      </c>
      <c r="AZ306" s="853" t="str">
        <f>+VLOOKUP($AJ306,Data_Validation!$A:$E,5,0)</f>
        <v/>
      </c>
    </row>
    <row r="307" ht="15.0" customHeight="1">
      <c r="A307" s="849" t="s">
        <v>1239</v>
      </c>
      <c r="B307" s="849">
        <v>2026.0</v>
      </c>
      <c r="C307" s="849" t="s">
        <v>1836</v>
      </c>
      <c r="D307" s="849" t="s">
        <v>1837</v>
      </c>
      <c r="E307" s="849" t="s">
        <v>768</v>
      </c>
      <c r="F307" s="849" t="s">
        <v>1200</v>
      </c>
      <c r="G307" s="849">
        <v>2016.34</v>
      </c>
      <c r="H307" s="849">
        <v>4032.68</v>
      </c>
      <c r="I307" s="849">
        <v>6049.02</v>
      </c>
      <c r="J307" s="849">
        <v>8065.36</v>
      </c>
      <c r="K307" s="849">
        <v>10081.7</v>
      </c>
      <c r="L307" s="849">
        <v>12098.04</v>
      </c>
      <c r="M307" s="849">
        <v>14450.43</v>
      </c>
      <c r="N307" s="849">
        <v>16802.82</v>
      </c>
      <c r="O307" s="849">
        <v>19155.21</v>
      </c>
      <c r="P307" s="849">
        <v>19155.21</v>
      </c>
      <c r="Q307" s="849">
        <v>0.0</v>
      </c>
      <c r="R307" s="849">
        <v>0.0</v>
      </c>
      <c r="S307" s="849">
        <v>2128.36</v>
      </c>
      <c r="T307" s="849">
        <v>2128.36</v>
      </c>
      <c r="U307" s="849">
        <v>0.0</v>
      </c>
      <c r="V307" s="849">
        <v>0.0</v>
      </c>
      <c r="W307" s="849">
        <v>0.0</v>
      </c>
      <c r="X307" s="849">
        <v>0.0</v>
      </c>
      <c r="Y307" s="849">
        <v>0.0</v>
      </c>
      <c r="Z307" s="849">
        <v>0.0</v>
      </c>
      <c r="AA307" s="849">
        <v>0.0</v>
      </c>
      <c r="AB307" s="849">
        <v>0.0</v>
      </c>
      <c r="AC307" s="849">
        <v>0.0</v>
      </c>
      <c r="AD307" s="849">
        <v>0.0</v>
      </c>
      <c r="AE307" s="849">
        <v>0.0</v>
      </c>
      <c r="AF307" s="849">
        <v>0.0</v>
      </c>
      <c r="AG307" s="849">
        <v>0.0</v>
      </c>
      <c r="AH307" s="849">
        <v>0.0</v>
      </c>
      <c r="AI307" s="849">
        <v>0.0</v>
      </c>
      <c r="AJ307" s="794" t="str">
        <f t="shared" ref="AJ307:AK307" si="611">C307</f>
        <v>G0854</v>
      </c>
      <c r="AK307" s="794" t="str">
        <f t="shared" si="611"/>
        <v>ASSURANCE BATISSE-SERVICE</v>
      </c>
      <c r="AL307" s="794">
        <f t="array" ref="AL307">IFERROR(INDEX(G307:R307,1,MATCH(Parametres!$B$3,G$1:R$1,0)-1)*IF(OR(F307="L",F307="S",F307="I"),-1,1),"")</f>
        <v>16802.82</v>
      </c>
      <c r="AM307" s="794">
        <f t="shared" si="4"/>
        <v>2352.39</v>
      </c>
      <c r="AN307" s="794">
        <f t="array" ref="AN307">INDEX(G307:R307,1,MATCH(Parametres!$B$3,G$1:R$1,0))*IF(OR(F307="L",F307="S",F307="I"),-1,1)</f>
        <v>19155.21</v>
      </c>
      <c r="AO307" s="853" t="str">
        <f>+VLOOKUP($AJ307,Data_Validation!$A:$D,1,0)</f>
        <v>G0854</v>
      </c>
      <c r="AP307" s="853" t="str">
        <f>+VLOOKUP($AJ307,Data_Validation!$A:$D,3,0)</f>
        <v>Service</v>
      </c>
      <c r="AQ307" s="853" t="str">
        <f>+VLOOKUP($AJ307,Data_Validation!$A:$D,4,0)</f>
        <v>Assurances</v>
      </c>
      <c r="AR307" s="853" t="s">
        <v>728</v>
      </c>
      <c r="AS307" s="853" t="str">
        <f>+VLOOKUP($AJ307,Data_Validation!$A:$E,5,0)</f>
        <v/>
      </c>
      <c r="AT307" s="794" t="str">
        <f t="shared" ref="AT307:AU307" si="612">C307</f>
        <v>G0854</v>
      </c>
      <c r="AU307" s="854" t="str">
        <f t="shared" si="612"/>
        <v>ASSURANCE BATISSE-SERVICE</v>
      </c>
      <c r="AV307" s="794">
        <f t="array" ref="AV307">IFERROR(INDEX(V307:AG307,1,MATCH(Parametres!$B$3,V$1:AG$1,0)-1)*IF(OR(C307="L",C307="S",C307="I"),-1,1),"")</f>
        <v>0</v>
      </c>
      <c r="AW307" s="794">
        <f t="shared" si="6"/>
        <v>0</v>
      </c>
      <c r="AX307" s="794">
        <f t="array" ref="AX307">INDEX(V307:AG307,1,MATCH(Parametres!$B$3,V$1:AG$1,0))*IF(OR(C307="L",C307="S",C307="I"),-1,1)</f>
        <v>0</v>
      </c>
      <c r="AY307" s="853" t="s">
        <v>772</v>
      </c>
      <c r="AZ307" s="853" t="str">
        <f>+VLOOKUP($AJ307,Data_Validation!$A:$E,5,0)</f>
        <v/>
      </c>
    </row>
    <row r="308" ht="15.0" customHeight="1">
      <c r="A308" s="849" t="s">
        <v>1239</v>
      </c>
      <c r="B308" s="849">
        <v>2026.0</v>
      </c>
      <c r="C308" s="849" t="s">
        <v>1838</v>
      </c>
      <c r="D308" s="849" t="s">
        <v>1839</v>
      </c>
      <c r="E308" s="849" t="s">
        <v>768</v>
      </c>
      <c r="F308" s="849" t="s">
        <v>1200</v>
      </c>
      <c r="G308" s="849">
        <v>672.11</v>
      </c>
      <c r="H308" s="849">
        <v>1344.22</v>
      </c>
      <c r="I308" s="849">
        <v>2016.33</v>
      </c>
      <c r="J308" s="849">
        <v>2688.44</v>
      </c>
      <c r="K308" s="849">
        <v>3360.55</v>
      </c>
      <c r="L308" s="849">
        <v>4032.66</v>
      </c>
      <c r="M308" s="849">
        <v>4816.79</v>
      </c>
      <c r="N308" s="849">
        <v>5600.92</v>
      </c>
      <c r="O308" s="849">
        <v>6385.05</v>
      </c>
      <c r="P308" s="849">
        <v>6385.05</v>
      </c>
      <c r="Q308" s="849">
        <v>0.0</v>
      </c>
      <c r="R308" s="849">
        <v>0.0</v>
      </c>
      <c r="S308" s="849">
        <v>709.45</v>
      </c>
      <c r="T308" s="849">
        <v>709.45</v>
      </c>
      <c r="U308" s="849">
        <v>0.0</v>
      </c>
      <c r="V308" s="849">
        <v>0.0</v>
      </c>
      <c r="W308" s="849">
        <v>0.0</v>
      </c>
      <c r="X308" s="849">
        <v>0.0</v>
      </c>
      <c r="Y308" s="849">
        <v>0.0</v>
      </c>
      <c r="Z308" s="849">
        <v>0.0</v>
      </c>
      <c r="AA308" s="849">
        <v>0.0</v>
      </c>
      <c r="AB308" s="849">
        <v>0.0</v>
      </c>
      <c r="AC308" s="849">
        <v>0.0</v>
      </c>
      <c r="AD308" s="849">
        <v>0.0</v>
      </c>
      <c r="AE308" s="849">
        <v>0.0</v>
      </c>
      <c r="AF308" s="849">
        <v>0.0</v>
      </c>
      <c r="AG308" s="849">
        <v>0.0</v>
      </c>
      <c r="AH308" s="849">
        <v>0.0</v>
      </c>
      <c r="AI308" s="849">
        <v>0.0</v>
      </c>
      <c r="AJ308" s="794" t="str">
        <f t="shared" ref="AJ308:AK308" si="613">C308</f>
        <v>G0855</v>
      </c>
      <c r="AK308" s="794" t="str">
        <f t="shared" si="613"/>
        <v>ASSURANCE BATISSE-CARROS</v>
      </c>
      <c r="AL308" s="794">
        <f t="array" ref="AL308">IFERROR(INDEX(G308:R308,1,MATCH(Parametres!$B$3,G$1:R$1,0)-1)*IF(OR(F308="L",F308="S",F308="I"),-1,1),"")</f>
        <v>5600.92</v>
      </c>
      <c r="AM308" s="794">
        <f t="shared" si="4"/>
        <v>784.13</v>
      </c>
      <c r="AN308" s="794">
        <f t="array" ref="AN308">INDEX(G308:R308,1,MATCH(Parametres!$B$3,G$1:R$1,0))*IF(OR(F308="L",F308="S",F308="I"),-1,1)</f>
        <v>6385.05</v>
      </c>
      <c r="AO308" s="853" t="str">
        <f>+VLOOKUP($AJ308,Data_Validation!$A:$D,1,0)</f>
        <v>G0855</v>
      </c>
      <c r="AP308" s="853" t="str">
        <f>+VLOOKUP($AJ308,Data_Validation!$A:$D,3,0)</f>
        <v>Carrosserie</v>
      </c>
      <c r="AQ308" s="853" t="str">
        <f>+VLOOKUP($AJ308,Data_Validation!$A:$D,4,0)</f>
        <v>Assurances</v>
      </c>
      <c r="AR308" s="853" t="s">
        <v>728</v>
      </c>
      <c r="AS308" s="853" t="str">
        <f>+VLOOKUP($AJ308,Data_Validation!$A:$E,5,0)</f>
        <v/>
      </c>
      <c r="AT308" s="794" t="str">
        <f t="shared" ref="AT308:AU308" si="614">C308</f>
        <v>G0855</v>
      </c>
      <c r="AU308" s="854" t="str">
        <f t="shared" si="614"/>
        <v>ASSURANCE BATISSE-CARROS</v>
      </c>
      <c r="AV308" s="794">
        <f t="array" ref="AV308">IFERROR(INDEX(V308:AG308,1,MATCH(Parametres!$B$3,V$1:AG$1,0)-1)*IF(OR(C308="L",C308="S",C308="I"),-1,1),"")</f>
        <v>0</v>
      </c>
      <c r="AW308" s="794">
        <f t="shared" si="6"/>
        <v>0</v>
      </c>
      <c r="AX308" s="794">
        <f t="array" ref="AX308">INDEX(V308:AG308,1,MATCH(Parametres!$B$3,V$1:AG$1,0))*IF(OR(C308="L",C308="S",C308="I"),-1,1)</f>
        <v>0</v>
      </c>
      <c r="AY308" s="853" t="s">
        <v>772</v>
      </c>
      <c r="AZ308" s="853" t="str">
        <f>+VLOOKUP($AJ308,Data_Validation!$A:$E,5,0)</f>
        <v/>
      </c>
    </row>
    <row r="309" ht="15.75" customHeight="1">
      <c r="A309" s="849" t="s">
        <v>1239</v>
      </c>
      <c r="B309" s="849">
        <v>2026.0</v>
      </c>
      <c r="C309" s="849" t="s">
        <v>1840</v>
      </c>
      <c r="D309" s="849" t="s">
        <v>1841</v>
      </c>
      <c r="E309" s="849" t="s">
        <v>768</v>
      </c>
      <c r="F309" s="849" t="s">
        <v>1200</v>
      </c>
      <c r="G309" s="849">
        <v>672.11</v>
      </c>
      <c r="H309" s="849">
        <v>1344.22</v>
      </c>
      <c r="I309" s="849">
        <v>2016.33</v>
      </c>
      <c r="J309" s="849">
        <v>2688.44</v>
      </c>
      <c r="K309" s="849">
        <v>3360.55</v>
      </c>
      <c r="L309" s="849">
        <v>4032.66</v>
      </c>
      <c r="M309" s="849">
        <v>4816.8</v>
      </c>
      <c r="N309" s="849">
        <v>5600.92</v>
      </c>
      <c r="O309" s="849">
        <v>6385.04</v>
      </c>
      <c r="P309" s="849">
        <v>6385.04</v>
      </c>
      <c r="Q309" s="849">
        <v>0.0</v>
      </c>
      <c r="R309" s="849">
        <v>0.0</v>
      </c>
      <c r="S309" s="849">
        <v>709.45</v>
      </c>
      <c r="T309" s="849">
        <v>709.45</v>
      </c>
      <c r="U309" s="849">
        <v>0.0</v>
      </c>
      <c r="V309" s="849">
        <v>0.0</v>
      </c>
      <c r="W309" s="849">
        <v>0.0</v>
      </c>
      <c r="X309" s="849">
        <v>0.0</v>
      </c>
      <c r="Y309" s="849">
        <v>0.0</v>
      </c>
      <c r="Z309" s="849">
        <v>0.0</v>
      </c>
      <c r="AA309" s="849">
        <v>0.0</v>
      </c>
      <c r="AB309" s="849">
        <v>0.0</v>
      </c>
      <c r="AC309" s="849">
        <v>0.0</v>
      </c>
      <c r="AD309" s="849">
        <v>0.0</v>
      </c>
      <c r="AE309" s="849">
        <v>0.0</v>
      </c>
      <c r="AF309" s="849">
        <v>0.0</v>
      </c>
      <c r="AG309" s="849">
        <v>0.0</v>
      </c>
      <c r="AH309" s="849">
        <v>0.0</v>
      </c>
      <c r="AI309" s="849">
        <v>0.0</v>
      </c>
      <c r="AJ309" s="794" t="str">
        <f t="shared" ref="AJ309:AK309" si="615">C309</f>
        <v>G0856</v>
      </c>
      <c r="AK309" s="794" t="str">
        <f t="shared" si="615"/>
        <v>ASSURANCE BATISSE-PIECES</v>
      </c>
      <c r="AL309" s="794">
        <f t="array" ref="AL309">IFERROR(INDEX(G309:R309,1,MATCH(Parametres!$B$3,G$1:R$1,0)-1)*IF(OR(F309="L",F309="S",F309="I"),-1,1),"")</f>
        <v>5600.92</v>
      </c>
      <c r="AM309" s="794">
        <f t="shared" si="4"/>
        <v>784.12</v>
      </c>
      <c r="AN309" s="794">
        <f t="array" ref="AN309">INDEX(G309:R309,1,MATCH(Parametres!$B$3,G$1:R$1,0))*IF(OR(F309="L",F309="S",F309="I"),-1,1)</f>
        <v>6385.04</v>
      </c>
      <c r="AO309" s="853" t="str">
        <f>+VLOOKUP($AJ309,Data_Validation!$A:$D,1,0)</f>
        <v>G0856</v>
      </c>
      <c r="AP309" s="853" t="str">
        <f>+VLOOKUP($AJ309,Data_Validation!$A:$D,3,0)</f>
        <v>Pièces</v>
      </c>
      <c r="AQ309" s="853" t="str">
        <f>+VLOOKUP($AJ309,Data_Validation!$A:$D,4,0)</f>
        <v>Assurances</v>
      </c>
      <c r="AR309" s="853" t="s">
        <v>728</v>
      </c>
      <c r="AS309" s="853" t="str">
        <f>+VLOOKUP($AJ309,Data_Validation!$A:$E,5,0)</f>
        <v/>
      </c>
      <c r="AT309" s="794" t="str">
        <f t="shared" ref="AT309:AU309" si="616">C309</f>
        <v>G0856</v>
      </c>
      <c r="AU309" s="854" t="str">
        <f t="shared" si="616"/>
        <v>ASSURANCE BATISSE-PIECES</v>
      </c>
      <c r="AV309" s="794">
        <f t="array" ref="AV309">IFERROR(INDEX(V309:AG309,1,MATCH(Parametres!$B$3,V$1:AG$1,0)-1)*IF(OR(C309="L",C309="S",C309="I"),-1,1),"")</f>
        <v>0</v>
      </c>
      <c r="AW309" s="794">
        <f t="shared" si="6"/>
        <v>0</v>
      </c>
      <c r="AX309" s="794">
        <f t="array" ref="AX309">INDEX(V309:AG309,1,MATCH(Parametres!$B$3,V$1:AG$1,0))*IF(OR(C309="L",C309="S",C309="I"),-1,1)</f>
        <v>0</v>
      </c>
      <c r="AY309" s="853" t="s">
        <v>772</v>
      </c>
      <c r="AZ309" s="853" t="str">
        <f>+VLOOKUP($AJ309,Data_Validation!$A:$E,5,0)</f>
        <v/>
      </c>
    </row>
    <row r="310" ht="15.0" customHeight="1">
      <c r="A310" s="849" t="s">
        <v>1239</v>
      </c>
      <c r="B310" s="849">
        <v>2026.0</v>
      </c>
      <c r="C310" s="849" t="s">
        <v>1842</v>
      </c>
      <c r="D310" s="849" t="s">
        <v>1843</v>
      </c>
      <c r="E310" s="849" t="s">
        <v>768</v>
      </c>
      <c r="F310" s="849" t="s">
        <v>1200</v>
      </c>
      <c r="G310" s="849">
        <v>0.0</v>
      </c>
      <c r="H310" s="849">
        <v>0.0</v>
      </c>
      <c r="I310" s="849">
        <v>0.0</v>
      </c>
      <c r="J310" s="849">
        <v>0.0</v>
      </c>
      <c r="K310" s="849">
        <v>0.0</v>
      </c>
      <c r="L310" s="849">
        <v>0.0</v>
      </c>
      <c r="M310" s="849">
        <v>0.0</v>
      </c>
      <c r="N310" s="849">
        <v>0.0</v>
      </c>
      <c r="O310" s="849">
        <v>0.0</v>
      </c>
      <c r="P310" s="849">
        <v>0.0</v>
      </c>
      <c r="Q310" s="849">
        <v>0.0</v>
      </c>
      <c r="R310" s="849">
        <v>0.0</v>
      </c>
      <c r="S310" s="849">
        <v>0.0</v>
      </c>
      <c r="T310" s="849">
        <v>0.0</v>
      </c>
      <c r="U310" s="849">
        <v>0.0</v>
      </c>
      <c r="V310" s="849">
        <v>0.0</v>
      </c>
      <c r="W310" s="849">
        <v>0.0</v>
      </c>
      <c r="X310" s="849">
        <v>0.0</v>
      </c>
      <c r="Y310" s="849">
        <v>0.0</v>
      </c>
      <c r="Z310" s="849">
        <v>0.0</v>
      </c>
      <c r="AA310" s="849">
        <v>0.0</v>
      </c>
      <c r="AB310" s="849">
        <v>0.0</v>
      </c>
      <c r="AC310" s="849">
        <v>0.0</v>
      </c>
      <c r="AD310" s="849">
        <v>0.0</v>
      </c>
      <c r="AE310" s="849">
        <v>0.0</v>
      </c>
      <c r="AF310" s="849">
        <v>0.0</v>
      </c>
      <c r="AG310" s="849">
        <v>0.0</v>
      </c>
      <c r="AH310" s="849">
        <v>0.0</v>
      </c>
      <c r="AI310" s="849">
        <v>0.0</v>
      </c>
      <c r="AJ310" s="794" t="str">
        <f t="shared" ref="AJ310:AK310" si="617">C310</f>
        <v>G0870</v>
      </c>
      <c r="AK310" s="794" t="str">
        <f t="shared" si="617"/>
        <v>ELECTRICITE/GAZ REP</v>
      </c>
      <c r="AL310" s="794">
        <f t="array" ref="AL310">IFERROR(INDEX(G310:R310,1,MATCH(Parametres!$B$3,G$1:R$1,0)-1)*IF(OR(F310="L",F310="S",F310="I"),-1,1),"")</f>
        <v>0</v>
      </c>
      <c r="AM310" s="794">
        <f t="shared" si="4"/>
        <v>0</v>
      </c>
      <c r="AN310" s="794">
        <f t="array" ref="AN310">INDEX(G310:R310,1,MATCH(Parametres!$B$3,G$1:R$1,0))*IF(OR(F310="L",F310="S",F310="I"),-1,1)</f>
        <v>0</v>
      </c>
      <c r="AO310" s="853" t="str">
        <f>+VLOOKUP($AJ310,Data_Validation!$A:$D,1,0)</f>
        <v>#N/A</v>
      </c>
      <c r="AP310" s="853" t="str">
        <f>+VLOOKUP($AJ310,Data_Validation!$A:$D,3,0)</f>
        <v>#N/A</v>
      </c>
      <c r="AQ310" s="853" t="str">
        <f>+VLOOKUP($AJ310,Data_Validation!$A:$D,4,0)</f>
        <v>#N/A</v>
      </c>
      <c r="AR310" s="853" t="s">
        <v>728</v>
      </c>
      <c r="AS310" s="853" t="str">
        <f>+VLOOKUP($AJ310,Data_Validation!$A:$E,5,0)</f>
        <v>#N/A</v>
      </c>
      <c r="AT310" s="794" t="str">
        <f t="shared" ref="AT310:AU310" si="618">C310</f>
        <v>G0870</v>
      </c>
      <c r="AU310" s="854" t="str">
        <f t="shared" si="618"/>
        <v>ELECTRICITE/GAZ REP</v>
      </c>
      <c r="AV310" s="794">
        <f t="array" ref="AV310">IFERROR(INDEX(V310:AG310,1,MATCH(Parametres!$B$3,V$1:AG$1,0)-1)*IF(OR(C310="L",C310="S",C310="I"),-1,1),"")</f>
        <v>0</v>
      </c>
      <c r="AW310" s="794">
        <f t="shared" si="6"/>
        <v>0</v>
      </c>
      <c r="AX310" s="794">
        <f t="array" ref="AX310">INDEX(V310:AG310,1,MATCH(Parametres!$B$3,V$1:AG$1,0))*IF(OR(C310="L",C310="S",C310="I"),-1,1)</f>
        <v>0</v>
      </c>
      <c r="AY310" s="853" t="s">
        <v>772</v>
      </c>
      <c r="AZ310" s="853" t="str">
        <f>+VLOOKUP($AJ310,Data_Validation!$A:$E,5,0)</f>
        <v>#N/A</v>
      </c>
    </row>
    <row r="311" ht="15.0" customHeight="1">
      <c r="A311" s="849" t="s">
        <v>1239</v>
      </c>
      <c r="B311" s="849">
        <v>2026.0</v>
      </c>
      <c r="C311" s="849" t="s">
        <v>1844</v>
      </c>
      <c r="D311" s="849" t="s">
        <v>1845</v>
      </c>
      <c r="E311" s="849" t="s">
        <v>768</v>
      </c>
      <c r="F311" s="849" t="s">
        <v>1200</v>
      </c>
      <c r="G311" s="849">
        <v>3330.0</v>
      </c>
      <c r="H311" s="849">
        <v>6660.0</v>
      </c>
      <c r="I311" s="849">
        <v>9990.0</v>
      </c>
      <c r="J311" s="849">
        <v>13320.0</v>
      </c>
      <c r="K311" s="849">
        <v>16650.0</v>
      </c>
      <c r="L311" s="849">
        <v>19980.0</v>
      </c>
      <c r="M311" s="849">
        <v>23310.0</v>
      </c>
      <c r="N311" s="849">
        <v>26640.0</v>
      </c>
      <c r="O311" s="849">
        <v>29970.0</v>
      </c>
      <c r="P311" s="849">
        <v>29970.0</v>
      </c>
      <c r="Q311" s="849">
        <v>0.0</v>
      </c>
      <c r="R311" s="849">
        <v>0.0</v>
      </c>
      <c r="S311" s="849">
        <v>3330.0</v>
      </c>
      <c r="T311" s="849">
        <v>3330.0</v>
      </c>
      <c r="U311" s="849">
        <v>0.0</v>
      </c>
      <c r="V311" s="849">
        <v>0.0</v>
      </c>
      <c r="W311" s="849">
        <v>0.0</v>
      </c>
      <c r="X311" s="849">
        <v>0.0</v>
      </c>
      <c r="Y311" s="849">
        <v>0.0</v>
      </c>
      <c r="Z311" s="849">
        <v>0.0</v>
      </c>
      <c r="AA311" s="849">
        <v>0.0</v>
      </c>
      <c r="AB311" s="849">
        <v>0.0</v>
      </c>
      <c r="AC311" s="849">
        <v>0.0</v>
      </c>
      <c r="AD311" s="849">
        <v>0.0</v>
      </c>
      <c r="AE311" s="849">
        <v>0.0</v>
      </c>
      <c r="AF311" s="849">
        <v>0.0</v>
      </c>
      <c r="AG311" s="849">
        <v>0.0</v>
      </c>
      <c r="AH311" s="849">
        <v>0.0</v>
      </c>
      <c r="AI311" s="849">
        <v>0.0</v>
      </c>
      <c r="AJ311" s="794" t="str">
        <f t="shared" ref="AJ311:AK311" si="619">C311</f>
        <v>G0871</v>
      </c>
      <c r="AK311" s="794" t="str">
        <f t="shared" si="619"/>
        <v>ELECTRICITE,GAZ-NEUFS</v>
      </c>
      <c r="AL311" s="794">
        <f t="array" ref="AL311">IFERROR(INDEX(G311:R311,1,MATCH(Parametres!$B$3,G$1:R$1,0)-1)*IF(OR(F311="L",F311="S",F311="I"),-1,1),"")</f>
        <v>26640</v>
      </c>
      <c r="AM311" s="794">
        <f t="shared" si="4"/>
        <v>3330</v>
      </c>
      <c r="AN311" s="794">
        <f t="array" ref="AN311">INDEX(G311:R311,1,MATCH(Parametres!$B$3,G$1:R$1,0))*IF(OR(F311="L",F311="S",F311="I"),-1,1)</f>
        <v>29970</v>
      </c>
      <c r="AO311" s="853" t="str">
        <f>+VLOOKUP($AJ311,Data_Validation!$A:$D,1,0)</f>
        <v>G0871</v>
      </c>
      <c r="AP311" s="853" t="str">
        <f>+VLOOKUP($AJ311,Data_Validation!$A:$D,3,0)</f>
        <v>Véhicules neufs</v>
      </c>
      <c r="AQ311" s="853" t="str">
        <f>+VLOOKUP($AJ311,Data_Validation!$A:$D,4,0)</f>
        <v>Chauffage, éclairage</v>
      </c>
      <c r="AR311" s="853" t="s">
        <v>728</v>
      </c>
      <c r="AS311" s="853" t="str">
        <f>+VLOOKUP($AJ311,Data_Validation!$A:$E,5,0)</f>
        <v/>
      </c>
      <c r="AT311" s="794" t="str">
        <f t="shared" ref="AT311:AU311" si="620">C311</f>
        <v>G0871</v>
      </c>
      <c r="AU311" s="854" t="str">
        <f t="shared" si="620"/>
        <v>ELECTRICITE,GAZ-NEUFS</v>
      </c>
      <c r="AV311" s="794">
        <f t="array" ref="AV311">IFERROR(INDEX(V311:AG311,1,MATCH(Parametres!$B$3,V$1:AG$1,0)-1)*IF(OR(C311="L",C311="S",C311="I"),-1,1),"")</f>
        <v>0</v>
      </c>
      <c r="AW311" s="794">
        <f t="shared" si="6"/>
        <v>0</v>
      </c>
      <c r="AX311" s="794">
        <f t="array" ref="AX311">INDEX(V311:AG311,1,MATCH(Parametres!$B$3,V$1:AG$1,0))*IF(OR(C311="L",C311="S",C311="I"),-1,1)</f>
        <v>0</v>
      </c>
      <c r="AY311" s="853" t="s">
        <v>772</v>
      </c>
      <c r="AZ311" s="853" t="str">
        <f>+VLOOKUP($AJ311,Data_Validation!$A:$E,5,0)</f>
        <v/>
      </c>
    </row>
    <row r="312" ht="15.0" customHeight="1">
      <c r="A312" s="849" t="s">
        <v>1239</v>
      </c>
      <c r="B312" s="849">
        <v>2026.0</v>
      </c>
      <c r="C312" s="849" t="s">
        <v>1846</v>
      </c>
      <c r="D312" s="849" t="s">
        <v>1847</v>
      </c>
      <c r="E312" s="849" t="s">
        <v>768</v>
      </c>
      <c r="F312" s="849" t="s">
        <v>1200</v>
      </c>
      <c r="G312" s="849">
        <v>2220.0</v>
      </c>
      <c r="H312" s="849">
        <v>4440.0</v>
      </c>
      <c r="I312" s="849">
        <v>6660.0</v>
      </c>
      <c r="J312" s="849">
        <v>8880.0</v>
      </c>
      <c r="K312" s="849">
        <v>11100.0</v>
      </c>
      <c r="L312" s="849">
        <v>13320.0</v>
      </c>
      <c r="M312" s="849">
        <v>15540.0</v>
      </c>
      <c r="N312" s="849">
        <v>17760.0</v>
      </c>
      <c r="O312" s="849">
        <v>19980.0</v>
      </c>
      <c r="P312" s="849">
        <v>19980.0</v>
      </c>
      <c r="Q312" s="849">
        <v>0.0</v>
      </c>
      <c r="R312" s="849">
        <v>0.0</v>
      </c>
      <c r="S312" s="849">
        <v>2220.0</v>
      </c>
      <c r="T312" s="849">
        <v>2220.0</v>
      </c>
      <c r="U312" s="849">
        <v>0.0</v>
      </c>
      <c r="V312" s="849">
        <v>0.0</v>
      </c>
      <c r="W312" s="849">
        <v>0.0</v>
      </c>
      <c r="X312" s="849">
        <v>0.0</v>
      </c>
      <c r="Y312" s="849">
        <v>0.0</v>
      </c>
      <c r="Z312" s="849">
        <v>0.0</v>
      </c>
      <c r="AA312" s="849">
        <v>0.0</v>
      </c>
      <c r="AB312" s="849">
        <v>0.0</v>
      </c>
      <c r="AC312" s="849">
        <v>0.0</v>
      </c>
      <c r="AD312" s="849">
        <v>0.0</v>
      </c>
      <c r="AE312" s="849">
        <v>0.0</v>
      </c>
      <c r="AF312" s="849">
        <v>0.0</v>
      </c>
      <c r="AG312" s="849">
        <v>0.0</v>
      </c>
      <c r="AH312" s="849">
        <v>0.0</v>
      </c>
      <c r="AI312" s="849">
        <v>0.0</v>
      </c>
      <c r="AJ312" s="794" t="str">
        <f t="shared" ref="AJ312:AK312" si="621">C312</f>
        <v>G0872</v>
      </c>
      <c r="AK312" s="794" t="str">
        <f t="shared" si="621"/>
        <v>ELECTRICITE,GAZ-USAGES</v>
      </c>
      <c r="AL312" s="794">
        <f t="array" ref="AL312">IFERROR(INDEX(G312:R312,1,MATCH(Parametres!$B$3,G$1:R$1,0)-1)*IF(OR(F312="L",F312="S",F312="I"),-1,1),"")</f>
        <v>17760</v>
      </c>
      <c r="AM312" s="794">
        <f t="shared" si="4"/>
        <v>2220</v>
      </c>
      <c r="AN312" s="794">
        <f t="array" ref="AN312">INDEX(G312:R312,1,MATCH(Parametres!$B$3,G$1:R$1,0))*IF(OR(F312="L",F312="S",F312="I"),-1,1)</f>
        <v>19980</v>
      </c>
      <c r="AO312" s="853" t="str">
        <f>+VLOOKUP($AJ312,Data_Validation!$A:$D,1,0)</f>
        <v>G0872</v>
      </c>
      <c r="AP312" s="853" t="str">
        <f>+VLOOKUP($AJ312,Data_Validation!$A:$D,3,0)</f>
        <v>Véhicules usagés</v>
      </c>
      <c r="AQ312" s="853" t="str">
        <f>+VLOOKUP($AJ312,Data_Validation!$A:$D,4,0)</f>
        <v>Chauffage, éclairage</v>
      </c>
      <c r="AR312" s="853" t="s">
        <v>728</v>
      </c>
      <c r="AS312" s="853" t="str">
        <f>+VLOOKUP($AJ312,Data_Validation!$A:$E,5,0)</f>
        <v/>
      </c>
      <c r="AT312" s="794" t="str">
        <f t="shared" ref="AT312:AU312" si="622">C312</f>
        <v>G0872</v>
      </c>
      <c r="AU312" s="854" t="str">
        <f t="shared" si="622"/>
        <v>ELECTRICITE,GAZ-USAGES</v>
      </c>
      <c r="AV312" s="794">
        <f t="array" ref="AV312">IFERROR(INDEX(V312:AG312,1,MATCH(Parametres!$B$3,V$1:AG$1,0)-1)*IF(OR(C312="L",C312="S",C312="I"),-1,1),"")</f>
        <v>0</v>
      </c>
      <c r="AW312" s="794">
        <f t="shared" si="6"/>
        <v>0</v>
      </c>
      <c r="AX312" s="794">
        <f t="array" ref="AX312">INDEX(V312:AG312,1,MATCH(Parametres!$B$3,V$1:AG$1,0))*IF(OR(C312="L",C312="S",C312="I"),-1,1)</f>
        <v>0</v>
      </c>
      <c r="AY312" s="853" t="s">
        <v>772</v>
      </c>
      <c r="AZ312" s="853" t="str">
        <f>+VLOOKUP($AJ312,Data_Validation!$A:$E,5,0)</f>
        <v/>
      </c>
    </row>
    <row r="313" ht="15.0" customHeight="1">
      <c r="A313" s="849" t="s">
        <v>1239</v>
      </c>
      <c r="B313" s="849">
        <v>2026.0</v>
      </c>
      <c r="C313" s="849" t="s">
        <v>1848</v>
      </c>
      <c r="D313" s="849" t="s">
        <v>1849</v>
      </c>
      <c r="E313" s="849" t="s">
        <v>768</v>
      </c>
      <c r="F313" s="849" t="s">
        <v>1200</v>
      </c>
      <c r="G313" s="849">
        <v>3330.0</v>
      </c>
      <c r="H313" s="849">
        <v>6660.0</v>
      </c>
      <c r="I313" s="849">
        <v>9990.0</v>
      </c>
      <c r="J313" s="849">
        <v>13320.0</v>
      </c>
      <c r="K313" s="849">
        <v>16650.0</v>
      </c>
      <c r="L313" s="849">
        <v>19980.0</v>
      </c>
      <c r="M313" s="849">
        <v>23310.0</v>
      </c>
      <c r="N313" s="849">
        <v>26640.0</v>
      </c>
      <c r="O313" s="849">
        <v>29970.0</v>
      </c>
      <c r="P313" s="849">
        <v>29970.0</v>
      </c>
      <c r="Q313" s="849">
        <v>0.0</v>
      </c>
      <c r="R313" s="849">
        <v>0.0</v>
      </c>
      <c r="S313" s="849">
        <v>3330.0</v>
      </c>
      <c r="T313" s="849">
        <v>3330.0</v>
      </c>
      <c r="U313" s="849">
        <v>0.0</v>
      </c>
      <c r="V313" s="849">
        <v>0.0</v>
      </c>
      <c r="W313" s="849">
        <v>0.0</v>
      </c>
      <c r="X313" s="849">
        <v>0.0</v>
      </c>
      <c r="Y313" s="849">
        <v>0.0</v>
      </c>
      <c r="Z313" s="849">
        <v>0.0</v>
      </c>
      <c r="AA313" s="849">
        <v>0.0</v>
      </c>
      <c r="AB313" s="849">
        <v>0.0</v>
      </c>
      <c r="AC313" s="849">
        <v>0.0</v>
      </c>
      <c r="AD313" s="849">
        <v>0.0</v>
      </c>
      <c r="AE313" s="849">
        <v>0.0</v>
      </c>
      <c r="AF313" s="849">
        <v>0.0</v>
      </c>
      <c r="AG313" s="849">
        <v>0.0</v>
      </c>
      <c r="AH313" s="849">
        <v>0.0</v>
      </c>
      <c r="AI313" s="849">
        <v>0.0</v>
      </c>
      <c r="AJ313" s="794" t="str">
        <f t="shared" ref="AJ313:AK313" si="623">C313</f>
        <v>G0874</v>
      </c>
      <c r="AK313" s="794" t="str">
        <f t="shared" si="623"/>
        <v>ELECTRICITE,GAZ-SERVICE</v>
      </c>
      <c r="AL313" s="794">
        <f t="array" ref="AL313">IFERROR(INDEX(G313:R313,1,MATCH(Parametres!$B$3,G$1:R$1,0)-1)*IF(OR(F313="L",F313="S",F313="I"),-1,1),"")</f>
        <v>26640</v>
      </c>
      <c r="AM313" s="794">
        <f t="shared" si="4"/>
        <v>3330</v>
      </c>
      <c r="AN313" s="794">
        <f t="array" ref="AN313">INDEX(G313:R313,1,MATCH(Parametres!$B$3,G$1:R$1,0))*IF(OR(F313="L",F313="S",F313="I"),-1,1)</f>
        <v>29970</v>
      </c>
      <c r="AO313" s="853" t="str">
        <f>+VLOOKUP($AJ313,Data_Validation!$A:$D,1,0)</f>
        <v>G0874</v>
      </c>
      <c r="AP313" s="853" t="str">
        <f>+VLOOKUP($AJ313,Data_Validation!$A:$D,3,0)</f>
        <v>Service</v>
      </c>
      <c r="AQ313" s="853" t="str">
        <f>+VLOOKUP($AJ313,Data_Validation!$A:$D,4,0)</f>
        <v>Chauffage, éclairage</v>
      </c>
      <c r="AR313" s="853" t="s">
        <v>728</v>
      </c>
      <c r="AS313" s="853" t="str">
        <f>+VLOOKUP($AJ313,Data_Validation!$A:$E,5,0)</f>
        <v/>
      </c>
      <c r="AT313" s="794" t="str">
        <f t="shared" ref="AT313:AU313" si="624">C313</f>
        <v>G0874</v>
      </c>
      <c r="AU313" s="854" t="str">
        <f t="shared" si="624"/>
        <v>ELECTRICITE,GAZ-SERVICE</v>
      </c>
      <c r="AV313" s="794">
        <f t="array" ref="AV313">IFERROR(INDEX(V313:AG313,1,MATCH(Parametres!$B$3,V$1:AG$1,0)-1)*IF(OR(C313="L",C313="S",C313="I"),-1,1),"")</f>
        <v>0</v>
      </c>
      <c r="AW313" s="794">
        <f t="shared" si="6"/>
        <v>0</v>
      </c>
      <c r="AX313" s="794">
        <f t="array" ref="AX313">INDEX(V313:AG313,1,MATCH(Parametres!$B$3,V$1:AG$1,0))*IF(OR(C313="L",C313="S",C313="I"),-1,1)</f>
        <v>0</v>
      </c>
      <c r="AY313" s="853" t="s">
        <v>772</v>
      </c>
      <c r="AZ313" s="853" t="str">
        <f>+VLOOKUP($AJ313,Data_Validation!$A:$E,5,0)</f>
        <v/>
      </c>
    </row>
    <row r="314" ht="15.0" customHeight="1">
      <c r="A314" s="849" t="s">
        <v>1239</v>
      </c>
      <c r="B314" s="849">
        <v>2026.0</v>
      </c>
      <c r="C314" s="849" t="s">
        <v>1850</v>
      </c>
      <c r="D314" s="849" t="s">
        <v>1851</v>
      </c>
      <c r="E314" s="849" t="s">
        <v>768</v>
      </c>
      <c r="F314" s="849" t="s">
        <v>1200</v>
      </c>
      <c r="G314" s="849">
        <v>1110.0</v>
      </c>
      <c r="H314" s="849">
        <v>2220.0</v>
      </c>
      <c r="I314" s="849">
        <v>3330.0</v>
      </c>
      <c r="J314" s="849">
        <v>4440.0</v>
      </c>
      <c r="K314" s="849">
        <v>5550.0</v>
      </c>
      <c r="L314" s="849">
        <v>6660.0</v>
      </c>
      <c r="M314" s="849">
        <v>7770.0</v>
      </c>
      <c r="N314" s="849">
        <v>8880.0</v>
      </c>
      <c r="O314" s="849">
        <v>9990.0</v>
      </c>
      <c r="P314" s="849">
        <v>9990.0</v>
      </c>
      <c r="Q314" s="849">
        <v>0.0</v>
      </c>
      <c r="R314" s="849">
        <v>0.0</v>
      </c>
      <c r="S314" s="849">
        <v>1110.0</v>
      </c>
      <c r="T314" s="849">
        <v>1110.0</v>
      </c>
      <c r="U314" s="849">
        <v>0.0</v>
      </c>
      <c r="V314" s="849">
        <v>0.0</v>
      </c>
      <c r="W314" s="849">
        <v>0.0</v>
      </c>
      <c r="X314" s="849">
        <v>0.0</v>
      </c>
      <c r="Y314" s="849">
        <v>0.0</v>
      </c>
      <c r="Z314" s="849">
        <v>0.0</v>
      </c>
      <c r="AA314" s="849">
        <v>0.0</v>
      </c>
      <c r="AB314" s="849">
        <v>0.0</v>
      </c>
      <c r="AC314" s="849">
        <v>0.0</v>
      </c>
      <c r="AD314" s="849">
        <v>0.0</v>
      </c>
      <c r="AE314" s="849">
        <v>0.0</v>
      </c>
      <c r="AF314" s="849">
        <v>0.0</v>
      </c>
      <c r="AG314" s="849">
        <v>0.0</v>
      </c>
      <c r="AH314" s="849">
        <v>0.0</v>
      </c>
      <c r="AI314" s="849">
        <v>0.0</v>
      </c>
      <c r="AJ314" s="794" t="str">
        <f t="shared" ref="AJ314:AK314" si="625">C314</f>
        <v>G0875</v>
      </c>
      <c r="AK314" s="794" t="str">
        <f t="shared" si="625"/>
        <v>ELECTRICITE,GAZ-CARROSS.</v>
      </c>
      <c r="AL314" s="794">
        <f t="array" ref="AL314">IFERROR(INDEX(G314:R314,1,MATCH(Parametres!$B$3,G$1:R$1,0)-1)*IF(OR(F314="L",F314="S",F314="I"),-1,1),"")</f>
        <v>8880</v>
      </c>
      <c r="AM314" s="794">
        <f t="shared" si="4"/>
        <v>1110</v>
      </c>
      <c r="AN314" s="794">
        <f t="array" ref="AN314">INDEX(G314:R314,1,MATCH(Parametres!$B$3,G$1:R$1,0))*IF(OR(F314="L",F314="S",F314="I"),-1,1)</f>
        <v>9990</v>
      </c>
      <c r="AO314" s="853" t="str">
        <f>+VLOOKUP($AJ314,Data_Validation!$A:$D,1,0)</f>
        <v>G0875</v>
      </c>
      <c r="AP314" s="853" t="str">
        <f>+VLOOKUP($AJ314,Data_Validation!$A:$D,3,0)</f>
        <v>Carrosserie</v>
      </c>
      <c r="AQ314" s="853" t="str">
        <f>+VLOOKUP($AJ314,Data_Validation!$A:$D,4,0)</f>
        <v>Chauffage, éclairage</v>
      </c>
      <c r="AR314" s="853" t="s">
        <v>728</v>
      </c>
      <c r="AS314" s="853" t="str">
        <f>+VLOOKUP($AJ314,Data_Validation!$A:$E,5,0)</f>
        <v/>
      </c>
      <c r="AT314" s="794" t="str">
        <f t="shared" ref="AT314:AU314" si="626">C314</f>
        <v>G0875</v>
      </c>
      <c r="AU314" s="854" t="str">
        <f t="shared" si="626"/>
        <v>ELECTRICITE,GAZ-CARROSS.</v>
      </c>
      <c r="AV314" s="794">
        <f t="array" ref="AV314">IFERROR(INDEX(V314:AG314,1,MATCH(Parametres!$B$3,V$1:AG$1,0)-1)*IF(OR(C314="L",C314="S",C314="I"),-1,1),"")</f>
        <v>0</v>
      </c>
      <c r="AW314" s="794">
        <f t="shared" si="6"/>
        <v>0</v>
      </c>
      <c r="AX314" s="794">
        <f t="array" ref="AX314">INDEX(V314:AG314,1,MATCH(Parametres!$B$3,V$1:AG$1,0))*IF(OR(C314="L",C314="S",C314="I"),-1,1)</f>
        <v>0</v>
      </c>
      <c r="AY314" s="853" t="s">
        <v>772</v>
      </c>
      <c r="AZ314" s="853" t="str">
        <f>+VLOOKUP($AJ314,Data_Validation!$A:$E,5,0)</f>
        <v/>
      </c>
    </row>
    <row r="315" ht="15.0" customHeight="1">
      <c r="A315" s="849" t="s">
        <v>1239</v>
      </c>
      <c r="B315" s="849">
        <v>2026.0</v>
      </c>
      <c r="C315" s="849" t="s">
        <v>1852</v>
      </c>
      <c r="D315" s="849" t="s">
        <v>1853</v>
      </c>
      <c r="E315" s="849" t="s">
        <v>768</v>
      </c>
      <c r="F315" s="849" t="s">
        <v>1200</v>
      </c>
      <c r="G315" s="849">
        <v>1110.0</v>
      </c>
      <c r="H315" s="849">
        <v>2220.0</v>
      </c>
      <c r="I315" s="849">
        <v>3330.0</v>
      </c>
      <c r="J315" s="849">
        <v>4440.0</v>
      </c>
      <c r="K315" s="849">
        <v>5550.0</v>
      </c>
      <c r="L315" s="849">
        <v>6660.0</v>
      </c>
      <c r="M315" s="849">
        <v>7770.0</v>
      </c>
      <c r="N315" s="849">
        <v>8880.0</v>
      </c>
      <c r="O315" s="849">
        <v>9990.0</v>
      </c>
      <c r="P315" s="849">
        <v>9990.0</v>
      </c>
      <c r="Q315" s="849">
        <v>0.0</v>
      </c>
      <c r="R315" s="849">
        <v>0.0</v>
      </c>
      <c r="S315" s="849">
        <v>1110.0</v>
      </c>
      <c r="T315" s="849">
        <v>1110.0</v>
      </c>
      <c r="U315" s="849">
        <v>0.0</v>
      </c>
      <c r="V315" s="849">
        <v>0.0</v>
      </c>
      <c r="W315" s="849">
        <v>0.0</v>
      </c>
      <c r="X315" s="849">
        <v>0.0</v>
      </c>
      <c r="Y315" s="849">
        <v>0.0</v>
      </c>
      <c r="Z315" s="849">
        <v>0.0</v>
      </c>
      <c r="AA315" s="849">
        <v>0.0</v>
      </c>
      <c r="AB315" s="849">
        <v>0.0</v>
      </c>
      <c r="AC315" s="849">
        <v>0.0</v>
      </c>
      <c r="AD315" s="849">
        <v>0.0</v>
      </c>
      <c r="AE315" s="849">
        <v>0.0</v>
      </c>
      <c r="AF315" s="849">
        <v>0.0</v>
      </c>
      <c r="AG315" s="849">
        <v>0.0</v>
      </c>
      <c r="AH315" s="849">
        <v>0.0</v>
      </c>
      <c r="AI315" s="849">
        <v>0.0</v>
      </c>
      <c r="AJ315" s="794" t="str">
        <f t="shared" ref="AJ315:AK315" si="627">C315</f>
        <v>G0876</v>
      </c>
      <c r="AK315" s="794" t="str">
        <f t="shared" si="627"/>
        <v>ELECTRICITE,GAZ-PIECES</v>
      </c>
      <c r="AL315" s="794">
        <f t="array" ref="AL315">IFERROR(INDEX(G315:R315,1,MATCH(Parametres!$B$3,G$1:R$1,0)-1)*IF(OR(F315="L",F315="S",F315="I"),-1,1),"")</f>
        <v>8880</v>
      </c>
      <c r="AM315" s="794">
        <f t="shared" si="4"/>
        <v>1110</v>
      </c>
      <c r="AN315" s="794">
        <f t="array" ref="AN315">INDEX(G315:R315,1,MATCH(Parametres!$B$3,G$1:R$1,0))*IF(OR(F315="L",F315="S",F315="I"),-1,1)</f>
        <v>9990</v>
      </c>
      <c r="AO315" s="853" t="str">
        <f>+VLOOKUP($AJ315,Data_Validation!$A:$D,1,0)</f>
        <v>G0876</v>
      </c>
      <c r="AP315" s="853" t="str">
        <f>+VLOOKUP($AJ315,Data_Validation!$A:$D,3,0)</f>
        <v>Pièces</v>
      </c>
      <c r="AQ315" s="853" t="str">
        <f>+VLOOKUP($AJ315,Data_Validation!$A:$D,4,0)</f>
        <v>Chauffage, éclairage</v>
      </c>
      <c r="AR315" s="853" t="s">
        <v>728</v>
      </c>
      <c r="AS315" s="853" t="str">
        <f>+VLOOKUP($AJ315,Data_Validation!$A:$E,5,0)</f>
        <v/>
      </c>
      <c r="AT315" s="794" t="str">
        <f t="shared" ref="AT315:AU315" si="628">C315</f>
        <v>G0876</v>
      </c>
      <c r="AU315" s="854" t="str">
        <f t="shared" si="628"/>
        <v>ELECTRICITE,GAZ-PIECES</v>
      </c>
      <c r="AV315" s="794">
        <f t="array" ref="AV315">IFERROR(INDEX(V315:AG315,1,MATCH(Parametres!$B$3,V$1:AG$1,0)-1)*IF(OR(C315="L",C315="S",C315="I"),-1,1),"")</f>
        <v>0</v>
      </c>
      <c r="AW315" s="794">
        <f t="shared" si="6"/>
        <v>0</v>
      </c>
      <c r="AX315" s="794">
        <f t="array" ref="AX315">INDEX(V315:AG315,1,MATCH(Parametres!$B$3,V$1:AG$1,0))*IF(OR(C315="L",C315="S",C315="I"),-1,1)</f>
        <v>0</v>
      </c>
      <c r="AY315" s="853" t="s">
        <v>772</v>
      </c>
      <c r="AZ315" s="853" t="str">
        <f>+VLOOKUP($AJ315,Data_Validation!$A:$E,5,0)</f>
        <v/>
      </c>
    </row>
    <row r="316" ht="15.0" customHeight="1">
      <c r="A316" s="849" t="s">
        <v>1239</v>
      </c>
      <c r="B316" s="849">
        <v>2026.0</v>
      </c>
      <c r="C316" s="849" t="s">
        <v>1854</v>
      </c>
      <c r="D316" s="849" t="s">
        <v>1855</v>
      </c>
      <c r="E316" s="849" t="s">
        <v>768</v>
      </c>
      <c r="F316" s="849" t="s">
        <v>1200</v>
      </c>
      <c r="G316" s="849">
        <v>0.0</v>
      </c>
      <c r="H316" s="849">
        <v>0.0</v>
      </c>
      <c r="I316" s="849">
        <v>0.0</v>
      </c>
      <c r="J316" s="849">
        <v>0.0</v>
      </c>
      <c r="K316" s="849">
        <v>0.0</v>
      </c>
      <c r="L316" s="849">
        <v>0.0</v>
      </c>
      <c r="M316" s="849">
        <v>0.0</v>
      </c>
      <c r="N316" s="849">
        <v>0.0</v>
      </c>
      <c r="O316" s="849">
        <v>0.0</v>
      </c>
      <c r="P316" s="849">
        <v>0.0</v>
      </c>
      <c r="Q316" s="849">
        <v>0.0</v>
      </c>
      <c r="R316" s="849">
        <v>0.0</v>
      </c>
      <c r="S316" s="849">
        <v>0.0</v>
      </c>
      <c r="T316" s="849">
        <v>0.0</v>
      </c>
      <c r="U316" s="849">
        <v>0.0</v>
      </c>
      <c r="V316" s="849">
        <v>0.0</v>
      </c>
      <c r="W316" s="849">
        <v>0.0</v>
      </c>
      <c r="X316" s="849">
        <v>0.0</v>
      </c>
      <c r="Y316" s="849">
        <v>0.0</v>
      </c>
      <c r="Z316" s="849">
        <v>0.0</v>
      </c>
      <c r="AA316" s="849">
        <v>0.0</v>
      </c>
      <c r="AB316" s="849">
        <v>0.0</v>
      </c>
      <c r="AC316" s="849">
        <v>0.0</v>
      </c>
      <c r="AD316" s="849">
        <v>0.0</v>
      </c>
      <c r="AE316" s="849">
        <v>0.0</v>
      </c>
      <c r="AF316" s="849">
        <v>0.0</v>
      </c>
      <c r="AG316" s="849">
        <v>0.0</v>
      </c>
      <c r="AH316" s="849">
        <v>0.0</v>
      </c>
      <c r="AI316" s="849">
        <v>0.0</v>
      </c>
      <c r="AJ316" s="794" t="str">
        <f t="shared" ref="AJ316:AK316" si="629">C316</f>
        <v>G0880</v>
      </c>
      <c r="AK316" s="794" t="str">
        <f t="shared" si="629"/>
        <v>ASSURANCES DIVERSES REP</v>
      </c>
      <c r="AL316" s="794">
        <f t="array" ref="AL316">IFERROR(INDEX(G316:R316,1,MATCH(Parametres!$B$3,G$1:R$1,0)-1)*IF(OR(F316="L",F316="S",F316="I"),-1,1),"")</f>
        <v>0</v>
      </c>
      <c r="AM316" s="794">
        <f t="shared" si="4"/>
        <v>0</v>
      </c>
      <c r="AN316" s="794">
        <f t="array" ref="AN316">INDEX(G316:R316,1,MATCH(Parametres!$B$3,G$1:R$1,0))*IF(OR(F316="L",F316="S",F316="I"),-1,1)</f>
        <v>0</v>
      </c>
      <c r="AO316" s="853" t="str">
        <f>+VLOOKUP($AJ316,Data_Validation!$A:$D,1,0)</f>
        <v>#N/A</v>
      </c>
      <c r="AP316" s="853" t="str">
        <f>+VLOOKUP($AJ316,Data_Validation!$A:$D,3,0)</f>
        <v>#N/A</v>
      </c>
      <c r="AQ316" s="853" t="str">
        <f>+VLOOKUP($AJ316,Data_Validation!$A:$D,4,0)</f>
        <v>#N/A</v>
      </c>
      <c r="AR316" s="853" t="s">
        <v>728</v>
      </c>
      <c r="AS316" s="853" t="str">
        <f>+VLOOKUP($AJ316,Data_Validation!$A:$E,5,0)</f>
        <v>#N/A</v>
      </c>
      <c r="AT316" s="794" t="str">
        <f t="shared" ref="AT316:AU316" si="630">C316</f>
        <v>G0880</v>
      </c>
      <c r="AU316" s="854" t="str">
        <f t="shared" si="630"/>
        <v>ASSURANCES DIVERSES REP</v>
      </c>
      <c r="AV316" s="794">
        <f t="array" ref="AV316">IFERROR(INDEX(V316:AG316,1,MATCH(Parametres!$B$3,V$1:AG$1,0)-1)*IF(OR(C316="L",C316="S",C316="I"),-1,1),"")</f>
        <v>0</v>
      </c>
      <c r="AW316" s="794">
        <f t="shared" si="6"/>
        <v>0</v>
      </c>
      <c r="AX316" s="794">
        <f t="array" ref="AX316">INDEX(V316:AG316,1,MATCH(Parametres!$B$3,V$1:AG$1,0))*IF(OR(C316="L",C316="S",C316="I"),-1,1)</f>
        <v>0</v>
      </c>
      <c r="AY316" s="853" t="s">
        <v>772</v>
      </c>
      <c r="AZ316" s="853" t="str">
        <f>+VLOOKUP($AJ316,Data_Validation!$A:$E,5,0)</f>
        <v>#N/A</v>
      </c>
    </row>
    <row r="317" ht="15.0" customHeight="1">
      <c r="A317" s="849" t="s">
        <v>1239</v>
      </c>
      <c r="B317" s="849">
        <v>2026.0</v>
      </c>
      <c r="C317" s="849" t="s">
        <v>1856</v>
      </c>
      <c r="D317" s="849" t="s">
        <v>1857</v>
      </c>
      <c r="E317" s="849" t="s">
        <v>768</v>
      </c>
      <c r="F317" s="849" t="s">
        <v>1200</v>
      </c>
      <c r="G317" s="849">
        <v>0.0</v>
      </c>
      <c r="H317" s="849">
        <v>0.0</v>
      </c>
      <c r="I317" s="849">
        <v>0.0</v>
      </c>
      <c r="J317" s="849">
        <v>0.0</v>
      </c>
      <c r="K317" s="849">
        <v>0.0</v>
      </c>
      <c r="L317" s="849">
        <v>0.0</v>
      </c>
      <c r="M317" s="849">
        <v>0.0</v>
      </c>
      <c r="N317" s="849">
        <v>0.0</v>
      </c>
      <c r="O317" s="849">
        <v>0.0</v>
      </c>
      <c r="P317" s="849">
        <v>0.0</v>
      </c>
      <c r="Q317" s="849">
        <v>0.0</v>
      </c>
      <c r="R317" s="849">
        <v>0.0</v>
      </c>
      <c r="S317" s="849">
        <v>0.0</v>
      </c>
      <c r="T317" s="849">
        <v>0.0</v>
      </c>
      <c r="U317" s="849">
        <v>0.0</v>
      </c>
      <c r="V317" s="849">
        <v>0.0</v>
      </c>
      <c r="W317" s="849">
        <v>0.0</v>
      </c>
      <c r="X317" s="849">
        <v>0.0</v>
      </c>
      <c r="Y317" s="849">
        <v>0.0</v>
      </c>
      <c r="Z317" s="849">
        <v>0.0</v>
      </c>
      <c r="AA317" s="849">
        <v>0.0</v>
      </c>
      <c r="AB317" s="849">
        <v>0.0</v>
      </c>
      <c r="AC317" s="849">
        <v>0.0</v>
      </c>
      <c r="AD317" s="849">
        <v>0.0</v>
      </c>
      <c r="AE317" s="849">
        <v>0.0</v>
      </c>
      <c r="AF317" s="849">
        <v>0.0</v>
      </c>
      <c r="AG317" s="849">
        <v>0.0</v>
      </c>
      <c r="AH317" s="849">
        <v>0.0</v>
      </c>
      <c r="AI317" s="849">
        <v>0.0</v>
      </c>
      <c r="AJ317" s="794" t="str">
        <f t="shared" ref="AJ317:AK317" si="631">C317</f>
        <v>G0881</v>
      </c>
      <c r="AK317" s="794" t="str">
        <f t="shared" si="631"/>
        <v>ASSURANCES DIVERSES-NEUFS</v>
      </c>
      <c r="AL317" s="794">
        <f t="array" ref="AL317">IFERROR(INDEX(G317:R317,1,MATCH(Parametres!$B$3,G$1:R$1,0)-1)*IF(OR(F317="L",F317="S",F317="I"),-1,1),"")</f>
        <v>0</v>
      </c>
      <c r="AM317" s="794">
        <f t="shared" si="4"/>
        <v>0</v>
      </c>
      <c r="AN317" s="794">
        <f t="array" ref="AN317">INDEX(G317:R317,1,MATCH(Parametres!$B$3,G$1:R$1,0))*IF(OR(F317="L",F317="S",F317="I"),-1,1)</f>
        <v>0</v>
      </c>
      <c r="AO317" s="853" t="str">
        <f>+VLOOKUP($AJ317,Data_Validation!$A:$D,1,0)</f>
        <v>G0881</v>
      </c>
      <c r="AP317" s="853" t="str">
        <f>+VLOOKUP($AJ317,Data_Validation!$A:$D,3,0)</f>
        <v/>
      </c>
      <c r="AQ317" s="853" t="str">
        <f>+VLOOKUP($AJ317,Data_Validation!$A:$D,4,0)</f>
        <v/>
      </c>
      <c r="AR317" s="853" t="s">
        <v>728</v>
      </c>
      <c r="AS317" s="853" t="str">
        <f>+VLOOKUP($AJ317,Data_Validation!$A:$E,5,0)</f>
        <v/>
      </c>
      <c r="AT317" s="794" t="str">
        <f t="shared" ref="AT317:AU317" si="632">C317</f>
        <v>G0881</v>
      </c>
      <c r="AU317" s="854" t="str">
        <f t="shared" si="632"/>
        <v>ASSURANCES DIVERSES-NEUFS</v>
      </c>
      <c r="AV317" s="794">
        <f t="array" ref="AV317">IFERROR(INDEX(V317:AG317,1,MATCH(Parametres!$B$3,V$1:AG$1,0)-1)*IF(OR(C317="L",C317="S",C317="I"),-1,1),"")</f>
        <v>0</v>
      </c>
      <c r="AW317" s="794">
        <f t="shared" si="6"/>
        <v>0</v>
      </c>
      <c r="AX317" s="794">
        <f t="array" ref="AX317">INDEX(V317:AG317,1,MATCH(Parametres!$B$3,V$1:AG$1,0))*IF(OR(C317="L",C317="S",C317="I"),-1,1)</f>
        <v>0</v>
      </c>
      <c r="AY317" s="853" t="s">
        <v>772</v>
      </c>
      <c r="AZ317" s="853" t="str">
        <f>+VLOOKUP($AJ317,Data_Validation!$A:$E,5,0)</f>
        <v/>
      </c>
    </row>
    <row r="318" ht="15.75" customHeight="1">
      <c r="A318" s="849" t="s">
        <v>1239</v>
      </c>
      <c r="B318" s="849">
        <v>2026.0</v>
      </c>
      <c r="C318" s="849" t="s">
        <v>1858</v>
      </c>
      <c r="D318" s="849" t="s">
        <v>1859</v>
      </c>
      <c r="E318" s="849" t="s">
        <v>768</v>
      </c>
      <c r="F318" s="849" t="s">
        <v>1200</v>
      </c>
      <c r="G318" s="849">
        <v>0.0</v>
      </c>
      <c r="H318" s="849">
        <v>0.0</v>
      </c>
      <c r="I318" s="849">
        <v>0.0</v>
      </c>
      <c r="J318" s="849">
        <v>0.0</v>
      </c>
      <c r="K318" s="849">
        <v>0.0</v>
      </c>
      <c r="L318" s="849">
        <v>0.0</v>
      </c>
      <c r="M318" s="849">
        <v>0.0</v>
      </c>
      <c r="N318" s="849">
        <v>0.0</v>
      </c>
      <c r="O318" s="849">
        <v>0.0</v>
      </c>
      <c r="P318" s="849">
        <v>0.0</v>
      </c>
      <c r="Q318" s="849">
        <v>0.0</v>
      </c>
      <c r="R318" s="849">
        <v>0.0</v>
      </c>
      <c r="S318" s="849">
        <v>0.0</v>
      </c>
      <c r="T318" s="849">
        <v>0.0</v>
      </c>
      <c r="U318" s="849">
        <v>0.0</v>
      </c>
      <c r="V318" s="849">
        <v>0.0</v>
      </c>
      <c r="W318" s="849">
        <v>0.0</v>
      </c>
      <c r="X318" s="849">
        <v>0.0</v>
      </c>
      <c r="Y318" s="849">
        <v>0.0</v>
      </c>
      <c r="Z318" s="849">
        <v>0.0</v>
      </c>
      <c r="AA318" s="849">
        <v>0.0</v>
      </c>
      <c r="AB318" s="849">
        <v>0.0</v>
      </c>
      <c r="AC318" s="849">
        <v>0.0</v>
      </c>
      <c r="AD318" s="849">
        <v>0.0</v>
      </c>
      <c r="AE318" s="849">
        <v>0.0</v>
      </c>
      <c r="AF318" s="849">
        <v>0.0</v>
      </c>
      <c r="AG318" s="849">
        <v>0.0</v>
      </c>
      <c r="AH318" s="849">
        <v>0.0</v>
      </c>
      <c r="AI318" s="849">
        <v>0.0</v>
      </c>
      <c r="AJ318" s="794" t="str">
        <f t="shared" ref="AJ318:AK318" si="633">C318</f>
        <v>G0882</v>
      </c>
      <c r="AK318" s="794" t="str">
        <f t="shared" si="633"/>
        <v>ASSURANCES DIVERSES-USAGE</v>
      </c>
      <c r="AL318" s="794">
        <f t="array" ref="AL318">IFERROR(INDEX(G318:R318,1,MATCH(Parametres!$B$3,G$1:R$1,0)-1)*IF(OR(F318="L",F318="S",F318="I"),-1,1),"")</f>
        <v>0</v>
      </c>
      <c r="AM318" s="794">
        <f t="shared" si="4"/>
        <v>0</v>
      </c>
      <c r="AN318" s="794">
        <f t="array" ref="AN318">INDEX(G318:R318,1,MATCH(Parametres!$B$3,G$1:R$1,0))*IF(OR(F318="L",F318="S",F318="I"),-1,1)</f>
        <v>0</v>
      </c>
      <c r="AO318" s="853" t="str">
        <f>+VLOOKUP($AJ318,Data_Validation!$A:$D,1,0)</f>
        <v>G0882</v>
      </c>
      <c r="AP318" s="853" t="str">
        <f>+VLOOKUP($AJ318,Data_Validation!$A:$D,3,0)</f>
        <v/>
      </c>
      <c r="AQ318" s="853" t="str">
        <f>+VLOOKUP($AJ318,Data_Validation!$A:$D,4,0)</f>
        <v/>
      </c>
      <c r="AR318" s="853" t="s">
        <v>728</v>
      </c>
      <c r="AS318" s="853" t="str">
        <f>+VLOOKUP($AJ318,Data_Validation!$A:$E,5,0)</f>
        <v/>
      </c>
      <c r="AT318" s="794" t="str">
        <f t="shared" ref="AT318:AU318" si="634">C318</f>
        <v>G0882</v>
      </c>
      <c r="AU318" s="854" t="str">
        <f t="shared" si="634"/>
        <v>ASSURANCES DIVERSES-USAGE</v>
      </c>
      <c r="AV318" s="794">
        <f t="array" ref="AV318">IFERROR(INDEX(V318:AG318,1,MATCH(Parametres!$B$3,V$1:AG$1,0)-1)*IF(OR(C318="L",C318="S",C318="I"),-1,1),"")</f>
        <v>0</v>
      </c>
      <c r="AW318" s="794">
        <f t="shared" si="6"/>
        <v>0</v>
      </c>
      <c r="AX318" s="794">
        <f t="array" ref="AX318">INDEX(V318:AG318,1,MATCH(Parametres!$B$3,V$1:AG$1,0))*IF(OR(C318="L",C318="S",C318="I"),-1,1)</f>
        <v>0</v>
      </c>
      <c r="AY318" s="853" t="s">
        <v>772</v>
      </c>
      <c r="AZ318" s="853" t="str">
        <f>+VLOOKUP($AJ318,Data_Validation!$A:$E,5,0)</f>
        <v/>
      </c>
    </row>
    <row r="319" ht="15.0" customHeight="1">
      <c r="A319" s="849" t="s">
        <v>1239</v>
      </c>
      <c r="B319" s="849">
        <v>2026.0</v>
      </c>
      <c r="C319" s="849" t="s">
        <v>1860</v>
      </c>
      <c r="D319" s="849" t="s">
        <v>1861</v>
      </c>
      <c r="E319" s="849" t="s">
        <v>768</v>
      </c>
      <c r="F319" s="849" t="s">
        <v>1200</v>
      </c>
      <c r="G319" s="849">
        <v>0.0</v>
      </c>
      <c r="H319" s="849">
        <v>0.0</v>
      </c>
      <c r="I319" s="849">
        <v>0.0</v>
      </c>
      <c r="J319" s="849">
        <v>0.0</v>
      </c>
      <c r="K319" s="849">
        <v>0.0</v>
      </c>
      <c r="L319" s="849">
        <v>0.0</v>
      </c>
      <c r="M319" s="849">
        <v>0.0</v>
      </c>
      <c r="N319" s="849">
        <v>0.0</v>
      </c>
      <c r="O319" s="849">
        <v>0.0</v>
      </c>
      <c r="P319" s="849">
        <v>0.0</v>
      </c>
      <c r="Q319" s="849">
        <v>0.0</v>
      </c>
      <c r="R319" s="849">
        <v>0.0</v>
      </c>
      <c r="S319" s="849">
        <v>0.0</v>
      </c>
      <c r="T319" s="849">
        <v>0.0</v>
      </c>
      <c r="U319" s="849">
        <v>0.0</v>
      </c>
      <c r="V319" s="849">
        <v>0.0</v>
      </c>
      <c r="W319" s="849">
        <v>0.0</v>
      </c>
      <c r="X319" s="849">
        <v>0.0</v>
      </c>
      <c r="Y319" s="849">
        <v>0.0</v>
      </c>
      <c r="Z319" s="849">
        <v>0.0</v>
      </c>
      <c r="AA319" s="849">
        <v>0.0</v>
      </c>
      <c r="AB319" s="849">
        <v>0.0</v>
      </c>
      <c r="AC319" s="849">
        <v>0.0</v>
      </c>
      <c r="AD319" s="849">
        <v>0.0</v>
      </c>
      <c r="AE319" s="849">
        <v>0.0</v>
      </c>
      <c r="AF319" s="849">
        <v>0.0</v>
      </c>
      <c r="AG319" s="849">
        <v>0.0</v>
      </c>
      <c r="AH319" s="849">
        <v>0.0</v>
      </c>
      <c r="AI319" s="849">
        <v>0.0</v>
      </c>
      <c r="AJ319" s="794" t="str">
        <f t="shared" ref="AJ319:AK319" si="635">C319</f>
        <v>G0884</v>
      </c>
      <c r="AK319" s="794" t="str">
        <f t="shared" si="635"/>
        <v>ASSURANCES DIVERSES-SERV.</v>
      </c>
      <c r="AL319" s="794">
        <f t="array" ref="AL319">IFERROR(INDEX(G319:R319,1,MATCH(Parametres!$B$3,G$1:R$1,0)-1)*IF(OR(F319="L",F319="S",F319="I"),-1,1),"")</f>
        <v>0</v>
      </c>
      <c r="AM319" s="794">
        <f t="shared" si="4"/>
        <v>0</v>
      </c>
      <c r="AN319" s="794">
        <f t="array" ref="AN319">INDEX(G319:R319,1,MATCH(Parametres!$B$3,G$1:R$1,0))*IF(OR(F319="L",F319="S",F319="I"),-1,1)</f>
        <v>0</v>
      </c>
      <c r="AO319" s="853" t="str">
        <f>+VLOOKUP($AJ319,Data_Validation!$A:$D,1,0)</f>
        <v>G0884</v>
      </c>
      <c r="AP319" s="853" t="str">
        <f>+VLOOKUP($AJ319,Data_Validation!$A:$D,3,0)</f>
        <v/>
      </c>
      <c r="AQ319" s="853" t="str">
        <f>+VLOOKUP($AJ319,Data_Validation!$A:$D,4,0)</f>
        <v/>
      </c>
      <c r="AR319" s="853" t="s">
        <v>728</v>
      </c>
      <c r="AS319" s="853" t="str">
        <f>+VLOOKUP($AJ319,Data_Validation!$A:$E,5,0)</f>
        <v/>
      </c>
      <c r="AT319" s="794" t="str">
        <f t="shared" ref="AT319:AU319" si="636">C319</f>
        <v>G0884</v>
      </c>
      <c r="AU319" s="854" t="str">
        <f t="shared" si="636"/>
        <v>ASSURANCES DIVERSES-SERV.</v>
      </c>
      <c r="AV319" s="794">
        <f t="array" ref="AV319">IFERROR(INDEX(V319:AG319,1,MATCH(Parametres!$B$3,V$1:AG$1,0)-1)*IF(OR(C319="L",C319="S",C319="I"),-1,1),"")</f>
        <v>0</v>
      </c>
      <c r="AW319" s="794">
        <f t="shared" si="6"/>
        <v>0</v>
      </c>
      <c r="AX319" s="794">
        <f t="array" ref="AX319">INDEX(V319:AG319,1,MATCH(Parametres!$B$3,V$1:AG$1,0))*IF(OR(C319="L",C319="S",C319="I"),-1,1)</f>
        <v>0</v>
      </c>
      <c r="AY319" s="853" t="s">
        <v>772</v>
      </c>
      <c r="AZ319" s="853" t="str">
        <f>+VLOOKUP($AJ319,Data_Validation!$A:$E,5,0)</f>
        <v/>
      </c>
    </row>
    <row r="320" ht="15.0" customHeight="1">
      <c r="A320" s="849" t="s">
        <v>1239</v>
      </c>
      <c r="B320" s="849">
        <v>2026.0</v>
      </c>
      <c r="C320" s="849" t="s">
        <v>1862</v>
      </c>
      <c r="D320" s="849" t="s">
        <v>1863</v>
      </c>
      <c r="E320" s="849" t="s">
        <v>768</v>
      </c>
      <c r="F320" s="849" t="s">
        <v>1200</v>
      </c>
      <c r="G320" s="849">
        <v>0.0</v>
      </c>
      <c r="H320" s="849">
        <v>0.0</v>
      </c>
      <c r="I320" s="849">
        <v>0.0</v>
      </c>
      <c r="J320" s="849">
        <v>0.0</v>
      </c>
      <c r="K320" s="849">
        <v>0.0</v>
      </c>
      <c r="L320" s="849">
        <v>0.0</v>
      </c>
      <c r="M320" s="849">
        <v>0.0</v>
      </c>
      <c r="N320" s="849">
        <v>0.0</v>
      </c>
      <c r="O320" s="849">
        <v>0.0</v>
      </c>
      <c r="P320" s="849">
        <v>0.0</v>
      </c>
      <c r="Q320" s="849">
        <v>0.0</v>
      </c>
      <c r="R320" s="849">
        <v>0.0</v>
      </c>
      <c r="S320" s="849">
        <v>0.0</v>
      </c>
      <c r="T320" s="849">
        <v>0.0</v>
      </c>
      <c r="U320" s="849">
        <v>0.0</v>
      </c>
      <c r="V320" s="849">
        <v>0.0</v>
      </c>
      <c r="W320" s="849">
        <v>0.0</v>
      </c>
      <c r="X320" s="849">
        <v>0.0</v>
      </c>
      <c r="Y320" s="849">
        <v>0.0</v>
      </c>
      <c r="Z320" s="849">
        <v>0.0</v>
      </c>
      <c r="AA320" s="849">
        <v>0.0</v>
      </c>
      <c r="AB320" s="849">
        <v>0.0</v>
      </c>
      <c r="AC320" s="849">
        <v>0.0</v>
      </c>
      <c r="AD320" s="849">
        <v>0.0</v>
      </c>
      <c r="AE320" s="849">
        <v>0.0</v>
      </c>
      <c r="AF320" s="849">
        <v>0.0</v>
      </c>
      <c r="AG320" s="849">
        <v>0.0</v>
      </c>
      <c r="AH320" s="849">
        <v>0.0</v>
      </c>
      <c r="AI320" s="849">
        <v>0.0</v>
      </c>
      <c r="AJ320" s="794" t="str">
        <f t="shared" ref="AJ320:AK320" si="637">C320</f>
        <v>G0885</v>
      </c>
      <c r="AK320" s="794" t="str">
        <f t="shared" si="637"/>
        <v>ASSURANCES DIVERSES-CARR.</v>
      </c>
      <c r="AL320" s="794">
        <f t="array" ref="AL320">IFERROR(INDEX(G320:R320,1,MATCH(Parametres!$B$3,G$1:R$1,0)-1)*IF(OR(F320="L",F320="S",F320="I"),-1,1),"")</f>
        <v>0</v>
      </c>
      <c r="AM320" s="794">
        <f t="shared" si="4"/>
        <v>0</v>
      </c>
      <c r="AN320" s="794">
        <f t="array" ref="AN320">INDEX(G320:R320,1,MATCH(Parametres!$B$3,G$1:R$1,0))*IF(OR(F320="L",F320="S",F320="I"),-1,1)</f>
        <v>0</v>
      </c>
      <c r="AO320" s="853" t="str">
        <f>+VLOOKUP($AJ320,Data_Validation!$A:$D,1,0)</f>
        <v>G0885</v>
      </c>
      <c r="AP320" s="853" t="str">
        <f>+VLOOKUP($AJ320,Data_Validation!$A:$D,3,0)</f>
        <v/>
      </c>
      <c r="AQ320" s="853" t="str">
        <f>+VLOOKUP($AJ320,Data_Validation!$A:$D,4,0)</f>
        <v/>
      </c>
      <c r="AR320" s="853" t="s">
        <v>728</v>
      </c>
      <c r="AS320" s="853" t="str">
        <f>+VLOOKUP($AJ320,Data_Validation!$A:$E,5,0)</f>
        <v/>
      </c>
      <c r="AT320" s="794" t="str">
        <f t="shared" ref="AT320:AU320" si="638">C320</f>
        <v>G0885</v>
      </c>
      <c r="AU320" s="854" t="str">
        <f t="shared" si="638"/>
        <v>ASSURANCES DIVERSES-CARR.</v>
      </c>
      <c r="AV320" s="794">
        <f t="array" ref="AV320">IFERROR(INDEX(V320:AG320,1,MATCH(Parametres!$B$3,V$1:AG$1,0)-1)*IF(OR(C320="L",C320="S",C320="I"),-1,1),"")</f>
        <v>0</v>
      </c>
      <c r="AW320" s="794">
        <f t="shared" si="6"/>
        <v>0</v>
      </c>
      <c r="AX320" s="794">
        <f t="array" ref="AX320">INDEX(V320:AG320,1,MATCH(Parametres!$B$3,V$1:AG$1,0))*IF(OR(C320="L",C320="S",C320="I"),-1,1)</f>
        <v>0</v>
      </c>
      <c r="AY320" s="853" t="s">
        <v>772</v>
      </c>
      <c r="AZ320" s="853" t="str">
        <f>+VLOOKUP($AJ320,Data_Validation!$A:$E,5,0)</f>
        <v/>
      </c>
    </row>
    <row r="321" ht="15.0" customHeight="1">
      <c r="A321" s="849" t="s">
        <v>1239</v>
      </c>
      <c r="B321" s="849">
        <v>2026.0</v>
      </c>
      <c r="C321" s="849" t="s">
        <v>1864</v>
      </c>
      <c r="D321" s="849" t="s">
        <v>1865</v>
      </c>
      <c r="E321" s="849" t="s">
        <v>768</v>
      </c>
      <c r="F321" s="849" t="s">
        <v>1200</v>
      </c>
      <c r="G321" s="849">
        <v>0.0</v>
      </c>
      <c r="H321" s="849">
        <v>0.0</v>
      </c>
      <c r="I321" s="849">
        <v>0.0</v>
      </c>
      <c r="J321" s="849">
        <v>0.0</v>
      </c>
      <c r="K321" s="849">
        <v>0.0</v>
      </c>
      <c r="L321" s="849">
        <v>0.0</v>
      </c>
      <c r="M321" s="849">
        <v>0.0</v>
      </c>
      <c r="N321" s="849">
        <v>0.0</v>
      </c>
      <c r="O321" s="849">
        <v>0.0</v>
      </c>
      <c r="P321" s="849">
        <v>0.0</v>
      </c>
      <c r="Q321" s="849">
        <v>0.0</v>
      </c>
      <c r="R321" s="849">
        <v>0.0</v>
      </c>
      <c r="S321" s="849">
        <v>0.0</v>
      </c>
      <c r="T321" s="849">
        <v>0.0</v>
      </c>
      <c r="U321" s="849">
        <v>0.0</v>
      </c>
      <c r="V321" s="849">
        <v>0.0</v>
      </c>
      <c r="W321" s="849">
        <v>0.0</v>
      </c>
      <c r="X321" s="849">
        <v>0.0</v>
      </c>
      <c r="Y321" s="849">
        <v>0.0</v>
      </c>
      <c r="Z321" s="849">
        <v>0.0</v>
      </c>
      <c r="AA321" s="849">
        <v>0.0</v>
      </c>
      <c r="AB321" s="849">
        <v>0.0</v>
      </c>
      <c r="AC321" s="849">
        <v>0.0</v>
      </c>
      <c r="AD321" s="849">
        <v>0.0</v>
      </c>
      <c r="AE321" s="849">
        <v>0.0</v>
      </c>
      <c r="AF321" s="849">
        <v>0.0</v>
      </c>
      <c r="AG321" s="849">
        <v>0.0</v>
      </c>
      <c r="AH321" s="849">
        <v>0.0</v>
      </c>
      <c r="AI321" s="849">
        <v>0.0</v>
      </c>
      <c r="AJ321" s="794" t="str">
        <f t="shared" ref="AJ321:AK321" si="639">C321</f>
        <v>G0886</v>
      </c>
      <c r="AK321" s="794" t="str">
        <f t="shared" si="639"/>
        <v>ASSURANCES DIVERSES-PCES</v>
      </c>
      <c r="AL321" s="794">
        <f t="array" ref="AL321">IFERROR(INDEX(G321:R321,1,MATCH(Parametres!$B$3,G$1:R$1,0)-1)*IF(OR(F321="L",F321="S",F321="I"),-1,1),"")</f>
        <v>0</v>
      </c>
      <c r="AM321" s="794">
        <f t="shared" si="4"/>
        <v>0</v>
      </c>
      <c r="AN321" s="794">
        <f t="array" ref="AN321">INDEX(G321:R321,1,MATCH(Parametres!$B$3,G$1:R$1,0))*IF(OR(F321="L",F321="S",F321="I"),-1,1)</f>
        <v>0</v>
      </c>
      <c r="AO321" s="853" t="str">
        <f>+VLOOKUP($AJ321,Data_Validation!$A:$D,1,0)</f>
        <v>G0886</v>
      </c>
      <c r="AP321" s="853" t="str">
        <f>+VLOOKUP($AJ321,Data_Validation!$A:$D,3,0)</f>
        <v/>
      </c>
      <c r="AQ321" s="853" t="str">
        <f>+VLOOKUP($AJ321,Data_Validation!$A:$D,4,0)</f>
        <v/>
      </c>
      <c r="AR321" s="853" t="s">
        <v>728</v>
      </c>
      <c r="AS321" s="853" t="str">
        <f>+VLOOKUP($AJ321,Data_Validation!$A:$E,5,0)</f>
        <v/>
      </c>
      <c r="AT321" s="794" t="str">
        <f t="shared" ref="AT321:AU321" si="640">C321</f>
        <v>G0886</v>
      </c>
      <c r="AU321" s="854" t="str">
        <f t="shared" si="640"/>
        <v>ASSURANCES DIVERSES-PCES</v>
      </c>
      <c r="AV321" s="794">
        <f t="array" ref="AV321">IFERROR(INDEX(V321:AG321,1,MATCH(Parametres!$B$3,V$1:AG$1,0)-1)*IF(OR(C321="L",C321="S",C321="I"),-1,1),"")</f>
        <v>0</v>
      </c>
      <c r="AW321" s="794">
        <f t="shared" si="6"/>
        <v>0</v>
      </c>
      <c r="AX321" s="794">
        <f t="array" ref="AX321">INDEX(V321:AG321,1,MATCH(Parametres!$B$3,V$1:AG$1,0))*IF(OR(C321="L",C321="S",C321="I"),-1,1)</f>
        <v>0</v>
      </c>
      <c r="AY321" s="853" t="s">
        <v>772</v>
      </c>
      <c r="AZ321" s="853" t="str">
        <f>+VLOOKUP($AJ321,Data_Validation!$A:$E,5,0)</f>
        <v/>
      </c>
    </row>
    <row r="322" ht="15.75" customHeight="1">
      <c r="A322" s="849" t="s">
        <v>1239</v>
      </c>
      <c r="B322" s="849">
        <v>2026.0</v>
      </c>
      <c r="C322" s="849" t="s">
        <v>1866</v>
      </c>
      <c r="D322" s="849" t="s">
        <v>1867</v>
      </c>
      <c r="E322" s="849" t="s">
        <v>768</v>
      </c>
      <c r="F322" s="849" t="s">
        <v>1200</v>
      </c>
      <c r="G322" s="849">
        <v>0.0</v>
      </c>
      <c r="H322" s="849">
        <v>0.0</v>
      </c>
      <c r="I322" s="849">
        <v>0.0</v>
      </c>
      <c r="J322" s="849">
        <v>0.0</v>
      </c>
      <c r="K322" s="849">
        <v>0.0</v>
      </c>
      <c r="L322" s="849">
        <v>0.0</v>
      </c>
      <c r="M322" s="849">
        <v>0.0</v>
      </c>
      <c r="N322" s="849">
        <v>0.0</v>
      </c>
      <c r="O322" s="849">
        <v>0.0</v>
      </c>
      <c r="P322" s="849">
        <v>0.0</v>
      </c>
      <c r="Q322" s="849">
        <v>0.0</v>
      </c>
      <c r="R322" s="849">
        <v>0.0</v>
      </c>
      <c r="S322" s="849">
        <v>0.0</v>
      </c>
      <c r="T322" s="849">
        <v>0.0</v>
      </c>
      <c r="U322" s="849">
        <v>0.0</v>
      </c>
      <c r="V322" s="849">
        <v>0.0</v>
      </c>
      <c r="W322" s="849">
        <v>0.0</v>
      </c>
      <c r="X322" s="849">
        <v>0.0</v>
      </c>
      <c r="Y322" s="849">
        <v>0.0</v>
      </c>
      <c r="Z322" s="849">
        <v>0.0</v>
      </c>
      <c r="AA322" s="849">
        <v>0.0</v>
      </c>
      <c r="AB322" s="849">
        <v>0.0</v>
      </c>
      <c r="AC322" s="849">
        <v>0.0</v>
      </c>
      <c r="AD322" s="849">
        <v>0.0</v>
      </c>
      <c r="AE322" s="849">
        <v>0.0</v>
      </c>
      <c r="AF322" s="849">
        <v>0.0</v>
      </c>
      <c r="AG322" s="849">
        <v>0.0</v>
      </c>
      <c r="AH322" s="849">
        <v>0.0</v>
      </c>
      <c r="AI322" s="849">
        <v>0.0</v>
      </c>
      <c r="AJ322" s="794" t="str">
        <f t="shared" ref="AJ322:AK322" si="641">C322</f>
        <v>G0890</v>
      </c>
      <c r="AK322" s="794" t="str">
        <f t="shared" si="641"/>
        <v>TAXES DIVERSES REP</v>
      </c>
      <c r="AL322" s="794">
        <f t="array" ref="AL322">IFERROR(INDEX(G322:R322,1,MATCH(Parametres!$B$3,G$1:R$1,0)-1)*IF(OR(F322="L",F322="S",F322="I"),-1,1),"")</f>
        <v>0</v>
      </c>
      <c r="AM322" s="794">
        <f t="shared" si="4"/>
        <v>0</v>
      </c>
      <c r="AN322" s="794">
        <f t="array" ref="AN322">INDEX(G322:R322,1,MATCH(Parametres!$B$3,G$1:R$1,0))*IF(OR(F322="L",F322="S",F322="I"),-1,1)</f>
        <v>0</v>
      </c>
      <c r="AO322" s="853" t="str">
        <f>+VLOOKUP($AJ322,Data_Validation!$A:$D,1,0)</f>
        <v>#N/A</v>
      </c>
      <c r="AP322" s="853" t="str">
        <f>+VLOOKUP($AJ322,Data_Validation!$A:$D,3,0)</f>
        <v>#N/A</v>
      </c>
      <c r="AQ322" s="853" t="str">
        <f>+VLOOKUP($AJ322,Data_Validation!$A:$D,4,0)</f>
        <v>#N/A</v>
      </c>
      <c r="AR322" s="853" t="s">
        <v>728</v>
      </c>
      <c r="AS322" s="853" t="str">
        <f>+VLOOKUP($AJ322,Data_Validation!$A:$E,5,0)</f>
        <v>#N/A</v>
      </c>
      <c r="AT322" s="794" t="str">
        <f t="shared" ref="AT322:AU322" si="642">C322</f>
        <v>G0890</v>
      </c>
      <c r="AU322" s="854" t="str">
        <f t="shared" si="642"/>
        <v>TAXES DIVERSES REP</v>
      </c>
      <c r="AV322" s="794">
        <f t="array" ref="AV322">IFERROR(INDEX(V322:AG322,1,MATCH(Parametres!$B$3,V$1:AG$1,0)-1)*IF(OR(C322="L",C322="S",C322="I"),-1,1),"")</f>
        <v>0</v>
      </c>
      <c r="AW322" s="794">
        <f t="shared" si="6"/>
        <v>0</v>
      </c>
      <c r="AX322" s="794">
        <f t="array" ref="AX322">INDEX(V322:AG322,1,MATCH(Parametres!$B$3,V$1:AG$1,0))*IF(OR(C322="L",C322="S",C322="I"),-1,1)</f>
        <v>0</v>
      </c>
      <c r="AY322" s="853" t="s">
        <v>772</v>
      </c>
      <c r="AZ322" s="853" t="str">
        <f>+VLOOKUP($AJ322,Data_Validation!$A:$E,5,0)</f>
        <v>#N/A</v>
      </c>
    </row>
    <row r="323" ht="15.0" customHeight="1">
      <c r="A323" s="849" t="s">
        <v>1239</v>
      </c>
      <c r="B323" s="849">
        <v>2026.0</v>
      </c>
      <c r="C323" s="849" t="s">
        <v>1868</v>
      </c>
      <c r="D323" s="849" t="s">
        <v>1869</v>
      </c>
      <c r="E323" s="849" t="s">
        <v>768</v>
      </c>
      <c r="F323" s="849" t="s">
        <v>1200</v>
      </c>
      <c r="G323" s="849">
        <v>3000.0</v>
      </c>
      <c r="H323" s="849">
        <v>6000.0</v>
      </c>
      <c r="I323" s="849">
        <v>9000.0</v>
      </c>
      <c r="J323" s="849">
        <v>13418.28</v>
      </c>
      <c r="K323" s="849">
        <v>17836.56</v>
      </c>
      <c r="L323" s="849">
        <v>22254.84</v>
      </c>
      <c r="M323" s="849">
        <v>26673.12</v>
      </c>
      <c r="N323" s="849">
        <v>31091.4</v>
      </c>
      <c r="O323" s="849">
        <v>35509.68</v>
      </c>
      <c r="P323" s="849">
        <v>35509.68</v>
      </c>
      <c r="Q323" s="849">
        <v>0.0</v>
      </c>
      <c r="R323" s="849">
        <v>0.0</v>
      </c>
      <c r="S323" s="849">
        <v>3945.52</v>
      </c>
      <c r="T323" s="849">
        <v>3945.52</v>
      </c>
      <c r="U323" s="849">
        <v>0.0</v>
      </c>
      <c r="V323" s="849">
        <v>0.0</v>
      </c>
      <c r="W323" s="849">
        <v>0.0</v>
      </c>
      <c r="X323" s="849">
        <v>0.0</v>
      </c>
      <c r="Y323" s="849">
        <v>0.0</v>
      </c>
      <c r="Z323" s="849">
        <v>0.0</v>
      </c>
      <c r="AA323" s="849">
        <v>0.0</v>
      </c>
      <c r="AB323" s="849">
        <v>0.0</v>
      </c>
      <c r="AC323" s="849">
        <v>0.0</v>
      </c>
      <c r="AD323" s="849">
        <v>0.0</v>
      </c>
      <c r="AE323" s="849">
        <v>0.0</v>
      </c>
      <c r="AF323" s="849">
        <v>0.0</v>
      </c>
      <c r="AG323" s="849">
        <v>0.0</v>
      </c>
      <c r="AH323" s="849">
        <v>0.0</v>
      </c>
      <c r="AI323" s="849">
        <v>0.0</v>
      </c>
      <c r="AJ323" s="794" t="str">
        <f t="shared" ref="AJ323:AK323" si="643">C323</f>
        <v>G0891</v>
      </c>
      <c r="AK323" s="794" t="str">
        <f t="shared" si="643"/>
        <v>TAXES DIVERSES-NEUFS</v>
      </c>
      <c r="AL323" s="794">
        <f t="array" ref="AL323">IFERROR(INDEX(G323:R323,1,MATCH(Parametres!$B$3,G$1:R$1,0)-1)*IF(OR(F323="L",F323="S",F323="I"),-1,1),"")</f>
        <v>31091.4</v>
      </c>
      <c r="AM323" s="794">
        <f t="shared" si="4"/>
        <v>4418.28</v>
      </c>
      <c r="AN323" s="794">
        <f t="array" ref="AN323">INDEX(G323:R323,1,MATCH(Parametres!$B$3,G$1:R$1,0))*IF(OR(F323="L",F323="S",F323="I"),-1,1)</f>
        <v>35509.68</v>
      </c>
      <c r="AO323" s="853" t="str">
        <f>+VLOOKUP($AJ323,Data_Validation!$A:$D,1,0)</f>
        <v>G0891</v>
      </c>
      <c r="AP323" s="853" t="str">
        <f>+VLOOKUP($AJ323,Data_Validation!$A:$D,3,0)</f>
        <v>Véhicules neufs</v>
      </c>
      <c r="AQ323" s="853" t="str">
        <f>+VLOOKUP($AJ323,Data_Validation!$A:$D,4,0)</f>
        <v>Taxes d`affaires</v>
      </c>
      <c r="AR323" s="853" t="s">
        <v>728</v>
      </c>
      <c r="AS323" s="853" t="str">
        <f>+VLOOKUP($AJ323,Data_Validation!$A:$E,5,0)</f>
        <v/>
      </c>
      <c r="AT323" s="794" t="str">
        <f t="shared" ref="AT323:AU323" si="644">C323</f>
        <v>G0891</v>
      </c>
      <c r="AU323" s="854" t="str">
        <f t="shared" si="644"/>
        <v>TAXES DIVERSES-NEUFS</v>
      </c>
      <c r="AV323" s="794">
        <f t="array" ref="AV323">IFERROR(INDEX(V323:AG323,1,MATCH(Parametres!$B$3,V$1:AG$1,0)-1)*IF(OR(C323="L",C323="S",C323="I"),-1,1),"")</f>
        <v>0</v>
      </c>
      <c r="AW323" s="794">
        <f t="shared" si="6"/>
        <v>0</v>
      </c>
      <c r="AX323" s="794">
        <f t="array" ref="AX323">INDEX(V323:AG323,1,MATCH(Parametres!$B$3,V$1:AG$1,0))*IF(OR(C323="L",C323="S",C323="I"),-1,1)</f>
        <v>0</v>
      </c>
      <c r="AY323" s="853" t="s">
        <v>772</v>
      </c>
      <c r="AZ323" s="853" t="str">
        <f>+VLOOKUP($AJ323,Data_Validation!$A:$E,5,0)</f>
        <v/>
      </c>
    </row>
    <row r="324" ht="15.0" customHeight="1">
      <c r="A324" s="849" t="s">
        <v>1239</v>
      </c>
      <c r="B324" s="849">
        <v>2026.0</v>
      </c>
      <c r="C324" s="849" t="s">
        <v>1870</v>
      </c>
      <c r="D324" s="849" t="s">
        <v>1871</v>
      </c>
      <c r="E324" s="849" t="s">
        <v>768</v>
      </c>
      <c r="F324" s="849" t="s">
        <v>1200</v>
      </c>
      <c r="G324" s="849">
        <v>2000.0</v>
      </c>
      <c r="H324" s="849">
        <v>4000.0</v>
      </c>
      <c r="I324" s="849">
        <v>6000.0</v>
      </c>
      <c r="J324" s="849">
        <v>8945.52</v>
      </c>
      <c r="K324" s="849">
        <v>11891.04</v>
      </c>
      <c r="L324" s="849">
        <v>14836.56</v>
      </c>
      <c r="M324" s="849">
        <v>17782.08</v>
      </c>
      <c r="N324" s="849">
        <v>20727.6</v>
      </c>
      <c r="O324" s="849">
        <v>23673.12</v>
      </c>
      <c r="P324" s="849">
        <v>23673.12</v>
      </c>
      <c r="Q324" s="849">
        <v>0.0</v>
      </c>
      <c r="R324" s="849">
        <v>0.0</v>
      </c>
      <c r="S324" s="849">
        <v>2630.35</v>
      </c>
      <c r="T324" s="849">
        <v>2630.35</v>
      </c>
      <c r="U324" s="849">
        <v>0.0</v>
      </c>
      <c r="V324" s="849">
        <v>0.0</v>
      </c>
      <c r="W324" s="849">
        <v>0.0</v>
      </c>
      <c r="X324" s="849">
        <v>0.0</v>
      </c>
      <c r="Y324" s="849">
        <v>0.0</v>
      </c>
      <c r="Z324" s="849">
        <v>0.0</v>
      </c>
      <c r="AA324" s="849">
        <v>0.0</v>
      </c>
      <c r="AB324" s="849">
        <v>0.0</v>
      </c>
      <c r="AC324" s="849">
        <v>0.0</v>
      </c>
      <c r="AD324" s="849">
        <v>0.0</v>
      </c>
      <c r="AE324" s="849">
        <v>0.0</v>
      </c>
      <c r="AF324" s="849">
        <v>0.0</v>
      </c>
      <c r="AG324" s="849">
        <v>0.0</v>
      </c>
      <c r="AH324" s="849">
        <v>0.0</v>
      </c>
      <c r="AI324" s="849">
        <v>0.0</v>
      </c>
      <c r="AJ324" s="794" t="str">
        <f t="shared" ref="AJ324:AK324" si="645">C324</f>
        <v>G0892</v>
      </c>
      <c r="AK324" s="794" t="str">
        <f t="shared" si="645"/>
        <v>TAXES DIVERSES-USAGES</v>
      </c>
      <c r="AL324" s="794">
        <f t="array" ref="AL324">IFERROR(INDEX(G324:R324,1,MATCH(Parametres!$B$3,G$1:R$1,0)-1)*IF(OR(F324="L",F324="S",F324="I"),-1,1),"")</f>
        <v>20727.6</v>
      </c>
      <c r="AM324" s="794">
        <f t="shared" si="4"/>
        <v>2945.52</v>
      </c>
      <c r="AN324" s="794">
        <f t="array" ref="AN324">INDEX(G324:R324,1,MATCH(Parametres!$B$3,G$1:R$1,0))*IF(OR(F324="L",F324="S",F324="I"),-1,1)</f>
        <v>23673.12</v>
      </c>
      <c r="AO324" s="853" t="str">
        <f>+VLOOKUP($AJ324,Data_Validation!$A:$D,1,0)</f>
        <v>G0892</v>
      </c>
      <c r="AP324" s="853" t="str">
        <f>+VLOOKUP($AJ324,Data_Validation!$A:$D,3,0)</f>
        <v>Véhicules usagés</v>
      </c>
      <c r="AQ324" s="853" t="str">
        <f>+VLOOKUP($AJ324,Data_Validation!$A:$D,4,0)</f>
        <v>Taxes d`affaires</v>
      </c>
      <c r="AR324" s="853" t="s">
        <v>728</v>
      </c>
      <c r="AS324" s="853" t="str">
        <f>+VLOOKUP($AJ324,Data_Validation!$A:$E,5,0)</f>
        <v/>
      </c>
      <c r="AT324" s="794" t="str">
        <f t="shared" ref="AT324:AU324" si="646">C324</f>
        <v>G0892</v>
      </c>
      <c r="AU324" s="854" t="str">
        <f t="shared" si="646"/>
        <v>TAXES DIVERSES-USAGES</v>
      </c>
      <c r="AV324" s="794">
        <f t="array" ref="AV324">IFERROR(INDEX(V324:AG324,1,MATCH(Parametres!$B$3,V$1:AG$1,0)-1)*IF(OR(C324="L",C324="S",C324="I"),-1,1),"")</f>
        <v>0</v>
      </c>
      <c r="AW324" s="794">
        <f t="shared" si="6"/>
        <v>0</v>
      </c>
      <c r="AX324" s="794">
        <f t="array" ref="AX324">INDEX(V324:AG324,1,MATCH(Parametres!$B$3,V$1:AG$1,0))*IF(OR(C324="L",C324="S",C324="I"),-1,1)</f>
        <v>0</v>
      </c>
      <c r="AY324" s="853" t="s">
        <v>772</v>
      </c>
      <c r="AZ324" s="853" t="str">
        <f>+VLOOKUP($AJ324,Data_Validation!$A:$E,5,0)</f>
        <v/>
      </c>
    </row>
    <row r="325" ht="15.0" customHeight="1">
      <c r="A325" s="849" t="s">
        <v>1239</v>
      </c>
      <c r="B325" s="849">
        <v>2026.0</v>
      </c>
      <c r="C325" s="849" t="s">
        <v>1872</v>
      </c>
      <c r="D325" s="849" t="s">
        <v>1873</v>
      </c>
      <c r="E325" s="849" t="s">
        <v>768</v>
      </c>
      <c r="F325" s="849" t="s">
        <v>1200</v>
      </c>
      <c r="G325" s="849">
        <v>0.0</v>
      </c>
      <c r="H325" s="849">
        <v>0.0</v>
      </c>
      <c r="I325" s="849">
        <v>0.0</v>
      </c>
      <c r="J325" s="849">
        <v>0.0</v>
      </c>
      <c r="K325" s="849">
        <v>0.0</v>
      </c>
      <c r="L325" s="849">
        <v>0.0</v>
      </c>
      <c r="M325" s="849">
        <v>0.0</v>
      </c>
      <c r="N325" s="849">
        <v>0.0</v>
      </c>
      <c r="O325" s="849">
        <v>0.0</v>
      </c>
      <c r="P325" s="849">
        <v>0.0</v>
      </c>
      <c r="Q325" s="849">
        <v>0.0</v>
      </c>
      <c r="R325" s="849">
        <v>0.0</v>
      </c>
      <c r="S325" s="849">
        <v>0.0</v>
      </c>
      <c r="T325" s="849">
        <v>0.0</v>
      </c>
      <c r="U325" s="849">
        <v>0.0</v>
      </c>
      <c r="V325" s="849">
        <v>0.0</v>
      </c>
      <c r="W325" s="849">
        <v>0.0</v>
      </c>
      <c r="X325" s="849">
        <v>0.0</v>
      </c>
      <c r="Y325" s="849">
        <v>0.0</v>
      </c>
      <c r="Z325" s="849">
        <v>0.0</v>
      </c>
      <c r="AA325" s="849">
        <v>0.0</v>
      </c>
      <c r="AB325" s="849">
        <v>0.0</v>
      </c>
      <c r="AC325" s="849">
        <v>0.0</v>
      </c>
      <c r="AD325" s="849">
        <v>0.0</v>
      </c>
      <c r="AE325" s="849">
        <v>0.0</v>
      </c>
      <c r="AF325" s="849">
        <v>0.0</v>
      </c>
      <c r="AG325" s="849">
        <v>0.0</v>
      </c>
      <c r="AH325" s="849">
        <v>0.0</v>
      </c>
      <c r="AI325" s="849">
        <v>0.0</v>
      </c>
      <c r="AJ325" s="794" t="str">
        <f t="shared" ref="AJ325:AK325" si="647">C325</f>
        <v>G0893</v>
      </c>
      <c r="AK325" s="794" t="str">
        <f t="shared" si="647"/>
        <v>TAXES DIVERSES-LOCAT.</v>
      </c>
      <c r="AL325" s="794">
        <f t="array" ref="AL325">IFERROR(INDEX(G325:R325,1,MATCH(Parametres!$B$3,G$1:R$1,0)-1)*IF(OR(F325="L",F325="S",F325="I"),-1,1),"")</f>
        <v>0</v>
      </c>
      <c r="AM325" s="794">
        <f t="shared" si="4"/>
        <v>0</v>
      </c>
      <c r="AN325" s="794">
        <f t="array" ref="AN325">INDEX(G325:R325,1,MATCH(Parametres!$B$3,G$1:R$1,0))*IF(OR(F325="L",F325="S",F325="I"),-1,1)</f>
        <v>0</v>
      </c>
      <c r="AO325" s="853" t="str">
        <f>+VLOOKUP($AJ325,Data_Validation!$A:$D,1,0)</f>
        <v>G0893</v>
      </c>
      <c r="AP325" s="853" t="str">
        <f>+VLOOKUP($AJ325,Data_Validation!$A:$D,3,0)</f>
        <v>Wholesale autres</v>
      </c>
      <c r="AQ325" s="853" t="str">
        <f>+VLOOKUP($AJ325,Data_Validation!$A:$D,4,0)</f>
        <v>Taxes d`affaires</v>
      </c>
      <c r="AR325" s="853" t="s">
        <v>728</v>
      </c>
      <c r="AS325" s="853" t="str">
        <f>+VLOOKUP($AJ325,Data_Validation!$A:$E,5,0)</f>
        <v/>
      </c>
      <c r="AT325" s="794" t="str">
        <f t="shared" ref="AT325:AU325" si="648">C325</f>
        <v>G0893</v>
      </c>
      <c r="AU325" s="854" t="str">
        <f t="shared" si="648"/>
        <v>TAXES DIVERSES-LOCAT.</v>
      </c>
      <c r="AV325" s="794">
        <f t="array" ref="AV325">IFERROR(INDEX(V325:AG325,1,MATCH(Parametres!$B$3,V$1:AG$1,0)-1)*IF(OR(C325="L",C325="S",C325="I"),-1,1),"")</f>
        <v>0</v>
      </c>
      <c r="AW325" s="794">
        <f t="shared" si="6"/>
        <v>0</v>
      </c>
      <c r="AX325" s="794">
        <f t="array" ref="AX325">INDEX(V325:AG325,1,MATCH(Parametres!$B$3,V$1:AG$1,0))*IF(OR(C325="L",C325="S",C325="I"),-1,1)</f>
        <v>0</v>
      </c>
      <c r="AY325" s="853" t="s">
        <v>772</v>
      </c>
      <c r="AZ325" s="853" t="str">
        <f>+VLOOKUP($AJ325,Data_Validation!$A:$E,5,0)</f>
        <v/>
      </c>
    </row>
    <row r="326" ht="15.0" customHeight="1">
      <c r="A326" s="849" t="s">
        <v>1239</v>
      </c>
      <c r="B326" s="849">
        <v>2026.0</v>
      </c>
      <c r="C326" s="849" t="s">
        <v>1874</v>
      </c>
      <c r="D326" s="849" t="s">
        <v>1875</v>
      </c>
      <c r="E326" s="849" t="s">
        <v>768</v>
      </c>
      <c r="F326" s="849" t="s">
        <v>1200</v>
      </c>
      <c r="G326" s="849">
        <v>3000.0</v>
      </c>
      <c r="H326" s="849">
        <v>6000.0</v>
      </c>
      <c r="I326" s="849">
        <v>9000.0</v>
      </c>
      <c r="J326" s="849">
        <v>13418.28</v>
      </c>
      <c r="K326" s="849">
        <v>17836.56</v>
      </c>
      <c r="L326" s="849">
        <v>22254.84</v>
      </c>
      <c r="M326" s="849">
        <v>26673.12</v>
      </c>
      <c r="N326" s="849">
        <v>31091.4</v>
      </c>
      <c r="O326" s="849">
        <v>35509.68</v>
      </c>
      <c r="P326" s="849">
        <v>35509.68</v>
      </c>
      <c r="Q326" s="849">
        <v>0.0</v>
      </c>
      <c r="R326" s="849">
        <v>0.0</v>
      </c>
      <c r="S326" s="849">
        <v>3945.52</v>
      </c>
      <c r="T326" s="849">
        <v>3945.52</v>
      </c>
      <c r="U326" s="849">
        <v>0.0</v>
      </c>
      <c r="V326" s="849">
        <v>0.0</v>
      </c>
      <c r="W326" s="849">
        <v>0.0</v>
      </c>
      <c r="X326" s="849">
        <v>0.0</v>
      </c>
      <c r="Y326" s="849">
        <v>0.0</v>
      </c>
      <c r="Z326" s="849">
        <v>0.0</v>
      </c>
      <c r="AA326" s="849">
        <v>0.0</v>
      </c>
      <c r="AB326" s="849">
        <v>0.0</v>
      </c>
      <c r="AC326" s="849">
        <v>0.0</v>
      </c>
      <c r="AD326" s="849">
        <v>0.0</v>
      </c>
      <c r="AE326" s="849">
        <v>0.0</v>
      </c>
      <c r="AF326" s="849">
        <v>0.0</v>
      </c>
      <c r="AG326" s="849">
        <v>0.0</v>
      </c>
      <c r="AH326" s="849">
        <v>0.0</v>
      </c>
      <c r="AI326" s="849">
        <v>0.0</v>
      </c>
      <c r="AJ326" s="794" t="str">
        <f t="shared" ref="AJ326:AK326" si="649">C326</f>
        <v>G0894</v>
      </c>
      <c r="AK326" s="794" t="str">
        <f t="shared" si="649"/>
        <v>TAXES DIVERSES-SERVICE</v>
      </c>
      <c r="AL326" s="794">
        <f t="array" ref="AL326">IFERROR(INDEX(G326:R326,1,MATCH(Parametres!$B$3,G$1:R$1,0)-1)*IF(OR(F326="L",F326="S",F326="I"),-1,1),"")</f>
        <v>31091.4</v>
      </c>
      <c r="AM326" s="794">
        <f t="shared" si="4"/>
        <v>4418.28</v>
      </c>
      <c r="AN326" s="794">
        <f t="array" ref="AN326">INDEX(G326:R326,1,MATCH(Parametres!$B$3,G$1:R$1,0))*IF(OR(F326="L",F326="S",F326="I"),-1,1)</f>
        <v>35509.68</v>
      </c>
      <c r="AO326" s="853" t="str">
        <f>+VLOOKUP($AJ326,Data_Validation!$A:$D,1,0)</f>
        <v>G0894</v>
      </c>
      <c r="AP326" s="853" t="str">
        <f>+VLOOKUP($AJ326,Data_Validation!$A:$D,3,0)</f>
        <v>Service</v>
      </c>
      <c r="AQ326" s="853" t="str">
        <f>+VLOOKUP($AJ326,Data_Validation!$A:$D,4,0)</f>
        <v>Taxes d`affaires</v>
      </c>
      <c r="AR326" s="853" t="s">
        <v>728</v>
      </c>
      <c r="AS326" s="853" t="str">
        <f>+VLOOKUP($AJ326,Data_Validation!$A:$E,5,0)</f>
        <v/>
      </c>
      <c r="AT326" s="794" t="str">
        <f t="shared" ref="AT326:AU326" si="650">C326</f>
        <v>G0894</v>
      </c>
      <c r="AU326" s="854" t="str">
        <f t="shared" si="650"/>
        <v>TAXES DIVERSES-SERVICE</v>
      </c>
      <c r="AV326" s="794">
        <f t="array" ref="AV326">IFERROR(INDEX(V326:AG326,1,MATCH(Parametres!$B$3,V$1:AG$1,0)-1)*IF(OR(C326="L",C326="S",C326="I"),-1,1),"")</f>
        <v>0</v>
      </c>
      <c r="AW326" s="794">
        <f t="shared" si="6"/>
        <v>0</v>
      </c>
      <c r="AX326" s="794">
        <f t="array" ref="AX326">INDEX(V326:AG326,1,MATCH(Parametres!$B$3,V$1:AG$1,0))*IF(OR(C326="L",C326="S",C326="I"),-1,1)</f>
        <v>0</v>
      </c>
      <c r="AY326" s="853" t="s">
        <v>772</v>
      </c>
      <c r="AZ326" s="853" t="str">
        <f>+VLOOKUP($AJ326,Data_Validation!$A:$E,5,0)</f>
        <v/>
      </c>
    </row>
    <row r="327" ht="15.75" customHeight="1">
      <c r="A327" s="849" t="s">
        <v>1239</v>
      </c>
      <c r="B327" s="849">
        <v>2026.0</v>
      </c>
      <c r="C327" s="849" t="s">
        <v>1876</v>
      </c>
      <c r="D327" s="849" t="s">
        <v>1877</v>
      </c>
      <c r="E327" s="849" t="s">
        <v>768</v>
      </c>
      <c r="F327" s="849" t="s">
        <v>1200</v>
      </c>
      <c r="G327" s="849">
        <v>1000.0</v>
      </c>
      <c r="H327" s="849">
        <v>2000.0</v>
      </c>
      <c r="I327" s="849">
        <v>3000.0</v>
      </c>
      <c r="J327" s="849">
        <v>4472.76</v>
      </c>
      <c r="K327" s="849">
        <v>5945.52</v>
      </c>
      <c r="L327" s="849">
        <v>7418.28</v>
      </c>
      <c r="M327" s="849">
        <v>8891.04</v>
      </c>
      <c r="N327" s="849">
        <v>10363.8</v>
      </c>
      <c r="O327" s="849">
        <v>11836.56</v>
      </c>
      <c r="P327" s="849">
        <v>11836.56</v>
      </c>
      <c r="Q327" s="849">
        <v>0.0</v>
      </c>
      <c r="R327" s="849">
        <v>0.0</v>
      </c>
      <c r="S327" s="849">
        <v>1315.17</v>
      </c>
      <c r="T327" s="849">
        <v>1315.17</v>
      </c>
      <c r="U327" s="849">
        <v>0.0</v>
      </c>
      <c r="V327" s="849">
        <v>0.0</v>
      </c>
      <c r="W327" s="849">
        <v>0.0</v>
      </c>
      <c r="X327" s="849">
        <v>0.0</v>
      </c>
      <c r="Y327" s="849">
        <v>0.0</v>
      </c>
      <c r="Z327" s="849">
        <v>0.0</v>
      </c>
      <c r="AA327" s="849">
        <v>0.0</v>
      </c>
      <c r="AB327" s="849">
        <v>0.0</v>
      </c>
      <c r="AC327" s="849">
        <v>0.0</v>
      </c>
      <c r="AD327" s="849">
        <v>0.0</v>
      </c>
      <c r="AE327" s="849">
        <v>0.0</v>
      </c>
      <c r="AF327" s="849">
        <v>0.0</v>
      </c>
      <c r="AG327" s="849">
        <v>0.0</v>
      </c>
      <c r="AH327" s="849">
        <v>0.0</v>
      </c>
      <c r="AI327" s="849">
        <v>0.0</v>
      </c>
      <c r="AJ327" s="794" t="str">
        <f t="shared" ref="AJ327:AK327" si="651">C327</f>
        <v>G0895</v>
      </c>
      <c r="AK327" s="794" t="str">
        <f t="shared" si="651"/>
        <v>TAXES DIVERSES-CARROSS.</v>
      </c>
      <c r="AL327" s="794">
        <f t="array" ref="AL327">IFERROR(INDEX(G327:R327,1,MATCH(Parametres!$B$3,G$1:R$1,0)-1)*IF(OR(F327="L",F327="S",F327="I"),-1,1),"")</f>
        <v>10363.8</v>
      </c>
      <c r="AM327" s="794">
        <f t="shared" si="4"/>
        <v>1472.76</v>
      </c>
      <c r="AN327" s="794">
        <f t="array" ref="AN327">INDEX(G327:R327,1,MATCH(Parametres!$B$3,G$1:R$1,0))*IF(OR(F327="L",F327="S",F327="I"),-1,1)</f>
        <v>11836.56</v>
      </c>
      <c r="AO327" s="853" t="str">
        <f>+VLOOKUP($AJ327,Data_Validation!$A:$D,1,0)</f>
        <v>G0895</v>
      </c>
      <c r="AP327" s="853" t="str">
        <f>+VLOOKUP($AJ327,Data_Validation!$A:$D,3,0)</f>
        <v>Carrosserie</v>
      </c>
      <c r="AQ327" s="853" t="str">
        <f>+VLOOKUP($AJ327,Data_Validation!$A:$D,4,0)</f>
        <v>Taxes d`affaires</v>
      </c>
      <c r="AR327" s="853" t="s">
        <v>728</v>
      </c>
      <c r="AS327" s="853" t="str">
        <f>+VLOOKUP($AJ327,Data_Validation!$A:$E,5,0)</f>
        <v/>
      </c>
      <c r="AT327" s="794" t="str">
        <f t="shared" ref="AT327:AU327" si="652">C327</f>
        <v>G0895</v>
      </c>
      <c r="AU327" s="854" t="str">
        <f t="shared" si="652"/>
        <v>TAXES DIVERSES-CARROSS.</v>
      </c>
      <c r="AV327" s="794">
        <f t="array" ref="AV327">IFERROR(INDEX(V327:AG327,1,MATCH(Parametres!$B$3,V$1:AG$1,0)-1)*IF(OR(C327="L",C327="S",C327="I"),-1,1),"")</f>
        <v>0</v>
      </c>
      <c r="AW327" s="794">
        <f t="shared" si="6"/>
        <v>0</v>
      </c>
      <c r="AX327" s="794">
        <f t="array" ref="AX327">INDEX(V327:AG327,1,MATCH(Parametres!$B$3,V$1:AG$1,0))*IF(OR(C327="L",C327="S",C327="I"),-1,1)</f>
        <v>0</v>
      </c>
      <c r="AY327" s="853" t="s">
        <v>772</v>
      </c>
      <c r="AZ327" s="853" t="str">
        <f>+VLOOKUP($AJ327,Data_Validation!$A:$E,5,0)</f>
        <v/>
      </c>
    </row>
    <row r="328" ht="15.0" customHeight="1">
      <c r="A328" s="849" t="s">
        <v>1239</v>
      </c>
      <c r="B328" s="849">
        <v>2026.0</v>
      </c>
      <c r="C328" s="849" t="s">
        <v>1878</v>
      </c>
      <c r="D328" s="849" t="s">
        <v>1879</v>
      </c>
      <c r="E328" s="849" t="s">
        <v>768</v>
      </c>
      <c r="F328" s="849" t="s">
        <v>1200</v>
      </c>
      <c r="G328" s="849">
        <v>1000.0</v>
      </c>
      <c r="H328" s="849">
        <v>2000.0</v>
      </c>
      <c r="I328" s="849">
        <v>3000.0</v>
      </c>
      <c r="J328" s="849">
        <v>4472.77</v>
      </c>
      <c r="K328" s="849">
        <v>5945.54</v>
      </c>
      <c r="L328" s="849">
        <v>7418.31</v>
      </c>
      <c r="M328" s="849">
        <v>8891.08</v>
      </c>
      <c r="N328" s="849">
        <v>10363.85</v>
      </c>
      <c r="O328" s="849">
        <v>11836.62</v>
      </c>
      <c r="P328" s="849">
        <v>11836.62</v>
      </c>
      <c r="Q328" s="849">
        <v>0.0</v>
      </c>
      <c r="R328" s="849">
        <v>0.0</v>
      </c>
      <c r="S328" s="849">
        <v>1315.18</v>
      </c>
      <c r="T328" s="849">
        <v>1315.18</v>
      </c>
      <c r="U328" s="849">
        <v>0.0</v>
      </c>
      <c r="V328" s="849">
        <v>0.0</v>
      </c>
      <c r="W328" s="849">
        <v>0.0</v>
      </c>
      <c r="X328" s="849">
        <v>0.0</v>
      </c>
      <c r="Y328" s="849">
        <v>0.0</v>
      </c>
      <c r="Z328" s="849">
        <v>0.0</v>
      </c>
      <c r="AA328" s="849">
        <v>0.0</v>
      </c>
      <c r="AB328" s="849">
        <v>0.0</v>
      </c>
      <c r="AC328" s="849">
        <v>0.0</v>
      </c>
      <c r="AD328" s="849">
        <v>0.0</v>
      </c>
      <c r="AE328" s="849">
        <v>0.0</v>
      </c>
      <c r="AF328" s="849">
        <v>0.0</v>
      </c>
      <c r="AG328" s="849">
        <v>0.0</v>
      </c>
      <c r="AH328" s="849">
        <v>0.0</v>
      </c>
      <c r="AI328" s="849">
        <v>0.0</v>
      </c>
      <c r="AJ328" s="794" t="str">
        <f t="shared" ref="AJ328:AK328" si="653">C328</f>
        <v>G0896</v>
      </c>
      <c r="AK328" s="794" t="str">
        <f t="shared" si="653"/>
        <v>TAXES DIVERSES-PIECES</v>
      </c>
      <c r="AL328" s="794">
        <f t="array" ref="AL328">IFERROR(INDEX(G328:R328,1,MATCH(Parametres!$B$3,G$1:R$1,0)-1)*IF(OR(F328="L",F328="S",F328="I"),-1,1),"")</f>
        <v>10363.85</v>
      </c>
      <c r="AM328" s="794">
        <f t="shared" si="4"/>
        <v>1472.77</v>
      </c>
      <c r="AN328" s="794">
        <f t="array" ref="AN328">INDEX(G328:R328,1,MATCH(Parametres!$B$3,G$1:R$1,0))*IF(OR(F328="L",F328="S",F328="I"),-1,1)</f>
        <v>11836.62</v>
      </c>
      <c r="AO328" s="853" t="str">
        <f>+VLOOKUP($AJ328,Data_Validation!$A:$D,1,0)</f>
        <v>G0896</v>
      </c>
      <c r="AP328" s="853" t="str">
        <f>+VLOOKUP($AJ328,Data_Validation!$A:$D,3,0)</f>
        <v>Pièces</v>
      </c>
      <c r="AQ328" s="853" t="str">
        <f>+VLOOKUP($AJ328,Data_Validation!$A:$D,4,0)</f>
        <v>Taxes d`affaires</v>
      </c>
      <c r="AR328" s="853" t="s">
        <v>728</v>
      </c>
      <c r="AS328" s="853" t="str">
        <f>+VLOOKUP($AJ328,Data_Validation!$A:$E,5,0)</f>
        <v/>
      </c>
      <c r="AT328" s="794" t="str">
        <f t="shared" ref="AT328:AU328" si="654">C328</f>
        <v>G0896</v>
      </c>
      <c r="AU328" s="854" t="str">
        <f t="shared" si="654"/>
        <v>TAXES DIVERSES-PIECES</v>
      </c>
      <c r="AV328" s="794">
        <f t="array" ref="AV328">IFERROR(INDEX(V328:AG328,1,MATCH(Parametres!$B$3,V$1:AG$1,0)-1)*IF(OR(C328="L",C328="S",C328="I"),-1,1),"")</f>
        <v>0</v>
      </c>
      <c r="AW328" s="794">
        <f t="shared" si="6"/>
        <v>0</v>
      </c>
      <c r="AX328" s="794">
        <f t="array" ref="AX328">INDEX(V328:AG328,1,MATCH(Parametres!$B$3,V$1:AG$1,0))*IF(OR(C328="L",C328="S",C328="I"),-1,1)</f>
        <v>0</v>
      </c>
      <c r="AY328" s="853" t="s">
        <v>772</v>
      </c>
      <c r="AZ328" s="853" t="str">
        <f>+VLOOKUP($AJ328,Data_Validation!$A:$E,5,0)</f>
        <v/>
      </c>
    </row>
    <row r="329" ht="15.0" customHeight="1">
      <c r="A329" s="849" t="s">
        <v>1239</v>
      </c>
      <c r="B329" s="849">
        <v>2026.0</v>
      </c>
      <c r="C329" s="849" t="s">
        <v>1880</v>
      </c>
      <c r="D329" s="849" t="s">
        <v>1881</v>
      </c>
      <c r="E329" s="849" t="s">
        <v>768</v>
      </c>
      <c r="F329" s="849" t="s">
        <v>1200</v>
      </c>
      <c r="G329" s="849">
        <v>0.0</v>
      </c>
      <c r="H329" s="849">
        <v>0.0</v>
      </c>
      <c r="I329" s="849">
        <v>0.0</v>
      </c>
      <c r="J329" s="849">
        <v>0.0</v>
      </c>
      <c r="K329" s="849">
        <v>0.0</v>
      </c>
      <c r="L329" s="849">
        <v>0.0</v>
      </c>
      <c r="M329" s="849">
        <v>0.0</v>
      </c>
      <c r="N329" s="849">
        <v>0.0</v>
      </c>
      <c r="O329" s="849">
        <v>0.0</v>
      </c>
      <c r="P329" s="849">
        <v>0.0</v>
      </c>
      <c r="Q329" s="849">
        <v>0.0</v>
      </c>
      <c r="R329" s="849">
        <v>0.0</v>
      </c>
      <c r="S329" s="849">
        <v>0.0</v>
      </c>
      <c r="T329" s="849">
        <v>0.0</v>
      </c>
      <c r="U329" s="849">
        <v>0.0</v>
      </c>
      <c r="V329" s="849">
        <v>0.0</v>
      </c>
      <c r="W329" s="849">
        <v>0.0</v>
      </c>
      <c r="X329" s="849">
        <v>0.0</v>
      </c>
      <c r="Y329" s="849">
        <v>0.0</v>
      </c>
      <c r="Z329" s="849">
        <v>0.0</v>
      </c>
      <c r="AA329" s="849">
        <v>0.0</v>
      </c>
      <c r="AB329" s="849">
        <v>0.0</v>
      </c>
      <c r="AC329" s="849">
        <v>0.0</v>
      </c>
      <c r="AD329" s="849">
        <v>0.0</v>
      </c>
      <c r="AE329" s="849">
        <v>0.0</v>
      </c>
      <c r="AF329" s="849">
        <v>0.0</v>
      </c>
      <c r="AG329" s="849">
        <v>0.0</v>
      </c>
      <c r="AH329" s="849">
        <v>0.0</v>
      </c>
      <c r="AI329" s="849">
        <v>0.0</v>
      </c>
      <c r="AJ329" s="794" t="str">
        <f t="shared" ref="AJ329:AK329" si="655">C329</f>
        <v>G0900</v>
      </c>
      <c r="AK329" s="794" t="str">
        <f t="shared" si="655"/>
        <v>ENT &amp; REPAR.EQUIP. REP</v>
      </c>
      <c r="AL329" s="794">
        <f t="array" ref="AL329">IFERROR(INDEX(G329:R329,1,MATCH(Parametres!$B$3,G$1:R$1,0)-1)*IF(OR(F329="L",F329="S",F329="I"),-1,1),"")</f>
        <v>0</v>
      </c>
      <c r="AM329" s="794">
        <f t="shared" si="4"/>
        <v>0</v>
      </c>
      <c r="AN329" s="794">
        <f t="array" ref="AN329">INDEX(G329:R329,1,MATCH(Parametres!$B$3,G$1:R$1,0))*IF(OR(F329="L",F329="S",F329="I"),-1,1)</f>
        <v>0</v>
      </c>
      <c r="AO329" s="853" t="str">
        <f>+VLOOKUP($AJ329,Data_Validation!$A:$D,1,0)</f>
        <v>#N/A</v>
      </c>
      <c r="AP329" s="853" t="str">
        <f>+VLOOKUP($AJ329,Data_Validation!$A:$D,3,0)</f>
        <v>#N/A</v>
      </c>
      <c r="AQ329" s="853" t="str">
        <f>+VLOOKUP($AJ329,Data_Validation!$A:$D,4,0)</f>
        <v>#N/A</v>
      </c>
      <c r="AR329" s="853" t="s">
        <v>728</v>
      </c>
      <c r="AS329" s="853" t="str">
        <f>+VLOOKUP($AJ329,Data_Validation!$A:$E,5,0)</f>
        <v>#N/A</v>
      </c>
      <c r="AT329" s="794" t="str">
        <f t="shared" ref="AT329:AU329" si="656">C329</f>
        <v>G0900</v>
      </c>
      <c r="AU329" s="854" t="str">
        <f t="shared" si="656"/>
        <v>ENT &amp; REPAR.EQUIP. REP</v>
      </c>
      <c r="AV329" s="794">
        <f t="array" ref="AV329">IFERROR(INDEX(V329:AG329,1,MATCH(Parametres!$B$3,V$1:AG$1,0)-1)*IF(OR(C329="L",C329="S",C329="I"),-1,1),"")</f>
        <v>0</v>
      </c>
      <c r="AW329" s="794">
        <f t="shared" si="6"/>
        <v>0</v>
      </c>
      <c r="AX329" s="794">
        <f t="array" ref="AX329">INDEX(V329:AG329,1,MATCH(Parametres!$B$3,V$1:AG$1,0))*IF(OR(C329="L",C329="S",C329="I"),-1,1)</f>
        <v>0</v>
      </c>
      <c r="AY329" s="853" t="s">
        <v>772</v>
      </c>
      <c r="AZ329" s="853" t="str">
        <f>+VLOOKUP($AJ329,Data_Validation!$A:$E,5,0)</f>
        <v>#N/A</v>
      </c>
    </row>
    <row r="330" ht="15.0" customHeight="1">
      <c r="A330" s="849" t="s">
        <v>1239</v>
      </c>
      <c r="B330" s="849">
        <v>2026.0</v>
      </c>
      <c r="C330" s="849" t="s">
        <v>1882</v>
      </c>
      <c r="D330" s="849" t="s">
        <v>1883</v>
      </c>
      <c r="E330" s="849" t="s">
        <v>768</v>
      </c>
      <c r="F330" s="849" t="s">
        <v>1200</v>
      </c>
      <c r="G330" s="849">
        <v>0.0</v>
      </c>
      <c r="H330" s="849">
        <v>0.0</v>
      </c>
      <c r="I330" s="849">
        <v>0.0</v>
      </c>
      <c r="J330" s="849">
        <v>0.0</v>
      </c>
      <c r="K330" s="849">
        <v>0.0</v>
      </c>
      <c r="L330" s="849">
        <v>0.0</v>
      </c>
      <c r="M330" s="849">
        <v>0.0</v>
      </c>
      <c r="N330" s="849">
        <v>0.0</v>
      </c>
      <c r="O330" s="849">
        <v>1000.57</v>
      </c>
      <c r="P330" s="849">
        <v>1000.57</v>
      </c>
      <c r="Q330" s="849">
        <v>0.0</v>
      </c>
      <c r="R330" s="849">
        <v>0.0</v>
      </c>
      <c r="S330" s="849">
        <v>111.17</v>
      </c>
      <c r="T330" s="849">
        <v>111.17</v>
      </c>
      <c r="U330" s="849">
        <v>0.0</v>
      </c>
      <c r="V330" s="849">
        <v>0.0</v>
      </c>
      <c r="W330" s="849">
        <v>0.0</v>
      </c>
      <c r="X330" s="849">
        <v>0.0</v>
      </c>
      <c r="Y330" s="849">
        <v>0.0</v>
      </c>
      <c r="Z330" s="849">
        <v>0.0</v>
      </c>
      <c r="AA330" s="849">
        <v>0.0</v>
      </c>
      <c r="AB330" s="849">
        <v>0.0</v>
      </c>
      <c r="AC330" s="849">
        <v>0.0</v>
      </c>
      <c r="AD330" s="849">
        <v>0.0</v>
      </c>
      <c r="AE330" s="849">
        <v>0.0</v>
      </c>
      <c r="AF330" s="849">
        <v>0.0</v>
      </c>
      <c r="AG330" s="849">
        <v>0.0</v>
      </c>
      <c r="AH330" s="849">
        <v>0.0</v>
      </c>
      <c r="AI330" s="849">
        <v>0.0</v>
      </c>
      <c r="AJ330" s="794" t="str">
        <f t="shared" ref="AJ330:AK330" si="657">C330</f>
        <v>G0901</v>
      </c>
      <c r="AK330" s="794" t="str">
        <f t="shared" si="657"/>
        <v>ENT. REP. EQUIPEMENT-NEUF</v>
      </c>
      <c r="AL330" s="794">
        <f t="array" ref="AL330">IFERROR(INDEX(G330:R330,1,MATCH(Parametres!$B$3,G$1:R$1,0)-1)*IF(OR(F330="L",F330="S",F330="I"),-1,1),"")</f>
        <v>0</v>
      </c>
      <c r="AM330" s="794">
        <f t="shared" si="4"/>
        <v>1000.57</v>
      </c>
      <c r="AN330" s="794">
        <f t="array" ref="AN330">INDEX(G330:R330,1,MATCH(Parametres!$B$3,G$1:R$1,0))*IF(OR(F330="L",F330="S",F330="I"),-1,1)</f>
        <v>1000.57</v>
      </c>
      <c r="AO330" s="853" t="str">
        <f>+VLOOKUP($AJ330,Data_Validation!$A:$D,1,0)</f>
        <v>G0901</v>
      </c>
      <c r="AP330" s="853" t="str">
        <f>+VLOOKUP($AJ330,Data_Validation!$A:$D,3,0)</f>
        <v>Véhicules neufs</v>
      </c>
      <c r="AQ330" s="853" t="str">
        <f>+VLOOKUP($AJ330,Data_Validation!$A:$D,4,0)</f>
        <v>Réparation équipement</v>
      </c>
      <c r="AR330" s="853" t="s">
        <v>728</v>
      </c>
      <c r="AS330" s="853" t="str">
        <f>+VLOOKUP($AJ330,Data_Validation!$A:$E,5,0)</f>
        <v/>
      </c>
      <c r="AT330" s="794" t="str">
        <f t="shared" ref="AT330:AU330" si="658">C330</f>
        <v>G0901</v>
      </c>
      <c r="AU330" s="854" t="str">
        <f t="shared" si="658"/>
        <v>ENT. REP. EQUIPEMENT-NEUF</v>
      </c>
      <c r="AV330" s="794">
        <f t="array" ref="AV330">IFERROR(INDEX(V330:AG330,1,MATCH(Parametres!$B$3,V$1:AG$1,0)-1)*IF(OR(C330="L",C330="S",C330="I"),-1,1),"")</f>
        <v>0</v>
      </c>
      <c r="AW330" s="794">
        <f t="shared" si="6"/>
        <v>0</v>
      </c>
      <c r="AX330" s="794">
        <f t="array" ref="AX330">INDEX(V330:AG330,1,MATCH(Parametres!$B$3,V$1:AG$1,0))*IF(OR(C330="L",C330="S",C330="I"),-1,1)</f>
        <v>0</v>
      </c>
      <c r="AY330" s="853" t="s">
        <v>772</v>
      </c>
      <c r="AZ330" s="853" t="str">
        <f>+VLOOKUP($AJ330,Data_Validation!$A:$E,5,0)</f>
        <v/>
      </c>
    </row>
    <row r="331" ht="15.0" customHeight="1">
      <c r="A331" s="849" t="s">
        <v>1239</v>
      </c>
      <c r="B331" s="849">
        <v>2026.0</v>
      </c>
      <c r="C331" s="849" t="s">
        <v>1884</v>
      </c>
      <c r="D331" s="849" t="s">
        <v>1885</v>
      </c>
      <c r="E331" s="849" t="s">
        <v>768</v>
      </c>
      <c r="F331" s="849" t="s">
        <v>1200</v>
      </c>
      <c r="G331" s="849">
        <v>0.0</v>
      </c>
      <c r="H331" s="849">
        <v>0.0</v>
      </c>
      <c r="I331" s="849">
        <v>0.0</v>
      </c>
      <c r="J331" s="849">
        <v>0.0</v>
      </c>
      <c r="K331" s="849">
        <v>0.0</v>
      </c>
      <c r="L331" s="849">
        <v>0.0</v>
      </c>
      <c r="M331" s="849">
        <v>0.0</v>
      </c>
      <c r="N331" s="849">
        <v>0.0</v>
      </c>
      <c r="O331" s="849">
        <v>0.0</v>
      </c>
      <c r="P331" s="849">
        <v>0.0</v>
      </c>
      <c r="Q331" s="849">
        <v>0.0</v>
      </c>
      <c r="R331" s="849">
        <v>0.0</v>
      </c>
      <c r="S331" s="849">
        <v>0.0</v>
      </c>
      <c r="T331" s="849">
        <v>0.0</v>
      </c>
      <c r="U331" s="849">
        <v>0.0</v>
      </c>
      <c r="V331" s="849">
        <v>0.0</v>
      </c>
      <c r="W331" s="849">
        <v>0.0</v>
      </c>
      <c r="X331" s="849">
        <v>0.0</v>
      </c>
      <c r="Y331" s="849">
        <v>0.0</v>
      </c>
      <c r="Z331" s="849">
        <v>0.0</v>
      </c>
      <c r="AA331" s="849">
        <v>0.0</v>
      </c>
      <c r="AB331" s="849">
        <v>0.0</v>
      </c>
      <c r="AC331" s="849">
        <v>0.0</v>
      </c>
      <c r="AD331" s="849">
        <v>0.0</v>
      </c>
      <c r="AE331" s="849">
        <v>0.0</v>
      </c>
      <c r="AF331" s="849">
        <v>0.0</v>
      </c>
      <c r="AG331" s="849">
        <v>0.0</v>
      </c>
      <c r="AH331" s="849">
        <v>0.0</v>
      </c>
      <c r="AI331" s="849">
        <v>0.0</v>
      </c>
      <c r="AJ331" s="794" t="str">
        <f t="shared" ref="AJ331:AK331" si="659">C331</f>
        <v>G0902</v>
      </c>
      <c r="AK331" s="794" t="str">
        <f t="shared" si="659"/>
        <v>ENT. REP. EQUIPEMENT-USAG</v>
      </c>
      <c r="AL331" s="794">
        <f t="array" ref="AL331">IFERROR(INDEX(G331:R331,1,MATCH(Parametres!$B$3,G$1:R$1,0)-1)*IF(OR(F331="L",F331="S",F331="I"),-1,1),"")</f>
        <v>0</v>
      </c>
      <c r="AM331" s="794">
        <f t="shared" si="4"/>
        <v>0</v>
      </c>
      <c r="AN331" s="794">
        <f t="array" ref="AN331">INDEX(G331:R331,1,MATCH(Parametres!$B$3,G$1:R$1,0))*IF(OR(F331="L",F331="S",F331="I"),-1,1)</f>
        <v>0</v>
      </c>
      <c r="AO331" s="853" t="str">
        <f>+VLOOKUP($AJ331,Data_Validation!$A:$D,1,0)</f>
        <v>G0902</v>
      </c>
      <c r="AP331" s="853" t="str">
        <f>+VLOOKUP($AJ331,Data_Validation!$A:$D,3,0)</f>
        <v>Véhicules usagés</v>
      </c>
      <c r="AQ331" s="853" t="str">
        <f>+VLOOKUP($AJ331,Data_Validation!$A:$D,4,0)</f>
        <v>Réparation équipement</v>
      </c>
      <c r="AR331" s="853" t="s">
        <v>728</v>
      </c>
      <c r="AS331" s="853" t="str">
        <f>+VLOOKUP($AJ331,Data_Validation!$A:$E,5,0)</f>
        <v/>
      </c>
      <c r="AT331" s="794" t="str">
        <f t="shared" ref="AT331:AU331" si="660">C331</f>
        <v>G0902</v>
      </c>
      <c r="AU331" s="854" t="str">
        <f t="shared" si="660"/>
        <v>ENT. REP. EQUIPEMENT-USAG</v>
      </c>
      <c r="AV331" s="794">
        <f t="array" ref="AV331">IFERROR(INDEX(V331:AG331,1,MATCH(Parametres!$B$3,V$1:AG$1,0)-1)*IF(OR(C331="L",C331="S",C331="I"),-1,1),"")</f>
        <v>0</v>
      </c>
      <c r="AW331" s="794">
        <f t="shared" si="6"/>
        <v>0</v>
      </c>
      <c r="AX331" s="794">
        <f t="array" ref="AX331">INDEX(V331:AG331,1,MATCH(Parametres!$B$3,V$1:AG$1,0))*IF(OR(C331="L",C331="S",C331="I"),-1,1)</f>
        <v>0</v>
      </c>
      <c r="AY331" s="853" t="s">
        <v>772</v>
      </c>
      <c r="AZ331" s="853" t="str">
        <f>+VLOOKUP($AJ331,Data_Validation!$A:$E,5,0)</f>
        <v/>
      </c>
    </row>
    <row r="332" ht="15.0" customHeight="1">
      <c r="A332" s="849" t="s">
        <v>1239</v>
      </c>
      <c r="B332" s="849">
        <v>2026.0</v>
      </c>
      <c r="C332" s="849" t="s">
        <v>1886</v>
      </c>
      <c r="D332" s="849" t="s">
        <v>1887</v>
      </c>
      <c r="E332" s="849" t="s">
        <v>768</v>
      </c>
      <c r="F332" s="849" t="s">
        <v>1200</v>
      </c>
      <c r="G332" s="849">
        <v>1733.3</v>
      </c>
      <c r="H332" s="849">
        <v>3794.6</v>
      </c>
      <c r="I332" s="849">
        <v>5336.13</v>
      </c>
      <c r="J332" s="849">
        <v>8939.43</v>
      </c>
      <c r="K332" s="849">
        <v>8916.2</v>
      </c>
      <c r="L332" s="849">
        <v>10321.2</v>
      </c>
      <c r="M332" s="849">
        <v>10785.52</v>
      </c>
      <c r="N332" s="849">
        <v>11292.74</v>
      </c>
      <c r="O332" s="849">
        <v>20979.13</v>
      </c>
      <c r="P332" s="849">
        <v>20979.13</v>
      </c>
      <c r="Q332" s="849">
        <v>0.0</v>
      </c>
      <c r="R332" s="849">
        <v>0.0</v>
      </c>
      <c r="S332" s="849">
        <v>2331.01</v>
      </c>
      <c r="T332" s="849">
        <v>2331.01</v>
      </c>
      <c r="U332" s="849">
        <v>0.0</v>
      </c>
      <c r="V332" s="849">
        <v>0.0</v>
      </c>
      <c r="W332" s="849">
        <v>0.0</v>
      </c>
      <c r="X332" s="849">
        <v>0.0</v>
      </c>
      <c r="Y332" s="849">
        <v>0.0</v>
      </c>
      <c r="Z332" s="849">
        <v>0.0</v>
      </c>
      <c r="AA332" s="849">
        <v>0.0</v>
      </c>
      <c r="AB332" s="849">
        <v>0.0</v>
      </c>
      <c r="AC332" s="849">
        <v>0.0</v>
      </c>
      <c r="AD332" s="849">
        <v>0.0</v>
      </c>
      <c r="AE332" s="849">
        <v>0.0</v>
      </c>
      <c r="AF332" s="849">
        <v>0.0</v>
      </c>
      <c r="AG332" s="849">
        <v>0.0</v>
      </c>
      <c r="AH332" s="849">
        <v>0.0</v>
      </c>
      <c r="AI332" s="849">
        <v>0.0</v>
      </c>
      <c r="AJ332" s="794" t="str">
        <f t="shared" ref="AJ332:AK332" si="661">C332</f>
        <v>G0904</v>
      </c>
      <c r="AK332" s="794" t="str">
        <f t="shared" si="661"/>
        <v>ENT. REP. EQUIPEMENT-SERV</v>
      </c>
      <c r="AL332" s="794">
        <f t="array" ref="AL332">IFERROR(INDEX(G332:R332,1,MATCH(Parametres!$B$3,G$1:R$1,0)-1)*IF(OR(F332="L",F332="S",F332="I"),-1,1),"")</f>
        <v>11292.74</v>
      </c>
      <c r="AM332" s="794">
        <f t="shared" si="4"/>
        <v>9686.39</v>
      </c>
      <c r="AN332" s="794">
        <f t="array" ref="AN332">INDEX(G332:R332,1,MATCH(Parametres!$B$3,G$1:R$1,0))*IF(OR(F332="L",F332="S",F332="I"),-1,1)</f>
        <v>20979.13</v>
      </c>
      <c r="AO332" s="853" t="str">
        <f>+VLOOKUP($AJ332,Data_Validation!$A:$D,1,0)</f>
        <v>G0904</v>
      </c>
      <c r="AP332" s="853" t="str">
        <f>+VLOOKUP($AJ332,Data_Validation!$A:$D,3,0)</f>
        <v>Service</v>
      </c>
      <c r="AQ332" s="853" t="str">
        <f>+VLOOKUP($AJ332,Data_Validation!$A:$D,4,0)</f>
        <v>Réparation équipement</v>
      </c>
      <c r="AR332" s="853" t="s">
        <v>728</v>
      </c>
      <c r="AS332" s="853" t="str">
        <f>+VLOOKUP($AJ332,Data_Validation!$A:$E,5,0)</f>
        <v/>
      </c>
      <c r="AT332" s="794" t="str">
        <f t="shared" ref="AT332:AU332" si="662">C332</f>
        <v>G0904</v>
      </c>
      <c r="AU332" s="854" t="str">
        <f t="shared" si="662"/>
        <v>ENT. REP. EQUIPEMENT-SERV</v>
      </c>
      <c r="AV332" s="794">
        <f t="array" ref="AV332">IFERROR(INDEX(V332:AG332,1,MATCH(Parametres!$B$3,V$1:AG$1,0)-1)*IF(OR(C332="L",C332="S",C332="I"),-1,1),"")</f>
        <v>0</v>
      </c>
      <c r="AW332" s="794">
        <f t="shared" si="6"/>
        <v>0</v>
      </c>
      <c r="AX332" s="794">
        <f t="array" ref="AX332">INDEX(V332:AG332,1,MATCH(Parametres!$B$3,V$1:AG$1,0))*IF(OR(C332="L",C332="S",C332="I"),-1,1)</f>
        <v>0</v>
      </c>
      <c r="AY332" s="853" t="s">
        <v>772</v>
      </c>
      <c r="AZ332" s="853" t="str">
        <f>+VLOOKUP($AJ332,Data_Validation!$A:$E,5,0)</f>
        <v/>
      </c>
    </row>
    <row r="333" ht="15.75" customHeight="1">
      <c r="A333" s="849" t="s">
        <v>1239</v>
      </c>
      <c r="B333" s="849">
        <v>2026.0</v>
      </c>
      <c r="C333" s="849" t="s">
        <v>1888</v>
      </c>
      <c r="D333" s="849" t="s">
        <v>1889</v>
      </c>
      <c r="E333" s="849" t="s">
        <v>768</v>
      </c>
      <c r="F333" s="849" t="s">
        <v>1200</v>
      </c>
      <c r="G333" s="849">
        <v>420.0</v>
      </c>
      <c r="H333" s="849">
        <v>1918.0</v>
      </c>
      <c r="I333" s="849">
        <v>4035.5</v>
      </c>
      <c r="J333" s="849">
        <v>4935.0</v>
      </c>
      <c r="K333" s="849">
        <v>5138.7</v>
      </c>
      <c r="L333" s="849">
        <v>5530.7</v>
      </c>
      <c r="M333" s="849">
        <v>7284.88</v>
      </c>
      <c r="N333" s="849">
        <v>8557.15</v>
      </c>
      <c r="O333" s="849">
        <v>13138.82</v>
      </c>
      <c r="P333" s="849">
        <v>13138.82</v>
      </c>
      <c r="Q333" s="849">
        <v>0.0</v>
      </c>
      <c r="R333" s="849">
        <v>0.0</v>
      </c>
      <c r="S333" s="849">
        <v>1459.87</v>
      </c>
      <c r="T333" s="849">
        <v>1459.87</v>
      </c>
      <c r="U333" s="849">
        <v>0.0</v>
      </c>
      <c r="V333" s="849">
        <v>0.0</v>
      </c>
      <c r="W333" s="849">
        <v>0.0</v>
      </c>
      <c r="X333" s="849">
        <v>0.0</v>
      </c>
      <c r="Y333" s="849">
        <v>0.0</v>
      </c>
      <c r="Z333" s="849">
        <v>0.0</v>
      </c>
      <c r="AA333" s="849">
        <v>0.0</v>
      </c>
      <c r="AB333" s="849">
        <v>0.0</v>
      </c>
      <c r="AC333" s="849">
        <v>0.0</v>
      </c>
      <c r="AD333" s="849">
        <v>0.0</v>
      </c>
      <c r="AE333" s="849">
        <v>0.0</v>
      </c>
      <c r="AF333" s="849">
        <v>0.0</v>
      </c>
      <c r="AG333" s="849">
        <v>0.0</v>
      </c>
      <c r="AH333" s="849">
        <v>0.0</v>
      </c>
      <c r="AI333" s="849">
        <v>0.0</v>
      </c>
      <c r="AJ333" s="794" t="str">
        <f t="shared" ref="AJ333:AK333" si="663">C333</f>
        <v>G0905</v>
      </c>
      <c r="AK333" s="794" t="str">
        <f t="shared" si="663"/>
        <v>ENT. REP. EQUIPEMENT-CARR</v>
      </c>
      <c r="AL333" s="794">
        <f t="array" ref="AL333">IFERROR(INDEX(G333:R333,1,MATCH(Parametres!$B$3,G$1:R$1,0)-1)*IF(OR(F333="L",F333="S",F333="I"),-1,1),"")</f>
        <v>8557.15</v>
      </c>
      <c r="AM333" s="794">
        <f t="shared" si="4"/>
        <v>4581.67</v>
      </c>
      <c r="AN333" s="794">
        <f t="array" ref="AN333">INDEX(G333:R333,1,MATCH(Parametres!$B$3,G$1:R$1,0))*IF(OR(F333="L",F333="S",F333="I"),-1,1)</f>
        <v>13138.82</v>
      </c>
      <c r="AO333" s="853" t="str">
        <f>+VLOOKUP($AJ333,Data_Validation!$A:$D,1,0)</f>
        <v>G0905</v>
      </c>
      <c r="AP333" s="853" t="str">
        <f>+VLOOKUP($AJ333,Data_Validation!$A:$D,3,0)</f>
        <v>Carrosserie</v>
      </c>
      <c r="AQ333" s="853" t="str">
        <f>+VLOOKUP($AJ333,Data_Validation!$A:$D,4,0)</f>
        <v>Réparation équipement</v>
      </c>
      <c r="AR333" s="853" t="s">
        <v>728</v>
      </c>
      <c r="AS333" s="853" t="str">
        <f>+VLOOKUP($AJ333,Data_Validation!$A:$E,5,0)</f>
        <v/>
      </c>
      <c r="AT333" s="794" t="str">
        <f t="shared" ref="AT333:AU333" si="664">C333</f>
        <v>G0905</v>
      </c>
      <c r="AU333" s="854" t="str">
        <f t="shared" si="664"/>
        <v>ENT. REP. EQUIPEMENT-CARR</v>
      </c>
      <c r="AV333" s="794">
        <f t="array" ref="AV333">IFERROR(INDEX(V333:AG333,1,MATCH(Parametres!$B$3,V$1:AG$1,0)-1)*IF(OR(C333="L",C333="S",C333="I"),-1,1),"")</f>
        <v>0</v>
      </c>
      <c r="AW333" s="794">
        <f t="shared" si="6"/>
        <v>0</v>
      </c>
      <c r="AX333" s="794">
        <f t="array" ref="AX333">INDEX(V333:AG333,1,MATCH(Parametres!$B$3,V$1:AG$1,0))*IF(OR(C333="L",C333="S",C333="I"),-1,1)</f>
        <v>0</v>
      </c>
      <c r="AY333" s="853" t="s">
        <v>772</v>
      </c>
      <c r="AZ333" s="853" t="str">
        <f>+VLOOKUP($AJ333,Data_Validation!$A:$E,5,0)</f>
        <v/>
      </c>
    </row>
    <row r="334" ht="15.75" customHeight="1">
      <c r="A334" s="849" t="s">
        <v>1239</v>
      </c>
      <c r="B334" s="849">
        <v>2026.0</v>
      </c>
      <c r="C334" s="849" t="s">
        <v>1890</v>
      </c>
      <c r="D334" s="849" t="s">
        <v>1891</v>
      </c>
      <c r="E334" s="849" t="s">
        <v>768</v>
      </c>
      <c r="F334" s="849" t="s">
        <v>1200</v>
      </c>
      <c r="G334" s="849">
        <v>0.0</v>
      </c>
      <c r="H334" s="849">
        <v>0.0</v>
      </c>
      <c r="I334" s="849">
        <v>0.0</v>
      </c>
      <c r="J334" s="849">
        <v>82.0</v>
      </c>
      <c r="K334" s="849">
        <v>82.0</v>
      </c>
      <c r="L334" s="849">
        <v>82.0</v>
      </c>
      <c r="M334" s="849">
        <v>82.0</v>
      </c>
      <c r="N334" s="849">
        <v>82.0</v>
      </c>
      <c r="O334" s="849">
        <v>82.0</v>
      </c>
      <c r="P334" s="849">
        <v>82.0</v>
      </c>
      <c r="Q334" s="849">
        <v>0.0</v>
      </c>
      <c r="R334" s="849">
        <v>0.0</v>
      </c>
      <c r="S334" s="849">
        <v>9.11</v>
      </c>
      <c r="T334" s="849">
        <v>9.11</v>
      </c>
      <c r="U334" s="849">
        <v>0.0</v>
      </c>
      <c r="V334" s="849">
        <v>0.0</v>
      </c>
      <c r="W334" s="849">
        <v>0.0</v>
      </c>
      <c r="X334" s="849">
        <v>0.0</v>
      </c>
      <c r="Y334" s="849">
        <v>0.0</v>
      </c>
      <c r="Z334" s="849">
        <v>0.0</v>
      </c>
      <c r="AA334" s="849">
        <v>0.0</v>
      </c>
      <c r="AB334" s="849">
        <v>0.0</v>
      </c>
      <c r="AC334" s="849">
        <v>0.0</v>
      </c>
      <c r="AD334" s="849">
        <v>0.0</v>
      </c>
      <c r="AE334" s="849">
        <v>0.0</v>
      </c>
      <c r="AF334" s="849">
        <v>0.0</v>
      </c>
      <c r="AG334" s="849">
        <v>0.0</v>
      </c>
      <c r="AH334" s="849">
        <v>0.0</v>
      </c>
      <c r="AI334" s="849">
        <v>0.0</v>
      </c>
      <c r="AJ334" s="794" t="str">
        <f t="shared" ref="AJ334:AK334" si="665">C334</f>
        <v>G0906</v>
      </c>
      <c r="AK334" s="794" t="str">
        <f t="shared" si="665"/>
        <v>ENT. REP. EQUIPEMENT-PCES</v>
      </c>
      <c r="AL334" s="794">
        <f t="array" ref="AL334">IFERROR(INDEX(G334:R334,1,MATCH(Parametres!$B$3,G$1:R$1,0)-1)*IF(OR(F334="L",F334="S",F334="I"),-1,1),"")</f>
        <v>82</v>
      </c>
      <c r="AM334" s="794">
        <f t="shared" si="4"/>
        <v>0</v>
      </c>
      <c r="AN334" s="794">
        <f t="array" ref="AN334">INDEX(G334:R334,1,MATCH(Parametres!$B$3,G$1:R$1,0))*IF(OR(F334="L",F334="S",F334="I"),-1,1)</f>
        <v>82</v>
      </c>
      <c r="AO334" s="853" t="str">
        <f>+VLOOKUP($AJ334,Data_Validation!$A:$D,1,0)</f>
        <v>G0906</v>
      </c>
      <c r="AP334" s="853" t="str">
        <f>+VLOOKUP($AJ334,Data_Validation!$A:$D,3,0)</f>
        <v>Pièces</v>
      </c>
      <c r="AQ334" s="853" t="str">
        <f>+VLOOKUP($AJ334,Data_Validation!$A:$D,4,0)</f>
        <v>Réparation équipement</v>
      </c>
      <c r="AR334" s="853" t="s">
        <v>728</v>
      </c>
      <c r="AS334" s="853" t="str">
        <f>+VLOOKUP($AJ334,Data_Validation!$A:$E,5,0)</f>
        <v/>
      </c>
      <c r="AT334" s="794" t="str">
        <f t="shared" ref="AT334:AU334" si="666">C334</f>
        <v>G0906</v>
      </c>
      <c r="AU334" s="854" t="str">
        <f t="shared" si="666"/>
        <v>ENT. REP. EQUIPEMENT-PCES</v>
      </c>
      <c r="AV334" s="794">
        <f t="array" ref="AV334">IFERROR(INDEX(V334:AG334,1,MATCH(Parametres!$B$3,V$1:AG$1,0)-1)*IF(OR(C334="L",C334="S",C334="I"),-1,1),"")</f>
        <v>0</v>
      </c>
      <c r="AW334" s="794">
        <f t="shared" si="6"/>
        <v>0</v>
      </c>
      <c r="AX334" s="794">
        <f t="array" ref="AX334">INDEX(V334:AG334,1,MATCH(Parametres!$B$3,V$1:AG$1,0))*IF(OR(C334="L",C334="S",C334="I"),-1,1)</f>
        <v>0</v>
      </c>
      <c r="AY334" s="853" t="s">
        <v>772</v>
      </c>
      <c r="AZ334" s="853" t="str">
        <f>+VLOOKUP($AJ334,Data_Validation!$A:$E,5,0)</f>
        <v/>
      </c>
    </row>
    <row r="335" ht="15.0" customHeight="1">
      <c r="A335" s="849" t="s">
        <v>1239</v>
      </c>
      <c r="B335" s="849">
        <v>2026.0</v>
      </c>
      <c r="C335" s="849" t="s">
        <v>1892</v>
      </c>
      <c r="D335" s="849" t="s">
        <v>1893</v>
      </c>
      <c r="E335" s="849" t="s">
        <v>768</v>
      </c>
      <c r="F335" s="849" t="s">
        <v>1200</v>
      </c>
      <c r="G335" s="849">
        <v>0.0</v>
      </c>
      <c r="H335" s="849">
        <v>0.0</v>
      </c>
      <c r="I335" s="849">
        <v>0.0</v>
      </c>
      <c r="J335" s="849">
        <v>0.0</v>
      </c>
      <c r="K335" s="849">
        <v>0.0</v>
      </c>
      <c r="L335" s="849">
        <v>0.0</v>
      </c>
      <c r="M335" s="849">
        <v>1121.63</v>
      </c>
      <c r="N335" s="849">
        <v>1121.63</v>
      </c>
      <c r="O335" s="849">
        <v>1121.63</v>
      </c>
      <c r="P335" s="849">
        <v>1121.63</v>
      </c>
      <c r="Q335" s="849">
        <v>0.0</v>
      </c>
      <c r="R335" s="849">
        <v>0.0</v>
      </c>
      <c r="S335" s="849">
        <v>124.63</v>
      </c>
      <c r="T335" s="849">
        <v>124.63</v>
      </c>
      <c r="U335" s="849">
        <v>0.0</v>
      </c>
      <c r="V335" s="849">
        <v>0.0</v>
      </c>
      <c r="W335" s="849">
        <v>0.0</v>
      </c>
      <c r="X335" s="849">
        <v>0.0</v>
      </c>
      <c r="Y335" s="849">
        <v>0.0</v>
      </c>
      <c r="Z335" s="849">
        <v>0.0</v>
      </c>
      <c r="AA335" s="849">
        <v>0.0</v>
      </c>
      <c r="AB335" s="849">
        <v>0.0</v>
      </c>
      <c r="AC335" s="849">
        <v>0.0</v>
      </c>
      <c r="AD335" s="849">
        <v>0.0</v>
      </c>
      <c r="AE335" s="849">
        <v>0.0</v>
      </c>
      <c r="AF335" s="849">
        <v>0.0</v>
      </c>
      <c r="AG335" s="849">
        <v>0.0</v>
      </c>
      <c r="AH335" s="849">
        <v>0.0</v>
      </c>
      <c r="AI335" s="849">
        <v>0.0</v>
      </c>
      <c r="AJ335" s="794" t="str">
        <f t="shared" ref="AJ335:AK335" si="667">C335</f>
        <v>G0907</v>
      </c>
      <c r="AK335" s="794" t="str">
        <f t="shared" si="667"/>
        <v>ENT. REP. EQUIPEMENT SAAQ</v>
      </c>
      <c r="AL335" s="794">
        <f t="array" ref="AL335">IFERROR(INDEX(G335:R335,1,MATCH(Parametres!$B$3,G$1:R$1,0)-1)*IF(OR(F335="L",F335="S",F335="I"),-1,1),"")</f>
        <v>1121.63</v>
      </c>
      <c r="AM335" s="794">
        <f t="shared" si="4"/>
        <v>0</v>
      </c>
      <c r="AN335" s="794">
        <f t="array" ref="AN335">INDEX(G335:R335,1,MATCH(Parametres!$B$3,G$1:R$1,0))*IF(OR(F335="L",F335="S",F335="I"),-1,1)</f>
        <v>1121.63</v>
      </c>
      <c r="AO335" s="853" t="str">
        <f>+VLOOKUP($AJ335,Data_Validation!$A:$D,1,0)</f>
        <v>G0907</v>
      </c>
      <c r="AP335" s="853" t="str">
        <f>+VLOOKUP($AJ335,Data_Validation!$A:$D,3,0)</f>
        <v>SAAQ</v>
      </c>
      <c r="AQ335" s="853" t="str">
        <f>+VLOOKUP($AJ335,Data_Validation!$A:$D,4,0)</f>
        <v>Réparation équipement</v>
      </c>
      <c r="AR335" s="853" t="s">
        <v>728</v>
      </c>
      <c r="AS335" s="853" t="str">
        <f>+VLOOKUP($AJ335,Data_Validation!$A:$E,5,0)</f>
        <v/>
      </c>
      <c r="AT335" s="794" t="str">
        <f t="shared" ref="AT335:AU335" si="668">C335</f>
        <v>G0907</v>
      </c>
      <c r="AU335" s="854" t="str">
        <f t="shared" si="668"/>
        <v>ENT. REP. EQUIPEMENT SAAQ</v>
      </c>
      <c r="AV335" s="794">
        <f t="array" ref="AV335">IFERROR(INDEX(V335:AG335,1,MATCH(Parametres!$B$3,V$1:AG$1,0)-1)*IF(OR(C335="L",C335="S",C335="I"),-1,1),"")</f>
        <v>0</v>
      </c>
      <c r="AW335" s="794">
        <f t="shared" si="6"/>
        <v>0</v>
      </c>
      <c r="AX335" s="794">
        <f t="array" ref="AX335">INDEX(V335:AG335,1,MATCH(Parametres!$B$3,V$1:AG$1,0))*IF(OR(C335="L",C335="S",C335="I"),-1,1)</f>
        <v>0</v>
      </c>
      <c r="AY335" s="853" t="s">
        <v>772</v>
      </c>
      <c r="AZ335" s="853" t="str">
        <f>+VLOOKUP($AJ335,Data_Validation!$A:$E,5,0)</f>
        <v/>
      </c>
    </row>
    <row r="336" ht="15.0" customHeight="1">
      <c r="A336" s="849" t="s">
        <v>1239</v>
      </c>
      <c r="B336" s="849">
        <v>2026.0</v>
      </c>
      <c r="C336" s="849" t="s">
        <v>1894</v>
      </c>
      <c r="D336" s="849" t="s">
        <v>1895</v>
      </c>
      <c r="E336" s="849" t="s">
        <v>768</v>
      </c>
      <c r="F336" s="849" t="s">
        <v>1200</v>
      </c>
      <c r="G336" s="849">
        <v>0.0</v>
      </c>
      <c r="H336" s="849">
        <v>0.0</v>
      </c>
      <c r="I336" s="849">
        <v>0.0</v>
      </c>
      <c r="J336" s="849">
        <v>0.0</v>
      </c>
      <c r="K336" s="849">
        <v>0.0</v>
      </c>
      <c r="L336" s="849">
        <v>0.0</v>
      </c>
      <c r="M336" s="849">
        <v>0.0</v>
      </c>
      <c r="N336" s="849">
        <v>0.0</v>
      </c>
      <c r="O336" s="849">
        <v>0.0</v>
      </c>
      <c r="P336" s="849">
        <v>0.0</v>
      </c>
      <c r="Q336" s="849">
        <v>0.0</v>
      </c>
      <c r="R336" s="849">
        <v>0.0</v>
      </c>
      <c r="S336" s="849">
        <v>0.0</v>
      </c>
      <c r="T336" s="849">
        <v>0.0</v>
      </c>
      <c r="U336" s="849">
        <v>0.0</v>
      </c>
      <c r="V336" s="849">
        <v>0.0</v>
      </c>
      <c r="W336" s="849">
        <v>0.0</v>
      </c>
      <c r="X336" s="849">
        <v>0.0</v>
      </c>
      <c r="Y336" s="849">
        <v>0.0</v>
      </c>
      <c r="Z336" s="849">
        <v>0.0</v>
      </c>
      <c r="AA336" s="849">
        <v>0.0</v>
      </c>
      <c r="AB336" s="849">
        <v>0.0</v>
      </c>
      <c r="AC336" s="849">
        <v>0.0</v>
      </c>
      <c r="AD336" s="849">
        <v>0.0</v>
      </c>
      <c r="AE336" s="849">
        <v>0.0</v>
      </c>
      <c r="AF336" s="849">
        <v>0.0</v>
      </c>
      <c r="AG336" s="849">
        <v>0.0</v>
      </c>
      <c r="AH336" s="849">
        <v>0.0</v>
      </c>
      <c r="AI336" s="849">
        <v>0.0</v>
      </c>
      <c r="AJ336" s="794" t="str">
        <f t="shared" ref="AJ336:AK336" si="669">C336</f>
        <v>G0910</v>
      </c>
      <c r="AK336" s="794" t="str">
        <f t="shared" si="669"/>
        <v>AMORT. EQUIPEMENT REP.</v>
      </c>
      <c r="AL336" s="794">
        <f t="array" ref="AL336">IFERROR(INDEX(G336:R336,1,MATCH(Parametres!$B$3,G$1:R$1,0)-1)*IF(OR(F336="L",F336="S",F336="I"),-1,1),"")</f>
        <v>0</v>
      </c>
      <c r="AM336" s="794">
        <f t="shared" si="4"/>
        <v>0</v>
      </c>
      <c r="AN336" s="794">
        <f t="array" ref="AN336">INDEX(G336:R336,1,MATCH(Parametres!$B$3,G$1:R$1,0))*IF(OR(F336="L",F336="S",F336="I"),-1,1)</f>
        <v>0</v>
      </c>
      <c r="AO336" s="853" t="str">
        <f>+VLOOKUP($AJ336,Data_Validation!$A:$D,1,0)</f>
        <v>#N/A</v>
      </c>
      <c r="AP336" s="853" t="str">
        <f>+VLOOKUP($AJ336,Data_Validation!$A:$D,3,0)</f>
        <v>#N/A</v>
      </c>
      <c r="AQ336" s="853" t="str">
        <f>+VLOOKUP($AJ336,Data_Validation!$A:$D,4,0)</f>
        <v>#N/A</v>
      </c>
      <c r="AR336" s="853" t="s">
        <v>728</v>
      </c>
      <c r="AS336" s="853" t="str">
        <f>+VLOOKUP($AJ336,Data_Validation!$A:$E,5,0)</f>
        <v>#N/A</v>
      </c>
      <c r="AT336" s="794" t="str">
        <f t="shared" ref="AT336:AU336" si="670">C336</f>
        <v>G0910</v>
      </c>
      <c r="AU336" s="854" t="str">
        <f t="shared" si="670"/>
        <v>AMORT. EQUIPEMENT REP.</v>
      </c>
      <c r="AV336" s="794">
        <f t="array" ref="AV336">IFERROR(INDEX(V336:AG336,1,MATCH(Parametres!$B$3,V$1:AG$1,0)-1)*IF(OR(C336="L",C336="S",C336="I"),-1,1),"")</f>
        <v>0</v>
      </c>
      <c r="AW336" s="794">
        <f t="shared" si="6"/>
        <v>0</v>
      </c>
      <c r="AX336" s="794">
        <f t="array" ref="AX336">INDEX(V336:AG336,1,MATCH(Parametres!$B$3,V$1:AG$1,0))*IF(OR(C336="L",C336="S",C336="I"),-1,1)</f>
        <v>0</v>
      </c>
      <c r="AY336" s="853" t="s">
        <v>772</v>
      </c>
      <c r="AZ336" s="853" t="str">
        <f>+VLOOKUP($AJ336,Data_Validation!$A:$E,5,0)</f>
        <v>#N/A</v>
      </c>
    </row>
    <row r="337" ht="15.0" customHeight="1">
      <c r="A337" s="849" t="s">
        <v>1239</v>
      </c>
      <c r="B337" s="849">
        <v>2026.0</v>
      </c>
      <c r="C337" s="849" t="s">
        <v>1896</v>
      </c>
      <c r="D337" s="849" t="s">
        <v>1897</v>
      </c>
      <c r="E337" s="849" t="s">
        <v>768</v>
      </c>
      <c r="F337" s="849" t="s">
        <v>1200</v>
      </c>
      <c r="G337" s="849">
        <v>3214.5</v>
      </c>
      <c r="H337" s="849">
        <v>6429.0</v>
      </c>
      <c r="I337" s="849">
        <v>9643.5</v>
      </c>
      <c r="J337" s="849">
        <v>12858.0</v>
      </c>
      <c r="K337" s="849">
        <v>16072.5</v>
      </c>
      <c r="L337" s="849">
        <v>19287.0</v>
      </c>
      <c r="M337" s="849">
        <v>22501.5</v>
      </c>
      <c r="N337" s="849">
        <v>25716.0</v>
      </c>
      <c r="O337" s="849">
        <v>28930.5</v>
      </c>
      <c r="P337" s="849">
        <v>28930.5</v>
      </c>
      <c r="Q337" s="849">
        <v>0.0</v>
      </c>
      <c r="R337" s="849">
        <v>0.0</v>
      </c>
      <c r="S337" s="849">
        <v>3214.5</v>
      </c>
      <c r="T337" s="849">
        <v>3214.5</v>
      </c>
      <c r="U337" s="849">
        <v>0.0</v>
      </c>
      <c r="V337" s="849">
        <v>0.0</v>
      </c>
      <c r="W337" s="849">
        <v>0.0</v>
      </c>
      <c r="X337" s="849">
        <v>0.0</v>
      </c>
      <c r="Y337" s="849">
        <v>0.0</v>
      </c>
      <c r="Z337" s="849">
        <v>0.0</v>
      </c>
      <c r="AA337" s="849">
        <v>0.0</v>
      </c>
      <c r="AB337" s="849">
        <v>0.0</v>
      </c>
      <c r="AC337" s="849">
        <v>0.0</v>
      </c>
      <c r="AD337" s="849">
        <v>0.0</v>
      </c>
      <c r="AE337" s="849">
        <v>0.0</v>
      </c>
      <c r="AF337" s="849">
        <v>0.0</v>
      </c>
      <c r="AG337" s="849">
        <v>0.0</v>
      </c>
      <c r="AH337" s="849">
        <v>0.0</v>
      </c>
      <c r="AI337" s="849">
        <v>0.0</v>
      </c>
      <c r="AJ337" s="794" t="str">
        <f t="shared" ref="AJ337:AK337" si="671">C337</f>
        <v>G0911</v>
      </c>
      <c r="AK337" s="794" t="str">
        <f t="shared" si="671"/>
        <v>AMORT. EQUIPEMENT-NEUFS</v>
      </c>
      <c r="AL337" s="794">
        <f t="array" ref="AL337">IFERROR(INDEX(G337:R337,1,MATCH(Parametres!$B$3,G$1:R$1,0)-1)*IF(OR(F337="L",F337="S",F337="I"),-1,1),"")</f>
        <v>25716</v>
      </c>
      <c r="AM337" s="794">
        <f t="shared" si="4"/>
        <v>3214.5</v>
      </c>
      <c r="AN337" s="794">
        <f t="array" ref="AN337">INDEX(G337:R337,1,MATCH(Parametres!$B$3,G$1:R$1,0))*IF(OR(F337="L",F337="S",F337="I"),-1,1)</f>
        <v>28930.5</v>
      </c>
      <c r="AO337" s="853" t="str">
        <f>+VLOOKUP($AJ337,Data_Validation!$A:$D,1,0)</f>
        <v>G0911</v>
      </c>
      <c r="AP337" s="853" t="str">
        <f>+VLOOKUP($AJ337,Data_Validation!$A:$D,3,0)</f>
        <v>Véhicules neufs</v>
      </c>
      <c r="AQ337" s="853" t="str">
        <f>+VLOOKUP($AJ337,Data_Validation!$A:$D,4,0)</f>
        <v>Amortissement</v>
      </c>
      <c r="AR337" s="853" t="s">
        <v>728</v>
      </c>
      <c r="AS337" s="853" t="str">
        <f>+VLOOKUP($AJ337,Data_Validation!$A:$E,5,0)</f>
        <v/>
      </c>
      <c r="AT337" s="794" t="str">
        <f t="shared" ref="AT337:AU337" si="672">C337</f>
        <v>G0911</v>
      </c>
      <c r="AU337" s="854" t="str">
        <f t="shared" si="672"/>
        <v>AMORT. EQUIPEMENT-NEUFS</v>
      </c>
      <c r="AV337" s="794">
        <f t="array" ref="AV337">IFERROR(INDEX(V337:AG337,1,MATCH(Parametres!$B$3,V$1:AG$1,0)-1)*IF(OR(C337="L",C337="S",C337="I"),-1,1),"")</f>
        <v>0</v>
      </c>
      <c r="AW337" s="794">
        <f t="shared" si="6"/>
        <v>0</v>
      </c>
      <c r="AX337" s="794">
        <f t="array" ref="AX337">INDEX(V337:AG337,1,MATCH(Parametres!$B$3,V$1:AG$1,0))*IF(OR(C337="L",C337="S",C337="I"),-1,1)</f>
        <v>0</v>
      </c>
      <c r="AY337" s="853" t="s">
        <v>772</v>
      </c>
      <c r="AZ337" s="853" t="str">
        <f>+VLOOKUP($AJ337,Data_Validation!$A:$E,5,0)</f>
        <v/>
      </c>
    </row>
    <row r="338" ht="15.75" customHeight="1">
      <c r="A338" s="849" t="s">
        <v>1239</v>
      </c>
      <c r="B338" s="849">
        <v>2026.0</v>
      </c>
      <c r="C338" s="849" t="s">
        <v>1898</v>
      </c>
      <c r="D338" s="849" t="s">
        <v>1899</v>
      </c>
      <c r="E338" s="849" t="s">
        <v>768</v>
      </c>
      <c r="F338" s="849" t="s">
        <v>1200</v>
      </c>
      <c r="G338" s="849">
        <v>2143.0</v>
      </c>
      <c r="H338" s="849">
        <v>4286.0</v>
      </c>
      <c r="I338" s="849">
        <v>6429.0</v>
      </c>
      <c r="J338" s="849">
        <v>8572.0</v>
      </c>
      <c r="K338" s="849">
        <v>10715.0</v>
      </c>
      <c r="L338" s="849">
        <v>12858.0</v>
      </c>
      <c r="M338" s="849">
        <v>15001.0</v>
      </c>
      <c r="N338" s="849">
        <v>17144.0</v>
      </c>
      <c r="O338" s="849">
        <v>19287.0</v>
      </c>
      <c r="P338" s="849">
        <v>19287.0</v>
      </c>
      <c r="Q338" s="849">
        <v>0.0</v>
      </c>
      <c r="R338" s="849">
        <v>0.0</v>
      </c>
      <c r="S338" s="849">
        <v>2143.0</v>
      </c>
      <c r="T338" s="849">
        <v>2143.0</v>
      </c>
      <c r="U338" s="849">
        <v>0.0</v>
      </c>
      <c r="V338" s="849">
        <v>0.0</v>
      </c>
      <c r="W338" s="849">
        <v>0.0</v>
      </c>
      <c r="X338" s="849">
        <v>0.0</v>
      </c>
      <c r="Y338" s="849">
        <v>0.0</v>
      </c>
      <c r="Z338" s="849">
        <v>0.0</v>
      </c>
      <c r="AA338" s="849">
        <v>0.0</v>
      </c>
      <c r="AB338" s="849">
        <v>0.0</v>
      </c>
      <c r="AC338" s="849">
        <v>0.0</v>
      </c>
      <c r="AD338" s="849">
        <v>0.0</v>
      </c>
      <c r="AE338" s="849">
        <v>0.0</v>
      </c>
      <c r="AF338" s="849">
        <v>0.0</v>
      </c>
      <c r="AG338" s="849">
        <v>0.0</v>
      </c>
      <c r="AH338" s="849">
        <v>0.0</v>
      </c>
      <c r="AI338" s="849">
        <v>0.0</v>
      </c>
      <c r="AJ338" s="794" t="str">
        <f t="shared" ref="AJ338:AK338" si="673">C338</f>
        <v>G0912</v>
      </c>
      <c r="AK338" s="794" t="str">
        <f t="shared" si="673"/>
        <v>AMORT. EQUIPEMENT-USAGES</v>
      </c>
      <c r="AL338" s="794">
        <f t="array" ref="AL338">IFERROR(INDEX(G338:R338,1,MATCH(Parametres!$B$3,G$1:R$1,0)-1)*IF(OR(F338="L",F338="S",F338="I"),-1,1),"")</f>
        <v>17144</v>
      </c>
      <c r="AM338" s="794">
        <f t="shared" si="4"/>
        <v>2143</v>
      </c>
      <c r="AN338" s="794">
        <f t="array" ref="AN338">INDEX(G338:R338,1,MATCH(Parametres!$B$3,G$1:R$1,0))*IF(OR(F338="L",F338="S",F338="I"),-1,1)</f>
        <v>19287</v>
      </c>
      <c r="AO338" s="853" t="str">
        <f>+VLOOKUP($AJ338,Data_Validation!$A:$D,1,0)</f>
        <v>G0912</v>
      </c>
      <c r="AP338" s="853" t="str">
        <f>+VLOOKUP($AJ338,Data_Validation!$A:$D,3,0)</f>
        <v>Véhicules usagés</v>
      </c>
      <c r="AQ338" s="853" t="str">
        <f>+VLOOKUP($AJ338,Data_Validation!$A:$D,4,0)</f>
        <v>Amortissement</v>
      </c>
      <c r="AR338" s="853" t="s">
        <v>728</v>
      </c>
      <c r="AS338" s="853" t="str">
        <f>+VLOOKUP($AJ338,Data_Validation!$A:$E,5,0)</f>
        <v/>
      </c>
      <c r="AT338" s="794" t="str">
        <f t="shared" ref="AT338:AU338" si="674">C338</f>
        <v>G0912</v>
      </c>
      <c r="AU338" s="854" t="str">
        <f t="shared" si="674"/>
        <v>AMORT. EQUIPEMENT-USAGES</v>
      </c>
      <c r="AV338" s="794">
        <f t="array" ref="AV338">IFERROR(INDEX(V338:AG338,1,MATCH(Parametres!$B$3,V$1:AG$1,0)-1)*IF(OR(C338="L",C338="S",C338="I"),-1,1),"")</f>
        <v>0</v>
      </c>
      <c r="AW338" s="794">
        <f t="shared" si="6"/>
        <v>0</v>
      </c>
      <c r="AX338" s="794">
        <f t="array" ref="AX338">INDEX(V338:AG338,1,MATCH(Parametres!$B$3,V$1:AG$1,0))*IF(OR(C338="L",C338="S",C338="I"),-1,1)</f>
        <v>0</v>
      </c>
      <c r="AY338" s="853" t="s">
        <v>772</v>
      </c>
      <c r="AZ338" s="853" t="str">
        <f>+VLOOKUP($AJ338,Data_Validation!$A:$E,5,0)</f>
        <v/>
      </c>
    </row>
    <row r="339" ht="15.0" customHeight="1">
      <c r="A339" s="849" t="s">
        <v>1239</v>
      </c>
      <c r="B339" s="849">
        <v>2026.0</v>
      </c>
      <c r="C339" s="849" t="s">
        <v>1900</v>
      </c>
      <c r="D339" s="849" t="s">
        <v>1901</v>
      </c>
      <c r="E339" s="849" t="s">
        <v>768</v>
      </c>
      <c r="F339" s="849" t="s">
        <v>1200</v>
      </c>
      <c r="G339" s="849">
        <v>3214.5</v>
      </c>
      <c r="H339" s="849">
        <v>6429.0</v>
      </c>
      <c r="I339" s="849">
        <v>9643.5</v>
      </c>
      <c r="J339" s="849">
        <v>12858.0</v>
      </c>
      <c r="K339" s="849">
        <v>16072.5</v>
      </c>
      <c r="L339" s="849">
        <v>19287.0</v>
      </c>
      <c r="M339" s="849">
        <v>22501.5</v>
      </c>
      <c r="N339" s="849">
        <v>25716.0</v>
      </c>
      <c r="O339" s="849">
        <v>28930.5</v>
      </c>
      <c r="P339" s="849">
        <v>28930.5</v>
      </c>
      <c r="Q339" s="849">
        <v>0.0</v>
      </c>
      <c r="R339" s="849">
        <v>0.0</v>
      </c>
      <c r="S339" s="849">
        <v>3214.5</v>
      </c>
      <c r="T339" s="849">
        <v>3214.5</v>
      </c>
      <c r="U339" s="849">
        <v>0.0</v>
      </c>
      <c r="V339" s="849">
        <v>0.0</v>
      </c>
      <c r="W339" s="849">
        <v>0.0</v>
      </c>
      <c r="X339" s="849">
        <v>0.0</v>
      </c>
      <c r="Y339" s="849">
        <v>0.0</v>
      </c>
      <c r="Z339" s="849">
        <v>0.0</v>
      </c>
      <c r="AA339" s="849">
        <v>0.0</v>
      </c>
      <c r="AB339" s="849">
        <v>0.0</v>
      </c>
      <c r="AC339" s="849">
        <v>0.0</v>
      </c>
      <c r="AD339" s="849">
        <v>0.0</v>
      </c>
      <c r="AE339" s="849">
        <v>0.0</v>
      </c>
      <c r="AF339" s="849">
        <v>0.0</v>
      </c>
      <c r="AG339" s="849">
        <v>0.0</v>
      </c>
      <c r="AH339" s="849">
        <v>0.0</v>
      </c>
      <c r="AI339" s="849">
        <v>0.0</v>
      </c>
      <c r="AJ339" s="794" t="str">
        <f t="shared" ref="AJ339:AK339" si="675">C339</f>
        <v>G0914</v>
      </c>
      <c r="AK339" s="794" t="str">
        <f t="shared" si="675"/>
        <v>AMORT. EQUIPEMENT-SERVICE</v>
      </c>
      <c r="AL339" s="794">
        <f t="array" ref="AL339">IFERROR(INDEX(G339:R339,1,MATCH(Parametres!$B$3,G$1:R$1,0)-1)*IF(OR(F339="L",F339="S",F339="I"),-1,1),"")</f>
        <v>25716</v>
      </c>
      <c r="AM339" s="794">
        <f t="shared" si="4"/>
        <v>3214.5</v>
      </c>
      <c r="AN339" s="794">
        <f t="array" ref="AN339">INDEX(G339:R339,1,MATCH(Parametres!$B$3,G$1:R$1,0))*IF(OR(F339="L",F339="S",F339="I"),-1,1)</f>
        <v>28930.5</v>
      </c>
      <c r="AO339" s="853" t="str">
        <f>+VLOOKUP($AJ339,Data_Validation!$A:$D,1,0)</f>
        <v>G0914</v>
      </c>
      <c r="AP339" s="853" t="str">
        <f>+VLOOKUP($AJ339,Data_Validation!$A:$D,3,0)</f>
        <v>Service</v>
      </c>
      <c r="AQ339" s="853" t="str">
        <f>+VLOOKUP($AJ339,Data_Validation!$A:$D,4,0)</f>
        <v>Amortissement</v>
      </c>
      <c r="AR339" s="853" t="s">
        <v>728</v>
      </c>
      <c r="AS339" s="853" t="str">
        <f>+VLOOKUP($AJ339,Data_Validation!$A:$E,5,0)</f>
        <v/>
      </c>
      <c r="AT339" s="794" t="str">
        <f t="shared" ref="AT339:AU339" si="676">C339</f>
        <v>G0914</v>
      </c>
      <c r="AU339" s="854" t="str">
        <f t="shared" si="676"/>
        <v>AMORT. EQUIPEMENT-SERVICE</v>
      </c>
      <c r="AV339" s="794">
        <f t="array" ref="AV339">IFERROR(INDEX(V339:AG339,1,MATCH(Parametres!$B$3,V$1:AG$1,0)-1)*IF(OR(C339="L",C339="S",C339="I"),-1,1),"")</f>
        <v>0</v>
      </c>
      <c r="AW339" s="794">
        <f t="shared" si="6"/>
        <v>0</v>
      </c>
      <c r="AX339" s="794">
        <f t="array" ref="AX339">INDEX(V339:AG339,1,MATCH(Parametres!$B$3,V$1:AG$1,0))*IF(OR(C339="L",C339="S",C339="I"),-1,1)</f>
        <v>0</v>
      </c>
      <c r="AY339" s="853" t="s">
        <v>772</v>
      </c>
      <c r="AZ339" s="853" t="str">
        <f>+VLOOKUP($AJ339,Data_Validation!$A:$E,5,0)</f>
        <v/>
      </c>
    </row>
    <row r="340" ht="15.0" customHeight="1">
      <c r="A340" s="849" t="s">
        <v>1239</v>
      </c>
      <c r="B340" s="849">
        <v>2026.0</v>
      </c>
      <c r="C340" s="849" t="s">
        <v>1902</v>
      </c>
      <c r="D340" s="849" t="s">
        <v>1903</v>
      </c>
      <c r="E340" s="849" t="s">
        <v>768</v>
      </c>
      <c r="F340" s="849" t="s">
        <v>1200</v>
      </c>
      <c r="G340" s="849">
        <v>1071.5</v>
      </c>
      <c r="H340" s="849">
        <v>2143.0</v>
      </c>
      <c r="I340" s="849">
        <v>3214.5</v>
      </c>
      <c r="J340" s="849">
        <v>4286.0</v>
      </c>
      <c r="K340" s="849">
        <v>5357.5</v>
      </c>
      <c r="L340" s="849">
        <v>6429.0</v>
      </c>
      <c r="M340" s="849">
        <v>7500.5</v>
      </c>
      <c r="N340" s="849">
        <v>8572.0</v>
      </c>
      <c r="O340" s="849">
        <v>9643.5</v>
      </c>
      <c r="P340" s="849">
        <v>9643.5</v>
      </c>
      <c r="Q340" s="849">
        <v>0.0</v>
      </c>
      <c r="R340" s="849">
        <v>0.0</v>
      </c>
      <c r="S340" s="849">
        <v>1071.5</v>
      </c>
      <c r="T340" s="849">
        <v>1071.5</v>
      </c>
      <c r="U340" s="849">
        <v>0.0</v>
      </c>
      <c r="V340" s="849">
        <v>0.0</v>
      </c>
      <c r="W340" s="849">
        <v>0.0</v>
      </c>
      <c r="X340" s="849">
        <v>0.0</v>
      </c>
      <c r="Y340" s="849">
        <v>0.0</v>
      </c>
      <c r="Z340" s="849">
        <v>0.0</v>
      </c>
      <c r="AA340" s="849">
        <v>0.0</v>
      </c>
      <c r="AB340" s="849">
        <v>0.0</v>
      </c>
      <c r="AC340" s="849">
        <v>0.0</v>
      </c>
      <c r="AD340" s="849">
        <v>0.0</v>
      </c>
      <c r="AE340" s="849">
        <v>0.0</v>
      </c>
      <c r="AF340" s="849">
        <v>0.0</v>
      </c>
      <c r="AG340" s="849">
        <v>0.0</v>
      </c>
      <c r="AH340" s="849">
        <v>0.0</v>
      </c>
      <c r="AI340" s="849">
        <v>0.0</v>
      </c>
      <c r="AJ340" s="794" t="str">
        <f t="shared" ref="AJ340:AK340" si="677">C340</f>
        <v>G0915</v>
      </c>
      <c r="AK340" s="794" t="str">
        <f t="shared" si="677"/>
        <v>AMORT. EQUIPEMENT-CARROSS</v>
      </c>
      <c r="AL340" s="794">
        <f t="array" ref="AL340">IFERROR(INDEX(G340:R340,1,MATCH(Parametres!$B$3,G$1:R$1,0)-1)*IF(OR(F340="L",F340="S",F340="I"),-1,1),"")</f>
        <v>8572</v>
      </c>
      <c r="AM340" s="794">
        <f t="shared" si="4"/>
        <v>1071.5</v>
      </c>
      <c r="AN340" s="794">
        <f t="array" ref="AN340">INDEX(G340:R340,1,MATCH(Parametres!$B$3,G$1:R$1,0))*IF(OR(F340="L",F340="S",F340="I"),-1,1)</f>
        <v>9643.5</v>
      </c>
      <c r="AO340" s="853" t="str">
        <f>+VLOOKUP($AJ340,Data_Validation!$A:$D,1,0)</f>
        <v>G0915</v>
      </c>
      <c r="AP340" s="853" t="str">
        <f>+VLOOKUP($AJ340,Data_Validation!$A:$D,3,0)</f>
        <v>Carrosserie</v>
      </c>
      <c r="AQ340" s="853" t="str">
        <f>+VLOOKUP($AJ340,Data_Validation!$A:$D,4,0)</f>
        <v>Amortissement</v>
      </c>
      <c r="AR340" s="853" t="s">
        <v>728</v>
      </c>
      <c r="AS340" s="853" t="str">
        <f>+VLOOKUP($AJ340,Data_Validation!$A:$E,5,0)</f>
        <v/>
      </c>
      <c r="AT340" s="794" t="str">
        <f t="shared" ref="AT340:AU340" si="678">C340</f>
        <v>G0915</v>
      </c>
      <c r="AU340" s="854" t="str">
        <f t="shared" si="678"/>
        <v>AMORT. EQUIPEMENT-CARROSS</v>
      </c>
      <c r="AV340" s="794">
        <f t="array" ref="AV340">IFERROR(INDEX(V340:AG340,1,MATCH(Parametres!$B$3,V$1:AG$1,0)-1)*IF(OR(C340="L",C340="S",C340="I"),-1,1),"")</f>
        <v>0</v>
      </c>
      <c r="AW340" s="794">
        <f t="shared" si="6"/>
        <v>0</v>
      </c>
      <c r="AX340" s="794">
        <f t="array" ref="AX340">INDEX(V340:AG340,1,MATCH(Parametres!$B$3,V$1:AG$1,0))*IF(OR(C340="L",C340="S",C340="I"),-1,1)</f>
        <v>0</v>
      </c>
      <c r="AY340" s="853" t="s">
        <v>772</v>
      </c>
      <c r="AZ340" s="853" t="str">
        <f>+VLOOKUP($AJ340,Data_Validation!$A:$E,5,0)</f>
        <v/>
      </c>
    </row>
    <row r="341" ht="15.0" customHeight="1">
      <c r="A341" s="849" t="s">
        <v>1239</v>
      </c>
      <c r="B341" s="849">
        <v>2026.0</v>
      </c>
      <c r="C341" s="849" t="s">
        <v>1904</v>
      </c>
      <c r="D341" s="849" t="s">
        <v>1905</v>
      </c>
      <c r="E341" s="849" t="s">
        <v>768</v>
      </c>
      <c r="F341" s="849" t="s">
        <v>1200</v>
      </c>
      <c r="G341" s="849">
        <v>1071.5</v>
      </c>
      <c r="H341" s="849">
        <v>2143.0</v>
      </c>
      <c r="I341" s="849">
        <v>3214.5</v>
      </c>
      <c r="J341" s="849">
        <v>4286.0</v>
      </c>
      <c r="K341" s="849">
        <v>5357.5</v>
      </c>
      <c r="L341" s="849">
        <v>6429.0</v>
      </c>
      <c r="M341" s="849">
        <v>7500.5</v>
      </c>
      <c r="N341" s="849">
        <v>8572.0</v>
      </c>
      <c r="O341" s="849">
        <v>9643.5</v>
      </c>
      <c r="P341" s="849">
        <v>9643.5</v>
      </c>
      <c r="Q341" s="849">
        <v>0.0</v>
      </c>
      <c r="R341" s="849">
        <v>0.0</v>
      </c>
      <c r="S341" s="849">
        <v>1071.5</v>
      </c>
      <c r="T341" s="849">
        <v>1071.5</v>
      </c>
      <c r="U341" s="849">
        <v>0.0</v>
      </c>
      <c r="V341" s="849">
        <v>0.0</v>
      </c>
      <c r="W341" s="849">
        <v>0.0</v>
      </c>
      <c r="X341" s="849">
        <v>0.0</v>
      </c>
      <c r="Y341" s="849">
        <v>0.0</v>
      </c>
      <c r="Z341" s="849">
        <v>0.0</v>
      </c>
      <c r="AA341" s="849">
        <v>0.0</v>
      </c>
      <c r="AB341" s="849">
        <v>0.0</v>
      </c>
      <c r="AC341" s="849">
        <v>0.0</v>
      </c>
      <c r="AD341" s="849">
        <v>0.0</v>
      </c>
      <c r="AE341" s="849">
        <v>0.0</v>
      </c>
      <c r="AF341" s="849">
        <v>0.0</v>
      </c>
      <c r="AG341" s="849">
        <v>0.0</v>
      </c>
      <c r="AH341" s="849">
        <v>0.0</v>
      </c>
      <c r="AI341" s="849">
        <v>0.0</v>
      </c>
      <c r="AJ341" s="794" t="str">
        <f t="shared" ref="AJ341:AK341" si="679">C341</f>
        <v>G0916</v>
      </c>
      <c r="AK341" s="794" t="str">
        <f t="shared" si="679"/>
        <v>AMORT. EQUIPEMENT-PCES</v>
      </c>
      <c r="AL341" s="794">
        <f t="array" ref="AL341">IFERROR(INDEX(G341:R341,1,MATCH(Parametres!$B$3,G$1:R$1,0)-1)*IF(OR(F341="L",F341="S",F341="I"),-1,1),"")</f>
        <v>8572</v>
      </c>
      <c r="AM341" s="794">
        <f t="shared" si="4"/>
        <v>1071.5</v>
      </c>
      <c r="AN341" s="794">
        <f t="array" ref="AN341">INDEX(G341:R341,1,MATCH(Parametres!$B$3,G$1:R$1,0))*IF(OR(F341="L",F341="S",F341="I"),-1,1)</f>
        <v>9643.5</v>
      </c>
      <c r="AO341" s="853" t="str">
        <f>+VLOOKUP($AJ341,Data_Validation!$A:$D,1,0)</f>
        <v>G0916</v>
      </c>
      <c r="AP341" s="853" t="str">
        <f>+VLOOKUP($AJ341,Data_Validation!$A:$D,3,0)</f>
        <v>Pièces</v>
      </c>
      <c r="AQ341" s="853" t="str">
        <f>+VLOOKUP($AJ341,Data_Validation!$A:$D,4,0)</f>
        <v>Amortissement</v>
      </c>
      <c r="AR341" s="853" t="s">
        <v>728</v>
      </c>
      <c r="AS341" s="853" t="str">
        <f>+VLOOKUP($AJ341,Data_Validation!$A:$E,5,0)</f>
        <v/>
      </c>
      <c r="AT341" s="794" t="str">
        <f t="shared" ref="AT341:AU341" si="680">C341</f>
        <v>G0916</v>
      </c>
      <c r="AU341" s="854" t="str">
        <f t="shared" si="680"/>
        <v>AMORT. EQUIPEMENT-PCES</v>
      </c>
      <c r="AV341" s="794">
        <f t="array" ref="AV341">IFERROR(INDEX(V341:AG341,1,MATCH(Parametres!$B$3,V$1:AG$1,0)-1)*IF(OR(C341="L",C341="S",C341="I"),-1,1),"")</f>
        <v>0</v>
      </c>
      <c r="AW341" s="794">
        <f t="shared" si="6"/>
        <v>0</v>
      </c>
      <c r="AX341" s="794">
        <f t="array" ref="AX341">INDEX(V341:AG341,1,MATCH(Parametres!$B$3,V$1:AG$1,0))*IF(OR(C341="L",C341="S",C341="I"),-1,1)</f>
        <v>0</v>
      </c>
      <c r="AY341" s="853" t="s">
        <v>772</v>
      </c>
      <c r="AZ341" s="853" t="str">
        <f>+VLOOKUP($AJ341,Data_Validation!$A:$E,5,0)</f>
        <v/>
      </c>
    </row>
    <row r="342" ht="15.0" customHeight="1">
      <c r="A342" s="849" t="s">
        <v>1239</v>
      </c>
      <c r="B342" s="849">
        <v>2026.0</v>
      </c>
      <c r="C342" s="849" t="s">
        <v>1906</v>
      </c>
      <c r="D342" s="849" t="s">
        <v>1907</v>
      </c>
      <c r="E342" s="849" t="s">
        <v>768</v>
      </c>
      <c r="F342" s="849" t="s">
        <v>1200</v>
      </c>
      <c r="G342" s="849">
        <v>0.0</v>
      </c>
      <c r="H342" s="849">
        <v>0.0</v>
      </c>
      <c r="I342" s="849">
        <v>0.0</v>
      </c>
      <c r="J342" s="849">
        <v>0.0</v>
      </c>
      <c r="K342" s="849">
        <v>0.0</v>
      </c>
      <c r="L342" s="849">
        <v>0.0</v>
      </c>
      <c r="M342" s="849">
        <v>0.0</v>
      </c>
      <c r="N342" s="849">
        <v>0.0</v>
      </c>
      <c r="O342" s="849">
        <v>0.0</v>
      </c>
      <c r="P342" s="849">
        <v>0.0</v>
      </c>
      <c r="Q342" s="849">
        <v>0.0</v>
      </c>
      <c r="R342" s="849">
        <v>0.0</v>
      </c>
      <c r="S342" s="849">
        <v>0.0</v>
      </c>
      <c r="T342" s="849">
        <v>0.0</v>
      </c>
      <c r="U342" s="849">
        <v>0.0</v>
      </c>
      <c r="V342" s="849">
        <v>0.0</v>
      </c>
      <c r="W342" s="849">
        <v>0.0</v>
      </c>
      <c r="X342" s="849">
        <v>0.0</v>
      </c>
      <c r="Y342" s="849">
        <v>0.0</v>
      </c>
      <c r="Z342" s="849">
        <v>0.0</v>
      </c>
      <c r="AA342" s="849">
        <v>0.0</v>
      </c>
      <c r="AB342" s="849">
        <v>0.0</v>
      </c>
      <c r="AC342" s="849">
        <v>0.0</v>
      </c>
      <c r="AD342" s="849">
        <v>0.0</v>
      </c>
      <c r="AE342" s="849">
        <v>0.0</v>
      </c>
      <c r="AF342" s="849">
        <v>0.0</v>
      </c>
      <c r="AG342" s="849">
        <v>0.0</v>
      </c>
      <c r="AH342" s="849">
        <v>0.0</v>
      </c>
      <c r="AI342" s="849">
        <v>0.0</v>
      </c>
      <c r="AJ342" s="794" t="str">
        <f t="shared" ref="AJ342:AK342" si="681">C342</f>
        <v>G0920</v>
      </c>
      <c r="AK342" s="794" t="str">
        <f t="shared" si="681"/>
        <v>LOCATION EQUIP REP.</v>
      </c>
      <c r="AL342" s="794">
        <f t="array" ref="AL342">IFERROR(INDEX(G342:R342,1,MATCH(Parametres!$B$3,G$1:R$1,0)-1)*IF(OR(F342="L",F342="S",F342="I"),-1,1),"")</f>
        <v>0</v>
      </c>
      <c r="AM342" s="794">
        <f t="shared" si="4"/>
        <v>0</v>
      </c>
      <c r="AN342" s="794">
        <f t="array" ref="AN342">INDEX(G342:R342,1,MATCH(Parametres!$B$3,G$1:R$1,0))*IF(OR(F342="L",F342="S",F342="I"),-1,1)</f>
        <v>0</v>
      </c>
      <c r="AO342" s="853" t="str">
        <f>+VLOOKUP($AJ342,Data_Validation!$A:$D,1,0)</f>
        <v>#N/A</v>
      </c>
      <c r="AP342" s="853" t="str">
        <f>+VLOOKUP($AJ342,Data_Validation!$A:$D,3,0)</f>
        <v>#N/A</v>
      </c>
      <c r="AQ342" s="853" t="str">
        <f>+VLOOKUP($AJ342,Data_Validation!$A:$D,4,0)</f>
        <v>#N/A</v>
      </c>
      <c r="AR342" s="853" t="s">
        <v>728</v>
      </c>
      <c r="AS342" s="853" t="str">
        <f>+VLOOKUP($AJ342,Data_Validation!$A:$E,5,0)</f>
        <v>#N/A</v>
      </c>
      <c r="AT342" s="794" t="str">
        <f t="shared" ref="AT342:AU342" si="682">C342</f>
        <v>G0920</v>
      </c>
      <c r="AU342" s="854" t="str">
        <f t="shared" si="682"/>
        <v>LOCATION EQUIP REP.</v>
      </c>
      <c r="AV342" s="794">
        <f t="array" ref="AV342">IFERROR(INDEX(V342:AG342,1,MATCH(Parametres!$B$3,V$1:AG$1,0)-1)*IF(OR(C342="L",C342="S",C342="I"),-1,1),"")</f>
        <v>0</v>
      </c>
      <c r="AW342" s="794">
        <f t="shared" si="6"/>
        <v>0</v>
      </c>
      <c r="AX342" s="794">
        <f t="array" ref="AX342">INDEX(V342:AG342,1,MATCH(Parametres!$B$3,V$1:AG$1,0))*IF(OR(C342="L",C342="S",C342="I"),-1,1)</f>
        <v>0</v>
      </c>
      <c r="AY342" s="853" t="s">
        <v>772</v>
      </c>
      <c r="AZ342" s="853" t="str">
        <f>+VLOOKUP($AJ342,Data_Validation!$A:$E,5,0)</f>
        <v>#N/A</v>
      </c>
    </row>
    <row r="343" ht="15.75" customHeight="1">
      <c r="A343" s="849" t="s">
        <v>1239</v>
      </c>
      <c r="B343" s="849">
        <v>2026.0</v>
      </c>
      <c r="C343" s="849" t="s">
        <v>1908</v>
      </c>
      <c r="D343" s="849" t="s">
        <v>1909</v>
      </c>
      <c r="E343" s="849" t="s">
        <v>768</v>
      </c>
      <c r="F343" s="849" t="s">
        <v>1200</v>
      </c>
      <c r="G343" s="849">
        <v>59.98</v>
      </c>
      <c r="H343" s="849">
        <v>119.96</v>
      </c>
      <c r="I343" s="849">
        <v>179.94</v>
      </c>
      <c r="J343" s="849">
        <v>256.91</v>
      </c>
      <c r="K343" s="849">
        <v>386.18</v>
      </c>
      <c r="L343" s="849">
        <v>515.45</v>
      </c>
      <c r="M343" s="849">
        <v>1324.1</v>
      </c>
      <c r="N343" s="849">
        <v>1470.36</v>
      </c>
      <c r="O343" s="849">
        <v>1599.63</v>
      </c>
      <c r="P343" s="849">
        <v>1599.63</v>
      </c>
      <c r="Q343" s="849">
        <v>0.0</v>
      </c>
      <c r="R343" s="849">
        <v>0.0</v>
      </c>
      <c r="S343" s="849">
        <v>177.74</v>
      </c>
      <c r="T343" s="849">
        <v>177.74</v>
      </c>
      <c r="U343" s="849">
        <v>0.0</v>
      </c>
      <c r="V343" s="849">
        <v>0.0</v>
      </c>
      <c r="W343" s="849">
        <v>0.0</v>
      </c>
      <c r="X343" s="849">
        <v>0.0</v>
      </c>
      <c r="Y343" s="849">
        <v>0.0</v>
      </c>
      <c r="Z343" s="849">
        <v>0.0</v>
      </c>
      <c r="AA343" s="849">
        <v>0.0</v>
      </c>
      <c r="AB343" s="849">
        <v>0.0</v>
      </c>
      <c r="AC343" s="849">
        <v>0.0</v>
      </c>
      <c r="AD343" s="849">
        <v>0.0</v>
      </c>
      <c r="AE343" s="849">
        <v>0.0</v>
      </c>
      <c r="AF343" s="849">
        <v>0.0</v>
      </c>
      <c r="AG343" s="849">
        <v>0.0</v>
      </c>
      <c r="AH343" s="849">
        <v>0.0</v>
      </c>
      <c r="AI343" s="849">
        <v>0.0</v>
      </c>
      <c r="AJ343" s="794" t="str">
        <f t="shared" ref="AJ343:AK343" si="683">C343</f>
        <v>G0921</v>
      </c>
      <c r="AK343" s="794" t="str">
        <f t="shared" si="683"/>
        <v>LOCATION EQUIPEM.-NEUF</v>
      </c>
      <c r="AL343" s="794">
        <f t="array" ref="AL343">IFERROR(INDEX(G343:R343,1,MATCH(Parametres!$B$3,G$1:R$1,0)-1)*IF(OR(F343="L",F343="S",F343="I"),-1,1),"")</f>
        <v>1470.36</v>
      </c>
      <c r="AM343" s="794">
        <f t="shared" si="4"/>
        <v>129.27</v>
      </c>
      <c r="AN343" s="794">
        <f t="array" ref="AN343">INDEX(G343:R343,1,MATCH(Parametres!$B$3,G$1:R$1,0))*IF(OR(F343="L",F343="S",F343="I"),-1,1)</f>
        <v>1599.63</v>
      </c>
      <c r="AO343" s="853" t="str">
        <f>+VLOOKUP($AJ343,Data_Validation!$A:$D,1,0)</f>
        <v>G0921</v>
      </c>
      <c r="AP343" s="853" t="str">
        <f>+VLOOKUP($AJ343,Data_Validation!$A:$D,3,0)</f>
        <v>Véhicules neufs</v>
      </c>
      <c r="AQ343" s="853" t="str">
        <f>+VLOOKUP($AJ343,Data_Validation!$A:$D,4,0)</f>
        <v>Location équipement</v>
      </c>
      <c r="AR343" s="853" t="s">
        <v>728</v>
      </c>
      <c r="AS343" s="853" t="str">
        <f>+VLOOKUP($AJ343,Data_Validation!$A:$E,5,0)</f>
        <v/>
      </c>
      <c r="AT343" s="794" t="str">
        <f t="shared" ref="AT343:AU343" si="684">C343</f>
        <v>G0921</v>
      </c>
      <c r="AU343" s="854" t="str">
        <f t="shared" si="684"/>
        <v>LOCATION EQUIPEM.-NEUF</v>
      </c>
      <c r="AV343" s="794">
        <f t="array" ref="AV343">IFERROR(INDEX(V343:AG343,1,MATCH(Parametres!$B$3,V$1:AG$1,0)-1)*IF(OR(C343="L",C343="S",C343="I"),-1,1),"")</f>
        <v>0</v>
      </c>
      <c r="AW343" s="794">
        <f t="shared" si="6"/>
        <v>0</v>
      </c>
      <c r="AX343" s="794">
        <f t="array" ref="AX343">INDEX(V343:AG343,1,MATCH(Parametres!$B$3,V$1:AG$1,0))*IF(OR(C343="L",C343="S",C343="I"),-1,1)</f>
        <v>0</v>
      </c>
      <c r="AY343" s="853" t="s">
        <v>772</v>
      </c>
      <c r="AZ343" s="853" t="str">
        <f>+VLOOKUP($AJ343,Data_Validation!$A:$E,5,0)</f>
        <v/>
      </c>
    </row>
    <row r="344" ht="15.0" customHeight="1">
      <c r="A344" s="849" t="s">
        <v>1239</v>
      </c>
      <c r="B344" s="849">
        <v>2026.0</v>
      </c>
      <c r="C344" s="849" t="s">
        <v>1910</v>
      </c>
      <c r="D344" s="849" t="s">
        <v>1911</v>
      </c>
      <c r="E344" s="849" t="s">
        <v>768</v>
      </c>
      <c r="F344" s="849" t="s">
        <v>1200</v>
      </c>
      <c r="G344" s="849">
        <v>37.49</v>
      </c>
      <c r="H344" s="849">
        <v>74.98</v>
      </c>
      <c r="I344" s="849">
        <v>112.47</v>
      </c>
      <c r="J344" s="849">
        <v>149.96</v>
      </c>
      <c r="K344" s="849">
        <v>233.64</v>
      </c>
      <c r="L344" s="849">
        <v>317.32</v>
      </c>
      <c r="M344" s="849">
        <v>401.0</v>
      </c>
      <c r="N344" s="849">
        <v>484.68</v>
      </c>
      <c r="O344" s="849">
        <v>568.36</v>
      </c>
      <c r="P344" s="849">
        <v>568.36</v>
      </c>
      <c r="Q344" s="849">
        <v>0.0</v>
      </c>
      <c r="R344" s="849">
        <v>0.0</v>
      </c>
      <c r="S344" s="849">
        <v>63.15</v>
      </c>
      <c r="T344" s="849">
        <v>63.15</v>
      </c>
      <c r="U344" s="849">
        <v>0.0</v>
      </c>
      <c r="V344" s="849">
        <v>0.0</v>
      </c>
      <c r="W344" s="849">
        <v>0.0</v>
      </c>
      <c r="X344" s="849">
        <v>0.0</v>
      </c>
      <c r="Y344" s="849">
        <v>0.0</v>
      </c>
      <c r="Z344" s="849">
        <v>0.0</v>
      </c>
      <c r="AA344" s="849">
        <v>0.0</v>
      </c>
      <c r="AB344" s="849">
        <v>0.0</v>
      </c>
      <c r="AC344" s="849">
        <v>0.0</v>
      </c>
      <c r="AD344" s="849">
        <v>0.0</v>
      </c>
      <c r="AE344" s="849">
        <v>0.0</v>
      </c>
      <c r="AF344" s="849">
        <v>0.0</v>
      </c>
      <c r="AG344" s="849">
        <v>0.0</v>
      </c>
      <c r="AH344" s="849">
        <v>0.0</v>
      </c>
      <c r="AI344" s="849">
        <v>0.0</v>
      </c>
      <c r="AJ344" s="794" t="str">
        <f t="shared" ref="AJ344:AK344" si="685">C344</f>
        <v>G0922</v>
      </c>
      <c r="AK344" s="794" t="str">
        <f t="shared" si="685"/>
        <v>LOCATION EQUIPEM.-USAGES</v>
      </c>
      <c r="AL344" s="794">
        <f t="array" ref="AL344">IFERROR(INDEX(G344:R344,1,MATCH(Parametres!$B$3,G$1:R$1,0)-1)*IF(OR(F344="L",F344="S",F344="I"),-1,1),"")</f>
        <v>484.68</v>
      </c>
      <c r="AM344" s="794">
        <f t="shared" si="4"/>
        <v>83.68</v>
      </c>
      <c r="AN344" s="794">
        <f t="array" ref="AN344">INDEX(G344:R344,1,MATCH(Parametres!$B$3,G$1:R$1,0))*IF(OR(F344="L",F344="S",F344="I"),-1,1)</f>
        <v>568.36</v>
      </c>
      <c r="AO344" s="853" t="str">
        <f>+VLOOKUP($AJ344,Data_Validation!$A:$D,1,0)</f>
        <v>G0922</v>
      </c>
      <c r="AP344" s="853" t="str">
        <f>+VLOOKUP($AJ344,Data_Validation!$A:$D,3,0)</f>
        <v>Véhicules usagés</v>
      </c>
      <c r="AQ344" s="853" t="str">
        <f>+VLOOKUP($AJ344,Data_Validation!$A:$D,4,0)</f>
        <v>Location équipement</v>
      </c>
      <c r="AR344" s="853" t="s">
        <v>728</v>
      </c>
      <c r="AS344" s="853" t="str">
        <f>+VLOOKUP($AJ344,Data_Validation!$A:$E,5,0)</f>
        <v/>
      </c>
      <c r="AT344" s="794" t="str">
        <f t="shared" ref="AT344:AU344" si="686">C344</f>
        <v>G0922</v>
      </c>
      <c r="AU344" s="854" t="str">
        <f t="shared" si="686"/>
        <v>LOCATION EQUIPEM.-USAGES</v>
      </c>
      <c r="AV344" s="794">
        <f t="array" ref="AV344">IFERROR(INDEX(V344:AG344,1,MATCH(Parametres!$B$3,V$1:AG$1,0)-1)*IF(OR(C344="L",C344="S",C344="I"),-1,1),"")</f>
        <v>0</v>
      </c>
      <c r="AW344" s="794">
        <f t="shared" si="6"/>
        <v>0</v>
      </c>
      <c r="AX344" s="794">
        <f t="array" ref="AX344">INDEX(V344:AG344,1,MATCH(Parametres!$B$3,V$1:AG$1,0))*IF(OR(C344="L",C344="S",C344="I"),-1,1)</f>
        <v>0</v>
      </c>
      <c r="AY344" s="853" t="s">
        <v>772</v>
      </c>
      <c r="AZ344" s="853" t="str">
        <f>+VLOOKUP($AJ344,Data_Validation!$A:$E,5,0)</f>
        <v/>
      </c>
    </row>
    <row r="345" ht="15.0" customHeight="1">
      <c r="A345" s="849" t="s">
        <v>1239</v>
      </c>
      <c r="B345" s="849">
        <v>2026.0</v>
      </c>
      <c r="C345" s="849" t="s">
        <v>1912</v>
      </c>
      <c r="D345" s="849" t="s">
        <v>1913</v>
      </c>
      <c r="E345" s="849" t="s">
        <v>768</v>
      </c>
      <c r="F345" s="849" t="s">
        <v>1200</v>
      </c>
      <c r="G345" s="849">
        <v>1093.99</v>
      </c>
      <c r="H345" s="849">
        <v>1649.26</v>
      </c>
      <c r="I345" s="849">
        <v>2184.65</v>
      </c>
      <c r="J345" s="849">
        <v>2720.04</v>
      </c>
      <c r="K345" s="849">
        <v>3324.71</v>
      </c>
      <c r="L345" s="849">
        <v>3423.99</v>
      </c>
      <c r="M345" s="849">
        <v>4963.98</v>
      </c>
      <c r="N345" s="849">
        <v>5561.39</v>
      </c>
      <c r="O345" s="849">
        <v>6119.03</v>
      </c>
      <c r="P345" s="849">
        <v>7001.44</v>
      </c>
      <c r="Q345" s="849">
        <v>0.0</v>
      </c>
      <c r="R345" s="849">
        <v>0.0</v>
      </c>
      <c r="S345" s="849">
        <v>679.89</v>
      </c>
      <c r="T345" s="849">
        <v>679.89</v>
      </c>
      <c r="U345" s="849">
        <v>0.0</v>
      </c>
      <c r="V345" s="849">
        <v>0.0</v>
      </c>
      <c r="W345" s="849">
        <v>0.0</v>
      </c>
      <c r="X345" s="849">
        <v>0.0</v>
      </c>
      <c r="Y345" s="849">
        <v>0.0</v>
      </c>
      <c r="Z345" s="849">
        <v>0.0</v>
      </c>
      <c r="AA345" s="849">
        <v>0.0</v>
      </c>
      <c r="AB345" s="849">
        <v>0.0</v>
      </c>
      <c r="AC345" s="849">
        <v>0.0</v>
      </c>
      <c r="AD345" s="849">
        <v>0.0</v>
      </c>
      <c r="AE345" s="849">
        <v>0.0</v>
      </c>
      <c r="AF345" s="849">
        <v>0.0</v>
      </c>
      <c r="AG345" s="849">
        <v>0.0</v>
      </c>
      <c r="AH345" s="849">
        <v>0.0</v>
      </c>
      <c r="AI345" s="849">
        <v>0.0</v>
      </c>
      <c r="AJ345" s="794" t="str">
        <f t="shared" ref="AJ345:AK345" si="687">C345</f>
        <v>G0924</v>
      </c>
      <c r="AK345" s="794" t="str">
        <f t="shared" si="687"/>
        <v>LOCATION EQUIPEM.-SERVICE</v>
      </c>
      <c r="AL345" s="794">
        <f t="array" ref="AL345">IFERROR(INDEX(G345:R345,1,MATCH(Parametres!$B$3,G$1:R$1,0)-1)*IF(OR(F345="L",F345="S",F345="I"),-1,1),"")</f>
        <v>5561.39</v>
      </c>
      <c r="AM345" s="794">
        <f t="shared" si="4"/>
        <v>557.64</v>
      </c>
      <c r="AN345" s="794">
        <f t="array" ref="AN345">INDEX(G345:R345,1,MATCH(Parametres!$B$3,G$1:R$1,0))*IF(OR(F345="L",F345="S",F345="I"),-1,1)</f>
        <v>6119.03</v>
      </c>
      <c r="AO345" s="853" t="str">
        <f>+VLOOKUP($AJ345,Data_Validation!$A:$D,1,0)</f>
        <v>G0924</v>
      </c>
      <c r="AP345" s="853" t="str">
        <f>+VLOOKUP($AJ345,Data_Validation!$A:$D,3,0)</f>
        <v>Service</v>
      </c>
      <c r="AQ345" s="853" t="str">
        <f>+VLOOKUP($AJ345,Data_Validation!$A:$D,4,0)</f>
        <v>Location équipement</v>
      </c>
      <c r="AR345" s="853" t="s">
        <v>728</v>
      </c>
      <c r="AS345" s="853" t="str">
        <f>+VLOOKUP($AJ345,Data_Validation!$A:$E,5,0)</f>
        <v/>
      </c>
      <c r="AT345" s="794" t="str">
        <f t="shared" ref="AT345:AU345" si="688">C345</f>
        <v>G0924</v>
      </c>
      <c r="AU345" s="854" t="str">
        <f t="shared" si="688"/>
        <v>LOCATION EQUIPEM.-SERVICE</v>
      </c>
      <c r="AV345" s="794">
        <f t="array" ref="AV345">IFERROR(INDEX(V345:AG345,1,MATCH(Parametres!$B$3,V$1:AG$1,0)-1)*IF(OR(C345="L",C345="S",C345="I"),-1,1),"")</f>
        <v>0</v>
      </c>
      <c r="AW345" s="794">
        <f t="shared" si="6"/>
        <v>0</v>
      </c>
      <c r="AX345" s="794">
        <f t="array" ref="AX345">INDEX(V345:AG345,1,MATCH(Parametres!$B$3,V$1:AG$1,0))*IF(OR(C345="L",C345="S",C345="I"),-1,1)</f>
        <v>0</v>
      </c>
      <c r="AY345" s="853" t="s">
        <v>772</v>
      </c>
      <c r="AZ345" s="853" t="str">
        <f>+VLOOKUP($AJ345,Data_Validation!$A:$E,5,0)</f>
        <v/>
      </c>
    </row>
    <row r="346" ht="15.0" customHeight="1">
      <c r="A346" s="849" t="s">
        <v>1239</v>
      </c>
      <c r="B346" s="849">
        <v>2026.0</v>
      </c>
      <c r="C346" s="849" t="s">
        <v>1914</v>
      </c>
      <c r="D346" s="849" t="s">
        <v>1915</v>
      </c>
      <c r="E346" s="849" t="s">
        <v>768</v>
      </c>
      <c r="F346" s="849" t="s">
        <v>1200</v>
      </c>
      <c r="G346" s="849">
        <v>7.5</v>
      </c>
      <c r="H346" s="849">
        <v>15.0</v>
      </c>
      <c r="I346" s="849">
        <v>22.5</v>
      </c>
      <c r="J346" s="849">
        <v>30.0</v>
      </c>
      <c r="K346" s="849">
        <v>60.6</v>
      </c>
      <c r="L346" s="849">
        <v>91.2</v>
      </c>
      <c r="M346" s="849">
        <v>385.8</v>
      </c>
      <c r="N346" s="849">
        <v>416.4</v>
      </c>
      <c r="O346" s="849">
        <v>447.0</v>
      </c>
      <c r="P346" s="849">
        <v>447.0</v>
      </c>
      <c r="Q346" s="849">
        <v>0.0</v>
      </c>
      <c r="R346" s="849">
        <v>0.0</v>
      </c>
      <c r="S346" s="849">
        <v>49.67</v>
      </c>
      <c r="T346" s="849">
        <v>49.67</v>
      </c>
      <c r="U346" s="849">
        <v>0.0</v>
      </c>
      <c r="V346" s="849">
        <v>0.0</v>
      </c>
      <c r="W346" s="849">
        <v>0.0</v>
      </c>
      <c r="X346" s="849">
        <v>0.0</v>
      </c>
      <c r="Y346" s="849">
        <v>0.0</v>
      </c>
      <c r="Z346" s="849">
        <v>0.0</v>
      </c>
      <c r="AA346" s="849">
        <v>0.0</v>
      </c>
      <c r="AB346" s="849">
        <v>0.0</v>
      </c>
      <c r="AC346" s="849">
        <v>0.0</v>
      </c>
      <c r="AD346" s="849">
        <v>0.0</v>
      </c>
      <c r="AE346" s="849">
        <v>0.0</v>
      </c>
      <c r="AF346" s="849">
        <v>0.0</v>
      </c>
      <c r="AG346" s="849">
        <v>0.0</v>
      </c>
      <c r="AH346" s="849">
        <v>0.0</v>
      </c>
      <c r="AI346" s="849">
        <v>0.0</v>
      </c>
      <c r="AJ346" s="794" t="str">
        <f t="shared" ref="AJ346:AK346" si="689">C346</f>
        <v>G0925</v>
      </c>
      <c r="AK346" s="794" t="str">
        <f t="shared" si="689"/>
        <v>LOCATION EQUIPEM.-CARROS.</v>
      </c>
      <c r="AL346" s="794">
        <f t="array" ref="AL346">IFERROR(INDEX(G346:R346,1,MATCH(Parametres!$B$3,G$1:R$1,0)-1)*IF(OR(F346="L",F346="S",F346="I"),-1,1),"")</f>
        <v>416.4</v>
      </c>
      <c r="AM346" s="794">
        <f t="shared" si="4"/>
        <v>30.6</v>
      </c>
      <c r="AN346" s="794">
        <f t="array" ref="AN346">INDEX(G346:R346,1,MATCH(Parametres!$B$3,G$1:R$1,0))*IF(OR(F346="L",F346="S",F346="I"),-1,1)</f>
        <v>447</v>
      </c>
      <c r="AO346" s="853" t="str">
        <f>+VLOOKUP($AJ346,Data_Validation!$A:$D,1,0)</f>
        <v>G0925</v>
      </c>
      <c r="AP346" s="853" t="str">
        <f>+VLOOKUP($AJ346,Data_Validation!$A:$D,3,0)</f>
        <v>Carrosserie</v>
      </c>
      <c r="AQ346" s="853" t="str">
        <f>+VLOOKUP($AJ346,Data_Validation!$A:$D,4,0)</f>
        <v>Location équipement</v>
      </c>
      <c r="AR346" s="853" t="s">
        <v>728</v>
      </c>
      <c r="AS346" s="853" t="str">
        <f>+VLOOKUP($AJ346,Data_Validation!$A:$E,5,0)</f>
        <v/>
      </c>
      <c r="AT346" s="794" t="str">
        <f t="shared" ref="AT346:AU346" si="690">C346</f>
        <v>G0925</v>
      </c>
      <c r="AU346" s="854" t="str">
        <f t="shared" si="690"/>
        <v>LOCATION EQUIPEM.-CARROS.</v>
      </c>
      <c r="AV346" s="794">
        <f t="array" ref="AV346">IFERROR(INDEX(V346:AG346,1,MATCH(Parametres!$B$3,V$1:AG$1,0)-1)*IF(OR(C346="L",C346="S",C346="I"),-1,1),"")</f>
        <v>0</v>
      </c>
      <c r="AW346" s="794">
        <f t="shared" si="6"/>
        <v>0</v>
      </c>
      <c r="AX346" s="794">
        <f t="array" ref="AX346">INDEX(V346:AG346,1,MATCH(Parametres!$B$3,V$1:AG$1,0))*IF(OR(C346="L",C346="S",C346="I"),-1,1)</f>
        <v>0</v>
      </c>
      <c r="AY346" s="853" t="s">
        <v>772</v>
      </c>
      <c r="AZ346" s="853" t="str">
        <f>+VLOOKUP($AJ346,Data_Validation!$A:$E,5,0)</f>
        <v/>
      </c>
    </row>
    <row r="347" ht="15.75" customHeight="1">
      <c r="A347" s="849" t="s">
        <v>1239</v>
      </c>
      <c r="B347" s="849">
        <v>2026.0</v>
      </c>
      <c r="C347" s="849" t="s">
        <v>1916</v>
      </c>
      <c r="D347" s="849" t="s">
        <v>1917</v>
      </c>
      <c r="E347" s="849" t="s">
        <v>768</v>
      </c>
      <c r="F347" s="849" t="s">
        <v>1200</v>
      </c>
      <c r="G347" s="849">
        <v>23.24</v>
      </c>
      <c r="H347" s="849">
        <v>46.48</v>
      </c>
      <c r="I347" s="849">
        <v>69.72</v>
      </c>
      <c r="J347" s="849">
        <v>92.96</v>
      </c>
      <c r="K347" s="849">
        <v>139.28</v>
      </c>
      <c r="L347" s="849">
        <v>185.6</v>
      </c>
      <c r="M347" s="849">
        <v>231.92</v>
      </c>
      <c r="N347" s="849">
        <v>270.0</v>
      </c>
      <c r="O347" s="849">
        <v>324.57</v>
      </c>
      <c r="P347" s="849">
        <v>324.57</v>
      </c>
      <c r="Q347" s="849">
        <v>0.0</v>
      </c>
      <c r="R347" s="849">
        <v>0.0</v>
      </c>
      <c r="S347" s="849">
        <v>36.06</v>
      </c>
      <c r="T347" s="849">
        <v>36.06</v>
      </c>
      <c r="U347" s="849">
        <v>0.0</v>
      </c>
      <c r="V347" s="849">
        <v>0.0</v>
      </c>
      <c r="W347" s="849">
        <v>0.0</v>
      </c>
      <c r="X347" s="849">
        <v>0.0</v>
      </c>
      <c r="Y347" s="849">
        <v>0.0</v>
      </c>
      <c r="Z347" s="849">
        <v>0.0</v>
      </c>
      <c r="AA347" s="849">
        <v>0.0</v>
      </c>
      <c r="AB347" s="849">
        <v>0.0</v>
      </c>
      <c r="AC347" s="849">
        <v>0.0</v>
      </c>
      <c r="AD347" s="849">
        <v>0.0</v>
      </c>
      <c r="AE347" s="849">
        <v>0.0</v>
      </c>
      <c r="AF347" s="849">
        <v>0.0</v>
      </c>
      <c r="AG347" s="849">
        <v>0.0</v>
      </c>
      <c r="AH347" s="849">
        <v>0.0</v>
      </c>
      <c r="AI347" s="849">
        <v>0.0</v>
      </c>
      <c r="AJ347" s="794" t="str">
        <f t="shared" ref="AJ347:AK347" si="691">C347</f>
        <v>G0926</v>
      </c>
      <c r="AK347" s="794" t="str">
        <f t="shared" si="691"/>
        <v>LOCATION EQUIPEM.-PCES</v>
      </c>
      <c r="AL347" s="794">
        <f t="array" ref="AL347">IFERROR(INDEX(G347:R347,1,MATCH(Parametres!$B$3,G$1:R$1,0)-1)*IF(OR(F347="L",F347="S",F347="I"),-1,1),"")</f>
        <v>270</v>
      </c>
      <c r="AM347" s="794">
        <f t="shared" si="4"/>
        <v>54.57</v>
      </c>
      <c r="AN347" s="794">
        <f t="array" ref="AN347">INDEX(G347:R347,1,MATCH(Parametres!$B$3,G$1:R$1,0))*IF(OR(F347="L",F347="S",F347="I"),-1,1)</f>
        <v>324.57</v>
      </c>
      <c r="AO347" s="853" t="str">
        <f>+VLOOKUP($AJ347,Data_Validation!$A:$D,1,0)</f>
        <v>G0926</v>
      </c>
      <c r="AP347" s="853" t="str">
        <f>+VLOOKUP($AJ347,Data_Validation!$A:$D,3,0)</f>
        <v>Pièces</v>
      </c>
      <c r="AQ347" s="853" t="str">
        <f>+VLOOKUP($AJ347,Data_Validation!$A:$D,4,0)</f>
        <v>Location équipement</v>
      </c>
      <c r="AR347" s="853" t="s">
        <v>728</v>
      </c>
      <c r="AS347" s="853" t="str">
        <f>+VLOOKUP($AJ347,Data_Validation!$A:$E,5,0)</f>
        <v/>
      </c>
      <c r="AT347" s="794" t="str">
        <f t="shared" ref="AT347:AU347" si="692">C347</f>
        <v>G0926</v>
      </c>
      <c r="AU347" s="854" t="str">
        <f t="shared" si="692"/>
        <v>LOCATION EQUIPEM.-PCES</v>
      </c>
      <c r="AV347" s="794">
        <f t="array" ref="AV347">IFERROR(INDEX(V347:AG347,1,MATCH(Parametres!$B$3,V$1:AG$1,0)-1)*IF(OR(C347="L",C347="S",C347="I"),-1,1),"")</f>
        <v>0</v>
      </c>
      <c r="AW347" s="794">
        <f t="shared" si="6"/>
        <v>0</v>
      </c>
      <c r="AX347" s="794">
        <f t="array" ref="AX347">INDEX(V347:AG347,1,MATCH(Parametres!$B$3,V$1:AG$1,0))*IF(OR(C347="L",C347="S",C347="I"),-1,1)</f>
        <v>0</v>
      </c>
      <c r="AY347" s="853" t="s">
        <v>772</v>
      </c>
      <c r="AZ347" s="853" t="str">
        <f>+VLOOKUP($AJ347,Data_Validation!$A:$E,5,0)</f>
        <v/>
      </c>
    </row>
    <row r="348" ht="15.0" customHeight="1">
      <c r="A348" s="849" t="s">
        <v>1239</v>
      </c>
      <c r="B348" s="849">
        <v>2026.0</v>
      </c>
      <c r="C348" s="849" t="s">
        <v>1918</v>
      </c>
      <c r="D348" s="849" t="s">
        <v>1919</v>
      </c>
      <c r="E348" s="849" t="s">
        <v>768</v>
      </c>
      <c r="F348" s="849" t="s">
        <v>1200</v>
      </c>
      <c r="G348" s="849">
        <v>0.0</v>
      </c>
      <c r="H348" s="849">
        <v>0.0</v>
      </c>
      <c r="I348" s="849">
        <v>0.0</v>
      </c>
      <c r="J348" s="849">
        <v>0.0</v>
      </c>
      <c r="K348" s="849">
        <v>0.0</v>
      </c>
      <c r="L348" s="849">
        <v>0.0</v>
      </c>
      <c r="M348" s="849">
        <v>0.0</v>
      </c>
      <c r="N348" s="849">
        <v>0.0</v>
      </c>
      <c r="O348" s="849">
        <v>0.0</v>
      </c>
      <c r="P348" s="849">
        <v>0.0</v>
      </c>
      <c r="Q348" s="849">
        <v>0.0</v>
      </c>
      <c r="R348" s="849">
        <v>0.0</v>
      </c>
      <c r="S348" s="849">
        <v>0.0</v>
      </c>
      <c r="T348" s="849">
        <v>0.0</v>
      </c>
      <c r="U348" s="849">
        <v>0.0</v>
      </c>
      <c r="V348" s="849">
        <v>0.0</v>
      </c>
      <c r="W348" s="849">
        <v>0.0</v>
      </c>
      <c r="X348" s="849">
        <v>0.0</v>
      </c>
      <c r="Y348" s="849">
        <v>0.0</v>
      </c>
      <c r="Z348" s="849">
        <v>0.0</v>
      </c>
      <c r="AA348" s="849">
        <v>0.0</v>
      </c>
      <c r="AB348" s="849">
        <v>0.0</v>
      </c>
      <c r="AC348" s="849">
        <v>0.0</v>
      </c>
      <c r="AD348" s="849">
        <v>0.0</v>
      </c>
      <c r="AE348" s="849">
        <v>0.0</v>
      </c>
      <c r="AF348" s="849">
        <v>0.0</v>
      </c>
      <c r="AG348" s="849">
        <v>0.0</v>
      </c>
      <c r="AH348" s="849">
        <v>0.0</v>
      </c>
      <c r="AI348" s="849">
        <v>0.0</v>
      </c>
      <c r="AJ348" s="794" t="str">
        <f t="shared" ref="AJ348:AK348" si="693">C348</f>
        <v>G0929</v>
      </c>
      <c r="AK348" s="794" t="str">
        <f t="shared" si="693"/>
        <v>DOCUMENTS CANCELLES</v>
      </c>
      <c r="AL348" s="794">
        <f t="array" ref="AL348">IFERROR(INDEX(G348:R348,1,MATCH(Parametres!$B$3,G$1:R$1,0)-1)*IF(OR(F348="L",F348="S",F348="I"),-1,1),"")</f>
        <v>0</v>
      </c>
      <c r="AM348" s="794">
        <f t="shared" si="4"/>
        <v>0</v>
      </c>
      <c r="AN348" s="794">
        <f t="array" ref="AN348">INDEX(G348:R348,1,MATCH(Parametres!$B$3,G$1:R$1,0))*IF(OR(F348="L",F348="S",F348="I"),-1,1)</f>
        <v>0</v>
      </c>
      <c r="AO348" s="853" t="str">
        <f>+VLOOKUP($AJ348,Data_Validation!$A:$D,1,0)</f>
        <v>#N/A</v>
      </c>
      <c r="AP348" s="853" t="str">
        <f>+VLOOKUP($AJ348,Data_Validation!$A:$D,3,0)</f>
        <v>#N/A</v>
      </c>
      <c r="AQ348" s="853" t="str">
        <f>+VLOOKUP($AJ348,Data_Validation!$A:$D,4,0)</f>
        <v>#N/A</v>
      </c>
      <c r="AR348" s="853" t="s">
        <v>728</v>
      </c>
      <c r="AS348" s="853" t="str">
        <f>+VLOOKUP($AJ348,Data_Validation!$A:$E,5,0)</f>
        <v>#N/A</v>
      </c>
      <c r="AT348" s="794" t="str">
        <f t="shared" ref="AT348:AU348" si="694">C348</f>
        <v>G0929</v>
      </c>
      <c r="AU348" s="854" t="str">
        <f t="shared" si="694"/>
        <v>DOCUMENTS CANCELLES</v>
      </c>
      <c r="AV348" s="794">
        <f t="array" ref="AV348">IFERROR(INDEX(V348:AG348,1,MATCH(Parametres!$B$3,V$1:AG$1,0)-1)*IF(OR(C348="L",C348="S",C348="I"),-1,1),"")</f>
        <v>0</v>
      </c>
      <c r="AW348" s="794">
        <f t="shared" si="6"/>
        <v>0</v>
      </c>
      <c r="AX348" s="794">
        <f t="array" ref="AX348">INDEX(V348:AG348,1,MATCH(Parametres!$B$3,V$1:AG$1,0))*IF(OR(C348="L",C348="S",C348="I"),-1,1)</f>
        <v>0</v>
      </c>
      <c r="AY348" s="853" t="s">
        <v>772</v>
      </c>
      <c r="AZ348" s="853" t="str">
        <f>+VLOOKUP($AJ348,Data_Validation!$A:$E,5,0)</f>
        <v>#N/A</v>
      </c>
    </row>
    <row r="349" ht="15.0" customHeight="1">
      <c r="A349" s="849" t="s">
        <v>1239</v>
      </c>
      <c r="B349" s="849">
        <v>2026.0</v>
      </c>
      <c r="C349" s="849" t="s">
        <v>1920</v>
      </c>
      <c r="D349" s="849" t="s">
        <v>1921</v>
      </c>
      <c r="E349" s="849" t="s">
        <v>768</v>
      </c>
      <c r="F349" s="849" t="s">
        <v>1200</v>
      </c>
      <c r="G349" s="849">
        <v>0.0</v>
      </c>
      <c r="H349" s="849">
        <v>0.0</v>
      </c>
      <c r="I349" s="849">
        <v>0.0</v>
      </c>
      <c r="J349" s="849">
        <v>0.0</v>
      </c>
      <c r="K349" s="849">
        <v>0.0</v>
      </c>
      <c r="L349" s="849">
        <v>0.0</v>
      </c>
      <c r="M349" s="849">
        <v>0.0</v>
      </c>
      <c r="N349" s="849">
        <v>0.0</v>
      </c>
      <c r="O349" s="849">
        <v>0.0</v>
      </c>
      <c r="P349" s="849">
        <v>0.0</v>
      </c>
      <c r="Q349" s="849">
        <v>0.0</v>
      </c>
      <c r="R349" s="849">
        <v>0.0</v>
      </c>
      <c r="S349" s="849">
        <v>0.0</v>
      </c>
      <c r="T349" s="849">
        <v>0.0</v>
      </c>
      <c r="U349" s="849">
        <v>0.0</v>
      </c>
      <c r="V349" s="849">
        <v>0.0</v>
      </c>
      <c r="W349" s="849">
        <v>0.0</v>
      </c>
      <c r="X349" s="849">
        <v>0.0</v>
      </c>
      <c r="Y349" s="849">
        <v>0.0</v>
      </c>
      <c r="Z349" s="849">
        <v>0.0</v>
      </c>
      <c r="AA349" s="849">
        <v>0.0</v>
      </c>
      <c r="AB349" s="849">
        <v>0.0</v>
      </c>
      <c r="AC349" s="849">
        <v>0.0</v>
      </c>
      <c r="AD349" s="849">
        <v>0.0</v>
      </c>
      <c r="AE349" s="849">
        <v>0.0</v>
      </c>
      <c r="AF349" s="849">
        <v>0.0</v>
      </c>
      <c r="AG349" s="849">
        <v>0.0</v>
      </c>
      <c r="AH349" s="849">
        <v>0.0</v>
      </c>
      <c r="AI349" s="849">
        <v>0.0</v>
      </c>
      <c r="AJ349" s="794" t="str">
        <f t="shared" ref="AJ349:AK349" si="695">C349</f>
        <v>G0990</v>
      </c>
      <c r="AK349" s="794" t="str">
        <f t="shared" si="695"/>
        <v>DEPENSE IMPOT</v>
      </c>
      <c r="AL349" s="794">
        <f t="array" ref="AL349">IFERROR(INDEX(G349:R349,1,MATCH(Parametres!$B$3,G$1:R$1,0)-1)*IF(OR(F349="L",F349="S",F349="I"),-1,1),"")</f>
        <v>0</v>
      </c>
      <c r="AM349" s="794">
        <f t="shared" si="4"/>
        <v>0</v>
      </c>
      <c r="AN349" s="794">
        <f t="array" ref="AN349">INDEX(G349:R349,1,MATCH(Parametres!$B$3,G$1:R$1,0))*IF(OR(F349="L",F349="S",F349="I"),-1,1)</f>
        <v>0</v>
      </c>
      <c r="AO349" s="853" t="str">
        <f>+VLOOKUP($AJ349,Data_Validation!$A:$D,1,0)</f>
        <v>#N/A</v>
      </c>
      <c r="AP349" s="853" t="str">
        <f>+VLOOKUP($AJ349,Data_Validation!$A:$D,3,0)</f>
        <v>#N/A</v>
      </c>
      <c r="AQ349" s="853" t="str">
        <f>+VLOOKUP($AJ349,Data_Validation!$A:$D,4,0)</f>
        <v>#N/A</v>
      </c>
      <c r="AR349" s="853" t="s">
        <v>728</v>
      </c>
      <c r="AS349" s="853" t="str">
        <f>+VLOOKUP($AJ349,Data_Validation!$A:$E,5,0)</f>
        <v>#N/A</v>
      </c>
      <c r="AT349" s="794" t="str">
        <f t="shared" ref="AT349:AU349" si="696">C349</f>
        <v>G0990</v>
      </c>
      <c r="AU349" s="854" t="str">
        <f t="shared" si="696"/>
        <v>DEPENSE IMPOT</v>
      </c>
      <c r="AV349" s="794">
        <f t="array" ref="AV349">IFERROR(INDEX(V349:AG349,1,MATCH(Parametres!$B$3,V$1:AG$1,0)-1)*IF(OR(C349="L",C349="S",C349="I"),-1,1),"")</f>
        <v>0</v>
      </c>
      <c r="AW349" s="794">
        <f t="shared" si="6"/>
        <v>0</v>
      </c>
      <c r="AX349" s="794">
        <f t="array" ref="AX349">INDEX(V349:AG349,1,MATCH(Parametres!$B$3,V$1:AG$1,0))*IF(OR(C349="L",C349="S",C349="I"),-1,1)</f>
        <v>0</v>
      </c>
      <c r="AY349" s="853" t="s">
        <v>772</v>
      </c>
      <c r="AZ349" s="853" t="str">
        <f>+VLOOKUP($AJ349,Data_Validation!$A:$E,5,0)</f>
        <v>#N/A</v>
      </c>
    </row>
    <row r="350" ht="15.0" customHeight="1">
      <c r="A350" s="849" t="s">
        <v>1239</v>
      </c>
      <c r="B350" s="849">
        <v>2026.0</v>
      </c>
      <c r="C350" s="849" t="s">
        <v>1922</v>
      </c>
      <c r="D350" s="849" t="s">
        <v>1923</v>
      </c>
      <c r="E350" s="849" t="s">
        <v>768</v>
      </c>
      <c r="F350" s="849" t="s">
        <v>1200</v>
      </c>
      <c r="G350" s="849">
        <v>0.0</v>
      </c>
      <c r="H350" s="849">
        <v>0.0</v>
      </c>
      <c r="I350" s="849">
        <v>0.0</v>
      </c>
      <c r="J350" s="849">
        <v>0.0</v>
      </c>
      <c r="K350" s="849">
        <v>0.0</v>
      </c>
      <c r="L350" s="849">
        <v>0.0</v>
      </c>
      <c r="M350" s="849">
        <v>0.0</v>
      </c>
      <c r="N350" s="849">
        <v>0.0</v>
      </c>
      <c r="O350" s="849">
        <v>0.0</v>
      </c>
      <c r="P350" s="849">
        <v>0.0</v>
      </c>
      <c r="Q350" s="849">
        <v>0.0</v>
      </c>
      <c r="R350" s="849">
        <v>0.0</v>
      </c>
      <c r="S350" s="849">
        <v>0.0</v>
      </c>
      <c r="T350" s="849">
        <v>0.0</v>
      </c>
      <c r="U350" s="849">
        <v>0.0</v>
      </c>
      <c r="V350" s="849">
        <v>0.0</v>
      </c>
      <c r="W350" s="849">
        <v>0.0</v>
      </c>
      <c r="X350" s="849">
        <v>0.0</v>
      </c>
      <c r="Y350" s="849">
        <v>0.0</v>
      </c>
      <c r="Z350" s="849">
        <v>0.0</v>
      </c>
      <c r="AA350" s="849">
        <v>0.0</v>
      </c>
      <c r="AB350" s="849">
        <v>0.0</v>
      </c>
      <c r="AC350" s="849">
        <v>0.0</v>
      </c>
      <c r="AD350" s="849">
        <v>0.0</v>
      </c>
      <c r="AE350" s="849">
        <v>0.0</v>
      </c>
      <c r="AF350" s="849">
        <v>0.0</v>
      </c>
      <c r="AG350" s="849">
        <v>0.0</v>
      </c>
      <c r="AH350" s="849">
        <v>0.0</v>
      </c>
      <c r="AI350" s="849">
        <v>0.0</v>
      </c>
      <c r="AJ350" s="794" t="str">
        <f t="shared" ref="AJ350:AK350" si="697">C350</f>
        <v>G0996</v>
      </c>
      <c r="AK350" s="794" t="str">
        <f t="shared" si="697"/>
        <v>IN &amp; OUT PAYROLL</v>
      </c>
      <c r="AL350" s="794">
        <f t="array" ref="AL350">IFERROR(INDEX(G350:R350,1,MATCH(Parametres!$B$3,G$1:R$1,0)-1)*IF(OR(F350="L",F350="S",F350="I"),-1,1),"")</f>
        <v>0</v>
      </c>
      <c r="AM350" s="794">
        <f t="shared" si="4"/>
        <v>0</v>
      </c>
      <c r="AN350" s="794">
        <f t="array" ref="AN350">INDEX(G350:R350,1,MATCH(Parametres!$B$3,G$1:R$1,0))*IF(OR(F350="L",F350="S",F350="I"),-1,1)</f>
        <v>0</v>
      </c>
      <c r="AO350" s="853" t="str">
        <f>+VLOOKUP($AJ350,Data_Validation!$A:$D,1,0)</f>
        <v>#N/A</v>
      </c>
      <c r="AP350" s="853" t="str">
        <f>+VLOOKUP($AJ350,Data_Validation!$A:$D,3,0)</f>
        <v>#N/A</v>
      </c>
      <c r="AQ350" s="853" t="str">
        <f>+VLOOKUP($AJ350,Data_Validation!$A:$D,4,0)</f>
        <v>#N/A</v>
      </c>
      <c r="AR350" s="853" t="s">
        <v>728</v>
      </c>
      <c r="AS350" s="853" t="str">
        <f>+VLOOKUP($AJ350,Data_Validation!$A:$E,5,0)</f>
        <v>#N/A</v>
      </c>
      <c r="AT350" s="794" t="str">
        <f t="shared" ref="AT350:AU350" si="698">C350</f>
        <v>G0996</v>
      </c>
      <c r="AU350" s="854" t="str">
        <f t="shared" si="698"/>
        <v>IN &amp; OUT PAYROLL</v>
      </c>
      <c r="AV350" s="794">
        <f t="array" ref="AV350">IFERROR(INDEX(V350:AG350,1,MATCH(Parametres!$B$3,V$1:AG$1,0)-1)*IF(OR(C350="L",C350="S",C350="I"),-1,1),"")</f>
        <v>0</v>
      </c>
      <c r="AW350" s="794">
        <f t="shared" si="6"/>
        <v>0</v>
      </c>
      <c r="AX350" s="794">
        <f t="array" ref="AX350">INDEX(V350:AG350,1,MATCH(Parametres!$B$3,V$1:AG$1,0))*IF(OR(C350="L",C350="S",C350="I"),-1,1)</f>
        <v>0</v>
      </c>
      <c r="AY350" s="853" t="s">
        <v>772</v>
      </c>
      <c r="AZ350" s="853" t="str">
        <f>+VLOOKUP($AJ350,Data_Validation!$A:$E,5,0)</f>
        <v>#N/A</v>
      </c>
    </row>
    <row r="351" ht="15.0" customHeight="1">
      <c r="A351" s="849" t="s">
        <v>1239</v>
      </c>
      <c r="B351" s="849">
        <v>2026.0</v>
      </c>
      <c r="C351" s="849" t="s">
        <v>1924</v>
      </c>
      <c r="D351" s="849" t="s">
        <v>1925</v>
      </c>
      <c r="E351" s="849" t="s">
        <v>768</v>
      </c>
      <c r="F351" s="849" t="s">
        <v>1926</v>
      </c>
      <c r="G351" s="849">
        <v>0.0</v>
      </c>
      <c r="H351" s="849">
        <v>0.0</v>
      </c>
      <c r="I351" s="849">
        <v>0.0</v>
      </c>
      <c r="J351" s="849">
        <v>0.0</v>
      </c>
      <c r="K351" s="849">
        <v>0.0</v>
      </c>
      <c r="L351" s="849">
        <v>0.0</v>
      </c>
      <c r="M351" s="849">
        <v>0.0</v>
      </c>
      <c r="N351" s="849">
        <v>0.0</v>
      </c>
      <c r="O351" s="849">
        <v>0.0</v>
      </c>
      <c r="P351" s="849">
        <v>0.0</v>
      </c>
      <c r="Q351" s="849">
        <v>0.0</v>
      </c>
      <c r="R351" s="849">
        <v>0.0</v>
      </c>
      <c r="S351" s="849">
        <v>0.0</v>
      </c>
      <c r="T351" s="849">
        <v>0.0</v>
      </c>
      <c r="U351" s="849">
        <v>0.0</v>
      </c>
      <c r="V351" s="849">
        <v>0.0</v>
      </c>
      <c r="W351" s="849">
        <v>0.0</v>
      </c>
      <c r="X351" s="849">
        <v>0.0</v>
      </c>
      <c r="Y351" s="849">
        <v>0.0</v>
      </c>
      <c r="Z351" s="849">
        <v>0.0</v>
      </c>
      <c r="AA351" s="849">
        <v>0.0</v>
      </c>
      <c r="AB351" s="849">
        <v>0.0</v>
      </c>
      <c r="AC351" s="849">
        <v>0.0</v>
      </c>
      <c r="AD351" s="849">
        <v>0.0</v>
      </c>
      <c r="AE351" s="849">
        <v>0.0</v>
      </c>
      <c r="AF351" s="849">
        <v>0.0</v>
      </c>
      <c r="AG351" s="849">
        <v>0.0</v>
      </c>
      <c r="AH351" s="849">
        <v>0.0</v>
      </c>
      <c r="AI351" s="849">
        <v>0.0</v>
      </c>
      <c r="AJ351" s="794" t="str">
        <f t="shared" ref="AJ351:AK351" si="699">C351</f>
        <v>G1100</v>
      </c>
      <c r="AK351" s="794" t="str">
        <f t="shared" si="699"/>
        <v>VENTES AU COMPTANT</v>
      </c>
      <c r="AL351" s="794">
        <f t="array" ref="AL351">IFERROR(INDEX(G351:R351,1,MATCH(Parametres!$B$3,G$1:R$1,0)-1)*IF(OR(F351="L",F351="S",F351="I"),-1,1),"")</f>
        <v>0</v>
      </c>
      <c r="AM351" s="794">
        <f t="shared" si="4"/>
        <v>0</v>
      </c>
      <c r="AN351" s="794">
        <f t="array" ref="AN351">INDEX(G351:R351,1,MATCH(Parametres!$B$3,G$1:R$1,0))*IF(OR(F351="L",F351="S",F351="I"),-1,1)</f>
        <v>0</v>
      </c>
      <c r="AO351" s="853" t="str">
        <f>+VLOOKUP($AJ351,Data_Validation!$A:$D,1,0)</f>
        <v>G1100</v>
      </c>
      <c r="AP351" s="853" t="str">
        <f>+VLOOKUP($AJ351,Data_Validation!$A:$D,3,0)</f>
        <v/>
      </c>
      <c r="AQ351" s="853" t="str">
        <f>+VLOOKUP($AJ351,Data_Validation!$A:$D,4,0)</f>
        <v/>
      </c>
      <c r="AR351" s="853" t="s">
        <v>728</v>
      </c>
      <c r="AS351" s="853" t="str">
        <f>+VLOOKUP($AJ351,Data_Validation!$A:$E,5,0)</f>
        <v/>
      </c>
      <c r="AT351" s="794" t="str">
        <f t="shared" ref="AT351:AU351" si="700">C351</f>
        <v>G1100</v>
      </c>
      <c r="AU351" s="854" t="str">
        <f t="shared" si="700"/>
        <v>VENTES AU COMPTANT</v>
      </c>
      <c r="AV351" s="794">
        <f t="array" ref="AV351">IFERROR(INDEX(V351:AG351,1,MATCH(Parametres!$B$3,V$1:AG$1,0)-1)*IF(OR(C351="L",C351="S",C351="I"),-1,1),"")</f>
        <v>0</v>
      </c>
      <c r="AW351" s="794">
        <f t="shared" si="6"/>
        <v>0</v>
      </c>
      <c r="AX351" s="794">
        <f t="array" ref="AX351">INDEX(V351:AG351,1,MATCH(Parametres!$B$3,V$1:AG$1,0))*IF(OR(C351="L",C351="S",C351="I"),-1,1)</f>
        <v>0</v>
      </c>
      <c r="AY351" s="853" t="s">
        <v>772</v>
      </c>
      <c r="AZ351" s="853" t="str">
        <f>+VLOOKUP($AJ351,Data_Validation!$A:$E,5,0)</f>
        <v/>
      </c>
    </row>
    <row r="352" ht="15.75" customHeight="1">
      <c r="A352" s="849" t="s">
        <v>1239</v>
      </c>
      <c r="B352" s="849">
        <v>2026.0</v>
      </c>
      <c r="C352" s="849" t="s">
        <v>1927</v>
      </c>
      <c r="D352" s="849" t="s">
        <v>1928</v>
      </c>
      <c r="E352" s="849" t="s">
        <v>768</v>
      </c>
      <c r="F352" s="849" t="s">
        <v>1926</v>
      </c>
      <c r="G352" s="849">
        <v>3100.0</v>
      </c>
      <c r="H352" s="849">
        <v>3100.0</v>
      </c>
      <c r="I352" s="849">
        <v>3100.0</v>
      </c>
      <c r="J352" s="849">
        <v>3100.0</v>
      </c>
      <c r="K352" s="849">
        <v>3100.0</v>
      </c>
      <c r="L352" s="849">
        <v>3100.0</v>
      </c>
      <c r="M352" s="849">
        <v>3100.0</v>
      </c>
      <c r="N352" s="849">
        <v>3100.0</v>
      </c>
      <c r="O352" s="849">
        <v>3100.0</v>
      </c>
      <c r="P352" s="849">
        <v>3100.0</v>
      </c>
      <c r="Q352" s="849">
        <v>0.0</v>
      </c>
      <c r="R352" s="849">
        <v>0.0</v>
      </c>
      <c r="S352" s="849">
        <v>0.0</v>
      </c>
      <c r="T352" s="849">
        <v>0.0</v>
      </c>
      <c r="U352" s="849">
        <v>0.0</v>
      </c>
      <c r="V352" s="849">
        <v>0.0</v>
      </c>
      <c r="W352" s="849">
        <v>0.0</v>
      </c>
      <c r="X352" s="849">
        <v>0.0</v>
      </c>
      <c r="Y352" s="849">
        <v>0.0</v>
      </c>
      <c r="Z352" s="849">
        <v>0.0</v>
      </c>
      <c r="AA352" s="849">
        <v>0.0</v>
      </c>
      <c r="AB352" s="849">
        <v>0.0</v>
      </c>
      <c r="AC352" s="849">
        <v>0.0</v>
      </c>
      <c r="AD352" s="849">
        <v>0.0</v>
      </c>
      <c r="AE352" s="849">
        <v>0.0</v>
      </c>
      <c r="AF352" s="849">
        <v>0.0</v>
      </c>
      <c r="AG352" s="849">
        <v>0.0</v>
      </c>
      <c r="AH352" s="849">
        <v>0.0</v>
      </c>
      <c r="AI352" s="849">
        <v>0.0</v>
      </c>
      <c r="AJ352" s="794" t="str">
        <f t="shared" ref="AJ352:AK352" si="701">C352</f>
        <v>G20000</v>
      </c>
      <c r="AK352" s="794" t="str">
        <f t="shared" si="701"/>
        <v>PETITE CAISSE</v>
      </c>
      <c r="AL352" s="794">
        <f t="array" ref="AL352">IFERROR(INDEX(G352:R352,1,MATCH(Parametres!$B$3,G$1:R$1,0)-1)*IF(OR(F352="L",F352="S",F352="I"),-1,1),"")</f>
        <v>3100</v>
      </c>
      <c r="AM352" s="794">
        <f t="shared" si="4"/>
        <v>0</v>
      </c>
      <c r="AN352" s="794">
        <f t="array" ref="AN352">INDEX(G352:R352,1,MATCH(Parametres!$B$3,G$1:R$1,0))*IF(OR(F352="L",F352="S",F352="I"),-1,1)</f>
        <v>3100</v>
      </c>
      <c r="AO352" s="853" t="str">
        <f>+VLOOKUP($AJ352,Data_Validation!$A:$D,1,0)</f>
        <v>G20000</v>
      </c>
      <c r="AP352" s="853" t="str">
        <f>+VLOOKUP($AJ352,Data_Validation!$A:$D,3,0)</f>
        <v>Bilan</v>
      </c>
      <c r="AQ352" s="853" t="str">
        <f>+VLOOKUP($AJ352,Data_Validation!$A:$D,4,0)</f>
        <v>Encaisse</v>
      </c>
      <c r="AR352" s="853" t="s">
        <v>728</v>
      </c>
      <c r="AS352" s="853" t="str">
        <f>+VLOOKUP($AJ352,Data_Validation!$A:$E,5,0)</f>
        <v/>
      </c>
      <c r="AT352" s="794" t="str">
        <f t="shared" ref="AT352:AU352" si="702">C352</f>
        <v>G20000</v>
      </c>
      <c r="AU352" s="854" t="str">
        <f t="shared" si="702"/>
        <v>PETITE CAISSE</v>
      </c>
      <c r="AV352" s="794">
        <f t="array" ref="AV352">IFERROR(INDEX(V352:AG352,1,MATCH(Parametres!$B$3,V$1:AG$1,0)-1)*IF(OR(C352="L",C352="S",C352="I"),-1,1),"")</f>
        <v>0</v>
      </c>
      <c r="AW352" s="794">
        <f t="shared" si="6"/>
        <v>0</v>
      </c>
      <c r="AX352" s="794">
        <f t="array" ref="AX352">INDEX(V352:AG352,1,MATCH(Parametres!$B$3,V$1:AG$1,0))*IF(OR(C352="L",C352="S",C352="I"),-1,1)</f>
        <v>0</v>
      </c>
      <c r="AY352" s="853" t="s">
        <v>772</v>
      </c>
      <c r="AZ352" s="853" t="str">
        <f>+VLOOKUP($AJ352,Data_Validation!$A:$E,5,0)</f>
        <v/>
      </c>
    </row>
    <row r="353" ht="15.0" customHeight="1">
      <c r="A353" s="849" t="s">
        <v>1239</v>
      </c>
      <c r="B353" s="849">
        <v>2026.0</v>
      </c>
      <c r="C353" s="849" t="s">
        <v>1929</v>
      </c>
      <c r="D353" s="849" t="s">
        <v>1930</v>
      </c>
      <c r="E353" s="849" t="s">
        <v>1931</v>
      </c>
      <c r="F353" s="849" t="s">
        <v>1926</v>
      </c>
      <c r="G353" s="849">
        <v>0.0</v>
      </c>
      <c r="H353" s="849">
        <v>0.0</v>
      </c>
      <c r="I353" s="849">
        <v>0.0</v>
      </c>
      <c r="J353" s="849">
        <v>0.0</v>
      </c>
      <c r="K353" s="849">
        <v>0.0</v>
      </c>
      <c r="L353" s="849">
        <v>0.0</v>
      </c>
      <c r="M353" s="849">
        <v>0.0</v>
      </c>
      <c r="N353" s="849">
        <v>0.0</v>
      </c>
      <c r="O353" s="849">
        <v>0.0</v>
      </c>
      <c r="P353" s="849">
        <v>0.0</v>
      </c>
      <c r="Q353" s="849">
        <v>0.0</v>
      </c>
      <c r="R353" s="849">
        <v>0.0</v>
      </c>
      <c r="S353" s="849">
        <v>0.0</v>
      </c>
      <c r="T353" s="849">
        <v>0.0</v>
      </c>
      <c r="U353" s="849">
        <v>0.0</v>
      </c>
      <c r="V353" s="849">
        <v>0.0</v>
      </c>
      <c r="W353" s="849">
        <v>0.0</v>
      </c>
      <c r="X353" s="849">
        <v>0.0</v>
      </c>
      <c r="Y353" s="849">
        <v>0.0</v>
      </c>
      <c r="Z353" s="849">
        <v>0.0</v>
      </c>
      <c r="AA353" s="849">
        <v>0.0</v>
      </c>
      <c r="AB353" s="849">
        <v>0.0</v>
      </c>
      <c r="AC353" s="849">
        <v>0.0</v>
      </c>
      <c r="AD353" s="849">
        <v>0.0</v>
      </c>
      <c r="AE353" s="849">
        <v>0.0</v>
      </c>
      <c r="AF353" s="849">
        <v>0.0</v>
      </c>
      <c r="AG353" s="849">
        <v>0.0</v>
      </c>
      <c r="AH353" s="849">
        <v>0.0</v>
      </c>
      <c r="AI353" s="849">
        <v>0.0</v>
      </c>
      <c r="AJ353" s="794" t="str">
        <f t="shared" ref="AJ353:AK353" si="703">C353</f>
        <v>G20001</v>
      </c>
      <c r="AK353" s="794" t="str">
        <f t="shared" si="703"/>
        <v>FUSION PAIE/COMMISSIONS</v>
      </c>
      <c r="AL353" s="794">
        <f t="array" ref="AL353">IFERROR(INDEX(G353:R353,1,MATCH(Parametres!$B$3,G$1:R$1,0)-1)*IF(OR(F353="L",F353="S",F353="I"),-1,1),"")</f>
        <v>0</v>
      </c>
      <c r="AM353" s="794">
        <f t="shared" si="4"/>
        <v>0</v>
      </c>
      <c r="AN353" s="794">
        <f t="array" ref="AN353">INDEX(G353:R353,1,MATCH(Parametres!$B$3,G$1:R$1,0))*IF(OR(F353="L",F353="S",F353="I"),-1,1)</f>
        <v>0</v>
      </c>
      <c r="AO353" s="853" t="str">
        <f>+VLOOKUP($AJ353,Data_Validation!$A:$D,1,0)</f>
        <v>G20001</v>
      </c>
      <c r="AP353" s="853" t="str">
        <f>+VLOOKUP($AJ353,Data_Validation!$A:$D,3,0)</f>
        <v>Bilan</v>
      </c>
      <c r="AQ353" s="853" t="str">
        <f>+VLOOKUP($AJ353,Data_Validation!$A:$D,4,0)</f>
        <v>Salaires à Payer</v>
      </c>
      <c r="AR353" s="853" t="s">
        <v>728</v>
      </c>
      <c r="AS353" s="853" t="str">
        <f>+VLOOKUP($AJ353,Data_Validation!$A:$E,5,0)</f>
        <v/>
      </c>
      <c r="AT353" s="794" t="str">
        <f t="shared" ref="AT353:AU353" si="704">C353</f>
        <v>G20001</v>
      </c>
      <c r="AU353" s="854" t="str">
        <f t="shared" si="704"/>
        <v>FUSION PAIE/COMMISSIONS</v>
      </c>
      <c r="AV353" s="794">
        <f t="array" ref="AV353">IFERROR(INDEX(V353:AG353,1,MATCH(Parametres!$B$3,V$1:AG$1,0)-1)*IF(OR(C353="L",C353="S",C353="I"),-1,1),"")</f>
        <v>0</v>
      </c>
      <c r="AW353" s="794">
        <f t="shared" si="6"/>
        <v>0</v>
      </c>
      <c r="AX353" s="794">
        <f t="array" ref="AX353">INDEX(V353:AG353,1,MATCH(Parametres!$B$3,V$1:AG$1,0))*IF(OR(C353="L",C353="S",C353="I"),-1,1)</f>
        <v>0</v>
      </c>
      <c r="AY353" s="853" t="s">
        <v>772</v>
      </c>
      <c r="AZ353" s="853" t="str">
        <f>+VLOOKUP($AJ353,Data_Validation!$A:$E,5,0)</f>
        <v/>
      </c>
    </row>
    <row r="354" ht="15.0" customHeight="1">
      <c r="A354" s="849" t="s">
        <v>1239</v>
      </c>
      <c r="B354" s="849">
        <v>2026.0</v>
      </c>
      <c r="C354" s="849" t="s">
        <v>1932</v>
      </c>
      <c r="D354" s="849" t="s">
        <v>1933</v>
      </c>
      <c r="E354" s="849" t="s">
        <v>1931</v>
      </c>
      <c r="F354" s="849" t="s">
        <v>1926</v>
      </c>
      <c r="G354" s="849">
        <v>0.0</v>
      </c>
      <c r="H354" s="849">
        <v>0.0</v>
      </c>
      <c r="I354" s="849">
        <v>0.0</v>
      </c>
      <c r="J354" s="849">
        <v>0.0</v>
      </c>
      <c r="K354" s="849">
        <v>0.0</v>
      </c>
      <c r="L354" s="849">
        <v>0.0</v>
      </c>
      <c r="M354" s="849">
        <v>0.0</v>
      </c>
      <c r="N354" s="849">
        <v>0.0</v>
      </c>
      <c r="O354" s="849">
        <v>0.0</v>
      </c>
      <c r="P354" s="849">
        <v>0.0</v>
      </c>
      <c r="Q354" s="849">
        <v>0.0</v>
      </c>
      <c r="R354" s="849">
        <v>0.0</v>
      </c>
      <c r="S354" s="849">
        <v>0.0</v>
      </c>
      <c r="T354" s="849">
        <v>0.0</v>
      </c>
      <c r="U354" s="849">
        <v>0.0</v>
      </c>
      <c r="V354" s="849">
        <v>0.0</v>
      </c>
      <c r="W354" s="849">
        <v>0.0</v>
      </c>
      <c r="X354" s="849">
        <v>0.0</v>
      </c>
      <c r="Y354" s="849">
        <v>0.0</v>
      </c>
      <c r="Z354" s="849">
        <v>0.0</v>
      </c>
      <c r="AA354" s="849">
        <v>0.0</v>
      </c>
      <c r="AB354" s="849">
        <v>0.0</v>
      </c>
      <c r="AC354" s="849">
        <v>0.0</v>
      </c>
      <c r="AD354" s="849">
        <v>0.0</v>
      </c>
      <c r="AE354" s="849">
        <v>0.0</v>
      </c>
      <c r="AF354" s="849">
        <v>0.0</v>
      </c>
      <c r="AG354" s="849">
        <v>0.0</v>
      </c>
      <c r="AH354" s="849">
        <v>0.0</v>
      </c>
      <c r="AI354" s="849">
        <v>0.0</v>
      </c>
      <c r="AJ354" s="794" t="str">
        <f t="shared" ref="AJ354:AK354" si="705">C354</f>
        <v>G20100</v>
      </c>
      <c r="AK354" s="794" t="str">
        <f t="shared" si="705"/>
        <v>DESJARDINS CTE</v>
      </c>
      <c r="AL354" s="794">
        <f t="array" ref="AL354">IFERROR(INDEX(G354:R354,1,MATCH(Parametres!$B$3,G$1:R$1,0)-1)*IF(OR(F354="L",F354="S",F354="I"),-1,1),"")</f>
        <v>0</v>
      </c>
      <c r="AM354" s="794">
        <f t="shared" si="4"/>
        <v>0</v>
      </c>
      <c r="AN354" s="794">
        <f t="array" ref="AN354">INDEX(G354:R354,1,MATCH(Parametres!$B$3,G$1:R$1,0))*IF(OR(F354="L",F354="S",F354="I"),-1,1)</f>
        <v>0</v>
      </c>
      <c r="AO354" s="853" t="str">
        <f>+VLOOKUP($AJ354,Data_Validation!$A:$D,1,0)</f>
        <v>G20100</v>
      </c>
      <c r="AP354" s="853" t="str">
        <f>+VLOOKUP($AJ354,Data_Validation!$A:$D,3,0)</f>
        <v>Bilan</v>
      </c>
      <c r="AQ354" s="853" t="str">
        <f>+VLOOKUP($AJ354,Data_Validation!$A:$D,4,0)</f>
        <v>Encaisse</v>
      </c>
      <c r="AR354" s="853" t="s">
        <v>728</v>
      </c>
      <c r="AS354" s="853" t="str">
        <f>+VLOOKUP($AJ354,Data_Validation!$A:$E,5,0)</f>
        <v/>
      </c>
      <c r="AT354" s="794" t="str">
        <f t="shared" ref="AT354:AU354" si="706">C354</f>
        <v>G20100</v>
      </c>
      <c r="AU354" s="854" t="str">
        <f t="shared" si="706"/>
        <v>DESJARDINS CTE</v>
      </c>
      <c r="AV354" s="794">
        <f t="array" ref="AV354">IFERROR(INDEX(V354:AG354,1,MATCH(Parametres!$B$3,V$1:AG$1,0)-1)*IF(OR(C354="L",C354="S",C354="I"),-1,1),"")</f>
        <v>0</v>
      </c>
      <c r="AW354" s="794">
        <f t="shared" si="6"/>
        <v>0</v>
      </c>
      <c r="AX354" s="794">
        <f t="array" ref="AX354">INDEX(V354:AG354,1,MATCH(Parametres!$B$3,V$1:AG$1,0))*IF(OR(C354="L",C354="S",C354="I"),-1,1)</f>
        <v>0</v>
      </c>
      <c r="AY354" s="853" t="s">
        <v>772</v>
      </c>
      <c r="AZ354" s="853" t="str">
        <f>+VLOOKUP($AJ354,Data_Validation!$A:$E,5,0)</f>
        <v/>
      </c>
    </row>
    <row r="355" ht="15.0" customHeight="1">
      <c r="A355" s="849" t="s">
        <v>1239</v>
      </c>
      <c r="B355" s="849">
        <v>2026.0</v>
      </c>
      <c r="C355" s="849" t="s">
        <v>1934</v>
      </c>
      <c r="D355" s="849" t="s">
        <v>1935</v>
      </c>
      <c r="E355" s="849" t="s">
        <v>1931</v>
      </c>
      <c r="F355" s="849" t="s">
        <v>1926</v>
      </c>
      <c r="G355" s="849">
        <v>0.0</v>
      </c>
      <c r="H355" s="849">
        <v>0.0</v>
      </c>
      <c r="I355" s="849">
        <v>0.0</v>
      </c>
      <c r="J355" s="849">
        <v>0.0</v>
      </c>
      <c r="K355" s="849">
        <v>0.0</v>
      </c>
      <c r="L355" s="849">
        <v>0.0</v>
      </c>
      <c r="M355" s="849">
        <v>0.0</v>
      </c>
      <c r="N355" s="849">
        <v>0.0</v>
      </c>
      <c r="O355" s="849">
        <v>0.0</v>
      </c>
      <c r="P355" s="849">
        <v>0.0</v>
      </c>
      <c r="Q355" s="849">
        <v>0.0</v>
      </c>
      <c r="R355" s="849">
        <v>0.0</v>
      </c>
      <c r="S355" s="849">
        <v>0.0</v>
      </c>
      <c r="T355" s="849">
        <v>0.0</v>
      </c>
      <c r="U355" s="849">
        <v>0.0</v>
      </c>
      <c r="V355" s="849">
        <v>0.0</v>
      </c>
      <c r="W355" s="849">
        <v>0.0</v>
      </c>
      <c r="X355" s="849">
        <v>0.0</v>
      </c>
      <c r="Y355" s="849">
        <v>0.0</v>
      </c>
      <c r="Z355" s="849">
        <v>0.0</v>
      </c>
      <c r="AA355" s="849">
        <v>0.0</v>
      </c>
      <c r="AB355" s="849">
        <v>0.0</v>
      </c>
      <c r="AC355" s="849">
        <v>0.0</v>
      </c>
      <c r="AD355" s="849">
        <v>0.0</v>
      </c>
      <c r="AE355" s="849">
        <v>0.0</v>
      </c>
      <c r="AF355" s="849">
        <v>0.0</v>
      </c>
      <c r="AG355" s="849">
        <v>0.0</v>
      </c>
      <c r="AH355" s="849">
        <v>0.0</v>
      </c>
      <c r="AI355" s="849">
        <v>0.0</v>
      </c>
      <c r="AJ355" s="794" t="str">
        <f t="shared" ref="AJ355:AK355" si="707">C355</f>
        <v>G2020A</v>
      </c>
      <c r="AK355" s="794" t="str">
        <f t="shared" si="707"/>
        <v>BNQ NATIONALE MASTER CARD</v>
      </c>
      <c r="AL355" s="794">
        <f t="array" ref="AL355">IFERROR(INDEX(G355:R355,1,MATCH(Parametres!$B$3,G$1:R$1,0)-1)*IF(OR(F355="L",F355="S",F355="I"),-1,1),"")</f>
        <v>0</v>
      </c>
      <c r="AM355" s="794">
        <f t="shared" si="4"/>
        <v>0</v>
      </c>
      <c r="AN355" s="794">
        <f t="array" ref="AN355">INDEX(G355:R355,1,MATCH(Parametres!$B$3,G$1:R$1,0))*IF(OR(F355="L",F355="S",F355="I"),-1,1)</f>
        <v>0</v>
      </c>
      <c r="AO355" s="853" t="str">
        <f>+VLOOKUP($AJ355,Data_Validation!$A:$D,1,0)</f>
        <v>#N/A</v>
      </c>
      <c r="AP355" s="853" t="str">
        <f>+VLOOKUP($AJ355,Data_Validation!$A:$D,3,0)</f>
        <v>#N/A</v>
      </c>
      <c r="AQ355" s="853" t="str">
        <f>+VLOOKUP($AJ355,Data_Validation!$A:$D,4,0)</f>
        <v>#N/A</v>
      </c>
      <c r="AR355" s="853" t="s">
        <v>728</v>
      </c>
      <c r="AS355" s="853" t="str">
        <f>+VLOOKUP($AJ355,Data_Validation!$A:$E,5,0)</f>
        <v>#N/A</v>
      </c>
      <c r="AT355" s="794" t="str">
        <f t="shared" ref="AT355:AU355" si="708">C355</f>
        <v>G2020A</v>
      </c>
      <c r="AU355" s="854" t="str">
        <f t="shared" si="708"/>
        <v>BNQ NATIONALE MASTER CARD</v>
      </c>
      <c r="AV355" s="794">
        <f t="array" ref="AV355">IFERROR(INDEX(V355:AG355,1,MATCH(Parametres!$B$3,V$1:AG$1,0)-1)*IF(OR(C355="L",C355="S",C355="I"),-1,1),"")</f>
        <v>0</v>
      </c>
      <c r="AW355" s="794">
        <f t="shared" si="6"/>
        <v>0</v>
      </c>
      <c r="AX355" s="794">
        <f t="array" ref="AX355">INDEX(V355:AG355,1,MATCH(Parametres!$B$3,V$1:AG$1,0))*IF(OR(C355="L",C355="S",C355="I"),-1,1)</f>
        <v>0</v>
      </c>
      <c r="AY355" s="853" t="s">
        <v>772</v>
      </c>
      <c r="AZ355" s="853" t="str">
        <f>+VLOOKUP($AJ355,Data_Validation!$A:$E,5,0)</f>
        <v>#N/A</v>
      </c>
    </row>
    <row r="356" ht="15.0" customHeight="1">
      <c r="A356" s="849" t="s">
        <v>1239</v>
      </c>
      <c r="B356" s="849">
        <v>2026.0</v>
      </c>
      <c r="C356" s="849" t="s">
        <v>1936</v>
      </c>
      <c r="D356" s="849" t="s">
        <v>1937</v>
      </c>
      <c r="E356" s="849" t="s">
        <v>1931</v>
      </c>
      <c r="F356" s="849" t="s">
        <v>1926</v>
      </c>
      <c r="G356" s="849">
        <v>1592665.7</v>
      </c>
      <c r="H356" s="849">
        <v>150543.96</v>
      </c>
      <c r="I356" s="849">
        <v>1883842.2</v>
      </c>
      <c r="J356" s="849">
        <v>335070.37</v>
      </c>
      <c r="K356" s="849">
        <v>646270.41</v>
      </c>
      <c r="L356" s="849">
        <v>-146991.78</v>
      </c>
      <c r="M356" s="849">
        <v>1156599.97</v>
      </c>
      <c r="N356" s="849">
        <v>2352206.81</v>
      </c>
      <c r="O356" s="849">
        <v>2381850.04</v>
      </c>
      <c r="P356" s="849">
        <v>1684449.07</v>
      </c>
      <c r="Q356" s="849">
        <v>0.0</v>
      </c>
      <c r="R356" s="849">
        <v>0.0</v>
      </c>
      <c r="S356" s="849">
        <v>0.0</v>
      </c>
      <c r="T356" s="849">
        <v>0.0</v>
      </c>
      <c r="U356" s="849">
        <v>0.0</v>
      </c>
      <c r="V356" s="849">
        <v>0.0</v>
      </c>
      <c r="W356" s="849">
        <v>0.0</v>
      </c>
      <c r="X356" s="849">
        <v>0.0</v>
      </c>
      <c r="Y356" s="849">
        <v>0.0</v>
      </c>
      <c r="Z356" s="849">
        <v>0.0</v>
      </c>
      <c r="AA356" s="849">
        <v>0.0</v>
      </c>
      <c r="AB356" s="849">
        <v>0.0</v>
      </c>
      <c r="AC356" s="849">
        <v>0.0</v>
      </c>
      <c r="AD356" s="849">
        <v>0.0</v>
      </c>
      <c r="AE356" s="849">
        <v>0.0</v>
      </c>
      <c r="AF356" s="849">
        <v>0.0</v>
      </c>
      <c r="AG356" s="849">
        <v>0.0</v>
      </c>
      <c r="AH356" s="849">
        <v>0.0</v>
      </c>
      <c r="AI356" s="849">
        <v>0.0</v>
      </c>
      <c r="AJ356" s="794" t="str">
        <f t="shared" ref="AJ356:AK356" si="709">C356</f>
        <v>G20200</v>
      </c>
      <c r="AK356" s="794" t="str">
        <f t="shared" si="709"/>
        <v>BANQUE TD CANADA TRUST</v>
      </c>
      <c r="AL356" s="794">
        <f t="array" ref="AL356">IFERROR(INDEX(G356:R356,1,MATCH(Parametres!$B$3,G$1:R$1,0)-1)*IF(OR(F356="L",F356="S",F356="I"),-1,1),"")</f>
        <v>2352206.81</v>
      </c>
      <c r="AM356" s="794">
        <f t="shared" si="4"/>
        <v>29643.23</v>
      </c>
      <c r="AN356" s="794">
        <f t="array" ref="AN356">INDEX(G356:R356,1,MATCH(Parametres!$B$3,G$1:R$1,0))*IF(OR(F356="L",F356="S",F356="I"),-1,1)</f>
        <v>2381850.04</v>
      </c>
      <c r="AO356" s="853" t="str">
        <f>+VLOOKUP($AJ356,Data_Validation!$A:$D,1,0)</f>
        <v>G20200</v>
      </c>
      <c r="AP356" s="853" t="str">
        <f>+VLOOKUP($AJ356,Data_Validation!$A:$D,3,0)</f>
        <v>Bilan</v>
      </c>
      <c r="AQ356" s="853" t="str">
        <f>+VLOOKUP($AJ356,Data_Validation!$A:$D,4,0)</f>
        <v>Encaisse</v>
      </c>
      <c r="AR356" s="853" t="s">
        <v>728</v>
      </c>
      <c r="AS356" s="853" t="str">
        <f>+VLOOKUP($AJ356,Data_Validation!$A:$E,5,0)</f>
        <v/>
      </c>
      <c r="AT356" s="794" t="str">
        <f t="shared" ref="AT356:AU356" si="710">C356</f>
        <v>G20200</v>
      </c>
      <c r="AU356" s="854" t="str">
        <f t="shared" si="710"/>
        <v>BANQUE TD CANADA TRUST</v>
      </c>
      <c r="AV356" s="794">
        <f t="array" ref="AV356">IFERROR(INDEX(V356:AG356,1,MATCH(Parametres!$B$3,V$1:AG$1,0)-1)*IF(OR(C356="L",C356="S",C356="I"),-1,1),"")</f>
        <v>0</v>
      </c>
      <c r="AW356" s="794">
        <f t="shared" si="6"/>
        <v>0</v>
      </c>
      <c r="AX356" s="794">
        <f t="array" ref="AX356">INDEX(V356:AG356,1,MATCH(Parametres!$B$3,V$1:AG$1,0))*IF(OR(C356="L",C356="S",C356="I"),-1,1)</f>
        <v>0</v>
      </c>
      <c r="AY356" s="853" t="s">
        <v>772</v>
      </c>
      <c r="AZ356" s="853" t="str">
        <f>+VLOOKUP($AJ356,Data_Validation!$A:$E,5,0)</f>
        <v/>
      </c>
    </row>
    <row r="357" ht="15.0" customHeight="1">
      <c r="A357" s="849" t="s">
        <v>1239</v>
      </c>
      <c r="B357" s="849">
        <v>2026.0</v>
      </c>
      <c r="C357" s="849" t="s">
        <v>1938</v>
      </c>
      <c r="D357" s="849" t="s">
        <v>1939</v>
      </c>
      <c r="E357" s="849" t="s">
        <v>768</v>
      </c>
      <c r="F357" s="849" t="s">
        <v>1926</v>
      </c>
      <c r="G357" s="849">
        <v>0.0</v>
      </c>
      <c r="H357" s="849">
        <v>0.0</v>
      </c>
      <c r="I357" s="849">
        <v>0.0</v>
      </c>
      <c r="J357" s="849">
        <v>0.0</v>
      </c>
      <c r="K357" s="849">
        <v>0.0</v>
      </c>
      <c r="L357" s="849">
        <v>0.0</v>
      </c>
      <c r="M357" s="849">
        <v>0.0</v>
      </c>
      <c r="N357" s="849">
        <v>0.0</v>
      </c>
      <c r="O357" s="849">
        <v>0.0</v>
      </c>
      <c r="P357" s="849">
        <v>0.0</v>
      </c>
      <c r="Q357" s="849">
        <v>0.0</v>
      </c>
      <c r="R357" s="849">
        <v>0.0</v>
      </c>
      <c r="S357" s="849">
        <v>0.0</v>
      </c>
      <c r="T357" s="849">
        <v>0.0</v>
      </c>
      <c r="U357" s="849">
        <v>0.0</v>
      </c>
      <c r="V357" s="849">
        <v>0.0</v>
      </c>
      <c r="W357" s="849">
        <v>0.0</v>
      </c>
      <c r="X357" s="849">
        <v>0.0</v>
      </c>
      <c r="Y357" s="849">
        <v>0.0</v>
      </c>
      <c r="Z357" s="849">
        <v>0.0</v>
      </c>
      <c r="AA357" s="849">
        <v>0.0</v>
      </c>
      <c r="AB357" s="849">
        <v>0.0</v>
      </c>
      <c r="AC357" s="849">
        <v>0.0</v>
      </c>
      <c r="AD357" s="849">
        <v>0.0</v>
      </c>
      <c r="AE357" s="849">
        <v>0.0</v>
      </c>
      <c r="AF357" s="849">
        <v>0.0</v>
      </c>
      <c r="AG357" s="849">
        <v>0.0</v>
      </c>
      <c r="AH357" s="849">
        <v>0.0</v>
      </c>
      <c r="AI357" s="849">
        <v>0.0</v>
      </c>
      <c r="AJ357" s="794" t="str">
        <f t="shared" ref="AJ357:AK357" si="711">C357</f>
        <v>G20201</v>
      </c>
      <c r="AK357" s="794" t="str">
        <f t="shared" si="711"/>
        <v>ENCAISSE DEPOTS CLIENTS</v>
      </c>
      <c r="AL357" s="794">
        <f t="array" ref="AL357">IFERROR(INDEX(G357:R357,1,MATCH(Parametres!$B$3,G$1:R$1,0)-1)*IF(OR(F357="L",F357="S",F357="I"),-1,1),"")</f>
        <v>0</v>
      </c>
      <c r="AM357" s="794">
        <f t="shared" si="4"/>
        <v>0</v>
      </c>
      <c r="AN357" s="794">
        <f t="array" ref="AN357">INDEX(G357:R357,1,MATCH(Parametres!$B$3,G$1:R$1,0))*IF(OR(F357="L",F357="S",F357="I"),-1,1)</f>
        <v>0</v>
      </c>
      <c r="AO357" s="853" t="str">
        <f>+VLOOKUP($AJ357,Data_Validation!$A:$D,1,0)</f>
        <v>#N/A</v>
      </c>
      <c r="AP357" s="853" t="str">
        <f>+VLOOKUP($AJ357,Data_Validation!$A:$D,3,0)</f>
        <v>#N/A</v>
      </c>
      <c r="AQ357" s="853" t="str">
        <f>+VLOOKUP($AJ357,Data_Validation!$A:$D,4,0)</f>
        <v>#N/A</v>
      </c>
      <c r="AR357" s="853" t="s">
        <v>728</v>
      </c>
      <c r="AS357" s="853" t="str">
        <f>+VLOOKUP($AJ357,Data_Validation!$A:$E,5,0)</f>
        <v>#N/A</v>
      </c>
      <c r="AT357" s="794" t="str">
        <f t="shared" ref="AT357:AU357" si="712">C357</f>
        <v>G20201</v>
      </c>
      <c r="AU357" s="854" t="str">
        <f t="shared" si="712"/>
        <v>ENCAISSE DEPOTS CLIENTS</v>
      </c>
      <c r="AV357" s="794">
        <f t="array" ref="AV357">IFERROR(INDEX(V357:AG357,1,MATCH(Parametres!$B$3,V$1:AG$1,0)-1)*IF(OR(C357="L",C357="S",C357="I"),-1,1),"")</f>
        <v>0</v>
      </c>
      <c r="AW357" s="794">
        <f t="shared" si="6"/>
        <v>0</v>
      </c>
      <c r="AX357" s="794">
        <f t="array" ref="AX357">INDEX(V357:AG357,1,MATCH(Parametres!$B$3,V$1:AG$1,0))*IF(OR(C357="L",C357="S",C357="I"),-1,1)</f>
        <v>0</v>
      </c>
      <c r="AY357" s="853" t="s">
        <v>772</v>
      </c>
      <c r="AZ357" s="853" t="str">
        <f>+VLOOKUP($AJ357,Data_Validation!$A:$E,5,0)</f>
        <v>#N/A</v>
      </c>
    </row>
    <row r="358" ht="15.75" customHeight="1">
      <c r="A358" s="849" t="s">
        <v>1239</v>
      </c>
      <c r="B358" s="849">
        <v>2026.0</v>
      </c>
      <c r="C358" s="849" t="s">
        <v>1940</v>
      </c>
      <c r="D358" s="849" t="s">
        <v>1941</v>
      </c>
      <c r="E358" s="849" t="s">
        <v>768</v>
      </c>
      <c r="F358" s="849" t="s">
        <v>1926</v>
      </c>
      <c r="G358" s="849">
        <v>0.0</v>
      </c>
      <c r="H358" s="849">
        <v>0.0</v>
      </c>
      <c r="I358" s="849">
        <v>0.0</v>
      </c>
      <c r="J358" s="849">
        <v>0.0</v>
      </c>
      <c r="K358" s="849">
        <v>0.0</v>
      </c>
      <c r="L358" s="849">
        <v>0.0</v>
      </c>
      <c r="M358" s="849">
        <v>0.0</v>
      </c>
      <c r="N358" s="849">
        <v>0.0</v>
      </c>
      <c r="O358" s="849">
        <v>0.0</v>
      </c>
      <c r="P358" s="849">
        <v>0.0</v>
      </c>
      <c r="Q358" s="849">
        <v>0.0</v>
      </c>
      <c r="R358" s="849">
        <v>0.0</v>
      </c>
      <c r="S358" s="849">
        <v>0.0</v>
      </c>
      <c r="T358" s="849">
        <v>0.0</v>
      </c>
      <c r="U358" s="849">
        <v>0.0</v>
      </c>
      <c r="V358" s="849">
        <v>0.0</v>
      </c>
      <c r="W358" s="849">
        <v>0.0</v>
      </c>
      <c r="X358" s="849">
        <v>0.0</v>
      </c>
      <c r="Y358" s="849">
        <v>0.0</v>
      </c>
      <c r="Z358" s="849">
        <v>0.0</v>
      </c>
      <c r="AA358" s="849">
        <v>0.0</v>
      </c>
      <c r="AB358" s="849">
        <v>0.0</v>
      </c>
      <c r="AC358" s="849">
        <v>0.0</v>
      </c>
      <c r="AD358" s="849">
        <v>0.0</v>
      </c>
      <c r="AE358" s="849">
        <v>0.0</v>
      </c>
      <c r="AF358" s="849">
        <v>0.0</v>
      </c>
      <c r="AG358" s="849">
        <v>0.0</v>
      </c>
      <c r="AH358" s="849">
        <v>0.0</v>
      </c>
      <c r="AI358" s="849">
        <v>0.0</v>
      </c>
      <c r="AJ358" s="794" t="str">
        <f t="shared" ref="AJ358:AK358" si="713">C358</f>
        <v>G20202</v>
      </c>
      <c r="AK358" s="794" t="str">
        <f t="shared" si="713"/>
        <v>ENCAISSE COMPTE SALAIRE</v>
      </c>
      <c r="AL358" s="794">
        <f t="array" ref="AL358">IFERROR(INDEX(G358:R358,1,MATCH(Parametres!$B$3,G$1:R$1,0)-1)*IF(OR(F358="L",F358="S",F358="I"),-1,1),"")</f>
        <v>0</v>
      </c>
      <c r="AM358" s="794">
        <f t="shared" si="4"/>
        <v>0</v>
      </c>
      <c r="AN358" s="794">
        <f t="array" ref="AN358">INDEX(G358:R358,1,MATCH(Parametres!$B$3,G$1:R$1,0))*IF(OR(F358="L",F358="S",F358="I"),-1,1)</f>
        <v>0</v>
      </c>
      <c r="AO358" s="853" t="str">
        <f>+VLOOKUP($AJ358,Data_Validation!$A:$D,1,0)</f>
        <v>G20202</v>
      </c>
      <c r="AP358" s="853" t="str">
        <f>+VLOOKUP($AJ358,Data_Validation!$A:$D,3,0)</f>
        <v/>
      </c>
      <c r="AQ358" s="853" t="str">
        <f>+VLOOKUP($AJ358,Data_Validation!$A:$D,4,0)</f>
        <v/>
      </c>
      <c r="AR358" s="853" t="s">
        <v>728</v>
      </c>
      <c r="AS358" s="853" t="str">
        <f>+VLOOKUP($AJ358,Data_Validation!$A:$E,5,0)</f>
        <v/>
      </c>
      <c r="AT358" s="794" t="str">
        <f t="shared" ref="AT358:AU358" si="714">C358</f>
        <v>G20202</v>
      </c>
      <c r="AU358" s="854" t="str">
        <f t="shared" si="714"/>
        <v>ENCAISSE COMPTE SALAIRE</v>
      </c>
      <c r="AV358" s="794">
        <f t="array" ref="AV358">IFERROR(INDEX(V358:AG358,1,MATCH(Parametres!$B$3,V$1:AG$1,0)-1)*IF(OR(C358="L",C358="S",C358="I"),-1,1),"")</f>
        <v>0</v>
      </c>
      <c r="AW358" s="794">
        <f t="shared" si="6"/>
        <v>0</v>
      </c>
      <c r="AX358" s="794">
        <f t="array" ref="AX358">INDEX(V358:AG358,1,MATCH(Parametres!$B$3,V$1:AG$1,0))*IF(OR(C358="L",C358="S",C358="I"),-1,1)</f>
        <v>0</v>
      </c>
      <c r="AY358" s="853" t="s">
        <v>772</v>
      </c>
      <c r="AZ358" s="853" t="str">
        <f>+VLOOKUP($AJ358,Data_Validation!$A:$E,5,0)</f>
        <v/>
      </c>
    </row>
    <row r="359" ht="15.0" customHeight="1">
      <c r="A359" s="849" t="s">
        <v>1239</v>
      </c>
      <c r="B359" s="849">
        <v>2026.0</v>
      </c>
      <c r="C359" s="849" t="s">
        <v>1942</v>
      </c>
      <c r="D359" s="849" t="s">
        <v>1935</v>
      </c>
      <c r="E359" s="849" t="s">
        <v>1931</v>
      </c>
      <c r="F359" s="849" t="s">
        <v>1926</v>
      </c>
      <c r="G359" s="849">
        <v>0.0</v>
      </c>
      <c r="H359" s="849">
        <v>0.0</v>
      </c>
      <c r="I359" s="849">
        <v>0.0</v>
      </c>
      <c r="J359" s="849">
        <v>0.0</v>
      </c>
      <c r="K359" s="849">
        <v>0.0</v>
      </c>
      <c r="L359" s="849">
        <v>0.0</v>
      </c>
      <c r="M359" s="849">
        <v>0.0</v>
      </c>
      <c r="N359" s="849">
        <v>0.0</v>
      </c>
      <c r="O359" s="849">
        <v>0.0</v>
      </c>
      <c r="P359" s="849">
        <v>0.0</v>
      </c>
      <c r="Q359" s="849">
        <v>0.0</v>
      </c>
      <c r="R359" s="849">
        <v>0.0</v>
      </c>
      <c r="S359" s="849">
        <v>0.0</v>
      </c>
      <c r="T359" s="849">
        <v>0.0</v>
      </c>
      <c r="U359" s="849">
        <v>0.0</v>
      </c>
      <c r="V359" s="849">
        <v>0.0</v>
      </c>
      <c r="W359" s="849">
        <v>0.0</v>
      </c>
      <c r="X359" s="849">
        <v>0.0</v>
      </c>
      <c r="Y359" s="849">
        <v>0.0</v>
      </c>
      <c r="Z359" s="849">
        <v>0.0</v>
      </c>
      <c r="AA359" s="849">
        <v>0.0</v>
      </c>
      <c r="AB359" s="849">
        <v>0.0</v>
      </c>
      <c r="AC359" s="849">
        <v>0.0</v>
      </c>
      <c r="AD359" s="849">
        <v>0.0</v>
      </c>
      <c r="AE359" s="849">
        <v>0.0</v>
      </c>
      <c r="AF359" s="849">
        <v>0.0</v>
      </c>
      <c r="AG359" s="849">
        <v>0.0</v>
      </c>
      <c r="AH359" s="849">
        <v>0.0</v>
      </c>
      <c r="AI359" s="849">
        <v>0.0</v>
      </c>
      <c r="AJ359" s="794" t="str">
        <f t="shared" ref="AJ359:AK359" si="715">C359</f>
        <v>G2021A</v>
      </c>
      <c r="AK359" s="794" t="str">
        <f t="shared" si="715"/>
        <v>BNQ NATIONALE MASTER CARD</v>
      </c>
      <c r="AL359" s="794">
        <f t="array" ref="AL359">IFERROR(INDEX(G359:R359,1,MATCH(Parametres!$B$3,G$1:R$1,0)-1)*IF(OR(F359="L",F359="S",F359="I"),-1,1),"")</f>
        <v>0</v>
      </c>
      <c r="AM359" s="794">
        <f t="shared" si="4"/>
        <v>0</v>
      </c>
      <c r="AN359" s="794">
        <f t="array" ref="AN359">INDEX(G359:R359,1,MATCH(Parametres!$B$3,G$1:R$1,0))*IF(OR(F359="L",F359="S",F359="I"),-1,1)</f>
        <v>0</v>
      </c>
      <c r="AO359" s="853" t="str">
        <f>+VLOOKUP($AJ359,Data_Validation!$A:$D,1,0)</f>
        <v>#N/A</v>
      </c>
      <c r="AP359" s="853" t="str">
        <f>+VLOOKUP($AJ359,Data_Validation!$A:$D,3,0)</f>
        <v>#N/A</v>
      </c>
      <c r="AQ359" s="853" t="str">
        <f>+VLOOKUP($AJ359,Data_Validation!$A:$D,4,0)</f>
        <v>#N/A</v>
      </c>
      <c r="AR359" s="853" t="s">
        <v>728</v>
      </c>
      <c r="AS359" s="853" t="str">
        <f>+VLOOKUP($AJ359,Data_Validation!$A:$E,5,0)</f>
        <v>#N/A</v>
      </c>
      <c r="AT359" s="794" t="str">
        <f t="shared" ref="AT359:AU359" si="716">C359</f>
        <v>G2021A</v>
      </c>
      <c r="AU359" s="854" t="str">
        <f t="shared" si="716"/>
        <v>BNQ NATIONALE MASTER CARD</v>
      </c>
      <c r="AV359" s="794">
        <f t="array" ref="AV359">IFERROR(INDEX(V359:AG359,1,MATCH(Parametres!$B$3,V$1:AG$1,0)-1)*IF(OR(C359="L",C359="S",C359="I"),-1,1),"")</f>
        <v>0</v>
      </c>
      <c r="AW359" s="794">
        <f t="shared" si="6"/>
        <v>0</v>
      </c>
      <c r="AX359" s="794">
        <f t="array" ref="AX359">INDEX(V359:AG359,1,MATCH(Parametres!$B$3,V$1:AG$1,0))*IF(OR(C359="L",C359="S",C359="I"),-1,1)</f>
        <v>0</v>
      </c>
      <c r="AY359" s="853" t="s">
        <v>772</v>
      </c>
      <c r="AZ359" s="853" t="str">
        <f>+VLOOKUP($AJ359,Data_Validation!$A:$E,5,0)</f>
        <v>#N/A</v>
      </c>
    </row>
    <row r="360" ht="15.0" customHeight="1">
      <c r="A360" s="849" t="s">
        <v>1239</v>
      </c>
      <c r="B360" s="849">
        <v>2026.0</v>
      </c>
      <c r="C360" s="849" t="s">
        <v>1943</v>
      </c>
      <c r="D360" s="849" t="s">
        <v>1944</v>
      </c>
      <c r="E360" s="849" t="s">
        <v>1931</v>
      </c>
      <c r="F360" s="849" t="s">
        <v>1926</v>
      </c>
      <c r="G360" s="849">
        <v>956.15</v>
      </c>
      <c r="H360" s="849">
        <v>956.15</v>
      </c>
      <c r="I360" s="849">
        <v>956.15</v>
      </c>
      <c r="J360" s="849">
        <v>956.15</v>
      </c>
      <c r="K360" s="849">
        <v>956.15</v>
      </c>
      <c r="L360" s="849">
        <v>956.15</v>
      </c>
      <c r="M360" s="849">
        <v>956.15</v>
      </c>
      <c r="N360" s="849">
        <v>956.15</v>
      </c>
      <c r="O360" s="849">
        <v>956.15</v>
      </c>
      <c r="P360" s="849">
        <v>956.15</v>
      </c>
      <c r="Q360" s="849">
        <v>0.0</v>
      </c>
      <c r="R360" s="849">
        <v>0.0</v>
      </c>
      <c r="S360" s="849">
        <v>0.0</v>
      </c>
      <c r="T360" s="849">
        <v>0.0</v>
      </c>
      <c r="U360" s="849">
        <v>0.0</v>
      </c>
      <c r="V360" s="849">
        <v>0.0</v>
      </c>
      <c r="W360" s="849">
        <v>0.0</v>
      </c>
      <c r="X360" s="849">
        <v>0.0</v>
      </c>
      <c r="Y360" s="849">
        <v>0.0</v>
      </c>
      <c r="Z360" s="849">
        <v>0.0</v>
      </c>
      <c r="AA360" s="849">
        <v>0.0</v>
      </c>
      <c r="AB360" s="849">
        <v>0.0</v>
      </c>
      <c r="AC360" s="849">
        <v>0.0</v>
      </c>
      <c r="AD360" s="849">
        <v>0.0</v>
      </c>
      <c r="AE360" s="849">
        <v>0.0</v>
      </c>
      <c r="AF360" s="849">
        <v>0.0</v>
      </c>
      <c r="AG360" s="849">
        <v>0.0</v>
      </c>
      <c r="AH360" s="849">
        <v>0.0</v>
      </c>
      <c r="AI360" s="849">
        <v>0.0</v>
      </c>
      <c r="AJ360" s="794" t="str">
        <f t="shared" ref="AJ360:AK360" si="717">C360</f>
        <v>G20300</v>
      </c>
      <c r="AK360" s="794" t="str">
        <f t="shared" si="717"/>
        <v>COMPTE U.S. BANQUE TD</v>
      </c>
      <c r="AL360" s="794">
        <f t="array" ref="AL360">IFERROR(INDEX(G360:R360,1,MATCH(Parametres!$B$3,G$1:R$1,0)-1)*IF(OR(F360="L",F360="S",F360="I"),-1,1),"")</f>
        <v>956.15</v>
      </c>
      <c r="AM360" s="794">
        <f t="shared" si="4"/>
        <v>0</v>
      </c>
      <c r="AN360" s="794">
        <f t="array" ref="AN360">INDEX(G360:R360,1,MATCH(Parametres!$B$3,G$1:R$1,0))*IF(OR(F360="L",F360="S",F360="I"),-1,1)</f>
        <v>956.15</v>
      </c>
      <c r="AO360" s="853" t="str">
        <f>+VLOOKUP($AJ360,Data_Validation!$A:$D,1,0)</f>
        <v>G20300</v>
      </c>
      <c r="AP360" s="853" t="str">
        <f>+VLOOKUP($AJ360,Data_Validation!$A:$D,3,0)</f>
        <v>Bilan</v>
      </c>
      <c r="AQ360" s="853" t="str">
        <f>+VLOOKUP($AJ360,Data_Validation!$A:$D,4,0)</f>
        <v>Encaisse</v>
      </c>
      <c r="AR360" s="853" t="s">
        <v>728</v>
      </c>
      <c r="AS360" s="853" t="str">
        <f>+VLOOKUP($AJ360,Data_Validation!$A:$E,5,0)</f>
        <v/>
      </c>
      <c r="AT360" s="794" t="str">
        <f t="shared" ref="AT360:AU360" si="718">C360</f>
        <v>G20300</v>
      </c>
      <c r="AU360" s="854" t="str">
        <f t="shared" si="718"/>
        <v>COMPTE U.S. BANQUE TD</v>
      </c>
      <c r="AV360" s="794">
        <f t="array" ref="AV360">IFERROR(INDEX(V360:AG360,1,MATCH(Parametres!$B$3,V$1:AG$1,0)-1)*IF(OR(C360="L",C360="S",C360="I"),-1,1),"")</f>
        <v>0</v>
      </c>
      <c r="AW360" s="794">
        <f t="shared" si="6"/>
        <v>0</v>
      </c>
      <c r="AX360" s="794">
        <f t="array" ref="AX360">INDEX(V360:AG360,1,MATCH(Parametres!$B$3,V$1:AG$1,0))*IF(OR(C360="L",C360="S",C360="I"),-1,1)</f>
        <v>0</v>
      </c>
      <c r="AY360" s="853" t="s">
        <v>772</v>
      </c>
      <c r="AZ360" s="853" t="str">
        <f>+VLOOKUP($AJ360,Data_Validation!$A:$E,5,0)</f>
        <v/>
      </c>
    </row>
    <row r="361" ht="15.0" customHeight="1">
      <c r="A361" s="849" t="s">
        <v>1239</v>
      </c>
      <c r="B361" s="849">
        <v>2026.0</v>
      </c>
      <c r="C361" s="849" t="s">
        <v>1945</v>
      </c>
      <c r="D361" s="849" t="s">
        <v>1946</v>
      </c>
      <c r="E361" s="849" t="s">
        <v>1931</v>
      </c>
      <c r="F361" s="849" t="s">
        <v>1926</v>
      </c>
      <c r="G361" s="849">
        <v>0.0</v>
      </c>
      <c r="H361" s="849">
        <v>0.0</v>
      </c>
      <c r="I361" s="849">
        <v>0.0</v>
      </c>
      <c r="J361" s="849">
        <v>0.0</v>
      </c>
      <c r="K361" s="849">
        <v>0.0</v>
      </c>
      <c r="L361" s="849">
        <v>0.0</v>
      </c>
      <c r="M361" s="849">
        <v>0.0</v>
      </c>
      <c r="N361" s="849">
        <v>0.0</v>
      </c>
      <c r="O361" s="849">
        <v>0.0</v>
      </c>
      <c r="P361" s="849">
        <v>0.0</v>
      </c>
      <c r="Q361" s="849">
        <v>0.0</v>
      </c>
      <c r="R361" s="849">
        <v>0.0</v>
      </c>
      <c r="S361" s="849">
        <v>0.0</v>
      </c>
      <c r="T361" s="849">
        <v>0.0</v>
      </c>
      <c r="U361" s="849">
        <v>0.0</v>
      </c>
      <c r="V361" s="849">
        <v>0.0</v>
      </c>
      <c r="W361" s="849">
        <v>0.0</v>
      </c>
      <c r="X361" s="849">
        <v>0.0</v>
      </c>
      <c r="Y361" s="849">
        <v>0.0</v>
      </c>
      <c r="Z361" s="849">
        <v>0.0</v>
      </c>
      <c r="AA361" s="849">
        <v>0.0</v>
      </c>
      <c r="AB361" s="849">
        <v>0.0</v>
      </c>
      <c r="AC361" s="849">
        <v>0.0</v>
      </c>
      <c r="AD361" s="849">
        <v>0.0</v>
      </c>
      <c r="AE361" s="849">
        <v>0.0</v>
      </c>
      <c r="AF361" s="849">
        <v>0.0</v>
      </c>
      <c r="AG361" s="849">
        <v>0.0</v>
      </c>
      <c r="AH361" s="849">
        <v>0.0</v>
      </c>
      <c r="AI361" s="849">
        <v>0.0</v>
      </c>
      <c r="AJ361" s="794" t="str">
        <f t="shared" ref="AJ361:AK361" si="719">C361</f>
        <v>G20301</v>
      </c>
      <c r="AK361" s="794" t="str">
        <f t="shared" si="719"/>
        <v>CONVERTION COMPTE U.S.</v>
      </c>
      <c r="AL361" s="794">
        <f t="array" ref="AL361">IFERROR(INDEX(G361:R361,1,MATCH(Parametres!$B$3,G$1:R$1,0)-1)*IF(OR(F361="L",F361="S",F361="I"),-1,1),"")</f>
        <v>0</v>
      </c>
      <c r="AM361" s="794">
        <f t="shared" si="4"/>
        <v>0</v>
      </c>
      <c r="AN361" s="794">
        <f t="array" ref="AN361">INDEX(G361:R361,1,MATCH(Parametres!$B$3,G$1:R$1,0))*IF(OR(F361="L",F361="S",F361="I"),-1,1)</f>
        <v>0</v>
      </c>
      <c r="AO361" s="853" t="str">
        <f>+VLOOKUP($AJ361,Data_Validation!$A:$D,1,0)</f>
        <v>#N/A</v>
      </c>
      <c r="AP361" s="853" t="str">
        <f>+VLOOKUP($AJ361,Data_Validation!$A:$D,3,0)</f>
        <v>#N/A</v>
      </c>
      <c r="AQ361" s="853" t="str">
        <f>+VLOOKUP($AJ361,Data_Validation!$A:$D,4,0)</f>
        <v>#N/A</v>
      </c>
      <c r="AR361" s="853" t="s">
        <v>728</v>
      </c>
      <c r="AS361" s="853" t="str">
        <f>+VLOOKUP($AJ361,Data_Validation!$A:$E,5,0)</f>
        <v>#N/A</v>
      </c>
      <c r="AT361" s="794" t="str">
        <f t="shared" ref="AT361:AU361" si="720">C361</f>
        <v>G20301</v>
      </c>
      <c r="AU361" s="854" t="str">
        <f t="shared" si="720"/>
        <v>CONVERTION COMPTE U.S.</v>
      </c>
      <c r="AV361" s="794">
        <f t="array" ref="AV361">IFERROR(INDEX(V361:AG361,1,MATCH(Parametres!$B$3,V$1:AG$1,0)-1)*IF(OR(C361="L",C361="S",C361="I"),-1,1),"")</f>
        <v>0</v>
      </c>
      <c r="AW361" s="794">
        <f t="shared" si="6"/>
        <v>0</v>
      </c>
      <c r="AX361" s="794">
        <f t="array" ref="AX361">INDEX(V361:AG361,1,MATCH(Parametres!$B$3,V$1:AG$1,0))*IF(OR(C361="L",C361="S",C361="I"),-1,1)</f>
        <v>0</v>
      </c>
      <c r="AY361" s="853" t="s">
        <v>772</v>
      </c>
      <c r="AZ361" s="853" t="str">
        <f>+VLOOKUP($AJ361,Data_Validation!$A:$E,5,0)</f>
        <v>#N/A</v>
      </c>
    </row>
    <row r="362" ht="15.75" customHeight="1">
      <c r="A362" s="849" t="s">
        <v>1239</v>
      </c>
      <c r="B362" s="849">
        <v>2026.0</v>
      </c>
      <c r="C362" s="849" t="s">
        <v>1947</v>
      </c>
      <c r="D362" s="849" t="s">
        <v>1948</v>
      </c>
      <c r="E362" s="849" t="s">
        <v>768</v>
      </c>
      <c r="F362" s="849" t="s">
        <v>1926</v>
      </c>
      <c r="G362" s="849">
        <v>0.0</v>
      </c>
      <c r="H362" s="849">
        <v>0.0</v>
      </c>
      <c r="I362" s="849">
        <v>0.0</v>
      </c>
      <c r="J362" s="849">
        <v>0.0</v>
      </c>
      <c r="K362" s="849">
        <v>0.0</v>
      </c>
      <c r="L362" s="849">
        <v>0.0</v>
      </c>
      <c r="M362" s="849">
        <v>0.0</v>
      </c>
      <c r="N362" s="849">
        <v>0.0</v>
      </c>
      <c r="O362" s="849">
        <v>0.0</v>
      </c>
      <c r="P362" s="849">
        <v>0.0</v>
      </c>
      <c r="Q362" s="849">
        <v>0.0</v>
      </c>
      <c r="R362" s="849">
        <v>0.0</v>
      </c>
      <c r="S362" s="849">
        <v>0.0</v>
      </c>
      <c r="T362" s="849">
        <v>0.0</v>
      </c>
      <c r="U362" s="849">
        <v>0.0</v>
      </c>
      <c r="V362" s="849">
        <v>0.0</v>
      </c>
      <c r="W362" s="849">
        <v>0.0</v>
      </c>
      <c r="X362" s="849">
        <v>0.0</v>
      </c>
      <c r="Y362" s="849">
        <v>0.0</v>
      </c>
      <c r="Z362" s="849">
        <v>0.0</v>
      </c>
      <c r="AA362" s="849">
        <v>0.0</v>
      </c>
      <c r="AB362" s="849">
        <v>0.0</v>
      </c>
      <c r="AC362" s="849">
        <v>0.0</v>
      </c>
      <c r="AD362" s="849">
        <v>0.0</v>
      </c>
      <c r="AE362" s="849">
        <v>0.0</v>
      </c>
      <c r="AF362" s="849">
        <v>0.0</v>
      </c>
      <c r="AG362" s="849">
        <v>0.0</v>
      </c>
      <c r="AH362" s="849">
        <v>0.0</v>
      </c>
      <c r="AI362" s="849">
        <v>0.0</v>
      </c>
      <c r="AJ362" s="794" t="str">
        <f t="shared" ref="AJ362:AK362" si="721">C362</f>
        <v>G20400</v>
      </c>
      <c r="AK362" s="794" t="str">
        <f t="shared" si="721"/>
        <v>AVANTAGE ENTREPRISE E.T.</v>
      </c>
      <c r="AL362" s="794">
        <f t="array" ref="AL362">IFERROR(INDEX(G362:R362,1,MATCH(Parametres!$B$3,G$1:R$1,0)-1)*IF(OR(F362="L",F362="S",F362="I"),-1,1),"")</f>
        <v>0</v>
      </c>
      <c r="AM362" s="794">
        <f t="shared" si="4"/>
        <v>0</v>
      </c>
      <c r="AN362" s="794">
        <f t="array" ref="AN362">INDEX(G362:R362,1,MATCH(Parametres!$B$3,G$1:R$1,0))*IF(OR(F362="L",F362="S",F362="I"),-1,1)</f>
        <v>0</v>
      </c>
      <c r="AO362" s="853" t="str">
        <f>+VLOOKUP($AJ362,Data_Validation!$A:$D,1,0)</f>
        <v>G20400</v>
      </c>
      <c r="AP362" s="853" t="str">
        <f>+VLOOKUP($AJ362,Data_Validation!$A:$D,3,0)</f>
        <v/>
      </c>
      <c r="AQ362" s="853" t="str">
        <f>+VLOOKUP($AJ362,Data_Validation!$A:$D,4,0)</f>
        <v/>
      </c>
      <c r="AR362" s="853" t="s">
        <v>728</v>
      </c>
      <c r="AS362" s="853" t="str">
        <f>+VLOOKUP($AJ362,Data_Validation!$A:$E,5,0)</f>
        <v/>
      </c>
      <c r="AT362" s="794" t="str">
        <f t="shared" ref="AT362:AU362" si="722">C362</f>
        <v>G20400</v>
      </c>
      <c r="AU362" s="854" t="str">
        <f t="shared" si="722"/>
        <v>AVANTAGE ENTREPRISE E.T.</v>
      </c>
      <c r="AV362" s="794">
        <f t="array" ref="AV362">IFERROR(INDEX(V362:AG362,1,MATCH(Parametres!$B$3,V$1:AG$1,0)-1)*IF(OR(C362="L",C362="S",C362="I"),-1,1),"")</f>
        <v>0</v>
      </c>
      <c r="AW362" s="794">
        <f t="shared" si="6"/>
        <v>0</v>
      </c>
      <c r="AX362" s="794">
        <f t="array" ref="AX362">INDEX(V362:AG362,1,MATCH(Parametres!$B$3,V$1:AG$1,0))*IF(OR(C362="L",C362="S",C362="I"),-1,1)</f>
        <v>0</v>
      </c>
      <c r="AY362" s="853" t="s">
        <v>772</v>
      </c>
      <c r="AZ362" s="853" t="str">
        <f>+VLOOKUP($AJ362,Data_Validation!$A:$E,5,0)</f>
        <v/>
      </c>
    </row>
    <row r="363" ht="15.75" customHeight="1">
      <c r="A363" s="849" t="s">
        <v>1239</v>
      </c>
      <c r="B363" s="849">
        <v>2026.0</v>
      </c>
      <c r="C363" s="849" t="s">
        <v>1949</v>
      </c>
      <c r="D363" s="849" t="s">
        <v>1950</v>
      </c>
      <c r="E363" s="849" t="s">
        <v>1951</v>
      </c>
      <c r="F363" s="849" t="s">
        <v>1926</v>
      </c>
      <c r="G363" s="849">
        <v>330805.69</v>
      </c>
      <c r="H363" s="849">
        <v>706888.46</v>
      </c>
      <c r="I363" s="849">
        <v>745869.19</v>
      </c>
      <c r="J363" s="849">
        <v>969080.49</v>
      </c>
      <c r="K363" s="849">
        <v>475145.45</v>
      </c>
      <c r="L363" s="849">
        <v>630029.98</v>
      </c>
      <c r="M363" s="849">
        <v>659596.54</v>
      </c>
      <c r="N363" s="849">
        <v>570763.31</v>
      </c>
      <c r="O363" s="849">
        <v>719813.25</v>
      </c>
      <c r="P363" s="849">
        <v>267066.72</v>
      </c>
      <c r="Q363" s="849">
        <v>0.0</v>
      </c>
      <c r="R363" s="849">
        <v>0.0</v>
      </c>
      <c r="S363" s="849">
        <v>0.0</v>
      </c>
      <c r="T363" s="849">
        <v>0.0</v>
      </c>
      <c r="U363" s="849">
        <v>0.0</v>
      </c>
      <c r="V363" s="849">
        <v>0.0</v>
      </c>
      <c r="W363" s="849">
        <v>0.0</v>
      </c>
      <c r="X363" s="849">
        <v>0.0</v>
      </c>
      <c r="Y363" s="849">
        <v>0.0</v>
      </c>
      <c r="Z363" s="849">
        <v>0.0</v>
      </c>
      <c r="AA363" s="849">
        <v>0.0</v>
      </c>
      <c r="AB363" s="849">
        <v>0.0</v>
      </c>
      <c r="AC363" s="849">
        <v>0.0</v>
      </c>
      <c r="AD363" s="849">
        <v>0.0</v>
      </c>
      <c r="AE363" s="849">
        <v>0.0</v>
      </c>
      <c r="AF363" s="849">
        <v>0.0</v>
      </c>
      <c r="AG363" s="849">
        <v>0.0</v>
      </c>
      <c r="AH363" s="849">
        <v>0.0</v>
      </c>
      <c r="AI363" s="849">
        <v>0.0</v>
      </c>
      <c r="AJ363" s="794" t="str">
        <f t="shared" ref="AJ363:AK363" si="723">C363</f>
        <v>G20500</v>
      </c>
      <c r="AK363" s="794" t="str">
        <f t="shared" si="723"/>
        <v>CONTRATS FINANCE A/R GM</v>
      </c>
      <c r="AL363" s="794">
        <f t="array" ref="AL363">IFERROR(INDEX(G363:R363,1,MATCH(Parametres!$B$3,G$1:R$1,0)-1)*IF(OR(F363="L",F363="S",F363="I"),-1,1),"")</f>
        <v>570763.31</v>
      </c>
      <c r="AM363" s="794">
        <f t="shared" si="4"/>
        <v>149049.94</v>
      </c>
      <c r="AN363" s="794">
        <f t="array" ref="AN363">INDEX(G363:R363,1,MATCH(Parametres!$B$3,G$1:R$1,0))*IF(OR(F363="L",F363="S",F363="I"),-1,1)</f>
        <v>719813.25</v>
      </c>
      <c r="AO363" s="853" t="str">
        <f>+VLOOKUP($AJ363,Data_Validation!$A:$D,1,0)</f>
        <v>G20500</v>
      </c>
      <c r="AP363" s="853" t="str">
        <f>+VLOOKUP($AJ363,Data_Validation!$A:$D,3,0)</f>
        <v>Bilan</v>
      </c>
      <c r="AQ363" s="853" t="str">
        <f>+VLOOKUP($AJ363,Data_Validation!$A:$D,4,0)</f>
        <v>Recevables Contrats en Transit</v>
      </c>
      <c r="AR363" s="853" t="s">
        <v>728</v>
      </c>
      <c r="AS363" s="853" t="str">
        <f>+VLOOKUP($AJ363,Data_Validation!$A:$E,5,0)</f>
        <v/>
      </c>
      <c r="AT363" s="794" t="str">
        <f t="shared" ref="AT363:AU363" si="724">C363</f>
        <v>G20500</v>
      </c>
      <c r="AU363" s="854" t="str">
        <f t="shared" si="724"/>
        <v>CONTRATS FINANCE A/R GM</v>
      </c>
      <c r="AV363" s="794">
        <f t="array" ref="AV363">IFERROR(INDEX(V363:AG363,1,MATCH(Parametres!$B$3,V$1:AG$1,0)-1)*IF(OR(C363="L",C363="S",C363="I"),-1,1),"")</f>
        <v>0</v>
      </c>
      <c r="AW363" s="794">
        <f t="shared" si="6"/>
        <v>0</v>
      </c>
      <c r="AX363" s="794">
        <f t="array" ref="AX363">INDEX(V363:AG363,1,MATCH(Parametres!$B$3,V$1:AG$1,0))*IF(OR(C363="L",C363="S",C363="I"),-1,1)</f>
        <v>0</v>
      </c>
      <c r="AY363" s="853" t="s">
        <v>772</v>
      </c>
      <c r="AZ363" s="853" t="str">
        <f>+VLOOKUP($AJ363,Data_Validation!$A:$E,5,0)</f>
        <v/>
      </c>
    </row>
    <row r="364" ht="15.0" customHeight="1">
      <c r="A364" s="849" t="s">
        <v>1239</v>
      </c>
      <c r="B364" s="849">
        <v>2026.0</v>
      </c>
      <c r="C364" s="849" t="s">
        <v>1952</v>
      </c>
      <c r="D364" s="849" t="s">
        <v>1953</v>
      </c>
      <c r="E364" s="849" t="s">
        <v>768</v>
      </c>
      <c r="F364" s="849" t="s">
        <v>1926</v>
      </c>
      <c r="G364" s="849">
        <v>0.0</v>
      </c>
      <c r="H364" s="849">
        <v>0.0</v>
      </c>
      <c r="I364" s="849">
        <v>0.0</v>
      </c>
      <c r="J364" s="849">
        <v>0.0</v>
      </c>
      <c r="K364" s="849">
        <v>0.0</v>
      </c>
      <c r="L364" s="849">
        <v>0.0</v>
      </c>
      <c r="M364" s="849">
        <v>0.0</v>
      </c>
      <c r="N364" s="849">
        <v>0.0</v>
      </c>
      <c r="O364" s="849">
        <v>0.0</v>
      </c>
      <c r="P364" s="849">
        <v>0.0</v>
      </c>
      <c r="Q364" s="849">
        <v>0.0</v>
      </c>
      <c r="R364" s="849">
        <v>0.0</v>
      </c>
      <c r="S364" s="849">
        <v>0.0</v>
      </c>
      <c r="T364" s="849">
        <v>0.0</v>
      </c>
      <c r="U364" s="849">
        <v>0.0</v>
      </c>
      <c r="V364" s="849">
        <v>0.0</v>
      </c>
      <c r="W364" s="849">
        <v>0.0</v>
      </c>
      <c r="X364" s="849">
        <v>0.0</v>
      </c>
      <c r="Y364" s="849">
        <v>0.0</v>
      </c>
      <c r="Z364" s="849">
        <v>0.0</v>
      </c>
      <c r="AA364" s="849">
        <v>0.0</v>
      </c>
      <c r="AB364" s="849">
        <v>0.0</v>
      </c>
      <c r="AC364" s="849">
        <v>0.0</v>
      </c>
      <c r="AD364" s="849">
        <v>0.0</v>
      </c>
      <c r="AE364" s="849">
        <v>0.0</v>
      </c>
      <c r="AF364" s="849">
        <v>0.0</v>
      </c>
      <c r="AG364" s="849">
        <v>0.0</v>
      </c>
      <c r="AH364" s="849">
        <v>0.0</v>
      </c>
      <c r="AI364" s="849">
        <v>0.0</v>
      </c>
      <c r="AJ364" s="794" t="str">
        <f t="shared" ref="AJ364:AK364" si="725">C364</f>
        <v>G20998</v>
      </c>
      <c r="AK364" s="794" t="str">
        <f t="shared" si="725"/>
        <v>DEDUCTIBLE</v>
      </c>
      <c r="AL364" s="794">
        <f t="array" ref="AL364">IFERROR(INDEX(G364:R364,1,MATCH(Parametres!$B$3,G$1:R$1,0)-1)*IF(OR(F364="L",F364="S",F364="I"),-1,1),"")</f>
        <v>0</v>
      </c>
      <c r="AM364" s="794">
        <f t="shared" si="4"/>
        <v>0</v>
      </c>
      <c r="AN364" s="794">
        <f t="array" ref="AN364">INDEX(G364:R364,1,MATCH(Parametres!$B$3,G$1:R$1,0))*IF(OR(F364="L",F364="S",F364="I"),-1,1)</f>
        <v>0</v>
      </c>
      <c r="AO364" s="853" t="str">
        <f>+VLOOKUP($AJ364,Data_Validation!$A:$D,1,0)</f>
        <v>#N/A</v>
      </c>
      <c r="AP364" s="853" t="str">
        <f>+VLOOKUP($AJ364,Data_Validation!$A:$D,3,0)</f>
        <v>#N/A</v>
      </c>
      <c r="AQ364" s="853" t="str">
        <f>+VLOOKUP($AJ364,Data_Validation!$A:$D,4,0)</f>
        <v>#N/A</v>
      </c>
      <c r="AR364" s="853" t="s">
        <v>728</v>
      </c>
      <c r="AS364" s="853" t="str">
        <f>+VLOOKUP($AJ364,Data_Validation!$A:$E,5,0)</f>
        <v>#N/A</v>
      </c>
      <c r="AT364" s="794" t="str">
        <f t="shared" ref="AT364:AU364" si="726">C364</f>
        <v>G20998</v>
      </c>
      <c r="AU364" s="854" t="str">
        <f t="shared" si="726"/>
        <v>DEDUCTIBLE</v>
      </c>
      <c r="AV364" s="794">
        <f t="array" ref="AV364">IFERROR(INDEX(V364:AG364,1,MATCH(Parametres!$B$3,V$1:AG$1,0)-1)*IF(OR(C364="L",C364="S",C364="I"),-1,1),"")</f>
        <v>0</v>
      </c>
      <c r="AW364" s="794">
        <f t="shared" si="6"/>
        <v>0</v>
      </c>
      <c r="AX364" s="794">
        <f t="array" ref="AX364">INDEX(V364:AG364,1,MATCH(Parametres!$B$3,V$1:AG$1,0))*IF(OR(C364="L",C364="S",C364="I"),-1,1)</f>
        <v>0</v>
      </c>
      <c r="AY364" s="853" t="s">
        <v>772</v>
      </c>
      <c r="AZ364" s="853" t="str">
        <f>+VLOOKUP($AJ364,Data_Validation!$A:$E,5,0)</f>
        <v>#N/A</v>
      </c>
    </row>
    <row r="365" ht="15.75" customHeight="1">
      <c r="A365" s="849" t="s">
        <v>1239</v>
      </c>
      <c r="B365" s="849">
        <v>2026.0</v>
      </c>
      <c r="C365" s="849" t="s">
        <v>1954</v>
      </c>
      <c r="D365" s="849" t="s">
        <v>1919</v>
      </c>
      <c r="E365" s="849" t="s">
        <v>768</v>
      </c>
      <c r="F365" s="849" t="s">
        <v>1926</v>
      </c>
      <c r="G365" s="849">
        <v>0.0</v>
      </c>
      <c r="H365" s="849">
        <v>0.0</v>
      </c>
      <c r="I365" s="849">
        <v>0.0</v>
      </c>
      <c r="J365" s="849">
        <v>0.0</v>
      </c>
      <c r="K365" s="849">
        <v>0.0</v>
      </c>
      <c r="L365" s="849">
        <v>0.0</v>
      </c>
      <c r="M365" s="849">
        <v>0.0</v>
      </c>
      <c r="N365" s="849">
        <v>0.0</v>
      </c>
      <c r="O365" s="849">
        <v>0.0</v>
      </c>
      <c r="P365" s="849">
        <v>0.0</v>
      </c>
      <c r="Q365" s="849">
        <v>0.0</v>
      </c>
      <c r="R365" s="849">
        <v>0.0</v>
      </c>
      <c r="S365" s="849">
        <v>0.0</v>
      </c>
      <c r="T365" s="849">
        <v>0.0</v>
      </c>
      <c r="U365" s="849">
        <v>0.0</v>
      </c>
      <c r="V365" s="849">
        <v>0.0</v>
      </c>
      <c r="W365" s="849">
        <v>0.0</v>
      </c>
      <c r="X365" s="849">
        <v>0.0</v>
      </c>
      <c r="Y365" s="849">
        <v>0.0</v>
      </c>
      <c r="Z365" s="849">
        <v>0.0</v>
      </c>
      <c r="AA365" s="849">
        <v>0.0</v>
      </c>
      <c r="AB365" s="849">
        <v>0.0</v>
      </c>
      <c r="AC365" s="849">
        <v>0.0</v>
      </c>
      <c r="AD365" s="849">
        <v>0.0</v>
      </c>
      <c r="AE365" s="849">
        <v>0.0</v>
      </c>
      <c r="AF365" s="849">
        <v>0.0</v>
      </c>
      <c r="AG365" s="849">
        <v>0.0</v>
      </c>
      <c r="AH365" s="849">
        <v>0.0</v>
      </c>
      <c r="AI365" s="849">
        <v>0.0</v>
      </c>
      <c r="AJ365" s="794" t="str">
        <f t="shared" ref="AJ365:AK365" si="727">C365</f>
        <v>G20999</v>
      </c>
      <c r="AK365" s="794" t="str">
        <f t="shared" si="727"/>
        <v>DOCUMENTS CANCELLES</v>
      </c>
      <c r="AL365" s="794">
        <f t="array" ref="AL365">IFERROR(INDEX(G365:R365,1,MATCH(Parametres!$B$3,G$1:R$1,0)-1)*IF(OR(F365="L",F365="S",F365="I"),-1,1),"")</f>
        <v>0</v>
      </c>
      <c r="AM365" s="794">
        <f t="shared" si="4"/>
        <v>0</v>
      </c>
      <c r="AN365" s="794">
        <f t="array" ref="AN365">INDEX(G365:R365,1,MATCH(Parametres!$B$3,G$1:R$1,0))*IF(OR(F365="L",F365="S",F365="I"),-1,1)</f>
        <v>0</v>
      </c>
      <c r="AO365" s="853" t="str">
        <f>+VLOOKUP($AJ365,Data_Validation!$A:$D,1,0)</f>
        <v>#N/A</v>
      </c>
      <c r="AP365" s="853" t="str">
        <f>+VLOOKUP($AJ365,Data_Validation!$A:$D,3,0)</f>
        <v>#N/A</v>
      </c>
      <c r="AQ365" s="853" t="str">
        <f>+VLOOKUP($AJ365,Data_Validation!$A:$D,4,0)</f>
        <v>#N/A</v>
      </c>
      <c r="AR365" s="853" t="s">
        <v>728</v>
      </c>
      <c r="AS365" s="853" t="str">
        <f>+VLOOKUP($AJ365,Data_Validation!$A:$E,5,0)</f>
        <v>#N/A</v>
      </c>
      <c r="AT365" s="794" t="str">
        <f t="shared" ref="AT365:AU365" si="728">C365</f>
        <v>G20999</v>
      </c>
      <c r="AU365" s="854" t="str">
        <f t="shared" si="728"/>
        <v>DOCUMENTS CANCELLES</v>
      </c>
      <c r="AV365" s="794">
        <f t="array" ref="AV365">IFERROR(INDEX(V365:AG365,1,MATCH(Parametres!$B$3,V$1:AG$1,0)-1)*IF(OR(C365="L",C365="S",C365="I"),-1,1),"")</f>
        <v>0</v>
      </c>
      <c r="AW365" s="794">
        <f t="shared" si="6"/>
        <v>0</v>
      </c>
      <c r="AX365" s="794">
        <f t="array" ref="AX365">INDEX(V365:AG365,1,MATCH(Parametres!$B$3,V$1:AG$1,0))*IF(OR(C365="L",C365="S",C365="I"),-1,1)</f>
        <v>0</v>
      </c>
      <c r="AY365" s="853" t="s">
        <v>772</v>
      </c>
      <c r="AZ365" s="853" t="str">
        <f>+VLOOKUP($AJ365,Data_Validation!$A:$E,5,0)</f>
        <v>#N/A</v>
      </c>
    </row>
    <row r="366" ht="15.75" customHeight="1">
      <c r="A366" s="849" t="s">
        <v>1239</v>
      </c>
      <c r="B366" s="849">
        <v>2026.0</v>
      </c>
      <c r="C366" s="849" t="s">
        <v>1955</v>
      </c>
      <c r="D366" s="849" t="s">
        <v>1956</v>
      </c>
      <c r="E366" s="849" t="s">
        <v>768</v>
      </c>
      <c r="F366" s="849" t="s">
        <v>1200</v>
      </c>
      <c r="G366" s="849">
        <v>0.0</v>
      </c>
      <c r="H366" s="849">
        <v>0.0</v>
      </c>
      <c r="I366" s="849">
        <v>0.0</v>
      </c>
      <c r="J366" s="849">
        <v>0.0</v>
      </c>
      <c r="K366" s="849">
        <v>0.0</v>
      </c>
      <c r="L366" s="849">
        <v>0.0</v>
      </c>
      <c r="M366" s="849">
        <v>0.0</v>
      </c>
      <c r="N366" s="849">
        <v>0.0</v>
      </c>
      <c r="O366" s="849">
        <v>0.0</v>
      </c>
      <c r="P366" s="849">
        <v>0.0</v>
      </c>
      <c r="Q366" s="849">
        <v>0.0</v>
      </c>
      <c r="R366" s="849">
        <v>0.0</v>
      </c>
      <c r="S366" s="849">
        <v>0.0</v>
      </c>
      <c r="T366" s="849">
        <v>0.0</v>
      </c>
      <c r="U366" s="849">
        <v>0.0</v>
      </c>
      <c r="V366" s="849">
        <v>0.0</v>
      </c>
      <c r="W366" s="849">
        <v>0.0</v>
      </c>
      <c r="X366" s="849">
        <v>0.0</v>
      </c>
      <c r="Y366" s="849">
        <v>0.0</v>
      </c>
      <c r="Z366" s="849">
        <v>0.0</v>
      </c>
      <c r="AA366" s="849">
        <v>0.0</v>
      </c>
      <c r="AB366" s="849">
        <v>0.0</v>
      </c>
      <c r="AC366" s="849">
        <v>0.0</v>
      </c>
      <c r="AD366" s="849">
        <v>0.0</v>
      </c>
      <c r="AE366" s="849">
        <v>0.0</v>
      </c>
      <c r="AF366" s="849">
        <v>0.0</v>
      </c>
      <c r="AG366" s="849">
        <v>0.0</v>
      </c>
      <c r="AH366" s="849">
        <v>0.0</v>
      </c>
      <c r="AI366" s="849">
        <v>0.0</v>
      </c>
      <c r="AJ366" s="794" t="str">
        <f t="shared" ref="AJ366:AK366" si="729">C366</f>
        <v>G217</v>
      </c>
      <c r="AK366" s="794" t="str">
        <f t="shared" si="729"/>
        <v>RENUM. CADRES SAAQ</v>
      </c>
      <c r="AL366" s="794">
        <f t="array" ref="AL366">IFERROR(INDEX(G366:R366,1,MATCH(Parametres!$B$3,G$1:R$1,0)-1)*IF(OR(F366="L",F366="S",F366="I"),-1,1),"")</f>
        <v>0</v>
      </c>
      <c r="AM366" s="794">
        <f t="shared" si="4"/>
        <v>0</v>
      </c>
      <c r="AN366" s="794">
        <f t="array" ref="AN366">INDEX(G366:R366,1,MATCH(Parametres!$B$3,G$1:R$1,0))*IF(OR(F366="L",F366="S",F366="I"),-1,1)</f>
        <v>0</v>
      </c>
      <c r="AO366" s="853" t="str">
        <f>+VLOOKUP($AJ366,Data_Validation!$A:$D,1,0)</f>
        <v>#N/A</v>
      </c>
      <c r="AP366" s="853" t="str">
        <f>+VLOOKUP($AJ366,Data_Validation!$A:$D,3,0)</f>
        <v>#N/A</v>
      </c>
      <c r="AQ366" s="853" t="str">
        <f>+VLOOKUP($AJ366,Data_Validation!$A:$D,4,0)</f>
        <v>#N/A</v>
      </c>
      <c r="AR366" s="853" t="s">
        <v>728</v>
      </c>
      <c r="AS366" s="853" t="str">
        <f>+VLOOKUP($AJ366,Data_Validation!$A:$E,5,0)</f>
        <v>#N/A</v>
      </c>
      <c r="AT366" s="794" t="str">
        <f t="shared" ref="AT366:AU366" si="730">C366</f>
        <v>G217</v>
      </c>
      <c r="AU366" s="854" t="str">
        <f t="shared" si="730"/>
        <v>RENUM. CADRES SAAQ</v>
      </c>
      <c r="AV366" s="794">
        <f t="array" ref="AV366">IFERROR(INDEX(V366:AG366,1,MATCH(Parametres!$B$3,V$1:AG$1,0)-1)*IF(OR(C366="L",C366="S",C366="I"),-1,1),"")</f>
        <v>0</v>
      </c>
      <c r="AW366" s="794">
        <f t="shared" si="6"/>
        <v>0</v>
      </c>
      <c r="AX366" s="794">
        <f t="array" ref="AX366">INDEX(V366:AG366,1,MATCH(Parametres!$B$3,V$1:AG$1,0))*IF(OR(C366="L",C366="S",C366="I"),-1,1)</f>
        <v>0</v>
      </c>
      <c r="AY366" s="853" t="s">
        <v>772</v>
      </c>
      <c r="AZ366" s="853" t="str">
        <f>+VLOOKUP($AJ366,Data_Validation!$A:$E,5,0)</f>
        <v>#N/A</v>
      </c>
    </row>
    <row r="367" ht="15.75" customHeight="1">
      <c r="A367" s="849" t="s">
        <v>1239</v>
      </c>
      <c r="B367" s="849">
        <v>2026.0</v>
      </c>
      <c r="C367" s="849" t="s">
        <v>1957</v>
      </c>
      <c r="D367" s="849" t="s">
        <v>1958</v>
      </c>
      <c r="E367" s="849" t="s">
        <v>1959</v>
      </c>
      <c r="F367" s="849" t="s">
        <v>1926</v>
      </c>
      <c r="G367" s="849">
        <v>6399.45</v>
      </c>
      <c r="H367" s="849">
        <v>-14896.89</v>
      </c>
      <c r="I367" s="849">
        <v>-20666.06</v>
      </c>
      <c r="J367" s="849">
        <v>27307.57</v>
      </c>
      <c r="K367" s="849">
        <v>24469.29</v>
      </c>
      <c r="L367" s="849">
        <v>1830.26</v>
      </c>
      <c r="M367" s="849">
        <v>4493.58</v>
      </c>
      <c r="N367" s="849">
        <v>-4958.77</v>
      </c>
      <c r="O367" s="849">
        <v>-2650.06</v>
      </c>
      <c r="P367" s="849">
        <v>29790.76</v>
      </c>
      <c r="Q367" s="849">
        <v>0.0</v>
      </c>
      <c r="R367" s="849">
        <v>0.0</v>
      </c>
      <c r="S367" s="849">
        <v>0.0</v>
      </c>
      <c r="T367" s="849">
        <v>0.0</v>
      </c>
      <c r="U367" s="849">
        <v>0.0</v>
      </c>
      <c r="V367" s="849">
        <v>0.0</v>
      </c>
      <c r="W367" s="849">
        <v>0.0</v>
      </c>
      <c r="X367" s="849">
        <v>0.0</v>
      </c>
      <c r="Y367" s="849">
        <v>0.0</v>
      </c>
      <c r="Z367" s="849">
        <v>0.0</v>
      </c>
      <c r="AA367" s="849">
        <v>0.0</v>
      </c>
      <c r="AB367" s="849">
        <v>0.0</v>
      </c>
      <c r="AC367" s="849">
        <v>0.0</v>
      </c>
      <c r="AD367" s="849">
        <v>0.0</v>
      </c>
      <c r="AE367" s="849">
        <v>0.0</v>
      </c>
      <c r="AF367" s="849">
        <v>0.0</v>
      </c>
      <c r="AG367" s="849">
        <v>0.0</v>
      </c>
      <c r="AH367" s="849">
        <v>0.0</v>
      </c>
      <c r="AI367" s="849">
        <v>0.0</v>
      </c>
      <c r="AJ367" s="794" t="str">
        <f t="shared" ref="AJ367:AK367" si="731">C367</f>
        <v>G220IMM</v>
      </c>
      <c r="AK367" s="794" t="str">
        <f t="shared" si="731"/>
        <v>IMMATRICULATION-VEHICULE</v>
      </c>
      <c r="AL367" s="794">
        <f t="array" ref="AL367">IFERROR(INDEX(G367:R367,1,MATCH(Parametres!$B$3,G$1:R$1,0)-1)*IF(OR(F367="L",F367="S",F367="I"),-1,1),"")</f>
        <v>-4958.77</v>
      </c>
      <c r="AM367" s="794">
        <f t="shared" si="4"/>
        <v>2308.71</v>
      </c>
      <c r="AN367" s="794">
        <f t="array" ref="AN367">INDEX(G367:R367,1,MATCH(Parametres!$B$3,G$1:R$1,0))*IF(OR(F367="L",F367="S",F367="I"),-1,1)</f>
        <v>-2650.06</v>
      </c>
      <c r="AO367" s="853" t="str">
        <f>+VLOOKUP($AJ367,Data_Validation!$A:$D,1,0)</f>
        <v>G220IMM</v>
      </c>
      <c r="AP367" s="853" t="str">
        <f>+VLOOKUP($AJ367,Data_Validation!$A:$D,3,0)</f>
        <v>Bilan</v>
      </c>
      <c r="AQ367" s="853" t="str">
        <f>+VLOOKUP($AJ367,Data_Validation!$A:$D,4,0)</f>
        <v>Recevables Véhicules</v>
      </c>
      <c r="AR367" s="853" t="s">
        <v>728</v>
      </c>
      <c r="AS367" s="853" t="str">
        <f>+VLOOKUP($AJ367,Data_Validation!$A:$E,5,0)</f>
        <v/>
      </c>
      <c r="AT367" s="794" t="str">
        <f t="shared" ref="AT367:AU367" si="732">C367</f>
        <v>G220IMM</v>
      </c>
      <c r="AU367" s="854" t="str">
        <f t="shared" si="732"/>
        <v>IMMATRICULATION-VEHICULE</v>
      </c>
      <c r="AV367" s="794">
        <f t="array" ref="AV367">IFERROR(INDEX(V367:AG367,1,MATCH(Parametres!$B$3,V$1:AG$1,0)-1)*IF(OR(C367="L",C367="S",C367="I"),-1,1),"")</f>
        <v>0</v>
      </c>
      <c r="AW367" s="794">
        <f t="shared" si="6"/>
        <v>0</v>
      </c>
      <c r="AX367" s="794">
        <f t="array" ref="AX367">INDEX(V367:AG367,1,MATCH(Parametres!$B$3,V$1:AG$1,0))*IF(OR(C367="L",C367="S",C367="I"),-1,1)</f>
        <v>0</v>
      </c>
      <c r="AY367" s="853" t="s">
        <v>772</v>
      </c>
      <c r="AZ367" s="853" t="str">
        <f>+VLOOKUP($AJ367,Data_Validation!$A:$E,5,0)</f>
        <v/>
      </c>
    </row>
    <row r="368" ht="15.75" customHeight="1">
      <c r="A368" s="849" t="s">
        <v>1239</v>
      </c>
      <c r="B368" s="849">
        <v>2026.0</v>
      </c>
      <c r="C368" s="849" t="s">
        <v>1960</v>
      </c>
      <c r="D368" s="849" t="s">
        <v>1961</v>
      </c>
      <c r="E368" s="849" t="s">
        <v>1951</v>
      </c>
      <c r="F368" s="849" t="s">
        <v>1926</v>
      </c>
      <c r="G368" s="849">
        <v>0.0</v>
      </c>
      <c r="H368" s="849">
        <v>0.0</v>
      </c>
      <c r="I368" s="849">
        <v>0.0</v>
      </c>
      <c r="J368" s="849">
        <v>0.0</v>
      </c>
      <c r="K368" s="849">
        <v>0.0</v>
      </c>
      <c r="L368" s="849">
        <v>0.0</v>
      </c>
      <c r="M368" s="849">
        <v>0.0</v>
      </c>
      <c r="N368" s="849">
        <v>0.0</v>
      </c>
      <c r="O368" s="849">
        <v>0.0</v>
      </c>
      <c r="P368" s="849">
        <v>0.0</v>
      </c>
      <c r="Q368" s="849">
        <v>0.0</v>
      </c>
      <c r="R368" s="849">
        <v>0.0</v>
      </c>
      <c r="S368" s="849">
        <v>0.0</v>
      </c>
      <c r="T368" s="849">
        <v>0.0</v>
      </c>
      <c r="U368" s="849">
        <v>0.0</v>
      </c>
      <c r="V368" s="849">
        <v>0.0</v>
      </c>
      <c r="W368" s="849">
        <v>0.0</v>
      </c>
      <c r="X368" s="849">
        <v>0.0</v>
      </c>
      <c r="Y368" s="849">
        <v>0.0</v>
      </c>
      <c r="Z368" s="849">
        <v>0.0</v>
      </c>
      <c r="AA368" s="849">
        <v>0.0</v>
      </c>
      <c r="AB368" s="849">
        <v>0.0</v>
      </c>
      <c r="AC368" s="849">
        <v>0.0</v>
      </c>
      <c r="AD368" s="849">
        <v>0.0</v>
      </c>
      <c r="AE368" s="849">
        <v>0.0</v>
      </c>
      <c r="AF368" s="849">
        <v>0.0</v>
      </c>
      <c r="AG368" s="849">
        <v>0.0</v>
      </c>
      <c r="AH368" s="849">
        <v>0.0</v>
      </c>
      <c r="AI368" s="849">
        <v>0.0</v>
      </c>
      <c r="AJ368" s="794" t="str">
        <f t="shared" ref="AJ368:AK368" si="733">C368</f>
        <v>G2200D</v>
      </c>
      <c r="AK368" s="794" t="str">
        <f t="shared" si="733"/>
        <v>DEPOT - CLIENT PCES &amp; SRV</v>
      </c>
      <c r="AL368" s="794">
        <f t="array" ref="AL368">IFERROR(INDEX(G368:R368,1,MATCH(Parametres!$B$3,G$1:R$1,0)-1)*IF(OR(F368="L",F368="S",F368="I"),-1,1),"")</f>
        <v>0</v>
      </c>
      <c r="AM368" s="794">
        <f t="shared" si="4"/>
        <v>0</v>
      </c>
      <c r="AN368" s="794">
        <f t="array" ref="AN368">INDEX(G368:R368,1,MATCH(Parametres!$B$3,G$1:R$1,0))*IF(OR(F368="L",F368="S",F368="I"),-1,1)</f>
        <v>0</v>
      </c>
      <c r="AO368" s="853" t="str">
        <f>+VLOOKUP($AJ368,Data_Validation!$A:$D,1,0)</f>
        <v>G2200D</v>
      </c>
      <c r="AP368" s="853" t="str">
        <f>+VLOOKUP($AJ368,Data_Validation!$A:$D,3,0)</f>
        <v/>
      </c>
      <c r="AQ368" s="853" t="str">
        <f>+VLOOKUP($AJ368,Data_Validation!$A:$D,4,0)</f>
        <v/>
      </c>
      <c r="AR368" s="853" t="s">
        <v>728</v>
      </c>
      <c r="AS368" s="853" t="str">
        <f>+VLOOKUP($AJ368,Data_Validation!$A:$E,5,0)</f>
        <v/>
      </c>
      <c r="AT368" s="794" t="str">
        <f t="shared" ref="AT368:AU368" si="734">C368</f>
        <v>G2200D</v>
      </c>
      <c r="AU368" s="854" t="str">
        <f t="shared" si="734"/>
        <v>DEPOT - CLIENT PCES &amp; SRV</v>
      </c>
      <c r="AV368" s="794">
        <f t="array" ref="AV368">IFERROR(INDEX(V368:AG368,1,MATCH(Parametres!$B$3,V$1:AG$1,0)-1)*IF(OR(C368="L",C368="S",C368="I"),-1,1),"")</f>
        <v>0</v>
      </c>
      <c r="AW368" s="794">
        <f t="shared" si="6"/>
        <v>0</v>
      </c>
      <c r="AX368" s="794">
        <f t="array" ref="AX368">INDEX(V368:AG368,1,MATCH(Parametres!$B$3,V$1:AG$1,0))*IF(OR(C368="L",C368="S",C368="I"),-1,1)</f>
        <v>0</v>
      </c>
      <c r="AY368" s="853" t="s">
        <v>772</v>
      </c>
      <c r="AZ368" s="853" t="str">
        <f>+VLOOKUP($AJ368,Data_Validation!$A:$E,5,0)</f>
        <v/>
      </c>
    </row>
    <row r="369" ht="15.75" customHeight="1">
      <c r="A369" s="849" t="s">
        <v>1239</v>
      </c>
      <c r="B369" s="849">
        <v>2026.0</v>
      </c>
      <c r="C369" s="849" t="s">
        <v>1962</v>
      </c>
      <c r="D369" s="849" t="s">
        <v>1963</v>
      </c>
      <c r="E369" s="849" t="s">
        <v>1926</v>
      </c>
      <c r="F369" s="849" t="s">
        <v>1926</v>
      </c>
      <c r="G369" s="849">
        <v>880086.58</v>
      </c>
      <c r="H369" s="849">
        <v>547168.49</v>
      </c>
      <c r="I369" s="849">
        <v>582131.91</v>
      </c>
      <c r="J369" s="849">
        <v>682242.71</v>
      </c>
      <c r="K369" s="849">
        <v>582705.44</v>
      </c>
      <c r="L369" s="849">
        <v>594323.88</v>
      </c>
      <c r="M369" s="849">
        <v>514021.94</v>
      </c>
      <c r="N369" s="849">
        <v>506847.22</v>
      </c>
      <c r="O369" s="849">
        <v>577421.14</v>
      </c>
      <c r="P369" s="849">
        <v>606133.2</v>
      </c>
      <c r="Q369" s="849">
        <v>0.0</v>
      </c>
      <c r="R369" s="849">
        <v>0.0</v>
      </c>
      <c r="S369" s="849">
        <v>0.0</v>
      </c>
      <c r="T369" s="849">
        <v>0.0</v>
      </c>
      <c r="U369" s="849">
        <v>0.0</v>
      </c>
      <c r="V369" s="849">
        <v>0.0</v>
      </c>
      <c r="W369" s="849">
        <v>0.0</v>
      </c>
      <c r="X369" s="849">
        <v>0.0</v>
      </c>
      <c r="Y369" s="849">
        <v>0.0</v>
      </c>
      <c r="Z369" s="849">
        <v>0.0</v>
      </c>
      <c r="AA369" s="849">
        <v>0.0</v>
      </c>
      <c r="AB369" s="849">
        <v>0.0</v>
      </c>
      <c r="AC369" s="849">
        <v>0.0</v>
      </c>
      <c r="AD369" s="849">
        <v>0.0</v>
      </c>
      <c r="AE369" s="849">
        <v>0.0</v>
      </c>
      <c r="AF369" s="849">
        <v>0.0</v>
      </c>
      <c r="AG369" s="849">
        <v>0.0</v>
      </c>
      <c r="AH369" s="849">
        <v>0.0</v>
      </c>
      <c r="AI369" s="849">
        <v>0.0</v>
      </c>
      <c r="AJ369" s="794" t="str">
        <f t="shared" ref="AJ369:AK369" si="735">C369</f>
        <v>G22000</v>
      </c>
      <c r="AK369" s="794" t="str">
        <f t="shared" si="735"/>
        <v>AR PIECES - SERVICE</v>
      </c>
      <c r="AL369" s="794">
        <f t="array" ref="AL369">IFERROR(INDEX(G369:R369,1,MATCH(Parametres!$B$3,G$1:R$1,0)-1)*IF(OR(F369="L",F369="S",F369="I"),-1,1),"")</f>
        <v>506847.22</v>
      </c>
      <c r="AM369" s="794">
        <f t="shared" si="4"/>
        <v>70573.92</v>
      </c>
      <c r="AN369" s="794">
        <f t="array" ref="AN369">INDEX(G369:R369,1,MATCH(Parametres!$B$3,G$1:R$1,0))*IF(OR(F369="L",F369="S",F369="I"),-1,1)</f>
        <v>577421.14</v>
      </c>
      <c r="AO369" s="853" t="str">
        <f>+VLOOKUP($AJ369,Data_Validation!$A:$D,1,0)</f>
        <v>G22000</v>
      </c>
      <c r="AP369" s="853" t="str">
        <f>+VLOOKUP($AJ369,Data_Validation!$A:$D,3,0)</f>
        <v>Bilan</v>
      </c>
      <c r="AQ369" s="853" t="str">
        <f>+VLOOKUP($AJ369,Data_Validation!$A:$D,4,0)</f>
        <v>Recevables Pièces et Service</v>
      </c>
      <c r="AR369" s="853" t="s">
        <v>728</v>
      </c>
      <c r="AS369" s="853" t="str">
        <f>+VLOOKUP($AJ369,Data_Validation!$A:$E,5,0)</f>
        <v/>
      </c>
      <c r="AT369" s="794" t="str">
        <f t="shared" ref="AT369:AU369" si="736">C369</f>
        <v>G22000</v>
      </c>
      <c r="AU369" s="854" t="str">
        <f t="shared" si="736"/>
        <v>AR PIECES - SERVICE</v>
      </c>
      <c r="AV369" s="794">
        <f t="array" ref="AV369">IFERROR(INDEX(V369:AG369,1,MATCH(Parametres!$B$3,V$1:AG$1,0)-1)*IF(OR(C369="L",C369="S",C369="I"),-1,1),"")</f>
        <v>0</v>
      </c>
      <c r="AW369" s="794">
        <f t="shared" si="6"/>
        <v>0</v>
      </c>
      <c r="AX369" s="794">
        <f t="array" ref="AX369">INDEX(V369:AG369,1,MATCH(Parametres!$B$3,V$1:AG$1,0))*IF(OR(C369="L",C369="S",C369="I"),-1,1)</f>
        <v>0</v>
      </c>
      <c r="AY369" s="853" t="s">
        <v>772</v>
      </c>
      <c r="AZ369" s="853" t="str">
        <f>+VLOOKUP($AJ369,Data_Validation!$A:$E,5,0)</f>
        <v/>
      </c>
    </row>
    <row r="370" ht="15.75" customHeight="1">
      <c r="A370" s="849" t="s">
        <v>1239</v>
      </c>
      <c r="B370" s="849">
        <v>2026.0</v>
      </c>
      <c r="C370" s="849" t="s">
        <v>1964</v>
      </c>
      <c r="D370" s="849" t="s">
        <v>1965</v>
      </c>
      <c r="E370" s="849" t="s">
        <v>1951</v>
      </c>
      <c r="F370" s="849" t="s">
        <v>1926</v>
      </c>
      <c r="G370" s="849">
        <v>-34176.8</v>
      </c>
      <c r="H370" s="849">
        <v>35182.73</v>
      </c>
      <c r="I370" s="849">
        <v>-51361.83</v>
      </c>
      <c r="J370" s="849">
        <v>-101613.36</v>
      </c>
      <c r="K370" s="849">
        <v>-3472.14</v>
      </c>
      <c r="L370" s="849">
        <v>-34614.66</v>
      </c>
      <c r="M370" s="849">
        <v>-39791.88</v>
      </c>
      <c r="N370" s="849">
        <v>-91273.1</v>
      </c>
      <c r="O370" s="849">
        <v>136448.61</v>
      </c>
      <c r="P370" s="849">
        <v>-79560.77</v>
      </c>
      <c r="Q370" s="849">
        <v>0.0</v>
      </c>
      <c r="R370" s="849">
        <v>0.0</v>
      </c>
      <c r="S370" s="849">
        <v>0.0</v>
      </c>
      <c r="T370" s="849">
        <v>0.0</v>
      </c>
      <c r="U370" s="849">
        <v>0.0</v>
      </c>
      <c r="V370" s="849">
        <v>0.0</v>
      </c>
      <c r="W370" s="849">
        <v>0.0</v>
      </c>
      <c r="X370" s="849">
        <v>0.0</v>
      </c>
      <c r="Y370" s="849">
        <v>0.0</v>
      </c>
      <c r="Z370" s="849">
        <v>0.0</v>
      </c>
      <c r="AA370" s="849">
        <v>0.0</v>
      </c>
      <c r="AB370" s="849">
        <v>0.0</v>
      </c>
      <c r="AC370" s="849">
        <v>0.0</v>
      </c>
      <c r="AD370" s="849">
        <v>0.0</v>
      </c>
      <c r="AE370" s="849">
        <v>0.0</v>
      </c>
      <c r="AF370" s="849">
        <v>0.0</v>
      </c>
      <c r="AG370" s="849">
        <v>0.0</v>
      </c>
      <c r="AH370" s="849">
        <v>0.0</v>
      </c>
      <c r="AI370" s="849">
        <v>0.0</v>
      </c>
      <c r="AJ370" s="794" t="str">
        <f t="shared" ref="AJ370:AK370" si="737">C370</f>
        <v>G22001</v>
      </c>
      <c r="AK370" s="794" t="str">
        <f t="shared" si="737"/>
        <v>AR -VEHICULE</v>
      </c>
      <c r="AL370" s="794">
        <f t="array" ref="AL370">IFERROR(INDEX(G370:R370,1,MATCH(Parametres!$B$3,G$1:R$1,0)-1)*IF(OR(F370="L",F370="S",F370="I"),-1,1),"")</f>
        <v>-91273.1</v>
      </c>
      <c r="AM370" s="794">
        <f t="shared" si="4"/>
        <v>227721.71</v>
      </c>
      <c r="AN370" s="794">
        <f t="array" ref="AN370">INDEX(G370:R370,1,MATCH(Parametres!$B$3,G$1:R$1,0))*IF(OR(F370="L",F370="S",F370="I"),-1,1)</f>
        <v>136448.61</v>
      </c>
      <c r="AO370" s="853" t="str">
        <f>+VLOOKUP($AJ370,Data_Validation!$A:$D,1,0)</f>
        <v>G22001</v>
      </c>
      <c r="AP370" s="853" t="str">
        <f>+VLOOKUP($AJ370,Data_Validation!$A:$D,3,0)</f>
        <v>Bilan</v>
      </c>
      <c r="AQ370" s="853" t="str">
        <f>+VLOOKUP($AJ370,Data_Validation!$A:$D,4,0)</f>
        <v>Recevables Véhicules</v>
      </c>
      <c r="AR370" s="853" t="s">
        <v>728</v>
      </c>
      <c r="AS370" s="853" t="str">
        <f>+VLOOKUP($AJ370,Data_Validation!$A:$E,5,0)</f>
        <v/>
      </c>
      <c r="AT370" s="794" t="str">
        <f t="shared" ref="AT370:AU370" si="738">C370</f>
        <v>G22001</v>
      </c>
      <c r="AU370" s="854" t="str">
        <f t="shared" si="738"/>
        <v>AR -VEHICULE</v>
      </c>
      <c r="AV370" s="794">
        <f t="array" ref="AV370">IFERROR(INDEX(V370:AG370,1,MATCH(Parametres!$B$3,V$1:AG$1,0)-1)*IF(OR(C370="L",C370="S",C370="I"),-1,1),"")</f>
        <v>0</v>
      </c>
      <c r="AW370" s="794">
        <f t="shared" si="6"/>
        <v>0</v>
      </c>
      <c r="AX370" s="794">
        <f t="array" ref="AX370">INDEX(V370:AG370,1,MATCH(Parametres!$B$3,V$1:AG$1,0))*IF(OR(C370="L",C370="S",C370="I"),-1,1)</f>
        <v>0</v>
      </c>
      <c r="AY370" s="853" t="s">
        <v>772</v>
      </c>
      <c r="AZ370" s="853" t="str">
        <f>+VLOOKUP($AJ370,Data_Validation!$A:$E,5,0)</f>
        <v/>
      </c>
    </row>
    <row r="371" ht="15.75" customHeight="1">
      <c r="A371" s="849" t="s">
        <v>1239</v>
      </c>
      <c r="B371" s="849">
        <v>2026.0</v>
      </c>
      <c r="C371" s="849" t="s">
        <v>1966</v>
      </c>
      <c r="D371" s="849" t="s">
        <v>1967</v>
      </c>
      <c r="E371" s="849" t="s">
        <v>1926</v>
      </c>
      <c r="F371" s="849" t="s">
        <v>1926</v>
      </c>
      <c r="G371" s="849">
        <v>96129.23</v>
      </c>
      <c r="H371" s="849">
        <v>135435.64</v>
      </c>
      <c r="I371" s="849">
        <v>74155.43</v>
      </c>
      <c r="J371" s="849">
        <v>48320.48</v>
      </c>
      <c r="K371" s="849">
        <v>38481.41</v>
      </c>
      <c r="L371" s="849">
        <v>31721.25</v>
      </c>
      <c r="M371" s="849">
        <v>-6727.97</v>
      </c>
      <c r="N371" s="849">
        <v>-22926.36</v>
      </c>
      <c r="O371" s="849">
        <v>37994.54</v>
      </c>
      <c r="P371" s="849">
        <v>61374.84</v>
      </c>
      <c r="Q371" s="849">
        <v>0.0</v>
      </c>
      <c r="R371" s="849">
        <v>0.0</v>
      </c>
      <c r="S371" s="849">
        <v>0.0</v>
      </c>
      <c r="T371" s="849">
        <v>0.0</v>
      </c>
      <c r="U371" s="849">
        <v>0.0</v>
      </c>
      <c r="V371" s="849">
        <v>0.0</v>
      </c>
      <c r="W371" s="849">
        <v>0.0</v>
      </c>
      <c r="X371" s="849">
        <v>0.0</v>
      </c>
      <c r="Y371" s="849">
        <v>0.0</v>
      </c>
      <c r="Z371" s="849">
        <v>0.0</v>
      </c>
      <c r="AA371" s="849">
        <v>0.0</v>
      </c>
      <c r="AB371" s="849">
        <v>0.0</v>
      </c>
      <c r="AC371" s="849">
        <v>0.0</v>
      </c>
      <c r="AD371" s="849">
        <v>0.0</v>
      </c>
      <c r="AE371" s="849">
        <v>0.0</v>
      </c>
      <c r="AF371" s="849">
        <v>0.0</v>
      </c>
      <c r="AG371" s="849">
        <v>0.0</v>
      </c>
      <c r="AH371" s="849">
        <v>0.0</v>
      </c>
      <c r="AI371" s="849">
        <v>0.0</v>
      </c>
      <c r="AJ371" s="794" t="str">
        <f t="shared" ref="AJ371:AK371" si="739">C371</f>
        <v>G22002</v>
      </c>
      <c r="AK371" s="794" t="str">
        <f t="shared" si="739"/>
        <v>AR - CARROSSERIE</v>
      </c>
      <c r="AL371" s="794">
        <f t="array" ref="AL371">IFERROR(INDEX(G371:R371,1,MATCH(Parametres!$B$3,G$1:R$1,0)-1)*IF(OR(F371="L",F371="S",F371="I"),-1,1),"")</f>
        <v>-22926.36</v>
      </c>
      <c r="AM371" s="794">
        <f t="shared" si="4"/>
        <v>60920.9</v>
      </c>
      <c r="AN371" s="794">
        <f t="array" ref="AN371">INDEX(G371:R371,1,MATCH(Parametres!$B$3,G$1:R$1,0))*IF(OR(F371="L",F371="S",F371="I"),-1,1)</f>
        <v>37994.54</v>
      </c>
      <c r="AO371" s="853" t="str">
        <f>+VLOOKUP($AJ371,Data_Validation!$A:$D,1,0)</f>
        <v>G22002</v>
      </c>
      <c r="AP371" s="853" t="str">
        <f>+VLOOKUP($AJ371,Data_Validation!$A:$D,3,0)</f>
        <v>Bilan</v>
      </c>
      <c r="AQ371" s="853" t="str">
        <f>+VLOOKUP($AJ371,Data_Validation!$A:$D,4,0)</f>
        <v>Recevables Carrosserie</v>
      </c>
      <c r="AR371" s="853" t="s">
        <v>728</v>
      </c>
      <c r="AS371" s="853" t="str">
        <f>+VLOOKUP($AJ371,Data_Validation!$A:$E,5,0)</f>
        <v/>
      </c>
      <c r="AT371" s="794" t="str">
        <f t="shared" ref="AT371:AU371" si="740">C371</f>
        <v>G22002</v>
      </c>
      <c r="AU371" s="854" t="str">
        <f t="shared" si="740"/>
        <v>AR - CARROSSERIE</v>
      </c>
      <c r="AV371" s="794">
        <f t="array" ref="AV371">IFERROR(INDEX(V371:AG371,1,MATCH(Parametres!$B$3,V$1:AG$1,0)-1)*IF(OR(C371="L",C371="S",C371="I"),-1,1),"")</f>
        <v>0</v>
      </c>
      <c r="AW371" s="794">
        <f t="shared" si="6"/>
        <v>0</v>
      </c>
      <c r="AX371" s="794">
        <f t="array" ref="AX371">INDEX(V371:AG371,1,MATCH(Parametres!$B$3,V$1:AG$1,0))*IF(OR(C371="L",C371="S",C371="I"),-1,1)</f>
        <v>0</v>
      </c>
      <c r="AY371" s="853" t="s">
        <v>772</v>
      </c>
      <c r="AZ371" s="853" t="str">
        <f>+VLOOKUP($AJ371,Data_Validation!$A:$E,5,0)</f>
        <v/>
      </c>
    </row>
    <row r="372" ht="15.75" customHeight="1">
      <c r="A372" s="849" t="s">
        <v>1239</v>
      </c>
      <c r="B372" s="849">
        <v>2026.0</v>
      </c>
      <c r="C372" s="849" t="s">
        <v>1968</v>
      </c>
      <c r="D372" s="849" t="s">
        <v>1969</v>
      </c>
      <c r="E372" s="849" t="s">
        <v>1926</v>
      </c>
      <c r="F372" s="849" t="s">
        <v>1926</v>
      </c>
      <c r="G372" s="849">
        <v>51111.18</v>
      </c>
      <c r="H372" s="849">
        <v>51111.18</v>
      </c>
      <c r="I372" s="849">
        <v>51111.18</v>
      </c>
      <c r="J372" s="849">
        <v>51111.18</v>
      </c>
      <c r="K372" s="849">
        <v>51111.18</v>
      </c>
      <c r="L372" s="849">
        <v>51111.18</v>
      </c>
      <c r="M372" s="849">
        <v>51111.18</v>
      </c>
      <c r="N372" s="849">
        <v>51111.18</v>
      </c>
      <c r="O372" s="849">
        <v>51111.18</v>
      </c>
      <c r="P372" s="849">
        <v>51111.18</v>
      </c>
      <c r="Q372" s="849">
        <v>0.0</v>
      </c>
      <c r="R372" s="849">
        <v>0.0</v>
      </c>
      <c r="S372" s="849">
        <v>0.0</v>
      </c>
      <c r="T372" s="849">
        <v>0.0</v>
      </c>
      <c r="U372" s="849">
        <v>0.0</v>
      </c>
      <c r="V372" s="849">
        <v>0.0</v>
      </c>
      <c r="W372" s="849">
        <v>0.0</v>
      </c>
      <c r="X372" s="849">
        <v>0.0</v>
      </c>
      <c r="Y372" s="849">
        <v>0.0</v>
      </c>
      <c r="Z372" s="849">
        <v>0.0</v>
      </c>
      <c r="AA372" s="849">
        <v>0.0</v>
      </c>
      <c r="AB372" s="849">
        <v>0.0</v>
      </c>
      <c r="AC372" s="849">
        <v>0.0</v>
      </c>
      <c r="AD372" s="849">
        <v>0.0</v>
      </c>
      <c r="AE372" s="849">
        <v>0.0</v>
      </c>
      <c r="AF372" s="849">
        <v>0.0</v>
      </c>
      <c r="AG372" s="849">
        <v>0.0</v>
      </c>
      <c r="AH372" s="849">
        <v>0.0</v>
      </c>
      <c r="AI372" s="849">
        <v>0.0</v>
      </c>
      <c r="AJ372" s="794" t="str">
        <f t="shared" ref="AJ372:AK372" si="741">C372</f>
        <v>G22003</v>
      </c>
      <c r="AK372" s="794" t="str">
        <f t="shared" si="741"/>
        <v>AR -VENTES</v>
      </c>
      <c r="AL372" s="794">
        <f t="array" ref="AL372">IFERROR(INDEX(G372:R372,1,MATCH(Parametres!$B$3,G$1:R$1,0)-1)*IF(OR(F372="L",F372="S",F372="I"),-1,1),"")</f>
        <v>51111.18</v>
      </c>
      <c r="AM372" s="794">
        <f t="shared" si="4"/>
        <v>0</v>
      </c>
      <c r="AN372" s="794">
        <f t="array" ref="AN372">INDEX(G372:R372,1,MATCH(Parametres!$B$3,G$1:R$1,0))*IF(OR(F372="L",F372="S",F372="I"),-1,1)</f>
        <v>51111.18</v>
      </c>
      <c r="AO372" s="853" t="str">
        <f>+VLOOKUP($AJ372,Data_Validation!$A:$D,1,0)</f>
        <v>G22003</v>
      </c>
      <c r="AP372" s="853" t="str">
        <f>+VLOOKUP($AJ372,Data_Validation!$A:$D,3,0)</f>
        <v>Bilan</v>
      </c>
      <c r="AQ372" s="853" t="str">
        <f>+VLOOKUP($AJ372,Data_Validation!$A:$D,4,0)</f>
        <v>Recevables Véhicules</v>
      </c>
      <c r="AR372" s="853" t="s">
        <v>728</v>
      </c>
      <c r="AS372" s="853" t="str">
        <f>+VLOOKUP($AJ372,Data_Validation!$A:$E,5,0)</f>
        <v/>
      </c>
      <c r="AT372" s="794" t="str">
        <f t="shared" ref="AT372:AU372" si="742">C372</f>
        <v>G22003</v>
      </c>
      <c r="AU372" s="854" t="str">
        <f t="shared" si="742"/>
        <v>AR -VENTES</v>
      </c>
      <c r="AV372" s="794">
        <f t="array" ref="AV372">IFERROR(INDEX(V372:AG372,1,MATCH(Parametres!$B$3,V$1:AG$1,0)-1)*IF(OR(C372="L",C372="S",C372="I"),-1,1),"")</f>
        <v>0</v>
      </c>
      <c r="AW372" s="794">
        <f t="shared" si="6"/>
        <v>0</v>
      </c>
      <c r="AX372" s="794">
        <f t="array" ref="AX372">INDEX(V372:AG372,1,MATCH(Parametres!$B$3,V$1:AG$1,0))*IF(OR(C372="L",C372="S",C372="I"),-1,1)</f>
        <v>0</v>
      </c>
      <c r="AY372" s="853" t="s">
        <v>772</v>
      </c>
      <c r="AZ372" s="853" t="str">
        <f>+VLOOKUP($AJ372,Data_Validation!$A:$E,5,0)</f>
        <v/>
      </c>
    </row>
    <row r="373" ht="15.75" customHeight="1">
      <c r="A373" s="849" t="s">
        <v>1239</v>
      </c>
      <c r="B373" s="849">
        <v>2026.0</v>
      </c>
      <c r="C373" s="849" t="s">
        <v>1970</v>
      </c>
      <c r="D373" s="849" t="s">
        <v>1971</v>
      </c>
      <c r="E373" s="849" t="s">
        <v>768</v>
      </c>
      <c r="F373" s="849" t="s">
        <v>1926</v>
      </c>
      <c r="G373" s="849">
        <v>55111.19</v>
      </c>
      <c r="H373" s="849">
        <v>50897.91</v>
      </c>
      <c r="I373" s="849">
        <v>29761.3</v>
      </c>
      <c r="J373" s="849">
        <v>101959.68</v>
      </c>
      <c r="K373" s="849">
        <v>93476.35</v>
      </c>
      <c r="L373" s="849">
        <v>87352.13</v>
      </c>
      <c r="M373" s="849">
        <v>66961.46</v>
      </c>
      <c r="N373" s="849">
        <v>63379.1</v>
      </c>
      <c r="O373" s="849">
        <v>53573.69</v>
      </c>
      <c r="P373" s="849">
        <v>76753.17</v>
      </c>
      <c r="Q373" s="849">
        <v>0.0</v>
      </c>
      <c r="R373" s="849">
        <v>0.0</v>
      </c>
      <c r="S373" s="849">
        <v>0.0</v>
      </c>
      <c r="T373" s="849">
        <v>0.0</v>
      </c>
      <c r="U373" s="849">
        <v>0.0</v>
      </c>
      <c r="V373" s="849">
        <v>0.0</v>
      </c>
      <c r="W373" s="849">
        <v>0.0</v>
      </c>
      <c r="X373" s="849">
        <v>0.0</v>
      </c>
      <c r="Y373" s="849">
        <v>0.0</v>
      </c>
      <c r="Z373" s="849">
        <v>0.0</v>
      </c>
      <c r="AA373" s="849">
        <v>0.0</v>
      </c>
      <c r="AB373" s="849">
        <v>0.0</v>
      </c>
      <c r="AC373" s="849">
        <v>0.0</v>
      </c>
      <c r="AD373" s="849">
        <v>0.0</v>
      </c>
      <c r="AE373" s="849">
        <v>0.0</v>
      </c>
      <c r="AF373" s="849">
        <v>0.0</v>
      </c>
      <c r="AG373" s="849">
        <v>0.0</v>
      </c>
      <c r="AH373" s="849">
        <v>0.0</v>
      </c>
      <c r="AI373" s="849">
        <v>0.0</v>
      </c>
      <c r="AJ373" s="794" t="str">
        <f t="shared" ref="AJ373:AK373" si="743">C373</f>
        <v>G22004</v>
      </c>
      <c r="AK373" s="794" t="str">
        <f t="shared" si="743"/>
        <v>T.V.Q. A RECEVOIR</v>
      </c>
      <c r="AL373" s="794">
        <f t="array" ref="AL373">IFERROR(INDEX(G373:R373,1,MATCH(Parametres!$B$3,G$1:R$1,0)-1)*IF(OR(F373="L",F373="S",F373="I"),-1,1),"")</f>
        <v>63379.1</v>
      </c>
      <c r="AM373" s="794">
        <f t="shared" si="4"/>
        <v>-9805.41</v>
      </c>
      <c r="AN373" s="794">
        <f t="array" ref="AN373">INDEX(G373:R373,1,MATCH(Parametres!$B$3,G$1:R$1,0))*IF(OR(F373="L",F373="S",F373="I"),-1,1)</f>
        <v>53573.69</v>
      </c>
      <c r="AO373" s="853" t="str">
        <f>+VLOOKUP($AJ373,Data_Validation!$A:$D,1,0)</f>
        <v>G22004</v>
      </c>
      <c r="AP373" s="853" t="str">
        <f>+VLOOKUP($AJ373,Data_Validation!$A:$D,3,0)</f>
        <v>Bilan</v>
      </c>
      <c r="AQ373" s="853" t="str">
        <f>+VLOOKUP($AJ373,Data_Validation!$A:$D,4,0)</f>
        <v>Taxes de Vente à Payer</v>
      </c>
      <c r="AR373" s="853" t="s">
        <v>728</v>
      </c>
      <c r="AS373" s="853" t="str">
        <f>+VLOOKUP($AJ373,Data_Validation!$A:$E,5,0)</f>
        <v/>
      </c>
      <c r="AT373" s="794" t="str">
        <f t="shared" ref="AT373:AU373" si="744">C373</f>
        <v>G22004</v>
      </c>
      <c r="AU373" s="854" t="str">
        <f t="shared" si="744"/>
        <v>T.V.Q. A RECEVOIR</v>
      </c>
      <c r="AV373" s="794">
        <f t="array" ref="AV373">IFERROR(INDEX(V373:AG373,1,MATCH(Parametres!$B$3,V$1:AG$1,0)-1)*IF(OR(C373="L",C373="S",C373="I"),-1,1),"")</f>
        <v>0</v>
      </c>
      <c r="AW373" s="794">
        <f t="shared" si="6"/>
        <v>0</v>
      </c>
      <c r="AX373" s="794">
        <f t="array" ref="AX373">INDEX(V373:AG373,1,MATCH(Parametres!$B$3,V$1:AG$1,0))*IF(OR(C373="L",C373="S",C373="I"),-1,1)</f>
        <v>0</v>
      </c>
      <c r="AY373" s="853" t="s">
        <v>772</v>
      </c>
      <c r="AZ373" s="853" t="str">
        <f>+VLOOKUP($AJ373,Data_Validation!$A:$E,5,0)</f>
        <v/>
      </c>
    </row>
    <row r="374" ht="15.75" customHeight="1">
      <c r="A374" s="849" t="s">
        <v>1239</v>
      </c>
      <c r="B374" s="849">
        <v>2026.0</v>
      </c>
      <c r="C374" s="849" t="s">
        <v>1972</v>
      </c>
      <c r="D374" s="849" t="s">
        <v>1973</v>
      </c>
      <c r="E374" s="849" t="s">
        <v>768</v>
      </c>
      <c r="F374" s="849" t="s">
        <v>1926</v>
      </c>
      <c r="G374" s="849">
        <v>1759158.64</v>
      </c>
      <c r="H374" s="849">
        <v>722961.34</v>
      </c>
      <c r="I374" s="849">
        <v>2387338.5</v>
      </c>
      <c r="J374" s="849">
        <v>4650512.57</v>
      </c>
      <c r="K374" s="849">
        <v>1247948.76</v>
      </c>
      <c r="L374" s="849">
        <v>927446.94</v>
      </c>
      <c r="M374" s="849">
        <v>829434.19</v>
      </c>
      <c r="N374" s="849">
        <v>536219.32</v>
      </c>
      <c r="O374" s="849">
        <v>613700.5</v>
      </c>
      <c r="P374" s="849">
        <v>1099237.95</v>
      </c>
      <c r="Q374" s="849">
        <v>0.0</v>
      </c>
      <c r="R374" s="849">
        <v>0.0</v>
      </c>
      <c r="S374" s="849">
        <v>0.0</v>
      </c>
      <c r="T374" s="849">
        <v>0.0</v>
      </c>
      <c r="U374" s="849">
        <v>0.0</v>
      </c>
      <c r="V374" s="849">
        <v>0.0</v>
      </c>
      <c r="W374" s="849">
        <v>0.0</v>
      </c>
      <c r="X374" s="849">
        <v>0.0</v>
      </c>
      <c r="Y374" s="849">
        <v>0.0</v>
      </c>
      <c r="Z374" s="849">
        <v>0.0</v>
      </c>
      <c r="AA374" s="849">
        <v>0.0</v>
      </c>
      <c r="AB374" s="849">
        <v>0.0</v>
      </c>
      <c r="AC374" s="849">
        <v>0.0</v>
      </c>
      <c r="AD374" s="849">
        <v>0.0</v>
      </c>
      <c r="AE374" s="849">
        <v>0.0</v>
      </c>
      <c r="AF374" s="849">
        <v>0.0</v>
      </c>
      <c r="AG374" s="849">
        <v>0.0</v>
      </c>
      <c r="AH374" s="849">
        <v>0.0</v>
      </c>
      <c r="AI374" s="849">
        <v>0.0</v>
      </c>
      <c r="AJ374" s="794" t="str">
        <f t="shared" ref="AJ374:AK374" si="745">C374</f>
        <v>G22005</v>
      </c>
      <c r="AK374" s="794" t="str">
        <f t="shared" si="745"/>
        <v>T.P.S. A RECEVOIR</v>
      </c>
      <c r="AL374" s="794">
        <f t="array" ref="AL374">IFERROR(INDEX(G374:R374,1,MATCH(Parametres!$B$3,G$1:R$1,0)-1)*IF(OR(F374="L",F374="S",F374="I"),-1,1),"")</f>
        <v>536219.32</v>
      </c>
      <c r="AM374" s="794">
        <f t="shared" si="4"/>
        <v>77481.18</v>
      </c>
      <c r="AN374" s="794">
        <f t="array" ref="AN374">INDEX(G374:R374,1,MATCH(Parametres!$B$3,G$1:R$1,0))*IF(OR(F374="L",F374="S",F374="I"),-1,1)</f>
        <v>613700.5</v>
      </c>
      <c r="AO374" s="853" t="str">
        <f>+VLOOKUP($AJ374,Data_Validation!$A:$D,1,0)</f>
        <v>G22005</v>
      </c>
      <c r="AP374" s="853" t="str">
        <f>+VLOOKUP($AJ374,Data_Validation!$A:$D,3,0)</f>
        <v>Bilan</v>
      </c>
      <c r="AQ374" s="853" t="str">
        <f>+VLOOKUP($AJ374,Data_Validation!$A:$D,4,0)</f>
        <v>Taxes de Vente à Payer</v>
      </c>
      <c r="AR374" s="853" t="s">
        <v>728</v>
      </c>
      <c r="AS374" s="853" t="str">
        <f>+VLOOKUP($AJ374,Data_Validation!$A:$E,5,0)</f>
        <v/>
      </c>
      <c r="AT374" s="794" t="str">
        <f t="shared" ref="AT374:AU374" si="746">C374</f>
        <v>G22005</v>
      </c>
      <c r="AU374" s="854" t="str">
        <f t="shared" si="746"/>
        <v>T.P.S. A RECEVOIR</v>
      </c>
      <c r="AV374" s="794">
        <f t="array" ref="AV374">IFERROR(INDEX(V374:AG374,1,MATCH(Parametres!$B$3,V$1:AG$1,0)-1)*IF(OR(C374="L",C374="S",C374="I"),-1,1),"")</f>
        <v>0</v>
      </c>
      <c r="AW374" s="794">
        <f t="shared" si="6"/>
        <v>0</v>
      </c>
      <c r="AX374" s="794">
        <f t="array" ref="AX374">INDEX(V374:AG374,1,MATCH(Parametres!$B$3,V$1:AG$1,0))*IF(OR(C374="L",C374="S",C374="I"),-1,1)</f>
        <v>0</v>
      </c>
      <c r="AY374" s="853" t="s">
        <v>772</v>
      </c>
      <c r="AZ374" s="853" t="str">
        <f>+VLOOKUP($AJ374,Data_Validation!$A:$E,5,0)</f>
        <v/>
      </c>
    </row>
    <row r="375" ht="15.75" customHeight="1">
      <c r="A375" s="849" t="s">
        <v>1239</v>
      </c>
      <c r="B375" s="849">
        <v>2026.0</v>
      </c>
      <c r="C375" s="849" t="s">
        <v>1974</v>
      </c>
      <c r="D375" s="849" t="s">
        <v>1975</v>
      </c>
      <c r="E375" s="849" t="s">
        <v>1951</v>
      </c>
      <c r="F375" s="849" t="s">
        <v>1926</v>
      </c>
      <c r="G375" s="849">
        <v>33253.87</v>
      </c>
      <c r="H375" s="849">
        <v>40810.91</v>
      </c>
      <c r="I375" s="849">
        <v>32725.8</v>
      </c>
      <c r="J375" s="849">
        <v>28263.5</v>
      </c>
      <c r="K375" s="849">
        <v>19809.27</v>
      </c>
      <c r="L375" s="849">
        <v>19478.56</v>
      </c>
      <c r="M375" s="849">
        <v>19032.29</v>
      </c>
      <c r="N375" s="849">
        <v>11068.63</v>
      </c>
      <c r="O375" s="849">
        <v>16999.0</v>
      </c>
      <c r="P375" s="849">
        <v>9795.17</v>
      </c>
      <c r="Q375" s="849">
        <v>0.0</v>
      </c>
      <c r="R375" s="849">
        <v>0.0</v>
      </c>
      <c r="S375" s="849">
        <v>0.0</v>
      </c>
      <c r="T375" s="849">
        <v>0.0</v>
      </c>
      <c r="U375" s="849">
        <v>0.0</v>
      </c>
      <c r="V375" s="849">
        <v>0.0</v>
      </c>
      <c r="W375" s="849">
        <v>0.0</v>
      </c>
      <c r="X375" s="849">
        <v>0.0</v>
      </c>
      <c r="Y375" s="849">
        <v>0.0</v>
      </c>
      <c r="Z375" s="849">
        <v>0.0</v>
      </c>
      <c r="AA375" s="849">
        <v>0.0</v>
      </c>
      <c r="AB375" s="849">
        <v>0.0</v>
      </c>
      <c r="AC375" s="849">
        <v>0.0</v>
      </c>
      <c r="AD375" s="849">
        <v>0.0</v>
      </c>
      <c r="AE375" s="849">
        <v>0.0</v>
      </c>
      <c r="AF375" s="849">
        <v>0.0</v>
      </c>
      <c r="AG375" s="849">
        <v>0.0</v>
      </c>
      <c r="AH375" s="849">
        <v>0.0</v>
      </c>
      <c r="AI375" s="849">
        <v>0.0</v>
      </c>
      <c r="AJ375" s="794" t="str">
        <f t="shared" ref="AJ375:AK375" si="747">C375</f>
        <v>G22006</v>
      </c>
      <c r="AK375" s="794" t="str">
        <f t="shared" si="747"/>
        <v>AR- EMPLOYÉ</v>
      </c>
      <c r="AL375" s="794">
        <f t="array" ref="AL375">IFERROR(INDEX(G375:R375,1,MATCH(Parametres!$B$3,G$1:R$1,0)-1)*IF(OR(F375="L",F375="S",F375="I"),-1,1),"")</f>
        <v>11068.63</v>
      </c>
      <c r="AM375" s="794">
        <f t="shared" si="4"/>
        <v>5930.37</v>
      </c>
      <c r="AN375" s="794">
        <f t="array" ref="AN375">INDEX(G375:R375,1,MATCH(Parametres!$B$3,G$1:R$1,0))*IF(OR(F375="L",F375="S",F375="I"),-1,1)</f>
        <v>16999</v>
      </c>
      <c r="AO375" s="853" t="str">
        <f>+VLOOKUP($AJ375,Data_Validation!$A:$D,1,0)</f>
        <v>G22006</v>
      </c>
      <c r="AP375" s="853" t="str">
        <f>+VLOOKUP($AJ375,Data_Validation!$A:$D,3,0)</f>
        <v>Bilan</v>
      </c>
      <c r="AQ375" s="853" t="str">
        <f>+VLOOKUP($AJ375,Data_Validation!$A:$D,4,0)</f>
        <v>Recevables Autres</v>
      </c>
      <c r="AR375" s="853" t="s">
        <v>728</v>
      </c>
      <c r="AS375" s="853" t="str">
        <f>+VLOOKUP($AJ375,Data_Validation!$A:$E,5,0)</f>
        <v/>
      </c>
      <c r="AT375" s="794" t="str">
        <f t="shared" ref="AT375:AU375" si="748">C375</f>
        <v>G22006</v>
      </c>
      <c r="AU375" s="854" t="str">
        <f t="shared" si="748"/>
        <v>AR- EMPLOYÉ</v>
      </c>
      <c r="AV375" s="794">
        <f t="array" ref="AV375">IFERROR(INDEX(V375:AG375,1,MATCH(Parametres!$B$3,V$1:AG$1,0)-1)*IF(OR(C375="L",C375="S",C375="I"),-1,1),"")</f>
        <v>0</v>
      </c>
      <c r="AW375" s="794">
        <f t="shared" si="6"/>
        <v>0</v>
      </c>
      <c r="AX375" s="794">
        <f t="array" ref="AX375">INDEX(V375:AG375,1,MATCH(Parametres!$B$3,V$1:AG$1,0))*IF(OR(C375="L",C375="S",C375="I"),-1,1)</f>
        <v>0</v>
      </c>
      <c r="AY375" s="853" t="s">
        <v>772</v>
      </c>
      <c r="AZ375" s="853" t="str">
        <f>+VLOOKUP($AJ375,Data_Validation!$A:$E,5,0)</f>
        <v/>
      </c>
    </row>
    <row r="376" ht="15.75" customHeight="1">
      <c r="A376" s="849" t="s">
        <v>1239</v>
      </c>
      <c r="B376" s="849">
        <v>2026.0</v>
      </c>
      <c r="C376" s="849" t="s">
        <v>1976</v>
      </c>
      <c r="D376" s="849" t="s">
        <v>1977</v>
      </c>
      <c r="E376" s="849" t="s">
        <v>1951</v>
      </c>
      <c r="F376" s="849" t="s">
        <v>1926</v>
      </c>
      <c r="G376" s="849">
        <v>-75275.95</v>
      </c>
      <c r="H376" s="849">
        <v>56175.0</v>
      </c>
      <c r="I376" s="849">
        <v>865256.29</v>
      </c>
      <c r="J376" s="849">
        <v>317715.47</v>
      </c>
      <c r="K376" s="849">
        <v>915204.1</v>
      </c>
      <c r="L376" s="849">
        <v>1449158.02</v>
      </c>
      <c r="M376" s="849">
        <v>1065842.32</v>
      </c>
      <c r="N376" s="849">
        <v>411592.18</v>
      </c>
      <c r="O376" s="849">
        <v>195291.53</v>
      </c>
      <c r="P376" s="849">
        <v>853252.96</v>
      </c>
      <c r="Q376" s="849">
        <v>0.0</v>
      </c>
      <c r="R376" s="849">
        <v>0.0</v>
      </c>
      <c r="S376" s="849">
        <v>0.0</v>
      </c>
      <c r="T376" s="849">
        <v>0.0</v>
      </c>
      <c r="U376" s="849">
        <v>0.0</v>
      </c>
      <c r="V376" s="849">
        <v>0.0</v>
      </c>
      <c r="W376" s="849">
        <v>0.0</v>
      </c>
      <c r="X376" s="849">
        <v>0.0</v>
      </c>
      <c r="Y376" s="849">
        <v>0.0</v>
      </c>
      <c r="Z376" s="849">
        <v>0.0</v>
      </c>
      <c r="AA376" s="849">
        <v>0.0</v>
      </c>
      <c r="AB376" s="849">
        <v>0.0</v>
      </c>
      <c r="AC376" s="849">
        <v>0.0</v>
      </c>
      <c r="AD376" s="849">
        <v>0.0</v>
      </c>
      <c r="AE376" s="849">
        <v>0.0</v>
      </c>
      <c r="AF376" s="849">
        <v>0.0</v>
      </c>
      <c r="AG376" s="849">
        <v>0.0</v>
      </c>
      <c r="AH376" s="849">
        <v>0.0</v>
      </c>
      <c r="AI376" s="849">
        <v>0.0</v>
      </c>
      <c r="AJ376" s="794" t="str">
        <f t="shared" ref="AJ376:AK376" si="749">C376</f>
        <v>G22008</v>
      </c>
      <c r="AK376" s="794" t="str">
        <f t="shared" si="749"/>
        <v>AR VEH. WHOLESALE</v>
      </c>
      <c r="AL376" s="794">
        <f t="array" ref="AL376">IFERROR(INDEX(G376:R376,1,MATCH(Parametres!$B$3,G$1:R$1,0)-1)*IF(OR(F376="L",F376="S",F376="I"),-1,1),"")</f>
        <v>411592.18</v>
      </c>
      <c r="AM376" s="794">
        <f t="shared" si="4"/>
        <v>-216300.65</v>
      </c>
      <c r="AN376" s="794">
        <f t="array" ref="AN376">INDEX(G376:R376,1,MATCH(Parametres!$B$3,G$1:R$1,0))*IF(OR(F376="L",F376="S",F376="I"),-1,1)</f>
        <v>195291.53</v>
      </c>
      <c r="AO376" s="853" t="str">
        <f>+VLOOKUP($AJ376,Data_Validation!$A:$D,1,0)</f>
        <v>G22008</v>
      </c>
      <c r="AP376" s="853" t="str">
        <f>+VLOOKUP($AJ376,Data_Validation!$A:$D,3,0)</f>
        <v>Bilan</v>
      </c>
      <c r="AQ376" s="853" t="str">
        <f>+VLOOKUP($AJ376,Data_Validation!$A:$D,4,0)</f>
        <v>Recevables Véhicules</v>
      </c>
      <c r="AR376" s="853" t="s">
        <v>728</v>
      </c>
      <c r="AS376" s="853" t="str">
        <f>+VLOOKUP($AJ376,Data_Validation!$A:$E,5,0)</f>
        <v/>
      </c>
      <c r="AT376" s="794" t="str">
        <f t="shared" ref="AT376:AU376" si="750">C376</f>
        <v>G22008</v>
      </c>
      <c r="AU376" s="854" t="str">
        <f t="shared" si="750"/>
        <v>AR VEH. WHOLESALE</v>
      </c>
      <c r="AV376" s="794">
        <f t="array" ref="AV376">IFERROR(INDEX(V376:AG376,1,MATCH(Parametres!$B$3,V$1:AG$1,0)-1)*IF(OR(C376="L",C376="S",C376="I"),-1,1),"")</f>
        <v>0</v>
      </c>
      <c r="AW376" s="794">
        <f t="shared" si="6"/>
        <v>0</v>
      </c>
      <c r="AX376" s="794">
        <f t="array" ref="AX376">INDEX(V376:AG376,1,MATCH(Parametres!$B$3,V$1:AG$1,0))*IF(OR(C376="L",C376="S",C376="I"),-1,1)</f>
        <v>0</v>
      </c>
      <c r="AY376" s="853" t="s">
        <v>772</v>
      </c>
      <c r="AZ376" s="853" t="str">
        <f>+VLOOKUP($AJ376,Data_Validation!$A:$E,5,0)</f>
        <v/>
      </c>
    </row>
    <row r="377" ht="15.75" customHeight="1">
      <c r="A377" s="849" t="s">
        <v>1239</v>
      </c>
      <c r="B377" s="849">
        <v>2026.0</v>
      </c>
      <c r="C377" s="849" t="s">
        <v>1978</v>
      </c>
      <c r="D377" s="849" t="s">
        <v>1979</v>
      </c>
      <c r="E377" s="849" t="s">
        <v>1951</v>
      </c>
      <c r="F377" s="849" t="s">
        <v>1926</v>
      </c>
      <c r="G377" s="849">
        <v>328283.88</v>
      </c>
      <c r="H377" s="849">
        <v>419297.4</v>
      </c>
      <c r="I377" s="849">
        <v>252464.39</v>
      </c>
      <c r="J377" s="849">
        <v>907691.66</v>
      </c>
      <c r="K377" s="849">
        <v>527181.18</v>
      </c>
      <c r="L377" s="849">
        <v>1240573.38</v>
      </c>
      <c r="M377" s="849">
        <v>54948.76</v>
      </c>
      <c r="N377" s="849">
        <v>447211.82</v>
      </c>
      <c r="O377" s="849">
        <v>474705.02</v>
      </c>
      <c r="P377" s="849">
        <v>-80808.67</v>
      </c>
      <c r="Q377" s="849">
        <v>0.0</v>
      </c>
      <c r="R377" s="849">
        <v>0.0</v>
      </c>
      <c r="S377" s="849">
        <v>0.0</v>
      </c>
      <c r="T377" s="849">
        <v>0.0</v>
      </c>
      <c r="U377" s="849">
        <v>0.0</v>
      </c>
      <c r="V377" s="849">
        <v>0.0</v>
      </c>
      <c r="W377" s="849">
        <v>0.0</v>
      </c>
      <c r="X377" s="849">
        <v>0.0</v>
      </c>
      <c r="Y377" s="849">
        <v>0.0</v>
      </c>
      <c r="Z377" s="849">
        <v>0.0</v>
      </c>
      <c r="AA377" s="849">
        <v>0.0</v>
      </c>
      <c r="AB377" s="849">
        <v>0.0</v>
      </c>
      <c r="AC377" s="849">
        <v>0.0</v>
      </c>
      <c r="AD377" s="849">
        <v>0.0</v>
      </c>
      <c r="AE377" s="849">
        <v>0.0</v>
      </c>
      <c r="AF377" s="849">
        <v>0.0</v>
      </c>
      <c r="AG377" s="849">
        <v>0.0</v>
      </c>
      <c r="AH377" s="849">
        <v>0.0</v>
      </c>
      <c r="AI377" s="849">
        <v>0.0</v>
      </c>
      <c r="AJ377" s="794" t="str">
        <f t="shared" ref="AJ377:AK377" si="751">C377</f>
        <v>G22009</v>
      </c>
      <c r="AK377" s="794" t="str">
        <f t="shared" si="751"/>
        <v>AR VEH. FLOTTES</v>
      </c>
      <c r="AL377" s="794">
        <f t="array" ref="AL377">IFERROR(INDEX(G377:R377,1,MATCH(Parametres!$B$3,G$1:R$1,0)-1)*IF(OR(F377="L",F377="S",F377="I"),-1,1),"")</f>
        <v>447211.82</v>
      </c>
      <c r="AM377" s="794">
        <f t="shared" si="4"/>
        <v>27493.2</v>
      </c>
      <c r="AN377" s="794">
        <f t="array" ref="AN377">INDEX(G377:R377,1,MATCH(Parametres!$B$3,G$1:R$1,0))*IF(OR(F377="L",F377="S",F377="I"),-1,1)</f>
        <v>474705.02</v>
      </c>
      <c r="AO377" s="853" t="str">
        <f>+VLOOKUP($AJ377,Data_Validation!$A:$D,1,0)</f>
        <v>G22009</v>
      </c>
      <c r="AP377" s="853" t="str">
        <f>+VLOOKUP($AJ377,Data_Validation!$A:$D,3,0)</f>
        <v>Bilan</v>
      </c>
      <c r="AQ377" s="853" t="str">
        <f>+VLOOKUP($AJ377,Data_Validation!$A:$D,4,0)</f>
        <v>Recevables Véhicules</v>
      </c>
      <c r="AR377" s="853" t="s">
        <v>728</v>
      </c>
      <c r="AS377" s="853" t="str">
        <f>+VLOOKUP($AJ377,Data_Validation!$A:$E,5,0)</f>
        <v/>
      </c>
      <c r="AT377" s="794" t="str">
        <f t="shared" ref="AT377:AU377" si="752">C377</f>
        <v>G22009</v>
      </c>
      <c r="AU377" s="854" t="str">
        <f t="shared" si="752"/>
        <v>AR VEH. FLOTTES</v>
      </c>
      <c r="AV377" s="794">
        <f t="array" ref="AV377">IFERROR(INDEX(V377:AG377,1,MATCH(Parametres!$B$3,V$1:AG$1,0)-1)*IF(OR(C377="L",C377="S",C377="I"),-1,1),"")</f>
        <v>0</v>
      </c>
      <c r="AW377" s="794">
        <f t="shared" si="6"/>
        <v>0</v>
      </c>
      <c r="AX377" s="794">
        <f t="array" ref="AX377">INDEX(V377:AG377,1,MATCH(Parametres!$B$3,V$1:AG$1,0))*IF(OR(C377="L",C377="S",C377="I"),-1,1)</f>
        <v>0</v>
      </c>
      <c r="AY377" s="853" t="s">
        <v>772</v>
      </c>
      <c r="AZ377" s="853" t="str">
        <f>+VLOOKUP($AJ377,Data_Validation!$A:$E,5,0)</f>
        <v/>
      </c>
    </row>
    <row r="378" ht="15.75" customHeight="1">
      <c r="A378" s="849" t="s">
        <v>1239</v>
      </c>
      <c r="B378" s="849">
        <v>2026.0</v>
      </c>
      <c r="C378" s="849" t="s">
        <v>1980</v>
      </c>
      <c r="D378" s="849" t="s">
        <v>1935</v>
      </c>
      <c r="E378" s="849" t="s">
        <v>1931</v>
      </c>
      <c r="F378" s="849" t="s">
        <v>1926</v>
      </c>
      <c r="G378" s="849">
        <v>0.0</v>
      </c>
      <c r="H378" s="849">
        <v>0.0</v>
      </c>
      <c r="I378" s="849">
        <v>0.0</v>
      </c>
      <c r="J378" s="849">
        <v>0.0</v>
      </c>
      <c r="K378" s="849">
        <v>0.0</v>
      </c>
      <c r="L378" s="849">
        <v>0.0</v>
      </c>
      <c r="M378" s="849">
        <v>0.0</v>
      </c>
      <c r="N378" s="849">
        <v>0.0</v>
      </c>
      <c r="O378" s="849">
        <v>0.0</v>
      </c>
      <c r="P378" s="849">
        <v>0.0</v>
      </c>
      <c r="Q378" s="849">
        <v>0.0</v>
      </c>
      <c r="R378" s="849">
        <v>0.0</v>
      </c>
      <c r="S378" s="849">
        <v>0.0</v>
      </c>
      <c r="T378" s="849">
        <v>0.0</v>
      </c>
      <c r="U378" s="849">
        <v>0.0</v>
      </c>
      <c r="V378" s="849">
        <v>0.0</v>
      </c>
      <c r="W378" s="849">
        <v>0.0</v>
      </c>
      <c r="X378" s="849">
        <v>0.0</v>
      </c>
      <c r="Y378" s="849">
        <v>0.0</v>
      </c>
      <c r="Z378" s="849">
        <v>0.0</v>
      </c>
      <c r="AA378" s="849">
        <v>0.0</v>
      </c>
      <c r="AB378" s="849">
        <v>0.0</v>
      </c>
      <c r="AC378" s="849">
        <v>0.0</v>
      </c>
      <c r="AD378" s="849">
        <v>0.0</v>
      </c>
      <c r="AE378" s="849">
        <v>0.0</v>
      </c>
      <c r="AF378" s="849">
        <v>0.0</v>
      </c>
      <c r="AG378" s="849">
        <v>0.0</v>
      </c>
      <c r="AH378" s="849">
        <v>0.0</v>
      </c>
      <c r="AI378" s="849">
        <v>0.0</v>
      </c>
      <c r="AJ378" s="794" t="str">
        <f t="shared" ref="AJ378:AK378" si="753">C378</f>
        <v>G2201A</v>
      </c>
      <c r="AK378" s="794" t="str">
        <f t="shared" si="753"/>
        <v>BNQ NATIONALE MASTER CARD</v>
      </c>
      <c r="AL378" s="794">
        <f t="array" ref="AL378">IFERROR(INDEX(G378:R378,1,MATCH(Parametres!$B$3,G$1:R$1,0)-1)*IF(OR(F378="L",F378="S",F378="I"),-1,1),"")</f>
        <v>0</v>
      </c>
      <c r="AM378" s="794">
        <f t="shared" si="4"/>
        <v>0</v>
      </c>
      <c r="AN378" s="794">
        <f t="array" ref="AN378">INDEX(G378:R378,1,MATCH(Parametres!$B$3,G$1:R$1,0))*IF(OR(F378="L",F378="S",F378="I"),-1,1)</f>
        <v>0</v>
      </c>
      <c r="AO378" s="853" t="str">
        <f>+VLOOKUP($AJ378,Data_Validation!$A:$D,1,0)</f>
        <v>#N/A</v>
      </c>
      <c r="AP378" s="853" t="str">
        <f>+VLOOKUP($AJ378,Data_Validation!$A:$D,3,0)</f>
        <v>#N/A</v>
      </c>
      <c r="AQ378" s="853" t="str">
        <f>+VLOOKUP($AJ378,Data_Validation!$A:$D,4,0)</f>
        <v>#N/A</v>
      </c>
      <c r="AR378" s="853" t="s">
        <v>728</v>
      </c>
      <c r="AS378" s="853" t="str">
        <f>+VLOOKUP($AJ378,Data_Validation!$A:$E,5,0)</f>
        <v>#N/A</v>
      </c>
      <c r="AT378" s="794" t="str">
        <f t="shared" ref="AT378:AU378" si="754">C378</f>
        <v>G2201A</v>
      </c>
      <c r="AU378" s="854" t="str">
        <f t="shared" si="754"/>
        <v>BNQ NATIONALE MASTER CARD</v>
      </c>
      <c r="AV378" s="794">
        <f t="array" ref="AV378">IFERROR(INDEX(V378:AG378,1,MATCH(Parametres!$B$3,V$1:AG$1,0)-1)*IF(OR(C378="L",C378="S",C378="I"),-1,1),"")</f>
        <v>0</v>
      </c>
      <c r="AW378" s="794">
        <f t="shared" si="6"/>
        <v>0</v>
      </c>
      <c r="AX378" s="794">
        <f t="array" ref="AX378">INDEX(V378:AG378,1,MATCH(Parametres!$B$3,V$1:AG$1,0))*IF(OR(C378="L",C378="S",C378="I"),-1,1)</f>
        <v>0</v>
      </c>
      <c r="AY378" s="853" t="s">
        <v>772</v>
      </c>
      <c r="AZ378" s="853" t="str">
        <f>+VLOOKUP($AJ378,Data_Validation!$A:$E,5,0)</f>
        <v>#N/A</v>
      </c>
    </row>
    <row r="379" ht="15.75" customHeight="1">
      <c r="A379" s="849" t="s">
        <v>1239</v>
      </c>
      <c r="B379" s="849">
        <v>2026.0</v>
      </c>
      <c r="C379" s="849" t="s">
        <v>1981</v>
      </c>
      <c r="D379" s="849" t="s">
        <v>1982</v>
      </c>
      <c r="E379" s="849" t="s">
        <v>771</v>
      </c>
      <c r="F379" s="849" t="s">
        <v>1926</v>
      </c>
      <c r="G379" s="849">
        <v>1205845.54</v>
      </c>
      <c r="H379" s="849">
        <v>660878.1</v>
      </c>
      <c r="I379" s="849">
        <v>854273.64</v>
      </c>
      <c r="J379" s="849">
        <v>-28927.11</v>
      </c>
      <c r="K379" s="849">
        <v>2275778.82</v>
      </c>
      <c r="L379" s="849">
        <v>199296.8</v>
      </c>
      <c r="M379" s="849">
        <v>45066.66</v>
      </c>
      <c r="N379" s="849">
        <v>469723.22</v>
      </c>
      <c r="O379" s="849">
        <v>209812.45</v>
      </c>
      <c r="P379" s="849">
        <v>0.0</v>
      </c>
      <c r="Q379" s="849">
        <v>0.0</v>
      </c>
      <c r="R379" s="849">
        <v>0.0</v>
      </c>
      <c r="S379" s="849">
        <v>0.0</v>
      </c>
      <c r="T379" s="849">
        <v>0.0</v>
      </c>
      <c r="U379" s="849">
        <v>0.0</v>
      </c>
      <c r="V379" s="849">
        <v>0.0</v>
      </c>
      <c r="W379" s="849">
        <v>0.0</v>
      </c>
      <c r="X379" s="849">
        <v>0.0</v>
      </c>
      <c r="Y379" s="849">
        <v>0.0</v>
      </c>
      <c r="Z379" s="849">
        <v>0.0</v>
      </c>
      <c r="AA379" s="849">
        <v>0.0</v>
      </c>
      <c r="AB379" s="849">
        <v>0.0</v>
      </c>
      <c r="AC379" s="849">
        <v>0.0</v>
      </c>
      <c r="AD379" s="849">
        <v>0.0</v>
      </c>
      <c r="AE379" s="849">
        <v>0.0</v>
      </c>
      <c r="AF379" s="849">
        <v>0.0</v>
      </c>
      <c r="AG379" s="849">
        <v>0.0</v>
      </c>
      <c r="AH379" s="849">
        <v>0.0</v>
      </c>
      <c r="AI379" s="849">
        <v>0.0</v>
      </c>
      <c r="AJ379" s="794" t="str">
        <f t="shared" ref="AJ379:AK379" si="755">C379</f>
        <v>G22010</v>
      </c>
      <c r="AK379" s="794" t="str">
        <f t="shared" si="755"/>
        <v>AR VEH. US MANHEIM</v>
      </c>
      <c r="AL379" s="794">
        <f t="array" ref="AL379">IFERROR(INDEX(G379:R379,1,MATCH(Parametres!$B$3,G$1:R$1,0)-1)*IF(OR(F379="L",F379="S",F379="I"),-1,1),"")</f>
        <v>469723.22</v>
      </c>
      <c r="AM379" s="794">
        <f t="shared" si="4"/>
        <v>-259910.77</v>
      </c>
      <c r="AN379" s="794">
        <f t="array" ref="AN379">INDEX(G379:R379,1,MATCH(Parametres!$B$3,G$1:R$1,0))*IF(OR(F379="L",F379="S",F379="I"),-1,1)</f>
        <v>209812.45</v>
      </c>
      <c r="AO379" s="853" t="str">
        <f>+VLOOKUP($AJ379,Data_Validation!$A:$D,1,0)</f>
        <v>G22010</v>
      </c>
      <c r="AP379" s="853" t="str">
        <f>+VLOOKUP($AJ379,Data_Validation!$A:$D,3,0)</f>
        <v>Bilan</v>
      </c>
      <c r="AQ379" s="853" t="str">
        <f>+VLOOKUP($AJ379,Data_Validation!$A:$D,4,0)</f>
        <v>Recevables Véhicules</v>
      </c>
      <c r="AR379" s="853" t="s">
        <v>728</v>
      </c>
      <c r="AS379" s="853" t="str">
        <f>+VLOOKUP($AJ379,Data_Validation!$A:$E,5,0)</f>
        <v/>
      </c>
      <c r="AT379" s="794" t="str">
        <f t="shared" ref="AT379:AU379" si="756">C379</f>
        <v>G22010</v>
      </c>
      <c r="AU379" s="854" t="str">
        <f t="shared" si="756"/>
        <v>AR VEH. US MANHEIM</v>
      </c>
      <c r="AV379" s="794">
        <f t="array" ref="AV379">IFERROR(INDEX(V379:AG379,1,MATCH(Parametres!$B$3,V$1:AG$1,0)-1)*IF(OR(C379="L",C379="S",C379="I"),-1,1),"")</f>
        <v>0</v>
      </c>
      <c r="AW379" s="794">
        <f t="shared" si="6"/>
        <v>0</v>
      </c>
      <c r="AX379" s="794">
        <f t="array" ref="AX379">INDEX(V379:AG379,1,MATCH(Parametres!$B$3,V$1:AG$1,0))*IF(OR(C379="L",C379="S",C379="I"),-1,1)</f>
        <v>0</v>
      </c>
      <c r="AY379" s="853" t="s">
        <v>772</v>
      </c>
      <c r="AZ379" s="853" t="str">
        <f>+VLOOKUP($AJ379,Data_Validation!$A:$E,5,0)</f>
        <v/>
      </c>
    </row>
    <row r="380" ht="15.75" customHeight="1">
      <c r="A380" s="849" t="s">
        <v>1239</v>
      </c>
      <c r="B380" s="849">
        <v>2026.0</v>
      </c>
      <c r="C380" s="849" t="s">
        <v>1983</v>
      </c>
      <c r="D380" s="849" t="s">
        <v>1984</v>
      </c>
      <c r="E380" s="849" t="s">
        <v>771</v>
      </c>
      <c r="F380" s="849" t="s">
        <v>1926</v>
      </c>
      <c r="G380" s="849">
        <v>173414.74</v>
      </c>
      <c r="H380" s="849">
        <v>196896.72</v>
      </c>
      <c r="I380" s="849">
        <v>476846.22</v>
      </c>
      <c r="J380" s="849">
        <v>791139.29</v>
      </c>
      <c r="K380" s="849">
        <v>149762.91</v>
      </c>
      <c r="L380" s="849">
        <v>369613.19</v>
      </c>
      <c r="M380" s="849">
        <v>501810.32</v>
      </c>
      <c r="N380" s="849">
        <v>184701.51</v>
      </c>
      <c r="O380" s="849">
        <v>105128.72</v>
      </c>
      <c r="P380" s="849">
        <v>6903.9</v>
      </c>
      <c r="Q380" s="849">
        <v>0.0</v>
      </c>
      <c r="R380" s="849">
        <v>0.0</v>
      </c>
      <c r="S380" s="849">
        <v>0.0</v>
      </c>
      <c r="T380" s="849">
        <v>0.0</v>
      </c>
      <c r="U380" s="849">
        <v>0.0</v>
      </c>
      <c r="V380" s="849">
        <v>0.0</v>
      </c>
      <c r="W380" s="849">
        <v>0.0</v>
      </c>
      <c r="X380" s="849">
        <v>0.0</v>
      </c>
      <c r="Y380" s="849">
        <v>0.0</v>
      </c>
      <c r="Z380" s="849">
        <v>0.0</v>
      </c>
      <c r="AA380" s="849">
        <v>0.0</v>
      </c>
      <c r="AB380" s="849">
        <v>0.0</v>
      </c>
      <c r="AC380" s="849">
        <v>0.0</v>
      </c>
      <c r="AD380" s="849">
        <v>0.0</v>
      </c>
      <c r="AE380" s="849">
        <v>0.0</v>
      </c>
      <c r="AF380" s="849">
        <v>0.0</v>
      </c>
      <c r="AG380" s="849">
        <v>0.0</v>
      </c>
      <c r="AH380" s="849">
        <v>0.0</v>
      </c>
      <c r="AI380" s="849">
        <v>0.0</v>
      </c>
      <c r="AJ380" s="794" t="str">
        <f t="shared" ref="AJ380:AK380" si="757">C380</f>
        <v>G22011</v>
      </c>
      <c r="AK380" s="794" t="str">
        <f t="shared" si="757"/>
        <v>AR VEH. EBLOCK</v>
      </c>
      <c r="AL380" s="794">
        <f t="array" ref="AL380">IFERROR(INDEX(G380:R380,1,MATCH(Parametres!$B$3,G$1:R$1,0)-1)*IF(OR(F380="L",F380="S",F380="I"),-1,1),"")</f>
        <v>184701.51</v>
      </c>
      <c r="AM380" s="794">
        <f t="shared" si="4"/>
        <v>-79572.79</v>
      </c>
      <c r="AN380" s="794">
        <f t="array" ref="AN380">INDEX(G380:R380,1,MATCH(Parametres!$B$3,G$1:R$1,0))*IF(OR(F380="L",F380="S",F380="I"),-1,1)</f>
        <v>105128.72</v>
      </c>
      <c r="AO380" s="853" t="str">
        <f>+VLOOKUP($AJ380,Data_Validation!$A:$D,1,0)</f>
        <v>G22011</v>
      </c>
      <c r="AP380" s="853" t="str">
        <f>+VLOOKUP($AJ380,Data_Validation!$A:$D,3,0)</f>
        <v>Bilan</v>
      </c>
      <c r="AQ380" s="853" t="str">
        <f>+VLOOKUP($AJ380,Data_Validation!$A:$D,4,0)</f>
        <v>Recevables Véhicules</v>
      </c>
      <c r="AR380" s="853" t="s">
        <v>728</v>
      </c>
      <c r="AS380" s="853" t="str">
        <f>+VLOOKUP($AJ380,Data_Validation!$A:$E,5,0)</f>
        <v/>
      </c>
      <c r="AT380" s="794" t="str">
        <f t="shared" ref="AT380:AU380" si="758">C380</f>
        <v>G22011</v>
      </c>
      <c r="AU380" s="854" t="str">
        <f t="shared" si="758"/>
        <v>AR VEH. EBLOCK</v>
      </c>
      <c r="AV380" s="794">
        <f t="array" ref="AV380">IFERROR(INDEX(V380:AG380,1,MATCH(Parametres!$B$3,V$1:AG$1,0)-1)*IF(OR(C380="L",C380="S",C380="I"),-1,1),"")</f>
        <v>0</v>
      </c>
      <c r="AW380" s="794">
        <f t="shared" si="6"/>
        <v>0</v>
      </c>
      <c r="AX380" s="794">
        <f t="array" ref="AX380">INDEX(V380:AG380,1,MATCH(Parametres!$B$3,V$1:AG$1,0))*IF(OR(C380="L",C380="S",C380="I"),-1,1)</f>
        <v>0</v>
      </c>
      <c r="AY380" s="853" t="s">
        <v>772</v>
      </c>
      <c r="AZ380" s="853" t="str">
        <f>+VLOOKUP($AJ380,Data_Validation!$A:$E,5,0)</f>
        <v/>
      </c>
    </row>
    <row r="381" ht="15.75" customHeight="1">
      <c r="A381" s="849" t="s">
        <v>1239</v>
      </c>
      <c r="B381" s="849">
        <v>2026.0</v>
      </c>
      <c r="C381" s="849" t="s">
        <v>1985</v>
      </c>
      <c r="D381" s="849" t="s">
        <v>1986</v>
      </c>
      <c r="E381" s="849" t="s">
        <v>771</v>
      </c>
      <c r="F381" s="849" t="s">
        <v>1926</v>
      </c>
      <c r="G381" s="849">
        <v>0.0</v>
      </c>
      <c r="H381" s="849">
        <v>0.0</v>
      </c>
      <c r="I381" s="849">
        <v>0.0</v>
      </c>
      <c r="J381" s="849">
        <v>0.0</v>
      </c>
      <c r="K381" s="849">
        <v>0.0</v>
      </c>
      <c r="L381" s="849">
        <v>0.0</v>
      </c>
      <c r="M381" s="849">
        <v>0.0</v>
      </c>
      <c r="N381" s="849">
        <v>0.0</v>
      </c>
      <c r="O381" s="849">
        <v>0.0</v>
      </c>
      <c r="P381" s="849">
        <v>0.0</v>
      </c>
      <c r="Q381" s="849">
        <v>0.0</v>
      </c>
      <c r="R381" s="849">
        <v>0.0</v>
      </c>
      <c r="S381" s="849">
        <v>0.0</v>
      </c>
      <c r="T381" s="849">
        <v>0.0</v>
      </c>
      <c r="U381" s="849">
        <v>0.0</v>
      </c>
      <c r="V381" s="849">
        <v>0.0</v>
      </c>
      <c r="W381" s="849">
        <v>0.0</v>
      </c>
      <c r="X381" s="849">
        <v>0.0</v>
      </c>
      <c r="Y381" s="849">
        <v>0.0</v>
      </c>
      <c r="Z381" s="849">
        <v>0.0</v>
      </c>
      <c r="AA381" s="849">
        <v>0.0</v>
      </c>
      <c r="AB381" s="849">
        <v>0.0</v>
      </c>
      <c r="AC381" s="849">
        <v>0.0</v>
      </c>
      <c r="AD381" s="849">
        <v>0.0</v>
      </c>
      <c r="AE381" s="849">
        <v>0.0</v>
      </c>
      <c r="AF381" s="849">
        <v>0.0</v>
      </c>
      <c r="AG381" s="849">
        <v>0.0</v>
      </c>
      <c r="AH381" s="849">
        <v>0.0</v>
      </c>
      <c r="AI381" s="849">
        <v>0.0</v>
      </c>
      <c r="AJ381" s="794" t="str">
        <f t="shared" ref="AJ381:AK381" si="759">C381</f>
        <v>G22012</v>
      </c>
      <c r="AK381" s="794" t="str">
        <f t="shared" si="759"/>
        <v>VENTES FOSS NATIONAL LEAS</v>
      </c>
      <c r="AL381" s="794">
        <f t="array" ref="AL381">IFERROR(INDEX(G381:R381,1,MATCH(Parametres!$B$3,G$1:R$1,0)-1)*IF(OR(F381="L",F381="S",F381="I"),-1,1),"")</f>
        <v>0</v>
      </c>
      <c r="AM381" s="794">
        <f t="shared" si="4"/>
        <v>0</v>
      </c>
      <c r="AN381" s="794">
        <f t="array" ref="AN381">INDEX(G381:R381,1,MATCH(Parametres!$B$3,G$1:R$1,0))*IF(OR(F381="L",F381="S",F381="I"),-1,1)</f>
        <v>0</v>
      </c>
      <c r="AO381" s="853" t="str">
        <f>+VLOOKUP($AJ381,Data_Validation!$A:$D,1,0)</f>
        <v>#N/A</v>
      </c>
      <c r="AP381" s="853" t="str">
        <f>+VLOOKUP($AJ381,Data_Validation!$A:$D,3,0)</f>
        <v>#N/A</v>
      </c>
      <c r="AQ381" s="853" t="str">
        <f>+VLOOKUP($AJ381,Data_Validation!$A:$D,4,0)</f>
        <v>#N/A</v>
      </c>
      <c r="AR381" s="853" t="s">
        <v>728</v>
      </c>
      <c r="AS381" s="853" t="str">
        <f>+VLOOKUP($AJ381,Data_Validation!$A:$E,5,0)</f>
        <v>#N/A</v>
      </c>
      <c r="AT381" s="794" t="str">
        <f t="shared" ref="AT381:AU381" si="760">C381</f>
        <v>G22012</v>
      </c>
      <c r="AU381" s="854" t="str">
        <f t="shared" si="760"/>
        <v>VENTES FOSS NATIONAL LEAS</v>
      </c>
      <c r="AV381" s="794">
        <f t="array" ref="AV381">IFERROR(INDEX(V381:AG381,1,MATCH(Parametres!$B$3,V$1:AG$1,0)-1)*IF(OR(C381="L",C381="S",C381="I"),-1,1),"")</f>
        <v>0</v>
      </c>
      <c r="AW381" s="794">
        <f t="shared" si="6"/>
        <v>0</v>
      </c>
      <c r="AX381" s="794">
        <f t="array" ref="AX381">INDEX(V381:AG381,1,MATCH(Parametres!$B$3,V$1:AG$1,0))*IF(OR(C381="L",C381="S",C381="I"),-1,1)</f>
        <v>0</v>
      </c>
      <c r="AY381" s="853" t="s">
        <v>772</v>
      </c>
      <c r="AZ381" s="853" t="str">
        <f>+VLOOKUP($AJ381,Data_Validation!$A:$E,5,0)</f>
        <v>#N/A</v>
      </c>
    </row>
    <row r="382" ht="15.75" customHeight="1">
      <c r="A382" s="849" t="s">
        <v>1239</v>
      </c>
      <c r="B382" s="849">
        <v>2026.0</v>
      </c>
      <c r="C382" s="849" t="s">
        <v>1987</v>
      </c>
      <c r="D382" s="849" t="s">
        <v>1988</v>
      </c>
      <c r="E382" s="849" t="s">
        <v>771</v>
      </c>
      <c r="F382" s="849" t="s">
        <v>1926</v>
      </c>
      <c r="G382" s="849">
        <v>0.0</v>
      </c>
      <c r="H382" s="849">
        <v>0.0</v>
      </c>
      <c r="I382" s="849">
        <v>0.0</v>
      </c>
      <c r="J382" s="849">
        <v>0.0</v>
      </c>
      <c r="K382" s="849">
        <v>264980.44</v>
      </c>
      <c r="L382" s="849">
        <v>105895.59</v>
      </c>
      <c r="M382" s="849">
        <v>0.0</v>
      </c>
      <c r="N382" s="849">
        <v>0.0</v>
      </c>
      <c r="O382" s="849">
        <v>0.0</v>
      </c>
      <c r="P382" s="849">
        <v>-59948.02</v>
      </c>
      <c r="Q382" s="849">
        <v>0.0</v>
      </c>
      <c r="R382" s="849">
        <v>0.0</v>
      </c>
      <c r="S382" s="849">
        <v>0.0</v>
      </c>
      <c r="T382" s="849">
        <v>0.0</v>
      </c>
      <c r="U382" s="849">
        <v>0.0</v>
      </c>
      <c r="V382" s="849">
        <v>0.0</v>
      </c>
      <c r="W382" s="849">
        <v>0.0</v>
      </c>
      <c r="X382" s="849">
        <v>0.0</v>
      </c>
      <c r="Y382" s="849">
        <v>0.0</v>
      </c>
      <c r="Z382" s="849">
        <v>0.0</v>
      </c>
      <c r="AA382" s="849">
        <v>0.0</v>
      </c>
      <c r="AB382" s="849">
        <v>0.0</v>
      </c>
      <c r="AC382" s="849">
        <v>0.0</v>
      </c>
      <c r="AD382" s="849">
        <v>0.0</v>
      </c>
      <c r="AE382" s="849">
        <v>0.0</v>
      </c>
      <c r="AF382" s="849">
        <v>0.0</v>
      </c>
      <c r="AG382" s="849">
        <v>0.0</v>
      </c>
      <c r="AH382" s="849">
        <v>0.0</v>
      </c>
      <c r="AI382" s="849">
        <v>0.0</v>
      </c>
      <c r="AJ382" s="794" t="str">
        <f t="shared" ref="AJ382:AK382" si="761">C382</f>
        <v>G22013</v>
      </c>
      <c r="AK382" s="794" t="str">
        <f t="shared" si="761"/>
        <v>AR VEH LOCATION SAUVAGEAU</v>
      </c>
      <c r="AL382" s="794">
        <f t="array" ref="AL382">IFERROR(INDEX(G382:R382,1,MATCH(Parametres!$B$3,G$1:R$1,0)-1)*IF(OR(F382="L",F382="S",F382="I"),-1,1),"")</f>
        <v>0</v>
      </c>
      <c r="AM382" s="794">
        <f t="shared" si="4"/>
        <v>0</v>
      </c>
      <c r="AN382" s="794">
        <f t="array" ref="AN382">INDEX(G382:R382,1,MATCH(Parametres!$B$3,G$1:R$1,0))*IF(OR(F382="L",F382="S",F382="I"),-1,1)</f>
        <v>0</v>
      </c>
      <c r="AO382" s="853" t="str">
        <f>+VLOOKUP($AJ382,Data_Validation!$A:$D,1,0)</f>
        <v>G22013</v>
      </c>
      <c r="AP382" s="853" t="str">
        <f>+VLOOKUP($AJ382,Data_Validation!$A:$D,3,0)</f>
        <v>Bilan</v>
      </c>
      <c r="AQ382" s="853" t="str">
        <f>+VLOOKUP($AJ382,Data_Validation!$A:$D,4,0)</f>
        <v>Recevables Véhicules</v>
      </c>
      <c r="AR382" s="853" t="s">
        <v>728</v>
      </c>
      <c r="AS382" s="853" t="str">
        <f>+VLOOKUP($AJ382,Data_Validation!$A:$E,5,0)</f>
        <v/>
      </c>
      <c r="AT382" s="794" t="str">
        <f t="shared" ref="AT382:AU382" si="762">C382</f>
        <v>G22013</v>
      </c>
      <c r="AU382" s="854" t="str">
        <f t="shared" si="762"/>
        <v>AR VEH LOCATION SAUVAGEAU</v>
      </c>
      <c r="AV382" s="794">
        <f t="array" ref="AV382">IFERROR(INDEX(V382:AG382,1,MATCH(Parametres!$B$3,V$1:AG$1,0)-1)*IF(OR(C382="L",C382="S",C382="I"),-1,1),"")</f>
        <v>0</v>
      </c>
      <c r="AW382" s="794">
        <f t="shared" si="6"/>
        <v>0</v>
      </c>
      <c r="AX382" s="794">
        <f t="array" ref="AX382">INDEX(V382:AG382,1,MATCH(Parametres!$B$3,V$1:AG$1,0))*IF(OR(C382="L",C382="S",C382="I"),-1,1)</f>
        <v>0</v>
      </c>
      <c r="AY382" s="853" t="s">
        <v>772</v>
      </c>
      <c r="AZ382" s="853" t="str">
        <f>+VLOOKUP($AJ382,Data_Validation!$A:$E,5,0)</f>
        <v/>
      </c>
    </row>
    <row r="383" ht="15.75" customHeight="1">
      <c r="A383" s="849" t="s">
        <v>1239</v>
      </c>
      <c r="B383" s="849">
        <v>2026.0</v>
      </c>
      <c r="C383" s="849" t="s">
        <v>1989</v>
      </c>
      <c r="D383" s="849" t="s">
        <v>1990</v>
      </c>
      <c r="E383" s="849" t="s">
        <v>771</v>
      </c>
      <c r="F383" s="849" t="s">
        <v>1926</v>
      </c>
      <c r="G383" s="849">
        <v>317048.37</v>
      </c>
      <c r="H383" s="849">
        <v>669067.78</v>
      </c>
      <c r="I383" s="849">
        <v>578541.78</v>
      </c>
      <c r="J383" s="849">
        <v>290895.05</v>
      </c>
      <c r="K383" s="849">
        <v>513308.96</v>
      </c>
      <c r="L383" s="849">
        <v>415497.53</v>
      </c>
      <c r="M383" s="849">
        <v>604764.46</v>
      </c>
      <c r="N383" s="849">
        <v>155734.05</v>
      </c>
      <c r="O383" s="849">
        <v>439742.82</v>
      </c>
      <c r="P383" s="849">
        <v>69206.11</v>
      </c>
      <c r="Q383" s="849">
        <v>0.0</v>
      </c>
      <c r="R383" s="849">
        <v>0.0</v>
      </c>
      <c r="S383" s="849">
        <v>0.0</v>
      </c>
      <c r="T383" s="849">
        <v>0.0</v>
      </c>
      <c r="U383" s="849">
        <v>0.0</v>
      </c>
      <c r="V383" s="849">
        <v>0.0</v>
      </c>
      <c r="W383" s="849">
        <v>0.0</v>
      </c>
      <c r="X383" s="849">
        <v>0.0</v>
      </c>
      <c r="Y383" s="849">
        <v>0.0</v>
      </c>
      <c r="Z383" s="849">
        <v>0.0</v>
      </c>
      <c r="AA383" s="849">
        <v>0.0</v>
      </c>
      <c r="AB383" s="849">
        <v>0.0</v>
      </c>
      <c r="AC383" s="849">
        <v>0.0</v>
      </c>
      <c r="AD383" s="849">
        <v>0.0</v>
      </c>
      <c r="AE383" s="849">
        <v>0.0</v>
      </c>
      <c r="AF383" s="849">
        <v>0.0</v>
      </c>
      <c r="AG383" s="849">
        <v>0.0</v>
      </c>
      <c r="AH383" s="849">
        <v>0.0</v>
      </c>
      <c r="AI383" s="849">
        <v>0.0</v>
      </c>
      <c r="AJ383" s="794" t="str">
        <f t="shared" ref="AJ383:AK383" si="763">C383</f>
        <v>G22014</v>
      </c>
      <c r="AK383" s="794" t="str">
        <f t="shared" si="763"/>
        <v>AR VEH JIM PATTISON LEASE</v>
      </c>
      <c r="AL383" s="794">
        <f t="array" ref="AL383">IFERROR(INDEX(G383:R383,1,MATCH(Parametres!$B$3,G$1:R$1,0)-1)*IF(OR(F383="L",F383="S",F383="I"),-1,1),"")</f>
        <v>155734.05</v>
      </c>
      <c r="AM383" s="794">
        <f t="shared" si="4"/>
        <v>284008.77</v>
      </c>
      <c r="AN383" s="794">
        <f t="array" ref="AN383">INDEX(G383:R383,1,MATCH(Parametres!$B$3,G$1:R$1,0))*IF(OR(F383="L",F383="S",F383="I"),-1,1)</f>
        <v>439742.82</v>
      </c>
      <c r="AO383" s="853" t="str">
        <f>+VLOOKUP($AJ383,Data_Validation!$A:$D,1,0)</f>
        <v>G22014</v>
      </c>
      <c r="AP383" s="853" t="str">
        <f>+VLOOKUP($AJ383,Data_Validation!$A:$D,3,0)</f>
        <v>Bilan</v>
      </c>
      <c r="AQ383" s="853" t="str">
        <f>+VLOOKUP($AJ383,Data_Validation!$A:$D,4,0)</f>
        <v>Recevables Véhicules</v>
      </c>
      <c r="AR383" s="853" t="s">
        <v>728</v>
      </c>
      <c r="AS383" s="853" t="str">
        <f>+VLOOKUP($AJ383,Data_Validation!$A:$E,5,0)</f>
        <v/>
      </c>
      <c r="AT383" s="794" t="str">
        <f t="shared" ref="AT383:AU383" si="764">C383</f>
        <v>G22014</v>
      </c>
      <c r="AU383" s="854" t="str">
        <f t="shared" si="764"/>
        <v>AR VEH JIM PATTISON LEASE</v>
      </c>
      <c r="AV383" s="794">
        <f t="array" ref="AV383">IFERROR(INDEX(V383:AG383,1,MATCH(Parametres!$B$3,V$1:AG$1,0)-1)*IF(OR(C383="L",C383="S",C383="I"),-1,1),"")</f>
        <v>0</v>
      </c>
      <c r="AW383" s="794">
        <f t="shared" si="6"/>
        <v>0</v>
      </c>
      <c r="AX383" s="794">
        <f t="array" ref="AX383">INDEX(V383:AG383,1,MATCH(Parametres!$B$3,V$1:AG$1,0))*IF(OR(C383="L",C383="S",C383="I"),-1,1)</f>
        <v>0</v>
      </c>
      <c r="AY383" s="853" t="s">
        <v>772</v>
      </c>
      <c r="AZ383" s="853" t="str">
        <f>+VLOOKUP($AJ383,Data_Validation!$A:$E,5,0)</f>
        <v/>
      </c>
    </row>
    <row r="384" ht="15.75" customHeight="1">
      <c r="A384" s="849" t="s">
        <v>1239</v>
      </c>
      <c r="B384" s="849">
        <v>2026.0</v>
      </c>
      <c r="C384" s="849" t="s">
        <v>1991</v>
      </c>
      <c r="D384" s="849" t="s">
        <v>1992</v>
      </c>
      <c r="E384" s="849" t="s">
        <v>768</v>
      </c>
      <c r="F384" s="849" t="s">
        <v>1926</v>
      </c>
      <c r="G384" s="849">
        <v>0.0</v>
      </c>
      <c r="H384" s="849">
        <v>0.0</v>
      </c>
      <c r="I384" s="849">
        <v>0.0</v>
      </c>
      <c r="J384" s="849">
        <v>0.0</v>
      </c>
      <c r="K384" s="849">
        <v>0.0</v>
      </c>
      <c r="L384" s="849">
        <v>0.0</v>
      </c>
      <c r="M384" s="849">
        <v>0.0</v>
      </c>
      <c r="N384" s="849">
        <v>0.0</v>
      </c>
      <c r="O384" s="849">
        <v>0.0</v>
      </c>
      <c r="P384" s="849">
        <v>0.0</v>
      </c>
      <c r="Q384" s="849">
        <v>0.0</v>
      </c>
      <c r="R384" s="849">
        <v>0.0</v>
      </c>
      <c r="S384" s="849">
        <v>0.0</v>
      </c>
      <c r="T384" s="849">
        <v>0.0</v>
      </c>
      <c r="U384" s="849">
        <v>0.0</v>
      </c>
      <c r="V384" s="849">
        <v>0.0</v>
      </c>
      <c r="W384" s="849">
        <v>0.0</v>
      </c>
      <c r="X384" s="849">
        <v>0.0</v>
      </c>
      <c r="Y384" s="849">
        <v>0.0</v>
      </c>
      <c r="Z384" s="849">
        <v>0.0</v>
      </c>
      <c r="AA384" s="849">
        <v>0.0</v>
      </c>
      <c r="AB384" s="849">
        <v>0.0</v>
      </c>
      <c r="AC384" s="849">
        <v>0.0</v>
      </c>
      <c r="AD384" s="849">
        <v>0.0</v>
      </c>
      <c r="AE384" s="849">
        <v>0.0</v>
      </c>
      <c r="AF384" s="849">
        <v>0.0</v>
      </c>
      <c r="AG384" s="849">
        <v>0.0</v>
      </c>
      <c r="AH384" s="849">
        <v>0.0</v>
      </c>
      <c r="AI384" s="849">
        <v>0.0</v>
      </c>
      <c r="AJ384" s="794" t="str">
        <f t="shared" ref="AJ384:AK384" si="765">C384</f>
        <v>G22015</v>
      </c>
      <c r="AK384" s="794" t="str">
        <f t="shared" si="765"/>
        <v>VENTES 9515-1726 QC</v>
      </c>
      <c r="AL384" s="794">
        <f t="array" ref="AL384">IFERROR(INDEX(G384:R384,1,MATCH(Parametres!$B$3,G$1:R$1,0)-1)*IF(OR(F384="L",F384="S",F384="I"),-1,1),"")</f>
        <v>0</v>
      </c>
      <c r="AM384" s="794">
        <f t="shared" si="4"/>
        <v>0</v>
      </c>
      <c r="AN384" s="794">
        <f t="array" ref="AN384">INDEX(G384:R384,1,MATCH(Parametres!$B$3,G$1:R$1,0))*IF(OR(F384="L",F384="S",F384="I"),-1,1)</f>
        <v>0</v>
      </c>
      <c r="AO384" s="853" t="str">
        <f>+VLOOKUP($AJ384,Data_Validation!$A:$D,1,0)</f>
        <v>G22015</v>
      </c>
      <c r="AP384" s="853" t="str">
        <f>+VLOOKUP($AJ384,Data_Validation!$A:$D,3,0)</f>
        <v>Bilan</v>
      </c>
      <c r="AQ384" s="853" t="str">
        <f>+VLOOKUP($AJ384,Data_Validation!$A:$D,4,0)</f>
        <v>Recevables Véhicules</v>
      </c>
      <c r="AR384" s="853" t="s">
        <v>728</v>
      </c>
      <c r="AS384" s="853" t="str">
        <f>+VLOOKUP($AJ384,Data_Validation!$A:$E,5,0)</f>
        <v/>
      </c>
      <c r="AT384" s="794" t="str">
        <f t="shared" ref="AT384:AU384" si="766">C384</f>
        <v>G22015</v>
      </c>
      <c r="AU384" s="854" t="str">
        <f t="shared" si="766"/>
        <v>VENTES 9515-1726 QC</v>
      </c>
      <c r="AV384" s="794">
        <f t="array" ref="AV384">IFERROR(INDEX(V384:AG384,1,MATCH(Parametres!$B$3,V$1:AG$1,0)-1)*IF(OR(C384="L",C384="S",C384="I"),-1,1),"")</f>
        <v>0</v>
      </c>
      <c r="AW384" s="794">
        <f t="shared" si="6"/>
        <v>0</v>
      </c>
      <c r="AX384" s="794">
        <f t="array" ref="AX384">INDEX(V384:AG384,1,MATCH(Parametres!$B$3,V$1:AG$1,0))*IF(OR(C384="L",C384="S",C384="I"),-1,1)</f>
        <v>0</v>
      </c>
      <c r="AY384" s="853" t="s">
        <v>772</v>
      </c>
      <c r="AZ384" s="853" t="str">
        <f>+VLOOKUP($AJ384,Data_Validation!$A:$E,5,0)</f>
        <v/>
      </c>
    </row>
    <row r="385" ht="15.75" customHeight="1">
      <c r="A385" s="849" t="s">
        <v>1239</v>
      </c>
      <c r="B385" s="849">
        <v>2026.0</v>
      </c>
      <c r="C385" s="849" t="s">
        <v>1993</v>
      </c>
      <c r="D385" s="849" t="s">
        <v>1994</v>
      </c>
      <c r="E385" s="849" t="s">
        <v>771</v>
      </c>
      <c r="F385" s="849" t="s">
        <v>1926</v>
      </c>
      <c r="G385" s="849">
        <v>6226.88</v>
      </c>
      <c r="H385" s="849">
        <v>6282.48</v>
      </c>
      <c r="I385" s="849">
        <v>6282.48</v>
      </c>
      <c r="J385" s="849">
        <v>6282.48</v>
      </c>
      <c r="K385" s="849">
        <v>6282.48</v>
      </c>
      <c r="L385" s="849">
        <v>0.0</v>
      </c>
      <c r="M385" s="849">
        <v>0.0</v>
      </c>
      <c r="N385" s="849">
        <v>0.0</v>
      </c>
      <c r="O385" s="849">
        <v>0.0</v>
      </c>
      <c r="P385" s="849">
        <v>0.0</v>
      </c>
      <c r="Q385" s="849">
        <v>0.0</v>
      </c>
      <c r="R385" s="849">
        <v>0.0</v>
      </c>
      <c r="S385" s="849">
        <v>0.0</v>
      </c>
      <c r="T385" s="849">
        <v>0.0</v>
      </c>
      <c r="U385" s="849">
        <v>0.0</v>
      </c>
      <c r="V385" s="849">
        <v>0.0</v>
      </c>
      <c r="W385" s="849">
        <v>0.0</v>
      </c>
      <c r="X385" s="849">
        <v>0.0</v>
      </c>
      <c r="Y385" s="849">
        <v>0.0</v>
      </c>
      <c r="Z385" s="849">
        <v>0.0</v>
      </c>
      <c r="AA385" s="849">
        <v>0.0</v>
      </c>
      <c r="AB385" s="849">
        <v>0.0</v>
      </c>
      <c r="AC385" s="849">
        <v>0.0</v>
      </c>
      <c r="AD385" s="849">
        <v>0.0</v>
      </c>
      <c r="AE385" s="849">
        <v>0.0</v>
      </c>
      <c r="AF385" s="849">
        <v>0.0</v>
      </c>
      <c r="AG385" s="849">
        <v>0.0</v>
      </c>
      <c r="AH385" s="849">
        <v>0.0</v>
      </c>
      <c r="AI385" s="849">
        <v>0.0</v>
      </c>
      <c r="AJ385" s="794" t="str">
        <f t="shared" ref="AJ385:AK385" si="767">C385</f>
        <v>G22016</v>
      </c>
      <c r="AK385" s="794" t="str">
        <f t="shared" si="767"/>
        <v>AR VEH.9482-3176 QUEB INC</v>
      </c>
      <c r="AL385" s="794">
        <f t="array" ref="AL385">IFERROR(INDEX(G385:R385,1,MATCH(Parametres!$B$3,G$1:R$1,0)-1)*IF(OR(F385="L",F385="S",F385="I"),-1,1),"")</f>
        <v>0</v>
      </c>
      <c r="AM385" s="794">
        <f t="shared" si="4"/>
        <v>0</v>
      </c>
      <c r="AN385" s="794">
        <f t="array" ref="AN385">INDEX(G385:R385,1,MATCH(Parametres!$B$3,G$1:R$1,0))*IF(OR(F385="L",F385="S",F385="I"),-1,1)</f>
        <v>0</v>
      </c>
      <c r="AO385" s="853" t="str">
        <f>+VLOOKUP($AJ385,Data_Validation!$A:$D,1,0)</f>
        <v>G22016</v>
      </c>
      <c r="AP385" s="853" t="str">
        <f>+VLOOKUP($AJ385,Data_Validation!$A:$D,3,0)</f>
        <v>Bilan</v>
      </c>
      <c r="AQ385" s="853" t="str">
        <f>+VLOOKUP($AJ385,Data_Validation!$A:$D,4,0)</f>
        <v>Recevables Véhicules</v>
      </c>
      <c r="AR385" s="853" t="s">
        <v>728</v>
      </c>
      <c r="AS385" s="853" t="str">
        <f>+VLOOKUP($AJ385,Data_Validation!$A:$E,5,0)</f>
        <v/>
      </c>
      <c r="AT385" s="794" t="str">
        <f t="shared" ref="AT385:AU385" si="768">C385</f>
        <v>G22016</v>
      </c>
      <c r="AU385" s="854" t="str">
        <f t="shared" si="768"/>
        <v>AR VEH.9482-3176 QUEB INC</v>
      </c>
      <c r="AV385" s="794">
        <f t="array" ref="AV385">IFERROR(INDEX(V385:AG385,1,MATCH(Parametres!$B$3,V$1:AG$1,0)-1)*IF(OR(C385="L",C385="S",C385="I"),-1,1),"")</f>
        <v>0</v>
      </c>
      <c r="AW385" s="794">
        <f t="shared" si="6"/>
        <v>0</v>
      </c>
      <c r="AX385" s="794">
        <f t="array" ref="AX385">INDEX(V385:AG385,1,MATCH(Parametres!$B$3,V$1:AG$1,0))*IF(OR(C385="L",C385="S",C385="I"),-1,1)</f>
        <v>0</v>
      </c>
      <c r="AY385" s="853" t="s">
        <v>772</v>
      </c>
      <c r="AZ385" s="853" t="str">
        <f>+VLOOKUP($AJ385,Data_Validation!$A:$E,5,0)</f>
        <v/>
      </c>
    </row>
    <row r="386" ht="15.75" customHeight="1">
      <c r="A386" s="849" t="s">
        <v>1239</v>
      </c>
      <c r="B386" s="849">
        <v>2026.0</v>
      </c>
      <c r="C386" s="849" t="s">
        <v>1995</v>
      </c>
      <c r="D386" s="849" t="s">
        <v>1996</v>
      </c>
      <c r="E386" s="849" t="s">
        <v>771</v>
      </c>
      <c r="F386" s="849" t="s">
        <v>1926</v>
      </c>
      <c r="G386" s="849">
        <v>0.0</v>
      </c>
      <c r="H386" s="849">
        <v>0.0</v>
      </c>
      <c r="I386" s="849">
        <v>0.0</v>
      </c>
      <c r="J386" s="849">
        <v>0.0</v>
      </c>
      <c r="K386" s="849">
        <v>0.0</v>
      </c>
      <c r="L386" s="849">
        <v>0.0</v>
      </c>
      <c r="M386" s="849">
        <v>0.0</v>
      </c>
      <c r="N386" s="849">
        <v>0.0</v>
      </c>
      <c r="O386" s="849">
        <v>0.0</v>
      </c>
      <c r="P386" s="849">
        <v>0.0</v>
      </c>
      <c r="Q386" s="849">
        <v>0.0</v>
      </c>
      <c r="R386" s="849">
        <v>0.0</v>
      </c>
      <c r="S386" s="849">
        <v>0.0</v>
      </c>
      <c r="T386" s="849">
        <v>0.0</v>
      </c>
      <c r="U386" s="849">
        <v>0.0</v>
      </c>
      <c r="V386" s="849">
        <v>0.0</v>
      </c>
      <c r="W386" s="849">
        <v>0.0</v>
      </c>
      <c r="X386" s="849">
        <v>0.0</v>
      </c>
      <c r="Y386" s="849">
        <v>0.0</v>
      </c>
      <c r="Z386" s="849">
        <v>0.0</v>
      </c>
      <c r="AA386" s="849">
        <v>0.0</v>
      </c>
      <c r="AB386" s="849">
        <v>0.0</v>
      </c>
      <c r="AC386" s="849">
        <v>0.0</v>
      </c>
      <c r="AD386" s="849">
        <v>0.0</v>
      </c>
      <c r="AE386" s="849">
        <v>0.0</v>
      </c>
      <c r="AF386" s="849">
        <v>0.0</v>
      </c>
      <c r="AG386" s="849">
        <v>0.0</v>
      </c>
      <c r="AH386" s="849">
        <v>0.0</v>
      </c>
      <c r="AI386" s="849">
        <v>0.0</v>
      </c>
      <c r="AJ386" s="794" t="str">
        <f t="shared" ref="AJ386:AK386" si="769">C386</f>
        <v>G22017</v>
      </c>
      <c r="AK386" s="794" t="str">
        <f t="shared" si="769"/>
        <v>VENTES EMKAY INC</v>
      </c>
      <c r="AL386" s="794">
        <f t="array" ref="AL386">IFERROR(INDEX(G386:R386,1,MATCH(Parametres!$B$3,G$1:R$1,0)-1)*IF(OR(F386="L",F386="S",F386="I"),-1,1),"")</f>
        <v>0</v>
      </c>
      <c r="AM386" s="794">
        <f t="shared" si="4"/>
        <v>0</v>
      </c>
      <c r="AN386" s="794">
        <f t="array" ref="AN386">INDEX(G386:R386,1,MATCH(Parametres!$B$3,G$1:R$1,0))*IF(OR(F386="L",F386="S",F386="I"),-1,1)</f>
        <v>0</v>
      </c>
      <c r="AO386" s="853" t="str">
        <f>+VLOOKUP($AJ386,Data_Validation!$A:$D,1,0)</f>
        <v>#N/A</v>
      </c>
      <c r="AP386" s="853" t="str">
        <f>+VLOOKUP($AJ386,Data_Validation!$A:$D,3,0)</f>
        <v>#N/A</v>
      </c>
      <c r="AQ386" s="853" t="str">
        <f>+VLOOKUP($AJ386,Data_Validation!$A:$D,4,0)</f>
        <v>#N/A</v>
      </c>
      <c r="AR386" s="853" t="s">
        <v>728</v>
      </c>
      <c r="AS386" s="853" t="str">
        <f>+VLOOKUP($AJ386,Data_Validation!$A:$E,5,0)</f>
        <v>#N/A</v>
      </c>
      <c r="AT386" s="794" t="str">
        <f t="shared" ref="AT386:AU386" si="770">C386</f>
        <v>G22017</v>
      </c>
      <c r="AU386" s="854" t="str">
        <f t="shared" si="770"/>
        <v>VENTES EMKAY INC</v>
      </c>
      <c r="AV386" s="794">
        <f t="array" ref="AV386">IFERROR(INDEX(V386:AG386,1,MATCH(Parametres!$B$3,V$1:AG$1,0)-1)*IF(OR(C386="L",C386="S",C386="I"),-1,1),"")</f>
        <v>0</v>
      </c>
      <c r="AW386" s="794">
        <f t="shared" si="6"/>
        <v>0</v>
      </c>
      <c r="AX386" s="794">
        <f t="array" ref="AX386">INDEX(V386:AG386,1,MATCH(Parametres!$B$3,V$1:AG$1,0))*IF(OR(C386="L",C386="S",C386="I"),-1,1)</f>
        <v>0</v>
      </c>
      <c r="AY386" s="853" t="s">
        <v>772</v>
      </c>
      <c r="AZ386" s="853" t="str">
        <f>+VLOOKUP($AJ386,Data_Validation!$A:$E,5,0)</f>
        <v>#N/A</v>
      </c>
    </row>
    <row r="387" ht="15.75" customHeight="1">
      <c r="A387" s="849" t="s">
        <v>1239</v>
      </c>
      <c r="B387" s="849">
        <v>2026.0</v>
      </c>
      <c r="C387" s="849" t="s">
        <v>1997</v>
      </c>
      <c r="D387" s="849" t="s">
        <v>1998</v>
      </c>
      <c r="E387" s="849" t="s">
        <v>771</v>
      </c>
      <c r="F387" s="849" t="s">
        <v>1926</v>
      </c>
      <c r="G387" s="849">
        <v>0.0</v>
      </c>
      <c r="H387" s="849">
        <v>0.0</v>
      </c>
      <c r="I387" s="849">
        <v>0.0</v>
      </c>
      <c r="J387" s="849">
        <v>0.0</v>
      </c>
      <c r="K387" s="849">
        <v>0.0</v>
      </c>
      <c r="L387" s="849">
        <v>0.0</v>
      </c>
      <c r="M387" s="849">
        <v>0.0</v>
      </c>
      <c r="N387" s="849">
        <v>0.0</v>
      </c>
      <c r="O387" s="849">
        <v>0.0</v>
      </c>
      <c r="P387" s="849">
        <v>0.0</v>
      </c>
      <c r="Q387" s="849">
        <v>0.0</v>
      </c>
      <c r="R387" s="849">
        <v>0.0</v>
      </c>
      <c r="S387" s="849">
        <v>0.0</v>
      </c>
      <c r="T387" s="849">
        <v>0.0</v>
      </c>
      <c r="U387" s="849">
        <v>0.0</v>
      </c>
      <c r="V387" s="849">
        <v>0.0</v>
      </c>
      <c r="W387" s="849">
        <v>0.0</v>
      </c>
      <c r="X387" s="849">
        <v>0.0</v>
      </c>
      <c r="Y387" s="849">
        <v>0.0</v>
      </c>
      <c r="Z387" s="849">
        <v>0.0</v>
      </c>
      <c r="AA387" s="849">
        <v>0.0</v>
      </c>
      <c r="AB387" s="849">
        <v>0.0</v>
      </c>
      <c r="AC387" s="849">
        <v>0.0</v>
      </c>
      <c r="AD387" s="849">
        <v>0.0</v>
      </c>
      <c r="AE387" s="849">
        <v>0.0</v>
      </c>
      <c r="AF387" s="849">
        <v>0.0</v>
      </c>
      <c r="AG387" s="849">
        <v>0.0</v>
      </c>
      <c r="AH387" s="849">
        <v>0.0</v>
      </c>
      <c r="AI387" s="849">
        <v>0.0</v>
      </c>
      <c r="AJ387" s="794" t="str">
        <f t="shared" ref="AJ387:AK387" si="771">C387</f>
        <v>G22020</v>
      </c>
      <c r="AK387" s="794" t="str">
        <f t="shared" si="771"/>
        <v>VENTES STE-MARIE</v>
      </c>
      <c r="AL387" s="794">
        <f t="array" ref="AL387">IFERROR(INDEX(G387:R387,1,MATCH(Parametres!$B$3,G$1:R$1,0)-1)*IF(OR(F387="L",F387="S",F387="I"),-1,1),"")</f>
        <v>0</v>
      </c>
      <c r="AM387" s="794">
        <f t="shared" si="4"/>
        <v>0</v>
      </c>
      <c r="AN387" s="794">
        <f t="array" ref="AN387">INDEX(G387:R387,1,MATCH(Parametres!$B$3,G$1:R$1,0))*IF(OR(F387="L",F387="S",F387="I"),-1,1)</f>
        <v>0</v>
      </c>
      <c r="AO387" s="853" t="str">
        <f>+VLOOKUP($AJ387,Data_Validation!$A:$D,1,0)</f>
        <v>#N/A</v>
      </c>
      <c r="AP387" s="853" t="str">
        <f>+VLOOKUP($AJ387,Data_Validation!$A:$D,3,0)</f>
        <v>#N/A</v>
      </c>
      <c r="AQ387" s="853" t="str">
        <f>+VLOOKUP($AJ387,Data_Validation!$A:$D,4,0)</f>
        <v>#N/A</v>
      </c>
      <c r="AR387" s="853" t="s">
        <v>728</v>
      </c>
      <c r="AS387" s="853" t="str">
        <f>+VLOOKUP($AJ387,Data_Validation!$A:$E,5,0)</f>
        <v>#N/A</v>
      </c>
      <c r="AT387" s="794" t="str">
        <f t="shared" ref="AT387:AU387" si="772">C387</f>
        <v>G22020</v>
      </c>
      <c r="AU387" s="854" t="str">
        <f t="shared" si="772"/>
        <v>VENTES STE-MARIE</v>
      </c>
      <c r="AV387" s="794">
        <f t="array" ref="AV387">IFERROR(INDEX(V387:AG387,1,MATCH(Parametres!$B$3,V$1:AG$1,0)-1)*IF(OR(C387="L",C387="S",C387="I"),-1,1),"")</f>
        <v>0</v>
      </c>
      <c r="AW387" s="794">
        <f t="shared" si="6"/>
        <v>0</v>
      </c>
      <c r="AX387" s="794">
        <f t="array" ref="AX387">INDEX(V387:AG387,1,MATCH(Parametres!$B$3,V$1:AG$1,0))*IF(OR(C387="L",C387="S",C387="I"),-1,1)</f>
        <v>0</v>
      </c>
      <c r="AY387" s="853" t="s">
        <v>772</v>
      </c>
      <c r="AZ387" s="853" t="str">
        <f>+VLOOKUP($AJ387,Data_Validation!$A:$E,5,0)</f>
        <v>#N/A</v>
      </c>
    </row>
    <row r="388" ht="15.75" customHeight="1">
      <c r="A388" s="849" t="s">
        <v>1239</v>
      </c>
      <c r="B388" s="849">
        <v>2026.0</v>
      </c>
      <c r="C388" s="849" t="s">
        <v>1999</v>
      </c>
      <c r="D388" s="849" t="s">
        <v>2000</v>
      </c>
      <c r="E388" s="849" t="s">
        <v>771</v>
      </c>
      <c r="F388" s="849" t="s">
        <v>1926</v>
      </c>
      <c r="G388" s="849">
        <v>651677.89</v>
      </c>
      <c r="H388" s="849">
        <v>546648.42</v>
      </c>
      <c r="I388" s="849">
        <v>-326520.19</v>
      </c>
      <c r="J388" s="849">
        <v>281456.7</v>
      </c>
      <c r="K388" s="849">
        <v>50944.04</v>
      </c>
      <c r="L388" s="849">
        <v>0.0</v>
      </c>
      <c r="M388" s="849">
        <v>439538.56</v>
      </c>
      <c r="N388" s="849">
        <v>453908.4</v>
      </c>
      <c r="O388" s="849">
        <v>44131.04</v>
      </c>
      <c r="P388" s="849">
        <v>119136.16</v>
      </c>
      <c r="Q388" s="849">
        <v>0.0</v>
      </c>
      <c r="R388" s="849">
        <v>0.0</v>
      </c>
      <c r="S388" s="849">
        <v>0.0</v>
      </c>
      <c r="T388" s="849">
        <v>0.0</v>
      </c>
      <c r="U388" s="849">
        <v>0.0</v>
      </c>
      <c r="V388" s="849">
        <v>0.0</v>
      </c>
      <c r="W388" s="849">
        <v>0.0</v>
      </c>
      <c r="X388" s="849">
        <v>0.0</v>
      </c>
      <c r="Y388" s="849">
        <v>0.0</v>
      </c>
      <c r="Z388" s="849">
        <v>0.0</v>
      </c>
      <c r="AA388" s="849">
        <v>0.0</v>
      </c>
      <c r="AB388" s="849">
        <v>0.0</v>
      </c>
      <c r="AC388" s="849">
        <v>0.0</v>
      </c>
      <c r="AD388" s="849">
        <v>0.0</v>
      </c>
      <c r="AE388" s="849">
        <v>0.0</v>
      </c>
      <c r="AF388" s="849">
        <v>0.0</v>
      </c>
      <c r="AG388" s="849">
        <v>0.0</v>
      </c>
      <c r="AH388" s="849">
        <v>0.0</v>
      </c>
      <c r="AI388" s="849">
        <v>0.0</v>
      </c>
      <c r="AJ388" s="794" t="str">
        <f t="shared" ref="AJ388:AK388" si="773">C388</f>
        <v>G22030</v>
      </c>
      <c r="AK388" s="794" t="str">
        <f t="shared" si="773"/>
        <v>AR VEH.  HAWKESBURY</v>
      </c>
      <c r="AL388" s="794">
        <f t="array" ref="AL388">IFERROR(INDEX(G388:R388,1,MATCH(Parametres!$B$3,G$1:R$1,0)-1)*IF(OR(F388="L",F388="S",F388="I"),-1,1),"")</f>
        <v>453908.4</v>
      </c>
      <c r="AM388" s="794">
        <f t="shared" si="4"/>
        <v>-409777.36</v>
      </c>
      <c r="AN388" s="794">
        <f t="array" ref="AN388">INDEX(G388:R388,1,MATCH(Parametres!$B$3,G$1:R$1,0))*IF(OR(F388="L",F388="S",F388="I"),-1,1)</f>
        <v>44131.04</v>
      </c>
      <c r="AO388" s="853" t="str">
        <f>+VLOOKUP($AJ388,Data_Validation!$A:$D,1,0)</f>
        <v>G22030</v>
      </c>
      <c r="AP388" s="853" t="str">
        <f>+VLOOKUP($AJ388,Data_Validation!$A:$D,3,0)</f>
        <v>Bilan</v>
      </c>
      <c r="AQ388" s="853" t="str">
        <f>+VLOOKUP($AJ388,Data_Validation!$A:$D,4,0)</f>
        <v>Recevables Intercos</v>
      </c>
      <c r="AR388" s="853" t="s">
        <v>728</v>
      </c>
      <c r="AS388" s="853" t="str">
        <f>+VLOOKUP($AJ388,Data_Validation!$A:$E,5,0)</f>
        <v/>
      </c>
      <c r="AT388" s="794" t="str">
        <f t="shared" ref="AT388:AU388" si="774">C388</f>
        <v>G22030</v>
      </c>
      <c r="AU388" s="854" t="str">
        <f t="shared" si="774"/>
        <v>AR VEH.  HAWKESBURY</v>
      </c>
      <c r="AV388" s="794">
        <f t="array" ref="AV388">IFERROR(INDEX(V388:AG388,1,MATCH(Parametres!$B$3,V$1:AG$1,0)-1)*IF(OR(C388="L",C388="S",C388="I"),-1,1),"")</f>
        <v>0</v>
      </c>
      <c r="AW388" s="794">
        <f t="shared" si="6"/>
        <v>0</v>
      </c>
      <c r="AX388" s="794">
        <f t="array" ref="AX388">INDEX(V388:AG388,1,MATCH(Parametres!$B$3,V$1:AG$1,0))*IF(OR(C388="L",C388="S",C388="I"),-1,1)</f>
        <v>0</v>
      </c>
      <c r="AY388" s="853" t="s">
        <v>772</v>
      </c>
      <c r="AZ388" s="853" t="str">
        <f>+VLOOKUP($AJ388,Data_Validation!$A:$E,5,0)</f>
        <v/>
      </c>
    </row>
    <row r="389" ht="15.75" customHeight="1">
      <c r="A389" s="849" t="s">
        <v>1239</v>
      </c>
      <c r="B389" s="849">
        <v>2026.0</v>
      </c>
      <c r="C389" s="849" t="s">
        <v>2001</v>
      </c>
      <c r="D389" s="849" t="s">
        <v>2002</v>
      </c>
      <c r="E389" s="849" t="s">
        <v>771</v>
      </c>
      <c r="F389" s="849" t="s">
        <v>1926</v>
      </c>
      <c r="G389" s="849">
        <v>0.0</v>
      </c>
      <c r="H389" s="849">
        <v>0.0</v>
      </c>
      <c r="I389" s="849">
        <v>-67879.36</v>
      </c>
      <c r="J389" s="849">
        <v>45131.73</v>
      </c>
      <c r="K389" s="849">
        <v>44677.5</v>
      </c>
      <c r="L389" s="849">
        <v>0.0</v>
      </c>
      <c r="M389" s="849">
        <v>0.0</v>
      </c>
      <c r="N389" s="849">
        <v>0.0</v>
      </c>
      <c r="O389" s="849">
        <v>0.0</v>
      </c>
      <c r="P389" s="849">
        <v>0.0</v>
      </c>
      <c r="Q389" s="849">
        <v>0.0</v>
      </c>
      <c r="R389" s="849">
        <v>0.0</v>
      </c>
      <c r="S389" s="849">
        <v>0.0</v>
      </c>
      <c r="T389" s="849">
        <v>0.0</v>
      </c>
      <c r="U389" s="849">
        <v>0.0</v>
      </c>
      <c r="V389" s="849">
        <v>0.0</v>
      </c>
      <c r="W389" s="849">
        <v>0.0</v>
      </c>
      <c r="X389" s="849">
        <v>0.0</v>
      </c>
      <c r="Y389" s="849">
        <v>0.0</v>
      </c>
      <c r="Z389" s="849">
        <v>0.0</v>
      </c>
      <c r="AA389" s="849">
        <v>0.0</v>
      </c>
      <c r="AB389" s="849">
        <v>0.0</v>
      </c>
      <c r="AC389" s="849">
        <v>0.0</v>
      </c>
      <c r="AD389" s="849">
        <v>0.0</v>
      </c>
      <c r="AE389" s="849">
        <v>0.0</v>
      </c>
      <c r="AF389" s="849">
        <v>0.0</v>
      </c>
      <c r="AG389" s="849">
        <v>0.0</v>
      </c>
      <c r="AH389" s="849">
        <v>0.0</v>
      </c>
      <c r="AI389" s="849">
        <v>0.0</v>
      </c>
      <c r="AJ389" s="794" t="str">
        <f t="shared" ref="AJ389:AK389" si="775">C389</f>
        <v>G22035</v>
      </c>
      <c r="AK389" s="794" t="str">
        <f t="shared" si="775"/>
        <v>AR VEH. BMW SHERBROOKE</v>
      </c>
      <c r="AL389" s="794">
        <f t="array" ref="AL389">IFERROR(INDEX(G389:R389,1,MATCH(Parametres!$B$3,G$1:R$1,0)-1)*IF(OR(F389="L",F389="S",F389="I"),-1,1),"")</f>
        <v>0</v>
      </c>
      <c r="AM389" s="794">
        <f t="shared" si="4"/>
        <v>0</v>
      </c>
      <c r="AN389" s="794">
        <f t="array" ref="AN389">INDEX(G389:R389,1,MATCH(Parametres!$B$3,G$1:R$1,0))*IF(OR(F389="L",F389="S",F389="I"),-1,1)</f>
        <v>0</v>
      </c>
      <c r="AO389" s="853" t="str">
        <f>+VLOOKUP($AJ389,Data_Validation!$A:$D,1,0)</f>
        <v>G22035</v>
      </c>
      <c r="AP389" s="853" t="str">
        <f>+VLOOKUP($AJ389,Data_Validation!$A:$D,3,0)</f>
        <v>Bilan</v>
      </c>
      <c r="AQ389" s="853" t="str">
        <f>+VLOOKUP($AJ389,Data_Validation!$A:$D,4,0)</f>
        <v>Recevables Intercos</v>
      </c>
      <c r="AR389" s="853" t="s">
        <v>728</v>
      </c>
      <c r="AS389" s="853" t="str">
        <f>+VLOOKUP($AJ389,Data_Validation!$A:$E,5,0)</f>
        <v/>
      </c>
      <c r="AT389" s="794" t="str">
        <f t="shared" ref="AT389:AU389" si="776">C389</f>
        <v>G22035</v>
      </c>
      <c r="AU389" s="854" t="str">
        <f t="shared" si="776"/>
        <v>AR VEH. BMW SHERBROOKE</v>
      </c>
      <c r="AV389" s="794">
        <f t="array" ref="AV389">IFERROR(INDEX(V389:AG389,1,MATCH(Parametres!$B$3,V$1:AG$1,0)-1)*IF(OR(C389="L",C389="S",C389="I"),-1,1),"")</f>
        <v>0</v>
      </c>
      <c r="AW389" s="794">
        <f t="shared" si="6"/>
        <v>0</v>
      </c>
      <c r="AX389" s="794">
        <f t="array" ref="AX389">INDEX(V389:AG389,1,MATCH(Parametres!$B$3,V$1:AG$1,0))*IF(OR(C389="L",C389="S",C389="I"),-1,1)</f>
        <v>0</v>
      </c>
      <c r="AY389" s="853" t="s">
        <v>772</v>
      </c>
      <c r="AZ389" s="853" t="str">
        <f>+VLOOKUP($AJ389,Data_Validation!$A:$E,5,0)</f>
        <v/>
      </c>
    </row>
    <row r="390" ht="15.75" customHeight="1">
      <c r="A390" s="849" t="s">
        <v>1239</v>
      </c>
      <c r="B390" s="849">
        <v>2026.0</v>
      </c>
      <c r="C390" s="849" t="s">
        <v>2003</v>
      </c>
      <c r="D390" s="849" t="s">
        <v>2004</v>
      </c>
      <c r="E390" s="849" t="s">
        <v>771</v>
      </c>
      <c r="F390" s="849" t="s">
        <v>1926</v>
      </c>
      <c r="G390" s="849">
        <v>282036.43</v>
      </c>
      <c r="H390" s="849">
        <v>400818.69</v>
      </c>
      <c r="I390" s="849">
        <v>688734.23</v>
      </c>
      <c r="J390" s="849">
        <v>943358.3</v>
      </c>
      <c r="K390" s="849">
        <v>1094008.15</v>
      </c>
      <c r="L390" s="849">
        <v>680190.54</v>
      </c>
      <c r="M390" s="849">
        <v>537303.03</v>
      </c>
      <c r="N390" s="849">
        <v>994793.66</v>
      </c>
      <c r="O390" s="849">
        <v>360580.28</v>
      </c>
      <c r="P390" s="849">
        <v>35498.7</v>
      </c>
      <c r="Q390" s="849">
        <v>0.0</v>
      </c>
      <c r="R390" s="849">
        <v>0.0</v>
      </c>
      <c r="S390" s="849">
        <v>0.0</v>
      </c>
      <c r="T390" s="849">
        <v>0.0</v>
      </c>
      <c r="U390" s="849">
        <v>0.0</v>
      </c>
      <c r="V390" s="849">
        <v>0.0</v>
      </c>
      <c r="W390" s="849">
        <v>0.0</v>
      </c>
      <c r="X390" s="849">
        <v>0.0</v>
      </c>
      <c r="Y390" s="849">
        <v>0.0</v>
      </c>
      <c r="Z390" s="849">
        <v>0.0</v>
      </c>
      <c r="AA390" s="849">
        <v>0.0</v>
      </c>
      <c r="AB390" s="849">
        <v>0.0</v>
      </c>
      <c r="AC390" s="849">
        <v>0.0</v>
      </c>
      <c r="AD390" s="849">
        <v>0.0</v>
      </c>
      <c r="AE390" s="849">
        <v>0.0</v>
      </c>
      <c r="AF390" s="849">
        <v>0.0</v>
      </c>
      <c r="AG390" s="849">
        <v>0.0</v>
      </c>
      <c r="AH390" s="849">
        <v>0.0</v>
      </c>
      <c r="AI390" s="849">
        <v>0.0</v>
      </c>
      <c r="AJ390" s="794" t="str">
        <f t="shared" ref="AJ390:AK390" si="777">C390</f>
        <v>G22040</v>
      </c>
      <c r="AK390" s="794" t="str">
        <f t="shared" si="777"/>
        <v>AR VEH. LOCATION LMB INC</v>
      </c>
      <c r="AL390" s="794">
        <f t="array" ref="AL390">IFERROR(INDEX(G390:R390,1,MATCH(Parametres!$B$3,G$1:R$1,0)-1)*IF(OR(F390="L",F390="S",F390="I"),-1,1),"")</f>
        <v>994793.66</v>
      </c>
      <c r="AM390" s="794">
        <f t="shared" si="4"/>
        <v>-634213.38</v>
      </c>
      <c r="AN390" s="794">
        <f t="array" ref="AN390">INDEX(G390:R390,1,MATCH(Parametres!$B$3,G$1:R$1,0))*IF(OR(F390="L",F390="S",F390="I"),-1,1)</f>
        <v>360580.28</v>
      </c>
      <c r="AO390" s="853" t="str">
        <f>+VLOOKUP($AJ390,Data_Validation!$A:$D,1,0)</f>
        <v>G22040</v>
      </c>
      <c r="AP390" s="853" t="str">
        <f>+VLOOKUP($AJ390,Data_Validation!$A:$D,3,0)</f>
        <v>Bilan</v>
      </c>
      <c r="AQ390" s="853" t="str">
        <f>+VLOOKUP($AJ390,Data_Validation!$A:$D,4,0)</f>
        <v>Recevables Intercos</v>
      </c>
      <c r="AR390" s="853" t="s">
        <v>728</v>
      </c>
      <c r="AS390" s="853" t="str">
        <f>+VLOOKUP($AJ390,Data_Validation!$A:$E,5,0)</f>
        <v/>
      </c>
      <c r="AT390" s="794" t="str">
        <f t="shared" ref="AT390:AU390" si="778">C390</f>
        <v>G22040</v>
      </c>
      <c r="AU390" s="854" t="str">
        <f t="shared" si="778"/>
        <v>AR VEH. LOCATION LMB INC</v>
      </c>
      <c r="AV390" s="794">
        <f t="array" ref="AV390">IFERROR(INDEX(V390:AG390,1,MATCH(Parametres!$B$3,V$1:AG$1,0)-1)*IF(OR(C390="L",C390="S",C390="I"),-1,1),"")</f>
        <v>0</v>
      </c>
      <c r="AW390" s="794">
        <f t="shared" si="6"/>
        <v>0</v>
      </c>
      <c r="AX390" s="794">
        <f t="array" ref="AX390">INDEX(V390:AG390,1,MATCH(Parametres!$B$3,V$1:AG$1,0))*IF(OR(C390="L",C390="S",C390="I"),-1,1)</f>
        <v>0</v>
      </c>
      <c r="AY390" s="853" t="s">
        <v>772</v>
      </c>
      <c r="AZ390" s="853" t="str">
        <f>+VLOOKUP($AJ390,Data_Validation!$A:$E,5,0)</f>
        <v/>
      </c>
    </row>
    <row r="391" ht="15.75" customHeight="1">
      <c r="A391" s="849" t="s">
        <v>1239</v>
      </c>
      <c r="B391" s="849">
        <v>2026.0</v>
      </c>
      <c r="C391" s="849" t="s">
        <v>2005</v>
      </c>
      <c r="D391" s="849" t="s">
        <v>2006</v>
      </c>
      <c r="E391" s="849" t="s">
        <v>771</v>
      </c>
      <c r="F391" s="849" t="s">
        <v>1926</v>
      </c>
      <c r="G391" s="849">
        <v>0.0</v>
      </c>
      <c r="H391" s="849">
        <v>0.0</v>
      </c>
      <c r="I391" s="849">
        <v>0.0</v>
      </c>
      <c r="J391" s="849">
        <v>0.0</v>
      </c>
      <c r="K391" s="849">
        <v>0.0</v>
      </c>
      <c r="L391" s="849">
        <v>0.0</v>
      </c>
      <c r="M391" s="849">
        <v>0.0</v>
      </c>
      <c r="N391" s="849">
        <v>0.0</v>
      </c>
      <c r="O391" s="849">
        <v>0.0</v>
      </c>
      <c r="P391" s="849">
        <v>0.0</v>
      </c>
      <c r="Q391" s="849">
        <v>0.0</v>
      </c>
      <c r="R391" s="849">
        <v>0.0</v>
      </c>
      <c r="S391" s="849">
        <v>0.0</v>
      </c>
      <c r="T391" s="849">
        <v>0.0</v>
      </c>
      <c r="U391" s="849">
        <v>0.0</v>
      </c>
      <c r="V391" s="849">
        <v>0.0</v>
      </c>
      <c r="W391" s="849">
        <v>0.0</v>
      </c>
      <c r="X391" s="849">
        <v>0.0</v>
      </c>
      <c r="Y391" s="849">
        <v>0.0</v>
      </c>
      <c r="Z391" s="849">
        <v>0.0</v>
      </c>
      <c r="AA391" s="849">
        <v>0.0</v>
      </c>
      <c r="AB391" s="849">
        <v>0.0</v>
      </c>
      <c r="AC391" s="849">
        <v>0.0</v>
      </c>
      <c r="AD391" s="849">
        <v>0.0</v>
      </c>
      <c r="AE391" s="849">
        <v>0.0</v>
      </c>
      <c r="AF391" s="849">
        <v>0.0</v>
      </c>
      <c r="AG391" s="849">
        <v>0.0</v>
      </c>
      <c r="AH391" s="849">
        <v>0.0</v>
      </c>
      <c r="AI391" s="849">
        <v>0.0</v>
      </c>
      <c r="AJ391" s="794" t="str">
        <f t="shared" ref="AJ391:AK391" si="779">C391</f>
        <v>G22045</v>
      </c>
      <c r="AK391" s="794" t="str">
        <f t="shared" si="779"/>
        <v>AR VEH. VOLKS BROSSARD</v>
      </c>
      <c r="AL391" s="794">
        <f t="array" ref="AL391">IFERROR(INDEX(G391:R391,1,MATCH(Parametres!$B$3,G$1:R$1,0)-1)*IF(OR(F391="L",F391="S",F391="I"),-1,1),"")</f>
        <v>0</v>
      </c>
      <c r="AM391" s="794">
        <f t="shared" si="4"/>
        <v>0</v>
      </c>
      <c r="AN391" s="794">
        <f t="array" ref="AN391">INDEX(G391:R391,1,MATCH(Parametres!$B$3,G$1:R$1,0))*IF(OR(F391="L",F391="S",F391="I"),-1,1)</f>
        <v>0</v>
      </c>
      <c r="AO391" s="853" t="str">
        <f>+VLOOKUP($AJ391,Data_Validation!$A:$D,1,0)</f>
        <v>G22045</v>
      </c>
      <c r="AP391" s="853" t="str">
        <f>+VLOOKUP($AJ391,Data_Validation!$A:$D,3,0)</f>
        <v>Bilan</v>
      </c>
      <c r="AQ391" s="853" t="str">
        <f>+VLOOKUP($AJ391,Data_Validation!$A:$D,4,0)</f>
        <v>Recevables Intercos</v>
      </c>
      <c r="AR391" s="853" t="s">
        <v>728</v>
      </c>
      <c r="AS391" s="853" t="str">
        <f>+VLOOKUP($AJ391,Data_Validation!$A:$E,5,0)</f>
        <v/>
      </c>
      <c r="AT391" s="794" t="str">
        <f t="shared" ref="AT391:AU391" si="780">C391</f>
        <v>G22045</v>
      </c>
      <c r="AU391" s="854" t="str">
        <f t="shared" si="780"/>
        <v>AR VEH. VOLKS BROSSARD</v>
      </c>
      <c r="AV391" s="794">
        <f t="array" ref="AV391">IFERROR(INDEX(V391:AG391,1,MATCH(Parametres!$B$3,V$1:AG$1,0)-1)*IF(OR(C391="L",C391="S",C391="I"),-1,1),"")</f>
        <v>0</v>
      </c>
      <c r="AW391" s="794">
        <f t="shared" si="6"/>
        <v>0</v>
      </c>
      <c r="AX391" s="794">
        <f t="array" ref="AX391">INDEX(V391:AG391,1,MATCH(Parametres!$B$3,V$1:AG$1,0))*IF(OR(C391="L",C391="S",C391="I"),-1,1)</f>
        <v>0</v>
      </c>
      <c r="AY391" s="853" t="s">
        <v>772</v>
      </c>
      <c r="AZ391" s="853" t="str">
        <f>+VLOOKUP($AJ391,Data_Validation!$A:$E,5,0)</f>
        <v/>
      </c>
    </row>
    <row r="392" ht="15.75" customHeight="1">
      <c r="A392" s="849" t="s">
        <v>1239</v>
      </c>
      <c r="B392" s="849">
        <v>2026.0</v>
      </c>
      <c r="C392" s="849" t="s">
        <v>2007</v>
      </c>
      <c r="D392" s="849" t="s">
        <v>2008</v>
      </c>
      <c r="E392" s="849" t="s">
        <v>771</v>
      </c>
      <c r="F392" s="849" t="s">
        <v>1926</v>
      </c>
      <c r="G392" s="849">
        <v>0.0</v>
      </c>
      <c r="H392" s="849">
        <v>0.0</v>
      </c>
      <c r="I392" s="849">
        <v>0.0</v>
      </c>
      <c r="J392" s="849">
        <v>0.0</v>
      </c>
      <c r="K392" s="849">
        <v>0.0</v>
      </c>
      <c r="L392" s="849">
        <v>0.0</v>
      </c>
      <c r="M392" s="849">
        <v>0.0</v>
      </c>
      <c r="N392" s="849">
        <v>0.0</v>
      </c>
      <c r="O392" s="849">
        <v>0.0</v>
      </c>
      <c r="P392" s="849">
        <v>0.0</v>
      </c>
      <c r="Q392" s="849">
        <v>0.0</v>
      </c>
      <c r="R392" s="849">
        <v>0.0</v>
      </c>
      <c r="S392" s="849">
        <v>0.0</v>
      </c>
      <c r="T392" s="849">
        <v>0.0</v>
      </c>
      <c r="U392" s="849">
        <v>0.0</v>
      </c>
      <c r="V392" s="849">
        <v>0.0</v>
      </c>
      <c r="W392" s="849">
        <v>0.0</v>
      </c>
      <c r="X392" s="849">
        <v>0.0</v>
      </c>
      <c r="Y392" s="849">
        <v>0.0</v>
      </c>
      <c r="Z392" s="849">
        <v>0.0</v>
      </c>
      <c r="AA392" s="849">
        <v>0.0</v>
      </c>
      <c r="AB392" s="849">
        <v>0.0</v>
      </c>
      <c r="AC392" s="849">
        <v>0.0</v>
      </c>
      <c r="AD392" s="849">
        <v>0.0</v>
      </c>
      <c r="AE392" s="849">
        <v>0.0</v>
      </c>
      <c r="AF392" s="849">
        <v>0.0</v>
      </c>
      <c r="AG392" s="849">
        <v>0.0</v>
      </c>
      <c r="AH392" s="849">
        <v>0.0</v>
      </c>
      <c r="AI392" s="849">
        <v>0.0</v>
      </c>
      <c r="AJ392" s="794" t="str">
        <f t="shared" ref="AJ392:AK392" si="781">C392</f>
        <v>G22050</v>
      </c>
      <c r="AK392" s="794" t="str">
        <f t="shared" si="781"/>
        <v>AR VEH. HYUNDAI LONGUEUIL</v>
      </c>
      <c r="AL392" s="794">
        <f t="array" ref="AL392">IFERROR(INDEX(G392:R392,1,MATCH(Parametres!$B$3,G$1:R$1,0)-1)*IF(OR(F392="L",F392="S",F392="I"),-1,1),"")</f>
        <v>0</v>
      </c>
      <c r="AM392" s="794">
        <f t="shared" si="4"/>
        <v>0</v>
      </c>
      <c r="AN392" s="794">
        <f t="array" ref="AN392">INDEX(G392:R392,1,MATCH(Parametres!$B$3,G$1:R$1,0))*IF(OR(F392="L",F392="S",F392="I"),-1,1)</f>
        <v>0</v>
      </c>
      <c r="AO392" s="853" t="str">
        <f>+VLOOKUP($AJ392,Data_Validation!$A:$D,1,0)</f>
        <v>G22050</v>
      </c>
      <c r="AP392" s="853" t="str">
        <f>+VLOOKUP($AJ392,Data_Validation!$A:$D,3,0)</f>
        <v>Bilan</v>
      </c>
      <c r="AQ392" s="853" t="str">
        <f>+VLOOKUP($AJ392,Data_Validation!$A:$D,4,0)</f>
        <v>Recevables Véhicules</v>
      </c>
      <c r="AR392" s="853" t="s">
        <v>728</v>
      </c>
      <c r="AS392" s="853" t="str">
        <f>+VLOOKUP($AJ392,Data_Validation!$A:$E,5,0)</f>
        <v/>
      </c>
      <c r="AT392" s="794" t="str">
        <f t="shared" ref="AT392:AU392" si="782">C392</f>
        <v>G22050</v>
      </c>
      <c r="AU392" s="854" t="str">
        <f t="shared" si="782"/>
        <v>AR VEH. HYUNDAI LONGUEUIL</v>
      </c>
      <c r="AV392" s="794">
        <f t="array" ref="AV392">IFERROR(INDEX(V392:AG392,1,MATCH(Parametres!$B$3,V$1:AG$1,0)-1)*IF(OR(C392="L",C392="S",C392="I"),-1,1),"")</f>
        <v>0</v>
      </c>
      <c r="AW392" s="794">
        <f t="shared" si="6"/>
        <v>0</v>
      </c>
      <c r="AX392" s="794">
        <f t="array" ref="AX392">INDEX(V392:AG392,1,MATCH(Parametres!$B$3,V$1:AG$1,0))*IF(OR(C392="L",C392="S",C392="I"),-1,1)</f>
        <v>0</v>
      </c>
      <c r="AY392" s="853" t="s">
        <v>772</v>
      </c>
      <c r="AZ392" s="853" t="str">
        <f>+VLOOKUP($AJ392,Data_Validation!$A:$E,5,0)</f>
        <v/>
      </c>
    </row>
    <row r="393" ht="15.75" customHeight="1">
      <c r="A393" s="849" t="s">
        <v>1239</v>
      </c>
      <c r="B393" s="849">
        <v>2026.0</v>
      </c>
      <c r="C393" s="849" t="s">
        <v>2009</v>
      </c>
      <c r="D393" s="849" t="s">
        <v>2010</v>
      </c>
      <c r="E393" s="849" t="s">
        <v>771</v>
      </c>
      <c r="F393" s="849" t="s">
        <v>1926</v>
      </c>
      <c r="G393" s="849">
        <v>826878.03</v>
      </c>
      <c r="H393" s="849">
        <v>1508198.55</v>
      </c>
      <c r="I393" s="849">
        <v>4024.11</v>
      </c>
      <c r="J393" s="849">
        <v>4024.12</v>
      </c>
      <c r="K393" s="849">
        <v>881889.16</v>
      </c>
      <c r="L393" s="849">
        <v>4024.12</v>
      </c>
      <c r="M393" s="849">
        <v>4024.12</v>
      </c>
      <c r="N393" s="849">
        <v>4024.12</v>
      </c>
      <c r="O393" s="849">
        <v>4024.12</v>
      </c>
      <c r="P393" s="849">
        <v>4024.12</v>
      </c>
      <c r="Q393" s="849">
        <v>0.0</v>
      </c>
      <c r="R393" s="849">
        <v>0.0</v>
      </c>
      <c r="S393" s="849">
        <v>0.0</v>
      </c>
      <c r="T393" s="849">
        <v>0.0</v>
      </c>
      <c r="U393" s="849">
        <v>0.0</v>
      </c>
      <c r="V393" s="849">
        <v>0.0</v>
      </c>
      <c r="W393" s="849">
        <v>0.0</v>
      </c>
      <c r="X393" s="849">
        <v>0.0</v>
      </c>
      <c r="Y393" s="849">
        <v>0.0</v>
      </c>
      <c r="Z393" s="849">
        <v>0.0</v>
      </c>
      <c r="AA393" s="849">
        <v>0.0</v>
      </c>
      <c r="AB393" s="849">
        <v>0.0</v>
      </c>
      <c r="AC393" s="849">
        <v>0.0</v>
      </c>
      <c r="AD393" s="849">
        <v>0.0</v>
      </c>
      <c r="AE393" s="849">
        <v>0.0</v>
      </c>
      <c r="AF393" s="849">
        <v>0.0</v>
      </c>
      <c r="AG393" s="849">
        <v>0.0</v>
      </c>
      <c r="AH393" s="849">
        <v>0.0</v>
      </c>
      <c r="AI393" s="849">
        <v>0.0</v>
      </c>
      <c r="AJ393" s="794" t="str">
        <f t="shared" ref="AJ393:AK393" si="783">C393</f>
        <v>G22055</v>
      </c>
      <c r="AK393" s="794" t="str">
        <f t="shared" si="783"/>
        <v>AR VEH.GAR Y.M.DESMARRAIS</v>
      </c>
      <c r="AL393" s="794">
        <f t="array" ref="AL393">IFERROR(INDEX(G393:R393,1,MATCH(Parametres!$B$3,G$1:R$1,0)-1)*IF(OR(F393="L",F393="S",F393="I"),-1,1),"")</f>
        <v>4024.12</v>
      </c>
      <c r="AM393" s="794">
        <f t="shared" si="4"/>
        <v>0</v>
      </c>
      <c r="AN393" s="794">
        <f t="array" ref="AN393">INDEX(G393:R393,1,MATCH(Parametres!$B$3,G$1:R$1,0))*IF(OR(F393="L",F393="S",F393="I"),-1,1)</f>
        <v>4024.12</v>
      </c>
      <c r="AO393" s="853" t="str">
        <f>+VLOOKUP($AJ393,Data_Validation!$A:$D,1,0)</f>
        <v>G22055</v>
      </c>
      <c r="AP393" s="853" t="str">
        <f>+VLOOKUP($AJ393,Data_Validation!$A:$D,3,0)</f>
        <v>Bilan</v>
      </c>
      <c r="AQ393" s="853" t="str">
        <f>+VLOOKUP($AJ393,Data_Validation!$A:$D,4,0)</f>
        <v>Recevables Véhicules</v>
      </c>
      <c r="AR393" s="853" t="s">
        <v>728</v>
      </c>
      <c r="AS393" s="853" t="str">
        <f>+VLOOKUP($AJ393,Data_Validation!$A:$E,5,0)</f>
        <v/>
      </c>
      <c r="AT393" s="794" t="str">
        <f t="shared" ref="AT393:AU393" si="784">C393</f>
        <v>G22055</v>
      </c>
      <c r="AU393" s="854" t="str">
        <f t="shared" si="784"/>
        <v>AR VEH.GAR Y.M.DESMARRAIS</v>
      </c>
      <c r="AV393" s="794">
        <f t="array" ref="AV393">IFERROR(INDEX(V393:AG393,1,MATCH(Parametres!$B$3,V$1:AG$1,0)-1)*IF(OR(C393="L",C393="S",C393="I"),-1,1),"")</f>
        <v>0</v>
      </c>
      <c r="AW393" s="794">
        <f t="shared" si="6"/>
        <v>0</v>
      </c>
      <c r="AX393" s="794">
        <f t="array" ref="AX393">INDEX(V393:AG393,1,MATCH(Parametres!$B$3,V$1:AG$1,0))*IF(OR(C393="L",C393="S",C393="I"),-1,1)</f>
        <v>0</v>
      </c>
      <c r="AY393" s="853" t="s">
        <v>772</v>
      </c>
      <c r="AZ393" s="853" t="str">
        <f>+VLOOKUP($AJ393,Data_Validation!$A:$E,5,0)</f>
        <v/>
      </c>
    </row>
    <row r="394" ht="15.75" customHeight="1">
      <c r="A394" s="849" t="s">
        <v>1239</v>
      </c>
      <c r="B394" s="849">
        <v>2026.0</v>
      </c>
      <c r="C394" s="849" t="s">
        <v>2011</v>
      </c>
      <c r="D394" s="849" t="s">
        <v>2012</v>
      </c>
      <c r="E394" s="849" t="s">
        <v>771</v>
      </c>
      <c r="F394" s="849" t="s">
        <v>1926</v>
      </c>
      <c r="G394" s="849">
        <v>492886.8</v>
      </c>
      <c r="H394" s="849">
        <v>580613.25</v>
      </c>
      <c r="I394" s="849">
        <v>568359.75</v>
      </c>
      <c r="J394" s="849">
        <v>269703.0</v>
      </c>
      <c r="K394" s="849">
        <v>150011.4</v>
      </c>
      <c r="L394" s="849">
        <v>107459.1</v>
      </c>
      <c r="M394" s="849">
        <v>0.0</v>
      </c>
      <c r="N394" s="849">
        <v>0.0</v>
      </c>
      <c r="O394" s="849">
        <v>0.0</v>
      </c>
      <c r="P394" s="849">
        <v>0.0</v>
      </c>
      <c r="Q394" s="849">
        <v>0.0</v>
      </c>
      <c r="R394" s="849">
        <v>0.0</v>
      </c>
      <c r="S394" s="849">
        <v>0.0</v>
      </c>
      <c r="T394" s="849">
        <v>0.0</v>
      </c>
      <c r="U394" s="849">
        <v>0.0</v>
      </c>
      <c r="V394" s="849">
        <v>0.0</v>
      </c>
      <c r="W394" s="849">
        <v>0.0</v>
      </c>
      <c r="X394" s="849">
        <v>0.0</v>
      </c>
      <c r="Y394" s="849">
        <v>0.0</v>
      </c>
      <c r="Z394" s="849">
        <v>0.0</v>
      </c>
      <c r="AA394" s="849">
        <v>0.0</v>
      </c>
      <c r="AB394" s="849">
        <v>0.0</v>
      </c>
      <c r="AC394" s="849">
        <v>0.0</v>
      </c>
      <c r="AD394" s="849">
        <v>0.0</v>
      </c>
      <c r="AE394" s="849">
        <v>0.0</v>
      </c>
      <c r="AF394" s="849">
        <v>0.0</v>
      </c>
      <c r="AG394" s="849">
        <v>0.0</v>
      </c>
      <c r="AH394" s="849">
        <v>0.0</v>
      </c>
      <c r="AI394" s="849">
        <v>0.0</v>
      </c>
      <c r="AJ394" s="794" t="str">
        <f t="shared" ref="AJ394:AK394" si="785">C394</f>
        <v>G22060</v>
      </c>
      <c r="AK394" s="794" t="str">
        <f t="shared" si="785"/>
        <v>AR VEH.SIMPLICITÉ</v>
      </c>
      <c r="AL394" s="794">
        <f t="array" ref="AL394">IFERROR(INDEX(G394:R394,1,MATCH(Parametres!$B$3,G$1:R$1,0)-1)*IF(OR(F394="L",F394="S",F394="I"),-1,1),"")</f>
        <v>0</v>
      </c>
      <c r="AM394" s="794">
        <f t="shared" si="4"/>
        <v>0</v>
      </c>
      <c r="AN394" s="794">
        <f t="array" ref="AN394">INDEX(G394:R394,1,MATCH(Parametres!$B$3,G$1:R$1,0))*IF(OR(F394="L",F394="S",F394="I"),-1,1)</f>
        <v>0</v>
      </c>
      <c r="AO394" s="853" t="str">
        <f>+VLOOKUP($AJ394,Data_Validation!$A:$D,1,0)</f>
        <v>G22060</v>
      </c>
      <c r="AP394" s="853" t="str">
        <f>+VLOOKUP($AJ394,Data_Validation!$A:$D,3,0)</f>
        <v>Bilan</v>
      </c>
      <c r="AQ394" s="853" t="str">
        <f>+VLOOKUP($AJ394,Data_Validation!$A:$D,4,0)</f>
        <v>Recevables Véhicules</v>
      </c>
      <c r="AR394" s="853" t="s">
        <v>728</v>
      </c>
      <c r="AS394" s="853" t="str">
        <f>+VLOOKUP($AJ394,Data_Validation!$A:$E,5,0)</f>
        <v/>
      </c>
      <c r="AT394" s="794" t="str">
        <f t="shared" ref="AT394:AU394" si="786">C394</f>
        <v>G22060</v>
      </c>
      <c r="AU394" s="854" t="str">
        <f t="shared" si="786"/>
        <v>AR VEH.SIMPLICITÉ</v>
      </c>
      <c r="AV394" s="794">
        <f t="array" ref="AV394">IFERROR(INDEX(V394:AG394,1,MATCH(Parametres!$B$3,V$1:AG$1,0)-1)*IF(OR(C394="L",C394="S",C394="I"),-1,1),"")</f>
        <v>0</v>
      </c>
      <c r="AW394" s="794">
        <f t="shared" si="6"/>
        <v>0</v>
      </c>
      <c r="AX394" s="794">
        <f t="array" ref="AX394">INDEX(V394:AG394,1,MATCH(Parametres!$B$3,V$1:AG$1,0))*IF(OR(C394="L",C394="S",C394="I"),-1,1)</f>
        <v>0</v>
      </c>
      <c r="AY394" s="853" t="s">
        <v>772</v>
      </c>
      <c r="AZ394" s="853" t="str">
        <f>+VLOOKUP($AJ394,Data_Validation!$A:$E,5,0)</f>
        <v/>
      </c>
    </row>
    <row r="395" ht="15.75" customHeight="1">
      <c r="A395" s="849" t="s">
        <v>1239</v>
      </c>
      <c r="B395" s="849">
        <v>2026.0</v>
      </c>
      <c r="C395" s="849" t="s">
        <v>2013</v>
      </c>
      <c r="D395" s="849" t="s">
        <v>2014</v>
      </c>
      <c r="E395" s="849" t="s">
        <v>768</v>
      </c>
      <c r="F395" s="849" t="s">
        <v>1926</v>
      </c>
      <c r="G395" s="849">
        <v>0.0</v>
      </c>
      <c r="H395" s="849">
        <v>0.0</v>
      </c>
      <c r="I395" s="849">
        <v>0.0</v>
      </c>
      <c r="J395" s="849">
        <v>0.0</v>
      </c>
      <c r="K395" s="849">
        <v>0.0</v>
      </c>
      <c r="L395" s="849">
        <v>0.0</v>
      </c>
      <c r="M395" s="849">
        <v>0.0</v>
      </c>
      <c r="N395" s="849">
        <v>0.0</v>
      </c>
      <c r="O395" s="849">
        <v>0.0</v>
      </c>
      <c r="P395" s="849">
        <v>0.0</v>
      </c>
      <c r="Q395" s="849">
        <v>0.0</v>
      </c>
      <c r="R395" s="849">
        <v>0.0</v>
      </c>
      <c r="S395" s="849">
        <v>0.0</v>
      </c>
      <c r="T395" s="849">
        <v>0.0</v>
      </c>
      <c r="U395" s="849">
        <v>0.0</v>
      </c>
      <c r="V395" s="849">
        <v>0.0</v>
      </c>
      <c r="W395" s="849">
        <v>0.0</v>
      </c>
      <c r="X395" s="849">
        <v>0.0</v>
      </c>
      <c r="Y395" s="849">
        <v>0.0</v>
      </c>
      <c r="Z395" s="849">
        <v>0.0</v>
      </c>
      <c r="AA395" s="849">
        <v>0.0</v>
      </c>
      <c r="AB395" s="849">
        <v>0.0</v>
      </c>
      <c r="AC395" s="849">
        <v>0.0</v>
      </c>
      <c r="AD395" s="849">
        <v>0.0</v>
      </c>
      <c r="AE395" s="849">
        <v>0.0</v>
      </c>
      <c r="AF395" s="849">
        <v>0.0</v>
      </c>
      <c r="AG395" s="849">
        <v>0.0</v>
      </c>
      <c r="AH395" s="849">
        <v>0.0</v>
      </c>
      <c r="AI395" s="849">
        <v>0.0</v>
      </c>
      <c r="AJ395" s="794" t="str">
        <f t="shared" ref="AJ395:AK395" si="787">C395</f>
        <v>G22070</v>
      </c>
      <c r="AK395" s="794" t="str">
        <f t="shared" si="787"/>
        <v>GLOBE ST-CONSTANT</v>
      </c>
      <c r="AL395" s="794">
        <f t="array" ref="AL395">IFERROR(INDEX(G395:R395,1,MATCH(Parametres!$B$3,G$1:R$1,0)-1)*IF(OR(F395="L",F395="S",F395="I"),-1,1),"")</f>
        <v>0</v>
      </c>
      <c r="AM395" s="794">
        <f t="shared" si="4"/>
        <v>0</v>
      </c>
      <c r="AN395" s="794">
        <f t="array" ref="AN395">INDEX(G395:R395,1,MATCH(Parametres!$B$3,G$1:R$1,0))*IF(OR(F395="L",F395="S",F395="I"),-1,1)</f>
        <v>0</v>
      </c>
      <c r="AO395" s="853" t="str">
        <f>+VLOOKUP($AJ395,Data_Validation!$A:$D,1,0)</f>
        <v>G22070</v>
      </c>
      <c r="AP395" s="853" t="str">
        <f>+VLOOKUP($AJ395,Data_Validation!$A:$D,3,0)</f>
        <v>Bilan</v>
      </c>
      <c r="AQ395" s="853" t="str">
        <f>+VLOOKUP($AJ395,Data_Validation!$A:$D,4,0)</f>
        <v>Recevables Véhicules</v>
      </c>
      <c r="AR395" s="853" t="s">
        <v>728</v>
      </c>
      <c r="AS395" s="853" t="str">
        <f>+VLOOKUP($AJ395,Data_Validation!$A:$E,5,0)</f>
        <v/>
      </c>
      <c r="AT395" s="794" t="str">
        <f t="shared" ref="AT395:AU395" si="788">C395</f>
        <v>G22070</v>
      </c>
      <c r="AU395" s="854" t="str">
        <f t="shared" si="788"/>
        <v>GLOBE ST-CONSTANT</v>
      </c>
      <c r="AV395" s="794">
        <f t="array" ref="AV395">IFERROR(INDEX(V395:AG395,1,MATCH(Parametres!$B$3,V$1:AG$1,0)-1)*IF(OR(C395="L",C395="S",C395="I"),-1,1),"")</f>
        <v>0</v>
      </c>
      <c r="AW395" s="794">
        <f t="shared" si="6"/>
        <v>0</v>
      </c>
      <c r="AX395" s="794">
        <f t="array" ref="AX395">INDEX(V395:AG395,1,MATCH(Parametres!$B$3,V$1:AG$1,0))*IF(OR(C395="L",C395="S",C395="I"),-1,1)</f>
        <v>0</v>
      </c>
      <c r="AY395" s="853" t="s">
        <v>772</v>
      </c>
      <c r="AZ395" s="853" t="str">
        <f>+VLOOKUP($AJ395,Data_Validation!$A:$E,5,0)</f>
        <v/>
      </c>
    </row>
    <row r="396" ht="15.75" customHeight="1">
      <c r="A396" s="849" t="s">
        <v>1239</v>
      </c>
      <c r="B396" s="849">
        <v>2026.0</v>
      </c>
      <c r="C396" s="849" t="s">
        <v>2015</v>
      </c>
      <c r="D396" s="849" t="s">
        <v>2016</v>
      </c>
      <c r="E396" s="849" t="s">
        <v>768</v>
      </c>
      <c r="F396" s="849" t="s">
        <v>1926</v>
      </c>
      <c r="G396" s="849">
        <v>0.0</v>
      </c>
      <c r="H396" s="849">
        <v>0.0</v>
      </c>
      <c r="I396" s="849">
        <v>0.0</v>
      </c>
      <c r="J396" s="849">
        <v>0.0</v>
      </c>
      <c r="K396" s="849">
        <v>0.0</v>
      </c>
      <c r="L396" s="849">
        <v>0.0</v>
      </c>
      <c r="M396" s="849">
        <v>0.0</v>
      </c>
      <c r="N396" s="849">
        <v>0.0</v>
      </c>
      <c r="O396" s="849">
        <v>0.0</v>
      </c>
      <c r="P396" s="849">
        <v>0.0</v>
      </c>
      <c r="Q396" s="849">
        <v>0.0</v>
      </c>
      <c r="R396" s="849">
        <v>0.0</v>
      </c>
      <c r="S396" s="849">
        <v>0.0</v>
      </c>
      <c r="T396" s="849">
        <v>0.0</v>
      </c>
      <c r="U396" s="849">
        <v>0.0</v>
      </c>
      <c r="V396" s="849">
        <v>0.0</v>
      </c>
      <c r="W396" s="849">
        <v>0.0</v>
      </c>
      <c r="X396" s="849">
        <v>0.0</v>
      </c>
      <c r="Y396" s="849">
        <v>0.0</v>
      </c>
      <c r="Z396" s="849">
        <v>0.0</v>
      </c>
      <c r="AA396" s="849">
        <v>0.0</v>
      </c>
      <c r="AB396" s="849">
        <v>0.0</v>
      </c>
      <c r="AC396" s="849">
        <v>0.0</v>
      </c>
      <c r="AD396" s="849">
        <v>0.0</v>
      </c>
      <c r="AE396" s="849">
        <v>0.0</v>
      </c>
      <c r="AF396" s="849">
        <v>0.0</v>
      </c>
      <c r="AG396" s="849">
        <v>0.0</v>
      </c>
      <c r="AH396" s="849">
        <v>0.0</v>
      </c>
      <c r="AI396" s="849">
        <v>0.0</v>
      </c>
      <c r="AJ396" s="794" t="str">
        <f t="shared" ref="AJ396:AK396" si="789">C396</f>
        <v>G22080</v>
      </c>
      <c r="AK396" s="794" t="str">
        <f t="shared" si="789"/>
        <v>GLOBE MONT-ROYAL</v>
      </c>
      <c r="AL396" s="794">
        <f t="array" ref="AL396">IFERROR(INDEX(G396:R396,1,MATCH(Parametres!$B$3,G$1:R$1,0)-1)*IF(OR(F396="L",F396="S",F396="I"),-1,1),"")</f>
        <v>0</v>
      </c>
      <c r="AM396" s="794">
        <f t="shared" si="4"/>
        <v>0</v>
      </c>
      <c r="AN396" s="794">
        <f t="array" ref="AN396">INDEX(G396:R396,1,MATCH(Parametres!$B$3,G$1:R$1,0))*IF(OR(F396="L",F396="S",F396="I"),-1,1)</f>
        <v>0</v>
      </c>
      <c r="AO396" s="853" t="str">
        <f>+VLOOKUP($AJ396,Data_Validation!$A:$D,1,0)</f>
        <v>G22080</v>
      </c>
      <c r="AP396" s="853" t="str">
        <f>+VLOOKUP($AJ396,Data_Validation!$A:$D,3,0)</f>
        <v/>
      </c>
      <c r="AQ396" s="853" t="str">
        <f>+VLOOKUP($AJ396,Data_Validation!$A:$D,4,0)</f>
        <v/>
      </c>
      <c r="AR396" s="853" t="s">
        <v>728</v>
      </c>
      <c r="AS396" s="853" t="str">
        <f>+VLOOKUP($AJ396,Data_Validation!$A:$E,5,0)</f>
        <v/>
      </c>
      <c r="AT396" s="794" t="str">
        <f t="shared" ref="AT396:AU396" si="790">C396</f>
        <v>G22080</v>
      </c>
      <c r="AU396" s="854" t="str">
        <f t="shared" si="790"/>
        <v>GLOBE MONT-ROYAL</v>
      </c>
      <c r="AV396" s="794">
        <f t="array" ref="AV396">IFERROR(INDEX(V396:AG396,1,MATCH(Parametres!$B$3,V$1:AG$1,0)-1)*IF(OR(C396="L",C396="S",C396="I"),-1,1),"")</f>
        <v>0</v>
      </c>
      <c r="AW396" s="794">
        <f t="shared" si="6"/>
        <v>0</v>
      </c>
      <c r="AX396" s="794">
        <f t="array" ref="AX396">INDEX(V396:AG396,1,MATCH(Parametres!$B$3,V$1:AG$1,0))*IF(OR(C396="L",C396="S",C396="I"),-1,1)</f>
        <v>0</v>
      </c>
      <c r="AY396" s="853" t="s">
        <v>772</v>
      </c>
      <c r="AZ396" s="853" t="str">
        <f>+VLOOKUP($AJ396,Data_Validation!$A:$E,5,0)</f>
        <v/>
      </c>
    </row>
    <row r="397" ht="15.75" customHeight="1">
      <c r="A397" s="849" t="s">
        <v>1239</v>
      </c>
      <c r="B397" s="849">
        <v>2026.0</v>
      </c>
      <c r="C397" s="849" t="s">
        <v>2017</v>
      </c>
      <c r="D397" s="849" t="s">
        <v>2018</v>
      </c>
      <c r="E397" s="849" t="s">
        <v>1959</v>
      </c>
      <c r="F397" s="849" t="s">
        <v>1926</v>
      </c>
      <c r="G397" s="849">
        <v>874578.6</v>
      </c>
      <c r="H397" s="849">
        <v>818588.3</v>
      </c>
      <c r="I397" s="849">
        <v>1342264.35</v>
      </c>
      <c r="J397" s="849">
        <v>1361848.95</v>
      </c>
      <c r="K397" s="849">
        <v>1820450.1</v>
      </c>
      <c r="L397" s="849">
        <v>780606.75</v>
      </c>
      <c r="M397" s="849">
        <v>442846.95</v>
      </c>
      <c r="N397" s="849">
        <v>147425.25</v>
      </c>
      <c r="O397" s="849">
        <v>68823.3</v>
      </c>
      <c r="P397" s="849">
        <v>-431082.35</v>
      </c>
      <c r="Q397" s="849">
        <v>0.0</v>
      </c>
      <c r="R397" s="849">
        <v>0.0</v>
      </c>
      <c r="S397" s="849">
        <v>0.0</v>
      </c>
      <c r="T397" s="849">
        <v>0.0</v>
      </c>
      <c r="U397" s="849">
        <v>0.0</v>
      </c>
      <c r="V397" s="849">
        <v>0.0</v>
      </c>
      <c r="W397" s="849">
        <v>0.0</v>
      </c>
      <c r="X397" s="849">
        <v>0.0</v>
      </c>
      <c r="Y397" s="849">
        <v>0.0</v>
      </c>
      <c r="Z397" s="849">
        <v>0.0</v>
      </c>
      <c r="AA397" s="849">
        <v>0.0</v>
      </c>
      <c r="AB397" s="849">
        <v>0.0</v>
      </c>
      <c r="AC397" s="849">
        <v>0.0</v>
      </c>
      <c r="AD397" s="849">
        <v>0.0</v>
      </c>
      <c r="AE397" s="849">
        <v>0.0</v>
      </c>
      <c r="AF397" s="849">
        <v>0.0</v>
      </c>
      <c r="AG397" s="849">
        <v>0.0</v>
      </c>
      <c r="AH397" s="849">
        <v>0.0</v>
      </c>
      <c r="AI397" s="849">
        <v>0.0</v>
      </c>
      <c r="AJ397" s="794" t="str">
        <f t="shared" ref="AJ397:AK397" si="791">C397</f>
        <v>G22090</v>
      </c>
      <c r="AK397" s="794" t="str">
        <f t="shared" si="791"/>
        <v>AR VEH.159191 CANADA INC</v>
      </c>
      <c r="AL397" s="794">
        <f t="array" ref="AL397">IFERROR(INDEX(G397:R397,1,MATCH(Parametres!$B$3,G$1:R$1,0)-1)*IF(OR(F397="L",F397="S",F397="I"),-1,1),"")</f>
        <v>147425.25</v>
      </c>
      <c r="AM397" s="794">
        <f t="shared" si="4"/>
        <v>-78601.95</v>
      </c>
      <c r="AN397" s="794">
        <f t="array" ref="AN397">INDEX(G397:R397,1,MATCH(Parametres!$B$3,G$1:R$1,0))*IF(OR(F397="L",F397="S",F397="I"),-1,1)</f>
        <v>68823.3</v>
      </c>
      <c r="AO397" s="853" t="str">
        <f>+VLOOKUP($AJ397,Data_Validation!$A:$D,1,0)</f>
        <v>G22090</v>
      </c>
      <c r="AP397" s="853" t="str">
        <f>+VLOOKUP($AJ397,Data_Validation!$A:$D,3,0)</f>
        <v>Bilan</v>
      </c>
      <c r="AQ397" s="853" t="str">
        <f>+VLOOKUP($AJ397,Data_Validation!$A:$D,4,0)</f>
        <v>Recevables Véhicules</v>
      </c>
      <c r="AR397" s="853" t="s">
        <v>728</v>
      </c>
      <c r="AS397" s="853" t="str">
        <f>+VLOOKUP($AJ397,Data_Validation!$A:$E,5,0)</f>
        <v/>
      </c>
      <c r="AT397" s="794" t="str">
        <f t="shared" ref="AT397:AU397" si="792">C397</f>
        <v>G22090</v>
      </c>
      <c r="AU397" s="854" t="str">
        <f t="shared" si="792"/>
        <v>AR VEH.159191 CANADA INC</v>
      </c>
      <c r="AV397" s="794">
        <f t="array" ref="AV397">IFERROR(INDEX(V397:AG397,1,MATCH(Parametres!$B$3,V$1:AG$1,0)-1)*IF(OR(C397="L",C397="S",C397="I"),-1,1),"")</f>
        <v>0</v>
      </c>
      <c r="AW397" s="794">
        <f t="shared" si="6"/>
        <v>0</v>
      </c>
      <c r="AX397" s="794">
        <f t="array" ref="AX397">INDEX(V397:AG397,1,MATCH(Parametres!$B$3,V$1:AG$1,0))*IF(OR(C397="L",C397="S",C397="I"),-1,1)</f>
        <v>0</v>
      </c>
      <c r="AY397" s="853" t="s">
        <v>772</v>
      </c>
      <c r="AZ397" s="853" t="str">
        <f>+VLOOKUP($AJ397,Data_Validation!$A:$E,5,0)</f>
        <v/>
      </c>
    </row>
    <row r="398" ht="15.75" customHeight="1">
      <c r="A398" s="849" t="s">
        <v>1239</v>
      </c>
      <c r="B398" s="849">
        <v>2026.0</v>
      </c>
      <c r="C398" s="849" t="s">
        <v>2019</v>
      </c>
      <c r="D398" s="849" t="s">
        <v>2020</v>
      </c>
      <c r="E398" s="849" t="s">
        <v>1926</v>
      </c>
      <c r="F398" s="849" t="s">
        <v>1926</v>
      </c>
      <c r="G398" s="849">
        <v>0.0</v>
      </c>
      <c r="H398" s="849">
        <v>0.0</v>
      </c>
      <c r="I398" s="849">
        <v>0.0</v>
      </c>
      <c r="J398" s="849">
        <v>0.0</v>
      </c>
      <c r="K398" s="849">
        <v>0.0</v>
      </c>
      <c r="L398" s="849">
        <v>0.0</v>
      </c>
      <c r="M398" s="849">
        <v>0.0</v>
      </c>
      <c r="N398" s="849">
        <v>0.0</v>
      </c>
      <c r="O398" s="849">
        <v>0.0</v>
      </c>
      <c r="P398" s="849">
        <v>0.0</v>
      </c>
      <c r="Q398" s="849">
        <v>0.0</v>
      </c>
      <c r="R398" s="849">
        <v>0.0</v>
      </c>
      <c r="S398" s="849">
        <v>0.0</v>
      </c>
      <c r="T398" s="849">
        <v>0.0</v>
      </c>
      <c r="U398" s="849">
        <v>0.0</v>
      </c>
      <c r="V398" s="849">
        <v>0.0</v>
      </c>
      <c r="W398" s="849">
        <v>0.0</v>
      </c>
      <c r="X398" s="849">
        <v>0.0</v>
      </c>
      <c r="Y398" s="849">
        <v>0.0</v>
      </c>
      <c r="Z398" s="849">
        <v>0.0</v>
      </c>
      <c r="AA398" s="849">
        <v>0.0</v>
      </c>
      <c r="AB398" s="849">
        <v>0.0</v>
      </c>
      <c r="AC398" s="849">
        <v>0.0</v>
      </c>
      <c r="AD398" s="849">
        <v>0.0</v>
      </c>
      <c r="AE398" s="849">
        <v>0.0</v>
      </c>
      <c r="AF398" s="849">
        <v>0.0</v>
      </c>
      <c r="AG398" s="849">
        <v>0.0</v>
      </c>
      <c r="AH398" s="849">
        <v>0.0</v>
      </c>
      <c r="AI398" s="849">
        <v>0.0</v>
      </c>
      <c r="AJ398" s="794" t="str">
        <f t="shared" ref="AJ398:AK398" si="793">C398</f>
        <v>G22130</v>
      </c>
      <c r="AK398" s="794" t="str">
        <f t="shared" si="793"/>
        <v>INTERCO HAWKSBURY GM</v>
      </c>
      <c r="AL398" s="794">
        <f t="array" ref="AL398">IFERROR(INDEX(G398:R398,1,MATCH(Parametres!$B$3,G$1:R$1,0)-1)*IF(OR(F398="L",F398="S",F398="I"),-1,1),"")</f>
        <v>0</v>
      </c>
      <c r="AM398" s="794">
        <f t="shared" si="4"/>
        <v>0</v>
      </c>
      <c r="AN398" s="794">
        <f t="array" ref="AN398">INDEX(G398:R398,1,MATCH(Parametres!$B$3,G$1:R$1,0))*IF(OR(F398="L",F398="S",F398="I"),-1,1)</f>
        <v>0</v>
      </c>
      <c r="AO398" s="853" t="str">
        <f>+VLOOKUP($AJ398,Data_Validation!$A:$D,1,0)</f>
        <v>G22130</v>
      </c>
      <c r="AP398" s="853" t="str">
        <f>+VLOOKUP($AJ398,Data_Validation!$A:$D,3,0)</f>
        <v>Bilan</v>
      </c>
      <c r="AQ398" s="853" t="str">
        <f>+VLOOKUP($AJ398,Data_Validation!$A:$D,4,0)</f>
        <v>Recevables Intercos</v>
      </c>
      <c r="AR398" s="853" t="s">
        <v>728</v>
      </c>
      <c r="AS398" s="853" t="str">
        <f>+VLOOKUP($AJ398,Data_Validation!$A:$E,5,0)</f>
        <v/>
      </c>
      <c r="AT398" s="794" t="str">
        <f t="shared" ref="AT398:AU398" si="794">C398</f>
        <v>G22130</v>
      </c>
      <c r="AU398" s="854" t="str">
        <f t="shared" si="794"/>
        <v>INTERCO HAWKSBURY GM</v>
      </c>
      <c r="AV398" s="794">
        <f t="array" ref="AV398">IFERROR(INDEX(V398:AG398,1,MATCH(Parametres!$B$3,V$1:AG$1,0)-1)*IF(OR(C398="L",C398="S",C398="I"),-1,1),"")</f>
        <v>0</v>
      </c>
      <c r="AW398" s="794">
        <f t="shared" si="6"/>
        <v>0</v>
      </c>
      <c r="AX398" s="794">
        <f t="array" ref="AX398">INDEX(V398:AG398,1,MATCH(Parametres!$B$3,V$1:AG$1,0))*IF(OR(C398="L",C398="S",C398="I"),-1,1)</f>
        <v>0</v>
      </c>
      <c r="AY398" s="853" t="s">
        <v>772</v>
      </c>
      <c r="AZ398" s="853" t="str">
        <f>+VLOOKUP($AJ398,Data_Validation!$A:$E,5,0)</f>
        <v/>
      </c>
    </row>
    <row r="399" ht="15.75" customHeight="1">
      <c r="A399" s="849" t="s">
        <v>1239</v>
      </c>
      <c r="B399" s="849">
        <v>2026.0</v>
      </c>
      <c r="C399" s="849" t="s">
        <v>2021</v>
      </c>
      <c r="D399" s="849" t="s">
        <v>2022</v>
      </c>
      <c r="E399" s="849" t="s">
        <v>768</v>
      </c>
      <c r="F399" s="849" t="s">
        <v>1926</v>
      </c>
      <c r="G399" s="849">
        <v>-7700000.0</v>
      </c>
      <c r="H399" s="849">
        <v>-7700000.0</v>
      </c>
      <c r="I399" s="849">
        <v>-7700000.0</v>
      </c>
      <c r="J399" s="849">
        <v>-7700000.0</v>
      </c>
      <c r="K399" s="849">
        <v>-7700000.0</v>
      </c>
      <c r="L399" s="849">
        <v>-7700000.0</v>
      </c>
      <c r="M399" s="849">
        <v>-238048.88</v>
      </c>
      <c r="N399" s="849">
        <v>-238048.88</v>
      </c>
      <c r="O399" s="849">
        <v>-238048.88</v>
      </c>
      <c r="P399" s="849">
        <v>-238048.88</v>
      </c>
      <c r="Q399" s="849">
        <v>0.0</v>
      </c>
      <c r="R399" s="849">
        <v>0.0</v>
      </c>
      <c r="S399" s="849">
        <v>0.0</v>
      </c>
      <c r="T399" s="849">
        <v>0.0</v>
      </c>
      <c r="U399" s="849">
        <v>0.0</v>
      </c>
      <c r="V399" s="849">
        <v>0.0</v>
      </c>
      <c r="W399" s="849">
        <v>0.0</v>
      </c>
      <c r="X399" s="849">
        <v>0.0</v>
      </c>
      <c r="Y399" s="849">
        <v>0.0</v>
      </c>
      <c r="Z399" s="849">
        <v>0.0</v>
      </c>
      <c r="AA399" s="849">
        <v>0.0</v>
      </c>
      <c r="AB399" s="849">
        <v>0.0</v>
      </c>
      <c r="AC399" s="849">
        <v>0.0</v>
      </c>
      <c r="AD399" s="849">
        <v>0.0</v>
      </c>
      <c r="AE399" s="849">
        <v>0.0</v>
      </c>
      <c r="AF399" s="849">
        <v>0.0</v>
      </c>
      <c r="AG399" s="849">
        <v>0.0</v>
      </c>
      <c r="AH399" s="849">
        <v>0.0</v>
      </c>
      <c r="AI399" s="849">
        <v>0.0</v>
      </c>
      <c r="AJ399" s="794" t="str">
        <f t="shared" ref="AJ399:AK399" si="795">C399</f>
        <v>G22140</v>
      </c>
      <c r="AK399" s="794" t="str">
        <f t="shared" si="795"/>
        <v>AVANCE 13721515 CANADA</v>
      </c>
      <c r="AL399" s="794">
        <f t="array" ref="AL399">IFERROR(INDEX(G399:R399,1,MATCH(Parametres!$B$3,G$1:R$1,0)-1)*IF(OR(F399="L",F399="S",F399="I"),-1,1),"")</f>
        <v>-238048.88</v>
      </c>
      <c r="AM399" s="794">
        <f t="shared" si="4"/>
        <v>0</v>
      </c>
      <c r="AN399" s="794">
        <f t="array" ref="AN399">INDEX(G399:R399,1,MATCH(Parametres!$B$3,G$1:R$1,0))*IF(OR(F399="L",F399="S",F399="I"),-1,1)</f>
        <v>-238048.88</v>
      </c>
      <c r="AO399" s="853" t="str">
        <f>+VLOOKUP($AJ399,Data_Validation!$A:$D,1,0)</f>
        <v>G22140</v>
      </c>
      <c r="AP399" s="853" t="str">
        <f>+VLOOKUP($AJ399,Data_Validation!$A:$D,3,0)</f>
        <v>Bilan</v>
      </c>
      <c r="AQ399" s="853" t="str">
        <f>+VLOOKUP($AJ399,Data_Validation!$A:$D,4,0)</f>
        <v>Recevables Intercos</v>
      </c>
      <c r="AR399" s="853" t="s">
        <v>728</v>
      </c>
      <c r="AS399" s="853" t="str">
        <f>+VLOOKUP($AJ399,Data_Validation!$A:$E,5,0)</f>
        <v/>
      </c>
      <c r="AT399" s="794" t="str">
        <f t="shared" ref="AT399:AU399" si="796">C399</f>
        <v>G22140</v>
      </c>
      <c r="AU399" s="854" t="str">
        <f t="shared" si="796"/>
        <v>AVANCE 13721515 CANADA</v>
      </c>
      <c r="AV399" s="794">
        <f t="array" ref="AV399">IFERROR(INDEX(V399:AG399,1,MATCH(Parametres!$B$3,V$1:AG$1,0)-1)*IF(OR(C399="L",C399="S",C399="I"),-1,1),"")</f>
        <v>0</v>
      </c>
      <c r="AW399" s="794">
        <f t="shared" si="6"/>
        <v>0</v>
      </c>
      <c r="AX399" s="794">
        <f t="array" ref="AX399">INDEX(V399:AG399,1,MATCH(Parametres!$B$3,V$1:AG$1,0))*IF(OR(C399="L",C399="S",C399="I"),-1,1)</f>
        <v>0</v>
      </c>
      <c r="AY399" s="853" t="s">
        <v>772</v>
      </c>
      <c r="AZ399" s="853" t="str">
        <f>+VLOOKUP($AJ399,Data_Validation!$A:$E,5,0)</f>
        <v/>
      </c>
    </row>
    <row r="400" ht="15.75" customHeight="1">
      <c r="A400" s="849" t="s">
        <v>1239</v>
      </c>
      <c r="B400" s="849">
        <v>2026.0</v>
      </c>
      <c r="C400" s="849" t="s">
        <v>2023</v>
      </c>
      <c r="D400" s="849" t="s">
        <v>2024</v>
      </c>
      <c r="E400" s="849" t="s">
        <v>1926</v>
      </c>
      <c r="F400" s="849" t="s">
        <v>1926</v>
      </c>
      <c r="G400" s="849">
        <v>0.0</v>
      </c>
      <c r="H400" s="849">
        <v>0.0</v>
      </c>
      <c r="I400" s="849">
        <v>0.0</v>
      </c>
      <c r="J400" s="849">
        <v>0.0</v>
      </c>
      <c r="K400" s="849">
        <v>0.0</v>
      </c>
      <c r="L400" s="849">
        <v>0.0</v>
      </c>
      <c r="M400" s="849">
        <v>0.0</v>
      </c>
      <c r="N400" s="849">
        <v>0.0</v>
      </c>
      <c r="O400" s="849">
        <v>0.0</v>
      </c>
      <c r="P400" s="849">
        <v>0.0</v>
      </c>
      <c r="Q400" s="849">
        <v>0.0</v>
      </c>
      <c r="R400" s="849">
        <v>0.0</v>
      </c>
      <c r="S400" s="849">
        <v>0.0</v>
      </c>
      <c r="T400" s="849">
        <v>0.0</v>
      </c>
      <c r="U400" s="849">
        <v>0.0</v>
      </c>
      <c r="V400" s="849">
        <v>0.0</v>
      </c>
      <c r="W400" s="849">
        <v>0.0</v>
      </c>
      <c r="X400" s="849">
        <v>0.0</v>
      </c>
      <c r="Y400" s="849">
        <v>0.0</v>
      </c>
      <c r="Z400" s="849">
        <v>0.0</v>
      </c>
      <c r="AA400" s="849">
        <v>0.0</v>
      </c>
      <c r="AB400" s="849">
        <v>0.0</v>
      </c>
      <c r="AC400" s="849">
        <v>0.0</v>
      </c>
      <c r="AD400" s="849">
        <v>0.0</v>
      </c>
      <c r="AE400" s="849">
        <v>0.0</v>
      </c>
      <c r="AF400" s="849">
        <v>0.0</v>
      </c>
      <c r="AG400" s="849">
        <v>0.0</v>
      </c>
      <c r="AH400" s="849">
        <v>0.0</v>
      </c>
      <c r="AI400" s="849">
        <v>0.0</v>
      </c>
      <c r="AJ400" s="794" t="str">
        <f t="shared" ref="AJ400:AK400" si="797">C400</f>
        <v>G22150</v>
      </c>
      <c r="AK400" s="794" t="str">
        <f t="shared" si="797"/>
        <v>INTERCO HYUNDAI STCONSTAN</v>
      </c>
      <c r="AL400" s="794">
        <f t="array" ref="AL400">IFERROR(INDEX(G400:R400,1,MATCH(Parametres!$B$3,G$1:R$1,0)-1)*IF(OR(F400="L",F400="S",F400="I"),-1,1),"")</f>
        <v>0</v>
      </c>
      <c r="AM400" s="794">
        <f t="shared" si="4"/>
        <v>0</v>
      </c>
      <c r="AN400" s="794">
        <f t="array" ref="AN400">INDEX(G400:R400,1,MATCH(Parametres!$B$3,G$1:R$1,0))*IF(OR(F400="L",F400="S",F400="I"),-1,1)</f>
        <v>0</v>
      </c>
      <c r="AO400" s="853" t="str">
        <f>+VLOOKUP($AJ400,Data_Validation!$A:$D,1,0)</f>
        <v>G22150</v>
      </c>
      <c r="AP400" s="853" t="str">
        <f>+VLOOKUP($AJ400,Data_Validation!$A:$D,3,0)</f>
        <v>Bilan</v>
      </c>
      <c r="AQ400" s="853" t="str">
        <f>+VLOOKUP($AJ400,Data_Validation!$A:$D,4,0)</f>
        <v>Recevables Véhicules</v>
      </c>
      <c r="AR400" s="853" t="s">
        <v>728</v>
      </c>
      <c r="AS400" s="853" t="str">
        <f>+VLOOKUP($AJ400,Data_Validation!$A:$E,5,0)</f>
        <v/>
      </c>
      <c r="AT400" s="794" t="str">
        <f t="shared" ref="AT400:AU400" si="798">C400</f>
        <v>G22150</v>
      </c>
      <c r="AU400" s="854" t="str">
        <f t="shared" si="798"/>
        <v>INTERCO HYUNDAI STCONSTAN</v>
      </c>
      <c r="AV400" s="794">
        <f t="array" ref="AV400">IFERROR(INDEX(V400:AG400,1,MATCH(Parametres!$B$3,V$1:AG$1,0)-1)*IF(OR(C400="L",C400="S",C400="I"),-1,1),"")</f>
        <v>0</v>
      </c>
      <c r="AW400" s="794">
        <f t="shared" si="6"/>
        <v>0</v>
      </c>
      <c r="AX400" s="794">
        <f t="array" ref="AX400">INDEX(V400:AG400,1,MATCH(Parametres!$B$3,V$1:AG$1,0))*IF(OR(C400="L",C400="S",C400="I"),-1,1)</f>
        <v>0</v>
      </c>
      <c r="AY400" s="853" t="s">
        <v>772</v>
      </c>
      <c r="AZ400" s="853" t="str">
        <f>+VLOOKUP($AJ400,Data_Validation!$A:$E,5,0)</f>
        <v/>
      </c>
    </row>
    <row r="401" ht="15.75" customHeight="1">
      <c r="A401" s="849" t="s">
        <v>1239</v>
      </c>
      <c r="B401" s="849">
        <v>2026.0</v>
      </c>
      <c r="C401" s="849" t="s">
        <v>2025</v>
      </c>
      <c r="D401" s="849" t="s">
        <v>2026</v>
      </c>
      <c r="E401" s="849" t="s">
        <v>768</v>
      </c>
      <c r="F401" s="849" t="s">
        <v>1926</v>
      </c>
      <c r="G401" s="849">
        <v>110207.88</v>
      </c>
      <c r="H401" s="849">
        <v>110207.88</v>
      </c>
      <c r="I401" s="849">
        <v>210364.24</v>
      </c>
      <c r="J401" s="849">
        <v>210442.42</v>
      </c>
      <c r="K401" s="849">
        <v>210520.6</v>
      </c>
      <c r="L401" s="849">
        <v>210520.6</v>
      </c>
      <c r="M401" s="849">
        <v>210596.17</v>
      </c>
      <c r="N401" s="849">
        <v>221873.37</v>
      </c>
      <c r="O401" s="849">
        <v>221873.37</v>
      </c>
      <c r="P401" s="849">
        <v>221873.37</v>
      </c>
      <c r="Q401" s="849">
        <v>0.0</v>
      </c>
      <c r="R401" s="849">
        <v>0.0</v>
      </c>
      <c r="S401" s="849">
        <v>0.0</v>
      </c>
      <c r="T401" s="849">
        <v>0.0</v>
      </c>
      <c r="U401" s="849">
        <v>0.0</v>
      </c>
      <c r="V401" s="849">
        <v>0.0</v>
      </c>
      <c r="W401" s="849">
        <v>0.0</v>
      </c>
      <c r="X401" s="849">
        <v>0.0</v>
      </c>
      <c r="Y401" s="849">
        <v>0.0</v>
      </c>
      <c r="Z401" s="849">
        <v>0.0</v>
      </c>
      <c r="AA401" s="849">
        <v>0.0</v>
      </c>
      <c r="AB401" s="849">
        <v>0.0</v>
      </c>
      <c r="AC401" s="849">
        <v>0.0</v>
      </c>
      <c r="AD401" s="849">
        <v>0.0</v>
      </c>
      <c r="AE401" s="849">
        <v>0.0</v>
      </c>
      <c r="AF401" s="849">
        <v>0.0</v>
      </c>
      <c r="AG401" s="849">
        <v>0.0</v>
      </c>
      <c r="AH401" s="849">
        <v>0.0</v>
      </c>
      <c r="AI401" s="849">
        <v>0.0</v>
      </c>
      <c r="AJ401" s="794" t="str">
        <f t="shared" ref="AJ401:AK401" si="799">C401</f>
        <v>G22160</v>
      </c>
      <c r="AK401" s="794" t="str">
        <f t="shared" si="799"/>
        <v>AVANCE 9446-0680 QC INC</v>
      </c>
      <c r="AL401" s="794">
        <f t="array" ref="AL401">IFERROR(INDEX(G401:R401,1,MATCH(Parametres!$B$3,G$1:R$1,0)-1)*IF(OR(F401="L",F401="S",F401="I"),-1,1),"")</f>
        <v>221873.37</v>
      </c>
      <c r="AM401" s="794">
        <f t="shared" si="4"/>
        <v>0</v>
      </c>
      <c r="AN401" s="794">
        <f t="array" ref="AN401">INDEX(G401:R401,1,MATCH(Parametres!$B$3,G$1:R$1,0))*IF(OR(F401="L",F401="S",F401="I"),-1,1)</f>
        <v>221873.37</v>
      </c>
      <c r="AO401" s="853" t="str">
        <f>+VLOOKUP($AJ401,Data_Validation!$A:$D,1,0)</f>
        <v>G22160</v>
      </c>
      <c r="AP401" s="853" t="str">
        <f>+VLOOKUP($AJ401,Data_Validation!$A:$D,3,0)</f>
        <v>Bilan</v>
      </c>
      <c r="AQ401" s="853" t="str">
        <f>+VLOOKUP($AJ401,Data_Validation!$A:$D,4,0)</f>
        <v>Recevables Intercos</v>
      </c>
      <c r="AR401" s="853" t="s">
        <v>728</v>
      </c>
      <c r="AS401" s="853" t="str">
        <f>+VLOOKUP($AJ401,Data_Validation!$A:$E,5,0)</f>
        <v/>
      </c>
      <c r="AT401" s="794" t="str">
        <f t="shared" ref="AT401:AU401" si="800">C401</f>
        <v>G22160</v>
      </c>
      <c r="AU401" s="854" t="str">
        <f t="shared" si="800"/>
        <v>AVANCE 9446-0680 QC INC</v>
      </c>
      <c r="AV401" s="794">
        <f t="array" ref="AV401">IFERROR(INDEX(V401:AG401,1,MATCH(Parametres!$B$3,V$1:AG$1,0)-1)*IF(OR(C401="L",C401="S",C401="I"),-1,1),"")</f>
        <v>0</v>
      </c>
      <c r="AW401" s="794">
        <f t="shared" si="6"/>
        <v>0</v>
      </c>
      <c r="AX401" s="794">
        <f t="array" ref="AX401">INDEX(V401:AG401,1,MATCH(Parametres!$B$3,V$1:AG$1,0))*IF(OR(C401="L",C401="S",C401="I"),-1,1)</f>
        <v>0</v>
      </c>
      <c r="AY401" s="853" t="s">
        <v>772</v>
      </c>
      <c r="AZ401" s="853" t="str">
        <f>+VLOOKUP($AJ401,Data_Validation!$A:$E,5,0)</f>
        <v/>
      </c>
    </row>
    <row r="402" ht="15.75" customHeight="1">
      <c r="A402" s="849" t="s">
        <v>1239</v>
      </c>
      <c r="B402" s="849">
        <v>2026.0</v>
      </c>
      <c r="C402" s="849" t="s">
        <v>2027</v>
      </c>
      <c r="D402" s="849" t="s">
        <v>2028</v>
      </c>
      <c r="E402" s="849" t="s">
        <v>768</v>
      </c>
      <c r="F402" s="849" t="s">
        <v>1926</v>
      </c>
      <c r="G402" s="849">
        <v>0.0</v>
      </c>
      <c r="H402" s="849">
        <v>0.0</v>
      </c>
      <c r="I402" s="849">
        <v>0.0</v>
      </c>
      <c r="J402" s="849">
        <v>0.0</v>
      </c>
      <c r="K402" s="849">
        <v>0.0</v>
      </c>
      <c r="L402" s="849">
        <v>0.0</v>
      </c>
      <c r="M402" s="849">
        <v>0.0</v>
      </c>
      <c r="N402" s="849">
        <v>0.0</v>
      </c>
      <c r="O402" s="849">
        <v>0.0</v>
      </c>
      <c r="P402" s="849">
        <v>0.0</v>
      </c>
      <c r="Q402" s="849">
        <v>0.0</v>
      </c>
      <c r="R402" s="849">
        <v>0.0</v>
      </c>
      <c r="S402" s="849">
        <v>0.0</v>
      </c>
      <c r="T402" s="849">
        <v>0.0</v>
      </c>
      <c r="U402" s="849">
        <v>0.0</v>
      </c>
      <c r="V402" s="849">
        <v>0.0</v>
      </c>
      <c r="W402" s="849">
        <v>0.0</v>
      </c>
      <c r="X402" s="849">
        <v>0.0</v>
      </c>
      <c r="Y402" s="849">
        <v>0.0</v>
      </c>
      <c r="Z402" s="849">
        <v>0.0</v>
      </c>
      <c r="AA402" s="849">
        <v>0.0</v>
      </c>
      <c r="AB402" s="849">
        <v>0.0</v>
      </c>
      <c r="AC402" s="849">
        <v>0.0</v>
      </c>
      <c r="AD402" s="849">
        <v>0.0</v>
      </c>
      <c r="AE402" s="849">
        <v>0.0</v>
      </c>
      <c r="AF402" s="849">
        <v>0.0</v>
      </c>
      <c r="AG402" s="849">
        <v>0.0</v>
      </c>
      <c r="AH402" s="849">
        <v>0.0</v>
      </c>
      <c r="AI402" s="849">
        <v>0.0</v>
      </c>
      <c r="AJ402" s="794" t="str">
        <f t="shared" ref="AJ402:AK402" si="801">C402</f>
        <v>G22170</v>
      </c>
      <c r="AK402" s="794" t="str">
        <f t="shared" si="801"/>
        <v>INTERCO REMARK.AUTO CANAD</v>
      </c>
      <c r="AL402" s="794">
        <f t="array" ref="AL402">IFERROR(INDEX(G402:R402,1,MATCH(Parametres!$B$3,G$1:R$1,0)-1)*IF(OR(F402="L",F402="S",F402="I"),-1,1),"")</f>
        <v>0</v>
      </c>
      <c r="AM402" s="794">
        <f t="shared" si="4"/>
        <v>0</v>
      </c>
      <c r="AN402" s="794">
        <f t="array" ref="AN402">INDEX(G402:R402,1,MATCH(Parametres!$B$3,G$1:R$1,0))*IF(OR(F402="L",F402="S",F402="I"),-1,1)</f>
        <v>0</v>
      </c>
      <c r="AO402" s="853" t="str">
        <f>+VLOOKUP($AJ402,Data_Validation!$A:$D,1,0)</f>
        <v>G22170</v>
      </c>
      <c r="AP402" s="853" t="str">
        <f>+VLOOKUP($AJ402,Data_Validation!$A:$D,3,0)</f>
        <v>Bilan</v>
      </c>
      <c r="AQ402" s="853" t="str">
        <f>+VLOOKUP($AJ402,Data_Validation!$A:$D,4,0)</f>
        <v>Recevables Intercos</v>
      </c>
      <c r="AR402" s="853" t="s">
        <v>728</v>
      </c>
      <c r="AS402" s="853" t="str">
        <f>+VLOOKUP($AJ402,Data_Validation!$A:$E,5,0)</f>
        <v/>
      </c>
      <c r="AT402" s="794" t="str">
        <f t="shared" ref="AT402:AU402" si="802">C402</f>
        <v>G22170</v>
      </c>
      <c r="AU402" s="854" t="str">
        <f t="shared" si="802"/>
        <v>INTERCO REMARK.AUTO CANAD</v>
      </c>
      <c r="AV402" s="794">
        <f t="array" ref="AV402">IFERROR(INDEX(V402:AG402,1,MATCH(Parametres!$B$3,V$1:AG$1,0)-1)*IF(OR(C402="L",C402="S",C402="I"),-1,1),"")</f>
        <v>0</v>
      </c>
      <c r="AW402" s="794">
        <f t="shared" si="6"/>
        <v>0</v>
      </c>
      <c r="AX402" s="794">
        <f t="array" ref="AX402">INDEX(V402:AG402,1,MATCH(Parametres!$B$3,V$1:AG$1,0))*IF(OR(C402="L",C402="S",C402="I"),-1,1)</f>
        <v>0</v>
      </c>
      <c r="AY402" s="853" t="s">
        <v>772</v>
      </c>
      <c r="AZ402" s="853" t="str">
        <f>+VLOOKUP($AJ402,Data_Validation!$A:$E,5,0)</f>
        <v/>
      </c>
    </row>
    <row r="403" ht="15.75" customHeight="1">
      <c r="A403" s="849" t="s">
        <v>1239</v>
      </c>
      <c r="B403" s="849">
        <v>2026.0</v>
      </c>
      <c r="C403" s="849" t="s">
        <v>2029</v>
      </c>
      <c r="D403" s="849" t="s">
        <v>2030</v>
      </c>
      <c r="E403" s="849" t="s">
        <v>768</v>
      </c>
      <c r="F403" s="849" t="s">
        <v>1926</v>
      </c>
      <c r="G403" s="849">
        <v>0.0</v>
      </c>
      <c r="H403" s="849">
        <v>0.0</v>
      </c>
      <c r="I403" s="849">
        <v>0.0</v>
      </c>
      <c r="J403" s="849">
        <v>0.0</v>
      </c>
      <c r="K403" s="849">
        <v>0.0</v>
      </c>
      <c r="L403" s="849">
        <v>0.0</v>
      </c>
      <c r="M403" s="849">
        <v>49999.54</v>
      </c>
      <c r="N403" s="849">
        <v>49999.54</v>
      </c>
      <c r="O403" s="849">
        <v>49999.54</v>
      </c>
      <c r="P403" s="849">
        <v>49999.54</v>
      </c>
      <c r="Q403" s="849">
        <v>0.0</v>
      </c>
      <c r="R403" s="849">
        <v>0.0</v>
      </c>
      <c r="S403" s="849">
        <v>0.0</v>
      </c>
      <c r="T403" s="849">
        <v>0.0</v>
      </c>
      <c r="U403" s="849">
        <v>0.0</v>
      </c>
      <c r="V403" s="849">
        <v>0.0</v>
      </c>
      <c r="W403" s="849">
        <v>0.0</v>
      </c>
      <c r="X403" s="849">
        <v>0.0</v>
      </c>
      <c r="Y403" s="849">
        <v>0.0</v>
      </c>
      <c r="Z403" s="849">
        <v>0.0</v>
      </c>
      <c r="AA403" s="849">
        <v>0.0</v>
      </c>
      <c r="AB403" s="849">
        <v>0.0</v>
      </c>
      <c r="AC403" s="849">
        <v>0.0</v>
      </c>
      <c r="AD403" s="849">
        <v>0.0</v>
      </c>
      <c r="AE403" s="849">
        <v>0.0</v>
      </c>
      <c r="AF403" s="849">
        <v>0.0</v>
      </c>
      <c r="AG403" s="849">
        <v>0.0</v>
      </c>
      <c r="AH403" s="849">
        <v>0.0</v>
      </c>
      <c r="AI403" s="849">
        <v>0.0</v>
      </c>
      <c r="AJ403" s="794" t="str">
        <f t="shared" ref="AJ403:AK403" si="803">C403</f>
        <v>G22175</v>
      </c>
      <c r="AK403" s="794" t="str">
        <f t="shared" si="803"/>
        <v>AVANCE VOLKSWAGEN BROSSAR</v>
      </c>
      <c r="AL403" s="794">
        <f t="array" ref="AL403">IFERROR(INDEX(G403:R403,1,MATCH(Parametres!$B$3,G$1:R$1,0)-1)*IF(OR(F403="L",F403="S",F403="I"),-1,1),"")</f>
        <v>49999.54</v>
      </c>
      <c r="AM403" s="794">
        <f t="shared" si="4"/>
        <v>0</v>
      </c>
      <c r="AN403" s="794">
        <f t="array" ref="AN403">INDEX(G403:R403,1,MATCH(Parametres!$B$3,G$1:R$1,0))*IF(OR(F403="L",F403="S",F403="I"),-1,1)</f>
        <v>49999.54</v>
      </c>
      <c r="AO403" s="853" t="str">
        <f>+VLOOKUP($AJ403,Data_Validation!$A:$D,1,0)</f>
        <v>G22175</v>
      </c>
      <c r="AP403" s="853" t="str">
        <f>+VLOOKUP($AJ403,Data_Validation!$A:$D,3,0)</f>
        <v>Bilan</v>
      </c>
      <c r="AQ403" s="853" t="str">
        <f>+VLOOKUP($AJ403,Data_Validation!$A:$D,4,0)</f>
        <v>Recevables Intercos</v>
      </c>
      <c r="AR403" s="853" t="s">
        <v>728</v>
      </c>
      <c r="AS403" s="853" t="str">
        <f>+VLOOKUP($AJ403,Data_Validation!$A:$E,5,0)</f>
        <v/>
      </c>
      <c r="AT403" s="794" t="str">
        <f t="shared" ref="AT403:AU403" si="804">C403</f>
        <v>G22175</v>
      </c>
      <c r="AU403" s="854" t="str">
        <f t="shared" si="804"/>
        <v>AVANCE VOLKSWAGEN BROSSAR</v>
      </c>
      <c r="AV403" s="794">
        <f t="array" ref="AV403">IFERROR(INDEX(V403:AG403,1,MATCH(Parametres!$B$3,V$1:AG$1,0)-1)*IF(OR(C403="L",C403="S",C403="I"),-1,1),"")</f>
        <v>0</v>
      </c>
      <c r="AW403" s="794">
        <f t="shared" si="6"/>
        <v>0</v>
      </c>
      <c r="AX403" s="794">
        <f t="array" ref="AX403">INDEX(V403:AG403,1,MATCH(Parametres!$B$3,V$1:AG$1,0))*IF(OR(C403="L",C403="S",C403="I"),-1,1)</f>
        <v>0</v>
      </c>
      <c r="AY403" s="853" t="s">
        <v>772</v>
      </c>
      <c r="AZ403" s="853" t="str">
        <f>+VLOOKUP($AJ403,Data_Validation!$A:$E,5,0)</f>
        <v/>
      </c>
    </row>
    <row r="404" ht="15.75" customHeight="1">
      <c r="A404" s="849" t="s">
        <v>1239</v>
      </c>
      <c r="B404" s="849">
        <v>2026.0</v>
      </c>
      <c r="C404" s="849" t="s">
        <v>2031</v>
      </c>
      <c r="D404" s="849" t="s">
        <v>2032</v>
      </c>
      <c r="E404" s="849" t="s">
        <v>768</v>
      </c>
      <c r="F404" s="849" t="s">
        <v>1926</v>
      </c>
      <c r="G404" s="849">
        <v>78.18</v>
      </c>
      <c r="H404" s="849">
        <v>78.18</v>
      </c>
      <c r="I404" s="849">
        <v>234.54</v>
      </c>
      <c r="J404" s="849">
        <v>525.55</v>
      </c>
      <c r="K404" s="849">
        <v>603.73</v>
      </c>
      <c r="L404" s="849">
        <v>603.73</v>
      </c>
      <c r="M404" s="849">
        <v>681.91</v>
      </c>
      <c r="N404" s="849">
        <v>760.09</v>
      </c>
      <c r="O404" s="849">
        <v>760.09</v>
      </c>
      <c r="P404" s="849">
        <v>760.09</v>
      </c>
      <c r="Q404" s="849">
        <v>0.0</v>
      </c>
      <c r="R404" s="849">
        <v>0.0</v>
      </c>
      <c r="S404" s="849">
        <v>0.0</v>
      </c>
      <c r="T404" s="849">
        <v>0.0</v>
      </c>
      <c r="U404" s="849">
        <v>0.0</v>
      </c>
      <c r="V404" s="849">
        <v>0.0</v>
      </c>
      <c r="W404" s="849">
        <v>0.0</v>
      </c>
      <c r="X404" s="849">
        <v>0.0</v>
      </c>
      <c r="Y404" s="849">
        <v>0.0</v>
      </c>
      <c r="Z404" s="849">
        <v>0.0</v>
      </c>
      <c r="AA404" s="849">
        <v>0.0</v>
      </c>
      <c r="AB404" s="849">
        <v>0.0</v>
      </c>
      <c r="AC404" s="849">
        <v>0.0</v>
      </c>
      <c r="AD404" s="849">
        <v>0.0</v>
      </c>
      <c r="AE404" s="849">
        <v>0.0</v>
      </c>
      <c r="AF404" s="849">
        <v>0.0</v>
      </c>
      <c r="AG404" s="849">
        <v>0.0</v>
      </c>
      <c r="AH404" s="849">
        <v>0.0</v>
      </c>
      <c r="AI404" s="849">
        <v>0.0</v>
      </c>
      <c r="AJ404" s="794" t="str">
        <f t="shared" ref="AJ404:AK404" si="805">C404</f>
        <v>G22180</v>
      </c>
      <c r="AK404" s="794" t="str">
        <f t="shared" si="805"/>
        <v>AVANCE LOCATION LMB</v>
      </c>
      <c r="AL404" s="794">
        <f t="array" ref="AL404">IFERROR(INDEX(G404:R404,1,MATCH(Parametres!$B$3,G$1:R$1,0)-1)*IF(OR(F404="L",F404="S",F404="I"),-1,1),"")</f>
        <v>760.09</v>
      </c>
      <c r="AM404" s="794">
        <f t="shared" si="4"/>
        <v>0</v>
      </c>
      <c r="AN404" s="794">
        <f t="array" ref="AN404">INDEX(G404:R404,1,MATCH(Parametres!$B$3,G$1:R$1,0))*IF(OR(F404="L",F404="S",F404="I"),-1,1)</f>
        <v>760.09</v>
      </c>
      <c r="AO404" s="853" t="str">
        <f>+VLOOKUP($AJ404,Data_Validation!$A:$D,1,0)</f>
        <v>G22180</v>
      </c>
      <c r="AP404" s="853" t="str">
        <f>+VLOOKUP($AJ404,Data_Validation!$A:$D,3,0)</f>
        <v>Bilan</v>
      </c>
      <c r="AQ404" s="853" t="str">
        <f>+VLOOKUP($AJ404,Data_Validation!$A:$D,4,0)</f>
        <v>Recevables Intercos</v>
      </c>
      <c r="AR404" s="853" t="s">
        <v>728</v>
      </c>
      <c r="AS404" s="853" t="str">
        <f>+VLOOKUP($AJ404,Data_Validation!$A:$E,5,0)</f>
        <v/>
      </c>
      <c r="AT404" s="794" t="str">
        <f t="shared" ref="AT404:AU404" si="806">C404</f>
        <v>G22180</v>
      </c>
      <c r="AU404" s="854" t="str">
        <f t="shared" si="806"/>
        <v>AVANCE LOCATION LMB</v>
      </c>
      <c r="AV404" s="794">
        <f t="array" ref="AV404">IFERROR(INDEX(V404:AG404,1,MATCH(Parametres!$B$3,V$1:AG$1,0)-1)*IF(OR(C404="L",C404="S",C404="I"),-1,1),"")</f>
        <v>0</v>
      </c>
      <c r="AW404" s="794">
        <f t="shared" si="6"/>
        <v>0</v>
      </c>
      <c r="AX404" s="794">
        <f t="array" ref="AX404">INDEX(V404:AG404,1,MATCH(Parametres!$B$3,V$1:AG$1,0))*IF(OR(C404="L",C404="S",C404="I"),-1,1)</f>
        <v>0</v>
      </c>
      <c r="AY404" s="853" t="s">
        <v>772</v>
      </c>
      <c r="AZ404" s="853" t="str">
        <f>+VLOOKUP($AJ404,Data_Validation!$A:$E,5,0)</f>
        <v/>
      </c>
    </row>
    <row r="405" ht="15.75" customHeight="1">
      <c r="A405" s="849" t="s">
        <v>1239</v>
      </c>
      <c r="B405" s="849">
        <v>2026.0</v>
      </c>
      <c r="C405" s="849" t="s">
        <v>2033</v>
      </c>
      <c r="D405" s="849" t="s">
        <v>2034</v>
      </c>
      <c r="E405" s="849" t="s">
        <v>768</v>
      </c>
      <c r="F405" s="849" t="s">
        <v>1926</v>
      </c>
      <c r="G405" s="849">
        <v>0.0</v>
      </c>
      <c r="H405" s="849">
        <v>0.0</v>
      </c>
      <c r="I405" s="849">
        <v>0.0</v>
      </c>
      <c r="J405" s="849">
        <v>0.0</v>
      </c>
      <c r="K405" s="849">
        <v>0.0</v>
      </c>
      <c r="L405" s="849">
        <v>0.0</v>
      </c>
      <c r="M405" s="849">
        <v>7247576.54</v>
      </c>
      <c r="N405" s="849">
        <v>7247576.54</v>
      </c>
      <c r="O405" s="849">
        <v>7247576.54</v>
      </c>
      <c r="P405" s="849">
        <v>7247576.54</v>
      </c>
      <c r="Q405" s="849">
        <v>0.0</v>
      </c>
      <c r="R405" s="849">
        <v>0.0</v>
      </c>
      <c r="S405" s="849">
        <v>0.0</v>
      </c>
      <c r="T405" s="849">
        <v>0.0</v>
      </c>
      <c r="U405" s="849">
        <v>0.0</v>
      </c>
      <c r="V405" s="849">
        <v>0.0</v>
      </c>
      <c r="W405" s="849">
        <v>0.0</v>
      </c>
      <c r="X405" s="849">
        <v>0.0</v>
      </c>
      <c r="Y405" s="849">
        <v>0.0</v>
      </c>
      <c r="Z405" s="849">
        <v>0.0</v>
      </c>
      <c r="AA405" s="849">
        <v>0.0</v>
      </c>
      <c r="AB405" s="849">
        <v>0.0</v>
      </c>
      <c r="AC405" s="849">
        <v>0.0</v>
      </c>
      <c r="AD405" s="849">
        <v>0.0</v>
      </c>
      <c r="AE405" s="849">
        <v>0.0</v>
      </c>
      <c r="AF405" s="849">
        <v>0.0</v>
      </c>
      <c r="AG405" s="849">
        <v>0.0</v>
      </c>
      <c r="AH405" s="849">
        <v>0.0</v>
      </c>
      <c r="AI405" s="849">
        <v>0.0</v>
      </c>
      <c r="AJ405" s="794" t="str">
        <f t="shared" ref="AJ405:AK405" si="807">C405</f>
        <v>G22185</v>
      </c>
      <c r="AK405" s="794" t="str">
        <f t="shared" si="807"/>
        <v>AVANCES BMW SHERBROOKE</v>
      </c>
      <c r="AL405" s="794">
        <f t="array" ref="AL405">IFERROR(INDEX(G405:R405,1,MATCH(Parametres!$B$3,G$1:R$1,0)-1)*IF(OR(F405="L",F405="S",F405="I"),-1,1),"")</f>
        <v>7247576.54</v>
      </c>
      <c r="AM405" s="794">
        <f t="shared" si="4"/>
        <v>0</v>
      </c>
      <c r="AN405" s="794">
        <f t="array" ref="AN405">INDEX(G405:R405,1,MATCH(Parametres!$B$3,G$1:R$1,0))*IF(OR(F405="L",F405="S",F405="I"),-1,1)</f>
        <v>7247576.54</v>
      </c>
      <c r="AO405" s="853" t="str">
        <f>+VLOOKUP($AJ405,Data_Validation!$A:$D,1,0)</f>
        <v>G22185</v>
      </c>
      <c r="AP405" s="853" t="str">
        <f>+VLOOKUP($AJ405,Data_Validation!$A:$D,3,0)</f>
        <v>Bilan</v>
      </c>
      <c r="AQ405" s="853" t="str">
        <f>+VLOOKUP($AJ405,Data_Validation!$A:$D,4,0)</f>
        <v>Recevables Intercos</v>
      </c>
      <c r="AR405" s="853" t="s">
        <v>728</v>
      </c>
      <c r="AS405" s="853" t="str">
        <f>+VLOOKUP($AJ405,Data_Validation!$A:$E,5,0)</f>
        <v/>
      </c>
      <c r="AT405" s="794" t="str">
        <f t="shared" ref="AT405:AU405" si="808">C405</f>
        <v>G22185</v>
      </c>
      <c r="AU405" s="854" t="str">
        <f t="shared" si="808"/>
        <v>AVANCES BMW SHERBROOKE</v>
      </c>
      <c r="AV405" s="794">
        <f t="array" ref="AV405">IFERROR(INDEX(V405:AG405,1,MATCH(Parametres!$B$3,V$1:AG$1,0)-1)*IF(OR(C405="L",C405="S",C405="I"),-1,1),"")</f>
        <v>0</v>
      </c>
      <c r="AW405" s="794">
        <f t="shared" si="6"/>
        <v>0</v>
      </c>
      <c r="AX405" s="794">
        <f t="array" ref="AX405">INDEX(V405:AG405,1,MATCH(Parametres!$B$3,V$1:AG$1,0))*IF(OR(C405="L",C405="S",C405="I"),-1,1)</f>
        <v>0</v>
      </c>
      <c r="AY405" s="853" t="s">
        <v>772</v>
      </c>
      <c r="AZ405" s="853" t="str">
        <f>+VLOOKUP($AJ405,Data_Validation!$A:$E,5,0)</f>
        <v/>
      </c>
    </row>
    <row r="406" ht="15.75" customHeight="1">
      <c r="A406" s="849" t="s">
        <v>1239</v>
      </c>
      <c r="B406" s="849">
        <v>2026.0</v>
      </c>
      <c r="C406" s="849" t="s">
        <v>2035</v>
      </c>
      <c r="D406" s="849" t="s">
        <v>2036</v>
      </c>
      <c r="E406" s="849" t="s">
        <v>768</v>
      </c>
      <c r="F406" s="849" t="s">
        <v>1926</v>
      </c>
      <c r="G406" s="849">
        <v>0.0</v>
      </c>
      <c r="H406" s="849">
        <v>0.0</v>
      </c>
      <c r="I406" s="849">
        <v>0.0</v>
      </c>
      <c r="J406" s="849">
        <v>0.0</v>
      </c>
      <c r="K406" s="849">
        <v>0.0</v>
      </c>
      <c r="L406" s="849">
        <v>0.0</v>
      </c>
      <c r="M406" s="849">
        <v>759893.57</v>
      </c>
      <c r="N406" s="849">
        <v>759893.57</v>
      </c>
      <c r="O406" s="849">
        <v>759893.57</v>
      </c>
      <c r="P406" s="849">
        <v>759893.57</v>
      </c>
      <c r="Q406" s="849">
        <v>0.0</v>
      </c>
      <c r="R406" s="849">
        <v>0.0</v>
      </c>
      <c r="S406" s="849">
        <v>0.0</v>
      </c>
      <c r="T406" s="849">
        <v>0.0</v>
      </c>
      <c r="U406" s="849">
        <v>0.0</v>
      </c>
      <c r="V406" s="849">
        <v>0.0</v>
      </c>
      <c r="W406" s="849">
        <v>0.0</v>
      </c>
      <c r="X406" s="849">
        <v>0.0</v>
      </c>
      <c r="Y406" s="849">
        <v>0.0</v>
      </c>
      <c r="Z406" s="849">
        <v>0.0</v>
      </c>
      <c r="AA406" s="849">
        <v>0.0</v>
      </c>
      <c r="AB406" s="849">
        <v>0.0</v>
      </c>
      <c r="AC406" s="849">
        <v>0.0</v>
      </c>
      <c r="AD406" s="849">
        <v>0.0</v>
      </c>
      <c r="AE406" s="849">
        <v>0.0</v>
      </c>
      <c r="AF406" s="849">
        <v>0.0</v>
      </c>
      <c r="AG406" s="849">
        <v>0.0</v>
      </c>
      <c r="AH406" s="849">
        <v>0.0</v>
      </c>
      <c r="AI406" s="849">
        <v>0.0</v>
      </c>
      <c r="AJ406" s="794" t="str">
        <f t="shared" ref="AJ406:AK406" si="809">C406</f>
        <v>G22186</v>
      </c>
      <c r="AK406" s="794" t="str">
        <f t="shared" si="809"/>
        <v>AVANCE 9548-3442 QC INC</v>
      </c>
      <c r="AL406" s="794">
        <f t="array" ref="AL406">IFERROR(INDEX(G406:R406,1,MATCH(Parametres!$B$3,G$1:R$1,0)-1)*IF(OR(F406="L",F406="S",F406="I"),-1,1),"")</f>
        <v>759893.57</v>
      </c>
      <c r="AM406" s="794">
        <f t="shared" si="4"/>
        <v>0</v>
      </c>
      <c r="AN406" s="794">
        <f t="array" ref="AN406">INDEX(G406:R406,1,MATCH(Parametres!$B$3,G$1:R$1,0))*IF(OR(F406="L",F406="S",F406="I"),-1,1)</f>
        <v>759893.57</v>
      </c>
      <c r="AO406" s="853" t="str">
        <f>+VLOOKUP($AJ406,Data_Validation!$A:$D,1,0)</f>
        <v>G22186</v>
      </c>
      <c r="AP406" s="853" t="str">
        <f>+VLOOKUP($AJ406,Data_Validation!$A:$D,3,0)</f>
        <v>Bilan</v>
      </c>
      <c r="AQ406" s="853" t="str">
        <f>+VLOOKUP($AJ406,Data_Validation!$A:$D,4,0)</f>
        <v>Recevables Intercos</v>
      </c>
      <c r="AR406" s="853" t="s">
        <v>728</v>
      </c>
      <c r="AS406" s="853" t="str">
        <f>+VLOOKUP($AJ406,Data_Validation!$A:$E,5,0)</f>
        <v/>
      </c>
      <c r="AT406" s="794" t="str">
        <f t="shared" ref="AT406:AU406" si="810">C406</f>
        <v>G22186</v>
      </c>
      <c r="AU406" s="854" t="str">
        <f t="shared" si="810"/>
        <v>AVANCE 9548-3442 QC INC</v>
      </c>
      <c r="AV406" s="794">
        <f t="array" ref="AV406">IFERROR(INDEX(V406:AG406,1,MATCH(Parametres!$B$3,V$1:AG$1,0)-1)*IF(OR(C406="L",C406="S",C406="I"),-1,1),"")</f>
        <v>0</v>
      </c>
      <c r="AW406" s="794">
        <f t="shared" si="6"/>
        <v>0</v>
      </c>
      <c r="AX406" s="794">
        <f t="array" ref="AX406">INDEX(V406:AG406,1,MATCH(Parametres!$B$3,V$1:AG$1,0))*IF(OR(C406="L",C406="S",C406="I"),-1,1)</f>
        <v>0</v>
      </c>
      <c r="AY406" s="853" t="s">
        <v>772</v>
      </c>
      <c r="AZ406" s="853" t="str">
        <f>+VLOOKUP($AJ406,Data_Validation!$A:$E,5,0)</f>
        <v/>
      </c>
    </row>
    <row r="407" ht="15.75" customHeight="1">
      <c r="A407" s="849" t="s">
        <v>1239</v>
      </c>
      <c r="B407" s="849">
        <v>2026.0</v>
      </c>
      <c r="C407" s="849" t="s">
        <v>2037</v>
      </c>
      <c r="D407" s="849" t="s">
        <v>2038</v>
      </c>
      <c r="E407" s="849" t="s">
        <v>768</v>
      </c>
      <c r="F407" s="849" t="s">
        <v>1926</v>
      </c>
      <c r="G407" s="849">
        <v>0.0</v>
      </c>
      <c r="H407" s="849">
        <v>0.0</v>
      </c>
      <c r="I407" s="849">
        <v>0.0</v>
      </c>
      <c r="J407" s="849">
        <v>0.0</v>
      </c>
      <c r="K407" s="849">
        <v>0.0</v>
      </c>
      <c r="L407" s="849">
        <v>0.0</v>
      </c>
      <c r="M407" s="849">
        <v>0.0</v>
      </c>
      <c r="N407" s="849">
        <v>0.0</v>
      </c>
      <c r="O407" s="849">
        <v>0.0</v>
      </c>
      <c r="P407" s="849">
        <v>0.0</v>
      </c>
      <c r="Q407" s="849">
        <v>0.0</v>
      </c>
      <c r="R407" s="849">
        <v>0.0</v>
      </c>
      <c r="S407" s="849">
        <v>0.0</v>
      </c>
      <c r="T407" s="849">
        <v>0.0</v>
      </c>
      <c r="U407" s="849">
        <v>0.0</v>
      </c>
      <c r="V407" s="849">
        <v>0.0</v>
      </c>
      <c r="W407" s="849">
        <v>0.0</v>
      </c>
      <c r="X407" s="849">
        <v>0.0</v>
      </c>
      <c r="Y407" s="849">
        <v>0.0</v>
      </c>
      <c r="Z407" s="849">
        <v>0.0</v>
      </c>
      <c r="AA407" s="849">
        <v>0.0</v>
      </c>
      <c r="AB407" s="849">
        <v>0.0</v>
      </c>
      <c r="AC407" s="849">
        <v>0.0</v>
      </c>
      <c r="AD407" s="849">
        <v>0.0</v>
      </c>
      <c r="AE407" s="849">
        <v>0.0</v>
      </c>
      <c r="AF407" s="849">
        <v>0.0</v>
      </c>
      <c r="AG407" s="849">
        <v>0.0</v>
      </c>
      <c r="AH407" s="849">
        <v>0.0</v>
      </c>
      <c r="AI407" s="849">
        <v>0.0</v>
      </c>
      <c r="AJ407" s="794" t="str">
        <f t="shared" ref="AJ407:AK407" si="811">C407</f>
        <v>G22190</v>
      </c>
      <c r="AK407" s="794" t="str">
        <f t="shared" si="811"/>
        <v>INTERCO 9046-6640 QUEBEC</v>
      </c>
      <c r="AL407" s="794">
        <f t="array" ref="AL407">IFERROR(INDEX(G407:R407,1,MATCH(Parametres!$B$3,G$1:R$1,0)-1)*IF(OR(F407="L",F407="S",F407="I"),-1,1),"")</f>
        <v>0</v>
      </c>
      <c r="AM407" s="794">
        <f t="shared" si="4"/>
        <v>0</v>
      </c>
      <c r="AN407" s="794">
        <f t="array" ref="AN407">INDEX(G407:R407,1,MATCH(Parametres!$B$3,G$1:R$1,0))*IF(OR(F407="L",F407="S",F407="I"),-1,1)</f>
        <v>0</v>
      </c>
      <c r="AO407" s="853" t="str">
        <f>+VLOOKUP($AJ407,Data_Validation!$A:$D,1,0)</f>
        <v>G22190</v>
      </c>
      <c r="AP407" s="853" t="str">
        <f>+VLOOKUP($AJ407,Data_Validation!$A:$D,3,0)</f>
        <v/>
      </c>
      <c r="AQ407" s="853" t="str">
        <f>+VLOOKUP($AJ407,Data_Validation!$A:$D,4,0)</f>
        <v/>
      </c>
      <c r="AR407" s="853" t="s">
        <v>728</v>
      </c>
      <c r="AS407" s="853" t="str">
        <f>+VLOOKUP($AJ407,Data_Validation!$A:$E,5,0)</f>
        <v/>
      </c>
      <c r="AT407" s="794" t="str">
        <f t="shared" ref="AT407:AU407" si="812">C407</f>
        <v>G22190</v>
      </c>
      <c r="AU407" s="854" t="str">
        <f t="shared" si="812"/>
        <v>INTERCO 9046-6640 QUEBEC</v>
      </c>
      <c r="AV407" s="794">
        <f t="array" ref="AV407">IFERROR(INDEX(V407:AG407,1,MATCH(Parametres!$B$3,V$1:AG$1,0)-1)*IF(OR(C407="L",C407="S",C407="I"),-1,1),"")</f>
        <v>0</v>
      </c>
      <c r="AW407" s="794">
        <f t="shared" si="6"/>
        <v>0</v>
      </c>
      <c r="AX407" s="794">
        <f t="array" ref="AX407">INDEX(V407:AG407,1,MATCH(Parametres!$B$3,V$1:AG$1,0))*IF(OR(C407="L",C407="S",C407="I"),-1,1)</f>
        <v>0</v>
      </c>
      <c r="AY407" s="853" t="s">
        <v>772</v>
      </c>
      <c r="AZ407" s="853" t="str">
        <f>+VLOOKUP($AJ407,Data_Validation!$A:$E,5,0)</f>
        <v/>
      </c>
    </row>
    <row r="408" ht="15.75" customHeight="1">
      <c r="A408" s="849" t="s">
        <v>1239</v>
      </c>
      <c r="B408" s="849">
        <v>2026.0</v>
      </c>
      <c r="C408" s="849" t="s">
        <v>2039</v>
      </c>
      <c r="D408" s="849" t="s">
        <v>2040</v>
      </c>
      <c r="E408" s="849" t="s">
        <v>768</v>
      </c>
      <c r="F408" s="849" t="s">
        <v>1926</v>
      </c>
      <c r="G408" s="849">
        <v>575000.0</v>
      </c>
      <c r="H408" s="849">
        <v>575000.0</v>
      </c>
      <c r="I408" s="849">
        <v>575000.0</v>
      </c>
      <c r="J408" s="849">
        <v>575000.0</v>
      </c>
      <c r="K408" s="849">
        <v>575000.0</v>
      </c>
      <c r="L408" s="849">
        <v>575000.0</v>
      </c>
      <c r="M408" s="849">
        <v>575000.0</v>
      </c>
      <c r="N408" s="849">
        <v>575000.0</v>
      </c>
      <c r="O408" s="849">
        <v>575000.0</v>
      </c>
      <c r="P408" s="849">
        <v>575000.0</v>
      </c>
      <c r="Q408" s="849">
        <v>0.0</v>
      </c>
      <c r="R408" s="849">
        <v>0.0</v>
      </c>
      <c r="S408" s="849">
        <v>0.0</v>
      </c>
      <c r="T408" s="849">
        <v>0.0</v>
      </c>
      <c r="U408" s="849">
        <v>0.0</v>
      </c>
      <c r="V408" s="849">
        <v>0.0</v>
      </c>
      <c r="W408" s="849">
        <v>0.0</v>
      </c>
      <c r="X408" s="849">
        <v>0.0</v>
      </c>
      <c r="Y408" s="849">
        <v>0.0</v>
      </c>
      <c r="Z408" s="849">
        <v>0.0</v>
      </c>
      <c r="AA408" s="849">
        <v>0.0</v>
      </c>
      <c r="AB408" s="849">
        <v>0.0</v>
      </c>
      <c r="AC408" s="849">
        <v>0.0</v>
      </c>
      <c r="AD408" s="849">
        <v>0.0</v>
      </c>
      <c r="AE408" s="849">
        <v>0.0</v>
      </c>
      <c r="AF408" s="849">
        <v>0.0</v>
      </c>
      <c r="AG408" s="849">
        <v>0.0</v>
      </c>
      <c r="AH408" s="849">
        <v>0.0</v>
      </c>
      <c r="AI408" s="849">
        <v>0.0</v>
      </c>
      <c r="AJ408" s="794" t="str">
        <f t="shared" ref="AJ408:AK408" si="813">C408</f>
        <v>G22195</v>
      </c>
      <c r="AK408" s="794" t="str">
        <f t="shared" si="813"/>
        <v>AVANCE 9341-5701 QC INC</v>
      </c>
      <c r="AL408" s="794">
        <f t="array" ref="AL408">IFERROR(INDEX(G408:R408,1,MATCH(Parametres!$B$3,G$1:R$1,0)-1)*IF(OR(F408="L",F408="S",F408="I"),-1,1),"")</f>
        <v>575000</v>
      </c>
      <c r="AM408" s="794">
        <f t="shared" si="4"/>
        <v>0</v>
      </c>
      <c r="AN408" s="794">
        <f t="array" ref="AN408">INDEX(G408:R408,1,MATCH(Parametres!$B$3,G$1:R$1,0))*IF(OR(F408="L",F408="S",F408="I"),-1,1)</f>
        <v>575000</v>
      </c>
      <c r="AO408" s="853" t="str">
        <f>+VLOOKUP($AJ408,Data_Validation!$A:$D,1,0)</f>
        <v>G22195</v>
      </c>
      <c r="AP408" s="853" t="str">
        <f>+VLOOKUP($AJ408,Data_Validation!$A:$D,3,0)</f>
        <v>Bilan</v>
      </c>
      <c r="AQ408" s="853" t="str">
        <f>+VLOOKUP($AJ408,Data_Validation!$A:$D,4,0)</f>
        <v>Recevables Intercos</v>
      </c>
      <c r="AR408" s="853" t="s">
        <v>728</v>
      </c>
      <c r="AS408" s="853" t="str">
        <f>+VLOOKUP($AJ408,Data_Validation!$A:$E,5,0)</f>
        <v/>
      </c>
      <c r="AT408" s="794" t="str">
        <f t="shared" ref="AT408:AU408" si="814">C408</f>
        <v>G22195</v>
      </c>
      <c r="AU408" s="854" t="str">
        <f t="shared" si="814"/>
        <v>AVANCE 9341-5701 QC INC</v>
      </c>
      <c r="AV408" s="794">
        <f t="array" ref="AV408">IFERROR(INDEX(V408:AG408,1,MATCH(Parametres!$B$3,V$1:AG$1,0)-1)*IF(OR(C408="L",C408="S",C408="I"),-1,1),"")</f>
        <v>0</v>
      </c>
      <c r="AW408" s="794">
        <f t="shared" si="6"/>
        <v>0</v>
      </c>
      <c r="AX408" s="794">
        <f t="array" ref="AX408">INDEX(V408:AG408,1,MATCH(Parametres!$B$3,V$1:AG$1,0))*IF(OR(C408="L",C408="S",C408="I"),-1,1)</f>
        <v>0</v>
      </c>
      <c r="AY408" s="853" t="s">
        <v>772</v>
      </c>
      <c r="AZ408" s="853" t="str">
        <f>+VLOOKUP($AJ408,Data_Validation!$A:$E,5,0)</f>
        <v/>
      </c>
    </row>
    <row r="409" ht="15.75" customHeight="1">
      <c r="A409" s="849" t="s">
        <v>1239</v>
      </c>
      <c r="B409" s="849">
        <v>2026.0</v>
      </c>
      <c r="C409" s="849" t="s">
        <v>2041</v>
      </c>
      <c r="D409" s="849" t="s">
        <v>2042</v>
      </c>
      <c r="E409" s="849" t="s">
        <v>768</v>
      </c>
      <c r="F409" s="849" t="s">
        <v>1926</v>
      </c>
      <c r="G409" s="849">
        <v>0.0</v>
      </c>
      <c r="H409" s="849">
        <v>0.0</v>
      </c>
      <c r="I409" s="849">
        <v>0.0</v>
      </c>
      <c r="J409" s="849">
        <v>0.0</v>
      </c>
      <c r="K409" s="849">
        <v>0.0</v>
      </c>
      <c r="L409" s="849">
        <v>0.0</v>
      </c>
      <c r="M409" s="849">
        <v>0.0</v>
      </c>
      <c r="N409" s="849">
        <v>0.0</v>
      </c>
      <c r="O409" s="849">
        <v>0.0</v>
      </c>
      <c r="P409" s="849">
        <v>0.0</v>
      </c>
      <c r="Q409" s="849">
        <v>0.0</v>
      </c>
      <c r="R409" s="849">
        <v>0.0</v>
      </c>
      <c r="S409" s="849">
        <v>0.0</v>
      </c>
      <c r="T409" s="849">
        <v>0.0</v>
      </c>
      <c r="U409" s="849">
        <v>0.0</v>
      </c>
      <c r="V409" s="849">
        <v>0.0</v>
      </c>
      <c r="W409" s="849">
        <v>0.0</v>
      </c>
      <c r="X409" s="849">
        <v>0.0</v>
      </c>
      <c r="Y409" s="849">
        <v>0.0</v>
      </c>
      <c r="Z409" s="849">
        <v>0.0</v>
      </c>
      <c r="AA409" s="849">
        <v>0.0</v>
      </c>
      <c r="AB409" s="849">
        <v>0.0</v>
      </c>
      <c r="AC409" s="849">
        <v>0.0</v>
      </c>
      <c r="AD409" s="849">
        <v>0.0</v>
      </c>
      <c r="AE409" s="849">
        <v>0.0</v>
      </c>
      <c r="AF409" s="849">
        <v>0.0</v>
      </c>
      <c r="AG409" s="849">
        <v>0.0</v>
      </c>
      <c r="AH409" s="849">
        <v>0.0</v>
      </c>
      <c r="AI409" s="849">
        <v>0.0</v>
      </c>
      <c r="AJ409" s="794" t="str">
        <f t="shared" ref="AJ409:AK409" si="815">C409</f>
        <v>G22200</v>
      </c>
      <c r="AK409" s="794" t="str">
        <f t="shared" si="815"/>
        <v>TPS/CTI/ACHAT/VEHICULE</v>
      </c>
      <c r="AL409" s="794">
        <f t="array" ref="AL409">IFERROR(INDEX(G409:R409,1,MATCH(Parametres!$B$3,G$1:R$1,0)-1)*IF(OR(F409="L",F409="S",F409="I"),-1,1),"")</f>
        <v>0</v>
      </c>
      <c r="AM409" s="794">
        <f t="shared" si="4"/>
        <v>0</v>
      </c>
      <c r="AN409" s="794">
        <f t="array" ref="AN409">INDEX(G409:R409,1,MATCH(Parametres!$B$3,G$1:R$1,0))*IF(OR(F409="L",F409="S",F409="I"),-1,1)</f>
        <v>0</v>
      </c>
      <c r="AO409" s="853" t="str">
        <f>+VLOOKUP($AJ409,Data_Validation!$A:$D,1,0)</f>
        <v>#N/A</v>
      </c>
      <c r="AP409" s="853" t="str">
        <f>+VLOOKUP($AJ409,Data_Validation!$A:$D,3,0)</f>
        <v>#N/A</v>
      </c>
      <c r="AQ409" s="853" t="str">
        <f>+VLOOKUP($AJ409,Data_Validation!$A:$D,4,0)</f>
        <v>#N/A</v>
      </c>
      <c r="AR409" s="853" t="s">
        <v>728</v>
      </c>
      <c r="AS409" s="853" t="str">
        <f>+VLOOKUP($AJ409,Data_Validation!$A:$E,5,0)</f>
        <v>#N/A</v>
      </c>
      <c r="AT409" s="794" t="str">
        <f t="shared" ref="AT409:AU409" si="816">C409</f>
        <v>G22200</v>
      </c>
      <c r="AU409" s="854" t="str">
        <f t="shared" si="816"/>
        <v>TPS/CTI/ACHAT/VEHICULE</v>
      </c>
      <c r="AV409" s="794">
        <f t="array" ref="AV409">IFERROR(INDEX(V409:AG409,1,MATCH(Parametres!$B$3,V$1:AG$1,0)-1)*IF(OR(C409="L",C409="S",C409="I"),-1,1),"")</f>
        <v>0</v>
      </c>
      <c r="AW409" s="794">
        <f t="shared" si="6"/>
        <v>0</v>
      </c>
      <c r="AX409" s="794">
        <f t="array" ref="AX409">INDEX(V409:AG409,1,MATCH(Parametres!$B$3,V$1:AG$1,0))*IF(OR(C409="L",C409="S",C409="I"),-1,1)</f>
        <v>0</v>
      </c>
      <c r="AY409" s="853" t="s">
        <v>772</v>
      </c>
      <c r="AZ409" s="853" t="str">
        <f>+VLOOKUP($AJ409,Data_Validation!$A:$E,5,0)</f>
        <v>#N/A</v>
      </c>
    </row>
    <row r="410" ht="15.75" customHeight="1">
      <c r="A410" s="849" t="s">
        <v>1239</v>
      </c>
      <c r="B410" s="849">
        <v>2026.0</v>
      </c>
      <c r="C410" s="849" t="s">
        <v>2043</v>
      </c>
      <c r="D410" s="849" t="s">
        <v>2044</v>
      </c>
      <c r="E410" s="849" t="s">
        <v>768</v>
      </c>
      <c r="F410" s="849" t="s">
        <v>1926</v>
      </c>
      <c r="G410" s="849">
        <v>0.0</v>
      </c>
      <c r="H410" s="849">
        <v>0.0</v>
      </c>
      <c r="I410" s="849">
        <v>952463.29</v>
      </c>
      <c r="J410" s="849">
        <v>952463.29</v>
      </c>
      <c r="K410" s="849">
        <v>952463.29</v>
      </c>
      <c r="L410" s="849">
        <v>952463.29</v>
      </c>
      <c r="M410" s="849">
        <v>952463.29</v>
      </c>
      <c r="N410" s="849">
        <v>952463.29</v>
      </c>
      <c r="O410" s="849">
        <v>952468.87</v>
      </c>
      <c r="P410" s="849">
        <v>952468.87</v>
      </c>
      <c r="Q410" s="849">
        <v>0.0</v>
      </c>
      <c r="R410" s="849">
        <v>0.0</v>
      </c>
      <c r="S410" s="849">
        <v>0.0</v>
      </c>
      <c r="T410" s="849">
        <v>0.0</v>
      </c>
      <c r="U410" s="849">
        <v>0.0</v>
      </c>
      <c r="V410" s="849">
        <v>0.0</v>
      </c>
      <c r="W410" s="849">
        <v>0.0</v>
      </c>
      <c r="X410" s="849">
        <v>0.0</v>
      </c>
      <c r="Y410" s="849">
        <v>0.0</v>
      </c>
      <c r="Z410" s="849">
        <v>0.0</v>
      </c>
      <c r="AA410" s="849">
        <v>0.0</v>
      </c>
      <c r="AB410" s="849">
        <v>0.0</v>
      </c>
      <c r="AC410" s="849">
        <v>0.0</v>
      </c>
      <c r="AD410" s="849">
        <v>0.0</v>
      </c>
      <c r="AE410" s="849">
        <v>0.0</v>
      </c>
      <c r="AF410" s="849">
        <v>0.0</v>
      </c>
      <c r="AG410" s="849">
        <v>0.0</v>
      </c>
      <c r="AH410" s="849">
        <v>0.0</v>
      </c>
      <c r="AI410" s="849">
        <v>0.0</v>
      </c>
      <c r="AJ410" s="794" t="str">
        <f t="shared" ref="AJ410:AK410" si="817">C410</f>
        <v>G22205</v>
      </c>
      <c r="AK410" s="794" t="str">
        <f t="shared" si="817"/>
        <v>AVANCE 17089147 INC</v>
      </c>
      <c r="AL410" s="794">
        <f t="array" ref="AL410">IFERROR(INDEX(G410:R410,1,MATCH(Parametres!$B$3,G$1:R$1,0)-1)*IF(OR(F410="L",F410="S",F410="I"),-1,1),"")</f>
        <v>952463.29</v>
      </c>
      <c r="AM410" s="794">
        <f t="shared" si="4"/>
        <v>5.58</v>
      </c>
      <c r="AN410" s="794">
        <f t="array" ref="AN410">INDEX(G410:R410,1,MATCH(Parametres!$B$3,G$1:R$1,0))*IF(OR(F410="L",F410="S",F410="I"),-1,1)</f>
        <v>952468.87</v>
      </c>
      <c r="AO410" s="853" t="str">
        <f>+VLOOKUP($AJ410,Data_Validation!$A:$D,1,0)</f>
        <v>G22205</v>
      </c>
      <c r="AP410" s="853" t="str">
        <f>+VLOOKUP($AJ410,Data_Validation!$A:$D,3,0)</f>
        <v>Bilan</v>
      </c>
      <c r="AQ410" s="853" t="str">
        <f>+VLOOKUP($AJ410,Data_Validation!$A:$D,4,0)</f>
        <v>Recevables Intercos</v>
      </c>
      <c r="AR410" s="853" t="s">
        <v>728</v>
      </c>
      <c r="AS410" s="853" t="str">
        <f>+VLOOKUP($AJ410,Data_Validation!$A:$E,5,0)</f>
        <v/>
      </c>
      <c r="AT410" s="794" t="str">
        <f t="shared" ref="AT410:AU410" si="818">C410</f>
        <v>G22205</v>
      </c>
      <c r="AU410" s="854" t="str">
        <f t="shared" si="818"/>
        <v>AVANCE 17089147 INC</v>
      </c>
      <c r="AV410" s="794">
        <f t="array" ref="AV410">IFERROR(INDEX(V410:AG410,1,MATCH(Parametres!$B$3,V$1:AG$1,0)-1)*IF(OR(C410="L",C410="S",C410="I"),-1,1),"")</f>
        <v>0</v>
      </c>
      <c r="AW410" s="794">
        <f t="shared" si="6"/>
        <v>0</v>
      </c>
      <c r="AX410" s="794">
        <f t="array" ref="AX410">INDEX(V410:AG410,1,MATCH(Parametres!$B$3,V$1:AG$1,0))*IF(OR(C410="L",C410="S",C410="I"),-1,1)</f>
        <v>0</v>
      </c>
      <c r="AY410" s="853" t="s">
        <v>772</v>
      </c>
      <c r="AZ410" s="853" t="str">
        <f>+VLOOKUP($AJ410,Data_Validation!$A:$E,5,0)</f>
        <v/>
      </c>
    </row>
    <row r="411" ht="15.75" customHeight="1">
      <c r="A411" s="849" t="s">
        <v>1239</v>
      </c>
      <c r="B411" s="849">
        <v>2026.0</v>
      </c>
      <c r="C411" s="849" t="s">
        <v>2045</v>
      </c>
      <c r="D411" s="849" t="s">
        <v>2046</v>
      </c>
      <c r="E411" s="849" t="s">
        <v>768</v>
      </c>
      <c r="F411" s="849" t="s">
        <v>1926</v>
      </c>
      <c r="G411" s="849">
        <v>0.0</v>
      </c>
      <c r="H411" s="849">
        <v>0.0</v>
      </c>
      <c r="I411" s="849">
        <v>2141282.0</v>
      </c>
      <c r="J411" s="849">
        <v>2141282.0</v>
      </c>
      <c r="K411" s="849">
        <v>2141282.0</v>
      </c>
      <c r="L411" s="849">
        <v>2141282.0</v>
      </c>
      <c r="M411" s="849">
        <v>2141282.0</v>
      </c>
      <c r="N411" s="849">
        <v>2141282.0</v>
      </c>
      <c r="O411" s="849">
        <v>2141282.0</v>
      </c>
      <c r="P411" s="849">
        <v>2141282.0</v>
      </c>
      <c r="Q411" s="849">
        <v>0.0</v>
      </c>
      <c r="R411" s="849">
        <v>0.0</v>
      </c>
      <c r="S411" s="849">
        <v>0.0</v>
      </c>
      <c r="T411" s="849">
        <v>0.0</v>
      </c>
      <c r="U411" s="849">
        <v>0.0</v>
      </c>
      <c r="V411" s="849">
        <v>0.0</v>
      </c>
      <c r="W411" s="849">
        <v>0.0</v>
      </c>
      <c r="X411" s="849">
        <v>0.0</v>
      </c>
      <c r="Y411" s="849">
        <v>0.0</v>
      </c>
      <c r="Z411" s="849">
        <v>0.0</v>
      </c>
      <c r="AA411" s="849">
        <v>0.0</v>
      </c>
      <c r="AB411" s="849">
        <v>0.0</v>
      </c>
      <c r="AC411" s="849">
        <v>0.0</v>
      </c>
      <c r="AD411" s="849">
        <v>0.0</v>
      </c>
      <c r="AE411" s="849">
        <v>0.0</v>
      </c>
      <c r="AF411" s="849">
        <v>0.0</v>
      </c>
      <c r="AG411" s="849">
        <v>0.0</v>
      </c>
      <c r="AH411" s="849">
        <v>0.0</v>
      </c>
      <c r="AI411" s="849">
        <v>0.0</v>
      </c>
      <c r="AJ411" s="794" t="str">
        <f t="shared" ref="AJ411:AK411" si="819">C411</f>
        <v>G22206</v>
      </c>
      <c r="AK411" s="794" t="str">
        <f t="shared" si="819"/>
        <v>AVANCE 9509-9016</v>
      </c>
      <c r="AL411" s="794">
        <f t="array" ref="AL411">IFERROR(INDEX(G411:R411,1,MATCH(Parametres!$B$3,G$1:R$1,0)-1)*IF(OR(F411="L",F411="S",F411="I"),-1,1),"")</f>
        <v>2141282</v>
      </c>
      <c r="AM411" s="794">
        <f t="shared" si="4"/>
        <v>0</v>
      </c>
      <c r="AN411" s="794">
        <f t="array" ref="AN411">INDEX(G411:R411,1,MATCH(Parametres!$B$3,G$1:R$1,0))*IF(OR(F411="L",F411="S",F411="I"),-1,1)</f>
        <v>2141282</v>
      </c>
      <c r="AO411" s="853" t="str">
        <f>+VLOOKUP($AJ411,Data_Validation!$A:$D,1,0)</f>
        <v>G22206</v>
      </c>
      <c r="AP411" s="853" t="str">
        <f>+VLOOKUP($AJ411,Data_Validation!$A:$D,3,0)</f>
        <v>Bilan</v>
      </c>
      <c r="AQ411" s="853" t="str">
        <f>+VLOOKUP($AJ411,Data_Validation!$A:$D,4,0)</f>
        <v>Recevables Intercos</v>
      </c>
      <c r="AR411" s="853" t="s">
        <v>728</v>
      </c>
      <c r="AS411" s="853" t="str">
        <f>+VLOOKUP($AJ411,Data_Validation!$A:$E,5,0)</f>
        <v/>
      </c>
      <c r="AT411" s="794" t="str">
        <f t="shared" ref="AT411:AU411" si="820">C411</f>
        <v>G22206</v>
      </c>
      <c r="AU411" s="854" t="str">
        <f t="shared" si="820"/>
        <v>AVANCE 9509-9016</v>
      </c>
      <c r="AV411" s="794">
        <f t="array" ref="AV411">IFERROR(INDEX(V411:AG411,1,MATCH(Parametres!$B$3,V$1:AG$1,0)-1)*IF(OR(C411="L",C411="S",C411="I"),-1,1),"")</f>
        <v>0</v>
      </c>
      <c r="AW411" s="794">
        <f t="shared" si="6"/>
        <v>0</v>
      </c>
      <c r="AX411" s="794">
        <f t="array" ref="AX411">INDEX(V411:AG411,1,MATCH(Parametres!$B$3,V$1:AG$1,0))*IF(OR(C411="L",C411="S",C411="I"),-1,1)</f>
        <v>0</v>
      </c>
      <c r="AY411" s="853" t="s">
        <v>772</v>
      </c>
      <c r="AZ411" s="853" t="str">
        <f>+VLOOKUP($AJ411,Data_Validation!$A:$E,5,0)</f>
        <v/>
      </c>
    </row>
    <row r="412" ht="15.75" customHeight="1">
      <c r="A412" s="849" t="s">
        <v>1239</v>
      </c>
      <c r="B412" s="849">
        <v>2026.0</v>
      </c>
      <c r="C412" s="849" t="s">
        <v>2047</v>
      </c>
      <c r="D412" s="849" t="s">
        <v>2048</v>
      </c>
      <c r="E412" s="849" t="s">
        <v>768</v>
      </c>
      <c r="F412" s="849" t="s">
        <v>1926</v>
      </c>
      <c r="G412" s="849">
        <v>0.0</v>
      </c>
      <c r="H412" s="849">
        <v>0.0</v>
      </c>
      <c r="I412" s="849">
        <v>0.0</v>
      </c>
      <c r="J412" s="849">
        <v>0.0</v>
      </c>
      <c r="K412" s="849">
        <v>0.0</v>
      </c>
      <c r="L412" s="849">
        <v>0.0</v>
      </c>
      <c r="M412" s="849">
        <v>0.0</v>
      </c>
      <c r="N412" s="849">
        <v>0.0</v>
      </c>
      <c r="O412" s="849">
        <v>0.0</v>
      </c>
      <c r="P412" s="849">
        <v>0.0</v>
      </c>
      <c r="Q412" s="849">
        <v>0.0</v>
      </c>
      <c r="R412" s="849">
        <v>0.0</v>
      </c>
      <c r="S412" s="849">
        <v>0.0</v>
      </c>
      <c r="T412" s="849">
        <v>0.0</v>
      </c>
      <c r="U412" s="849">
        <v>0.0</v>
      </c>
      <c r="V412" s="849">
        <v>0.0</v>
      </c>
      <c r="W412" s="849">
        <v>0.0</v>
      </c>
      <c r="X412" s="849">
        <v>0.0</v>
      </c>
      <c r="Y412" s="849">
        <v>0.0</v>
      </c>
      <c r="Z412" s="849">
        <v>0.0</v>
      </c>
      <c r="AA412" s="849">
        <v>0.0</v>
      </c>
      <c r="AB412" s="849">
        <v>0.0</v>
      </c>
      <c r="AC412" s="849">
        <v>0.0</v>
      </c>
      <c r="AD412" s="849">
        <v>0.0</v>
      </c>
      <c r="AE412" s="849">
        <v>0.0</v>
      </c>
      <c r="AF412" s="849">
        <v>0.0</v>
      </c>
      <c r="AG412" s="849">
        <v>0.0</v>
      </c>
      <c r="AH412" s="849">
        <v>0.0</v>
      </c>
      <c r="AI412" s="849">
        <v>0.0</v>
      </c>
      <c r="AJ412" s="794" t="str">
        <f t="shared" ref="AJ412:AK412" si="821">C412</f>
        <v>G22210</v>
      </c>
      <c r="AK412" s="794" t="str">
        <f t="shared" si="821"/>
        <v>INTERCO 15814251 CANADA</v>
      </c>
      <c r="AL412" s="794">
        <f t="array" ref="AL412">IFERROR(INDEX(G412:R412,1,MATCH(Parametres!$B$3,G$1:R$1,0)-1)*IF(OR(F412="L",F412="S",F412="I"),-1,1),"")</f>
        <v>0</v>
      </c>
      <c r="AM412" s="794">
        <f t="shared" si="4"/>
        <v>0</v>
      </c>
      <c r="AN412" s="794">
        <f t="array" ref="AN412">INDEX(G412:R412,1,MATCH(Parametres!$B$3,G$1:R$1,0))*IF(OR(F412="L",F412="S",F412="I"),-1,1)</f>
        <v>0</v>
      </c>
      <c r="AO412" s="853" t="str">
        <f>+VLOOKUP($AJ412,Data_Validation!$A:$D,1,0)</f>
        <v>G22210</v>
      </c>
      <c r="AP412" s="853" t="str">
        <f>+VLOOKUP($AJ412,Data_Validation!$A:$D,3,0)</f>
        <v/>
      </c>
      <c r="AQ412" s="853" t="str">
        <f>+VLOOKUP($AJ412,Data_Validation!$A:$D,4,0)</f>
        <v/>
      </c>
      <c r="AR412" s="853" t="s">
        <v>728</v>
      </c>
      <c r="AS412" s="853" t="str">
        <f>+VLOOKUP($AJ412,Data_Validation!$A:$E,5,0)</f>
        <v/>
      </c>
      <c r="AT412" s="794" t="str">
        <f t="shared" ref="AT412:AU412" si="822">C412</f>
        <v>G22210</v>
      </c>
      <c r="AU412" s="854" t="str">
        <f t="shared" si="822"/>
        <v>INTERCO 15814251 CANADA</v>
      </c>
      <c r="AV412" s="794">
        <f t="array" ref="AV412">IFERROR(INDEX(V412:AG412,1,MATCH(Parametres!$B$3,V$1:AG$1,0)-1)*IF(OR(C412="L",C412="S",C412="I"),-1,1),"")</f>
        <v>0</v>
      </c>
      <c r="AW412" s="794">
        <f t="shared" si="6"/>
        <v>0</v>
      </c>
      <c r="AX412" s="794">
        <f t="array" ref="AX412">INDEX(V412:AG412,1,MATCH(Parametres!$B$3,V$1:AG$1,0))*IF(OR(C412="L",C412="S",C412="I"),-1,1)</f>
        <v>0</v>
      </c>
      <c r="AY412" s="853" t="s">
        <v>772</v>
      </c>
      <c r="AZ412" s="853" t="str">
        <f>+VLOOKUP($AJ412,Data_Validation!$A:$E,5,0)</f>
        <v/>
      </c>
    </row>
    <row r="413" ht="15.75" customHeight="1">
      <c r="A413" s="849" t="s">
        <v>1239</v>
      </c>
      <c r="B413" s="849">
        <v>2026.0</v>
      </c>
      <c r="C413" s="849" t="s">
        <v>2049</v>
      </c>
      <c r="D413" s="849" t="s">
        <v>2050</v>
      </c>
      <c r="E413" s="849" t="s">
        <v>768</v>
      </c>
      <c r="F413" s="849" t="s">
        <v>1926</v>
      </c>
      <c r="G413" s="849">
        <v>5785742.06</v>
      </c>
      <c r="H413" s="849">
        <v>5785742.06</v>
      </c>
      <c r="I413" s="849">
        <v>5785742.06</v>
      </c>
      <c r="J413" s="849">
        <v>5785742.06</v>
      </c>
      <c r="K413" s="849">
        <v>5785742.06</v>
      </c>
      <c r="L413" s="849">
        <v>4785742.06</v>
      </c>
      <c r="M413" s="849">
        <v>-714257.94</v>
      </c>
      <c r="N413" s="849">
        <v>-714257.94</v>
      </c>
      <c r="O413" s="849">
        <v>-714257.94</v>
      </c>
      <c r="P413" s="849">
        <v>-714257.94</v>
      </c>
      <c r="Q413" s="849">
        <v>0.0</v>
      </c>
      <c r="R413" s="849">
        <v>0.0</v>
      </c>
      <c r="S413" s="849">
        <v>0.0</v>
      </c>
      <c r="T413" s="849">
        <v>0.0</v>
      </c>
      <c r="U413" s="849">
        <v>0.0</v>
      </c>
      <c r="V413" s="849">
        <v>0.0</v>
      </c>
      <c r="W413" s="849">
        <v>0.0</v>
      </c>
      <c r="X413" s="849">
        <v>0.0</v>
      </c>
      <c r="Y413" s="849">
        <v>0.0</v>
      </c>
      <c r="Z413" s="849">
        <v>0.0</v>
      </c>
      <c r="AA413" s="849">
        <v>0.0</v>
      </c>
      <c r="AB413" s="849">
        <v>0.0</v>
      </c>
      <c r="AC413" s="849">
        <v>0.0</v>
      </c>
      <c r="AD413" s="849">
        <v>0.0</v>
      </c>
      <c r="AE413" s="849">
        <v>0.0</v>
      </c>
      <c r="AF413" s="849">
        <v>0.0</v>
      </c>
      <c r="AG413" s="849">
        <v>0.0</v>
      </c>
      <c r="AH413" s="849">
        <v>0.0</v>
      </c>
      <c r="AI413" s="849">
        <v>0.0</v>
      </c>
      <c r="AJ413" s="794" t="str">
        <f t="shared" ref="AJ413:AK413" si="823">C413</f>
        <v>G22211</v>
      </c>
      <c r="AK413" s="794" t="str">
        <f t="shared" si="823"/>
        <v>AVANCE HYUNDAI LONGUEUIL</v>
      </c>
      <c r="AL413" s="794">
        <f t="array" ref="AL413">IFERROR(INDEX(G413:R413,1,MATCH(Parametres!$B$3,G$1:R$1,0)-1)*IF(OR(F413="L",F413="S",F413="I"),-1,1),"")</f>
        <v>-714257.94</v>
      </c>
      <c r="AM413" s="794">
        <f t="shared" si="4"/>
        <v>0</v>
      </c>
      <c r="AN413" s="794">
        <f t="array" ref="AN413">INDEX(G413:R413,1,MATCH(Parametres!$B$3,G$1:R$1,0))*IF(OR(F413="L",F413="S",F413="I"),-1,1)</f>
        <v>-714257.94</v>
      </c>
      <c r="AO413" s="853" t="str">
        <f>+VLOOKUP($AJ413,Data_Validation!$A:$D,1,0)</f>
        <v>G22211</v>
      </c>
      <c r="AP413" s="853" t="str">
        <f>+VLOOKUP($AJ413,Data_Validation!$A:$D,3,0)</f>
        <v>Bilan</v>
      </c>
      <c r="AQ413" s="853" t="str">
        <f>+VLOOKUP($AJ413,Data_Validation!$A:$D,4,0)</f>
        <v>Recevables Intercos</v>
      </c>
      <c r="AR413" s="853" t="s">
        <v>728</v>
      </c>
      <c r="AS413" s="853" t="str">
        <f>+VLOOKUP($AJ413,Data_Validation!$A:$E,5,0)</f>
        <v/>
      </c>
      <c r="AT413" s="794" t="str">
        <f t="shared" ref="AT413:AU413" si="824">C413</f>
        <v>G22211</v>
      </c>
      <c r="AU413" s="854" t="str">
        <f t="shared" si="824"/>
        <v>AVANCE HYUNDAI LONGUEUIL</v>
      </c>
      <c r="AV413" s="794">
        <f t="array" ref="AV413">IFERROR(INDEX(V413:AG413,1,MATCH(Parametres!$B$3,V$1:AG$1,0)-1)*IF(OR(C413="L",C413="S",C413="I"),-1,1),"")</f>
        <v>0</v>
      </c>
      <c r="AW413" s="794">
        <f t="shared" si="6"/>
        <v>0</v>
      </c>
      <c r="AX413" s="794">
        <f t="array" ref="AX413">INDEX(V413:AG413,1,MATCH(Parametres!$B$3,V$1:AG$1,0))*IF(OR(C413="L",C413="S",C413="I"),-1,1)</f>
        <v>0</v>
      </c>
      <c r="AY413" s="853" t="s">
        <v>772</v>
      </c>
      <c r="AZ413" s="853" t="str">
        <f>+VLOOKUP($AJ413,Data_Validation!$A:$E,5,0)</f>
        <v/>
      </c>
    </row>
    <row r="414" ht="15.75" customHeight="1">
      <c r="A414" s="849" t="s">
        <v>1239</v>
      </c>
      <c r="B414" s="849">
        <v>2026.0</v>
      </c>
      <c r="C414" s="849" t="s">
        <v>2051</v>
      </c>
      <c r="D414" s="849" t="s">
        <v>2052</v>
      </c>
      <c r="E414" s="849" t="s">
        <v>768</v>
      </c>
      <c r="F414" s="849" t="s">
        <v>1926</v>
      </c>
      <c r="G414" s="849">
        <v>0.0</v>
      </c>
      <c r="H414" s="849">
        <v>0.0</v>
      </c>
      <c r="I414" s="849">
        <v>0.0</v>
      </c>
      <c r="J414" s="849">
        <v>0.0</v>
      </c>
      <c r="K414" s="849">
        <v>0.0</v>
      </c>
      <c r="L414" s="849">
        <v>0.0</v>
      </c>
      <c r="M414" s="849">
        <v>-5633.78</v>
      </c>
      <c r="N414" s="849">
        <v>-5633.78</v>
      </c>
      <c r="O414" s="849">
        <v>-5633.78</v>
      </c>
      <c r="P414" s="849">
        <v>-5633.78</v>
      </c>
      <c r="Q414" s="849">
        <v>0.0</v>
      </c>
      <c r="R414" s="849">
        <v>0.0</v>
      </c>
      <c r="S414" s="849">
        <v>0.0</v>
      </c>
      <c r="T414" s="849">
        <v>0.0</v>
      </c>
      <c r="U414" s="849">
        <v>0.0</v>
      </c>
      <c r="V414" s="849">
        <v>0.0</v>
      </c>
      <c r="W414" s="849">
        <v>0.0</v>
      </c>
      <c r="X414" s="849">
        <v>0.0</v>
      </c>
      <c r="Y414" s="849">
        <v>0.0</v>
      </c>
      <c r="Z414" s="849">
        <v>0.0</v>
      </c>
      <c r="AA414" s="849">
        <v>0.0</v>
      </c>
      <c r="AB414" s="849">
        <v>0.0</v>
      </c>
      <c r="AC414" s="849">
        <v>0.0</v>
      </c>
      <c r="AD414" s="849">
        <v>0.0</v>
      </c>
      <c r="AE414" s="849">
        <v>0.0</v>
      </c>
      <c r="AF414" s="849">
        <v>0.0</v>
      </c>
      <c r="AG414" s="849">
        <v>0.0</v>
      </c>
      <c r="AH414" s="849">
        <v>0.0</v>
      </c>
      <c r="AI414" s="849">
        <v>0.0</v>
      </c>
      <c r="AJ414" s="794" t="str">
        <f t="shared" ref="AJ414:AK414" si="825">C414</f>
        <v>G22212</v>
      </c>
      <c r="AK414" s="794" t="str">
        <f t="shared" si="825"/>
        <v>INTERCO 9510-1309 QC INC</v>
      </c>
      <c r="AL414" s="794">
        <f t="array" ref="AL414">IFERROR(INDEX(G414:R414,1,MATCH(Parametres!$B$3,G$1:R$1,0)-1)*IF(OR(F414="L",F414="S",F414="I"),-1,1),"")</f>
        <v>-5633.78</v>
      </c>
      <c r="AM414" s="794">
        <f t="shared" si="4"/>
        <v>0</v>
      </c>
      <c r="AN414" s="794">
        <f t="array" ref="AN414">INDEX(G414:R414,1,MATCH(Parametres!$B$3,G$1:R$1,0))*IF(OR(F414="L",F414="S",F414="I"),-1,1)</f>
        <v>-5633.78</v>
      </c>
      <c r="AO414" s="853" t="str">
        <f>+VLOOKUP($AJ414,Data_Validation!$A:$D,1,0)</f>
        <v>G22212</v>
      </c>
      <c r="AP414" s="853" t="str">
        <f>+VLOOKUP($AJ414,Data_Validation!$A:$D,3,0)</f>
        <v>Bilan</v>
      </c>
      <c r="AQ414" s="853" t="str">
        <f>+VLOOKUP($AJ414,Data_Validation!$A:$D,4,0)</f>
        <v>Recevables Véhicules</v>
      </c>
      <c r="AR414" s="853" t="s">
        <v>728</v>
      </c>
      <c r="AS414" s="853" t="str">
        <f>+VLOOKUP($AJ414,Data_Validation!$A:$E,5,0)</f>
        <v/>
      </c>
      <c r="AT414" s="794" t="str">
        <f t="shared" ref="AT414:AU414" si="826">C414</f>
        <v>G22212</v>
      </c>
      <c r="AU414" s="854" t="str">
        <f t="shared" si="826"/>
        <v>INTERCO 9510-1309 QC INC</v>
      </c>
      <c r="AV414" s="794">
        <f t="array" ref="AV414">IFERROR(INDEX(V414:AG414,1,MATCH(Parametres!$B$3,V$1:AG$1,0)-1)*IF(OR(C414="L",C414="S",C414="I"),-1,1),"")</f>
        <v>0</v>
      </c>
      <c r="AW414" s="794">
        <f t="shared" si="6"/>
        <v>0</v>
      </c>
      <c r="AX414" s="794">
        <f t="array" ref="AX414">INDEX(V414:AG414,1,MATCH(Parametres!$B$3,V$1:AG$1,0))*IF(OR(C414="L",C414="S",C414="I"),-1,1)</f>
        <v>0</v>
      </c>
      <c r="AY414" s="853" t="s">
        <v>772</v>
      </c>
      <c r="AZ414" s="853" t="str">
        <f>+VLOOKUP($AJ414,Data_Validation!$A:$E,5,0)</f>
        <v/>
      </c>
    </row>
    <row r="415" ht="15.75" customHeight="1">
      <c r="A415" s="849" t="s">
        <v>1239</v>
      </c>
      <c r="B415" s="849">
        <v>2026.0</v>
      </c>
      <c r="C415" s="849" t="s">
        <v>2053</v>
      </c>
      <c r="D415" s="849" t="s">
        <v>2054</v>
      </c>
      <c r="E415" s="849" t="s">
        <v>768</v>
      </c>
      <c r="F415" s="849" t="s">
        <v>1926</v>
      </c>
      <c r="G415" s="849">
        <v>0.0</v>
      </c>
      <c r="H415" s="849">
        <v>0.0</v>
      </c>
      <c r="I415" s="849">
        <v>0.0</v>
      </c>
      <c r="J415" s="849">
        <v>0.0</v>
      </c>
      <c r="K415" s="849">
        <v>0.0</v>
      </c>
      <c r="L415" s="849">
        <v>0.0</v>
      </c>
      <c r="M415" s="849">
        <v>40241.25</v>
      </c>
      <c r="N415" s="849">
        <v>40241.25</v>
      </c>
      <c r="O415" s="849">
        <v>40241.25</v>
      </c>
      <c r="P415" s="849">
        <v>40241.25</v>
      </c>
      <c r="Q415" s="849">
        <v>0.0</v>
      </c>
      <c r="R415" s="849">
        <v>0.0</v>
      </c>
      <c r="S415" s="849">
        <v>0.0</v>
      </c>
      <c r="T415" s="849">
        <v>0.0</v>
      </c>
      <c r="U415" s="849">
        <v>0.0</v>
      </c>
      <c r="V415" s="849">
        <v>0.0</v>
      </c>
      <c r="W415" s="849">
        <v>0.0</v>
      </c>
      <c r="X415" s="849">
        <v>0.0</v>
      </c>
      <c r="Y415" s="849">
        <v>0.0</v>
      </c>
      <c r="Z415" s="849">
        <v>0.0</v>
      </c>
      <c r="AA415" s="849">
        <v>0.0</v>
      </c>
      <c r="AB415" s="849">
        <v>0.0</v>
      </c>
      <c r="AC415" s="849">
        <v>0.0</v>
      </c>
      <c r="AD415" s="849">
        <v>0.0</v>
      </c>
      <c r="AE415" s="849">
        <v>0.0</v>
      </c>
      <c r="AF415" s="849">
        <v>0.0</v>
      </c>
      <c r="AG415" s="849">
        <v>0.0</v>
      </c>
      <c r="AH415" s="849">
        <v>0.0</v>
      </c>
      <c r="AI415" s="849">
        <v>0.0</v>
      </c>
      <c r="AJ415" s="794" t="str">
        <f t="shared" ref="AJ415:AK415" si="827">C415</f>
        <v>G22213</v>
      </c>
      <c r="AK415" s="794" t="str">
        <f t="shared" si="827"/>
        <v>INTERCO 9509-9016 QC INC</v>
      </c>
      <c r="AL415" s="794">
        <f t="array" ref="AL415">IFERROR(INDEX(G415:R415,1,MATCH(Parametres!$B$3,G$1:R$1,0)-1)*IF(OR(F415="L",F415="S",F415="I"),-1,1),"")</f>
        <v>40241.25</v>
      </c>
      <c r="AM415" s="794">
        <f t="shared" si="4"/>
        <v>0</v>
      </c>
      <c r="AN415" s="794">
        <f t="array" ref="AN415">INDEX(G415:R415,1,MATCH(Parametres!$B$3,G$1:R$1,0))*IF(OR(F415="L",F415="S",F415="I"),-1,1)</f>
        <v>40241.25</v>
      </c>
      <c r="AO415" s="853" t="str">
        <f>+VLOOKUP($AJ415,Data_Validation!$A:$D,1,0)</f>
        <v>G22213</v>
      </c>
      <c r="AP415" s="853" t="str">
        <f>+VLOOKUP($AJ415,Data_Validation!$A:$D,3,0)</f>
        <v>Bilan</v>
      </c>
      <c r="AQ415" s="853" t="str">
        <f>+VLOOKUP($AJ415,Data_Validation!$A:$D,4,0)</f>
        <v>Recevables Véhicules</v>
      </c>
      <c r="AR415" s="853" t="s">
        <v>728</v>
      </c>
      <c r="AS415" s="853" t="str">
        <f>+VLOOKUP($AJ415,Data_Validation!$A:$E,5,0)</f>
        <v/>
      </c>
      <c r="AT415" s="794" t="str">
        <f t="shared" ref="AT415:AU415" si="828">C415</f>
        <v>G22213</v>
      </c>
      <c r="AU415" s="854" t="str">
        <f t="shared" si="828"/>
        <v>INTERCO 9509-9016 QC INC</v>
      </c>
      <c r="AV415" s="794">
        <f t="array" ref="AV415">IFERROR(INDEX(V415:AG415,1,MATCH(Parametres!$B$3,V$1:AG$1,0)-1)*IF(OR(C415="L",C415="S",C415="I"),-1,1),"")</f>
        <v>0</v>
      </c>
      <c r="AW415" s="794">
        <f t="shared" si="6"/>
        <v>0</v>
      </c>
      <c r="AX415" s="794">
        <f t="array" ref="AX415">INDEX(V415:AG415,1,MATCH(Parametres!$B$3,V$1:AG$1,0))*IF(OR(C415="L",C415="S",C415="I"),-1,1)</f>
        <v>0</v>
      </c>
      <c r="AY415" s="853" t="s">
        <v>772</v>
      </c>
      <c r="AZ415" s="853" t="str">
        <f>+VLOOKUP($AJ415,Data_Validation!$A:$E,5,0)</f>
        <v/>
      </c>
    </row>
    <row r="416" ht="15.75" customHeight="1">
      <c r="A416" s="849" t="s">
        <v>1239</v>
      </c>
      <c r="B416" s="849">
        <v>2026.0</v>
      </c>
      <c r="C416" s="849" t="s">
        <v>2055</v>
      </c>
      <c r="D416" s="849" t="s">
        <v>2056</v>
      </c>
      <c r="E416" s="849" t="s">
        <v>2057</v>
      </c>
      <c r="F416" s="849" t="s">
        <v>1926</v>
      </c>
      <c r="G416" s="849">
        <v>0.0</v>
      </c>
      <c r="H416" s="849">
        <v>0.0</v>
      </c>
      <c r="I416" s="849">
        <v>0.0</v>
      </c>
      <c r="J416" s="849">
        <v>0.0</v>
      </c>
      <c r="K416" s="849">
        <v>0.0</v>
      </c>
      <c r="L416" s="849">
        <v>0.0</v>
      </c>
      <c r="M416" s="849">
        <v>0.0</v>
      </c>
      <c r="N416" s="849">
        <v>0.0</v>
      </c>
      <c r="O416" s="849">
        <v>0.0</v>
      </c>
      <c r="P416" s="849">
        <v>0.0</v>
      </c>
      <c r="Q416" s="849">
        <v>0.0</v>
      </c>
      <c r="R416" s="849">
        <v>0.0</v>
      </c>
      <c r="S416" s="849">
        <v>0.0</v>
      </c>
      <c r="T416" s="849">
        <v>0.0</v>
      </c>
      <c r="U416" s="849">
        <v>0.0</v>
      </c>
      <c r="V416" s="849">
        <v>0.0</v>
      </c>
      <c r="W416" s="849">
        <v>0.0</v>
      </c>
      <c r="X416" s="849">
        <v>0.0</v>
      </c>
      <c r="Y416" s="849">
        <v>0.0</v>
      </c>
      <c r="Z416" s="849">
        <v>0.0</v>
      </c>
      <c r="AA416" s="849">
        <v>0.0</v>
      </c>
      <c r="AB416" s="849">
        <v>0.0</v>
      </c>
      <c r="AC416" s="849">
        <v>0.0</v>
      </c>
      <c r="AD416" s="849">
        <v>0.0</v>
      </c>
      <c r="AE416" s="849">
        <v>0.0</v>
      </c>
      <c r="AF416" s="849">
        <v>0.0</v>
      </c>
      <c r="AG416" s="849">
        <v>0.0</v>
      </c>
      <c r="AH416" s="849">
        <v>0.0</v>
      </c>
      <c r="AI416" s="849">
        <v>0.0</v>
      </c>
      <c r="AJ416" s="794" t="str">
        <f t="shared" ref="AJ416:AK416" si="829">C416</f>
        <v>G22500</v>
      </c>
      <c r="AK416" s="794" t="str">
        <f t="shared" si="829"/>
        <v>VENTES PAYES COMPTANT</v>
      </c>
      <c r="AL416" s="794">
        <f t="array" ref="AL416">IFERROR(INDEX(G416:R416,1,MATCH(Parametres!$B$3,G$1:R$1,0)-1)*IF(OR(F416="L",F416="S",F416="I"),-1,1),"")</f>
        <v>0</v>
      </c>
      <c r="AM416" s="794">
        <f t="shared" si="4"/>
        <v>0</v>
      </c>
      <c r="AN416" s="794">
        <f t="array" ref="AN416">INDEX(G416:R416,1,MATCH(Parametres!$B$3,G$1:R$1,0))*IF(OR(F416="L",F416="S",F416="I"),-1,1)</f>
        <v>0</v>
      </c>
      <c r="AO416" s="853" t="str">
        <f>+VLOOKUP($AJ416,Data_Validation!$A:$D,1,0)</f>
        <v>#N/A</v>
      </c>
      <c r="AP416" s="853" t="str">
        <f>+VLOOKUP($AJ416,Data_Validation!$A:$D,3,0)</f>
        <v>#N/A</v>
      </c>
      <c r="AQ416" s="853" t="str">
        <f>+VLOOKUP($AJ416,Data_Validation!$A:$D,4,0)</f>
        <v>#N/A</v>
      </c>
      <c r="AR416" s="853" t="s">
        <v>728</v>
      </c>
      <c r="AS416" s="853" t="str">
        <f>+VLOOKUP($AJ416,Data_Validation!$A:$E,5,0)</f>
        <v>#N/A</v>
      </c>
      <c r="AT416" s="794" t="str">
        <f t="shared" ref="AT416:AU416" si="830">C416</f>
        <v>G22500</v>
      </c>
      <c r="AU416" s="854" t="str">
        <f t="shared" si="830"/>
        <v>VENTES PAYES COMPTANT</v>
      </c>
      <c r="AV416" s="794">
        <f t="array" ref="AV416">IFERROR(INDEX(V416:AG416,1,MATCH(Parametres!$B$3,V$1:AG$1,0)-1)*IF(OR(C416="L",C416="S",C416="I"),-1,1),"")</f>
        <v>0</v>
      </c>
      <c r="AW416" s="794">
        <f t="shared" si="6"/>
        <v>0</v>
      </c>
      <c r="AX416" s="794">
        <f t="array" ref="AX416">INDEX(V416:AG416,1,MATCH(Parametres!$B$3,V$1:AG$1,0))*IF(OR(C416="L",C416="S",C416="I"),-1,1)</f>
        <v>0</v>
      </c>
      <c r="AY416" s="853" t="s">
        <v>772</v>
      </c>
      <c r="AZ416" s="853" t="str">
        <f>+VLOOKUP($AJ416,Data_Validation!$A:$E,5,0)</f>
        <v>#N/A</v>
      </c>
    </row>
    <row r="417" ht="15.75" customHeight="1">
      <c r="A417" s="849" t="s">
        <v>1239</v>
      </c>
      <c r="B417" s="849">
        <v>2026.0</v>
      </c>
      <c r="C417" s="849" t="s">
        <v>2058</v>
      </c>
      <c r="D417" s="849" t="s">
        <v>2059</v>
      </c>
      <c r="E417" s="849" t="s">
        <v>1926</v>
      </c>
      <c r="F417" s="849" t="s">
        <v>1926</v>
      </c>
      <c r="G417" s="849">
        <v>0.0</v>
      </c>
      <c r="H417" s="849">
        <v>0.0</v>
      </c>
      <c r="I417" s="849">
        <v>0.0</v>
      </c>
      <c r="J417" s="849">
        <v>0.0</v>
      </c>
      <c r="K417" s="849">
        <v>0.01</v>
      </c>
      <c r="L417" s="849">
        <v>0.0</v>
      </c>
      <c r="M417" s="849">
        <v>0.0</v>
      </c>
      <c r="N417" s="849">
        <v>0.0</v>
      </c>
      <c r="O417" s="849">
        <v>0.0</v>
      </c>
      <c r="P417" s="849">
        <v>0.0</v>
      </c>
      <c r="Q417" s="849">
        <v>0.0</v>
      </c>
      <c r="R417" s="849">
        <v>0.0</v>
      </c>
      <c r="S417" s="849">
        <v>0.0</v>
      </c>
      <c r="T417" s="849">
        <v>0.0</v>
      </c>
      <c r="U417" s="849">
        <v>0.0</v>
      </c>
      <c r="V417" s="849">
        <v>0.0</v>
      </c>
      <c r="W417" s="849">
        <v>0.0</v>
      </c>
      <c r="X417" s="849">
        <v>0.0</v>
      </c>
      <c r="Y417" s="849">
        <v>0.0</v>
      </c>
      <c r="Z417" s="849">
        <v>0.0</v>
      </c>
      <c r="AA417" s="849">
        <v>0.0</v>
      </c>
      <c r="AB417" s="849">
        <v>0.0</v>
      </c>
      <c r="AC417" s="849">
        <v>0.0</v>
      </c>
      <c r="AD417" s="849">
        <v>0.0</v>
      </c>
      <c r="AE417" s="849">
        <v>0.0</v>
      </c>
      <c r="AF417" s="849">
        <v>0.0</v>
      </c>
      <c r="AG417" s="849">
        <v>0.0</v>
      </c>
      <c r="AH417" s="849">
        <v>0.0</v>
      </c>
      <c r="AI417" s="849">
        <v>0.0</v>
      </c>
      <c r="AJ417" s="794" t="str">
        <f t="shared" ref="AJ417:AK417" si="831">C417</f>
        <v>G22501</v>
      </c>
      <c r="AK417" s="794" t="str">
        <f t="shared" si="831"/>
        <v>CASHC</v>
      </c>
      <c r="AL417" s="794">
        <f t="array" ref="AL417">IFERROR(INDEX(G417:R417,1,MATCH(Parametres!$B$3,G$1:R$1,0)-1)*IF(OR(F417="L",F417="S",F417="I"),-1,1),"")</f>
        <v>0</v>
      </c>
      <c r="AM417" s="794">
        <f t="shared" si="4"/>
        <v>0</v>
      </c>
      <c r="AN417" s="794">
        <f t="array" ref="AN417">INDEX(G417:R417,1,MATCH(Parametres!$B$3,G$1:R$1,0))*IF(OR(F417="L",F417="S",F417="I"),-1,1)</f>
        <v>0</v>
      </c>
      <c r="AO417" s="853" t="str">
        <f>+VLOOKUP($AJ417,Data_Validation!$A:$D,1,0)</f>
        <v>G22501</v>
      </c>
      <c r="AP417" s="853" t="str">
        <f>+VLOOKUP($AJ417,Data_Validation!$A:$D,3,0)</f>
        <v>Bilan</v>
      </c>
      <c r="AQ417" s="853" t="str">
        <f>+VLOOKUP($AJ417,Data_Validation!$A:$D,4,0)</f>
        <v>Encaisse</v>
      </c>
      <c r="AR417" s="853" t="s">
        <v>728</v>
      </c>
      <c r="AS417" s="853" t="str">
        <f>+VLOOKUP($AJ417,Data_Validation!$A:$E,5,0)</f>
        <v/>
      </c>
      <c r="AT417" s="794" t="str">
        <f t="shared" ref="AT417:AU417" si="832">C417</f>
        <v>G22501</v>
      </c>
      <c r="AU417" s="854" t="str">
        <f t="shared" si="832"/>
        <v>CASHC</v>
      </c>
      <c r="AV417" s="794">
        <f t="array" ref="AV417">IFERROR(INDEX(V417:AG417,1,MATCH(Parametres!$B$3,V$1:AG$1,0)-1)*IF(OR(C417="L",C417="S",C417="I"),-1,1),"")</f>
        <v>0</v>
      </c>
      <c r="AW417" s="794">
        <f t="shared" si="6"/>
        <v>0</v>
      </c>
      <c r="AX417" s="794">
        <f t="array" ref="AX417">INDEX(V417:AG417,1,MATCH(Parametres!$B$3,V$1:AG$1,0))*IF(OR(C417="L",C417="S",C417="I"),-1,1)</f>
        <v>0</v>
      </c>
      <c r="AY417" s="853" t="s">
        <v>772</v>
      </c>
      <c r="AZ417" s="853" t="str">
        <f>+VLOOKUP($AJ417,Data_Validation!$A:$E,5,0)</f>
        <v/>
      </c>
    </row>
    <row r="418" ht="15.75" customHeight="1">
      <c r="A418" s="849" t="s">
        <v>1239</v>
      </c>
      <c r="B418" s="849">
        <v>2026.0</v>
      </c>
      <c r="C418" s="849" t="s">
        <v>2060</v>
      </c>
      <c r="D418" s="849" t="s">
        <v>2061</v>
      </c>
      <c r="E418" s="849" t="s">
        <v>1926</v>
      </c>
      <c r="F418" s="849" t="s">
        <v>1926</v>
      </c>
      <c r="G418" s="849">
        <v>0.0</v>
      </c>
      <c r="H418" s="849">
        <v>0.0</v>
      </c>
      <c r="I418" s="849">
        <v>-87.33</v>
      </c>
      <c r="J418" s="849">
        <v>-394.17</v>
      </c>
      <c r="K418" s="849">
        <v>0.0</v>
      </c>
      <c r="L418" s="849">
        <v>0.0</v>
      </c>
      <c r="M418" s="849">
        <v>0.0</v>
      </c>
      <c r="N418" s="849">
        <v>0.0</v>
      </c>
      <c r="O418" s="849">
        <v>0.0</v>
      </c>
      <c r="P418" s="849">
        <v>0.0</v>
      </c>
      <c r="Q418" s="849">
        <v>0.0</v>
      </c>
      <c r="R418" s="849">
        <v>0.0</v>
      </c>
      <c r="S418" s="849">
        <v>0.0</v>
      </c>
      <c r="T418" s="849">
        <v>0.0</v>
      </c>
      <c r="U418" s="849">
        <v>0.0</v>
      </c>
      <c r="V418" s="849">
        <v>0.0</v>
      </c>
      <c r="W418" s="849">
        <v>0.0</v>
      </c>
      <c r="X418" s="849">
        <v>0.0</v>
      </c>
      <c r="Y418" s="849">
        <v>0.0</v>
      </c>
      <c r="Z418" s="849">
        <v>0.0</v>
      </c>
      <c r="AA418" s="849">
        <v>0.0</v>
      </c>
      <c r="AB418" s="849">
        <v>0.0</v>
      </c>
      <c r="AC418" s="849">
        <v>0.0</v>
      </c>
      <c r="AD418" s="849">
        <v>0.0</v>
      </c>
      <c r="AE418" s="849">
        <v>0.0</v>
      </c>
      <c r="AF418" s="849">
        <v>0.0</v>
      </c>
      <c r="AG418" s="849">
        <v>0.0</v>
      </c>
      <c r="AH418" s="849">
        <v>0.0</v>
      </c>
      <c r="AI418" s="849">
        <v>0.0</v>
      </c>
      <c r="AJ418" s="794" t="str">
        <f t="shared" ref="AJ418:AK418" si="833">C418</f>
        <v>G22502</v>
      </c>
      <c r="AK418" s="794" t="str">
        <f t="shared" si="833"/>
        <v>DEBIT/INTERAC</v>
      </c>
      <c r="AL418" s="794">
        <f t="array" ref="AL418">IFERROR(INDEX(G418:R418,1,MATCH(Parametres!$B$3,G$1:R$1,0)-1)*IF(OR(F418="L",F418="S",F418="I"),-1,1),"")</f>
        <v>0</v>
      </c>
      <c r="AM418" s="794">
        <f t="shared" si="4"/>
        <v>0</v>
      </c>
      <c r="AN418" s="794">
        <f t="array" ref="AN418">INDEX(G418:R418,1,MATCH(Parametres!$B$3,G$1:R$1,0))*IF(OR(F418="L",F418="S",F418="I"),-1,1)</f>
        <v>0</v>
      </c>
      <c r="AO418" s="853" t="str">
        <f>+VLOOKUP($AJ418,Data_Validation!$A:$D,1,0)</f>
        <v>G22502</v>
      </c>
      <c r="AP418" s="853" t="str">
        <f>+VLOOKUP($AJ418,Data_Validation!$A:$D,3,0)</f>
        <v>Bilan</v>
      </c>
      <c r="AQ418" s="853" t="str">
        <f>+VLOOKUP($AJ418,Data_Validation!$A:$D,4,0)</f>
        <v>Encaisse</v>
      </c>
      <c r="AR418" s="853" t="s">
        <v>728</v>
      </c>
      <c r="AS418" s="853" t="str">
        <f>+VLOOKUP($AJ418,Data_Validation!$A:$E,5,0)</f>
        <v/>
      </c>
      <c r="AT418" s="794" t="str">
        <f t="shared" ref="AT418:AU418" si="834">C418</f>
        <v>G22502</v>
      </c>
      <c r="AU418" s="854" t="str">
        <f t="shared" si="834"/>
        <v>DEBIT/INTERAC</v>
      </c>
      <c r="AV418" s="794">
        <f t="array" ref="AV418">IFERROR(INDEX(V418:AG418,1,MATCH(Parametres!$B$3,V$1:AG$1,0)-1)*IF(OR(C418="L",C418="S",C418="I"),-1,1),"")</f>
        <v>0</v>
      </c>
      <c r="AW418" s="794">
        <f t="shared" si="6"/>
        <v>0</v>
      </c>
      <c r="AX418" s="794">
        <f t="array" ref="AX418">INDEX(V418:AG418,1,MATCH(Parametres!$B$3,V$1:AG$1,0))*IF(OR(C418="L",C418="S",C418="I"),-1,1)</f>
        <v>0</v>
      </c>
      <c r="AY418" s="853" t="s">
        <v>772</v>
      </c>
      <c r="AZ418" s="853" t="str">
        <f>+VLOOKUP($AJ418,Data_Validation!$A:$E,5,0)</f>
        <v/>
      </c>
    </row>
    <row r="419" ht="15.75" customHeight="1">
      <c r="A419" s="849" t="s">
        <v>1239</v>
      </c>
      <c r="B419" s="849">
        <v>2026.0</v>
      </c>
      <c r="C419" s="849" t="s">
        <v>2062</v>
      </c>
      <c r="D419" s="849" t="s">
        <v>2063</v>
      </c>
      <c r="E419" s="849" t="s">
        <v>1926</v>
      </c>
      <c r="F419" s="849" t="s">
        <v>1926</v>
      </c>
      <c r="G419" s="849">
        <v>0.0</v>
      </c>
      <c r="H419" s="849">
        <v>0.0</v>
      </c>
      <c r="I419" s="849">
        <v>0.0</v>
      </c>
      <c r="J419" s="849">
        <v>0.0</v>
      </c>
      <c r="K419" s="849">
        <v>-229.95</v>
      </c>
      <c r="L419" s="849">
        <v>0.0</v>
      </c>
      <c r="M419" s="849">
        <v>0.0</v>
      </c>
      <c r="N419" s="849">
        <v>0.0</v>
      </c>
      <c r="O419" s="849">
        <v>0.0</v>
      </c>
      <c r="P419" s="849">
        <v>0.0</v>
      </c>
      <c r="Q419" s="849">
        <v>0.0</v>
      </c>
      <c r="R419" s="849">
        <v>0.0</v>
      </c>
      <c r="S419" s="849">
        <v>0.0</v>
      </c>
      <c r="T419" s="849">
        <v>0.0</v>
      </c>
      <c r="U419" s="849">
        <v>0.0</v>
      </c>
      <c r="V419" s="849">
        <v>0.0</v>
      </c>
      <c r="W419" s="849">
        <v>0.0</v>
      </c>
      <c r="X419" s="849">
        <v>0.0</v>
      </c>
      <c r="Y419" s="849">
        <v>0.0</v>
      </c>
      <c r="Z419" s="849">
        <v>0.0</v>
      </c>
      <c r="AA419" s="849">
        <v>0.0</v>
      </c>
      <c r="AB419" s="849">
        <v>0.0</v>
      </c>
      <c r="AC419" s="849">
        <v>0.0</v>
      </c>
      <c r="AD419" s="849">
        <v>0.0</v>
      </c>
      <c r="AE419" s="849">
        <v>0.0</v>
      </c>
      <c r="AF419" s="849">
        <v>0.0</v>
      </c>
      <c r="AG419" s="849">
        <v>0.0</v>
      </c>
      <c r="AH419" s="849">
        <v>0.0</v>
      </c>
      <c r="AI419" s="849">
        <v>0.0</v>
      </c>
      <c r="AJ419" s="794" t="str">
        <f t="shared" ref="AJ419:AK419" si="835">C419</f>
        <v>G22503</v>
      </c>
      <c r="AK419" s="794" t="str">
        <f t="shared" si="835"/>
        <v>MASTER CARD</v>
      </c>
      <c r="AL419" s="794">
        <f t="array" ref="AL419">IFERROR(INDEX(G419:R419,1,MATCH(Parametres!$B$3,G$1:R$1,0)-1)*IF(OR(F419="L",F419="S",F419="I"),-1,1),"")</f>
        <v>0</v>
      </c>
      <c r="AM419" s="794">
        <f t="shared" si="4"/>
        <v>0</v>
      </c>
      <c r="AN419" s="794">
        <f t="array" ref="AN419">INDEX(G419:R419,1,MATCH(Parametres!$B$3,G$1:R$1,0))*IF(OR(F419="L",F419="S",F419="I"),-1,1)</f>
        <v>0</v>
      </c>
      <c r="AO419" s="853" t="str">
        <f>+VLOOKUP($AJ419,Data_Validation!$A:$D,1,0)</f>
        <v>G22503</v>
      </c>
      <c r="AP419" s="853" t="str">
        <f>+VLOOKUP($AJ419,Data_Validation!$A:$D,3,0)</f>
        <v>Bilan</v>
      </c>
      <c r="AQ419" s="853" t="str">
        <f>+VLOOKUP($AJ419,Data_Validation!$A:$D,4,0)</f>
        <v>Encaisse</v>
      </c>
      <c r="AR419" s="853" t="s">
        <v>728</v>
      </c>
      <c r="AS419" s="853" t="str">
        <f>+VLOOKUP($AJ419,Data_Validation!$A:$E,5,0)</f>
        <v/>
      </c>
      <c r="AT419" s="794" t="str">
        <f t="shared" ref="AT419:AU419" si="836">C419</f>
        <v>G22503</v>
      </c>
      <c r="AU419" s="854" t="str">
        <f t="shared" si="836"/>
        <v>MASTER CARD</v>
      </c>
      <c r="AV419" s="794">
        <f t="array" ref="AV419">IFERROR(INDEX(V419:AG419,1,MATCH(Parametres!$B$3,V$1:AG$1,0)-1)*IF(OR(C419="L",C419="S",C419="I"),-1,1),"")</f>
        <v>0</v>
      </c>
      <c r="AW419" s="794">
        <f t="shared" si="6"/>
        <v>0</v>
      </c>
      <c r="AX419" s="794">
        <f t="array" ref="AX419">INDEX(V419:AG419,1,MATCH(Parametres!$B$3,V$1:AG$1,0))*IF(OR(C419="L",C419="S",C419="I"),-1,1)</f>
        <v>0</v>
      </c>
      <c r="AY419" s="853" t="s">
        <v>772</v>
      </c>
      <c r="AZ419" s="853" t="str">
        <f>+VLOOKUP($AJ419,Data_Validation!$A:$E,5,0)</f>
        <v/>
      </c>
    </row>
    <row r="420" ht="15.75" customHeight="1">
      <c r="A420" s="849" t="s">
        <v>1239</v>
      </c>
      <c r="B420" s="849">
        <v>2026.0</v>
      </c>
      <c r="C420" s="849" t="s">
        <v>2064</v>
      </c>
      <c r="D420" s="849" t="s">
        <v>2065</v>
      </c>
      <c r="E420" s="849" t="s">
        <v>1926</v>
      </c>
      <c r="F420" s="849" t="s">
        <v>1926</v>
      </c>
      <c r="G420" s="849">
        <v>-741.39</v>
      </c>
      <c r="H420" s="849">
        <v>0.0</v>
      </c>
      <c r="I420" s="849">
        <v>0.0</v>
      </c>
      <c r="J420" s="849">
        <v>-498.0</v>
      </c>
      <c r="K420" s="849">
        <v>0.0</v>
      </c>
      <c r="L420" s="849">
        <v>0.0</v>
      </c>
      <c r="M420" s="849">
        <v>1.45</v>
      </c>
      <c r="N420" s="849">
        <v>0.0</v>
      </c>
      <c r="O420" s="849">
        <v>0.0</v>
      </c>
      <c r="P420" s="849">
        <v>0.0</v>
      </c>
      <c r="Q420" s="849">
        <v>0.0</v>
      </c>
      <c r="R420" s="849">
        <v>0.0</v>
      </c>
      <c r="S420" s="849">
        <v>0.0</v>
      </c>
      <c r="T420" s="849">
        <v>0.0</v>
      </c>
      <c r="U420" s="849">
        <v>0.0</v>
      </c>
      <c r="V420" s="849">
        <v>0.0</v>
      </c>
      <c r="W420" s="849">
        <v>0.0</v>
      </c>
      <c r="X420" s="849">
        <v>0.0</v>
      </c>
      <c r="Y420" s="849">
        <v>0.0</v>
      </c>
      <c r="Z420" s="849">
        <v>0.0</v>
      </c>
      <c r="AA420" s="849">
        <v>0.0</v>
      </c>
      <c r="AB420" s="849">
        <v>0.0</v>
      </c>
      <c r="AC420" s="849">
        <v>0.0</v>
      </c>
      <c r="AD420" s="849">
        <v>0.0</v>
      </c>
      <c r="AE420" s="849">
        <v>0.0</v>
      </c>
      <c r="AF420" s="849">
        <v>0.0</v>
      </c>
      <c r="AG420" s="849">
        <v>0.0</v>
      </c>
      <c r="AH420" s="849">
        <v>0.0</v>
      </c>
      <c r="AI420" s="849">
        <v>0.0</v>
      </c>
      <c r="AJ420" s="794" t="str">
        <f t="shared" ref="AJ420:AK420" si="837">C420</f>
        <v>G22504</v>
      </c>
      <c r="AK420" s="794" t="str">
        <f t="shared" si="837"/>
        <v>VISA</v>
      </c>
      <c r="AL420" s="794">
        <f t="array" ref="AL420">IFERROR(INDEX(G420:R420,1,MATCH(Parametres!$B$3,G$1:R$1,0)-1)*IF(OR(F420="L",F420="S",F420="I"),-1,1),"")</f>
        <v>0</v>
      </c>
      <c r="AM420" s="794">
        <f t="shared" si="4"/>
        <v>0</v>
      </c>
      <c r="AN420" s="794">
        <f t="array" ref="AN420">INDEX(G420:R420,1,MATCH(Parametres!$B$3,G$1:R$1,0))*IF(OR(F420="L",F420="S",F420="I"),-1,1)</f>
        <v>0</v>
      </c>
      <c r="AO420" s="853" t="str">
        <f>+VLOOKUP($AJ420,Data_Validation!$A:$D,1,0)</f>
        <v>G22504</v>
      </c>
      <c r="AP420" s="853" t="str">
        <f>+VLOOKUP($AJ420,Data_Validation!$A:$D,3,0)</f>
        <v>Bilan</v>
      </c>
      <c r="AQ420" s="853" t="str">
        <f>+VLOOKUP($AJ420,Data_Validation!$A:$D,4,0)</f>
        <v>Encaisse</v>
      </c>
      <c r="AR420" s="853" t="s">
        <v>728</v>
      </c>
      <c r="AS420" s="853" t="str">
        <f>+VLOOKUP($AJ420,Data_Validation!$A:$E,5,0)</f>
        <v/>
      </c>
      <c r="AT420" s="794" t="str">
        <f t="shared" ref="AT420:AU420" si="838">C420</f>
        <v>G22504</v>
      </c>
      <c r="AU420" s="854" t="str">
        <f t="shared" si="838"/>
        <v>VISA</v>
      </c>
      <c r="AV420" s="794">
        <f t="array" ref="AV420">IFERROR(INDEX(V420:AG420,1,MATCH(Parametres!$B$3,V$1:AG$1,0)-1)*IF(OR(C420="L",C420="S",C420="I"),-1,1),"")</f>
        <v>0</v>
      </c>
      <c r="AW420" s="794">
        <f t="shared" si="6"/>
        <v>0</v>
      </c>
      <c r="AX420" s="794">
        <f t="array" ref="AX420">INDEX(V420:AG420,1,MATCH(Parametres!$B$3,V$1:AG$1,0))*IF(OR(C420="L",C420="S",C420="I"),-1,1)</f>
        <v>0</v>
      </c>
      <c r="AY420" s="853" t="s">
        <v>772</v>
      </c>
      <c r="AZ420" s="853" t="str">
        <f>+VLOOKUP($AJ420,Data_Validation!$A:$E,5,0)</f>
        <v/>
      </c>
    </row>
    <row r="421" ht="15.75" customHeight="1">
      <c r="A421" s="849" t="s">
        <v>1239</v>
      </c>
      <c r="B421" s="849">
        <v>2026.0</v>
      </c>
      <c r="C421" s="849" t="s">
        <v>2066</v>
      </c>
      <c r="D421" s="849" t="s">
        <v>2067</v>
      </c>
      <c r="E421" s="849" t="s">
        <v>1926</v>
      </c>
      <c r="F421" s="849" t="s">
        <v>1926</v>
      </c>
      <c r="G421" s="849">
        <v>0.0</v>
      </c>
      <c r="H421" s="849">
        <v>0.0</v>
      </c>
      <c r="I421" s="849">
        <v>0.0</v>
      </c>
      <c r="J421" s="849">
        <v>0.0</v>
      </c>
      <c r="K421" s="849">
        <v>0.0</v>
      </c>
      <c r="L421" s="849">
        <v>0.0</v>
      </c>
      <c r="M421" s="849">
        <v>0.0</v>
      </c>
      <c r="N421" s="849">
        <v>0.0</v>
      </c>
      <c r="O421" s="849">
        <v>0.0</v>
      </c>
      <c r="P421" s="849">
        <v>0.0</v>
      </c>
      <c r="Q421" s="849">
        <v>0.0</v>
      </c>
      <c r="R421" s="849">
        <v>0.0</v>
      </c>
      <c r="S421" s="849">
        <v>0.0</v>
      </c>
      <c r="T421" s="849">
        <v>0.0</v>
      </c>
      <c r="U421" s="849">
        <v>0.0</v>
      </c>
      <c r="V421" s="849">
        <v>0.0</v>
      </c>
      <c r="W421" s="849">
        <v>0.0</v>
      </c>
      <c r="X421" s="849">
        <v>0.0</v>
      </c>
      <c r="Y421" s="849">
        <v>0.0</v>
      </c>
      <c r="Z421" s="849">
        <v>0.0</v>
      </c>
      <c r="AA421" s="849">
        <v>0.0</v>
      </c>
      <c r="AB421" s="849">
        <v>0.0</v>
      </c>
      <c r="AC421" s="849">
        <v>0.0</v>
      </c>
      <c r="AD421" s="849">
        <v>0.0</v>
      </c>
      <c r="AE421" s="849">
        <v>0.0</v>
      </c>
      <c r="AF421" s="849">
        <v>0.0</v>
      </c>
      <c r="AG421" s="849">
        <v>0.0</v>
      </c>
      <c r="AH421" s="849">
        <v>0.0</v>
      </c>
      <c r="AI421" s="849">
        <v>0.0</v>
      </c>
      <c r="AJ421" s="794" t="str">
        <f t="shared" ref="AJ421:AK421" si="839">C421</f>
        <v>G22505</v>
      </c>
      <c r="AK421" s="794" t="str">
        <f t="shared" si="839"/>
        <v>AMEX</v>
      </c>
      <c r="AL421" s="794">
        <f t="array" ref="AL421">IFERROR(INDEX(G421:R421,1,MATCH(Parametres!$B$3,G$1:R$1,0)-1)*IF(OR(F421="L",F421="S",F421="I"),-1,1),"")</f>
        <v>0</v>
      </c>
      <c r="AM421" s="794">
        <f t="shared" si="4"/>
        <v>0</v>
      </c>
      <c r="AN421" s="794">
        <f t="array" ref="AN421">INDEX(G421:R421,1,MATCH(Parametres!$B$3,G$1:R$1,0))*IF(OR(F421="L",F421="S",F421="I"),-1,1)</f>
        <v>0</v>
      </c>
      <c r="AO421" s="853" t="str">
        <f>+VLOOKUP($AJ421,Data_Validation!$A:$D,1,0)</f>
        <v>G22505</v>
      </c>
      <c r="AP421" s="853" t="str">
        <f>+VLOOKUP($AJ421,Data_Validation!$A:$D,3,0)</f>
        <v>Bilan</v>
      </c>
      <c r="AQ421" s="853" t="str">
        <f>+VLOOKUP($AJ421,Data_Validation!$A:$D,4,0)</f>
        <v>Encaisse</v>
      </c>
      <c r="AR421" s="853" t="s">
        <v>728</v>
      </c>
      <c r="AS421" s="853" t="str">
        <f>+VLOOKUP($AJ421,Data_Validation!$A:$E,5,0)</f>
        <v/>
      </c>
      <c r="AT421" s="794" t="str">
        <f t="shared" ref="AT421:AU421" si="840">C421</f>
        <v>G22505</v>
      </c>
      <c r="AU421" s="854" t="str">
        <f t="shared" si="840"/>
        <v>AMEX</v>
      </c>
      <c r="AV421" s="794">
        <f t="array" ref="AV421">IFERROR(INDEX(V421:AG421,1,MATCH(Parametres!$B$3,V$1:AG$1,0)-1)*IF(OR(C421="L",C421="S",C421="I"),-1,1),"")</f>
        <v>0</v>
      </c>
      <c r="AW421" s="794">
        <f t="shared" si="6"/>
        <v>0</v>
      </c>
      <c r="AX421" s="794">
        <f t="array" ref="AX421">INDEX(V421:AG421,1,MATCH(Parametres!$B$3,V$1:AG$1,0))*IF(OR(C421="L",C421="S",C421="I"),-1,1)</f>
        <v>0</v>
      </c>
      <c r="AY421" s="853" t="s">
        <v>772</v>
      </c>
      <c r="AZ421" s="853" t="str">
        <f>+VLOOKUP($AJ421,Data_Validation!$A:$E,5,0)</f>
        <v/>
      </c>
    </row>
    <row r="422" ht="15.75" customHeight="1">
      <c r="A422" s="849" t="s">
        <v>1239</v>
      </c>
      <c r="B422" s="849">
        <v>2026.0</v>
      </c>
      <c r="C422" s="849" t="s">
        <v>2068</v>
      </c>
      <c r="D422" s="849" t="s">
        <v>2069</v>
      </c>
      <c r="E422" s="849" t="s">
        <v>1926</v>
      </c>
      <c r="F422" s="849" t="s">
        <v>1926</v>
      </c>
      <c r="G422" s="849">
        <v>0.0</v>
      </c>
      <c r="H422" s="849">
        <v>0.0</v>
      </c>
      <c r="I422" s="849">
        <v>0.0</v>
      </c>
      <c r="J422" s="849">
        <v>0.0</v>
      </c>
      <c r="K422" s="849">
        <v>0.0</v>
      </c>
      <c r="L422" s="849">
        <v>0.0</v>
      </c>
      <c r="M422" s="849">
        <v>0.0</v>
      </c>
      <c r="N422" s="849">
        <v>0.0</v>
      </c>
      <c r="O422" s="849">
        <v>0.0</v>
      </c>
      <c r="P422" s="849">
        <v>0.0</v>
      </c>
      <c r="Q422" s="849">
        <v>0.0</v>
      </c>
      <c r="R422" s="849">
        <v>0.0</v>
      </c>
      <c r="S422" s="849">
        <v>0.0</v>
      </c>
      <c r="T422" s="849">
        <v>0.0</v>
      </c>
      <c r="U422" s="849">
        <v>0.0</v>
      </c>
      <c r="V422" s="849">
        <v>0.0</v>
      </c>
      <c r="W422" s="849">
        <v>0.0</v>
      </c>
      <c r="X422" s="849">
        <v>0.0</v>
      </c>
      <c r="Y422" s="849">
        <v>0.0</v>
      </c>
      <c r="Z422" s="849">
        <v>0.0</v>
      </c>
      <c r="AA422" s="849">
        <v>0.0</v>
      </c>
      <c r="AB422" s="849">
        <v>0.0</v>
      </c>
      <c r="AC422" s="849">
        <v>0.0</v>
      </c>
      <c r="AD422" s="849">
        <v>0.0</v>
      </c>
      <c r="AE422" s="849">
        <v>0.0</v>
      </c>
      <c r="AF422" s="849">
        <v>0.0</v>
      </c>
      <c r="AG422" s="849">
        <v>0.0</v>
      </c>
      <c r="AH422" s="849">
        <v>0.0</v>
      </c>
      <c r="AI422" s="849">
        <v>0.0</v>
      </c>
      <c r="AJ422" s="794" t="str">
        <f t="shared" ref="AJ422:AK422" si="841">C422</f>
        <v>G22506</v>
      </c>
      <c r="AK422" s="794" t="str">
        <f t="shared" si="841"/>
        <v>CHEQUES</v>
      </c>
      <c r="AL422" s="794">
        <f t="array" ref="AL422">IFERROR(INDEX(G422:R422,1,MATCH(Parametres!$B$3,G$1:R$1,0)-1)*IF(OR(F422="L",F422="S",F422="I"),-1,1),"")</f>
        <v>0</v>
      </c>
      <c r="AM422" s="794">
        <f t="shared" si="4"/>
        <v>0</v>
      </c>
      <c r="AN422" s="794">
        <f t="array" ref="AN422">INDEX(G422:R422,1,MATCH(Parametres!$B$3,G$1:R$1,0))*IF(OR(F422="L",F422="S",F422="I"),-1,1)</f>
        <v>0</v>
      </c>
      <c r="AO422" s="853" t="str">
        <f>+VLOOKUP($AJ422,Data_Validation!$A:$D,1,0)</f>
        <v>G22506</v>
      </c>
      <c r="AP422" s="853" t="str">
        <f>+VLOOKUP($AJ422,Data_Validation!$A:$D,3,0)</f>
        <v>Bilan</v>
      </c>
      <c r="AQ422" s="853" t="str">
        <f>+VLOOKUP($AJ422,Data_Validation!$A:$D,4,0)</f>
        <v>Encaisse</v>
      </c>
      <c r="AR422" s="853" t="s">
        <v>728</v>
      </c>
      <c r="AS422" s="853" t="str">
        <f>+VLOOKUP($AJ422,Data_Validation!$A:$E,5,0)</f>
        <v/>
      </c>
      <c r="AT422" s="794" t="str">
        <f t="shared" ref="AT422:AU422" si="842">C422</f>
        <v>G22506</v>
      </c>
      <c r="AU422" s="854" t="str">
        <f t="shared" si="842"/>
        <v>CHEQUES</v>
      </c>
      <c r="AV422" s="794">
        <f t="array" ref="AV422">IFERROR(INDEX(V422:AG422,1,MATCH(Parametres!$B$3,V$1:AG$1,0)-1)*IF(OR(C422="L",C422="S",C422="I"),-1,1),"")</f>
        <v>0</v>
      </c>
      <c r="AW422" s="794">
        <f t="shared" si="6"/>
        <v>0</v>
      </c>
      <c r="AX422" s="794">
        <f t="array" ref="AX422">INDEX(V422:AG422,1,MATCH(Parametres!$B$3,V$1:AG$1,0))*IF(OR(C422="L",C422="S",C422="I"),-1,1)</f>
        <v>0</v>
      </c>
      <c r="AY422" s="853" t="s">
        <v>772</v>
      </c>
      <c r="AZ422" s="853" t="str">
        <f>+VLOOKUP($AJ422,Data_Validation!$A:$E,5,0)</f>
        <v/>
      </c>
    </row>
    <row r="423" ht="15.75" customHeight="1">
      <c r="A423" s="849" t="s">
        <v>1239</v>
      </c>
      <c r="B423" s="849">
        <v>2026.0</v>
      </c>
      <c r="C423" s="849" t="s">
        <v>2070</v>
      </c>
      <c r="D423" s="849" t="s">
        <v>2071</v>
      </c>
      <c r="E423" s="849" t="s">
        <v>2072</v>
      </c>
      <c r="F423" s="849" t="s">
        <v>1926</v>
      </c>
      <c r="G423" s="849">
        <v>0.0</v>
      </c>
      <c r="H423" s="849">
        <v>0.0</v>
      </c>
      <c r="I423" s="849">
        <v>0.0</v>
      </c>
      <c r="J423" s="849">
        <v>0.0</v>
      </c>
      <c r="K423" s="849">
        <v>0.0</v>
      </c>
      <c r="L423" s="849">
        <v>0.0</v>
      </c>
      <c r="M423" s="849">
        <v>0.0</v>
      </c>
      <c r="N423" s="849">
        <v>0.0</v>
      </c>
      <c r="O423" s="849">
        <v>0.0</v>
      </c>
      <c r="P423" s="849">
        <v>0.0</v>
      </c>
      <c r="Q423" s="849">
        <v>0.0</v>
      </c>
      <c r="R423" s="849">
        <v>0.0</v>
      </c>
      <c r="S423" s="849">
        <v>0.0</v>
      </c>
      <c r="T423" s="849">
        <v>0.0</v>
      </c>
      <c r="U423" s="849">
        <v>0.0</v>
      </c>
      <c r="V423" s="849">
        <v>0.0</v>
      </c>
      <c r="W423" s="849">
        <v>0.0</v>
      </c>
      <c r="X423" s="849">
        <v>0.0</v>
      </c>
      <c r="Y423" s="849">
        <v>0.0</v>
      </c>
      <c r="Z423" s="849">
        <v>0.0</v>
      </c>
      <c r="AA423" s="849">
        <v>0.0</v>
      </c>
      <c r="AB423" s="849">
        <v>0.0</v>
      </c>
      <c r="AC423" s="849">
        <v>0.0</v>
      </c>
      <c r="AD423" s="849">
        <v>0.0</v>
      </c>
      <c r="AE423" s="849">
        <v>0.0</v>
      </c>
      <c r="AF423" s="849">
        <v>0.0</v>
      </c>
      <c r="AG423" s="849">
        <v>0.0</v>
      </c>
      <c r="AH423" s="849">
        <v>0.0</v>
      </c>
      <c r="AI423" s="849">
        <v>0.0</v>
      </c>
      <c r="AJ423" s="794" t="str">
        <f t="shared" ref="AJ423:AK423" si="843">C423</f>
        <v>G23000</v>
      </c>
      <c r="AK423" s="794" t="str">
        <f t="shared" si="843"/>
        <v>VEHICULES USAGÉS GLOBE</v>
      </c>
      <c r="AL423" s="794">
        <f t="array" ref="AL423">IFERROR(INDEX(G423:R423,1,MATCH(Parametres!$B$3,G$1:R$1,0)-1)*IF(OR(F423="L",F423="S",F423="I"),-1,1),"")</f>
        <v>0</v>
      </c>
      <c r="AM423" s="794">
        <f t="shared" si="4"/>
        <v>0</v>
      </c>
      <c r="AN423" s="794">
        <f t="array" ref="AN423">INDEX(G423:R423,1,MATCH(Parametres!$B$3,G$1:R$1,0))*IF(OR(F423="L",F423="S",F423="I"),-1,1)</f>
        <v>0</v>
      </c>
      <c r="AO423" s="853" t="str">
        <f>+VLOOKUP($AJ423,Data_Validation!$A:$D,1,0)</f>
        <v>#N/A</v>
      </c>
      <c r="AP423" s="853" t="str">
        <f>+VLOOKUP($AJ423,Data_Validation!$A:$D,3,0)</f>
        <v>#N/A</v>
      </c>
      <c r="AQ423" s="853" t="str">
        <f>+VLOOKUP($AJ423,Data_Validation!$A:$D,4,0)</f>
        <v>#N/A</v>
      </c>
      <c r="AR423" s="853" t="s">
        <v>728</v>
      </c>
      <c r="AS423" s="853" t="str">
        <f>+VLOOKUP($AJ423,Data_Validation!$A:$E,5,0)</f>
        <v>#N/A</v>
      </c>
      <c r="AT423" s="794" t="str">
        <f t="shared" ref="AT423:AU423" si="844">C423</f>
        <v>G23000</v>
      </c>
      <c r="AU423" s="854" t="str">
        <f t="shared" si="844"/>
        <v>VEHICULES USAGÉS GLOBE</v>
      </c>
      <c r="AV423" s="794">
        <f t="array" ref="AV423">IFERROR(INDEX(V423:AG423,1,MATCH(Parametres!$B$3,V$1:AG$1,0)-1)*IF(OR(C423="L",C423="S",C423="I"),-1,1),"")</f>
        <v>0</v>
      </c>
      <c r="AW423" s="794">
        <f t="shared" si="6"/>
        <v>0</v>
      </c>
      <c r="AX423" s="794">
        <f t="array" ref="AX423">INDEX(V423:AG423,1,MATCH(Parametres!$B$3,V$1:AG$1,0))*IF(OR(C423="L",C423="S",C423="I"),-1,1)</f>
        <v>0</v>
      </c>
      <c r="AY423" s="853" t="s">
        <v>772</v>
      </c>
      <c r="AZ423" s="853" t="str">
        <f>+VLOOKUP($AJ423,Data_Validation!$A:$E,5,0)</f>
        <v>#N/A</v>
      </c>
    </row>
    <row r="424" ht="15.75" customHeight="1">
      <c r="A424" s="849" t="s">
        <v>1239</v>
      </c>
      <c r="B424" s="849">
        <v>2026.0</v>
      </c>
      <c r="C424" s="849" t="s">
        <v>2073</v>
      </c>
      <c r="D424" s="849" t="s">
        <v>2074</v>
      </c>
      <c r="E424" s="849" t="s">
        <v>2072</v>
      </c>
      <c r="F424" s="849" t="s">
        <v>1926</v>
      </c>
      <c r="G424" s="849">
        <v>612359.18</v>
      </c>
      <c r="H424" s="849">
        <v>714614.18</v>
      </c>
      <c r="I424" s="849">
        <v>616930.36</v>
      </c>
      <c r="J424" s="849">
        <v>516647.36</v>
      </c>
      <c r="K424" s="849">
        <v>516647.18</v>
      </c>
      <c r="L424" s="849">
        <v>358793.18</v>
      </c>
      <c r="M424" s="849">
        <v>256538.18</v>
      </c>
      <c r="N424" s="849">
        <v>298160.4</v>
      </c>
      <c r="O424" s="849">
        <v>99560.18</v>
      </c>
      <c r="P424" s="849">
        <v>99560.18</v>
      </c>
      <c r="Q424" s="849">
        <v>0.0</v>
      </c>
      <c r="R424" s="849">
        <v>0.0</v>
      </c>
      <c r="S424" s="849">
        <v>0.0</v>
      </c>
      <c r="T424" s="849">
        <v>0.0</v>
      </c>
      <c r="U424" s="849">
        <v>0.0</v>
      </c>
      <c r="V424" s="849">
        <v>0.0</v>
      </c>
      <c r="W424" s="849">
        <v>0.0</v>
      </c>
      <c r="X424" s="849">
        <v>0.0</v>
      </c>
      <c r="Y424" s="849">
        <v>0.0</v>
      </c>
      <c r="Z424" s="849">
        <v>0.0</v>
      </c>
      <c r="AA424" s="849">
        <v>0.0</v>
      </c>
      <c r="AB424" s="849">
        <v>0.0</v>
      </c>
      <c r="AC424" s="849">
        <v>0.0</v>
      </c>
      <c r="AD424" s="849">
        <v>0.0</v>
      </c>
      <c r="AE424" s="849">
        <v>0.0</v>
      </c>
      <c r="AF424" s="849">
        <v>0.0</v>
      </c>
      <c r="AG424" s="849">
        <v>0.0</v>
      </c>
      <c r="AH424" s="849">
        <v>0.0</v>
      </c>
      <c r="AI424" s="849">
        <v>0.0</v>
      </c>
      <c r="AJ424" s="794" t="str">
        <f t="shared" ref="AJ424:AK424" si="845">C424</f>
        <v>G23100</v>
      </c>
      <c r="AK424" s="794" t="str">
        <f t="shared" si="845"/>
        <v>INV. AUTOS NEUVES</v>
      </c>
      <c r="AL424" s="794">
        <f t="array" ref="AL424">IFERROR(INDEX(G424:R424,1,MATCH(Parametres!$B$3,G$1:R$1,0)-1)*IF(OR(F424="L",F424="S",F424="I"),-1,1),"")</f>
        <v>298160.4</v>
      </c>
      <c r="AM424" s="794">
        <f t="shared" si="4"/>
        <v>-198600.22</v>
      </c>
      <c r="AN424" s="794">
        <f t="array" ref="AN424">INDEX(G424:R424,1,MATCH(Parametres!$B$3,G$1:R$1,0))*IF(OR(F424="L",F424="S",F424="I"),-1,1)</f>
        <v>99560.18</v>
      </c>
      <c r="AO424" s="853" t="str">
        <f>+VLOOKUP($AJ424,Data_Validation!$A:$D,1,0)</f>
        <v>G23100</v>
      </c>
      <c r="AP424" s="853" t="str">
        <f>+VLOOKUP($AJ424,Data_Validation!$A:$D,3,0)</f>
        <v>Bilan</v>
      </c>
      <c r="AQ424" s="853" t="str">
        <f>+VLOOKUP($AJ424,Data_Validation!$A:$D,4,0)</f>
        <v>Inventaire Véhicules Neufs</v>
      </c>
      <c r="AR424" s="853" t="s">
        <v>728</v>
      </c>
      <c r="AS424" s="853" t="str">
        <f>+VLOOKUP($AJ424,Data_Validation!$A:$E,5,0)</f>
        <v/>
      </c>
      <c r="AT424" s="794" t="str">
        <f t="shared" ref="AT424:AU424" si="846">C424</f>
        <v>G23100</v>
      </c>
      <c r="AU424" s="854" t="str">
        <f t="shared" si="846"/>
        <v>INV. AUTOS NEUVES</v>
      </c>
      <c r="AV424" s="794">
        <f t="array" ref="AV424">IFERROR(INDEX(V424:AG424,1,MATCH(Parametres!$B$3,V$1:AG$1,0)-1)*IF(OR(C424="L",C424="S",C424="I"),-1,1),"")</f>
        <v>0</v>
      </c>
      <c r="AW424" s="794">
        <f t="shared" si="6"/>
        <v>0</v>
      </c>
      <c r="AX424" s="794">
        <f t="array" ref="AX424">INDEX(V424:AG424,1,MATCH(Parametres!$B$3,V$1:AG$1,0))*IF(OR(C424="L",C424="S",C424="I"),-1,1)</f>
        <v>0</v>
      </c>
      <c r="AY424" s="853" t="s">
        <v>772</v>
      </c>
      <c r="AZ424" s="853" t="str">
        <f>+VLOOKUP($AJ424,Data_Validation!$A:$E,5,0)</f>
        <v/>
      </c>
    </row>
    <row r="425" ht="15.75" customHeight="1">
      <c r="A425" s="849" t="s">
        <v>1239</v>
      </c>
      <c r="B425" s="849">
        <v>2026.0</v>
      </c>
      <c r="C425" s="849" t="s">
        <v>2075</v>
      </c>
      <c r="D425" s="849" t="s">
        <v>2076</v>
      </c>
      <c r="E425" s="849" t="s">
        <v>2072</v>
      </c>
      <c r="F425" s="849" t="s">
        <v>1926</v>
      </c>
      <c r="G425" s="849">
        <v>0.0</v>
      </c>
      <c r="H425" s="849">
        <v>0.0</v>
      </c>
      <c r="I425" s="849">
        <v>0.0</v>
      </c>
      <c r="J425" s="849">
        <v>0.0</v>
      </c>
      <c r="K425" s="849">
        <v>0.0</v>
      </c>
      <c r="L425" s="849">
        <v>0.0</v>
      </c>
      <c r="M425" s="849">
        <v>0.0</v>
      </c>
      <c r="N425" s="849">
        <v>0.0</v>
      </c>
      <c r="O425" s="849">
        <v>0.0</v>
      </c>
      <c r="P425" s="849">
        <v>0.0</v>
      </c>
      <c r="Q425" s="849">
        <v>0.0</v>
      </c>
      <c r="R425" s="849">
        <v>0.0</v>
      </c>
      <c r="S425" s="849">
        <v>0.0</v>
      </c>
      <c r="T425" s="849">
        <v>0.0</v>
      </c>
      <c r="U425" s="849">
        <v>0.0</v>
      </c>
      <c r="V425" s="849">
        <v>0.0</v>
      </c>
      <c r="W425" s="849">
        <v>0.0</v>
      </c>
      <c r="X425" s="849">
        <v>0.0</v>
      </c>
      <c r="Y425" s="849">
        <v>0.0</v>
      </c>
      <c r="Z425" s="849">
        <v>0.0</v>
      </c>
      <c r="AA425" s="849">
        <v>0.0</v>
      </c>
      <c r="AB425" s="849">
        <v>0.0</v>
      </c>
      <c r="AC425" s="849">
        <v>0.0</v>
      </c>
      <c r="AD425" s="849">
        <v>0.0</v>
      </c>
      <c r="AE425" s="849">
        <v>0.0</v>
      </c>
      <c r="AF425" s="849">
        <v>0.0</v>
      </c>
      <c r="AG425" s="849">
        <v>0.0</v>
      </c>
      <c r="AH425" s="849">
        <v>0.0</v>
      </c>
      <c r="AI425" s="849">
        <v>0.0</v>
      </c>
      <c r="AJ425" s="794" t="str">
        <f t="shared" ref="AJ425:AK425" si="847">C425</f>
        <v>G23500</v>
      </c>
      <c r="AK425" s="794" t="str">
        <f t="shared" si="847"/>
        <v>INV. CAM. POIDS MOY-NEUFS</v>
      </c>
      <c r="AL425" s="794">
        <f t="array" ref="AL425">IFERROR(INDEX(G425:R425,1,MATCH(Parametres!$B$3,G$1:R$1,0)-1)*IF(OR(F425="L",F425="S",F425="I"),-1,1),"")</f>
        <v>0</v>
      </c>
      <c r="AM425" s="794">
        <f t="shared" si="4"/>
        <v>0</v>
      </c>
      <c r="AN425" s="794">
        <f t="array" ref="AN425">INDEX(G425:R425,1,MATCH(Parametres!$B$3,G$1:R$1,0))*IF(OR(F425="L",F425="S",F425="I"),-1,1)</f>
        <v>0</v>
      </c>
      <c r="AO425" s="853" t="str">
        <f>+VLOOKUP($AJ425,Data_Validation!$A:$D,1,0)</f>
        <v>#N/A</v>
      </c>
      <c r="AP425" s="853" t="str">
        <f>+VLOOKUP($AJ425,Data_Validation!$A:$D,3,0)</f>
        <v>#N/A</v>
      </c>
      <c r="AQ425" s="853" t="str">
        <f>+VLOOKUP($AJ425,Data_Validation!$A:$D,4,0)</f>
        <v>#N/A</v>
      </c>
      <c r="AR425" s="853" t="s">
        <v>728</v>
      </c>
      <c r="AS425" s="853" t="str">
        <f>+VLOOKUP($AJ425,Data_Validation!$A:$E,5,0)</f>
        <v>#N/A</v>
      </c>
      <c r="AT425" s="794" t="str">
        <f t="shared" ref="AT425:AU425" si="848">C425</f>
        <v>G23500</v>
      </c>
      <c r="AU425" s="854" t="str">
        <f t="shared" si="848"/>
        <v>INV. CAM. POIDS MOY-NEUFS</v>
      </c>
      <c r="AV425" s="794">
        <f t="array" ref="AV425">IFERROR(INDEX(V425:AG425,1,MATCH(Parametres!$B$3,V$1:AG$1,0)-1)*IF(OR(C425="L",C425="S",C425="I"),-1,1),"")</f>
        <v>0</v>
      </c>
      <c r="AW425" s="794">
        <f t="shared" si="6"/>
        <v>0</v>
      </c>
      <c r="AX425" s="794">
        <f t="array" ref="AX425">INDEX(V425:AG425,1,MATCH(Parametres!$B$3,V$1:AG$1,0))*IF(OR(C425="L",C425="S",C425="I"),-1,1)</f>
        <v>0</v>
      </c>
      <c r="AY425" s="853" t="s">
        <v>772</v>
      </c>
      <c r="AZ425" s="853" t="str">
        <f>+VLOOKUP($AJ425,Data_Validation!$A:$E,5,0)</f>
        <v>#N/A</v>
      </c>
    </row>
    <row r="426" ht="15.75" customHeight="1">
      <c r="A426" s="849" t="s">
        <v>1239</v>
      </c>
      <c r="B426" s="849">
        <v>2026.0</v>
      </c>
      <c r="C426" s="849" t="s">
        <v>2077</v>
      </c>
      <c r="D426" s="849" t="s">
        <v>2078</v>
      </c>
      <c r="E426" s="849" t="s">
        <v>2072</v>
      </c>
      <c r="F426" s="849" t="s">
        <v>1926</v>
      </c>
      <c r="G426" s="849">
        <v>3.059988151E7</v>
      </c>
      <c r="H426" s="849">
        <v>2.651074857E7</v>
      </c>
      <c r="I426" s="849">
        <v>3.211529672E7</v>
      </c>
      <c r="J426" s="849">
        <v>2.430737084E7</v>
      </c>
      <c r="K426" s="849">
        <v>2.245661896E7</v>
      </c>
      <c r="L426" s="849">
        <v>1.829621875E7</v>
      </c>
      <c r="M426" s="849">
        <v>1.755377699E7</v>
      </c>
      <c r="N426" s="849">
        <v>1.593660833E7</v>
      </c>
      <c r="O426" s="849">
        <v>1.559630093E7</v>
      </c>
      <c r="P426" s="849">
        <v>2.204101543E7</v>
      </c>
      <c r="Q426" s="849">
        <v>0.0</v>
      </c>
      <c r="R426" s="849">
        <v>0.0</v>
      </c>
      <c r="S426" s="849">
        <v>0.0</v>
      </c>
      <c r="T426" s="849">
        <v>0.0</v>
      </c>
      <c r="U426" s="849">
        <v>0.0</v>
      </c>
      <c r="V426" s="849">
        <v>0.0</v>
      </c>
      <c r="W426" s="849">
        <v>0.0</v>
      </c>
      <c r="X426" s="849">
        <v>0.0</v>
      </c>
      <c r="Y426" s="849">
        <v>0.0</v>
      </c>
      <c r="Z426" s="849">
        <v>0.0</v>
      </c>
      <c r="AA426" s="849">
        <v>0.0</v>
      </c>
      <c r="AB426" s="849">
        <v>0.0</v>
      </c>
      <c r="AC426" s="849">
        <v>0.0</v>
      </c>
      <c r="AD426" s="849">
        <v>0.0</v>
      </c>
      <c r="AE426" s="849">
        <v>0.0</v>
      </c>
      <c r="AF426" s="849">
        <v>0.0</v>
      </c>
      <c r="AG426" s="849">
        <v>0.0</v>
      </c>
      <c r="AH426" s="849">
        <v>0.0</v>
      </c>
      <c r="AI426" s="849">
        <v>0.0</v>
      </c>
      <c r="AJ426" s="794" t="str">
        <f t="shared" ref="AJ426:AK426" si="849">C426</f>
        <v>G23700</v>
      </c>
      <c r="AK426" s="794" t="str">
        <f t="shared" si="849"/>
        <v>INV. CAMIONS NEUFS</v>
      </c>
      <c r="AL426" s="794">
        <f t="array" ref="AL426">IFERROR(INDEX(G426:R426,1,MATCH(Parametres!$B$3,G$1:R$1,0)-1)*IF(OR(F426="L",F426="S",F426="I"),-1,1),"")</f>
        <v>15936608.33</v>
      </c>
      <c r="AM426" s="794">
        <f t="shared" si="4"/>
        <v>-340307.4</v>
      </c>
      <c r="AN426" s="794">
        <f t="array" ref="AN426">INDEX(G426:R426,1,MATCH(Parametres!$B$3,G$1:R$1,0))*IF(OR(F426="L",F426="S",F426="I"),-1,1)</f>
        <v>15596300.93</v>
      </c>
      <c r="AO426" s="853" t="str">
        <f>+VLOOKUP($AJ426,Data_Validation!$A:$D,1,0)</f>
        <v>G23700</v>
      </c>
      <c r="AP426" s="853" t="str">
        <f>+VLOOKUP($AJ426,Data_Validation!$A:$D,3,0)</f>
        <v>Bilan</v>
      </c>
      <c r="AQ426" s="853" t="str">
        <f>+VLOOKUP($AJ426,Data_Validation!$A:$D,4,0)</f>
        <v>Inventaire Véhicules Neufs</v>
      </c>
      <c r="AR426" s="853" t="s">
        <v>728</v>
      </c>
      <c r="AS426" s="853" t="str">
        <f>+VLOOKUP($AJ426,Data_Validation!$A:$E,5,0)</f>
        <v/>
      </c>
      <c r="AT426" s="794" t="str">
        <f t="shared" ref="AT426:AU426" si="850">C426</f>
        <v>G23700</v>
      </c>
      <c r="AU426" s="854" t="str">
        <f t="shared" si="850"/>
        <v>INV. CAMIONS NEUFS</v>
      </c>
      <c r="AV426" s="794">
        <f t="array" ref="AV426">IFERROR(INDEX(V426:AG426,1,MATCH(Parametres!$B$3,V$1:AG$1,0)-1)*IF(OR(C426="L",C426="S",C426="I"),-1,1),"")</f>
        <v>0</v>
      </c>
      <c r="AW426" s="794">
        <f t="shared" si="6"/>
        <v>0</v>
      </c>
      <c r="AX426" s="794">
        <f t="array" ref="AX426">INDEX(V426:AG426,1,MATCH(Parametres!$B$3,V$1:AG$1,0))*IF(OR(C426="L",C426="S",C426="I"),-1,1)</f>
        <v>0</v>
      </c>
      <c r="AY426" s="853" t="s">
        <v>772</v>
      </c>
      <c r="AZ426" s="853" t="str">
        <f>+VLOOKUP($AJ426,Data_Validation!$A:$E,5,0)</f>
        <v/>
      </c>
    </row>
    <row r="427" ht="15.75" customHeight="1">
      <c r="A427" s="849" t="s">
        <v>1239</v>
      </c>
      <c r="B427" s="849">
        <v>2026.0</v>
      </c>
      <c r="C427" s="849" t="s">
        <v>2079</v>
      </c>
      <c r="D427" s="849" t="s">
        <v>2080</v>
      </c>
      <c r="E427" s="849" t="s">
        <v>2072</v>
      </c>
      <c r="F427" s="849" t="s">
        <v>1926</v>
      </c>
      <c r="G427" s="849">
        <v>584965.08</v>
      </c>
      <c r="H427" s="849">
        <v>403479.29</v>
      </c>
      <c r="I427" s="849">
        <v>417813.52</v>
      </c>
      <c r="J427" s="849">
        <v>1426603.68</v>
      </c>
      <c r="K427" s="849">
        <v>666266.02</v>
      </c>
      <c r="L427" s="849">
        <v>720014.68</v>
      </c>
      <c r="M427" s="849">
        <v>457051.71</v>
      </c>
      <c r="N427" s="849">
        <v>242764.61</v>
      </c>
      <c r="O427" s="849">
        <v>213856.59</v>
      </c>
      <c r="P427" s="849">
        <v>253432.54</v>
      </c>
      <c r="Q427" s="849">
        <v>0.0</v>
      </c>
      <c r="R427" s="849">
        <v>0.0</v>
      </c>
      <c r="S427" s="849">
        <v>0.0</v>
      </c>
      <c r="T427" s="849">
        <v>0.0</v>
      </c>
      <c r="U427" s="849">
        <v>0.0</v>
      </c>
      <c r="V427" s="849">
        <v>0.0</v>
      </c>
      <c r="W427" s="849">
        <v>0.0</v>
      </c>
      <c r="X427" s="849">
        <v>0.0</v>
      </c>
      <c r="Y427" s="849">
        <v>0.0</v>
      </c>
      <c r="Z427" s="849">
        <v>0.0</v>
      </c>
      <c r="AA427" s="849">
        <v>0.0</v>
      </c>
      <c r="AB427" s="849">
        <v>0.0</v>
      </c>
      <c r="AC427" s="849">
        <v>0.0</v>
      </c>
      <c r="AD427" s="849">
        <v>0.0</v>
      </c>
      <c r="AE427" s="849">
        <v>0.0</v>
      </c>
      <c r="AF427" s="849">
        <v>0.0</v>
      </c>
      <c r="AG427" s="849">
        <v>0.0</v>
      </c>
      <c r="AH427" s="849">
        <v>0.0</v>
      </c>
      <c r="AI427" s="849">
        <v>0.0</v>
      </c>
      <c r="AJ427" s="794" t="str">
        <f t="shared" ref="AJ427:AK427" si="851">C427</f>
        <v>G24000</v>
      </c>
      <c r="AK427" s="794" t="str">
        <f t="shared" si="851"/>
        <v>INV. AUTOS USAGEES</v>
      </c>
      <c r="AL427" s="794">
        <f t="array" ref="AL427">IFERROR(INDEX(G427:R427,1,MATCH(Parametres!$B$3,G$1:R$1,0)-1)*IF(OR(F427="L",F427="S",F427="I"),-1,1),"")</f>
        <v>242764.61</v>
      </c>
      <c r="AM427" s="794">
        <f t="shared" si="4"/>
        <v>-28908.02</v>
      </c>
      <c r="AN427" s="794">
        <f t="array" ref="AN427">INDEX(G427:R427,1,MATCH(Parametres!$B$3,G$1:R$1,0))*IF(OR(F427="L",F427="S",F427="I"),-1,1)</f>
        <v>213856.59</v>
      </c>
      <c r="AO427" s="853" t="str">
        <f>+VLOOKUP($AJ427,Data_Validation!$A:$D,1,0)</f>
        <v>G24000</v>
      </c>
      <c r="AP427" s="853" t="str">
        <f>+VLOOKUP($AJ427,Data_Validation!$A:$D,3,0)</f>
        <v>Bilan</v>
      </c>
      <c r="AQ427" s="853" t="str">
        <f>+VLOOKUP($AJ427,Data_Validation!$A:$D,4,0)</f>
        <v>Inventaire Véhicules Usagés</v>
      </c>
      <c r="AR427" s="853" t="s">
        <v>728</v>
      </c>
      <c r="AS427" s="853" t="str">
        <f>+VLOOKUP($AJ427,Data_Validation!$A:$E,5,0)</f>
        <v/>
      </c>
      <c r="AT427" s="794" t="str">
        <f t="shared" ref="AT427:AU427" si="852">C427</f>
        <v>G24000</v>
      </c>
      <c r="AU427" s="854" t="str">
        <f t="shared" si="852"/>
        <v>INV. AUTOS USAGEES</v>
      </c>
      <c r="AV427" s="794">
        <f t="array" ref="AV427">IFERROR(INDEX(V427:AG427,1,MATCH(Parametres!$B$3,V$1:AG$1,0)-1)*IF(OR(C427="L",C427="S",C427="I"),-1,1),"")</f>
        <v>0</v>
      </c>
      <c r="AW427" s="794">
        <f t="shared" si="6"/>
        <v>0</v>
      </c>
      <c r="AX427" s="794">
        <f t="array" ref="AX427">INDEX(V427:AG427,1,MATCH(Parametres!$B$3,V$1:AG$1,0))*IF(OR(C427="L",C427="S",C427="I"),-1,1)</f>
        <v>0</v>
      </c>
      <c r="AY427" s="853" t="s">
        <v>772</v>
      </c>
      <c r="AZ427" s="853" t="str">
        <f>+VLOOKUP($AJ427,Data_Validation!$A:$E,5,0)</f>
        <v/>
      </c>
    </row>
    <row r="428" ht="15.75" customHeight="1">
      <c r="A428" s="849" t="s">
        <v>1239</v>
      </c>
      <c r="B428" s="849">
        <v>2026.0</v>
      </c>
      <c r="C428" s="849" t="s">
        <v>2081</v>
      </c>
      <c r="D428" s="849" t="s">
        <v>2082</v>
      </c>
      <c r="E428" s="849" t="s">
        <v>2072</v>
      </c>
      <c r="F428" s="849" t="s">
        <v>1926</v>
      </c>
      <c r="G428" s="849">
        <v>0.0</v>
      </c>
      <c r="H428" s="849">
        <v>0.0</v>
      </c>
      <c r="I428" s="849">
        <v>0.0</v>
      </c>
      <c r="J428" s="849">
        <v>0.0</v>
      </c>
      <c r="K428" s="849">
        <v>0.0</v>
      </c>
      <c r="L428" s="849">
        <v>0.0</v>
      </c>
      <c r="M428" s="849">
        <v>0.0</v>
      </c>
      <c r="N428" s="849">
        <v>0.0</v>
      </c>
      <c r="O428" s="849">
        <v>0.0</v>
      </c>
      <c r="P428" s="849">
        <v>0.0</v>
      </c>
      <c r="Q428" s="849">
        <v>0.0</v>
      </c>
      <c r="R428" s="849">
        <v>0.0</v>
      </c>
      <c r="S428" s="849">
        <v>0.0</v>
      </c>
      <c r="T428" s="849">
        <v>0.0</v>
      </c>
      <c r="U428" s="849">
        <v>0.0</v>
      </c>
      <c r="V428" s="849">
        <v>0.0</v>
      </c>
      <c r="W428" s="849">
        <v>0.0</v>
      </c>
      <c r="X428" s="849">
        <v>0.0</v>
      </c>
      <c r="Y428" s="849">
        <v>0.0</v>
      </c>
      <c r="Z428" s="849">
        <v>0.0</v>
      </c>
      <c r="AA428" s="849">
        <v>0.0</v>
      </c>
      <c r="AB428" s="849">
        <v>0.0</v>
      </c>
      <c r="AC428" s="849">
        <v>0.0</v>
      </c>
      <c r="AD428" s="849">
        <v>0.0</v>
      </c>
      <c r="AE428" s="849">
        <v>0.0</v>
      </c>
      <c r="AF428" s="849">
        <v>0.0</v>
      </c>
      <c r="AG428" s="849">
        <v>0.0</v>
      </c>
      <c r="AH428" s="849">
        <v>0.0</v>
      </c>
      <c r="AI428" s="849">
        <v>0.0</v>
      </c>
      <c r="AJ428" s="794" t="str">
        <f t="shared" ref="AJ428:AK428" si="853">C428</f>
        <v>G24001</v>
      </c>
      <c r="AK428" s="794" t="str">
        <f t="shared" si="853"/>
        <v>INVENTAIRE EBLOCK</v>
      </c>
      <c r="AL428" s="794">
        <f t="array" ref="AL428">IFERROR(INDEX(G428:R428,1,MATCH(Parametres!$B$3,G$1:R$1,0)-1)*IF(OR(F428="L",F428="S",F428="I"),-1,1),"")</f>
        <v>0</v>
      </c>
      <c r="AM428" s="794">
        <f t="shared" si="4"/>
        <v>0</v>
      </c>
      <c r="AN428" s="794">
        <f t="array" ref="AN428">INDEX(G428:R428,1,MATCH(Parametres!$B$3,G$1:R$1,0))*IF(OR(F428="L",F428="S",F428="I"),-1,1)</f>
        <v>0</v>
      </c>
      <c r="AO428" s="853" t="str">
        <f>+VLOOKUP($AJ428,Data_Validation!$A:$D,1,0)</f>
        <v>#N/A</v>
      </c>
      <c r="AP428" s="853" t="str">
        <f>+VLOOKUP($AJ428,Data_Validation!$A:$D,3,0)</f>
        <v>#N/A</v>
      </c>
      <c r="AQ428" s="853" t="str">
        <f>+VLOOKUP($AJ428,Data_Validation!$A:$D,4,0)</f>
        <v>#N/A</v>
      </c>
      <c r="AR428" s="853" t="s">
        <v>728</v>
      </c>
      <c r="AS428" s="853" t="str">
        <f>+VLOOKUP($AJ428,Data_Validation!$A:$E,5,0)</f>
        <v>#N/A</v>
      </c>
      <c r="AT428" s="794" t="str">
        <f t="shared" ref="AT428:AU428" si="854">C428</f>
        <v>G24001</v>
      </c>
      <c r="AU428" s="854" t="str">
        <f t="shared" si="854"/>
        <v>INVENTAIRE EBLOCK</v>
      </c>
      <c r="AV428" s="794">
        <f t="array" ref="AV428">IFERROR(INDEX(V428:AG428,1,MATCH(Parametres!$B$3,V$1:AG$1,0)-1)*IF(OR(C428="L",C428="S",C428="I"),-1,1),"")</f>
        <v>0</v>
      </c>
      <c r="AW428" s="794">
        <f t="shared" si="6"/>
        <v>0</v>
      </c>
      <c r="AX428" s="794">
        <f t="array" ref="AX428">INDEX(V428:AG428,1,MATCH(Parametres!$B$3,V$1:AG$1,0))*IF(OR(C428="L",C428="S",C428="I"),-1,1)</f>
        <v>0</v>
      </c>
      <c r="AY428" s="853" t="s">
        <v>772</v>
      </c>
      <c r="AZ428" s="853" t="str">
        <f>+VLOOKUP($AJ428,Data_Validation!$A:$E,5,0)</f>
        <v>#N/A</v>
      </c>
    </row>
    <row r="429" ht="15.75" customHeight="1">
      <c r="A429" s="849" t="s">
        <v>1239</v>
      </c>
      <c r="B429" s="849">
        <v>2026.0</v>
      </c>
      <c r="C429" s="849" t="s">
        <v>2083</v>
      </c>
      <c r="D429" s="849" t="s">
        <v>2084</v>
      </c>
      <c r="E429" s="849" t="s">
        <v>2072</v>
      </c>
      <c r="F429" s="849" t="s">
        <v>1926</v>
      </c>
      <c r="G429" s="849">
        <v>7206178.3</v>
      </c>
      <c r="H429" s="849">
        <v>6527296.33</v>
      </c>
      <c r="I429" s="849">
        <v>6820594.34</v>
      </c>
      <c r="J429" s="849">
        <v>6394296.49</v>
      </c>
      <c r="K429" s="849">
        <v>4808499.69</v>
      </c>
      <c r="L429" s="849">
        <v>3645155.39</v>
      </c>
      <c r="M429" s="849">
        <v>2408526.6</v>
      </c>
      <c r="N429" s="849">
        <v>2484544.34</v>
      </c>
      <c r="O429" s="849">
        <v>2232958.64</v>
      </c>
      <c r="P429" s="849">
        <v>2189277.66</v>
      </c>
      <c r="Q429" s="849">
        <v>0.0</v>
      </c>
      <c r="R429" s="849">
        <v>0.0</v>
      </c>
      <c r="S429" s="849">
        <v>0.0</v>
      </c>
      <c r="T429" s="849">
        <v>0.0</v>
      </c>
      <c r="U429" s="849">
        <v>0.0</v>
      </c>
      <c r="V429" s="849">
        <v>0.0</v>
      </c>
      <c r="W429" s="849">
        <v>0.0</v>
      </c>
      <c r="X429" s="849">
        <v>0.0</v>
      </c>
      <c r="Y429" s="849">
        <v>0.0</v>
      </c>
      <c r="Z429" s="849">
        <v>0.0</v>
      </c>
      <c r="AA429" s="849">
        <v>0.0</v>
      </c>
      <c r="AB429" s="849">
        <v>0.0</v>
      </c>
      <c r="AC429" s="849">
        <v>0.0</v>
      </c>
      <c r="AD429" s="849">
        <v>0.0</v>
      </c>
      <c r="AE429" s="849">
        <v>0.0</v>
      </c>
      <c r="AF429" s="849">
        <v>0.0</v>
      </c>
      <c r="AG429" s="849">
        <v>0.0</v>
      </c>
      <c r="AH429" s="849">
        <v>0.0</v>
      </c>
      <c r="AI429" s="849">
        <v>0.0</v>
      </c>
      <c r="AJ429" s="794" t="str">
        <f t="shared" ref="AJ429:AK429" si="855">C429</f>
        <v>G24100</v>
      </c>
      <c r="AK429" s="794" t="str">
        <f t="shared" si="855"/>
        <v>INV. CAMIONS USAGES</v>
      </c>
      <c r="AL429" s="794">
        <f t="array" ref="AL429">IFERROR(INDEX(G429:R429,1,MATCH(Parametres!$B$3,G$1:R$1,0)-1)*IF(OR(F429="L",F429="S",F429="I"),-1,1),"")</f>
        <v>2484544.34</v>
      </c>
      <c r="AM429" s="794">
        <f t="shared" si="4"/>
        <v>-251585.7</v>
      </c>
      <c r="AN429" s="794">
        <f t="array" ref="AN429">INDEX(G429:R429,1,MATCH(Parametres!$B$3,G$1:R$1,0))*IF(OR(F429="L",F429="S",F429="I"),-1,1)</f>
        <v>2232958.64</v>
      </c>
      <c r="AO429" s="853" t="str">
        <f>+VLOOKUP($AJ429,Data_Validation!$A:$D,1,0)</f>
        <v>G24100</v>
      </c>
      <c r="AP429" s="853" t="str">
        <f>+VLOOKUP($AJ429,Data_Validation!$A:$D,3,0)</f>
        <v>Bilan</v>
      </c>
      <c r="AQ429" s="853" t="str">
        <f>+VLOOKUP($AJ429,Data_Validation!$A:$D,4,0)</f>
        <v>Inventaire Véhicules Usagés</v>
      </c>
      <c r="AR429" s="853" t="s">
        <v>728</v>
      </c>
      <c r="AS429" s="853" t="str">
        <f>+VLOOKUP($AJ429,Data_Validation!$A:$E,5,0)</f>
        <v/>
      </c>
      <c r="AT429" s="794" t="str">
        <f t="shared" ref="AT429:AU429" si="856">C429</f>
        <v>G24100</v>
      </c>
      <c r="AU429" s="854" t="str">
        <f t="shared" si="856"/>
        <v>INV. CAMIONS USAGES</v>
      </c>
      <c r="AV429" s="794">
        <f t="array" ref="AV429">IFERROR(INDEX(V429:AG429,1,MATCH(Parametres!$B$3,V$1:AG$1,0)-1)*IF(OR(C429="L",C429="S",C429="I"),-1,1),"")</f>
        <v>0</v>
      </c>
      <c r="AW429" s="794">
        <f t="shared" si="6"/>
        <v>0</v>
      </c>
      <c r="AX429" s="794">
        <f t="array" ref="AX429">INDEX(V429:AG429,1,MATCH(Parametres!$B$3,V$1:AG$1,0))*IF(OR(C429="L",C429="S",C429="I"),-1,1)</f>
        <v>0</v>
      </c>
      <c r="AY429" s="853" t="s">
        <v>772</v>
      </c>
      <c r="AZ429" s="853" t="str">
        <f>+VLOOKUP($AJ429,Data_Validation!$A:$E,5,0)</f>
        <v/>
      </c>
    </row>
    <row r="430" ht="15.75" customHeight="1">
      <c r="A430" s="849" t="s">
        <v>1239</v>
      </c>
      <c r="B430" s="849">
        <v>2026.0</v>
      </c>
      <c r="C430" s="849" t="s">
        <v>2085</v>
      </c>
      <c r="D430" s="849" t="s">
        <v>2086</v>
      </c>
      <c r="E430" s="849" t="s">
        <v>2072</v>
      </c>
      <c r="F430" s="849" t="s">
        <v>1926</v>
      </c>
      <c r="G430" s="849">
        <v>0.0</v>
      </c>
      <c r="H430" s="849">
        <v>0.0</v>
      </c>
      <c r="I430" s="849">
        <v>0.0</v>
      </c>
      <c r="J430" s="849">
        <v>0.0</v>
      </c>
      <c r="K430" s="849">
        <v>0.0</v>
      </c>
      <c r="L430" s="849">
        <v>0.0</v>
      </c>
      <c r="M430" s="849">
        <v>392814.3</v>
      </c>
      <c r="N430" s="849">
        <v>612927.8</v>
      </c>
      <c r="O430" s="849">
        <v>448666.94</v>
      </c>
      <c r="P430" s="849">
        <v>541055.77</v>
      </c>
      <c r="Q430" s="849">
        <v>0.0</v>
      </c>
      <c r="R430" s="849">
        <v>0.0</v>
      </c>
      <c r="S430" s="849">
        <v>0.0</v>
      </c>
      <c r="T430" s="849">
        <v>0.0</v>
      </c>
      <c r="U430" s="849">
        <v>0.0</v>
      </c>
      <c r="V430" s="849">
        <v>0.0</v>
      </c>
      <c r="W430" s="849">
        <v>0.0</v>
      </c>
      <c r="X430" s="849">
        <v>0.0</v>
      </c>
      <c r="Y430" s="849">
        <v>0.0</v>
      </c>
      <c r="Z430" s="849">
        <v>0.0</v>
      </c>
      <c r="AA430" s="849">
        <v>0.0</v>
      </c>
      <c r="AB430" s="849">
        <v>0.0</v>
      </c>
      <c r="AC430" s="849">
        <v>0.0</v>
      </c>
      <c r="AD430" s="849">
        <v>0.0</v>
      </c>
      <c r="AE430" s="849">
        <v>0.0</v>
      </c>
      <c r="AF430" s="849">
        <v>0.0</v>
      </c>
      <c r="AG430" s="849">
        <v>0.0</v>
      </c>
      <c r="AH430" s="849">
        <v>0.0</v>
      </c>
      <c r="AI430" s="849">
        <v>0.0</v>
      </c>
      <c r="AJ430" s="794" t="str">
        <f t="shared" ref="AJ430:AK430" si="857">C430</f>
        <v>G24102</v>
      </c>
      <c r="AK430" s="794" t="str">
        <f t="shared" si="857"/>
        <v>INV. WHOLESALE CANADA</v>
      </c>
      <c r="AL430" s="794">
        <f t="array" ref="AL430">IFERROR(INDEX(G430:R430,1,MATCH(Parametres!$B$3,G$1:R$1,0)-1)*IF(OR(F430="L",F430="S",F430="I"),-1,1),"")</f>
        <v>612927.8</v>
      </c>
      <c r="AM430" s="794">
        <f t="shared" si="4"/>
        <v>-164260.86</v>
      </c>
      <c r="AN430" s="794">
        <f t="array" ref="AN430">INDEX(G430:R430,1,MATCH(Parametres!$B$3,G$1:R$1,0))*IF(OR(F430="L",F430="S",F430="I"),-1,1)</f>
        <v>448666.94</v>
      </c>
      <c r="AO430" s="853" t="str">
        <f>+VLOOKUP($AJ430,Data_Validation!$A:$D,1,0)</f>
        <v>G24102</v>
      </c>
      <c r="AP430" s="853" t="str">
        <f>+VLOOKUP($AJ430,Data_Validation!$A:$D,3,0)</f>
        <v>Bilan</v>
      </c>
      <c r="AQ430" s="853" t="str">
        <f>+VLOOKUP($AJ430,Data_Validation!$A:$D,4,0)</f>
        <v>Inventaire Véhicules Usagés</v>
      </c>
      <c r="AR430" s="853" t="s">
        <v>728</v>
      </c>
      <c r="AS430" s="853" t="str">
        <f>+VLOOKUP($AJ430,Data_Validation!$A:$E,5,0)</f>
        <v/>
      </c>
      <c r="AT430" s="794" t="str">
        <f t="shared" ref="AT430:AU430" si="858">C430</f>
        <v>G24102</v>
      </c>
      <c r="AU430" s="854" t="str">
        <f t="shared" si="858"/>
        <v>INV. WHOLESALE CANADA</v>
      </c>
      <c r="AV430" s="794">
        <f t="array" ref="AV430">IFERROR(INDEX(V430:AG430,1,MATCH(Parametres!$B$3,V$1:AG$1,0)-1)*IF(OR(C430="L",C430="S",C430="I"),-1,1),"")</f>
        <v>0</v>
      </c>
      <c r="AW430" s="794">
        <f t="shared" si="6"/>
        <v>0</v>
      </c>
      <c r="AX430" s="794">
        <f t="array" ref="AX430">INDEX(V430:AG430,1,MATCH(Parametres!$B$3,V$1:AG$1,0))*IF(OR(C430="L",C430="S",C430="I"),-1,1)</f>
        <v>0</v>
      </c>
      <c r="AY430" s="853" t="s">
        <v>772</v>
      </c>
      <c r="AZ430" s="853" t="str">
        <f>+VLOOKUP($AJ430,Data_Validation!$A:$E,5,0)</f>
        <v/>
      </c>
    </row>
    <row r="431" ht="15.75" customHeight="1">
      <c r="A431" s="849" t="s">
        <v>1239</v>
      </c>
      <c r="B431" s="849">
        <v>2026.0</v>
      </c>
      <c r="C431" s="849" t="s">
        <v>2087</v>
      </c>
      <c r="D431" s="849" t="s">
        <v>2088</v>
      </c>
      <c r="E431" s="849" t="s">
        <v>2072</v>
      </c>
      <c r="F431" s="849" t="s">
        <v>1926</v>
      </c>
      <c r="G431" s="849">
        <v>1.228062539E7</v>
      </c>
      <c r="H431" s="849">
        <v>1.167397565E7</v>
      </c>
      <c r="I431" s="849">
        <v>1.432309035E7</v>
      </c>
      <c r="J431" s="849">
        <v>1.615276656E7</v>
      </c>
      <c r="K431" s="849">
        <v>1.337524125E7</v>
      </c>
      <c r="L431" s="849">
        <v>1.074125182E7</v>
      </c>
      <c r="M431" s="849">
        <v>8076445.71</v>
      </c>
      <c r="N431" s="849">
        <v>3150620.23</v>
      </c>
      <c r="O431" s="849">
        <v>2545782.18</v>
      </c>
      <c r="P431" s="849">
        <v>2270991.25</v>
      </c>
      <c r="Q431" s="849">
        <v>0.0</v>
      </c>
      <c r="R431" s="849">
        <v>0.0</v>
      </c>
      <c r="S431" s="849">
        <v>0.0</v>
      </c>
      <c r="T431" s="849">
        <v>0.0</v>
      </c>
      <c r="U431" s="849">
        <v>0.0</v>
      </c>
      <c r="V431" s="849">
        <v>0.0</v>
      </c>
      <c r="W431" s="849">
        <v>0.0</v>
      </c>
      <c r="X431" s="849">
        <v>0.0</v>
      </c>
      <c r="Y431" s="849">
        <v>0.0</v>
      </c>
      <c r="Z431" s="849">
        <v>0.0</v>
      </c>
      <c r="AA431" s="849">
        <v>0.0</v>
      </c>
      <c r="AB431" s="849">
        <v>0.0</v>
      </c>
      <c r="AC431" s="849">
        <v>0.0</v>
      </c>
      <c r="AD431" s="849">
        <v>0.0</v>
      </c>
      <c r="AE431" s="849">
        <v>0.0</v>
      </c>
      <c r="AF431" s="849">
        <v>0.0</v>
      </c>
      <c r="AG431" s="849">
        <v>0.0</v>
      </c>
      <c r="AH431" s="849">
        <v>0.0</v>
      </c>
      <c r="AI431" s="849">
        <v>0.0</v>
      </c>
      <c r="AJ431" s="794" t="str">
        <f t="shared" ref="AJ431:AK431" si="859">C431</f>
        <v>G24103</v>
      </c>
      <c r="AK431" s="794" t="str">
        <f t="shared" si="859"/>
        <v>INV. WHOLESALE U.S.A</v>
      </c>
      <c r="AL431" s="794">
        <f t="array" ref="AL431">IFERROR(INDEX(G431:R431,1,MATCH(Parametres!$B$3,G$1:R$1,0)-1)*IF(OR(F431="L",F431="S",F431="I"),-1,1),"")</f>
        <v>3150620.23</v>
      </c>
      <c r="AM431" s="794">
        <f t="shared" si="4"/>
        <v>-604838.05</v>
      </c>
      <c r="AN431" s="794">
        <f t="array" ref="AN431">INDEX(G431:R431,1,MATCH(Parametres!$B$3,G$1:R$1,0))*IF(OR(F431="L",F431="S",F431="I"),-1,1)</f>
        <v>2545782.18</v>
      </c>
      <c r="AO431" s="853" t="str">
        <f>+VLOOKUP($AJ431,Data_Validation!$A:$D,1,0)</f>
        <v>G24103</v>
      </c>
      <c r="AP431" s="853" t="str">
        <f>+VLOOKUP($AJ431,Data_Validation!$A:$D,3,0)</f>
        <v>Bilan</v>
      </c>
      <c r="AQ431" s="853" t="str">
        <f>+VLOOKUP($AJ431,Data_Validation!$A:$D,4,0)</f>
        <v>Inventaire Véhicules Usagés</v>
      </c>
      <c r="AR431" s="853" t="s">
        <v>728</v>
      </c>
      <c r="AS431" s="853" t="str">
        <f>+VLOOKUP($AJ431,Data_Validation!$A:$E,5,0)</f>
        <v/>
      </c>
      <c r="AT431" s="794" t="str">
        <f t="shared" ref="AT431:AU431" si="860">C431</f>
        <v>G24103</v>
      </c>
      <c r="AU431" s="854" t="str">
        <f t="shared" si="860"/>
        <v>INV. WHOLESALE U.S.A</v>
      </c>
      <c r="AV431" s="794">
        <f t="array" ref="AV431">IFERROR(INDEX(V431:AG431,1,MATCH(Parametres!$B$3,V$1:AG$1,0)-1)*IF(OR(C431="L",C431="S",C431="I"),-1,1),"")</f>
        <v>0</v>
      </c>
      <c r="AW431" s="794">
        <f t="shared" si="6"/>
        <v>0</v>
      </c>
      <c r="AX431" s="794">
        <f t="array" ref="AX431">INDEX(V431:AG431,1,MATCH(Parametres!$B$3,V$1:AG$1,0))*IF(OR(C431="L",C431="S",C431="I"),-1,1)</f>
        <v>0</v>
      </c>
      <c r="AY431" s="853" t="s">
        <v>772</v>
      </c>
      <c r="AZ431" s="853" t="str">
        <f>+VLOOKUP($AJ431,Data_Validation!$A:$E,5,0)</f>
        <v/>
      </c>
    </row>
    <row r="432" ht="15.75" customHeight="1">
      <c r="A432" s="849" t="s">
        <v>1239</v>
      </c>
      <c r="B432" s="849">
        <v>2026.0</v>
      </c>
      <c r="C432" s="849" t="s">
        <v>2089</v>
      </c>
      <c r="D432" s="849" t="s">
        <v>2090</v>
      </c>
      <c r="E432" s="849" t="s">
        <v>2072</v>
      </c>
      <c r="F432" s="849" t="s">
        <v>1926</v>
      </c>
      <c r="G432" s="849">
        <v>0.0</v>
      </c>
      <c r="H432" s="849">
        <v>0.0</v>
      </c>
      <c r="I432" s="849">
        <v>0.0</v>
      </c>
      <c r="J432" s="849">
        <v>0.0</v>
      </c>
      <c r="K432" s="849">
        <v>0.0</v>
      </c>
      <c r="L432" s="849">
        <v>0.0</v>
      </c>
      <c r="M432" s="849">
        <v>1032625.74</v>
      </c>
      <c r="N432" s="849">
        <v>14872.53</v>
      </c>
      <c r="O432" s="849">
        <v>800872.53</v>
      </c>
      <c r="P432" s="849">
        <v>14872.53</v>
      </c>
      <c r="Q432" s="849">
        <v>0.0</v>
      </c>
      <c r="R432" s="849">
        <v>0.0</v>
      </c>
      <c r="S432" s="849">
        <v>0.0</v>
      </c>
      <c r="T432" s="849">
        <v>0.0</v>
      </c>
      <c r="U432" s="849">
        <v>0.0</v>
      </c>
      <c r="V432" s="849">
        <v>0.0</v>
      </c>
      <c r="W432" s="849">
        <v>0.0</v>
      </c>
      <c r="X432" s="849">
        <v>0.0</v>
      </c>
      <c r="Y432" s="849">
        <v>0.0</v>
      </c>
      <c r="Z432" s="849">
        <v>0.0</v>
      </c>
      <c r="AA432" s="849">
        <v>0.0</v>
      </c>
      <c r="AB432" s="849">
        <v>0.0</v>
      </c>
      <c r="AC432" s="849">
        <v>0.0</v>
      </c>
      <c r="AD432" s="849">
        <v>0.0</v>
      </c>
      <c r="AE432" s="849">
        <v>0.0</v>
      </c>
      <c r="AF432" s="849">
        <v>0.0</v>
      </c>
      <c r="AG432" s="849">
        <v>0.0</v>
      </c>
      <c r="AH432" s="849">
        <v>0.0</v>
      </c>
      <c r="AI432" s="849">
        <v>0.0</v>
      </c>
      <c r="AJ432" s="794" t="str">
        <f t="shared" ref="AJ432:AK432" si="861">C432</f>
        <v>G24104</v>
      </c>
      <c r="AK432" s="794" t="str">
        <f t="shared" si="861"/>
        <v>INV. CONSIGNE - W G</v>
      </c>
      <c r="AL432" s="794">
        <f t="array" ref="AL432">IFERROR(INDEX(G432:R432,1,MATCH(Parametres!$B$3,G$1:R$1,0)-1)*IF(OR(F432="L",F432="S",F432="I"),-1,1),"")</f>
        <v>14872.53</v>
      </c>
      <c r="AM432" s="794">
        <f t="shared" si="4"/>
        <v>786000</v>
      </c>
      <c r="AN432" s="794">
        <f t="array" ref="AN432">INDEX(G432:R432,1,MATCH(Parametres!$B$3,G$1:R$1,0))*IF(OR(F432="L",F432="S",F432="I"),-1,1)</f>
        <v>800872.53</v>
      </c>
      <c r="AO432" s="853" t="str">
        <f>+VLOOKUP($AJ432,Data_Validation!$A:$D,1,0)</f>
        <v>G24104</v>
      </c>
      <c r="AP432" s="853" t="str">
        <f>+VLOOKUP($AJ432,Data_Validation!$A:$D,3,0)</f>
        <v>Bilan</v>
      </c>
      <c r="AQ432" s="853" t="str">
        <f>+VLOOKUP($AJ432,Data_Validation!$A:$D,4,0)</f>
        <v>Inventaire Véhicules Usagés</v>
      </c>
      <c r="AR432" s="853" t="s">
        <v>728</v>
      </c>
      <c r="AS432" s="853" t="str">
        <f>+VLOOKUP($AJ432,Data_Validation!$A:$E,5,0)</f>
        <v/>
      </c>
      <c r="AT432" s="794" t="str">
        <f t="shared" ref="AT432:AU432" si="862">C432</f>
        <v>G24104</v>
      </c>
      <c r="AU432" s="854" t="str">
        <f t="shared" si="862"/>
        <v>INV. CONSIGNE - W G</v>
      </c>
      <c r="AV432" s="794">
        <f t="array" ref="AV432">IFERROR(INDEX(V432:AG432,1,MATCH(Parametres!$B$3,V$1:AG$1,0)-1)*IF(OR(C432="L",C432="S",C432="I"),-1,1),"")</f>
        <v>0</v>
      </c>
      <c r="AW432" s="794">
        <f t="shared" si="6"/>
        <v>0</v>
      </c>
      <c r="AX432" s="794">
        <f t="array" ref="AX432">INDEX(V432:AG432,1,MATCH(Parametres!$B$3,V$1:AG$1,0))*IF(OR(C432="L",C432="S",C432="I"),-1,1)</f>
        <v>0</v>
      </c>
      <c r="AY432" s="853" t="s">
        <v>772</v>
      </c>
      <c r="AZ432" s="853" t="str">
        <f>+VLOOKUP($AJ432,Data_Validation!$A:$E,5,0)</f>
        <v/>
      </c>
    </row>
    <row r="433" ht="15.75" customHeight="1">
      <c r="A433" s="849" t="s">
        <v>1239</v>
      </c>
      <c r="B433" s="849">
        <v>2026.0</v>
      </c>
      <c r="C433" s="849" t="s">
        <v>2091</v>
      </c>
      <c r="D433" s="849" t="s">
        <v>2092</v>
      </c>
      <c r="E433" s="849" t="s">
        <v>768</v>
      </c>
      <c r="F433" s="849" t="s">
        <v>1926</v>
      </c>
      <c r="G433" s="849">
        <v>0.0</v>
      </c>
      <c r="H433" s="849">
        <v>0.0</v>
      </c>
      <c r="I433" s="849">
        <v>0.0</v>
      </c>
      <c r="J433" s="849">
        <v>0.0</v>
      </c>
      <c r="K433" s="849">
        <v>0.0</v>
      </c>
      <c r="L433" s="849">
        <v>0.0</v>
      </c>
      <c r="M433" s="849">
        <v>0.0</v>
      </c>
      <c r="N433" s="849">
        <v>0.0</v>
      </c>
      <c r="O433" s="849">
        <v>0.0</v>
      </c>
      <c r="P433" s="849">
        <v>0.0</v>
      </c>
      <c r="Q433" s="849">
        <v>0.0</v>
      </c>
      <c r="R433" s="849">
        <v>0.0</v>
      </c>
      <c r="S433" s="849">
        <v>0.0</v>
      </c>
      <c r="T433" s="849">
        <v>0.0</v>
      </c>
      <c r="U433" s="849">
        <v>0.0</v>
      </c>
      <c r="V433" s="849">
        <v>0.0</v>
      </c>
      <c r="W433" s="849">
        <v>0.0</v>
      </c>
      <c r="X433" s="849">
        <v>0.0</v>
      </c>
      <c r="Y433" s="849">
        <v>0.0</v>
      </c>
      <c r="Z433" s="849">
        <v>0.0</v>
      </c>
      <c r="AA433" s="849">
        <v>0.0</v>
      </c>
      <c r="AB433" s="849">
        <v>0.0</v>
      </c>
      <c r="AC433" s="849">
        <v>0.0</v>
      </c>
      <c r="AD433" s="849">
        <v>0.0</v>
      </c>
      <c r="AE433" s="849">
        <v>0.0</v>
      </c>
      <c r="AF433" s="849">
        <v>0.0</v>
      </c>
      <c r="AG433" s="849">
        <v>0.0</v>
      </c>
      <c r="AH433" s="849">
        <v>0.0</v>
      </c>
      <c r="AI433" s="849">
        <v>0.0</v>
      </c>
      <c r="AJ433" s="794" t="str">
        <f t="shared" ref="AJ433:AK433" si="863">C433</f>
        <v>G242A</v>
      </c>
      <c r="AK433" s="794" t="str">
        <f t="shared" si="863"/>
        <v>PIECES D'ECHANGES</v>
      </c>
      <c r="AL433" s="794">
        <f t="array" ref="AL433">IFERROR(INDEX(G433:R433,1,MATCH(Parametres!$B$3,G$1:R$1,0)-1)*IF(OR(F433="L",F433="S",F433="I"),-1,1),"")</f>
        <v>0</v>
      </c>
      <c r="AM433" s="794">
        <f t="shared" si="4"/>
        <v>0</v>
      </c>
      <c r="AN433" s="794">
        <f t="array" ref="AN433">INDEX(G433:R433,1,MATCH(Parametres!$B$3,G$1:R$1,0))*IF(OR(F433="L",F433="S",F433="I"),-1,1)</f>
        <v>0</v>
      </c>
      <c r="AO433" s="853" t="str">
        <f>+VLOOKUP($AJ433,Data_Validation!$A:$D,1,0)</f>
        <v>#N/A</v>
      </c>
      <c r="AP433" s="853" t="str">
        <f>+VLOOKUP($AJ433,Data_Validation!$A:$D,3,0)</f>
        <v>#N/A</v>
      </c>
      <c r="AQ433" s="853" t="str">
        <f>+VLOOKUP($AJ433,Data_Validation!$A:$D,4,0)</f>
        <v>#N/A</v>
      </c>
      <c r="AR433" s="853" t="s">
        <v>728</v>
      </c>
      <c r="AS433" s="853" t="str">
        <f>+VLOOKUP($AJ433,Data_Validation!$A:$E,5,0)</f>
        <v>#N/A</v>
      </c>
      <c r="AT433" s="794" t="str">
        <f t="shared" ref="AT433:AU433" si="864">C433</f>
        <v>G242A</v>
      </c>
      <c r="AU433" s="854" t="str">
        <f t="shared" si="864"/>
        <v>PIECES D'ECHANGES</v>
      </c>
      <c r="AV433" s="794">
        <f t="array" ref="AV433">IFERROR(INDEX(V433:AG433,1,MATCH(Parametres!$B$3,V$1:AG$1,0)-1)*IF(OR(C433="L",C433="S",C433="I"),-1,1),"")</f>
        <v>0</v>
      </c>
      <c r="AW433" s="794">
        <f t="shared" si="6"/>
        <v>0</v>
      </c>
      <c r="AX433" s="794">
        <f t="array" ref="AX433">INDEX(V433:AG433,1,MATCH(Parametres!$B$3,V$1:AG$1,0))*IF(OR(C433="L",C433="S",C433="I"),-1,1)</f>
        <v>0</v>
      </c>
      <c r="AY433" s="853" t="s">
        <v>772</v>
      </c>
      <c r="AZ433" s="853" t="str">
        <f>+VLOOKUP($AJ433,Data_Validation!$A:$E,5,0)</f>
        <v>#N/A</v>
      </c>
    </row>
    <row r="434" ht="15.75" customHeight="1">
      <c r="A434" s="849" t="s">
        <v>1239</v>
      </c>
      <c r="B434" s="849">
        <v>2026.0</v>
      </c>
      <c r="C434" s="849" t="s">
        <v>2093</v>
      </c>
      <c r="D434" s="849" t="s">
        <v>2094</v>
      </c>
      <c r="E434" s="849" t="s">
        <v>768</v>
      </c>
      <c r="F434" s="849" t="s">
        <v>1926</v>
      </c>
      <c r="G434" s="849">
        <v>281431.53</v>
      </c>
      <c r="H434" s="849">
        <v>297091.29</v>
      </c>
      <c r="I434" s="849">
        <v>278689.3</v>
      </c>
      <c r="J434" s="849">
        <v>319177.27</v>
      </c>
      <c r="K434" s="849">
        <v>359343.0</v>
      </c>
      <c r="L434" s="849">
        <v>343010.91</v>
      </c>
      <c r="M434" s="849">
        <v>549014.9</v>
      </c>
      <c r="N434" s="849">
        <v>515573.48</v>
      </c>
      <c r="O434" s="849">
        <v>559881.85</v>
      </c>
      <c r="P434" s="849">
        <v>574006.07</v>
      </c>
      <c r="Q434" s="849">
        <v>0.0</v>
      </c>
      <c r="R434" s="849">
        <v>0.0</v>
      </c>
      <c r="S434" s="849">
        <v>0.0</v>
      </c>
      <c r="T434" s="849">
        <v>0.0</v>
      </c>
      <c r="U434" s="849">
        <v>0.0</v>
      </c>
      <c r="V434" s="849">
        <v>0.0</v>
      </c>
      <c r="W434" s="849">
        <v>0.0</v>
      </c>
      <c r="X434" s="849">
        <v>0.0</v>
      </c>
      <c r="Y434" s="849">
        <v>0.0</v>
      </c>
      <c r="Z434" s="849">
        <v>0.0</v>
      </c>
      <c r="AA434" s="849">
        <v>0.0</v>
      </c>
      <c r="AB434" s="849">
        <v>0.0</v>
      </c>
      <c r="AC434" s="849">
        <v>0.0</v>
      </c>
      <c r="AD434" s="849">
        <v>0.0</v>
      </c>
      <c r="AE434" s="849">
        <v>0.0</v>
      </c>
      <c r="AF434" s="849">
        <v>0.0</v>
      </c>
      <c r="AG434" s="849">
        <v>0.0</v>
      </c>
      <c r="AH434" s="849">
        <v>0.0</v>
      </c>
      <c r="AI434" s="849">
        <v>0.0</v>
      </c>
      <c r="AJ434" s="794" t="str">
        <f t="shared" ref="AJ434:AK434" si="865">C434</f>
        <v>G24200</v>
      </c>
      <c r="AK434" s="794" t="str">
        <f t="shared" si="865"/>
        <v>INV. DE PIECES</v>
      </c>
      <c r="AL434" s="794">
        <f t="array" ref="AL434">IFERROR(INDEX(G434:R434,1,MATCH(Parametres!$B$3,G$1:R$1,0)-1)*IF(OR(F434="L",F434="S",F434="I"),-1,1),"")</f>
        <v>515573.48</v>
      </c>
      <c r="AM434" s="794">
        <f t="shared" si="4"/>
        <v>44308.37</v>
      </c>
      <c r="AN434" s="794">
        <f t="array" ref="AN434">INDEX(G434:R434,1,MATCH(Parametres!$B$3,G$1:R$1,0))*IF(OR(F434="L",F434="S",F434="I"),-1,1)</f>
        <v>559881.85</v>
      </c>
      <c r="AO434" s="853" t="str">
        <f>+VLOOKUP($AJ434,Data_Validation!$A:$D,1,0)</f>
        <v>G24200</v>
      </c>
      <c r="AP434" s="853" t="str">
        <f>+VLOOKUP($AJ434,Data_Validation!$A:$D,3,0)</f>
        <v>Bilan</v>
      </c>
      <c r="AQ434" s="853" t="str">
        <f>+VLOOKUP($AJ434,Data_Validation!$A:$D,4,0)</f>
        <v>Inventaire Pièces, Pneus, Huile</v>
      </c>
      <c r="AR434" s="853" t="s">
        <v>728</v>
      </c>
      <c r="AS434" s="853" t="str">
        <f>+VLOOKUP($AJ434,Data_Validation!$A:$E,5,0)</f>
        <v/>
      </c>
      <c r="AT434" s="794" t="str">
        <f t="shared" ref="AT434:AU434" si="866">C434</f>
        <v>G24200</v>
      </c>
      <c r="AU434" s="854" t="str">
        <f t="shared" si="866"/>
        <v>INV. DE PIECES</v>
      </c>
      <c r="AV434" s="794">
        <f t="array" ref="AV434">IFERROR(INDEX(V434:AG434,1,MATCH(Parametres!$B$3,V$1:AG$1,0)-1)*IF(OR(C434="L",C434="S",C434="I"),-1,1),"")</f>
        <v>0</v>
      </c>
      <c r="AW434" s="794">
        <f t="shared" si="6"/>
        <v>0</v>
      </c>
      <c r="AX434" s="794">
        <f t="array" ref="AX434">INDEX(V434:AG434,1,MATCH(Parametres!$B$3,V$1:AG$1,0))*IF(OR(C434="L",C434="S",C434="I"),-1,1)</f>
        <v>0</v>
      </c>
      <c r="AY434" s="853" t="s">
        <v>772</v>
      </c>
      <c r="AZ434" s="853" t="str">
        <f>+VLOOKUP($AJ434,Data_Validation!$A:$E,5,0)</f>
        <v/>
      </c>
    </row>
    <row r="435" ht="15.75" customHeight="1">
      <c r="A435" s="849" t="s">
        <v>1239</v>
      </c>
      <c r="B435" s="849">
        <v>2026.0</v>
      </c>
      <c r="C435" s="849" t="s">
        <v>2095</v>
      </c>
      <c r="D435" s="849" t="s">
        <v>2096</v>
      </c>
      <c r="E435" s="849" t="s">
        <v>768</v>
      </c>
      <c r="F435" s="849" t="s">
        <v>1926</v>
      </c>
      <c r="G435" s="849">
        <v>170986.39</v>
      </c>
      <c r="H435" s="849">
        <v>171866.85</v>
      </c>
      <c r="I435" s="849">
        <v>156331.35</v>
      </c>
      <c r="J435" s="849">
        <v>159733.44</v>
      </c>
      <c r="K435" s="849">
        <v>158162.52</v>
      </c>
      <c r="L435" s="849">
        <v>146949.59</v>
      </c>
      <c r="M435" s="849">
        <v>43569.84</v>
      </c>
      <c r="N435" s="849">
        <v>54011.1</v>
      </c>
      <c r="O435" s="849">
        <v>74782.68</v>
      </c>
      <c r="P435" s="849">
        <v>77720.2</v>
      </c>
      <c r="Q435" s="849">
        <v>0.0</v>
      </c>
      <c r="R435" s="849">
        <v>0.0</v>
      </c>
      <c r="S435" s="849">
        <v>0.0</v>
      </c>
      <c r="T435" s="849">
        <v>0.0</v>
      </c>
      <c r="U435" s="849">
        <v>0.0</v>
      </c>
      <c r="V435" s="849">
        <v>0.0</v>
      </c>
      <c r="W435" s="849">
        <v>0.0</v>
      </c>
      <c r="X435" s="849">
        <v>0.0</v>
      </c>
      <c r="Y435" s="849">
        <v>0.0</v>
      </c>
      <c r="Z435" s="849">
        <v>0.0</v>
      </c>
      <c r="AA435" s="849">
        <v>0.0</v>
      </c>
      <c r="AB435" s="849">
        <v>0.0</v>
      </c>
      <c r="AC435" s="849">
        <v>0.0</v>
      </c>
      <c r="AD435" s="849">
        <v>0.0</v>
      </c>
      <c r="AE435" s="849">
        <v>0.0</v>
      </c>
      <c r="AF435" s="849">
        <v>0.0</v>
      </c>
      <c r="AG435" s="849">
        <v>0.0</v>
      </c>
      <c r="AH435" s="849">
        <v>0.0</v>
      </c>
      <c r="AI435" s="849">
        <v>0.0</v>
      </c>
      <c r="AJ435" s="794" t="str">
        <f t="shared" ref="AJ435:AK435" si="867">C435</f>
        <v>G24300</v>
      </c>
      <c r="AK435" s="794" t="str">
        <f t="shared" si="867"/>
        <v>INV. DE PNEUS</v>
      </c>
      <c r="AL435" s="794">
        <f t="array" ref="AL435">IFERROR(INDEX(G435:R435,1,MATCH(Parametres!$B$3,G$1:R$1,0)-1)*IF(OR(F435="L",F435="S",F435="I"),-1,1),"")</f>
        <v>54011.1</v>
      </c>
      <c r="AM435" s="794">
        <f t="shared" si="4"/>
        <v>20771.58</v>
      </c>
      <c r="AN435" s="794">
        <f t="array" ref="AN435">INDEX(G435:R435,1,MATCH(Parametres!$B$3,G$1:R$1,0))*IF(OR(F435="L",F435="S",F435="I"),-1,1)</f>
        <v>74782.68</v>
      </c>
      <c r="AO435" s="853" t="str">
        <f>+VLOOKUP($AJ435,Data_Validation!$A:$D,1,0)</f>
        <v>G24300</v>
      </c>
      <c r="AP435" s="853" t="str">
        <f>+VLOOKUP($AJ435,Data_Validation!$A:$D,3,0)</f>
        <v>Bilan</v>
      </c>
      <c r="AQ435" s="853" t="str">
        <f>+VLOOKUP($AJ435,Data_Validation!$A:$D,4,0)</f>
        <v>Inventaire Pièces, Pneus, Huile</v>
      </c>
      <c r="AR435" s="853" t="s">
        <v>728</v>
      </c>
      <c r="AS435" s="853" t="str">
        <f>+VLOOKUP($AJ435,Data_Validation!$A:$E,5,0)</f>
        <v/>
      </c>
      <c r="AT435" s="794" t="str">
        <f t="shared" ref="AT435:AU435" si="868">C435</f>
        <v>G24300</v>
      </c>
      <c r="AU435" s="854" t="str">
        <f t="shared" si="868"/>
        <v>INV. DE PNEUS</v>
      </c>
      <c r="AV435" s="794">
        <f t="array" ref="AV435">IFERROR(INDEX(V435:AG435,1,MATCH(Parametres!$B$3,V$1:AG$1,0)-1)*IF(OR(C435="L",C435="S",C435="I"),-1,1),"")</f>
        <v>0</v>
      </c>
      <c r="AW435" s="794">
        <f t="shared" si="6"/>
        <v>0</v>
      </c>
      <c r="AX435" s="794">
        <f t="array" ref="AX435">INDEX(V435:AG435,1,MATCH(Parametres!$B$3,V$1:AG$1,0))*IF(OR(C435="L",C435="S",C435="I"),-1,1)</f>
        <v>0</v>
      </c>
      <c r="AY435" s="853" t="s">
        <v>772</v>
      </c>
      <c r="AZ435" s="853" t="str">
        <f>+VLOOKUP($AJ435,Data_Validation!$A:$E,5,0)</f>
        <v/>
      </c>
    </row>
    <row r="436" ht="15.75" customHeight="1">
      <c r="A436" s="849" t="s">
        <v>1239</v>
      </c>
      <c r="B436" s="849">
        <v>2026.0</v>
      </c>
      <c r="C436" s="849" t="s">
        <v>2097</v>
      </c>
      <c r="D436" s="849" t="s">
        <v>2098</v>
      </c>
      <c r="E436" s="849" t="s">
        <v>768</v>
      </c>
      <c r="F436" s="849" t="s">
        <v>1926</v>
      </c>
      <c r="G436" s="849">
        <v>0.0</v>
      </c>
      <c r="H436" s="849">
        <v>0.0</v>
      </c>
      <c r="I436" s="849">
        <v>0.0</v>
      </c>
      <c r="J436" s="849">
        <v>0.0</v>
      </c>
      <c r="K436" s="849">
        <v>0.0</v>
      </c>
      <c r="L436" s="849">
        <v>0.0</v>
      </c>
      <c r="M436" s="849">
        <v>0.0</v>
      </c>
      <c r="N436" s="849">
        <v>0.0</v>
      </c>
      <c r="O436" s="849">
        <v>0.0</v>
      </c>
      <c r="P436" s="849">
        <v>0.0</v>
      </c>
      <c r="Q436" s="849">
        <v>0.0</v>
      </c>
      <c r="R436" s="849">
        <v>0.0</v>
      </c>
      <c r="S436" s="849">
        <v>0.0</v>
      </c>
      <c r="T436" s="849">
        <v>0.0</v>
      </c>
      <c r="U436" s="849">
        <v>0.0</v>
      </c>
      <c r="V436" s="849">
        <v>0.0</v>
      </c>
      <c r="W436" s="849">
        <v>0.0</v>
      </c>
      <c r="X436" s="849">
        <v>0.0</v>
      </c>
      <c r="Y436" s="849">
        <v>0.0</v>
      </c>
      <c r="Z436" s="849">
        <v>0.0</v>
      </c>
      <c r="AA436" s="849">
        <v>0.0</v>
      </c>
      <c r="AB436" s="849">
        <v>0.0</v>
      </c>
      <c r="AC436" s="849">
        <v>0.0</v>
      </c>
      <c r="AD436" s="849">
        <v>0.0</v>
      </c>
      <c r="AE436" s="849">
        <v>0.0</v>
      </c>
      <c r="AF436" s="849">
        <v>0.0</v>
      </c>
      <c r="AG436" s="849">
        <v>0.0</v>
      </c>
      <c r="AH436" s="849">
        <v>0.0</v>
      </c>
      <c r="AI436" s="849">
        <v>0.0</v>
      </c>
      <c r="AJ436" s="794" t="str">
        <f t="shared" ref="AJ436:AK436" si="869">C436</f>
        <v>G24301</v>
      </c>
      <c r="AK436" s="794" t="str">
        <f t="shared" si="869"/>
        <v>PRE-BOOKING PNEUS</v>
      </c>
      <c r="AL436" s="794">
        <f t="array" ref="AL436">IFERROR(INDEX(G436:R436,1,MATCH(Parametres!$B$3,G$1:R$1,0)-1)*IF(OR(F436="L",F436="S",F436="I"),-1,1),"")</f>
        <v>0</v>
      </c>
      <c r="AM436" s="794">
        <f t="shared" si="4"/>
        <v>0</v>
      </c>
      <c r="AN436" s="794">
        <f t="array" ref="AN436">INDEX(G436:R436,1,MATCH(Parametres!$B$3,G$1:R$1,0))*IF(OR(F436="L",F436="S",F436="I"),-1,1)</f>
        <v>0</v>
      </c>
      <c r="AO436" s="853" t="str">
        <f>+VLOOKUP($AJ436,Data_Validation!$A:$D,1,0)</f>
        <v>#N/A</v>
      </c>
      <c r="AP436" s="853" t="str">
        <f>+VLOOKUP($AJ436,Data_Validation!$A:$D,3,0)</f>
        <v>#N/A</v>
      </c>
      <c r="AQ436" s="853" t="str">
        <f>+VLOOKUP($AJ436,Data_Validation!$A:$D,4,0)</f>
        <v>#N/A</v>
      </c>
      <c r="AR436" s="853" t="s">
        <v>728</v>
      </c>
      <c r="AS436" s="853" t="str">
        <f>+VLOOKUP($AJ436,Data_Validation!$A:$E,5,0)</f>
        <v>#N/A</v>
      </c>
      <c r="AT436" s="794" t="str">
        <f t="shared" ref="AT436:AU436" si="870">C436</f>
        <v>G24301</v>
      </c>
      <c r="AU436" s="854" t="str">
        <f t="shared" si="870"/>
        <v>PRE-BOOKING PNEUS</v>
      </c>
      <c r="AV436" s="794">
        <f t="array" ref="AV436">IFERROR(INDEX(V436:AG436,1,MATCH(Parametres!$B$3,V$1:AG$1,0)-1)*IF(OR(C436="L",C436="S",C436="I"),-1,1),"")</f>
        <v>0</v>
      </c>
      <c r="AW436" s="794">
        <f t="shared" si="6"/>
        <v>0</v>
      </c>
      <c r="AX436" s="794">
        <f t="array" ref="AX436">INDEX(V436:AG436,1,MATCH(Parametres!$B$3,V$1:AG$1,0))*IF(OR(C436="L",C436="S",C436="I"),-1,1)</f>
        <v>0</v>
      </c>
      <c r="AY436" s="853" t="s">
        <v>772</v>
      </c>
      <c r="AZ436" s="853" t="str">
        <f>+VLOOKUP($AJ436,Data_Validation!$A:$E,5,0)</f>
        <v>#N/A</v>
      </c>
    </row>
    <row r="437" ht="15.75" customHeight="1">
      <c r="A437" s="849" t="s">
        <v>1239</v>
      </c>
      <c r="B437" s="849">
        <v>2026.0</v>
      </c>
      <c r="C437" s="849" t="s">
        <v>2099</v>
      </c>
      <c r="D437" s="849" t="s">
        <v>2100</v>
      </c>
      <c r="E437" s="849" t="s">
        <v>768</v>
      </c>
      <c r="F437" s="849" t="s">
        <v>1926</v>
      </c>
      <c r="G437" s="849">
        <v>0.0</v>
      </c>
      <c r="H437" s="849">
        <v>0.0</v>
      </c>
      <c r="I437" s="849">
        <v>0.0</v>
      </c>
      <c r="J437" s="849">
        <v>0.0</v>
      </c>
      <c r="K437" s="849">
        <v>0.0</v>
      </c>
      <c r="L437" s="849">
        <v>0.0</v>
      </c>
      <c r="M437" s="849">
        <v>0.0</v>
      </c>
      <c r="N437" s="849">
        <v>0.0</v>
      </c>
      <c r="O437" s="849">
        <v>0.0</v>
      </c>
      <c r="P437" s="849">
        <v>0.0</v>
      </c>
      <c r="Q437" s="849">
        <v>0.0</v>
      </c>
      <c r="R437" s="849">
        <v>0.0</v>
      </c>
      <c r="S437" s="849">
        <v>0.0</v>
      </c>
      <c r="T437" s="849">
        <v>0.0</v>
      </c>
      <c r="U437" s="849">
        <v>0.0</v>
      </c>
      <c r="V437" s="849">
        <v>0.0</v>
      </c>
      <c r="W437" s="849">
        <v>0.0</v>
      </c>
      <c r="X437" s="849">
        <v>0.0</v>
      </c>
      <c r="Y437" s="849">
        <v>0.0</v>
      </c>
      <c r="Z437" s="849">
        <v>0.0</v>
      </c>
      <c r="AA437" s="849">
        <v>0.0</v>
      </c>
      <c r="AB437" s="849">
        <v>0.0</v>
      </c>
      <c r="AC437" s="849">
        <v>0.0</v>
      </c>
      <c r="AD437" s="849">
        <v>0.0</v>
      </c>
      <c r="AE437" s="849">
        <v>0.0</v>
      </c>
      <c r="AF437" s="849">
        <v>0.0</v>
      </c>
      <c r="AG437" s="849">
        <v>0.0</v>
      </c>
      <c r="AH437" s="849">
        <v>0.0</v>
      </c>
      <c r="AI437" s="849">
        <v>0.0</v>
      </c>
      <c r="AJ437" s="794" t="str">
        <f t="shared" ref="AJ437:AK437" si="871">C437</f>
        <v>G244</v>
      </c>
      <c r="AK437" s="794" t="str">
        <f t="shared" si="871"/>
        <v>INV. ESS.,HUILE,GRAISSE</v>
      </c>
      <c r="AL437" s="794">
        <f t="array" ref="AL437">IFERROR(INDEX(G437:R437,1,MATCH(Parametres!$B$3,G$1:R$1,0)-1)*IF(OR(F437="L",F437="S",F437="I"),-1,1),"")</f>
        <v>0</v>
      </c>
      <c r="AM437" s="794">
        <f t="shared" si="4"/>
        <v>0</v>
      </c>
      <c r="AN437" s="794">
        <f t="array" ref="AN437">INDEX(G437:R437,1,MATCH(Parametres!$B$3,G$1:R$1,0))*IF(OR(F437="L",F437="S",F437="I"),-1,1)</f>
        <v>0</v>
      </c>
      <c r="AO437" s="853" t="str">
        <f>+VLOOKUP($AJ437,Data_Validation!$A:$D,1,0)</f>
        <v>#N/A</v>
      </c>
      <c r="AP437" s="853" t="str">
        <f>+VLOOKUP($AJ437,Data_Validation!$A:$D,3,0)</f>
        <v>#N/A</v>
      </c>
      <c r="AQ437" s="853" t="str">
        <f>+VLOOKUP($AJ437,Data_Validation!$A:$D,4,0)</f>
        <v>#N/A</v>
      </c>
      <c r="AR437" s="853" t="s">
        <v>728</v>
      </c>
      <c r="AS437" s="853" t="str">
        <f>+VLOOKUP($AJ437,Data_Validation!$A:$E,5,0)</f>
        <v>#N/A</v>
      </c>
      <c r="AT437" s="794" t="str">
        <f t="shared" ref="AT437:AU437" si="872">C437</f>
        <v>G244</v>
      </c>
      <c r="AU437" s="854" t="str">
        <f t="shared" si="872"/>
        <v>INV. ESS.,HUILE,GRAISSE</v>
      </c>
      <c r="AV437" s="794">
        <f t="array" ref="AV437">IFERROR(INDEX(V437:AG437,1,MATCH(Parametres!$B$3,V$1:AG$1,0)-1)*IF(OR(C437="L",C437="S",C437="I"),-1,1),"")</f>
        <v>0</v>
      </c>
      <c r="AW437" s="794">
        <f t="shared" si="6"/>
        <v>0</v>
      </c>
      <c r="AX437" s="794">
        <f t="array" ref="AX437">INDEX(V437:AG437,1,MATCH(Parametres!$B$3,V$1:AG$1,0))*IF(OR(C437="L",C437="S",C437="I"),-1,1)</f>
        <v>0</v>
      </c>
      <c r="AY437" s="853" t="s">
        <v>772</v>
      </c>
      <c r="AZ437" s="853" t="str">
        <f>+VLOOKUP($AJ437,Data_Validation!$A:$E,5,0)</f>
        <v>#N/A</v>
      </c>
    </row>
    <row r="438" ht="15.75" customHeight="1">
      <c r="A438" s="849" t="s">
        <v>1239</v>
      </c>
      <c r="B438" s="849">
        <v>2026.0</v>
      </c>
      <c r="C438" s="849" t="s">
        <v>2101</v>
      </c>
      <c r="D438" s="849" t="s">
        <v>2102</v>
      </c>
      <c r="E438" s="849" t="s">
        <v>768</v>
      </c>
      <c r="F438" s="849" t="s">
        <v>1926</v>
      </c>
      <c r="G438" s="849">
        <v>2234.71</v>
      </c>
      <c r="H438" s="849">
        <v>-1396.34</v>
      </c>
      <c r="I438" s="849">
        <v>-1020.43</v>
      </c>
      <c r="J438" s="849">
        <v>768.21</v>
      </c>
      <c r="K438" s="849">
        <v>1169.22</v>
      </c>
      <c r="L438" s="849">
        <v>-607.46</v>
      </c>
      <c r="M438" s="849">
        <v>18411.04</v>
      </c>
      <c r="N438" s="849">
        <v>13667.62</v>
      </c>
      <c r="O438" s="849">
        <v>20822.57</v>
      </c>
      <c r="P438" s="849">
        <v>18959.86</v>
      </c>
      <c r="Q438" s="849">
        <v>0.0</v>
      </c>
      <c r="R438" s="849">
        <v>0.0</v>
      </c>
      <c r="S438" s="849">
        <v>0.0</v>
      </c>
      <c r="T438" s="849">
        <v>0.0</v>
      </c>
      <c r="U438" s="849">
        <v>0.0</v>
      </c>
      <c r="V438" s="849">
        <v>0.0</v>
      </c>
      <c r="W438" s="849">
        <v>0.0</v>
      </c>
      <c r="X438" s="849">
        <v>0.0</v>
      </c>
      <c r="Y438" s="849">
        <v>0.0</v>
      </c>
      <c r="Z438" s="849">
        <v>0.0</v>
      </c>
      <c r="AA438" s="849">
        <v>0.0</v>
      </c>
      <c r="AB438" s="849">
        <v>0.0</v>
      </c>
      <c r="AC438" s="849">
        <v>0.0</v>
      </c>
      <c r="AD438" s="849">
        <v>0.0</v>
      </c>
      <c r="AE438" s="849">
        <v>0.0</v>
      </c>
      <c r="AF438" s="849">
        <v>0.0</v>
      </c>
      <c r="AG438" s="849">
        <v>0.0</v>
      </c>
      <c r="AH438" s="849">
        <v>0.0</v>
      </c>
      <c r="AI438" s="849">
        <v>0.0</v>
      </c>
      <c r="AJ438" s="794" t="str">
        <f t="shared" ref="AJ438:AK438" si="873">C438</f>
        <v>G24400</v>
      </c>
      <c r="AK438" s="794" t="str">
        <f t="shared" si="873"/>
        <v>INV. HUILES</v>
      </c>
      <c r="AL438" s="794">
        <f t="array" ref="AL438">IFERROR(INDEX(G438:R438,1,MATCH(Parametres!$B$3,G$1:R$1,0)-1)*IF(OR(F438="L",F438="S",F438="I"),-1,1),"")</f>
        <v>13667.62</v>
      </c>
      <c r="AM438" s="794">
        <f t="shared" si="4"/>
        <v>7154.95</v>
      </c>
      <c r="AN438" s="794">
        <f t="array" ref="AN438">INDEX(G438:R438,1,MATCH(Parametres!$B$3,G$1:R$1,0))*IF(OR(F438="L",F438="S",F438="I"),-1,1)</f>
        <v>20822.57</v>
      </c>
      <c r="AO438" s="853" t="str">
        <f>+VLOOKUP($AJ438,Data_Validation!$A:$D,1,0)</f>
        <v>G24400</v>
      </c>
      <c r="AP438" s="853" t="str">
        <f>+VLOOKUP($AJ438,Data_Validation!$A:$D,3,0)</f>
        <v>Bilan</v>
      </c>
      <c r="AQ438" s="853" t="str">
        <f>+VLOOKUP($AJ438,Data_Validation!$A:$D,4,0)</f>
        <v>Inventaire Pièces, Pneus, Huile</v>
      </c>
      <c r="AR438" s="853" t="s">
        <v>728</v>
      </c>
      <c r="AS438" s="853" t="str">
        <f>+VLOOKUP($AJ438,Data_Validation!$A:$E,5,0)</f>
        <v/>
      </c>
      <c r="AT438" s="794" t="str">
        <f t="shared" ref="AT438:AU438" si="874">C438</f>
        <v>G24400</v>
      </c>
      <c r="AU438" s="854" t="str">
        <f t="shared" si="874"/>
        <v>INV. HUILES</v>
      </c>
      <c r="AV438" s="794">
        <f t="array" ref="AV438">IFERROR(INDEX(V438:AG438,1,MATCH(Parametres!$B$3,V$1:AG$1,0)-1)*IF(OR(C438="L",C438="S",C438="I"),-1,1),"")</f>
        <v>0</v>
      </c>
      <c r="AW438" s="794">
        <f t="shared" si="6"/>
        <v>0</v>
      </c>
      <c r="AX438" s="794">
        <f t="array" ref="AX438">INDEX(V438:AG438,1,MATCH(Parametres!$B$3,V$1:AG$1,0))*IF(OR(C438="L",C438="S",C438="I"),-1,1)</f>
        <v>0</v>
      </c>
      <c r="AY438" s="853" t="s">
        <v>772</v>
      </c>
      <c r="AZ438" s="853" t="str">
        <f>+VLOOKUP($AJ438,Data_Validation!$A:$E,5,0)</f>
        <v/>
      </c>
    </row>
    <row r="439" ht="15.75" customHeight="1">
      <c r="A439" s="849" t="s">
        <v>1239</v>
      </c>
      <c r="B439" s="849">
        <v>2026.0</v>
      </c>
      <c r="C439" s="849" t="s">
        <v>2103</v>
      </c>
      <c r="D439" s="849" t="s">
        <v>2104</v>
      </c>
      <c r="E439" s="849" t="s">
        <v>768</v>
      </c>
      <c r="F439" s="849" t="s">
        <v>1926</v>
      </c>
      <c r="G439" s="849">
        <v>66417.32</v>
      </c>
      <c r="H439" s="849">
        <v>57826.85</v>
      </c>
      <c r="I439" s="849">
        <v>48116.28</v>
      </c>
      <c r="J439" s="849">
        <v>26508.05</v>
      </c>
      <c r="K439" s="849">
        <v>24751.12</v>
      </c>
      <c r="L439" s="849">
        <v>15506.8</v>
      </c>
      <c r="M439" s="849">
        <v>-14260.82</v>
      </c>
      <c r="N439" s="849">
        <v>-5922.52</v>
      </c>
      <c r="O439" s="849">
        <v>1716.95</v>
      </c>
      <c r="P439" s="849">
        <v>2703.61</v>
      </c>
      <c r="Q439" s="849">
        <v>0.0</v>
      </c>
      <c r="R439" s="849">
        <v>0.0</v>
      </c>
      <c r="S439" s="849">
        <v>0.0</v>
      </c>
      <c r="T439" s="849">
        <v>0.0</v>
      </c>
      <c r="U439" s="849">
        <v>0.0</v>
      </c>
      <c r="V439" s="849">
        <v>0.0</v>
      </c>
      <c r="W439" s="849">
        <v>0.0</v>
      </c>
      <c r="X439" s="849">
        <v>0.0</v>
      </c>
      <c r="Y439" s="849">
        <v>0.0</v>
      </c>
      <c r="Z439" s="849">
        <v>0.0</v>
      </c>
      <c r="AA439" s="849">
        <v>0.0</v>
      </c>
      <c r="AB439" s="849">
        <v>0.0</v>
      </c>
      <c r="AC439" s="849">
        <v>0.0</v>
      </c>
      <c r="AD439" s="849">
        <v>0.0</v>
      </c>
      <c r="AE439" s="849">
        <v>0.0</v>
      </c>
      <c r="AF439" s="849">
        <v>0.0</v>
      </c>
      <c r="AG439" s="849">
        <v>0.0</v>
      </c>
      <c r="AH439" s="849">
        <v>0.0</v>
      </c>
      <c r="AI439" s="849">
        <v>0.0</v>
      </c>
      <c r="AJ439" s="794" t="str">
        <f t="shared" ref="AJ439:AK439" si="875">C439</f>
        <v>G24500</v>
      </c>
      <c r="AK439" s="794" t="str">
        <f t="shared" si="875"/>
        <v>INV. DE PEINTURE</v>
      </c>
      <c r="AL439" s="794">
        <f t="array" ref="AL439">IFERROR(INDEX(G439:R439,1,MATCH(Parametres!$B$3,G$1:R$1,0)-1)*IF(OR(F439="L",F439="S",F439="I"),-1,1),"")</f>
        <v>-5922.52</v>
      </c>
      <c r="AM439" s="794">
        <f t="shared" si="4"/>
        <v>7639.47</v>
      </c>
      <c r="AN439" s="794">
        <f t="array" ref="AN439">INDEX(G439:R439,1,MATCH(Parametres!$B$3,G$1:R$1,0))*IF(OR(F439="L",F439="S",F439="I"),-1,1)</f>
        <v>1716.95</v>
      </c>
      <c r="AO439" s="853" t="str">
        <f>+VLOOKUP($AJ439,Data_Validation!$A:$D,1,0)</f>
        <v>G24500</v>
      </c>
      <c r="AP439" s="853" t="str">
        <f>+VLOOKUP($AJ439,Data_Validation!$A:$D,3,0)</f>
        <v>Bilan</v>
      </c>
      <c r="AQ439" s="853" t="str">
        <f>+VLOOKUP($AJ439,Data_Validation!$A:$D,4,0)</f>
        <v>Inventaire Pièces, Pneus, Huile</v>
      </c>
      <c r="AR439" s="853" t="s">
        <v>728</v>
      </c>
      <c r="AS439" s="853" t="str">
        <f>+VLOOKUP($AJ439,Data_Validation!$A:$E,5,0)</f>
        <v/>
      </c>
      <c r="AT439" s="794" t="str">
        <f t="shared" ref="AT439:AU439" si="876">C439</f>
        <v>G24500</v>
      </c>
      <c r="AU439" s="854" t="str">
        <f t="shared" si="876"/>
        <v>INV. DE PEINTURE</v>
      </c>
      <c r="AV439" s="794">
        <f t="array" ref="AV439">IFERROR(INDEX(V439:AG439,1,MATCH(Parametres!$B$3,V$1:AG$1,0)-1)*IF(OR(C439="L",C439="S",C439="I"),-1,1),"")</f>
        <v>0</v>
      </c>
      <c r="AW439" s="794">
        <f t="shared" si="6"/>
        <v>0</v>
      </c>
      <c r="AX439" s="794">
        <f t="array" ref="AX439">INDEX(V439:AG439,1,MATCH(Parametres!$B$3,V$1:AG$1,0))*IF(OR(C439="L",C439="S",C439="I"),-1,1)</f>
        <v>0</v>
      </c>
      <c r="AY439" s="853" t="s">
        <v>772</v>
      </c>
      <c r="AZ439" s="853" t="str">
        <f>+VLOOKUP($AJ439,Data_Validation!$A:$E,5,0)</f>
        <v/>
      </c>
    </row>
    <row r="440" ht="15.75" customHeight="1">
      <c r="A440" s="849" t="s">
        <v>1239</v>
      </c>
      <c r="B440" s="849">
        <v>2026.0</v>
      </c>
      <c r="C440" s="849" t="s">
        <v>2105</v>
      </c>
      <c r="D440" s="849" t="s">
        <v>2106</v>
      </c>
      <c r="E440" s="849" t="s">
        <v>768</v>
      </c>
      <c r="F440" s="849" t="s">
        <v>1926</v>
      </c>
      <c r="G440" s="849">
        <v>0.0</v>
      </c>
      <c r="H440" s="849">
        <v>0.0</v>
      </c>
      <c r="I440" s="849">
        <v>0.0</v>
      </c>
      <c r="J440" s="849">
        <v>0.0</v>
      </c>
      <c r="K440" s="849">
        <v>-3150.02</v>
      </c>
      <c r="L440" s="849">
        <v>-12115.17</v>
      </c>
      <c r="M440" s="849">
        <v>-17224.85</v>
      </c>
      <c r="N440" s="849">
        <v>-22105.92</v>
      </c>
      <c r="O440" s="849">
        <v>-31654.58</v>
      </c>
      <c r="P440" s="849">
        <v>-34033.11</v>
      </c>
      <c r="Q440" s="849">
        <v>0.0</v>
      </c>
      <c r="R440" s="849">
        <v>0.0</v>
      </c>
      <c r="S440" s="849">
        <v>0.0</v>
      </c>
      <c r="T440" s="849">
        <v>0.0</v>
      </c>
      <c r="U440" s="849">
        <v>0.0</v>
      </c>
      <c r="V440" s="849">
        <v>0.0</v>
      </c>
      <c r="W440" s="849">
        <v>0.0</v>
      </c>
      <c r="X440" s="849">
        <v>0.0</v>
      </c>
      <c r="Y440" s="849">
        <v>0.0</v>
      </c>
      <c r="Z440" s="849">
        <v>0.0</v>
      </c>
      <c r="AA440" s="849">
        <v>0.0</v>
      </c>
      <c r="AB440" s="849">
        <v>0.0</v>
      </c>
      <c r="AC440" s="849">
        <v>0.0</v>
      </c>
      <c r="AD440" s="849">
        <v>0.0</v>
      </c>
      <c r="AE440" s="849">
        <v>0.0</v>
      </c>
      <c r="AF440" s="849">
        <v>0.0</v>
      </c>
      <c r="AG440" s="849">
        <v>0.0</v>
      </c>
      <c r="AH440" s="849">
        <v>0.0</v>
      </c>
      <c r="AI440" s="849">
        <v>0.0</v>
      </c>
      <c r="AJ440" s="794" t="str">
        <f t="shared" ref="AJ440:AK440" si="877">C440</f>
        <v>G24501</v>
      </c>
      <c r="AK440" s="794" t="str">
        <f t="shared" si="877"/>
        <v>MATERIEL ATELIER BODY</v>
      </c>
      <c r="AL440" s="794">
        <f t="array" ref="AL440">IFERROR(INDEX(G440:R440,1,MATCH(Parametres!$B$3,G$1:R$1,0)-1)*IF(OR(F440="L",F440="S",F440="I"),-1,1),"")</f>
        <v>-22105.92</v>
      </c>
      <c r="AM440" s="794">
        <f t="shared" si="4"/>
        <v>-9548.66</v>
      </c>
      <c r="AN440" s="794">
        <f t="array" ref="AN440">INDEX(G440:R440,1,MATCH(Parametres!$B$3,G$1:R$1,0))*IF(OR(F440="L",F440="S",F440="I"),-1,1)</f>
        <v>-31654.58</v>
      </c>
      <c r="AO440" s="853" t="str">
        <f>+VLOOKUP($AJ440,Data_Validation!$A:$D,1,0)</f>
        <v>G24501</v>
      </c>
      <c r="AP440" s="853" t="str">
        <f>+VLOOKUP($AJ440,Data_Validation!$A:$D,3,0)</f>
        <v>Bilan</v>
      </c>
      <c r="AQ440" s="853" t="str">
        <f>+VLOOKUP($AJ440,Data_Validation!$A:$D,4,0)</f>
        <v>Inventaire Pièces, Pneus, Huile</v>
      </c>
      <c r="AR440" s="853" t="s">
        <v>728</v>
      </c>
      <c r="AS440" s="853" t="str">
        <f>+VLOOKUP($AJ440,Data_Validation!$A:$E,5,0)</f>
        <v/>
      </c>
      <c r="AT440" s="794" t="str">
        <f t="shared" ref="AT440:AU440" si="878">C440</f>
        <v>G24501</v>
      </c>
      <c r="AU440" s="854" t="str">
        <f t="shared" si="878"/>
        <v>MATERIEL ATELIER BODY</v>
      </c>
      <c r="AV440" s="794">
        <f t="array" ref="AV440">IFERROR(INDEX(V440:AG440,1,MATCH(Parametres!$B$3,V$1:AG$1,0)-1)*IF(OR(C440="L",C440="S",C440="I"),-1,1),"")</f>
        <v>0</v>
      </c>
      <c r="AW440" s="794">
        <f t="shared" si="6"/>
        <v>0</v>
      </c>
      <c r="AX440" s="794">
        <f t="array" ref="AX440">INDEX(V440:AG440,1,MATCH(Parametres!$B$3,V$1:AG$1,0))*IF(OR(C440="L",C440="S",C440="I"),-1,1)</f>
        <v>0</v>
      </c>
      <c r="AY440" s="853" t="s">
        <v>772</v>
      </c>
      <c r="AZ440" s="853" t="str">
        <f>+VLOOKUP($AJ440,Data_Validation!$A:$E,5,0)</f>
        <v/>
      </c>
    </row>
    <row r="441" ht="15.75" customHeight="1">
      <c r="A441" s="849" t="s">
        <v>1239</v>
      </c>
      <c r="B441" s="849">
        <v>2026.0</v>
      </c>
      <c r="C441" s="849" t="s">
        <v>2107</v>
      </c>
      <c r="D441" s="849" t="s">
        <v>2108</v>
      </c>
      <c r="E441" s="849" t="s">
        <v>1959</v>
      </c>
      <c r="F441" s="849" t="s">
        <v>1926</v>
      </c>
      <c r="G441" s="849">
        <v>0.0</v>
      </c>
      <c r="H441" s="849">
        <v>0.0</v>
      </c>
      <c r="I441" s="849">
        <v>0.0</v>
      </c>
      <c r="J441" s="849">
        <v>0.0</v>
      </c>
      <c r="K441" s="849">
        <v>0.0</v>
      </c>
      <c r="L441" s="849">
        <v>0.0</v>
      </c>
      <c r="M441" s="849">
        <v>0.0</v>
      </c>
      <c r="N441" s="849">
        <v>0.0</v>
      </c>
      <c r="O441" s="849">
        <v>0.0</v>
      </c>
      <c r="P441" s="849">
        <v>0.0</v>
      </c>
      <c r="Q441" s="849">
        <v>0.0</v>
      </c>
      <c r="R441" s="849">
        <v>0.0</v>
      </c>
      <c r="S441" s="849">
        <v>0.0</v>
      </c>
      <c r="T441" s="849">
        <v>0.0</v>
      </c>
      <c r="U441" s="849">
        <v>0.0</v>
      </c>
      <c r="V441" s="849">
        <v>0.0</v>
      </c>
      <c r="W441" s="849">
        <v>0.0</v>
      </c>
      <c r="X441" s="849">
        <v>0.0</v>
      </c>
      <c r="Y441" s="849">
        <v>0.0</v>
      </c>
      <c r="Z441" s="849">
        <v>0.0</v>
      </c>
      <c r="AA441" s="849">
        <v>0.0</v>
      </c>
      <c r="AB441" s="849">
        <v>0.0</v>
      </c>
      <c r="AC441" s="849">
        <v>0.0</v>
      </c>
      <c r="AD441" s="849">
        <v>0.0</v>
      </c>
      <c r="AE441" s="849">
        <v>0.0</v>
      </c>
      <c r="AF441" s="849">
        <v>0.0</v>
      </c>
      <c r="AG441" s="849">
        <v>0.0</v>
      </c>
      <c r="AH441" s="849">
        <v>0.0</v>
      </c>
      <c r="AI441" s="849">
        <v>0.0</v>
      </c>
      <c r="AJ441" s="794" t="str">
        <f t="shared" ref="AJ441:AK441" si="879">C441</f>
        <v>G24502</v>
      </c>
      <c r="AK441" s="794" t="str">
        <f t="shared" si="879"/>
        <v>INVENTAIRE F&amp;I INTERNE</v>
      </c>
      <c r="AL441" s="794">
        <f t="array" ref="AL441">IFERROR(INDEX(G441:R441,1,MATCH(Parametres!$B$3,G$1:R$1,0)-1)*IF(OR(F441="L",F441="S",F441="I"),-1,1),"")</f>
        <v>0</v>
      </c>
      <c r="AM441" s="794">
        <f t="shared" si="4"/>
        <v>0</v>
      </c>
      <c r="AN441" s="794">
        <f t="array" ref="AN441">INDEX(G441:R441,1,MATCH(Parametres!$B$3,G$1:R$1,0))*IF(OR(F441="L",F441="S",F441="I"),-1,1)</f>
        <v>0</v>
      </c>
      <c r="AO441" s="853" t="str">
        <f>+VLOOKUP($AJ441,Data_Validation!$A:$D,1,0)</f>
        <v>#N/A</v>
      </c>
      <c r="AP441" s="853" t="str">
        <f>+VLOOKUP($AJ441,Data_Validation!$A:$D,3,0)</f>
        <v>#N/A</v>
      </c>
      <c r="AQ441" s="853" t="str">
        <f>+VLOOKUP($AJ441,Data_Validation!$A:$D,4,0)</f>
        <v>#N/A</v>
      </c>
      <c r="AR441" s="853" t="s">
        <v>728</v>
      </c>
      <c r="AS441" s="853" t="str">
        <f>+VLOOKUP($AJ441,Data_Validation!$A:$E,5,0)</f>
        <v>#N/A</v>
      </c>
      <c r="AT441" s="794" t="str">
        <f t="shared" ref="AT441:AU441" si="880">C441</f>
        <v>G24502</v>
      </c>
      <c r="AU441" s="854" t="str">
        <f t="shared" si="880"/>
        <v>INVENTAIRE F&amp;I INTERNE</v>
      </c>
      <c r="AV441" s="794">
        <f t="array" ref="AV441">IFERROR(INDEX(V441:AG441,1,MATCH(Parametres!$B$3,V$1:AG$1,0)-1)*IF(OR(C441="L",C441="S",C441="I"),-1,1),"")</f>
        <v>0</v>
      </c>
      <c r="AW441" s="794">
        <f t="shared" si="6"/>
        <v>0</v>
      </c>
      <c r="AX441" s="794">
        <f t="array" ref="AX441">INDEX(V441:AG441,1,MATCH(Parametres!$B$3,V$1:AG$1,0))*IF(OR(C441="L",C441="S",C441="I"),-1,1)</f>
        <v>0</v>
      </c>
      <c r="AY441" s="853" t="s">
        <v>772</v>
      </c>
      <c r="AZ441" s="853" t="str">
        <f>+VLOOKUP($AJ441,Data_Validation!$A:$E,5,0)</f>
        <v>#N/A</v>
      </c>
    </row>
    <row r="442" ht="15.75" customHeight="1">
      <c r="A442" s="849" t="s">
        <v>1239</v>
      </c>
      <c r="B442" s="849">
        <v>2026.0</v>
      </c>
      <c r="C442" s="849" t="s">
        <v>2109</v>
      </c>
      <c r="D442" s="849" t="s">
        <v>2110</v>
      </c>
      <c r="E442" s="849" t="s">
        <v>768</v>
      </c>
      <c r="F442" s="849" t="s">
        <v>1926</v>
      </c>
      <c r="G442" s="849">
        <v>0.0</v>
      </c>
      <c r="H442" s="849">
        <v>0.0</v>
      </c>
      <c r="I442" s="849">
        <v>-8841.08</v>
      </c>
      <c r="J442" s="849">
        <v>2842.76</v>
      </c>
      <c r="K442" s="849">
        <v>1000.16</v>
      </c>
      <c r="L442" s="849">
        <v>3641.58</v>
      </c>
      <c r="M442" s="849">
        <v>2446.71</v>
      </c>
      <c r="N442" s="849">
        <v>721.24</v>
      </c>
      <c r="O442" s="849">
        <v>2511.16</v>
      </c>
      <c r="P442" s="849">
        <v>9184.6</v>
      </c>
      <c r="Q442" s="849">
        <v>0.0</v>
      </c>
      <c r="R442" s="849">
        <v>0.0</v>
      </c>
      <c r="S442" s="849">
        <v>0.0</v>
      </c>
      <c r="T442" s="849">
        <v>0.0</v>
      </c>
      <c r="U442" s="849">
        <v>0.0</v>
      </c>
      <c r="V442" s="849">
        <v>0.0</v>
      </c>
      <c r="W442" s="849">
        <v>0.0</v>
      </c>
      <c r="X442" s="849">
        <v>0.0</v>
      </c>
      <c r="Y442" s="849">
        <v>0.0</v>
      </c>
      <c r="Z442" s="849">
        <v>0.0</v>
      </c>
      <c r="AA442" s="849">
        <v>0.0</v>
      </c>
      <c r="AB442" s="849">
        <v>0.0</v>
      </c>
      <c r="AC442" s="849">
        <v>0.0</v>
      </c>
      <c r="AD442" s="849">
        <v>0.0</v>
      </c>
      <c r="AE442" s="849">
        <v>0.0</v>
      </c>
      <c r="AF442" s="849">
        <v>0.0</v>
      </c>
      <c r="AG442" s="849">
        <v>0.0</v>
      </c>
      <c r="AH442" s="849">
        <v>0.0</v>
      </c>
      <c r="AI442" s="849">
        <v>0.0</v>
      </c>
      <c r="AJ442" s="794" t="str">
        <f t="shared" ref="AJ442:AK442" si="881">C442</f>
        <v>G24550</v>
      </c>
      <c r="AK442" s="794" t="str">
        <f t="shared" si="881"/>
        <v>INV ESSENCES</v>
      </c>
      <c r="AL442" s="794">
        <f t="array" ref="AL442">IFERROR(INDEX(G442:R442,1,MATCH(Parametres!$B$3,G$1:R$1,0)-1)*IF(OR(F442="L",F442="S",F442="I"),-1,1),"")</f>
        <v>721.24</v>
      </c>
      <c r="AM442" s="794">
        <f t="shared" si="4"/>
        <v>1789.92</v>
      </c>
      <c r="AN442" s="794">
        <f t="array" ref="AN442">INDEX(G442:R442,1,MATCH(Parametres!$B$3,G$1:R$1,0))*IF(OR(F442="L",F442="S",F442="I"),-1,1)</f>
        <v>2511.16</v>
      </c>
      <c r="AO442" s="853" t="str">
        <f>+VLOOKUP($AJ442,Data_Validation!$A:$D,1,0)</f>
        <v>G24550</v>
      </c>
      <c r="AP442" s="853" t="str">
        <f>+VLOOKUP($AJ442,Data_Validation!$A:$D,3,0)</f>
        <v>Bilan</v>
      </c>
      <c r="AQ442" s="853" t="str">
        <f>+VLOOKUP($AJ442,Data_Validation!$A:$D,4,0)</f>
        <v>Inventaire Pièces, Pneus, Huile</v>
      </c>
      <c r="AR442" s="853" t="s">
        <v>728</v>
      </c>
      <c r="AS442" s="853" t="str">
        <f>+VLOOKUP($AJ442,Data_Validation!$A:$E,5,0)</f>
        <v/>
      </c>
      <c r="AT442" s="794" t="str">
        <f t="shared" ref="AT442:AU442" si="882">C442</f>
        <v>G24550</v>
      </c>
      <c r="AU442" s="854" t="str">
        <f t="shared" si="882"/>
        <v>INV ESSENCES</v>
      </c>
      <c r="AV442" s="794">
        <f t="array" ref="AV442">IFERROR(INDEX(V442:AG442,1,MATCH(Parametres!$B$3,V$1:AG$1,0)-1)*IF(OR(C442="L",C442="S",C442="I"),-1,1),"")</f>
        <v>0</v>
      </c>
      <c r="AW442" s="794">
        <f t="shared" si="6"/>
        <v>0</v>
      </c>
      <c r="AX442" s="794">
        <f t="array" ref="AX442">INDEX(V442:AG442,1,MATCH(Parametres!$B$3,V$1:AG$1,0))*IF(OR(C442="L",C442="S",C442="I"),-1,1)</f>
        <v>0</v>
      </c>
      <c r="AY442" s="853" t="s">
        <v>772</v>
      </c>
      <c r="AZ442" s="853" t="str">
        <f>+VLOOKUP($AJ442,Data_Validation!$A:$E,5,0)</f>
        <v/>
      </c>
    </row>
    <row r="443" ht="15.75" customHeight="1">
      <c r="A443" s="849" t="s">
        <v>1239</v>
      </c>
      <c r="B443" s="849">
        <v>2026.0</v>
      </c>
      <c r="C443" s="849" t="s">
        <v>2111</v>
      </c>
      <c r="D443" s="849" t="s">
        <v>2112</v>
      </c>
      <c r="E443" s="849" t="s">
        <v>768</v>
      </c>
      <c r="F443" s="849" t="s">
        <v>1926</v>
      </c>
      <c r="G443" s="849">
        <v>0.0</v>
      </c>
      <c r="H443" s="849">
        <v>0.0</v>
      </c>
      <c r="I443" s="849">
        <v>-3834.91</v>
      </c>
      <c r="J443" s="849">
        <v>1512.03</v>
      </c>
      <c r="K443" s="849">
        <v>1408.68</v>
      </c>
      <c r="L443" s="849">
        <v>2592.38</v>
      </c>
      <c r="M443" s="849">
        <v>-651.07</v>
      </c>
      <c r="N443" s="849">
        <v>1300.9</v>
      </c>
      <c r="O443" s="849">
        <v>1604.16</v>
      </c>
      <c r="P443" s="849">
        <v>1604.16</v>
      </c>
      <c r="Q443" s="849">
        <v>0.0</v>
      </c>
      <c r="R443" s="849">
        <v>0.0</v>
      </c>
      <c r="S443" s="849">
        <v>0.0</v>
      </c>
      <c r="T443" s="849">
        <v>0.0</v>
      </c>
      <c r="U443" s="849">
        <v>0.0</v>
      </c>
      <c r="V443" s="849">
        <v>0.0</v>
      </c>
      <c r="W443" s="849">
        <v>0.0</v>
      </c>
      <c r="X443" s="849">
        <v>0.0</v>
      </c>
      <c r="Y443" s="849">
        <v>0.0</v>
      </c>
      <c r="Z443" s="849">
        <v>0.0</v>
      </c>
      <c r="AA443" s="849">
        <v>0.0</v>
      </c>
      <c r="AB443" s="849">
        <v>0.0</v>
      </c>
      <c r="AC443" s="849">
        <v>0.0</v>
      </c>
      <c r="AD443" s="849">
        <v>0.0</v>
      </c>
      <c r="AE443" s="849">
        <v>0.0</v>
      </c>
      <c r="AF443" s="849">
        <v>0.0</v>
      </c>
      <c r="AG443" s="849">
        <v>0.0</v>
      </c>
      <c r="AH443" s="849">
        <v>0.0</v>
      </c>
      <c r="AI443" s="849">
        <v>0.0</v>
      </c>
      <c r="AJ443" s="794" t="str">
        <f t="shared" ref="AJ443:AK443" si="883">C443</f>
        <v>G24560</v>
      </c>
      <c r="AK443" s="794" t="str">
        <f t="shared" si="883"/>
        <v>INV. DIESEL</v>
      </c>
      <c r="AL443" s="794">
        <f t="array" ref="AL443">IFERROR(INDEX(G443:R443,1,MATCH(Parametres!$B$3,G$1:R$1,0)-1)*IF(OR(F443="L",F443="S",F443="I"),-1,1),"")</f>
        <v>1300.9</v>
      </c>
      <c r="AM443" s="794">
        <f t="shared" si="4"/>
        <v>303.26</v>
      </c>
      <c r="AN443" s="794">
        <f t="array" ref="AN443">INDEX(G443:R443,1,MATCH(Parametres!$B$3,G$1:R$1,0))*IF(OR(F443="L",F443="S",F443="I"),-1,1)</f>
        <v>1604.16</v>
      </c>
      <c r="AO443" s="853" t="str">
        <f>+VLOOKUP($AJ443,Data_Validation!$A:$D,1,0)</f>
        <v>G24560</v>
      </c>
      <c r="AP443" s="853" t="str">
        <f>+VLOOKUP($AJ443,Data_Validation!$A:$D,3,0)</f>
        <v>Bilan</v>
      </c>
      <c r="AQ443" s="853" t="str">
        <f>+VLOOKUP($AJ443,Data_Validation!$A:$D,4,0)</f>
        <v>Inventaire Pièces, Pneus, Huile</v>
      </c>
      <c r="AR443" s="853" t="s">
        <v>728</v>
      </c>
      <c r="AS443" s="853" t="str">
        <f>+VLOOKUP($AJ443,Data_Validation!$A:$E,5,0)</f>
        <v/>
      </c>
      <c r="AT443" s="794" t="str">
        <f t="shared" ref="AT443:AU443" si="884">C443</f>
        <v>G24560</v>
      </c>
      <c r="AU443" s="854" t="str">
        <f t="shared" si="884"/>
        <v>INV. DIESEL</v>
      </c>
      <c r="AV443" s="794">
        <f t="array" ref="AV443">IFERROR(INDEX(V443:AG443,1,MATCH(Parametres!$B$3,V$1:AG$1,0)-1)*IF(OR(C443="L",C443="S",C443="I"),-1,1),"")</f>
        <v>0</v>
      </c>
      <c r="AW443" s="794">
        <f t="shared" si="6"/>
        <v>0</v>
      </c>
      <c r="AX443" s="794">
        <f t="array" ref="AX443">INDEX(V443:AG443,1,MATCH(Parametres!$B$3,V$1:AG$1,0))*IF(OR(C443="L",C443="S",C443="I"),-1,1)</f>
        <v>0</v>
      </c>
      <c r="AY443" s="853" t="s">
        <v>772</v>
      </c>
      <c r="AZ443" s="853" t="str">
        <f>+VLOOKUP($AJ443,Data_Validation!$A:$E,5,0)</f>
        <v/>
      </c>
    </row>
    <row r="444" ht="15.75" customHeight="1">
      <c r="A444" s="849" t="s">
        <v>1239</v>
      </c>
      <c r="B444" s="849">
        <v>2026.0</v>
      </c>
      <c r="C444" s="849" t="s">
        <v>2113</v>
      </c>
      <c r="D444" s="849" t="s">
        <v>2114</v>
      </c>
      <c r="E444" s="849" t="s">
        <v>2115</v>
      </c>
      <c r="F444" s="849" t="s">
        <v>1926</v>
      </c>
      <c r="G444" s="849">
        <v>2037.5</v>
      </c>
      <c r="H444" s="849">
        <v>3942.97</v>
      </c>
      <c r="I444" s="849">
        <v>1107.92</v>
      </c>
      <c r="J444" s="849">
        <v>1029.97</v>
      </c>
      <c r="K444" s="849">
        <v>1080.64</v>
      </c>
      <c r="L444" s="849">
        <v>843.99</v>
      </c>
      <c r="M444" s="849">
        <v>725.0</v>
      </c>
      <c r="N444" s="849">
        <v>510.0</v>
      </c>
      <c r="O444" s="849">
        <v>340.0</v>
      </c>
      <c r="P444" s="849">
        <v>611.25</v>
      </c>
      <c r="Q444" s="849">
        <v>0.0</v>
      </c>
      <c r="R444" s="849">
        <v>0.0</v>
      </c>
      <c r="S444" s="849">
        <v>0.0</v>
      </c>
      <c r="T444" s="849">
        <v>0.0</v>
      </c>
      <c r="U444" s="849">
        <v>0.0</v>
      </c>
      <c r="V444" s="849">
        <v>0.0</v>
      </c>
      <c r="W444" s="849">
        <v>0.0</v>
      </c>
      <c r="X444" s="849">
        <v>0.0</v>
      </c>
      <c r="Y444" s="849">
        <v>0.0</v>
      </c>
      <c r="Z444" s="849">
        <v>0.0</v>
      </c>
      <c r="AA444" s="849">
        <v>0.0</v>
      </c>
      <c r="AB444" s="849">
        <v>0.0</v>
      </c>
      <c r="AC444" s="849">
        <v>0.0</v>
      </c>
      <c r="AD444" s="849">
        <v>0.0</v>
      </c>
      <c r="AE444" s="849">
        <v>0.0</v>
      </c>
      <c r="AF444" s="849">
        <v>0.0</v>
      </c>
      <c r="AG444" s="849">
        <v>0.0</v>
      </c>
      <c r="AH444" s="849">
        <v>0.0</v>
      </c>
      <c r="AI444" s="849">
        <v>0.0</v>
      </c>
      <c r="AJ444" s="794" t="str">
        <f t="shared" ref="AJ444:AK444" si="885">C444</f>
        <v>G24600</v>
      </c>
      <c r="AK444" s="794" t="str">
        <f t="shared" si="885"/>
        <v>INV. SOUS-CONTRATS</v>
      </c>
      <c r="AL444" s="794">
        <f t="array" ref="AL444">IFERROR(INDEX(G444:R444,1,MATCH(Parametres!$B$3,G$1:R$1,0)-1)*IF(OR(F444="L",F444="S",F444="I"),-1,1),"")</f>
        <v>510</v>
      </c>
      <c r="AM444" s="794">
        <f t="shared" si="4"/>
        <v>-170</v>
      </c>
      <c r="AN444" s="794">
        <f t="array" ref="AN444">INDEX(G444:R444,1,MATCH(Parametres!$B$3,G$1:R$1,0))*IF(OR(F444="L",F444="S",F444="I"),-1,1)</f>
        <v>340</v>
      </c>
      <c r="AO444" s="853" t="str">
        <f>+VLOOKUP($AJ444,Data_Validation!$A:$D,1,0)</f>
        <v>G24600</v>
      </c>
      <c r="AP444" s="853" t="str">
        <f>+VLOOKUP($AJ444,Data_Validation!$A:$D,3,0)</f>
        <v>Bilan</v>
      </c>
      <c r="AQ444" s="853" t="str">
        <f>+VLOOKUP($AJ444,Data_Validation!$A:$D,4,0)</f>
        <v>Sous-Traitance</v>
      </c>
      <c r="AR444" s="853" t="s">
        <v>728</v>
      </c>
      <c r="AS444" s="853" t="str">
        <f>+VLOOKUP($AJ444,Data_Validation!$A:$E,5,0)</f>
        <v/>
      </c>
      <c r="AT444" s="794" t="str">
        <f t="shared" ref="AT444:AU444" si="886">C444</f>
        <v>G24600</v>
      </c>
      <c r="AU444" s="854" t="str">
        <f t="shared" si="886"/>
        <v>INV. SOUS-CONTRATS</v>
      </c>
      <c r="AV444" s="794">
        <f t="array" ref="AV444">IFERROR(INDEX(V444:AG444,1,MATCH(Parametres!$B$3,V$1:AG$1,0)-1)*IF(OR(C444="L",C444="S",C444="I"),-1,1),"")</f>
        <v>0</v>
      </c>
      <c r="AW444" s="794">
        <f t="shared" si="6"/>
        <v>0</v>
      </c>
      <c r="AX444" s="794">
        <f t="array" ref="AX444">INDEX(V444:AG444,1,MATCH(Parametres!$B$3,V$1:AG$1,0))*IF(OR(C444="L",C444="S",C444="I"),-1,1)</f>
        <v>0</v>
      </c>
      <c r="AY444" s="853" t="s">
        <v>772</v>
      </c>
      <c r="AZ444" s="853" t="str">
        <f>+VLOOKUP($AJ444,Data_Validation!$A:$E,5,0)</f>
        <v/>
      </c>
    </row>
    <row r="445" ht="15.75" customHeight="1">
      <c r="A445" s="849" t="s">
        <v>1239</v>
      </c>
      <c r="B445" s="849">
        <v>2026.0</v>
      </c>
      <c r="C445" s="849" t="s">
        <v>2116</v>
      </c>
      <c r="D445" s="849" t="s">
        <v>2117</v>
      </c>
      <c r="E445" s="849" t="s">
        <v>2115</v>
      </c>
      <c r="F445" s="849" t="s">
        <v>1926</v>
      </c>
      <c r="G445" s="849">
        <v>38095.96</v>
      </c>
      <c r="H445" s="849">
        <v>39080.8</v>
      </c>
      <c r="I445" s="849">
        <v>26044.55</v>
      </c>
      <c r="J445" s="849">
        <v>15024.15</v>
      </c>
      <c r="K445" s="849">
        <v>11973.65</v>
      </c>
      <c r="L445" s="849">
        <v>25888.88</v>
      </c>
      <c r="M445" s="849">
        <v>24004.19</v>
      </c>
      <c r="N445" s="849">
        <v>27387.17</v>
      </c>
      <c r="O445" s="849">
        <v>31396.94</v>
      </c>
      <c r="P445" s="849">
        <v>29052.06</v>
      </c>
      <c r="Q445" s="849">
        <v>0.0</v>
      </c>
      <c r="R445" s="849">
        <v>0.0</v>
      </c>
      <c r="S445" s="849">
        <v>0.0</v>
      </c>
      <c r="T445" s="849">
        <v>0.0</v>
      </c>
      <c r="U445" s="849">
        <v>0.0</v>
      </c>
      <c r="V445" s="849">
        <v>0.0</v>
      </c>
      <c r="W445" s="849">
        <v>0.0</v>
      </c>
      <c r="X445" s="849">
        <v>0.0</v>
      </c>
      <c r="Y445" s="849">
        <v>0.0</v>
      </c>
      <c r="Z445" s="849">
        <v>0.0</v>
      </c>
      <c r="AA445" s="849">
        <v>0.0</v>
      </c>
      <c r="AB445" s="849">
        <v>0.0</v>
      </c>
      <c r="AC445" s="849">
        <v>0.0</v>
      </c>
      <c r="AD445" s="849">
        <v>0.0</v>
      </c>
      <c r="AE445" s="849">
        <v>0.0</v>
      </c>
      <c r="AF445" s="849">
        <v>0.0</v>
      </c>
      <c r="AG445" s="849">
        <v>0.0</v>
      </c>
      <c r="AH445" s="849">
        <v>0.0</v>
      </c>
      <c r="AI445" s="849">
        <v>0.0</v>
      </c>
      <c r="AJ445" s="794" t="str">
        <f t="shared" ref="AJ445:AK445" si="887">C445</f>
        <v>G24601</v>
      </c>
      <c r="AK445" s="794" t="str">
        <f t="shared" si="887"/>
        <v>INV. SOUS-CONTRAT BODY</v>
      </c>
      <c r="AL445" s="794">
        <f t="array" ref="AL445">IFERROR(INDEX(G445:R445,1,MATCH(Parametres!$B$3,G$1:R$1,0)-1)*IF(OR(F445="L",F445="S",F445="I"),-1,1),"")</f>
        <v>27387.17</v>
      </c>
      <c r="AM445" s="794">
        <f t="shared" si="4"/>
        <v>4009.77</v>
      </c>
      <c r="AN445" s="794">
        <f t="array" ref="AN445">INDEX(G445:R445,1,MATCH(Parametres!$B$3,G$1:R$1,0))*IF(OR(F445="L",F445="S",F445="I"),-1,1)</f>
        <v>31396.94</v>
      </c>
      <c r="AO445" s="853" t="str">
        <f>+VLOOKUP($AJ445,Data_Validation!$A:$D,1,0)</f>
        <v>G24601</v>
      </c>
      <c r="AP445" s="853" t="str">
        <f>+VLOOKUP($AJ445,Data_Validation!$A:$D,3,0)</f>
        <v>Bilan</v>
      </c>
      <c r="AQ445" s="853" t="str">
        <f>+VLOOKUP($AJ445,Data_Validation!$A:$D,4,0)</f>
        <v>Sous-Traitance</v>
      </c>
      <c r="AR445" s="853" t="s">
        <v>728</v>
      </c>
      <c r="AS445" s="853" t="str">
        <f>+VLOOKUP($AJ445,Data_Validation!$A:$E,5,0)</f>
        <v/>
      </c>
      <c r="AT445" s="794" t="str">
        <f t="shared" ref="AT445:AU445" si="888">C445</f>
        <v>G24601</v>
      </c>
      <c r="AU445" s="854" t="str">
        <f t="shared" si="888"/>
        <v>INV. SOUS-CONTRAT BODY</v>
      </c>
      <c r="AV445" s="794">
        <f t="array" ref="AV445">IFERROR(INDEX(V445:AG445,1,MATCH(Parametres!$B$3,V$1:AG$1,0)-1)*IF(OR(C445="L",C445="S",C445="I"),-1,1),"")</f>
        <v>0</v>
      </c>
      <c r="AW445" s="794">
        <f t="shared" si="6"/>
        <v>0</v>
      </c>
      <c r="AX445" s="794">
        <f t="array" ref="AX445">INDEX(V445:AG445,1,MATCH(Parametres!$B$3,V$1:AG$1,0))*IF(OR(C445="L",C445="S",C445="I"),-1,1)</f>
        <v>0</v>
      </c>
      <c r="AY445" s="853" t="s">
        <v>772</v>
      </c>
      <c r="AZ445" s="853" t="str">
        <f>+VLOOKUP($AJ445,Data_Validation!$A:$E,5,0)</f>
        <v/>
      </c>
    </row>
    <row r="446" ht="15.75" customHeight="1">
      <c r="A446" s="849" t="s">
        <v>1239</v>
      </c>
      <c r="B446" s="849">
        <v>2026.0</v>
      </c>
      <c r="C446" s="849" t="s">
        <v>2118</v>
      </c>
      <c r="D446" s="849" t="s">
        <v>2119</v>
      </c>
      <c r="E446" s="849" t="s">
        <v>2115</v>
      </c>
      <c r="F446" s="849" t="s">
        <v>1926</v>
      </c>
      <c r="G446" s="849">
        <v>0.0</v>
      </c>
      <c r="H446" s="849">
        <v>0.0</v>
      </c>
      <c r="I446" s="849">
        <v>0.0</v>
      </c>
      <c r="J446" s="849">
        <v>0.0</v>
      </c>
      <c r="K446" s="849">
        <v>0.0</v>
      </c>
      <c r="L446" s="849">
        <v>0.0</v>
      </c>
      <c r="M446" s="849">
        <v>0.0</v>
      </c>
      <c r="N446" s="849">
        <v>0.0</v>
      </c>
      <c r="O446" s="849">
        <v>0.0</v>
      </c>
      <c r="P446" s="849">
        <v>0.0</v>
      </c>
      <c r="Q446" s="849">
        <v>0.0</v>
      </c>
      <c r="R446" s="849">
        <v>0.0</v>
      </c>
      <c r="S446" s="849">
        <v>0.0</v>
      </c>
      <c r="T446" s="849">
        <v>0.0</v>
      </c>
      <c r="U446" s="849">
        <v>0.0</v>
      </c>
      <c r="V446" s="849">
        <v>0.0</v>
      </c>
      <c r="W446" s="849">
        <v>0.0</v>
      </c>
      <c r="X446" s="849">
        <v>0.0</v>
      </c>
      <c r="Y446" s="849">
        <v>0.0</v>
      </c>
      <c r="Z446" s="849">
        <v>0.0</v>
      </c>
      <c r="AA446" s="849">
        <v>0.0</v>
      </c>
      <c r="AB446" s="849">
        <v>0.0</v>
      </c>
      <c r="AC446" s="849">
        <v>0.0</v>
      </c>
      <c r="AD446" s="849">
        <v>0.0</v>
      </c>
      <c r="AE446" s="849">
        <v>0.0</v>
      </c>
      <c r="AF446" s="849">
        <v>0.0</v>
      </c>
      <c r="AG446" s="849">
        <v>0.0</v>
      </c>
      <c r="AH446" s="849">
        <v>0.0</v>
      </c>
      <c r="AI446" s="849">
        <v>0.0</v>
      </c>
      <c r="AJ446" s="794" t="str">
        <f t="shared" ref="AJ446:AK446" si="889">C446</f>
        <v>G24602</v>
      </c>
      <c r="AK446" s="794" t="str">
        <f t="shared" si="889"/>
        <v>INV. S-T BODY -CLIENT</v>
      </c>
      <c r="AL446" s="794">
        <f t="array" ref="AL446">IFERROR(INDEX(G446:R446,1,MATCH(Parametres!$B$3,G$1:R$1,0)-1)*IF(OR(F446="L",F446="S",F446="I"),-1,1),"")</f>
        <v>0</v>
      </c>
      <c r="AM446" s="794">
        <f t="shared" si="4"/>
        <v>0</v>
      </c>
      <c r="AN446" s="794">
        <f t="array" ref="AN446">INDEX(G446:R446,1,MATCH(Parametres!$B$3,G$1:R$1,0))*IF(OR(F446="L",F446="S",F446="I"),-1,1)</f>
        <v>0</v>
      </c>
      <c r="AO446" s="853" t="str">
        <f>+VLOOKUP($AJ446,Data_Validation!$A:$D,1,0)</f>
        <v>G24602</v>
      </c>
      <c r="AP446" s="853" t="str">
        <f>+VLOOKUP($AJ446,Data_Validation!$A:$D,3,0)</f>
        <v>Bilan</v>
      </c>
      <c r="AQ446" s="853" t="str">
        <f>+VLOOKUP($AJ446,Data_Validation!$A:$D,4,0)</f>
        <v>Sous-Traitance</v>
      </c>
      <c r="AR446" s="853" t="s">
        <v>728</v>
      </c>
      <c r="AS446" s="853" t="str">
        <f>+VLOOKUP($AJ446,Data_Validation!$A:$E,5,0)</f>
        <v/>
      </c>
      <c r="AT446" s="794" t="str">
        <f t="shared" ref="AT446:AU446" si="890">C446</f>
        <v>G24602</v>
      </c>
      <c r="AU446" s="854" t="str">
        <f t="shared" si="890"/>
        <v>INV. S-T BODY -CLIENT</v>
      </c>
      <c r="AV446" s="794">
        <f t="array" ref="AV446">IFERROR(INDEX(V446:AG446,1,MATCH(Parametres!$B$3,V$1:AG$1,0)-1)*IF(OR(C446="L",C446="S",C446="I"),-1,1),"")</f>
        <v>0</v>
      </c>
      <c r="AW446" s="794">
        <f t="shared" si="6"/>
        <v>0</v>
      </c>
      <c r="AX446" s="794">
        <f t="array" ref="AX446">INDEX(V446:AG446,1,MATCH(Parametres!$B$3,V$1:AG$1,0))*IF(OR(C446="L",C446="S",C446="I"),-1,1)</f>
        <v>0</v>
      </c>
      <c r="AY446" s="853" t="s">
        <v>772</v>
      </c>
      <c r="AZ446" s="853" t="str">
        <f>+VLOOKUP($AJ446,Data_Validation!$A:$E,5,0)</f>
        <v/>
      </c>
    </row>
    <row r="447" ht="15.75" customHeight="1">
      <c r="A447" s="849" t="s">
        <v>1239</v>
      </c>
      <c r="B447" s="849">
        <v>2026.0</v>
      </c>
      <c r="C447" s="849" t="s">
        <v>2120</v>
      </c>
      <c r="D447" s="849" t="s">
        <v>2121</v>
      </c>
      <c r="E447" s="849" t="s">
        <v>768</v>
      </c>
      <c r="F447" s="849" t="s">
        <v>1926</v>
      </c>
      <c r="G447" s="849">
        <v>13586.27</v>
      </c>
      <c r="H447" s="849">
        <v>14938.99</v>
      </c>
      <c r="I447" s="849">
        <v>5194.54</v>
      </c>
      <c r="J447" s="849">
        <v>3700.94</v>
      </c>
      <c r="K447" s="849">
        <v>25056.65</v>
      </c>
      <c r="L447" s="849">
        <v>16535.2</v>
      </c>
      <c r="M447" s="849">
        <v>15516.08</v>
      </c>
      <c r="N447" s="849">
        <v>14154.92</v>
      </c>
      <c r="O447" s="849">
        <v>21742.97</v>
      </c>
      <c r="P447" s="849">
        <v>29205.71</v>
      </c>
      <c r="Q447" s="849">
        <v>0.0</v>
      </c>
      <c r="R447" s="849">
        <v>0.0</v>
      </c>
      <c r="S447" s="849">
        <v>0.0</v>
      </c>
      <c r="T447" s="849">
        <v>0.0</v>
      </c>
      <c r="U447" s="849">
        <v>0.0</v>
      </c>
      <c r="V447" s="849">
        <v>0.0</v>
      </c>
      <c r="W447" s="849">
        <v>0.0</v>
      </c>
      <c r="X447" s="849">
        <v>0.0</v>
      </c>
      <c r="Y447" s="849">
        <v>0.0</v>
      </c>
      <c r="Z447" s="849">
        <v>0.0</v>
      </c>
      <c r="AA447" s="849">
        <v>0.0</v>
      </c>
      <c r="AB447" s="849">
        <v>0.0</v>
      </c>
      <c r="AC447" s="849">
        <v>0.0</v>
      </c>
      <c r="AD447" s="849">
        <v>0.0</v>
      </c>
      <c r="AE447" s="849">
        <v>0.0</v>
      </c>
      <c r="AF447" s="849">
        <v>0.0</v>
      </c>
      <c r="AG447" s="849">
        <v>0.0</v>
      </c>
      <c r="AH447" s="849">
        <v>0.0</v>
      </c>
      <c r="AI447" s="849">
        <v>0.0</v>
      </c>
      <c r="AJ447" s="794" t="str">
        <f t="shared" ref="AJ447:AK447" si="891">C447</f>
        <v>G24700</v>
      </c>
      <c r="AK447" s="794" t="str">
        <f t="shared" si="891"/>
        <v>TRAVAUX EN COURS SERVICE</v>
      </c>
      <c r="AL447" s="794">
        <f t="array" ref="AL447">IFERROR(INDEX(G447:R447,1,MATCH(Parametres!$B$3,G$1:R$1,0)-1)*IF(OR(F447="L",F447="S",F447="I"),-1,1),"")</f>
        <v>14154.92</v>
      </c>
      <c r="AM447" s="794">
        <f t="shared" si="4"/>
        <v>7588.05</v>
      </c>
      <c r="AN447" s="794">
        <f t="array" ref="AN447">INDEX(G447:R447,1,MATCH(Parametres!$B$3,G$1:R$1,0))*IF(OR(F447="L",F447="S",F447="I"),-1,1)</f>
        <v>21742.97</v>
      </c>
      <c r="AO447" s="853" t="str">
        <f>+VLOOKUP($AJ447,Data_Validation!$A:$D,1,0)</f>
        <v>G24700</v>
      </c>
      <c r="AP447" s="853" t="str">
        <f>+VLOOKUP($AJ447,Data_Validation!$A:$D,3,0)</f>
        <v>Bilan</v>
      </c>
      <c r="AQ447" s="853" t="str">
        <f>+VLOOKUP($AJ447,Data_Validation!$A:$D,4,0)</f>
        <v>Travaux en Cours</v>
      </c>
      <c r="AR447" s="853" t="s">
        <v>728</v>
      </c>
      <c r="AS447" s="853" t="str">
        <f>+VLOOKUP($AJ447,Data_Validation!$A:$E,5,0)</f>
        <v/>
      </c>
      <c r="AT447" s="794" t="str">
        <f t="shared" ref="AT447:AU447" si="892">C447</f>
        <v>G24700</v>
      </c>
      <c r="AU447" s="854" t="str">
        <f t="shared" si="892"/>
        <v>TRAVAUX EN COURS SERVICE</v>
      </c>
      <c r="AV447" s="794">
        <f t="array" ref="AV447">IFERROR(INDEX(V447:AG447,1,MATCH(Parametres!$B$3,V$1:AG$1,0)-1)*IF(OR(C447="L",C447="S",C447="I"),-1,1),"")</f>
        <v>0</v>
      </c>
      <c r="AW447" s="794">
        <f t="shared" si="6"/>
        <v>0</v>
      </c>
      <c r="AX447" s="794">
        <f t="array" ref="AX447">INDEX(V447:AG447,1,MATCH(Parametres!$B$3,V$1:AG$1,0))*IF(OR(C447="L",C447="S",C447="I"),-1,1)</f>
        <v>0</v>
      </c>
      <c r="AY447" s="853" t="s">
        <v>772</v>
      </c>
      <c r="AZ447" s="853" t="str">
        <f>+VLOOKUP($AJ447,Data_Validation!$A:$E,5,0)</f>
        <v/>
      </c>
    </row>
    <row r="448" ht="15.75" customHeight="1">
      <c r="A448" s="849" t="s">
        <v>1239</v>
      </c>
      <c r="B448" s="849">
        <v>2026.0</v>
      </c>
      <c r="C448" s="849" t="s">
        <v>2122</v>
      </c>
      <c r="D448" s="849" t="s">
        <v>2123</v>
      </c>
      <c r="E448" s="849" t="s">
        <v>768</v>
      </c>
      <c r="F448" s="849" t="s">
        <v>1926</v>
      </c>
      <c r="G448" s="849">
        <v>0.0</v>
      </c>
      <c r="H448" s="849">
        <v>0.0</v>
      </c>
      <c r="I448" s="849">
        <v>0.0</v>
      </c>
      <c r="J448" s="849">
        <v>0.0</v>
      </c>
      <c r="K448" s="849">
        <v>0.0</v>
      </c>
      <c r="L448" s="849">
        <v>475.32</v>
      </c>
      <c r="M448" s="849">
        <v>20.8</v>
      </c>
      <c r="N448" s="849">
        <v>316.14</v>
      </c>
      <c r="O448" s="849">
        <v>4851.39</v>
      </c>
      <c r="P448" s="849">
        <v>9321.83</v>
      </c>
      <c r="Q448" s="849">
        <v>0.0</v>
      </c>
      <c r="R448" s="849">
        <v>0.0</v>
      </c>
      <c r="S448" s="849">
        <v>0.0</v>
      </c>
      <c r="T448" s="849">
        <v>0.0</v>
      </c>
      <c r="U448" s="849">
        <v>0.0</v>
      </c>
      <c r="V448" s="849">
        <v>0.0</v>
      </c>
      <c r="W448" s="849">
        <v>0.0</v>
      </c>
      <c r="X448" s="849">
        <v>0.0</v>
      </c>
      <c r="Y448" s="849">
        <v>0.0</v>
      </c>
      <c r="Z448" s="849">
        <v>0.0</v>
      </c>
      <c r="AA448" s="849">
        <v>0.0</v>
      </c>
      <c r="AB448" s="849">
        <v>0.0</v>
      </c>
      <c r="AC448" s="849">
        <v>0.0</v>
      </c>
      <c r="AD448" s="849">
        <v>0.0</v>
      </c>
      <c r="AE448" s="849">
        <v>0.0</v>
      </c>
      <c r="AF448" s="849">
        <v>0.0</v>
      </c>
      <c r="AG448" s="849">
        <v>0.0</v>
      </c>
      <c r="AH448" s="849">
        <v>0.0</v>
      </c>
      <c r="AI448" s="849">
        <v>0.0</v>
      </c>
      <c r="AJ448" s="794" t="str">
        <f t="shared" ref="AJ448:AK448" si="893">C448</f>
        <v>G24702</v>
      </c>
      <c r="AK448" s="794" t="str">
        <f t="shared" si="893"/>
        <v>TRAVAUX EN COURS ESTHETIQ</v>
      </c>
      <c r="AL448" s="794">
        <f t="array" ref="AL448">IFERROR(INDEX(G448:R448,1,MATCH(Parametres!$B$3,G$1:R$1,0)-1)*IF(OR(F448="L",F448="S",F448="I"),-1,1),"")</f>
        <v>316.14</v>
      </c>
      <c r="AM448" s="794">
        <f t="shared" si="4"/>
        <v>4535.25</v>
      </c>
      <c r="AN448" s="794">
        <f t="array" ref="AN448">INDEX(G448:R448,1,MATCH(Parametres!$B$3,G$1:R$1,0))*IF(OR(F448="L",F448="S",F448="I"),-1,1)</f>
        <v>4851.39</v>
      </c>
      <c r="AO448" s="853" t="str">
        <f>+VLOOKUP($AJ448,Data_Validation!$A:$D,1,0)</f>
        <v>G24702</v>
      </c>
      <c r="AP448" s="853" t="str">
        <f>+VLOOKUP($AJ448,Data_Validation!$A:$D,3,0)</f>
        <v>Bilan</v>
      </c>
      <c r="AQ448" s="853" t="str">
        <f>+VLOOKUP($AJ448,Data_Validation!$A:$D,4,0)</f>
        <v>Travaux en Cours</v>
      </c>
      <c r="AR448" s="853" t="s">
        <v>728</v>
      </c>
      <c r="AS448" s="853" t="str">
        <f>+VLOOKUP($AJ448,Data_Validation!$A:$E,5,0)</f>
        <v/>
      </c>
      <c r="AT448" s="794" t="str">
        <f t="shared" ref="AT448:AU448" si="894">C448</f>
        <v>G24702</v>
      </c>
      <c r="AU448" s="854" t="str">
        <f t="shared" si="894"/>
        <v>TRAVAUX EN COURS ESTHETIQ</v>
      </c>
      <c r="AV448" s="794">
        <f t="array" ref="AV448">IFERROR(INDEX(V448:AG448,1,MATCH(Parametres!$B$3,V$1:AG$1,0)-1)*IF(OR(C448="L",C448="S",C448="I"),-1,1),"")</f>
        <v>0</v>
      </c>
      <c r="AW448" s="794">
        <f t="shared" si="6"/>
        <v>0</v>
      </c>
      <c r="AX448" s="794">
        <f t="array" ref="AX448">INDEX(V448:AG448,1,MATCH(Parametres!$B$3,V$1:AG$1,0))*IF(OR(C448="L",C448="S",C448="I"),-1,1)</f>
        <v>0</v>
      </c>
      <c r="AY448" s="853" t="s">
        <v>772</v>
      </c>
      <c r="AZ448" s="853" t="str">
        <f>+VLOOKUP($AJ448,Data_Validation!$A:$E,5,0)</f>
        <v/>
      </c>
    </row>
    <row r="449" ht="15.75" customHeight="1">
      <c r="A449" s="849" t="s">
        <v>1239</v>
      </c>
      <c r="B449" s="849">
        <v>2026.0</v>
      </c>
      <c r="C449" s="849" t="s">
        <v>2124</v>
      </c>
      <c r="D449" s="849" t="s">
        <v>2125</v>
      </c>
      <c r="E449" s="849" t="s">
        <v>768</v>
      </c>
      <c r="F449" s="849" t="s">
        <v>1926</v>
      </c>
      <c r="G449" s="849">
        <v>8432.51</v>
      </c>
      <c r="H449" s="849">
        <v>7668.38</v>
      </c>
      <c r="I449" s="849">
        <v>5211.64</v>
      </c>
      <c r="J449" s="849">
        <v>3099.09</v>
      </c>
      <c r="K449" s="849">
        <v>1845.4</v>
      </c>
      <c r="L449" s="849">
        <v>4222.23</v>
      </c>
      <c r="M449" s="849">
        <v>3855.83</v>
      </c>
      <c r="N449" s="849">
        <v>7330.93</v>
      </c>
      <c r="O449" s="849">
        <v>6496.16</v>
      </c>
      <c r="P449" s="849">
        <v>11003.53</v>
      </c>
      <c r="Q449" s="849">
        <v>0.0</v>
      </c>
      <c r="R449" s="849">
        <v>0.0</v>
      </c>
      <c r="S449" s="849">
        <v>0.0</v>
      </c>
      <c r="T449" s="849">
        <v>0.0</v>
      </c>
      <c r="U449" s="849">
        <v>0.0</v>
      </c>
      <c r="V449" s="849">
        <v>0.0</v>
      </c>
      <c r="W449" s="849">
        <v>0.0</v>
      </c>
      <c r="X449" s="849">
        <v>0.0</v>
      </c>
      <c r="Y449" s="849">
        <v>0.0</v>
      </c>
      <c r="Z449" s="849">
        <v>0.0</v>
      </c>
      <c r="AA449" s="849">
        <v>0.0</v>
      </c>
      <c r="AB449" s="849">
        <v>0.0</v>
      </c>
      <c r="AC449" s="849">
        <v>0.0</v>
      </c>
      <c r="AD449" s="849">
        <v>0.0</v>
      </c>
      <c r="AE449" s="849">
        <v>0.0</v>
      </c>
      <c r="AF449" s="849">
        <v>0.0</v>
      </c>
      <c r="AG449" s="849">
        <v>0.0</v>
      </c>
      <c r="AH449" s="849">
        <v>0.0</v>
      </c>
      <c r="AI449" s="849">
        <v>0.0</v>
      </c>
      <c r="AJ449" s="794" t="str">
        <f t="shared" ref="AJ449:AK449" si="895">C449</f>
        <v>G24705</v>
      </c>
      <c r="AK449" s="794" t="str">
        <f t="shared" si="895"/>
        <v>TRAVAUX EN COURS-CARROSS</v>
      </c>
      <c r="AL449" s="794">
        <f t="array" ref="AL449">IFERROR(INDEX(G449:R449,1,MATCH(Parametres!$B$3,G$1:R$1,0)-1)*IF(OR(F449="L",F449="S",F449="I"),-1,1),"")</f>
        <v>7330.93</v>
      </c>
      <c r="AM449" s="794">
        <f t="shared" si="4"/>
        <v>-834.77</v>
      </c>
      <c r="AN449" s="794">
        <f t="array" ref="AN449">INDEX(G449:R449,1,MATCH(Parametres!$B$3,G$1:R$1,0))*IF(OR(F449="L",F449="S",F449="I"),-1,1)</f>
        <v>6496.16</v>
      </c>
      <c r="AO449" s="853" t="str">
        <f>+VLOOKUP($AJ449,Data_Validation!$A:$D,1,0)</f>
        <v>G24705</v>
      </c>
      <c r="AP449" s="853" t="str">
        <f>+VLOOKUP($AJ449,Data_Validation!$A:$D,3,0)</f>
        <v>Bilan</v>
      </c>
      <c r="AQ449" s="853" t="str">
        <f>+VLOOKUP($AJ449,Data_Validation!$A:$D,4,0)</f>
        <v>Travaux en Cours</v>
      </c>
      <c r="AR449" s="853" t="s">
        <v>728</v>
      </c>
      <c r="AS449" s="853" t="str">
        <f>+VLOOKUP($AJ449,Data_Validation!$A:$E,5,0)</f>
        <v/>
      </c>
      <c r="AT449" s="794" t="str">
        <f t="shared" ref="AT449:AU449" si="896">C449</f>
        <v>G24705</v>
      </c>
      <c r="AU449" s="854" t="str">
        <f t="shared" si="896"/>
        <v>TRAVAUX EN COURS-CARROSS</v>
      </c>
      <c r="AV449" s="794">
        <f t="array" ref="AV449">IFERROR(INDEX(V449:AG449,1,MATCH(Parametres!$B$3,V$1:AG$1,0)-1)*IF(OR(C449="L",C449="S",C449="I"),-1,1),"")</f>
        <v>0</v>
      </c>
      <c r="AW449" s="794">
        <f t="shared" si="6"/>
        <v>0</v>
      </c>
      <c r="AX449" s="794">
        <f t="array" ref="AX449">INDEX(V449:AG449,1,MATCH(Parametres!$B$3,V$1:AG$1,0))*IF(OR(C449="L",C449="S",C449="I"),-1,1)</f>
        <v>0</v>
      </c>
      <c r="AY449" s="853" t="s">
        <v>772</v>
      </c>
      <c r="AZ449" s="853" t="str">
        <f>+VLOOKUP($AJ449,Data_Validation!$A:$E,5,0)</f>
        <v/>
      </c>
    </row>
    <row r="450" ht="15.75" customHeight="1">
      <c r="A450" s="849" t="s">
        <v>1239</v>
      </c>
      <c r="B450" s="849">
        <v>2026.0</v>
      </c>
      <c r="C450" s="849" t="s">
        <v>2126</v>
      </c>
      <c r="D450" s="849" t="s">
        <v>2127</v>
      </c>
      <c r="E450" s="849" t="s">
        <v>768</v>
      </c>
      <c r="F450" s="849" t="s">
        <v>1926</v>
      </c>
      <c r="G450" s="849">
        <v>0.0</v>
      </c>
      <c r="H450" s="849">
        <v>0.0</v>
      </c>
      <c r="I450" s="849">
        <v>0.0</v>
      </c>
      <c r="J450" s="849">
        <v>0.0</v>
      </c>
      <c r="K450" s="849">
        <v>-9700.12</v>
      </c>
      <c r="L450" s="849">
        <v>993.85</v>
      </c>
      <c r="M450" s="849">
        <v>633.55</v>
      </c>
      <c r="N450" s="849">
        <v>477.05</v>
      </c>
      <c r="O450" s="849">
        <v>348.98</v>
      </c>
      <c r="P450" s="849">
        <v>3293.0</v>
      </c>
      <c r="Q450" s="849">
        <v>0.0</v>
      </c>
      <c r="R450" s="849">
        <v>0.0</v>
      </c>
      <c r="S450" s="849">
        <v>0.0</v>
      </c>
      <c r="T450" s="849">
        <v>0.0</v>
      </c>
      <c r="U450" s="849">
        <v>0.0</v>
      </c>
      <c r="V450" s="849">
        <v>0.0</v>
      </c>
      <c r="W450" s="849">
        <v>0.0</v>
      </c>
      <c r="X450" s="849">
        <v>0.0</v>
      </c>
      <c r="Y450" s="849">
        <v>0.0</v>
      </c>
      <c r="Z450" s="849">
        <v>0.0</v>
      </c>
      <c r="AA450" s="849">
        <v>0.0</v>
      </c>
      <c r="AB450" s="849">
        <v>0.0</v>
      </c>
      <c r="AC450" s="849">
        <v>0.0</v>
      </c>
      <c r="AD450" s="849">
        <v>0.0</v>
      </c>
      <c r="AE450" s="849">
        <v>0.0</v>
      </c>
      <c r="AF450" s="849">
        <v>0.0</v>
      </c>
      <c r="AG450" s="849">
        <v>0.0</v>
      </c>
      <c r="AH450" s="849">
        <v>0.0</v>
      </c>
      <c r="AI450" s="849">
        <v>0.0</v>
      </c>
      <c r="AJ450" s="794" t="str">
        <f t="shared" ref="AJ450:AK450" si="897">C450</f>
        <v>G24707</v>
      </c>
      <c r="AK450" s="794" t="str">
        <f t="shared" si="897"/>
        <v>TRAVAUX EN COURS SAAQ</v>
      </c>
      <c r="AL450" s="794">
        <f t="array" ref="AL450">IFERROR(INDEX(G450:R450,1,MATCH(Parametres!$B$3,G$1:R$1,0)-1)*IF(OR(F450="L",F450="S",F450="I"),-1,1),"")</f>
        <v>477.05</v>
      </c>
      <c r="AM450" s="794">
        <f t="shared" si="4"/>
        <v>-128.07</v>
      </c>
      <c r="AN450" s="794">
        <f t="array" ref="AN450">INDEX(G450:R450,1,MATCH(Parametres!$B$3,G$1:R$1,0))*IF(OR(F450="L",F450="S",F450="I"),-1,1)</f>
        <v>348.98</v>
      </c>
      <c r="AO450" s="853" t="str">
        <f>+VLOOKUP($AJ450,Data_Validation!$A:$D,1,0)</f>
        <v>G24707</v>
      </c>
      <c r="AP450" s="853" t="str">
        <f>+VLOOKUP($AJ450,Data_Validation!$A:$D,3,0)</f>
        <v>Bilan</v>
      </c>
      <c r="AQ450" s="853" t="str">
        <f>+VLOOKUP($AJ450,Data_Validation!$A:$D,4,0)</f>
        <v>Travaux en Cours</v>
      </c>
      <c r="AR450" s="853" t="s">
        <v>728</v>
      </c>
      <c r="AS450" s="853" t="str">
        <f>+VLOOKUP($AJ450,Data_Validation!$A:$E,5,0)</f>
        <v/>
      </c>
      <c r="AT450" s="794" t="str">
        <f t="shared" ref="AT450:AU450" si="898">C450</f>
        <v>G24707</v>
      </c>
      <c r="AU450" s="854" t="str">
        <f t="shared" si="898"/>
        <v>TRAVAUX EN COURS SAAQ</v>
      </c>
      <c r="AV450" s="794">
        <f t="array" ref="AV450">IFERROR(INDEX(V450:AG450,1,MATCH(Parametres!$B$3,V$1:AG$1,0)-1)*IF(OR(C450="L",C450="S",C450="I"),-1,1),"")</f>
        <v>0</v>
      </c>
      <c r="AW450" s="794">
        <f t="shared" si="6"/>
        <v>0</v>
      </c>
      <c r="AX450" s="794">
        <f t="array" ref="AX450">INDEX(V450:AG450,1,MATCH(Parametres!$B$3,V$1:AG$1,0))*IF(OR(C450="L",C450="S",C450="I"),-1,1)</f>
        <v>0</v>
      </c>
      <c r="AY450" s="853" t="s">
        <v>772</v>
      </c>
      <c r="AZ450" s="853" t="str">
        <f>+VLOOKUP($AJ450,Data_Validation!$A:$E,5,0)</f>
        <v/>
      </c>
    </row>
    <row r="451" ht="15.75" customHeight="1">
      <c r="A451" s="849" t="s">
        <v>1239</v>
      </c>
      <c r="B451" s="849">
        <v>2026.0</v>
      </c>
      <c r="C451" s="849" t="s">
        <v>2128</v>
      </c>
      <c r="D451" s="849" t="s">
        <v>2129</v>
      </c>
      <c r="E451" s="849" t="s">
        <v>1959</v>
      </c>
      <c r="F451" s="849" t="s">
        <v>1926</v>
      </c>
      <c r="G451" s="849">
        <v>31000.0</v>
      </c>
      <c r="H451" s="849">
        <v>22000.0</v>
      </c>
      <c r="I451" s="849">
        <v>56000.0</v>
      </c>
      <c r="J451" s="849">
        <v>222000.0</v>
      </c>
      <c r="K451" s="849">
        <v>260000.0</v>
      </c>
      <c r="L451" s="849">
        <v>261000.0</v>
      </c>
      <c r="M451" s="849">
        <v>337000.0</v>
      </c>
      <c r="N451" s="849">
        <v>397000.0</v>
      </c>
      <c r="O451" s="849">
        <v>423000.0</v>
      </c>
      <c r="P451" s="849">
        <v>401000.0</v>
      </c>
      <c r="Q451" s="849">
        <v>0.0</v>
      </c>
      <c r="R451" s="849">
        <v>0.0</v>
      </c>
      <c r="S451" s="849">
        <v>0.0</v>
      </c>
      <c r="T451" s="849">
        <v>0.0</v>
      </c>
      <c r="U451" s="849">
        <v>0.0</v>
      </c>
      <c r="V451" s="849">
        <v>0.0</v>
      </c>
      <c r="W451" s="849">
        <v>0.0</v>
      </c>
      <c r="X451" s="849">
        <v>0.0</v>
      </c>
      <c r="Y451" s="849">
        <v>0.0</v>
      </c>
      <c r="Z451" s="849">
        <v>0.0</v>
      </c>
      <c r="AA451" s="849">
        <v>0.0</v>
      </c>
      <c r="AB451" s="849">
        <v>0.0</v>
      </c>
      <c r="AC451" s="849">
        <v>0.0</v>
      </c>
      <c r="AD451" s="849">
        <v>0.0</v>
      </c>
      <c r="AE451" s="849">
        <v>0.0</v>
      </c>
      <c r="AF451" s="849">
        <v>0.0</v>
      </c>
      <c r="AG451" s="849">
        <v>0.0</v>
      </c>
      <c r="AH451" s="849">
        <v>0.0</v>
      </c>
      <c r="AI451" s="849">
        <v>0.0</v>
      </c>
      <c r="AJ451" s="794" t="str">
        <f t="shared" ref="AJ451:AK451" si="899">C451</f>
        <v>G25000</v>
      </c>
      <c r="AK451" s="794" t="str">
        <f t="shared" si="899"/>
        <v>A RECEVOIR ROULEZ ELECT</v>
      </c>
      <c r="AL451" s="794">
        <f t="array" ref="AL451">IFERROR(INDEX(G451:R451,1,MATCH(Parametres!$B$3,G$1:R$1,0)-1)*IF(OR(F451="L",F451="S",F451="I"),-1,1),"")</f>
        <v>397000</v>
      </c>
      <c r="AM451" s="794">
        <f t="shared" si="4"/>
        <v>26000</v>
      </c>
      <c r="AN451" s="794">
        <f t="array" ref="AN451">INDEX(G451:R451,1,MATCH(Parametres!$B$3,G$1:R$1,0))*IF(OR(F451="L",F451="S",F451="I"),-1,1)</f>
        <v>423000</v>
      </c>
      <c r="AO451" s="853" t="str">
        <f>+VLOOKUP($AJ451,Data_Validation!$A:$D,1,0)</f>
        <v>G25000</v>
      </c>
      <c r="AP451" s="853" t="str">
        <f>+VLOOKUP($AJ451,Data_Validation!$A:$D,3,0)</f>
        <v>Bilan</v>
      </c>
      <c r="AQ451" s="853" t="str">
        <f>+VLOOKUP($AJ451,Data_Validation!$A:$D,4,0)</f>
        <v>Recevables Autres</v>
      </c>
      <c r="AR451" s="853" t="s">
        <v>728</v>
      </c>
      <c r="AS451" s="853" t="str">
        <f>+VLOOKUP($AJ451,Data_Validation!$A:$E,5,0)</f>
        <v/>
      </c>
      <c r="AT451" s="794" t="str">
        <f t="shared" ref="AT451:AU451" si="900">C451</f>
        <v>G25000</v>
      </c>
      <c r="AU451" s="854" t="str">
        <f t="shared" si="900"/>
        <v>A RECEVOIR ROULEZ ELECT</v>
      </c>
      <c r="AV451" s="794">
        <f t="array" ref="AV451">IFERROR(INDEX(V451:AG451,1,MATCH(Parametres!$B$3,V$1:AG$1,0)-1)*IF(OR(C451="L",C451="S",C451="I"),-1,1),"")</f>
        <v>0</v>
      </c>
      <c r="AW451" s="794">
        <f t="shared" si="6"/>
        <v>0</v>
      </c>
      <c r="AX451" s="794">
        <f t="array" ref="AX451">INDEX(V451:AG451,1,MATCH(Parametres!$B$3,V$1:AG$1,0))*IF(OR(C451="L",C451="S",C451="I"),-1,1)</f>
        <v>0</v>
      </c>
      <c r="AY451" s="853" t="s">
        <v>772</v>
      </c>
      <c r="AZ451" s="853" t="str">
        <f>+VLOOKUP($AJ451,Data_Validation!$A:$E,5,0)</f>
        <v/>
      </c>
    </row>
    <row r="452" ht="15.75" customHeight="1">
      <c r="A452" s="849" t="s">
        <v>1239</v>
      </c>
      <c r="B452" s="849">
        <v>2026.0</v>
      </c>
      <c r="C452" s="849" t="s">
        <v>2130</v>
      </c>
      <c r="D452" s="849" t="s">
        <v>2131</v>
      </c>
      <c r="E452" s="849" t="s">
        <v>768</v>
      </c>
      <c r="F452" s="849" t="s">
        <v>1926</v>
      </c>
      <c r="G452" s="849">
        <v>0.0</v>
      </c>
      <c r="H452" s="849">
        <v>0.0</v>
      </c>
      <c r="I452" s="849">
        <v>0.0</v>
      </c>
      <c r="J452" s="849">
        <v>0.0</v>
      </c>
      <c r="K452" s="849">
        <v>0.0</v>
      </c>
      <c r="L452" s="849">
        <v>0.0</v>
      </c>
      <c r="M452" s="849">
        <v>0.0</v>
      </c>
      <c r="N452" s="849">
        <v>0.0</v>
      </c>
      <c r="O452" s="849">
        <v>0.0</v>
      </c>
      <c r="P452" s="849">
        <v>0.0</v>
      </c>
      <c r="Q452" s="849">
        <v>0.0</v>
      </c>
      <c r="R452" s="849">
        <v>0.0</v>
      </c>
      <c r="S452" s="849">
        <v>0.0</v>
      </c>
      <c r="T452" s="849">
        <v>0.0</v>
      </c>
      <c r="U452" s="849">
        <v>0.0</v>
      </c>
      <c r="V452" s="849">
        <v>0.0</v>
      </c>
      <c r="W452" s="849">
        <v>0.0</v>
      </c>
      <c r="X452" s="849">
        <v>0.0</v>
      </c>
      <c r="Y452" s="849">
        <v>0.0</v>
      </c>
      <c r="Z452" s="849">
        <v>0.0</v>
      </c>
      <c r="AA452" s="849">
        <v>0.0</v>
      </c>
      <c r="AB452" s="849">
        <v>0.0</v>
      </c>
      <c r="AC452" s="849">
        <v>0.0</v>
      </c>
      <c r="AD452" s="849">
        <v>0.0</v>
      </c>
      <c r="AE452" s="849">
        <v>0.0</v>
      </c>
      <c r="AF452" s="849">
        <v>0.0</v>
      </c>
      <c r="AG452" s="849">
        <v>0.0</v>
      </c>
      <c r="AH452" s="849">
        <v>0.0</v>
      </c>
      <c r="AI452" s="849">
        <v>0.0</v>
      </c>
      <c r="AJ452" s="794" t="str">
        <f t="shared" ref="AJ452:AK452" si="901">C452</f>
        <v>G258</v>
      </c>
      <c r="AK452" s="794" t="str">
        <f t="shared" si="901"/>
        <v>PNEUS USAGÉS</v>
      </c>
      <c r="AL452" s="794">
        <f t="array" ref="AL452">IFERROR(INDEX(G452:R452,1,MATCH(Parametres!$B$3,G$1:R$1,0)-1)*IF(OR(F452="L",F452="S",F452="I"),-1,1),"")</f>
        <v>0</v>
      </c>
      <c r="AM452" s="794">
        <f t="shared" si="4"/>
        <v>0</v>
      </c>
      <c r="AN452" s="794">
        <f t="array" ref="AN452">INDEX(G452:R452,1,MATCH(Parametres!$B$3,G$1:R$1,0))*IF(OR(F452="L",F452="S",F452="I"),-1,1)</f>
        <v>0</v>
      </c>
      <c r="AO452" s="853" t="str">
        <f>+VLOOKUP($AJ452,Data_Validation!$A:$D,1,0)</f>
        <v>#N/A</v>
      </c>
      <c r="AP452" s="853" t="str">
        <f>+VLOOKUP($AJ452,Data_Validation!$A:$D,3,0)</f>
        <v>#N/A</v>
      </c>
      <c r="AQ452" s="853" t="str">
        <f>+VLOOKUP($AJ452,Data_Validation!$A:$D,4,0)</f>
        <v>#N/A</v>
      </c>
      <c r="AR452" s="853" t="s">
        <v>728</v>
      </c>
      <c r="AS452" s="853" t="str">
        <f>+VLOOKUP($AJ452,Data_Validation!$A:$E,5,0)</f>
        <v>#N/A</v>
      </c>
      <c r="AT452" s="794" t="str">
        <f t="shared" ref="AT452:AU452" si="902">C452</f>
        <v>G258</v>
      </c>
      <c r="AU452" s="854" t="str">
        <f t="shared" si="902"/>
        <v>PNEUS USAGÉS</v>
      </c>
      <c r="AV452" s="794">
        <f t="array" ref="AV452">IFERROR(INDEX(V452:AG452,1,MATCH(Parametres!$B$3,V$1:AG$1,0)-1)*IF(OR(C452="L",C452="S",C452="I"),-1,1),"")</f>
        <v>0</v>
      </c>
      <c r="AW452" s="794">
        <f t="shared" si="6"/>
        <v>0</v>
      </c>
      <c r="AX452" s="794">
        <f t="array" ref="AX452">INDEX(V452:AG452,1,MATCH(Parametres!$B$3,V$1:AG$1,0))*IF(OR(C452="L",C452="S",C452="I"),-1,1)</f>
        <v>0</v>
      </c>
      <c r="AY452" s="853" t="s">
        <v>772</v>
      </c>
      <c r="AZ452" s="853" t="str">
        <f>+VLOOKUP($AJ452,Data_Validation!$A:$E,5,0)</f>
        <v>#N/A</v>
      </c>
    </row>
    <row r="453" ht="15.0" customHeight="1">
      <c r="A453" s="849" t="s">
        <v>1239</v>
      </c>
      <c r="B453" s="849">
        <v>2026.0</v>
      </c>
      <c r="C453" s="849" t="s">
        <v>2132</v>
      </c>
      <c r="D453" s="849" t="s">
        <v>2133</v>
      </c>
      <c r="E453" s="849" t="s">
        <v>2057</v>
      </c>
      <c r="F453" s="849" t="s">
        <v>1926</v>
      </c>
      <c r="G453" s="849">
        <v>0.0</v>
      </c>
      <c r="H453" s="849">
        <v>0.0</v>
      </c>
      <c r="I453" s="849">
        <v>0.0</v>
      </c>
      <c r="J453" s="849">
        <v>0.0</v>
      </c>
      <c r="K453" s="849">
        <v>0.0</v>
      </c>
      <c r="L453" s="849">
        <v>0.0</v>
      </c>
      <c r="M453" s="849">
        <v>0.0</v>
      </c>
      <c r="N453" s="849">
        <v>0.0</v>
      </c>
      <c r="O453" s="849">
        <v>0.0</v>
      </c>
      <c r="P453" s="849">
        <v>0.0</v>
      </c>
      <c r="Q453" s="849">
        <v>0.0</v>
      </c>
      <c r="R453" s="849">
        <v>0.0</v>
      </c>
      <c r="S453" s="849">
        <v>0.0</v>
      </c>
      <c r="T453" s="849">
        <v>0.0</v>
      </c>
      <c r="U453" s="849">
        <v>0.0</v>
      </c>
      <c r="V453" s="849">
        <v>0.0</v>
      </c>
      <c r="W453" s="849">
        <v>0.0</v>
      </c>
      <c r="X453" s="849">
        <v>0.0</v>
      </c>
      <c r="Y453" s="849">
        <v>0.0</v>
      </c>
      <c r="Z453" s="849">
        <v>0.0</v>
      </c>
      <c r="AA453" s="849">
        <v>0.0</v>
      </c>
      <c r="AB453" s="849">
        <v>0.0</v>
      </c>
      <c r="AC453" s="849">
        <v>0.0</v>
      </c>
      <c r="AD453" s="849">
        <v>0.0</v>
      </c>
      <c r="AE453" s="849">
        <v>0.0</v>
      </c>
      <c r="AF453" s="849">
        <v>0.0</v>
      </c>
      <c r="AG453" s="849">
        <v>0.0</v>
      </c>
      <c r="AH453" s="849">
        <v>0.0</v>
      </c>
      <c r="AI453" s="849">
        <v>0.0</v>
      </c>
      <c r="AJ453" s="794" t="str">
        <f t="shared" ref="AJ453:AK453" si="903">C453</f>
        <v>G25800</v>
      </c>
      <c r="AK453" s="794" t="str">
        <f t="shared" si="903"/>
        <v>PNEUS COURTOISIES</v>
      </c>
      <c r="AL453" s="794">
        <f t="array" ref="AL453">IFERROR(INDEX(G453:R453,1,MATCH(Parametres!$B$3,G$1:R$1,0)-1)*IF(OR(F453="L",F453="S",F453="I"),-1,1),"")</f>
        <v>0</v>
      </c>
      <c r="AM453" s="794">
        <f t="shared" si="4"/>
        <v>0</v>
      </c>
      <c r="AN453" s="794">
        <f t="array" ref="AN453">INDEX(G453:R453,1,MATCH(Parametres!$B$3,G$1:R$1,0))*IF(OR(F453="L",F453="S",F453="I"),-1,1)</f>
        <v>0</v>
      </c>
      <c r="AO453" s="853" t="str">
        <f>+VLOOKUP($AJ453,Data_Validation!$A:$D,1,0)</f>
        <v>G25800</v>
      </c>
      <c r="AP453" s="853" t="str">
        <f>+VLOOKUP($AJ453,Data_Validation!$A:$D,3,0)</f>
        <v/>
      </c>
      <c r="AQ453" s="853" t="str">
        <f>+VLOOKUP($AJ453,Data_Validation!$A:$D,4,0)</f>
        <v/>
      </c>
      <c r="AR453" s="853" t="s">
        <v>728</v>
      </c>
      <c r="AS453" s="853" t="str">
        <f>+VLOOKUP($AJ453,Data_Validation!$A:$E,5,0)</f>
        <v/>
      </c>
      <c r="AT453" s="794" t="str">
        <f t="shared" ref="AT453:AU453" si="904">C453</f>
        <v>G25800</v>
      </c>
      <c r="AU453" s="854" t="str">
        <f t="shared" si="904"/>
        <v>PNEUS COURTOISIES</v>
      </c>
      <c r="AV453" s="794">
        <f t="array" ref="AV453">IFERROR(INDEX(V453:AG453,1,MATCH(Parametres!$B$3,V$1:AG$1,0)-1)*IF(OR(C453="L",C453="S",C453="I"),-1,1),"")</f>
        <v>0</v>
      </c>
      <c r="AW453" s="794">
        <f t="shared" si="6"/>
        <v>0</v>
      </c>
      <c r="AX453" s="794">
        <f t="array" ref="AX453">INDEX(V453:AG453,1,MATCH(Parametres!$B$3,V$1:AG$1,0))*IF(OR(C453="L",C453="S",C453="I"),-1,1)</f>
        <v>0</v>
      </c>
      <c r="AY453" s="853" t="s">
        <v>772</v>
      </c>
      <c r="AZ453" s="853" t="str">
        <f>+VLOOKUP($AJ453,Data_Validation!$A:$E,5,0)</f>
        <v/>
      </c>
    </row>
    <row r="454" ht="15.0" customHeight="1">
      <c r="A454" s="849" t="s">
        <v>1239</v>
      </c>
      <c r="B454" s="849">
        <v>2026.0</v>
      </c>
      <c r="C454" s="849" t="s">
        <v>2134</v>
      </c>
      <c r="D454" s="849" t="s">
        <v>2135</v>
      </c>
      <c r="E454" s="849" t="s">
        <v>768</v>
      </c>
      <c r="F454" s="849" t="s">
        <v>1926</v>
      </c>
      <c r="G454" s="849">
        <v>-272876.02</v>
      </c>
      <c r="H454" s="849">
        <v>-272876.02</v>
      </c>
      <c r="I454" s="849">
        <v>-272876.02</v>
      </c>
      <c r="J454" s="849">
        <v>-272876.02</v>
      </c>
      <c r="K454" s="849">
        <v>-272876.02</v>
      </c>
      <c r="L454" s="849">
        <v>-272876.02</v>
      </c>
      <c r="M454" s="849">
        <v>124974.69</v>
      </c>
      <c r="N454" s="849">
        <v>124974.69</v>
      </c>
      <c r="O454" s="849">
        <v>124974.69</v>
      </c>
      <c r="P454" s="849">
        <v>124974.69</v>
      </c>
      <c r="Q454" s="849">
        <v>0.0</v>
      </c>
      <c r="R454" s="849">
        <v>0.0</v>
      </c>
      <c r="S454" s="849">
        <v>0.0</v>
      </c>
      <c r="T454" s="849">
        <v>0.0</v>
      </c>
      <c r="U454" s="849">
        <v>0.0</v>
      </c>
      <c r="V454" s="849">
        <v>0.0</v>
      </c>
      <c r="W454" s="849">
        <v>0.0</v>
      </c>
      <c r="X454" s="849">
        <v>0.0</v>
      </c>
      <c r="Y454" s="849">
        <v>0.0</v>
      </c>
      <c r="Z454" s="849">
        <v>0.0</v>
      </c>
      <c r="AA454" s="849">
        <v>0.0</v>
      </c>
      <c r="AB454" s="849">
        <v>0.0</v>
      </c>
      <c r="AC454" s="849">
        <v>0.0</v>
      </c>
      <c r="AD454" s="849">
        <v>0.0</v>
      </c>
      <c r="AE454" s="849">
        <v>0.0</v>
      </c>
      <c r="AF454" s="849">
        <v>0.0</v>
      </c>
      <c r="AG454" s="849">
        <v>0.0</v>
      </c>
      <c r="AH454" s="849">
        <v>0.0</v>
      </c>
      <c r="AI454" s="849">
        <v>0.0</v>
      </c>
      <c r="AJ454" s="794" t="str">
        <f t="shared" ref="AJ454:AK454" si="905">C454</f>
        <v>G26000</v>
      </c>
      <c r="AK454" s="794" t="str">
        <f t="shared" si="905"/>
        <v>PORTEFEUILLE</v>
      </c>
      <c r="AL454" s="794">
        <f t="array" ref="AL454">IFERROR(INDEX(G454:R454,1,MATCH(Parametres!$B$3,G$1:R$1,0)-1)*IF(OR(F454="L",F454="S",F454="I"),-1,1),"")</f>
        <v>124974.69</v>
      </c>
      <c r="AM454" s="794">
        <f t="shared" si="4"/>
        <v>0</v>
      </c>
      <c r="AN454" s="794">
        <f t="array" ref="AN454">INDEX(G454:R454,1,MATCH(Parametres!$B$3,G$1:R$1,0))*IF(OR(F454="L",F454="S",F454="I"),-1,1)</f>
        <v>124974.69</v>
      </c>
      <c r="AO454" s="853" t="str">
        <f>+VLOOKUP($AJ454,Data_Validation!$A:$D,1,0)</f>
        <v>G26000</v>
      </c>
      <c r="AP454" s="853" t="str">
        <f>+VLOOKUP($AJ454,Data_Validation!$A:$D,3,0)</f>
        <v>Bilan</v>
      </c>
      <c r="AQ454" s="853" t="str">
        <f>+VLOOKUP($AJ454,Data_Validation!$A:$D,4,0)</f>
        <v>Encaisse</v>
      </c>
      <c r="AR454" s="853" t="s">
        <v>728</v>
      </c>
      <c r="AS454" s="853" t="str">
        <f>+VLOOKUP($AJ454,Data_Validation!$A:$E,5,0)</f>
        <v/>
      </c>
      <c r="AT454" s="794" t="str">
        <f t="shared" ref="AT454:AU454" si="906">C454</f>
        <v>G26000</v>
      </c>
      <c r="AU454" s="854" t="str">
        <f t="shared" si="906"/>
        <v>PORTEFEUILLE</v>
      </c>
      <c r="AV454" s="794">
        <f t="array" ref="AV454">IFERROR(INDEX(V454:AG454,1,MATCH(Parametres!$B$3,V$1:AG$1,0)-1)*IF(OR(C454="L",C454="S",C454="I"),-1,1),"")</f>
        <v>0</v>
      </c>
      <c r="AW454" s="794">
        <f t="shared" si="6"/>
        <v>0</v>
      </c>
      <c r="AX454" s="794">
        <f t="array" ref="AX454">INDEX(V454:AG454,1,MATCH(Parametres!$B$3,V$1:AG$1,0))*IF(OR(C454="L",C454="S",C454="I"),-1,1)</f>
        <v>0</v>
      </c>
      <c r="AY454" s="853" t="s">
        <v>772</v>
      </c>
      <c r="AZ454" s="853" t="str">
        <f>+VLOOKUP($AJ454,Data_Validation!$A:$E,5,0)</f>
        <v/>
      </c>
    </row>
    <row r="455" ht="15.0" customHeight="1">
      <c r="A455" s="849" t="s">
        <v>1239</v>
      </c>
      <c r="B455" s="849">
        <v>2026.0</v>
      </c>
      <c r="C455" s="849" t="s">
        <v>2136</v>
      </c>
      <c r="D455" s="849" t="s">
        <v>2137</v>
      </c>
      <c r="E455" s="849" t="s">
        <v>1959</v>
      </c>
      <c r="F455" s="849" t="s">
        <v>1926</v>
      </c>
      <c r="G455" s="849">
        <v>-44258.66</v>
      </c>
      <c r="H455" s="849">
        <v>-34155.68</v>
      </c>
      <c r="I455" s="849">
        <v>-22499.8</v>
      </c>
      <c r="J455" s="849">
        <v>-24469.61</v>
      </c>
      <c r="K455" s="849">
        <v>-25313.77</v>
      </c>
      <c r="L455" s="849">
        <v>-17216.88</v>
      </c>
      <c r="M455" s="849">
        <v>-19164.75</v>
      </c>
      <c r="N455" s="849">
        <v>-13144.21</v>
      </c>
      <c r="O455" s="849">
        <v>-18871.38</v>
      </c>
      <c r="P455" s="849">
        <v>-12865.14</v>
      </c>
      <c r="Q455" s="849">
        <v>0.0</v>
      </c>
      <c r="R455" s="849">
        <v>0.0</v>
      </c>
      <c r="S455" s="849">
        <v>0.0</v>
      </c>
      <c r="T455" s="849">
        <v>0.0</v>
      </c>
      <c r="U455" s="849">
        <v>0.0</v>
      </c>
      <c r="V455" s="849">
        <v>0.0</v>
      </c>
      <c r="W455" s="849">
        <v>0.0</v>
      </c>
      <c r="X455" s="849">
        <v>0.0</v>
      </c>
      <c r="Y455" s="849">
        <v>0.0</v>
      </c>
      <c r="Z455" s="849">
        <v>0.0</v>
      </c>
      <c r="AA455" s="849">
        <v>0.0</v>
      </c>
      <c r="AB455" s="849">
        <v>0.0</v>
      </c>
      <c r="AC455" s="849">
        <v>0.0</v>
      </c>
      <c r="AD455" s="849">
        <v>0.0</v>
      </c>
      <c r="AE455" s="849">
        <v>0.0</v>
      </c>
      <c r="AF455" s="849">
        <v>0.0</v>
      </c>
      <c r="AG455" s="849">
        <v>0.0</v>
      </c>
      <c r="AH455" s="849">
        <v>0.0</v>
      </c>
      <c r="AI455" s="849">
        <v>0.0</v>
      </c>
      <c r="AJ455" s="794" t="str">
        <f t="shared" ref="AJ455:AK455" si="907">C455</f>
        <v>G26101</v>
      </c>
      <c r="AK455" s="794" t="str">
        <f t="shared" si="907"/>
        <v>INSPECTIONS (PDI)</v>
      </c>
      <c r="AL455" s="794">
        <f t="array" ref="AL455">IFERROR(INDEX(G455:R455,1,MATCH(Parametres!$B$3,G$1:R$1,0)-1)*IF(OR(F455="L",F455="S",F455="I"),-1,1),"")</f>
        <v>-13144.21</v>
      </c>
      <c r="AM455" s="794">
        <f t="shared" si="4"/>
        <v>-5727.17</v>
      </c>
      <c r="AN455" s="794">
        <f t="array" ref="AN455">INDEX(G455:R455,1,MATCH(Parametres!$B$3,G$1:R$1,0))*IF(OR(F455="L",F455="S",F455="I"),-1,1)</f>
        <v>-18871.38</v>
      </c>
      <c r="AO455" s="853" t="str">
        <f>+VLOOKUP($AJ455,Data_Validation!$A:$D,1,0)</f>
        <v>G26101</v>
      </c>
      <c r="AP455" s="853" t="str">
        <f>+VLOOKUP($AJ455,Data_Validation!$A:$D,3,0)</f>
        <v>Bilan</v>
      </c>
      <c r="AQ455" s="853" t="str">
        <f>+VLOOKUP($AJ455,Data_Validation!$A:$D,4,0)</f>
        <v>Recevables Manufacturier</v>
      </c>
      <c r="AR455" s="853" t="s">
        <v>728</v>
      </c>
      <c r="AS455" s="853" t="str">
        <f>+VLOOKUP($AJ455,Data_Validation!$A:$E,5,0)</f>
        <v/>
      </c>
      <c r="AT455" s="794" t="str">
        <f t="shared" ref="AT455:AU455" si="908">C455</f>
        <v>G26101</v>
      </c>
      <c r="AU455" s="854" t="str">
        <f t="shared" si="908"/>
        <v>INSPECTIONS (PDI)</v>
      </c>
      <c r="AV455" s="794">
        <f t="array" ref="AV455">IFERROR(INDEX(V455:AG455,1,MATCH(Parametres!$B$3,V$1:AG$1,0)-1)*IF(OR(C455="L",C455="S",C455="I"),-1,1),"")</f>
        <v>0</v>
      </c>
      <c r="AW455" s="794">
        <f t="shared" si="6"/>
        <v>0</v>
      </c>
      <c r="AX455" s="794">
        <f t="array" ref="AX455">INDEX(V455:AG455,1,MATCH(Parametres!$B$3,V$1:AG$1,0))*IF(OR(C455="L",C455="S",C455="I"),-1,1)</f>
        <v>0</v>
      </c>
      <c r="AY455" s="853" t="s">
        <v>772</v>
      </c>
      <c r="AZ455" s="853" t="str">
        <f>+VLOOKUP($AJ455,Data_Validation!$A:$E,5,0)</f>
        <v/>
      </c>
    </row>
    <row r="456" ht="15.0" customHeight="1">
      <c r="A456" s="849" t="s">
        <v>1239</v>
      </c>
      <c r="B456" s="849">
        <v>2026.0</v>
      </c>
      <c r="C456" s="849" t="s">
        <v>2138</v>
      </c>
      <c r="D456" s="849" t="s">
        <v>2139</v>
      </c>
      <c r="E456" s="849" t="s">
        <v>1959</v>
      </c>
      <c r="F456" s="849" t="s">
        <v>1926</v>
      </c>
      <c r="G456" s="849">
        <v>18960.74</v>
      </c>
      <c r="H456" s="849">
        <v>25362.17</v>
      </c>
      <c r="I456" s="849">
        <v>54403.18</v>
      </c>
      <c r="J456" s="849">
        <v>141724.88</v>
      </c>
      <c r="K456" s="849">
        <v>69583.12</v>
      </c>
      <c r="L456" s="849">
        <v>54266.01</v>
      </c>
      <c r="M456" s="849">
        <v>100765.95</v>
      </c>
      <c r="N456" s="849">
        <v>120284.47</v>
      </c>
      <c r="O456" s="849">
        <v>96293.61</v>
      </c>
      <c r="P456" s="849">
        <v>70275.66</v>
      </c>
      <c r="Q456" s="849">
        <v>0.0</v>
      </c>
      <c r="R456" s="849">
        <v>0.0</v>
      </c>
      <c r="S456" s="849">
        <v>0.0</v>
      </c>
      <c r="T456" s="849">
        <v>0.0</v>
      </c>
      <c r="U456" s="849">
        <v>0.0</v>
      </c>
      <c r="V456" s="849">
        <v>0.0</v>
      </c>
      <c r="W456" s="849">
        <v>0.0</v>
      </c>
      <c r="X456" s="849">
        <v>0.0</v>
      </c>
      <c r="Y456" s="849">
        <v>0.0</v>
      </c>
      <c r="Z456" s="849">
        <v>0.0</v>
      </c>
      <c r="AA456" s="849">
        <v>0.0</v>
      </c>
      <c r="AB456" s="849">
        <v>0.0</v>
      </c>
      <c r="AC456" s="849">
        <v>0.0</v>
      </c>
      <c r="AD456" s="849">
        <v>0.0</v>
      </c>
      <c r="AE456" s="849">
        <v>0.0</v>
      </c>
      <c r="AF456" s="849">
        <v>0.0</v>
      </c>
      <c r="AG456" s="849">
        <v>0.0</v>
      </c>
      <c r="AH456" s="849">
        <v>0.0</v>
      </c>
      <c r="AI456" s="849">
        <v>0.0</v>
      </c>
      <c r="AJ456" s="794" t="str">
        <f t="shared" ref="AJ456:AK456" si="909">C456</f>
        <v>G26103</v>
      </c>
      <c r="AK456" s="794" t="str">
        <f t="shared" si="909"/>
        <v>PROGRAMMES DIVERS</v>
      </c>
      <c r="AL456" s="794">
        <f t="array" ref="AL456">IFERROR(INDEX(G456:R456,1,MATCH(Parametres!$B$3,G$1:R$1,0)-1)*IF(OR(F456="L",F456="S",F456="I"),-1,1),"")</f>
        <v>120284.47</v>
      </c>
      <c r="AM456" s="794">
        <f t="shared" si="4"/>
        <v>-23990.86</v>
      </c>
      <c r="AN456" s="794">
        <f t="array" ref="AN456">INDEX(G456:R456,1,MATCH(Parametres!$B$3,G$1:R$1,0))*IF(OR(F456="L",F456="S",F456="I"),-1,1)</f>
        <v>96293.61</v>
      </c>
      <c r="AO456" s="853" t="str">
        <f>+VLOOKUP($AJ456,Data_Validation!$A:$D,1,0)</f>
        <v>G26103</v>
      </c>
      <c r="AP456" s="853" t="str">
        <f>+VLOOKUP($AJ456,Data_Validation!$A:$D,3,0)</f>
        <v>Bilan</v>
      </c>
      <c r="AQ456" s="853" t="str">
        <f>+VLOOKUP($AJ456,Data_Validation!$A:$D,4,0)</f>
        <v>Recevables Manufacturier</v>
      </c>
      <c r="AR456" s="853" t="s">
        <v>728</v>
      </c>
      <c r="AS456" s="853" t="str">
        <f>+VLOOKUP($AJ456,Data_Validation!$A:$E,5,0)</f>
        <v/>
      </c>
      <c r="AT456" s="794" t="str">
        <f t="shared" ref="AT456:AU456" si="910">C456</f>
        <v>G26103</v>
      </c>
      <c r="AU456" s="854" t="str">
        <f t="shared" si="910"/>
        <v>PROGRAMMES DIVERS</v>
      </c>
      <c r="AV456" s="794">
        <f t="array" ref="AV456">IFERROR(INDEX(V456:AG456,1,MATCH(Parametres!$B$3,V$1:AG$1,0)-1)*IF(OR(C456="L",C456="S",C456="I"),-1,1),"")</f>
        <v>0</v>
      </c>
      <c r="AW456" s="794">
        <f t="shared" si="6"/>
        <v>0</v>
      </c>
      <c r="AX456" s="794">
        <f t="array" ref="AX456">INDEX(V456:AG456,1,MATCH(Parametres!$B$3,V$1:AG$1,0))*IF(OR(C456="L",C456="S",C456="I"),-1,1)</f>
        <v>0</v>
      </c>
      <c r="AY456" s="853" t="s">
        <v>772</v>
      </c>
      <c r="AZ456" s="853" t="str">
        <f>+VLOOKUP($AJ456,Data_Validation!$A:$E,5,0)</f>
        <v/>
      </c>
    </row>
    <row r="457" ht="15.0" customHeight="1">
      <c r="A457" s="849" t="s">
        <v>1239</v>
      </c>
      <c r="B457" s="849">
        <v>2026.0</v>
      </c>
      <c r="C457" s="849" t="s">
        <v>2140</v>
      </c>
      <c r="D457" s="849" t="s">
        <v>2141</v>
      </c>
      <c r="E457" s="849" t="s">
        <v>1959</v>
      </c>
      <c r="F457" s="849" t="s">
        <v>1926</v>
      </c>
      <c r="G457" s="849">
        <v>43678.21</v>
      </c>
      <c r="H457" s="849">
        <v>110693.25</v>
      </c>
      <c r="I457" s="849">
        <v>213508.24</v>
      </c>
      <c r="J457" s="849">
        <v>205889.26</v>
      </c>
      <c r="K457" s="849">
        <v>187655.35</v>
      </c>
      <c r="L457" s="849">
        <v>188850.77</v>
      </c>
      <c r="M457" s="849">
        <v>149459.75</v>
      </c>
      <c r="N457" s="849">
        <v>138480.95</v>
      </c>
      <c r="O457" s="849">
        <v>134843.82</v>
      </c>
      <c r="P457" s="849">
        <v>131585.35</v>
      </c>
      <c r="Q457" s="849">
        <v>0.0</v>
      </c>
      <c r="R457" s="849">
        <v>0.0</v>
      </c>
      <c r="S457" s="849">
        <v>0.0</v>
      </c>
      <c r="T457" s="849">
        <v>0.0</v>
      </c>
      <c r="U457" s="849">
        <v>0.0</v>
      </c>
      <c r="V457" s="849">
        <v>0.0</v>
      </c>
      <c r="W457" s="849">
        <v>0.0</v>
      </c>
      <c r="X457" s="849">
        <v>0.0</v>
      </c>
      <c r="Y457" s="849">
        <v>0.0</v>
      </c>
      <c r="Z457" s="849">
        <v>0.0</v>
      </c>
      <c r="AA457" s="849">
        <v>0.0</v>
      </c>
      <c r="AB457" s="849">
        <v>0.0</v>
      </c>
      <c r="AC457" s="849">
        <v>0.0</v>
      </c>
      <c r="AD457" s="849">
        <v>0.0</v>
      </c>
      <c r="AE457" s="849">
        <v>0.0</v>
      </c>
      <c r="AF457" s="849">
        <v>0.0</v>
      </c>
      <c r="AG457" s="849">
        <v>0.0</v>
      </c>
      <c r="AH457" s="849">
        <v>0.0</v>
      </c>
      <c r="AI457" s="849">
        <v>0.0</v>
      </c>
      <c r="AJ457" s="794" t="str">
        <f t="shared" ref="AJ457:AK457" si="911">C457</f>
        <v>G26104</v>
      </c>
      <c r="AK457" s="794" t="str">
        <f t="shared" si="911"/>
        <v>PROGRAMMES FLOTTES</v>
      </c>
      <c r="AL457" s="794">
        <f t="array" ref="AL457">IFERROR(INDEX(G457:R457,1,MATCH(Parametres!$B$3,G$1:R$1,0)-1)*IF(OR(F457="L",F457="S",F457="I"),-1,1),"")</f>
        <v>138480.95</v>
      </c>
      <c r="AM457" s="794">
        <f t="shared" si="4"/>
        <v>-3637.13</v>
      </c>
      <c r="AN457" s="794">
        <f t="array" ref="AN457">INDEX(G457:R457,1,MATCH(Parametres!$B$3,G$1:R$1,0))*IF(OR(F457="L",F457="S",F457="I"),-1,1)</f>
        <v>134843.82</v>
      </c>
      <c r="AO457" s="853" t="str">
        <f>+VLOOKUP($AJ457,Data_Validation!$A:$D,1,0)</f>
        <v>G26104</v>
      </c>
      <c r="AP457" s="853" t="str">
        <f>+VLOOKUP($AJ457,Data_Validation!$A:$D,3,0)</f>
        <v>Bilan</v>
      </c>
      <c r="AQ457" s="853" t="str">
        <f>+VLOOKUP($AJ457,Data_Validation!$A:$D,4,0)</f>
        <v>Recevables Manufacturier</v>
      </c>
      <c r="AR457" s="853" t="s">
        <v>728</v>
      </c>
      <c r="AS457" s="853" t="str">
        <f>+VLOOKUP($AJ457,Data_Validation!$A:$E,5,0)</f>
        <v/>
      </c>
      <c r="AT457" s="794" t="str">
        <f t="shared" ref="AT457:AU457" si="912">C457</f>
        <v>G26104</v>
      </c>
      <c r="AU457" s="854" t="str">
        <f t="shared" si="912"/>
        <v>PROGRAMMES FLOTTES</v>
      </c>
      <c r="AV457" s="794">
        <f t="array" ref="AV457">IFERROR(INDEX(V457:AG457,1,MATCH(Parametres!$B$3,V$1:AG$1,0)-1)*IF(OR(C457="L",C457="S",C457="I"),-1,1),"")</f>
        <v>0</v>
      </c>
      <c r="AW457" s="794">
        <f t="shared" si="6"/>
        <v>0</v>
      </c>
      <c r="AX457" s="794">
        <f t="array" ref="AX457">INDEX(V457:AG457,1,MATCH(Parametres!$B$3,V$1:AG$1,0))*IF(OR(C457="L",C457="S",C457="I"),-1,1)</f>
        <v>0</v>
      </c>
      <c r="AY457" s="853" t="s">
        <v>772</v>
      </c>
      <c r="AZ457" s="853" t="str">
        <f>+VLOOKUP($AJ457,Data_Validation!$A:$E,5,0)</f>
        <v/>
      </c>
    </row>
    <row r="458" ht="15.0" customHeight="1">
      <c r="A458" s="849" t="s">
        <v>1239</v>
      </c>
      <c r="B458" s="849">
        <v>2026.0</v>
      </c>
      <c r="C458" s="849" t="s">
        <v>2142</v>
      </c>
      <c r="D458" s="849" t="s">
        <v>2143</v>
      </c>
      <c r="E458" s="849" t="s">
        <v>1959</v>
      </c>
      <c r="F458" s="849" t="s">
        <v>1926</v>
      </c>
      <c r="G458" s="849">
        <v>0.0</v>
      </c>
      <c r="H458" s="849">
        <v>0.0</v>
      </c>
      <c r="I458" s="849">
        <v>0.0</v>
      </c>
      <c r="J458" s="849">
        <v>0.0</v>
      </c>
      <c r="K458" s="849">
        <v>0.0</v>
      </c>
      <c r="L458" s="849">
        <v>0.0</v>
      </c>
      <c r="M458" s="849">
        <v>0.0</v>
      </c>
      <c r="N458" s="849">
        <v>0.0</v>
      </c>
      <c r="O458" s="849">
        <v>2300.0</v>
      </c>
      <c r="P458" s="849">
        <v>2300.0</v>
      </c>
      <c r="Q458" s="849">
        <v>0.0</v>
      </c>
      <c r="R458" s="849">
        <v>0.0</v>
      </c>
      <c r="S458" s="849">
        <v>0.0</v>
      </c>
      <c r="T458" s="849">
        <v>0.0</v>
      </c>
      <c r="U458" s="849">
        <v>0.0</v>
      </c>
      <c r="V458" s="849">
        <v>0.0</v>
      </c>
      <c r="W458" s="849">
        <v>0.0</v>
      </c>
      <c r="X458" s="849">
        <v>0.0</v>
      </c>
      <c r="Y458" s="849">
        <v>0.0</v>
      </c>
      <c r="Z458" s="849">
        <v>0.0</v>
      </c>
      <c r="AA458" s="849">
        <v>0.0</v>
      </c>
      <c r="AB458" s="849">
        <v>0.0</v>
      </c>
      <c r="AC458" s="849">
        <v>0.0</v>
      </c>
      <c r="AD458" s="849">
        <v>0.0</v>
      </c>
      <c r="AE458" s="849">
        <v>0.0</v>
      </c>
      <c r="AF458" s="849">
        <v>0.0</v>
      </c>
      <c r="AG458" s="849">
        <v>0.0</v>
      </c>
      <c r="AH458" s="849">
        <v>0.0</v>
      </c>
      <c r="AI458" s="849">
        <v>0.0</v>
      </c>
      <c r="AJ458" s="794" t="str">
        <f t="shared" ref="AJ458:AK458" si="913">C458</f>
        <v>G26105</v>
      </c>
      <c r="AK458" s="794" t="str">
        <f t="shared" si="913"/>
        <v>RECTIFICATION A VENIR</v>
      </c>
      <c r="AL458" s="794">
        <f t="array" ref="AL458">IFERROR(INDEX(G458:R458,1,MATCH(Parametres!$B$3,G$1:R$1,0)-1)*IF(OR(F458="L",F458="S",F458="I"),-1,1),"")</f>
        <v>0</v>
      </c>
      <c r="AM458" s="794">
        <f t="shared" si="4"/>
        <v>2300</v>
      </c>
      <c r="AN458" s="794">
        <f t="array" ref="AN458">INDEX(G458:R458,1,MATCH(Parametres!$B$3,G$1:R$1,0))*IF(OR(F458="L",F458="S",F458="I"),-1,1)</f>
        <v>2300</v>
      </c>
      <c r="AO458" s="853" t="str">
        <f>+VLOOKUP($AJ458,Data_Validation!$A:$D,1,0)</f>
        <v>G26105</v>
      </c>
      <c r="AP458" s="853" t="str">
        <f>+VLOOKUP($AJ458,Data_Validation!$A:$D,3,0)</f>
        <v>Bilan</v>
      </c>
      <c r="AQ458" s="853" t="str">
        <f>+VLOOKUP($AJ458,Data_Validation!$A:$D,4,0)</f>
        <v>Frais Payés d'Avance</v>
      </c>
      <c r="AR458" s="853" t="s">
        <v>728</v>
      </c>
      <c r="AS458" s="853" t="str">
        <f>+VLOOKUP($AJ458,Data_Validation!$A:$E,5,0)</f>
        <v/>
      </c>
      <c r="AT458" s="794" t="str">
        <f t="shared" ref="AT458:AU458" si="914">C458</f>
        <v>G26105</v>
      </c>
      <c r="AU458" s="854" t="str">
        <f t="shared" si="914"/>
        <v>RECTIFICATION A VENIR</v>
      </c>
      <c r="AV458" s="794">
        <f t="array" ref="AV458">IFERROR(INDEX(V458:AG458,1,MATCH(Parametres!$B$3,V$1:AG$1,0)-1)*IF(OR(C458="L",C458="S",C458="I"),-1,1),"")</f>
        <v>0</v>
      </c>
      <c r="AW458" s="794">
        <f t="shared" si="6"/>
        <v>0</v>
      </c>
      <c r="AX458" s="794">
        <f t="array" ref="AX458">INDEX(V458:AG458,1,MATCH(Parametres!$B$3,V$1:AG$1,0))*IF(OR(C458="L",C458="S",C458="I"),-1,1)</f>
        <v>0</v>
      </c>
      <c r="AY458" s="853" t="s">
        <v>772</v>
      </c>
      <c r="AZ458" s="853" t="str">
        <f>+VLOOKUP($AJ458,Data_Validation!$A:$E,5,0)</f>
        <v/>
      </c>
    </row>
    <row r="459" ht="15.0" customHeight="1">
      <c r="A459" s="849" t="s">
        <v>1239</v>
      </c>
      <c r="B459" s="849">
        <v>2026.0</v>
      </c>
      <c r="C459" s="849" t="s">
        <v>2144</v>
      </c>
      <c r="D459" s="849" t="s">
        <v>2145</v>
      </c>
      <c r="E459" s="849" t="s">
        <v>768</v>
      </c>
      <c r="F459" s="849" t="s">
        <v>1926</v>
      </c>
      <c r="G459" s="849">
        <v>15471.14</v>
      </c>
      <c r="H459" s="849">
        <v>12865.94</v>
      </c>
      <c r="I459" s="849">
        <v>9569.19</v>
      </c>
      <c r="J459" s="849">
        <v>6234.69</v>
      </c>
      <c r="K459" s="849">
        <v>3129.69</v>
      </c>
      <c r="L459" s="849">
        <v>213.69</v>
      </c>
      <c r="M459" s="849">
        <v>-2756.31</v>
      </c>
      <c r="N459" s="849">
        <v>11209.44</v>
      </c>
      <c r="O459" s="849">
        <v>8401.44</v>
      </c>
      <c r="P459" s="849">
        <v>7483.44</v>
      </c>
      <c r="Q459" s="849">
        <v>0.0</v>
      </c>
      <c r="R459" s="849">
        <v>0.0</v>
      </c>
      <c r="S459" s="849">
        <v>0.0</v>
      </c>
      <c r="T459" s="849">
        <v>0.0</v>
      </c>
      <c r="U459" s="849">
        <v>0.0</v>
      </c>
      <c r="V459" s="849">
        <v>0.0</v>
      </c>
      <c r="W459" s="849">
        <v>0.0</v>
      </c>
      <c r="X459" s="849">
        <v>0.0</v>
      </c>
      <c r="Y459" s="849">
        <v>0.0</v>
      </c>
      <c r="Z459" s="849">
        <v>0.0</v>
      </c>
      <c r="AA459" s="849">
        <v>0.0</v>
      </c>
      <c r="AB459" s="849">
        <v>0.0</v>
      </c>
      <c r="AC459" s="849">
        <v>0.0</v>
      </c>
      <c r="AD459" s="849">
        <v>0.0</v>
      </c>
      <c r="AE459" s="849">
        <v>0.0</v>
      </c>
      <c r="AF459" s="849">
        <v>0.0</v>
      </c>
      <c r="AG459" s="849">
        <v>0.0</v>
      </c>
      <c r="AH459" s="849">
        <v>0.0</v>
      </c>
      <c r="AI459" s="849">
        <v>0.0</v>
      </c>
      <c r="AJ459" s="794" t="str">
        <f t="shared" ref="AJ459:AK459" si="915">C459</f>
        <v>G26155</v>
      </c>
      <c r="AK459" s="794" t="str">
        <f t="shared" si="915"/>
        <v>VIGNETTES AUTO / CAMIONS</v>
      </c>
      <c r="AL459" s="794">
        <f t="array" ref="AL459">IFERROR(INDEX(G459:R459,1,MATCH(Parametres!$B$3,G$1:R$1,0)-1)*IF(OR(F459="L",F459="S",F459="I"),-1,1),"")</f>
        <v>11209.44</v>
      </c>
      <c r="AM459" s="794">
        <f t="shared" si="4"/>
        <v>-2808</v>
      </c>
      <c r="AN459" s="794">
        <f t="array" ref="AN459">INDEX(G459:R459,1,MATCH(Parametres!$B$3,G$1:R$1,0))*IF(OR(F459="L",F459="S",F459="I"),-1,1)</f>
        <v>8401.44</v>
      </c>
      <c r="AO459" s="853" t="str">
        <f>+VLOOKUP($AJ459,Data_Validation!$A:$D,1,0)</f>
        <v>G26155</v>
      </c>
      <c r="AP459" s="853" t="str">
        <f>+VLOOKUP($AJ459,Data_Validation!$A:$D,3,0)</f>
        <v>Bilan</v>
      </c>
      <c r="AQ459" s="853" t="str">
        <f>+VLOOKUP($AJ459,Data_Validation!$A:$D,4,0)</f>
        <v>Frais Payés d'Avance</v>
      </c>
      <c r="AR459" s="853" t="s">
        <v>728</v>
      </c>
      <c r="AS459" s="853" t="str">
        <f>+VLOOKUP($AJ459,Data_Validation!$A:$E,5,0)</f>
        <v/>
      </c>
      <c r="AT459" s="794" t="str">
        <f t="shared" ref="AT459:AU459" si="916">C459</f>
        <v>G26155</v>
      </c>
      <c r="AU459" s="854" t="str">
        <f t="shared" si="916"/>
        <v>VIGNETTES AUTO / CAMIONS</v>
      </c>
      <c r="AV459" s="794">
        <f t="array" ref="AV459">IFERROR(INDEX(V459:AG459,1,MATCH(Parametres!$B$3,V$1:AG$1,0)-1)*IF(OR(C459="L",C459="S",C459="I"),-1,1),"")</f>
        <v>0</v>
      </c>
      <c r="AW459" s="794">
        <f t="shared" si="6"/>
        <v>0</v>
      </c>
      <c r="AX459" s="794">
        <f t="array" ref="AX459">INDEX(V459:AG459,1,MATCH(Parametres!$B$3,V$1:AG$1,0))*IF(OR(C459="L",C459="S",C459="I"),-1,1)</f>
        <v>0</v>
      </c>
      <c r="AY459" s="853" t="s">
        <v>772</v>
      </c>
      <c r="AZ459" s="853" t="str">
        <f>+VLOOKUP($AJ459,Data_Validation!$A:$E,5,0)</f>
        <v/>
      </c>
    </row>
    <row r="460" ht="15.0" customHeight="1">
      <c r="A460" s="849" t="s">
        <v>1239</v>
      </c>
      <c r="B460" s="849">
        <v>2026.0</v>
      </c>
      <c r="C460" s="849" t="s">
        <v>2146</v>
      </c>
      <c r="D460" s="849" t="s">
        <v>2147</v>
      </c>
      <c r="E460" s="849" t="s">
        <v>2057</v>
      </c>
      <c r="F460" s="849" t="s">
        <v>1926</v>
      </c>
      <c r="G460" s="849">
        <v>32.19</v>
      </c>
      <c r="H460" s="849">
        <v>22215.22</v>
      </c>
      <c r="I460" s="849">
        <v>25872.63</v>
      </c>
      <c r="J460" s="849">
        <v>9272.42</v>
      </c>
      <c r="K460" s="849">
        <v>-16776.28</v>
      </c>
      <c r="L460" s="849">
        <v>17695.38</v>
      </c>
      <c r="M460" s="849">
        <v>-2517.75</v>
      </c>
      <c r="N460" s="849">
        <v>51423.38</v>
      </c>
      <c r="O460" s="849">
        <v>522.34</v>
      </c>
      <c r="P460" s="849">
        <v>-3908.13</v>
      </c>
      <c r="Q460" s="849">
        <v>0.0</v>
      </c>
      <c r="R460" s="849">
        <v>0.0</v>
      </c>
      <c r="S460" s="849">
        <v>0.0</v>
      </c>
      <c r="T460" s="849">
        <v>0.0</v>
      </c>
      <c r="U460" s="849">
        <v>0.0</v>
      </c>
      <c r="V460" s="849">
        <v>0.0</v>
      </c>
      <c r="W460" s="849">
        <v>0.0</v>
      </c>
      <c r="X460" s="849">
        <v>0.0</v>
      </c>
      <c r="Y460" s="849">
        <v>0.0</v>
      </c>
      <c r="Z460" s="849">
        <v>0.0</v>
      </c>
      <c r="AA460" s="849">
        <v>0.0</v>
      </c>
      <c r="AB460" s="849">
        <v>0.0</v>
      </c>
      <c r="AC460" s="849">
        <v>0.0</v>
      </c>
      <c r="AD460" s="849">
        <v>0.0</v>
      </c>
      <c r="AE460" s="849">
        <v>0.0</v>
      </c>
      <c r="AF460" s="849">
        <v>0.0</v>
      </c>
      <c r="AG460" s="849">
        <v>0.0</v>
      </c>
      <c r="AH460" s="849">
        <v>0.0</v>
      </c>
      <c r="AI460" s="849">
        <v>0.0</v>
      </c>
      <c r="AJ460" s="794" t="str">
        <f t="shared" ref="AJ460:AK460" si="917">C460</f>
        <v>G26300</v>
      </c>
      <c r="AK460" s="794" t="str">
        <f t="shared" si="917"/>
        <v>RECLAMATION EN GARANTIE</v>
      </c>
      <c r="AL460" s="794">
        <f t="array" ref="AL460">IFERROR(INDEX(G460:R460,1,MATCH(Parametres!$B$3,G$1:R$1,0)-1)*IF(OR(F460="L",F460="S",F460="I"),-1,1),"")</f>
        <v>51423.38</v>
      </c>
      <c r="AM460" s="794">
        <f t="shared" si="4"/>
        <v>-50901.04</v>
      </c>
      <c r="AN460" s="794">
        <f t="array" ref="AN460">INDEX(G460:R460,1,MATCH(Parametres!$B$3,G$1:R$1,0))*IF(OR(F460="L",F460="S",F460="I"),-1,1)</f>
        <v>522.34</v>
      </c>
      <c r="AO460" s="853" t="str">
        <f>+VLOOKUP($AJ460,Data_Validation!$A:$D,1,0)</f>
        <v>G26300</v>
      </c>
      <c r="AP460" s="853" t="str">
        <f>+VLOOKUP($AJ460,Data_Validation!$A:$D,3,0)</f>
        <v>Bilan</v>
      </c>
      <c r="AQ460" s="853" t="str">
        <f>+VLOOKUP($AJ460,Data_Validation!$A:$D,4,0)</f>
        <v>Recevables Garantie Manufacturier</v>
      </c>
      <c r="AR460" s="853" t="s">
        <v>728</v>
      </c>
      <c r="AS460" s="853" t="str">
        <f>+VLOOKUP($AJ460,Data_Validation!$A:$E,5,0)</f>
        <v/>
      </c>
      <c r="AT460" s="794" t="str">
        <f t="shared" ref="AT460:AU460" si="918">C460</f>
        <v>G26300</v>
      </c>
      <c r="AU460" s="854" t="str">
        <f t="shared" si="918"/>
        <v>RECLAMATION EN GARANTIE</v>
      </c>
      <c r="AV460" s="794">
        <f t="array" ref="AV460">IFERROR(INDEX(V460:AG460,1,MATCH(Parametres!$B$3,V$1:AG$1,0)-1)*IF(OR(C460="L",C460="S",C460="I"),-1,1),"")</f>
        <v>0</v>
      </c>
      <c r="AW460" s="794">
        <f t="shared" si="6"/>
        <v>0</v>
      </c>
      <c r="AX460" s="794">
        <f t="array" ref="AX460">INDEX(V460:AG460,1,MATCH(Parametres!$B$3,V$1:AG$1,0))*IF(OR(C460="L",C460="S",C460="I"),-1,1)</f>
        <v>0</v>
      </c>
      <c r="AY460" s="853" t="s">
        <v>772</v>
      </c>
      <c r="AZ460" s="853" t="str">
        <f>+VLOOKUP($AJ460,Data_Validation!$A:$E,5,0)</f>
        <v/>
      </c>
    </row>
    <row r="461" ht="15.0" customHeight="1">
      <c r="A461" s="849" t="s">
        <v>1239</v>
      </c>
      <c r="B461" s="849">
        <v>2026.0</v>
      </c>
      <c r="C461" s="849" t="s">
        <v>2148</v>
      </c>
      <c r="D461" s="849" t="s">
        <v>2149</v>
      </c>
      <c r="E461" s="849" t="s">
        <v>2057</v>
      </c>
      <c r="F461" s="849" t="s">
        <v>1926</v>
      </c>
      <c r="G461" s="849">
        <v>0.0</v>
      </c>
      <c r="H461" s="849">
        <v>0.0</v>
      </c>
      <c r="I461" s="849">
        <v>0.0</v>
      </c>
      <c r="J461" s="849">
        <v>0.0</v>
      </c>
      <c r="K461" s="849">
        <v>0.0</v>
      </c>
      <c r="L461" s="849">
        <v>0.0</v>
      </c>
      <c r="M461" s="849">
        <v>0.0</v>
      </c>
      <c r="N461" s="849">
        <v>0.0</v>
      </c>
      <c r="O461" s="849">
        <v>0.0</v>
      </c>
      <c r="P461" s="849">
        <v>0.0</v>
      </c>
      <c r="Q461" s="849">
        <v>0.0</v>
      </c>
      <c r="R461" s="849">
        <v>0.0</v>
      </c>
      <c r="S461" s="849">
        <v>0.0</v>
      </c>
      <c r="T461" s="849">
        <v>0.0</v>
      </c>
      <c r="U461" s="849">
        <v>0.0</v>
      </c>
      <c r="V461" s="849">
        <v>0.0</v>
      </c>
      <c r="W461" s="849">
        <v>0.0</v>
      </c>
      <c r="X461" s="849">
        <v>0.0</v>
      </c>
      <c r="Y461" s="849">
        <v>0.0</v>
      </c>
      <c r="Z461" s="849">
        <v>0.0</v>
      </c>
      <c r="AA461" s="849">
        <v>0.0</v>
      </c>
      <c r="AB461" s="849">
        <v>0.0</v>
      </c>
      <c r="AC461" s="849">
        <v>0.0</v>
      </c>
      <c r="AD461" s="849">
        <v>0.0</v>
      </c>
      <c r="AE461" s="849">
        <v>0.0</v>
      </c>
      <c r="AF461" s="849">
        <v>0.0</v>
      </c>
      <c r="AG461" s="849">
        <v>0.0</v>
      </c>
      <c r="AH461" s="849">
        <v>0.0</v>
      </c>
      <c r="AI461" s="849">
        <v>0.0</v>
      </c>
      <c r="AJ461" s="794" t="str">
        <f t="shared" ref="AJ461:AK461" si="919">C461</f>
        <v>G26302</v>
      </c>
      <c r="AK461" s="794" t="str">
        <f t="shared" si="919"/>
        <v>RECLAMATIONS P.P.C.</v>
      </c>
      <c r="AL461" s="794">
        <f t="array" ref="AL461">IFERROR(INDEX(G461:R461,1,MATCH(Parametres!$B$3,G$1:R$1,0)-1)*IF(OR(F461="L",F461="S",F461="I"),-1,1),"")</f>
        <v>0</v>
      </c>
      <c r="AM461" s="794">
        <f t="shared" si="4"/>
        <v>0</v>
      </c>
      <c r="AN461" s="794">
        <f t="array" ref="AN461">INDEX(G461:R461,1,MATCH(Parametres!$B$3,G$1:R$1,0))*IF(OR(F461="L",F461="S",F461="I"),-1,1)</f>
        <v>0</v>
      </c>
      <c r="AO461" s="853" t="str">
        <f>+VLOOKUP($AJ461,Data_Validation!$A:$D,1,0)</f>
        <v>#N/A</v>
      </c>
      <c r="AP461" s="853" t="str">
        <f>+VLOOKUP($AJ461,Data_Validation!$A:$D,3,0)</f>
        <v>#N/A</v>
      </c>
      <c r="AQ461" s="853" t="str">
        <f>+VLOOKUP($AJ461,Data_Validation!$A:$D,4,0)</f>
        <v>#N/A</v>
      </c>
      <c r="AR461" s="853" t="s">
        <v>728</v>
      </c>
      <c r="AS461" s="853" t="str">
        <f>+VLOOKUP($AJ461,Data_Validation!$A:$E,5,0)</f>
        <v>#N/A</v>
      </c>
      <c r="AT461" s="794" t="str">
        <f t="shared" ref="AT461:AU461" si="920">C461</f>
        <v>G26302</v>
      </c>
      <c r="AU461" s="854" t="str">
        <f t="shared" si="920"/>
        <v>RECLAMATIONS P.P.C.</v>
      </c>
      <c r="AV461" s="794">
        <f t="array" ref="AV461">IFERROR(INDEX(V461:AG461,1,MATCH(Parametres!$B$3,V$1:AG$1,0)-1)*IF(OR(C461="L",C461="S",C461="I"),-1,1),"")</f>
        <v>0</v>
      </c>
      <c r="AW461" s="794">
        <f t="shared" si="6"/>
        <v>0</v>
      </c>
      <c r="AX461" s="794">
        <f t="array" ref="AX461">INDEX(V461:AG461,1,MATCH(Parametres!$B$3,V$1:AG$1,0))*IF(OR(C461="L",C461="S",C461="I"),-1,1)</f>
        <v>0</v>
      </c>
      <c r="AY461" s="853" t="s">
        <v>772</v>
      </c>
      <c r="AZ461" s="853" t="str">
        <f>+VLOOKUP($AJ461,Data_Validation!$A:$E,5,0)</f>
        <v>#N/A</v>
      </c>
    </row>
    <row r="462" ht="15.0" customHeight="1">
      <c r="A462" s="849" t="s">
        <v>1239</v>
      </c>
      <c r="B462" s="849">
        <v>2026.0</v>
      </c>
      <c r="C462" s="849" t="s">
        <v>2150</v>
      </c>
      <c r="D462" s="849" t="s">
        <v>2151</v>
      </c>
      <c r="E462" s="849" t="s">
        <v>2057</v>
      </c>
      <c r="F462" s="849" t="s">
        <v>1926</v>
      </c>
      <c r="G462" s="849">
        <v>0.0</v>
      </c>
      <c r="H462" s="849">
        <v>0.0</v>
      </c>
      <c r="I462" s="849">
        <v>0.0</v>
      </c>
      <c r="J462" s="849">
        <v>0.0</v>
      </c>
      <c r="K462" s="849">
        <v>0.0</v>
      </c>
      <c r="L462" s="849">
        <v>0.0</v>
      </c>
      <c r="M462" s="849">
        <v>0.0</v>
      </c>
      <c r="N462" s="849">
        <v>0.0</v>
      </c>
      <c r="O462" s="849">
        <v>0.0</v>
      </c>
      <c r="P462" s="849">
        <v>0.0</v>
      </c>
      <c r="Q462" s="849">
        <v>0.0</v>
      </c>
      <c r="R462" s="849">
        <v>0.0</v>
      </c>
      <c r="S462" s="849">
        <v>0.0</v>
      </c>
      <c r="T462" s="849">
        <v>0.0</v>
      </c>
      <c r="U462" s="849">
        <v>0.0</v>
      </c>
      <c r="V462" s="849">
        <v>0.0</v>
      </c>
      <c r="W462" s="849">
        <v>0.0</v>
      </c>
      <c r="X462" s="849">
        <v>0.0</v>
      </c>
      <c r="Y462" s="849">
        <v>0.0</v>
      </c>
      <c r="Z462" s="849">
        <v>0.0</v>
      </c>
      <c r="AA462" s="849">
        <v>0.0</v>
      </c>
      <c r="AB462" s="849">
        <v>0.0</v>
      </c>
      <c r="AC462" s="849">
        <v>0.0</v>
      </c>
      <c r="AD462" s="849">
        <v>0.0</v>
      </c>
      <c r="AE462" s="849">
        <v>0.0</v>
      </c>
      <c r="AF462" s="849">
        <v>0.0</v>
      </c>
      <c r="AG462" s="849">
        <v>0.0</v>
      </c>
      <c r="AH462" s="849">
        <v>0.0</v>
      </c>
      <c r="AI462" s="849">
        <v>0.0</v>
      </c>
      <c r="AJ462" s="794" t="str">
        <f t="shared" ref="AJ462:AK462" si="921">C462</f>
        <v>G26303</v>
      </c>
      <c r="AK462" s="794" t="str">
        <f t="shared" si="921"/>
        <v>DEDUCTIBLE CLAIMS</v>
      </c>
      <c r="AL462" s="794">
        <f t="array" ref="AL462">IFERROR(INDEX(G462:R462,1,MATCH(Parametres!$B$3,G$1:R$1,0)-1)*IF(OR(F462="L",F462="S",F462="I"),-1,1),"")</f>
        <v>0</v>
      </c>
      <c r="AM462" s="794">
        <f t="shared" si="4"/>
        <v>0</v>
      </c>
      <c r="AN462" s="794">
        <f t="array" ref="AN462">INDEX(G462:R462,1,MATCH(Parametres!$B$3,G$1:R$1,0))*IF(OR(F462="L",F462="S",F462="I"),-1,1)</f>
        <v>0</v>
      </c>
      <c r="AO462" s="853" t="str">
        <f>+VLOOKUP($AJ462,Data_Validation!$A:$D,1,0)</f>
        <v>#N/A</v>
      </c>
      <c r="AP462" s="853" t="str">
        <f>+VLOOKUP($AJ462,Data_Validation!$A:$D,3,0)</f>
        <v>#N/A</v>
      </c>
      <c r="AQ462" s="853" t="str">
        <f>+VLOOKUP($AJ462,Data_Validation!$A:$D,4,0)</f>
        <v>#N/A</v>
      </c>
      <c r="AR462" s="853" t="s">
        <v>728</v>
      </c>
      <c r="AS462" s="853" t="str">
        <f>+VLOOKUP($AJ462,Data_Validation!$A:$E,5,0)</f>
        <v>#N/A</v>
      </c>
      <c r="AT462" s="794" t="str">
        <f t="shared" ref="AT462:AU462" si="922">C462</f>
        <v>G26303</v>
      </c>
      <c r="AU462" s="854" t="str">
        <f t="shared" si="922"/>
        <v>DEDUCTIBLE CLAIMS</v>
      </c>
      <c r="AV462" s="794">
        <f t="array" ref="AV462">IFERROR(INDEX(V462:AG462,1,MATCH(Parametres!$B$3,V$1:AG$1,0)-1)*IF(OR(C462="L",C462="S",C462="I"),-1,1),"")</f>
        <v>0</v>
      </c>
      <c r="AW462" s="794">
        <f t="shared" si="6"/>
        <v>0</v>
      </c>
      <c r="AX462" s="794">
        <f t="array" ref="AX462">INDEX(V462:AG462,1,MATCH(Parametres!$B$3,V$1:AG$1,0))*IF(OR(C462="L",C462="S",C462="I"),-1,1)</f>
        <v>0</v>
      </c>
      <c r="AY462" s="853" t="s">
        <v>772</v>
      </c>
      <c r="AZ462" s="853" t="str">
        <f>+VLOOKUP($AJ462,Data_Validation!$A:$E,5,0)</f>
        <v>#N/A</v>
      </c>
    </row>
    <row r="463" ht="15.0" customHeight="1">
      <c r="A463" s="849" t="s">
        <v>1239</v>
      </c>
      <c r="B463" s="849">
        <v>2026.0</v>
      </c>
      <c r="C463" s="849" t="s">
        <v>2152</v>
      </c>
      <c r="D463" s="849" t="s">
        <v>2153</v>
      </c>
      <c r="E463" s="849" t="s">
        <v>2057</v>
      </c>
      <c r="F463" s="849" t="s">
        <v>1926</v>
      </c>
      <c r="G463" s="849">
        <v>0.0</v>
      </c>
      <c r="H463" s="849">
        <v>0.0</v>
      </c>
      <c r="I463" s="849">
        <v>0.0</v>
      </c>
      <c r="J463" s="849">
        <v>0.0</v>
      </c>
      <c r="K463" s="849">
        <v>0.0</v>
      </c>
      <c r="L463" s="849">
        <v>0.0</v>
      </c>
      <c r="M463" s="849">
        <v>0.0</v>
      </c>
      <c r="N463" s="849">
        <v>0.0</v>
      </c>
      <c r="O463" s="849">
        <v>0.0</v>
      </c>
      <c r="P463" s="849">
        <v>0.0</v>
      </c>
      <c r="Q463" s="849">
        <v>0.0</v>
      </c>
      <c r="R463" s="849">
        <v>0.0</v>
      </c>
      <c r="S463" s="849">
        <v>0.0</v>
      </c>
      <c r="T463" s="849">
        <v>0.0</v>
      </c>
      <c r="U463" s="849">
        <v>0.0</v>
      </c>
      <c r="V463" s="849">
        <v>0.0</v>
      </c>
      <c r="W463" s="849">
        <v>0.0</v>
      </c>
      <c r="X463" s="849">
        <v>0.0</v>
      </c>
      <c r="Y463" s="849">
        <v>0.0</v>
      </c>
      <c r="Z463" s="849">
        <v>0.0</v>
      </c>
      <c r="AA463" s="849">
        <v>0.0</v>
      </c>
      <c r="AB463" s="849">
        <v>0.0</v>
      </c>
      <c r="AC463" s="849">
        <v>0.0</v>
      </c>
      <c r="AD463" s="849">
        <v>0.0</v>
      </c>
      <c r="AE463" s="849">
        <v>0.0</v>
      </c>
      <c r="AF463" s="849">
        <v>0.0</v>
      </c>
      <c r="AG463" s="849">
        <v>0.0</v>
      </c>
      <c r="AH463" s="849">
        <v>0.0</v>
      </c>
      <c r="AI463" s="849">
        <v>0.0</v>
      </c>
      <c r="AJ463" s="794" t="str">
        <f t="shared" ref="AJ463:AK463" si="923">C463</f>
        <v>G26310</v>
      </c>
      <c r="AK463" s="794" t="str">
        <f t="shared" si="923"/>
        <v>TRANSPORT-TELECON</v>
      </c>
      <c r="AL463" s="794">
        <f t="array" ref="AL463">IFERROR(INDEX(G463:R463,1,MATCH(Parametres!$B$3,G$1:R$1,0)-1)*IF(OR(F463="L",F463="S",F463="I"),-1,1),"")</f>
        <v>0</v>
      </c>
      <c r="AM463" s="794">
        <f t="shared" si="4"/>
        <v>0</v>
      </c>
      <c r="AN463" s="794">
        <f t="array" ref="AN463">INDEX(G463:R463,1,MATCH(Parametres!$B$3,G$1:R$1,0))*IF(OR(F463="L",F463="S",F463="I"),-1,1)</f>
        <v>0</v>
      </c>
      <c r="AO463" s="853" t="str">
        <f>+VLOOKUP($AJ463,Data_Validation!$A:$D,1,0)</f>
        <v>#N/A</v>
      </c>
      <c r="AP463" s="853" t="str">
        <f>+VLOOKUP($AJ463,Data_Validation!$A:$D,3,0)</f>
        <v>#N/A</v>
      </c>
      <c r="AQ463" s="853" t="str">
        <f>+VLOOKUP($AJ463,Data_Validation!$A:$D,4,0)</f>
        <v>#N/A</v>
      </c>
      <c r="AR463" s="853" t="s">
        <v>728</v>
      </c>
      <c r="AS463" s="853" t="str">
        <f>+VLOOKUP($AJ463,Data_Validation!$A:$E,5,0)</f>
        <v>#N/A</v>
      </c>
      <c r="AT463" s="794" t="str">
        <f t="shared" ref="AT463:AU463" si="924">C463</f>
        <v>G26310</v>
      </c>
      <c r="AU463" s="854" t="str">
        <f t="shared" si="924"/>
        <v>TRANSPORT-TELECON</v>
      </c>
      <c r="AV463" s="794">
        <f t="array" ref="AV463">IFERROR(INDEX(V463:AG463,1,MATCH(Parametres!$B$3,V$1:AG$1,0)-1)*IF(OR(C463="L",C463="S",C463="I"),-1,1),"")</f>
        <v>0</v>
      </c>
      <c r="AW463" s="794">
        <f t="shared" si="6"/>
        <v>0</v>
      </c>
      <c r="AX463" s="794">
        <f t="array" ref="AX463">INDEX(V463:AG463,1,MATCH(Parametres!$B$3,V$1:AG$1,0))*IF(OR(C463="L",C463="S",C463="I"),-1,1)</f>
        <v>0</v>
      </c>
      <c r="AY463" s="853" t="s">
        <v>772</v>
      </c>
      <c r="AZ463" s="853" t="str">
        <f>+VLOOKUP($AJ463,Data_Validation!$A:$E,5,0)</f>
        <v>#N/A</v>
      </c>
    </row>
    <row r="464" ht="15.0" customHeight="1">
      <c r="A464" s="849" t="s">
        <v>1239</v>
      </c>
      <c r="B464" s="849">
        <v>2026.0</v>
      </c>
      <c r="C464" s="849" t="s">
        <v>2154</v>
      </c>
      <c r="D464" s="849" t="s">
        <v>2155</v>
      </c>
      <c r="E464" s="849" t="s">
        <v>768</v>
      </c>
      <c r="F464" s="849" t="s">
        <v>1926</v>
      </c>
      <c r="G464" s="849">
        <v>2387030.44</v>
      </c>
      <c r="H464" s="849">
        <v>2383593.97</v>
      </c>
      <c r="I464" s="849">
        <v>621662.51</v>
      </c>
      <c r="J464" s="849">
        <v>1147588.66</v>
      </c>
      <c r="K464" s="849">
        <v>1872312.81</v>
      </c>
      <c r="L464" s="849">
        <v>856501.22</v>
      </c>
      <c r="M464" s="849">
        <v>856501.22</v>
      </c>
      <c r="N464" s="849">
        <v>803801.16</v>
      </c>
      <c r="O464" s="849">
        <v>724724.15</v>
      </c>
      <c r="P464" s="849">
        <v>724724.15</v>
      </c>
      <c r="Q464" s="849">
        <v>0.0</v>
      </c>
      <c r="R464" s="849">
        <v>0.0</v>
      </c>
      <c r="S464" s="849">
        <v>0.0</v>
      </c>
      <c r="T464" s="849">
        <v>0.0</v>
      </c>
      <c r="U464" s="849">
        <v>0.0</v>
      </c>
      <c r="V464" s="849">
        <v>0.0</v>
      </c>
      <c r="W464" s="849">
        <v>0.0</v>
      </c>
      <c r="X464" s="849">
        <v>0.0</v>
      </c>
      <c r="Y464" s="849">
        <v>0.0</v>
      </c>
      <c r="Z464" s="849">
        <v>0.0</v>
      </c>
      <c r="AA464" s="849">
        <v>0.0</v>
      </c>
      <c r="AB464" s="849">
        <v>0.0</v>
      </c>
      <c r="AC464" s="849">
        <v>0.0</v>
      </c>
      <c r="AD464" s="849">
        <v>0.0</v>
      </c>
      <c r="AE464" s="849">
        <v>0.0</v>
      </c>
      <c r="AF464" s="849">
        <v>0.0</v>
      </c>
      <c r="AG464" s="849">
        <v>0.0</v>
      </c>
      <c r="AH464" s="849">
        <v>0.0</v>
      </c>
      <c r="AI464" s="849">
        <v>0.0</v>
      </c>
      <c r="AJ464" s="794" t="str">
        <f t="shared" ref="AJ464:AK464" si="925">C464</f>
        <v>G26500</v>
      </c>
      <c r="AK464" s="794" t="str">
        <f t="shared" si="925"/>
        <v>TPS TVH TVQ À RECEVOIR</v>
      </c>
      <c r="AL464" s="794">
        <f t="array" ref="AL464">IFERROR(INDEX(G464:R464,1,MATCH(Parametres!$B$3,G$1:R$1,0)-1)*IF(OR(F464="L",F464="S",F464="I"),-1,1),"")</f>
        <v>803801.16</v>
      </c>
      <c r="AM464" s="794">
        <f t="shared" si="4"/>
        <v>-79077.01</v>
      </c>
      <c r="AN464" s="794">
        <f t="array" ref="AN464">INDEX(G464:R464,1,MATCH(Parametres!$B$3,G$1:R$1,0))*IF(OR(F464="L",F464="S",F464="I"),-1,1)</f>
        <v>724724.15</v>
      </c>
      <c r="AO464" s="853" t="str">
        <f>+VLOOKUP($AJ464,Data_Validation!$A:$D,1,0)</f>
        <v>G26500</v>
      </c>
      <c r="AP464" s="853" t="str">
        <f>+VLOOKUP($AJ464,Data_Validation!$A:$D,3,0)</f>
        <v>Bilan</v>
      </c>
      <c r="AQ464" s="853" t="str">
        <f>+VLOOKUP($AJ464,Data_Validation!$A:$D,4,0)</f>
        <v>Recevables Autres</v>
      </c>
      <c r="AR464" s="853" t="s">
        <v>728</v>
      </c>
      <c r="AS464" s="853" t="str">
        <f>+VLOOKUP($AJ464,Data_Validation!$A:$E,5,0)</f>
        <v/>
      </c>
      <c r="AT464" s="794" t="str">
        <f t="shared" ref="AT464:AU464" si="926">C464</f>
        <v>G26500</v>
      </c>
      <c r="AU464" s="854" t="str">
        <f t="shared" si="926"/>
        <v>TPS TVH TVQ À RECEVOIR</v>
      </c>
      <c r="AV464" s="794">
        <f t="array" ref="AV464">IFERROR(INDEX(V464:AG464,1,MATCH(Parametres!$B$3,V$1:AG$1,0)-1)*IF(OR(C464="L",C464="S",C464="I"),-1,1),"")</f>
        <v>0</v>
      </c>
      <c r="AW464" s="794">
        <f t="shared" si="6"/>
        <v>0</v>
      </c>
      <c r="AX464" s="794">
        <f t="array" ref="AX464">INDEX(V464:AG464,1,MATCH(Parametres!$B$3,V$1:AG$1,0))*IF(OR(C464="L",C464="S",C464="I"),-1,1)</f>
        <v>0</v>
      </c>
      <c r="AY464" s="853" t="s">
        <v>772</v>
      </c>
      <c r="AZ464" s="853" t="str">
        <f>+VLOOKUP($AJ464,Data_Validation!$A:$E,5,0)</f>
        <v/>
      </c>
    </row>
    <row r="465" ht="15.0" customHeight="1">
      <c r="A465" s="849" t="s">
        <v>1239</v>
      </c>
      <c r="B465" s="849">
        <v>2026.0</v>
      </c>
      <c r="C465" s="849" t="s">
        <v>2156</v>
      </c>
      <c r="D465" s="849" t="s">
        <v>2157</v>
      </c>
      <c r="E465" s="849" t="s">
        <v>768</v>
      </c>
      <c r="F465" s="849" t="s">
        <v>1926</v>
      </c>
      <c r="G465" s="849">
        <v>-12300.0</v>
      </c>
      <c r="H465" s="849">
        <v>68962.92</v>
      </c>
      <c r="I465" s="849">
        <v>61612.92</v>
      </c>
      <c r="J465" s="849">
        <v>-15909.27</v>
      </c>
      <c r="K465" s="849">
        <v>-23259.27</v>
      </c>
      <c r="L465" s="849">
        <v>-7218.54</v>
      </c>
      <c r="M465" s="849">
        <v>-8751.59</v>
      </c>
      <c r="N465" s="849">
        <v>7585.25</v>
      </c>
      <c r="O465" s="849">
        <v>23922.09</v>
      </c>
      <c r="P465" s="849">
        <v>23922.09</v>
      </c>
      <c r="Q465" s="849">
        <v>0.0</v>
      </c>
      <c r="R465" s="849">
        <v>0.0</v>
      </c>
      <c r="S465" s="849">
        <v>0.0</v>
      </c>
      <c r="T465" s="849">
        <v>0.0</v>
      </c>
      <c r="U465" s="849">
        <v>0.0</v>
      </c>
      <c r="V465" s="849">
        <v>0.0</v>
      </c>
      <c r="W465" s="849">
        <v>0.0</v>
      </c>
      <c r="X465" s="849">
        <v>0.0</v>
      </c>
      <c r="Y465" s="849">
        <v>0.0</v>
      </c>
      <c r="Z465" s="849">
        <v>0.0</v>
      </c>
      <c r="AA465" s="849">
        <v>0.0</v>
      </c>
      <c r="AB465" s="849">
        <v>0.0</v>
      </c>
      <c r="AC465" s="849">
        <v>0.0</v>
      </c>
      <c r="AD465" s="849">
        <v>0.0</v>
      </c>
      <c r="AE465" s="849">
        <v>0.0</v>
      </c>
      <c r="AF465" s="849">
        <v>0.0</v>
      </c>
      <c r="AG465" s="849">
        <v>0.0</v>
      </c>
      <c r="AH465" s="849">
        <v>0.0</v>
      </c>
      <c r="AI465" s="849">
        <v>0.0</v>
      </c>
      <c r="AJ465" s="794" t="str">
        <f t="shared" ref="AJ465:AK465" si="927">C465</f>
        <v>G27000</v>
      </c>
      <c r="AK465" s="794" t="str">
        <f t="shared" si="927"/>
        <v>TAXES PAYEES D'AVANCE</v>
      </c>
      <c r="AL465" s="794">
        <f t="array" ref="AL465">IFERROR(INDEX(G465:R465,1,MATCH(Parametres!$B$3,G$1:R$1,0)-1)*IF(OR(F465="L",F465="S",F465="I"),-1,1),"")</f>
        <v>7585.25</v>
      </c>
      <c r="AM465" s="794">
        <f t="shared" si="4"/>
        <v>16336.84</v>
      </c>
      <c r="AN465" s="794">
        <f t="array" ref="AN465">INDEX(G465:R465,1,MATCH(Parametres!$B$3,G$1:R$1,0))*IF(OR(F465="L",F465="S",F465="I"),-1,1)</f>
        <v>23922.09</v>
      </c>
      <c r="AO465" s="853" t="str">
        <f>+VLOOKUP($AJ465,Data_Validation!$A:$D,1,0)</f>
        <v>G27000</v>
      </c>
      <c r="AP465" s="853" t="str">
        <f>+VLOOKUP($AJ465,Data_Validation!$A:$D,3,0)</f>
        <v>Bilan</v>
      </c>
      <c r="AQ465" s="853" t="str">
        <f>+VLOOKUP($AJ465,Data_Validation!$A:$D,4,0)</f>
        <v>Frais Payés d'Avance</v>
      </c>
      <c r="AR465" s="853" t="s">
        <v>728</v>
      </c>
      <c r="AS465" s="853" t="str">
        <f>+VLOOKUP($AJ465,Data_Validation!$A:$E,5,0)</f>
        <v/>
      </c>
      <c r="AT465" s="794" t="str">
        <f t="shared" ref="AT465:AU465" si="928">C465</f>
        <v>G27000</v>
      </c>
      <c r="AU465" s="854" t="str">
        <f t="shared" si="928"/>
        <v>TAXES PAYEES D'AVANCE</v>
      </c>
      <c r="AV465" s="794">
        <f t="array" ref="AV465">IFERROR(INDEX(V465:AG465,1,MATCH(Parametres!$B$3,V$1:AG$1,0)-1)*IF(OR(C465="L",C465="S",C465="I"),-1,1),"")</f>
        <v>0</v>
      </c>
      <c r="AW465" s="794">
        <f t="shared" si="6"/>
        <v>0</v>
      </c>
      <c r="AX465" s="794">
        <f t="array" ref="AX465">INDEX(V465:AG465,1,MATCH(Parametres!$B$3,V$1:AG$1,0))*IF(OR(C465="L",C465="S",C465="I"),-1,1)</f>
        <v>0</v>
      </c>
      <c r="AY465" s="853" t="s">
        <v>772</v>
      </c>
      <c r="AZ465" s="853" t="str">
        <f>+VLOOKUP($AJ465,Data_Validation!$A:$E,5,0)</f>
        <v/>
      </c>
    </row>
    <row r="466" ht="15.0" customHeight="1">
      <c r="A466" s="849" t="s">
        <v>1239</v>
      </c>
      <c r="B466" s="849">
        <v>2026.0</v>
      </c>
      <c r="C466" s="849" t="s">
        <v>2158</v>
      </c>
      <c r="D466" s="849" t="s">
        <v>2159</v>
      </c>
      <c r="E466" s="849" t="s">
        <v>768</v>
      </c>
      <c r="F466" s="849" t="s">
        <v>1926</v>
      </c>
      <c r="G466" s="849">
        <v>0.0</v>
      </c>
      <c r="H466" s="849">
        <v>0.0</v>
      </c>
      <c r="I466" s="849">
        <v>0.0</v>
      </c>
      <c r="J466" s="849">
        <v>-4727.61</v>
      </c>
      <c r="K466" s="849">
        <v>33093.25</v>
      </c>
      <c r="L466" s="849">
        <v>28365.64</v>
      </c>
      <c r="M466" s="849">
        <v>23638.03</v>
      </c>
      <c r="N466" s="849">
        <v>18910.42</v>
      </c>
      <c r="O466" s="849">
        <v>14182.81</v>
      </c>
      <c r="P466" s="849">
        <v>14182.81</v>
      </c>
      <c r="Q466" s="849">
        <v>0.0</v>
      </c>
      <c r="R466" s="849">
        <v>0.0</v>
      </c>
      <c r="S466" s="849">
        <v>0.0</v>
      </c>
      <c r="T466" s="849">
        <v>0.0</v>
      </c>
      <c r="U466" s="849">
        <v>0.0</v>
      </c>
      <c r="V466" s="849">
        <v>0.0</v>
      </c>
      <c r="W466" s="849">
        <v>0.0</v>
      </c>
      <c r="X466" s="849">
        <v>0.0</v>
      </c>
      <c r="Y466" s="849">
        <v>0.0</v>
      </c>
      <c r="Z466" s="849">
        <v>0.0</v>
      </c>
      <c r="AA466" s="849">
        <v>0.0</v>
      </c>
      <c r="AB466" s="849">
        <v>0.0</v>
      </c>
      <c r="AC466" s="849">
        <v>0.0</v>
      </c>
      <c r="AD466" s="849">
        <v>0.0</v>
      </c>
      <c r="AE466" s="849">
        <v>0.0</v>
      </c>
      <c r="AF466" s="849">
        <v>0.0</v>
      </c>
      <c r="AG466" s="849">
        <v>0.0</v>
      </c>
      <c r="AH466" s="849">
        <v>0.0</v>
      </c>
      <c r="AI466" s="849">
        <v>0.0</v>
      </c>
      <c r="AJ466" s="794" t="str">
        <f t="shared" ref="AJ466:AK466" si="929">C466</f>
        <v>G27010</v>
      </c>
      <c r="AK466" s="794" t="str">
        <f t="shared" si="929"/>
        <v>FPA TAXES TERRAIN</v>
      </c>
      <c r="AL466" s="794">
        <f t="array" ref="AL466">IFERROR(INDEX(G466:R466,1,MATCH(Parametres!$B$3,G$1:R$1,0)-1)*IF(OR(F466="L",F466="S",F466="I"),-1,1),"")</f>
        <v>18910.42</v>
      </c>
      <c r="AM466" s="794">
        <f t="shared" si="4"/>
        <v>-4727.61</v>
      </c>
      <c r="AN466" s="794">
        <f t="array" ref="AN466">INDEX(G466:R466,1,MATCH(Parametres!$B$3,G$1:R$1,0))*IF(OR(F466="L",F466="S",F466="I"),-1,1)</f>
        <v>14182.81</v>
      </c>
      <c r="AO466" s="853" t="str">
        <f>+VLOOKUP($AJ466,Data_Validation!$A:$D,1,0)</f>
        <v>G27010</v>
      </c>
      <c r="AP466" s="853" t="str">
        <f>+VLOOKUP($AJ466,Data_Validation!$A:$D,3,0)</f>
        <v>Bilan</v>
      </c>
      <c r="AQ466" s="853" t="str">
        <f>+VLOOKUP($AJ466,Data_Validation!$A:$D,4,0)</f>
        <v>Frais Payés d'Avance</v>
      </c>
      <c r="AR466" s="853" t="s">
        <v>728</v>
      </c>
      <c r="AS466" s="853" t="str">
        <f>+VLOOKUP($AJ466,Data_Validation!$A:$E,5,0)</f>
        <v/>
      </c>
      <c r="AT466" s="794" t="str">
        <f t="shared" ref="AT466:AU466" si="930">C466</f>
        <v>G27010</v>
      </c>
      <c r="AU466" s="854" t="str">
        <f t="shared" si="930"/>
        <v>FPA TAXES TERRAIN</v>
      </c>
      <c r="AV466" s="794">
        <f t="array" ref="AV466">IFERROR(INDEX(V466:AG466,1,MATCH(Parametres!$B$3,V$1:AG$1,0)-1)*IF(OR(C466="L",C466="S",C466="I"),-1,1),"")</f>
        <v>0</v>
      </c>
      <c r="AW466" s="794">
        <f t="shared" si="6"/>
        <v>0</v>
      </c>
      <c r="AX466" s="794">
        <f t="array" ref="AX466">INDEX(V466:AG466,1,MATCH(Parametres!$B$3,V$1:AG$1,0))*IF(OR(C466="L",C466="S",C466="I"),-1,1)</f>
        <v>0</v>
      </c>
      <c r="AY466" s="853" t="s">
        <v>772</v>
      </c>
      <c r="AZ466" s="853" t="str">
        <f>+VLOOKUP($AJ466,Data_Validation!$A:$E,5,0)</f>
        <v/>
      </c>
    </row>
    <row r="467" ht="15.0" customHeight="1">
      <c r="A467" s="849" t="s">
        <v>1239</v>
      </c>
      <c r="B467" s="849">
        <v>2026.0</v>
      </c>
      <c r="C467" s="849" t="s">
        <v>2160</v>
      </c>
      <c r="D467" s="849" t="s">
        <v>2161</v>
      </c>
      <c r="E467" s="849" t="s">
        <v>768</v>
      </c>
      <c r="F467" s="849" t="s">
        <v>1926</v>
      </c>
      <c r="G467" s="849">
        <v>73932.25</v>
      </c>
      <c r="H467" s="849">
        <v>67211.13</v>
      </c>
      <c r="I467" s="849">
        <v>60490.01</v>
      </c>
      <c r="J467" s="849">
        <v>53768.89</v>
      </c>
      <c r="K467" s="849">
        <v>47047.77</v>
      </c>
      <c r="L467" s="849">
        <v>40326.65</v>
      </c>
      <c r="M467" s="849">
        <v>32485.34</v>
      </c>
      <c r="N467" s="849">
        <v>24644.05</v>
      </c>
      <c r="O467" s="849">
        <v>16802.76</v>
      </c>
      <c r="P467" s="849">
        <v>16802.76</v>
      </c>
      <c r="Q467" s="849">
        <v>0.0</v>
      </c>
      <c r="R467" s="849">
        <v>0.0</v>
      </c>
      <c r="S467" s="849">
        <v>0.0</v>
      </c>
      <c r="T467" s="849">
        <v>0.0</v>
      </c>
      <c r="U467" s="849">
        <v>0.0</v>
      </c>
      <c r="V467" s="849">
        <v>0.0</v>
      </c>
      <c r="W467" s="849">
        <v>0.0</v>
      </c>
      <c r="X467" s="849">
        <v>0.0</v>
      </c>
      <c r="Y467" s="849">
        <v>0.0</v>
      </c>
      <c r="Z467" s="849">
        <v>0.0</v>
      </c>
      <c r="AA467" s="849">
        <v>0.0</v>
      </c>
      <c r="AB467" s="849">
        <v>0.0</v>
      </c>
      <c r="AC467" s="849">
        <v>0.0</v>
      </c>
      <c r="AD467" s="849">
        <v>0.0</v>
      </c>
      <c r="AE467" s="849">
        <v>0.0</v>
      </c>
      <c r="AF467" s="849">
        <v>0.0</v>
      </c>
      <c r="AG467" s="849">
        <v>0.0</v>
      </c>
      <c r="AH467" s="849">
        <v>0.0</v>
      </c>
      <c r="AI467" s="849">
        <v>0.0</v>
      </c>
      <c r="AJ467" s="794" t="str">
        <f t="shared" ref="AJ467:AK467" si="931">C467</f>
        <v>G27100</v>
      </c>
      <c r="AK467" s="794" t="str">
        <f t="shared" si="931"/>
        <v>ASSURANCES PAYEES AVANCE</v>
      </c>
      <c r="AL467" s="794">
        <f t="array" ref="AL467">IFERROR(INDEX(G467:R467,1,MATCH(Parametres!$B$3,G$1:R$1,0)-1)*IF(OR(F467="L",F467="S",F467="I"),-1,1),"")</f>
        <v>24644.05</v>
      </c>
      <c r="AM467" s="794">
        <f t="shared" si="4"/>
        <v>-7841.29</v>
      </c>
      <c r="AN467" s="794">
        <f t="array" ref="AN467">INDEX(G467:R467,1,MATCH(Parametres!$B$3,G$1:R$1,0))*IF(OR(F467="L",F467="S",F467="I"),-1,1)</f>
        <v>16802.76</v>
      </c>
      <c r="AO467" s="853" t="str">
        <f>+VLOOKUP($AJ467,Data_Validation!$A:$D,1,0)</f>
        <v>G27100</v>
      </c>
      <c r="AP467" s="853" t="str">
        <f>+VLOOKUP($AJ467,Data_Validation!$A:$D,3,0)</f>
        <v>Bilan</v>
      </c>
      <c r="AQ467" s="853" t="str">
        <f>+VLOOKUP($AJ467,Data_Validation!$A:$D,4,0)</f>
        <v>Frais Payés d'Avance</v>
      </c>
      <c r="AR467" s="853" t="s">
        <v>728</v>
      </c>
      <c r="AS467" s="853" t="str">
        <f>+VLOOKUP($AJ467,Data_Validation!$A:$E,5,0)</f>
        <v/>
      </c>
      <c r="AT467" s="794" t="str">
        <f t="shared" ref="AT467:AU467" si="932">C467</f>
        <v>G27100</v>
      </c>
      <c r="AU467" s="854" t="str">
        <f t="shared" si="932"/>
        <v>ASSURANCES PAYEES AVANCE</v>
      </c>
      <c r="AV467" s="794">
        <f t="array" ref="AV467">IFERROR(INDEX(V467:AG467,1,MATCH(Parametres!$B$3,V$1:AG$1,0)-1)*IF(OR(C467="L",C467="S",C467="I"),-1,1),"")</f>
        <v>0</v>
      </c>
      <c r="AW467" s="794">
        <f t="shared" si="6"/>
        <v>0</v>
      </c>
      <c r="AX467" s="794">
        <f t="array" ref="AX467">INDEX(V467:AG467,1,MATCH(Parametres!$B$3,V$1:AG$1,0))*IF(OR(C467="L",C467="S",C467="I"),-1,1)</f>
        <v>0</v>
      </c>
      <c r="AY467" s="853" t="s">
        <v>772</v>
      </c>
      <c r="AZ467" s="853" t="str">
        <f>+VLOOKUP($AJ467,Data_Validation!$A:$E,5,0)</f>
        <v/>
      </c>
    </row>
    <row r="468" ht="15.0" customHeight="1">
      <c r="A468" s="849" t="s">
        <v>1239</v>
      </c>
      <c r="B468" s="849">
        <v>2026.0</v>
      </c>
      <c r="C468" s="849" t="s">
        <v>2162</v>
      </c>
      <c r="D468" s="849" t="s">
        <v>2163</v>
      </c>
      <c r="E468" s="849" t="s">
        <v>768</v>
      </c>
      <c r="F468" s="849" t="s">
        <v>1926</v>
      </c>
      <c r="G468" s="849">
        <v>412825.86</v>
      </c>
      <c r="H468" s="849">
        <v>435676.05</v>
      </c>
      <c r="I468" s="849">
        <v>411403.29</v>
      </c>
      <c r="J468" s="849">
        <v>324485.85</v>
      </c>
      <c r="K468" s="849">
        <v>301673.56</v>
      </c>
      <c r="L468" s="849">
        <v>299000.81</v>
      </c>
      <c r="M468" s="849">
        <v>279422.89</v>
      </c>
      <c r="N468" s="849">
        <v>190615.76</v>
      </c>
      <c r="O468" s="849">
        <v>212526.85</v>
      </c>
      <c r="P468" s="849">
        <v>248537.48</v>
      </c>
      <c r="Q468" s="849">
        <v>0.0</v>
      </c>
      <c r="R468" s="849">
        <v>0.0</v>
      </c>
      <c r="S468" s="849">
        <v>0.0</v>
      </c>
      <c r="T468" s="849">
        <v>0.0</v>
      </c>
      <c r="U468" s="849">
        <v>0.0</v>
      </c>
      <c r="V468" s="849">
        <v>0.0</v>
      </c>
      <c r="W468" s="849">
        <v>0.0</v>
      </c>
      <c r="X468" s="849">
        <v>0.0</v>
      </c>
      <c r="Y468" s="849">
        <v>0.0</v>
      </c>
      <c r="Z468" s="849">
        <v>0.0</v>
      </c>
      <c r="AA468" s="849">
        <v>0.0</v>
      </c>
      <c r="AB468" s="849">
        <v>0.0</v>
      </c>
      <c r="AC468" s="849">
        <v>0.0</v>
      </c>
      <c r="AD468" s="849">
        <v>0.0</v>
      </c>
      <c r="AE468" s="849">
        <v>0.0</v>
      </c>
      <c r="AF468" s="849">
        <v>0.0</v>
      </c>
      <c r="AG468" s="849">
        <v>0.0</v>
      </c>
      <c r="AH468" s="849">
        <v>0.0</v>
      </c>
      <c r="AI468" s="849">
        <v>0.0</v>
      </c>
      <c r="AJ468" s="794" t="str">
        <f t="shared" ref="AJ468:AK468" si="933">C468</f>
        <v>G27400</v>
      </c>
      <c r="AK468" s="794" t="str">
        <f t="shared" si="933"/>
        <v>FRAIS PAYES AVANCE AUTRES</v>
      </c>
      <c r="AL468" s="794">
        <f t="array" ref="AL468">IFERROR(INDEX(G468:R468,1,MATCH(Parametres!$B$3,G$1:R$1,0)-1)*IF(OR(F468="L",F468="S",F468="I"),-1,1),"")</f>
        <v>190615.76</v>
      </c>
      <c r="AM468" s="794">
        <f t="shared" si="4"/>
        <v>21911.09</v>
      </c>
      <c r="AN468" s="794">
        <f t="array" ref="AN468">INDEX(G468:R468,1,MATCH(Parametres!$B$3,G$1:R$1,0))*IF(OR(F468="L",F468="S",F468="I"),-1,1)</f>
        <v>212526.85</v>
      </c>
      <c r="AO468" s="853" t="str">
        <f>+VLOOKUP($AJ468,Data_Validation!$A:$D,1,0)</f>
        <v>G27400</v>
      </c>
      <c r="AP468" s="853" t="str">
        <f>+VLOOKUP($AJ468,Data_Validation!$A:$D,3,0)</f>
        <v>Bilan</v>
      </c>
      <c r="AQ468" s="853" t="str">
        <f>+VLOOKUP($AJ468,Data_Validation!$A:$D,4,0)</f>
        <v>Frais Payés d'Avance</v>
      </c>
      <c r="AR468" s="853" t="s">
        <v>728</v>
      </c>
      <c r="AS468" s="853" t="str">
        <f>+VLOOKUP($AJ468,Data_Validation!$A:$E,5,0)</f>
        <v/>
      </c>
      <c r="AT468" s="794" t="str">
        <f t="shared" ref="AT468:AU468" si="934">C468</f>
        <v>G27400</v>
      </c>
      <c r="AU468" s="854" t="str">
        <f t="shared" si="934"/>
        <v>FRAIS PAYES AVANCE AUTRES</v>
      </c>
      <c r="AV468" s="794">
        <f t="array" ref="AV468">IFERROR(INDEX(V468:AG468,1,MATCH(Parametres!$B$3,V$1:AG$1,0)-1)*IF(OR(C468="L",C468="S",C468="I"),-1,1),"")</f>
        <v>0</v>
      </c>
      <c r="AW468" s="794">
        <f t="shared" si="6"/>
        <v>0</v>
      </c>
      <c r="AX468" s="794">
        <f t="array" ref="AX468">INDEX(V468:AG468,1,MATCH(Parametres!$B$3,V$1:AG$1,0))*IF(OR(C468="L",C468="S",C468="I"),-1,1)</f>
        <v>0</v>
      </c>
      <c r="AY468" s="853" t="s">
        <v>772</v>
      </c>
      <c r="AZ468" s="853" t="str">
        <f>+VLOOKUP($AJ468,Data_Validation!$A:$E,5,0)</f>
        <v/>
      </c>
    </row>
    <row r="469" ht="15.0" customHeight="1">
      <c r="A469" s="849" t="s">
        <v>1239</v>
      </c>
      <c r="B469" s="849">
        <v>2026.0</v>
      </c>
      <c r="C469" s="849" t="s">
        <v>2164</v>
      </c>
      <c r="D469" s="849" t="s">
        <v>2165</v>
      </c>
      <c r="E469" s="849" t="s">
        <v>1951</v>
      </c>
      <c r="F469" s="849" t="s">
        <v>1926</v>
      </c>
      <c r="G469" s="849">
        <v>0.0</v>
      </c>
      <c r="H469" s="849">
        <v>0.0</v>
      </c>
      <c r="I469" s="849">
        <v>0.0</v>
      </c>
      <c r="J469" s="849">
        <v>0.0</v>
      </c>
      <c r="K469" s="849">
        <v>0.0</v>
      </c>
      <c r="L469" s="849">
        <v>0.0</v>
      </c>
      <c r="M469" s="849">
        <v>0.0</v>
      </c>
      <c r="N469" s="849">
        <v>0.0</v>
      </c>
      <c r="O469" s="849">
        <v>0.0</v>
      </c>
      <c r="P469" s="849">
        <v>0.0</v>
      </c>
      <c r="Q469" s="849">
        <v>0.0</v>
      </c>
      <c r="R469" s="849">
        <v>0.0</v>
      </c>
      <c r="S469" s="849">
        <v>0.0</v>
      </c>
      <c r="T469" s="849">
        <v>0.0</v>
      </c>
      <c r="U469" s="849">
        <v>0.0</v>
      </c>
      <c r="V469" s="849">
        <v>0.0</v>
      </c>
      <c r="W469" s="849">
        <v>0.0</v>
      </c>
      <c r="X469" s="849">
        <v>0.0</v>
      </c>
      <c r="Y469" s="849">
        <v>0.0</v>
      </c>
      <c r="Z469" s="849">
        <v>0.0</v>
      </c>
      <c r="AA469" s="849">
        <v>0.0</v>
      </c>
      <c r="AB469" s="849">
        <v>0.0</v>
      </c>
      <c r="AC469" s="849">
        <v>0.0</v>
      </c>
      <c r="AD469" s="849">
        <v>0.0</v>
      </c>
      <c r="AE469" s="849">
        <v>0.0</v>
      </c>
      <c r="AF469" s="849">
        <v>0.0</v>
      </c>
      <c r="AG469" s="849">
        <v>0.0</v>
      </c>
      <c r="AH469" s="849">
        <v>0.0</v>
      </c>
      <c r="AI469" s="849">
        <v>0.0</v>
      </c>
      <c r="AJ469" s="794" t="str">
        <f t="shared" ref="AJ469:AK469" si="935">C469</f>
        <v>G27401</v>
      </c>
      <c r="AK469" s="794" t="str">
        <f t="shared" si="935"/>
        <v>DEPOT PAYÉ D'AVANCE</v>
      </c>
      <c r="AL469" s="794">
        <f t="array" ref="AL469">IFERROR(INDEX(G469:R469,1,MATCH(Parametres!$B$3,G$1:R$1,0)-1)*IF(OR(F469="L",F469="S",F469="I"),-1,1),"")</f>
        <v>0</v>
      </c>
      <c r="AM469" s="794">
        <f t="shared" si="4"/>
        <v>0</v>
      </c>
      <c r="AN469" s="794">
        <f t="array" ref="AN469">INDEX(G469:R469,1,MATCH(Parametres!$B$3,G$1:R$1,0))*IF(OR(F469="L",F469="S",F469="I"),-1,1)</f>
        <v>0</v>
      </c>
      <c r="AO469" s="853" t="str">
        <f>+VLOOKUP($AJ469,Data_Validation!$A:$D,1,0)</f>
        <v>#N/A</v>
      </c>
      <c r="AP469" s="853" t="str">
        <f>+VLOOKUP($AJ469,Data_Validation!$A:$D,3,0)</f>
        <v>#N/A</v>
      </c>
      <c r="AQ469" s="853" t="str">
        <f>+VLOOKUP($AJ469,Data_Validation!$A:$D,4,0)</f>
        <v>#N/A</v>
      </c>
      <c r="AR469" s="853" t="s">
        <v>728</v>
      </c>
      <c r="AS469" s="853" t="str">
        <f>+VLOOKUP($AJ469,Data_Validation!$A:$E,5,0)</f>
        <v>#N/A</v>
      </c>
      <c r="AT469" s="794" t="str">
        <f t="shared" ref="AT469:AU469" si="936">C469</f>
        <v>G27401</v>
      </c>
      <c r="AU469" s="854" t="str">
        <f t="shared" si="936"/>
        <v>DEPOT PAYÉ D'AVANCE</v>
      </c>
      <c r="AV469" s="794">
        <f t="array" ref="AV469">IFERROR(INDEX(V469:AG469,1,MATCH(Parametres!$B$3,V$1:AG$1,0)-1)*IF(OR(C469="L",C469="S",C469="I"),-1,1),"")</f>
        <v>0</v>
      </c>
      <c r="AW469" s="794">
        <f t="shared" si="6"/>
        <v>0</v>
      </c>
      <c r="AX469" s="794">
        <f t="array" ref="AX469">INDEX(V469:AG469,1,MATCH(Parametres!$B$3,V$1:AG$1,0))*IF(OR(C469="L",C469="S",C469="I"),-1,1)</f>
        <v>0</v>
      </c>
      <c r="AY469" s="853" t="s">
        <v>772</v>
      </c>
      <c r="AZ469" s="853" t="str">
        <f>+VLOOKUP($AJ469,Data_Validation!$A:$E,5,0)</f>
        <v>#N/A</v>
      </c>
    </row>
    <row r="470" ht="15.0" customHeight="1">
      <c r="A470" s="849" t="s">
        <v>1239</v>
      </c>
      <c r="B470" s="849">
        <v>2026.0</v>
      </c>
      <c r="C470" s="849" t="s">
        <v>2166</v>
      </c>
      <c r="D470" s="849" t="s">
        <v>2167</v>
      </c>
      <c r="E470" s="849" t="s">
        <v>768</v>
      </c>
      <c r="F470" s="849" t="s">
        <v>1926</v>
      </c>
      <c r="G470" s="849">
        <v>0.0</v>
      </c>
      <c r="H470" s="849">
        <v>0.0</v>
      </c>
      <c r="I470" s="849">
        <v>0.0</v>
      </c>
      <c r="J470" s="849">
        <v>0.0</v>
      </c>
      <c r="K470" s="849">
        <v>-2657.94</v>
      </c>
      <c r="L470" s="849">
        <v>-2854.19</v>
      </c>
      <c r="M470" s="849">
        <v>-3375.66</v>
      </c>
      <c r="N470" s="849">
        <v>-3277.66</v>
      </c>
      <c r="O470" s="849">
        <v>-3084.08</v>
      </c>
      <c r="P470" s="849">
        <v>-3084.08</v>
      </c>
      <c r="Q470" s="849">
        <v>0.0</v>
      </c>
      <c r="R470" s="849">
        <v>0.0</v>
      </c>
      <c r="S470" s="849">
        <v>0.0</v>
      </c>
      <c r="T470" s="849">
        <v>0.0</v>
      </c>
      <c r="U470" s="849">
        <v>0.0</v>
      </c>
      <c r="V470" s="849">
        <v>0.0</v>
      </c>
      <c r="W470" s="849">
        <v>0.0</v>
      </c>
      <c r="X470" s="849">
        <v>0.0</v>
      </c>
      <c r="Y470" s="849">
        <v>0.0</v>
      </c>
      <c r="Z470" s="849">
        <v>0.0</v>
      </c>
      <c r="AA470" s="849">
        <v>0.0</v>
      </c>
      <c r="AB470" s="849">
        <v>0.0</v>
      </c>
      <c r="AC470" s="849">
        <v>0.0</v>
      </c>
      <c r="AD470" s="849">
        <v>0.0</v>
      </c>
      <c r="AE470" s="849">
        <v>0.0</v>
      </c>
      <c r="AF470" s="849">
        <v>0.0</v>
      </c>
      <c r="AG470" s="849">
        <v>0.0</v>
      </c>
      <c r="AH470" s="849">
        <v>0.0</v>
      </c>
      <c r="AI470" s="849">
        <v>0.0</v>
      </c>
      <c r="AJ470" s="794" t="str">
        <f t="shared" ref="AJ470:AK470" si="937">C470</f>
        <v>G27410</v>
      </c>
      <c r="AK470" s="794" t="str">
        <f t="shared" si="937"/>
        <v>HYDRO-QUEBEC</v>
      </c>
      <c r="AL470" s="794">
        <f t="array" ref="AL470">IFERROR(INDEX(G470:R470,1,MATCH(Parametres!$B$3,G$1:R$1,0)-1)*IF(OR(F470="L",F470="S",F470="I"),-1,1),"")</f>
        <v>-3277.66</v>
      </c>
      <c r="AM470" s="794">
        <f t="shared" si="4"/>
        <v>193.58</v>
      </c>
      <c r="AN470" s="794">
        <f t="array" ref="AN470">INDEX(G470:R470,1,MATCH(Parametres!$B$3,G$1:R$1,0))*IF(OR(F470="L",F470="S",F470="I"),-1,1)</f>
        <v>-3084.08</v>
      </c>
      <c r="AO470" s="853" t="str">
        <f>+VLOOKUP($AJ470,Data_Validation!$A:$D,1,0)</f>
        <v>G27410</v>
      </c>
      <c r="AP470" s="853" t="str">
        <f>+VLOOKUP($AJ470,Data_Validation!$A:$D,3,0)</f>
        <v>Bilan</v>
      </c>
      <c r="AQ470" s="853" t="str">
        <f>+VLOOKUP($AJ470,Data_Validation!$A:$D,4,0)</f>
        <v>Frais Payés d'Avance</v>
      </c>
      <c r="AR470" s="853" t="s">
        <v>728</v>
      </c>
      <c r="AS470" s="853" t="str">
        <f>+VLOOKUP($AJ470,Data_Validation!$A:$E,5,0)</f>
        <v/>
      </c>
      <c r="AT470" s="794" t="str">
        <f t="shared" ref="AT470:AU470" si="938">C470</f>
        <v>G27410</v>
      </c>
      <c r="AU470" s="854" t="str">
        <f t="shared" si="938"/>
        <v>HYDRO-QUEBEC</v>
      </c>
      <c r="AV470" s="794">
        <f t="array" ref="AV470">IFERROR(INDEX(V470:AG470,1,MATCH(Parametres!$B$3,V$1:AG$1,0)-1)*IF(OR(C470="L",C470="S",C470="I"),-1,1),"")</f>
        <v>0</v>
      </c>
      <c r="AW470" s="794">
        <f t="shared" si="6"/>
        <v>0</v>
      </c>
      <c r="AX470" s="794">
        <f t="array" ref="AX470">INDEX(V470:AG470,1,MATCH(Parametres!$B$3,V$1:AG$1,0))*IF(OR(C470="L",C470="S",C470="I"),-1,1)</f>
        <v>0</v>
      </c>
      <c r="AY470" s="853" t="s">
        <v>772</v>
      </c>
      <c r="AZ470" s="853" t="str">
        <f>+VLOOKUP($AJ470,Data_Validation!$A:$E,5,0)</f>
        <v/>
      </c>
    </row>
    <row r="471" ht="15.0" customHeight="1">
      <c r="A471" s="849" t="s">
        <v>1239</v>
      </c>
      <c r="B471" s="849">
        <v>2026.0</v>
      </c>
      <c r="C471" s="849" t="s">
        <v>2168</v>
      </c>
      <c r="D471" s="849" t="s">
        <v>2169</v>
      </c>
      <c r="E471" s="849" t="s">
        <v>768</v>
      </c>
      <c r="F471" s="849" t="s">
        <v>1926</v>
      </c>
      <c r="G471" s="849">
        <v>0.0</v>
      </c>
      <c r="H471" s="849">
        <v>0.0</v>
      </c>
      <c r="I471" s="849">
        <v>0.0</v>
      </c>
      <c r="J471" s="849">
        <v>0.0</v>
      </c>
      <c r="K471" s="849">
        <v>14369.24</v>
      </c>
      <c r="L471" s="849">
        <v>10282.67</v>
      </c>
      <c r="M471" s="849">
        <v>5957.48</v>
      </c>
      <c r="N471" s="849">
        <v>1652.18</v>
      </c>
      <c r="O471" s="849">
        <v>-2466.9</v>
      </c>
      <c r="P471" s="849">
        <v>-2466.9</v>
      </c>
      <c r="Q471" s="849">
        <v>0.0</v>
      </c>
      <c r="R471" s="849">
        <v>0.0</v>
      </c>
      <c r="S471" s="849">
        <v>0.0</v>
      </c>
      <c r="T471" s="849">
        <v>0.0</v>
      </c>
      <c r="U471" s="849">
        <v>0.0</v>
      </c>
      <c r="V471" s="849">
        <v>0.0</v>
      </c>
      <c r="W471" s="849">
        <v>0.0</v>
      </c>
      <c r="X471" s="849">
        <v>0.0</v>
      </c>
      <c r="Y471" s="849">
        <v>0.0</v>
      </c>
      <c r="Z471" s="849">
        <v>0.0</v>
      </c>
      <c r="AA471" s="849">
        <v>0.0</v>
      </c>
      <c r="AB471" s="849">
        <v>0.0</v>
      </c>
      <c r="AC471" s="849">
        <v>0.0</v>
      </c>
      <c r="AD471" s="849">
        <v>0.0</v>
      </c>
      <c r="AE471" s="849">
        <v>0.0</v>
      </c>
      <c r="AF471" s="849">
        <v>0.0</v>
      </c>
      <c r="AG471" s="849">
        <v>0.0</v>
      </c>
      <c r="AH471" s="849">
        <v>0.0</v>
      </c>
      <c r="AI471" s="849">
        <v>0.0</v>
      </c>
      <c r="AJ471" s="794" t="str">
        <f t="shared" ref="AJ471:AK471" si="939">C471</f>
        <v>G27411</v>
      </c>
      <c r="AK471" s="794" t="str">
        <f t="shared" si="939"/>
        <v>ENERGIR</v>
      </c>
      <c r="AL471" s="794">
        <f t="array" ref="AL471">IFERROR(INDEX(G471:R471,1,MATCH(Parametres!$B$3,G$1:R$1,0)-1)*IF(OR(F471="L",F471="S",F471="I"),-1,1),"")</f>
        <v>1652.18</v>
      </c>
      <c r="AM471" s="794">
        <f t="shared" si="4"/>
        <v>-4119.08</v>
      </c>
      <c r="AN471" s="794">
        <f t="array" ref="AN471">INDEX(G471:R471,1,MATCH(Parametres!$B$3,G$1:R$1,0))*IF(OR(F471="L",F471="S",F471="I"),-1,1)</f>
        <v>-2466.9</v>
      </c>
      <c r="AO471" s="853" t="str">
        <f>+VLOOKUP($AJ471,Data_Validation!$A:$D,1,0)</f>
        <v>G27411</v>
      </c>
      <c r="AP471" s="853" t="str">
        <f>+VLOOKUP($AJ471,Data_Validation!$A:$D,3,0)</f>
        <v>Bilan</v>
      </c>
      <c r="AQ471" s="853" t="str">
        <f>+VLOOKUP($AJ471,Data_Validation!$A:$D,4,0)</f>
        <v>Frais Payés d'Avance</v>
      </c>
      <c r="AR471" s="853" t="s">
        <v>728</v>
      </c>
      <c r="AS471" s="853" t="str">
        <f>+VLOOKUP($AJ471,Data_Validation!$A:$E,5,0)</f>
        <v/>
      </c>
      <c r="AT471" s="794" t="str">
        <f t="shared" ref="AT471:AU471" si="940">C471</f>
        <v>G27411</v>
      </c>
      <c r="AU471" s="854" t="str">
        <f t="shared" si="940"/>
        <v>ENERGIR</v>
      </c>
      <c r="AV471" s="794">
        <f t="array" ref="AV471">IFERROR(INDEX(V471:AG471,1,MATCH(Parametres!$B$3,V$1:AG$1,0)-1)*IF(OR(C471="L",C471="S",C471="I"),-1,1),"")</f>
        <v>0</v>
      </c>
      <c r="AW471" s="794">
        <f t="shared" si="6"/>
        <v>0</v>
      </c>
      <c r="AX471" s="794">
        <f t="array" ref="AX471">INDEX(V471:AG471,1,MATCH(Parametres!$B$3,V$1:AG$1,0))*IF(OR(C471="L",C471="S",C471="I"),-1,1)</f>
        <v>0</v>
      </c>
      <c r="AY471" s="853" t="s">
        <v>772</v>
      </c>
      <c r="AZ471" s="853" t="str">
        <f>+VLOOKUP($AJ471,Data_Validation!$A:$E,5,0)</f>
        <v/>
      </c>
    </row>
    <row r="472" ht="15.0" customHeight="1">
      <c r="A472" s="849" t="s">
        <v>1239</v>
      </c>
      <c r="B472" s="849">
        <v>2026.0</v>
      </c>
      <c r="C472" s="849" t="s">
        <v>2170</v>
      </c>
      <c r="D472" s="849" t="s">
        <v>2171</v>
      </c>
      <c r="E472" s="849" t="s">
        <v>768</v>
      </c>
      <c r="F472" s="849" t="s">
        <v>1926</v>
      </c>
      <c r="G472" s="849">
        <v>0.0</v>
      </c>
      <c r="H472" s="849">
        <v>0.0</v>
      </c>
      <c r="I472" s="849">
        <v>0.0</v>
      </c>
      <c r="J472" s="849">
        <v>0.0</v>
      </c>
      <c r="K472" s="849">
        <v>1515.5</v>
      </c>
      <c r="L472" s="849">
        <v>1299.0</v>
      </c>
      <c r="M472" s="849">
        <v>1082.5</v>
      </c>
      <c r="N472" s="849">
        <v>866.0</v>
      </c>
      <c r="O472" s="849">
        <v>649.5</v>
      </c>
      <c r="P472" s="849">
        <v>649.5</v>
      </c>
      <c r="Q472" s="849">
        <v>0.0</v>
      </c>
      <c r="R472" s="849">
        <v>0.0</v>
      </c>
      <c r="S472" s="849">
        <v>0.0</v>
      </c>
      <c r="T472" s="849">
        <v>0.0</v>
      </c>
      <c r="U472" s="849">
        <v>0.0</v>
      </c>
      <c r="V472" s="849">
        <v>0.0</v>
      </c>
      <c r="W472" s="849">
        <v>0.0</v>
      </c>
      <c r="X472" s="849">
        <v>0.0</v>
      </c>
      <c r="Y472" s="849">
        <v>0.0</v>
      </c>
      <c r="Z472" s="849">
        <v>0.0</v>
      </c>
      <c r="AA472" s="849">
        <v>0.0</v>
      </c>
      <c r="AB472" s="849">
        <v>0.0</v>
      </c>
      <c r="AC472" s="849">
        <v>0.0</v>
      </c>
      <c r="AD472" s="849">
        <v>0.0</v>
      </c>
      <c r="AE472" s="849">
        <v>0.0</v>
      </c>
      <c r="AF472" s="849">
        <v>0.0</v>
      </c>
      <c r="AG472" s="849">
        <v>0.0</v>
      </c>
      <c r="AH472" s="849">
        <v>0.0</v>
      </c>
      <c r="AI472" s="849">
        <v>0.0</v>
      </c>
      <c r="AJ472" s="794" t="str">
        <f t="shared" ref="AJ472:AK472" si="941">C472</f>
        <v>G27420</v>
      </c>
      <c r="AK472" s="794" t="str">
        <f t="shared" si="941"/>
        <v>COTISATION CCAQ</v>
      </c>
      <c r="AL472" s="794">
        <f t="array" ref="AL472">IFERROR(INDEX(G472:R472,1,MATCH(Parametres!$B$3,G$1:R$1,0)-1)*IF(OR(F472="L",F472="S",F472="I"),-1,1),"")</f>
        <v>866</v>
      </c>
      <c r="AM472" s="794">
        <f t="shared" si="4"/>
        <v>-216.5</v>
      </c>
      <c r="AN472" s="794">
        <f t="array" ref="AN472">INDEX(G472:R472,1,MATCH(Parametres!$B$3,G$1:R$1,0))*IF(OR(F472="L",F472="S",F472="I"),-1,1)</f>
        <v>649.5</v>
      </c>
      <c r="AO472" s="853" t="str">
        <f>+VLOOKUP($AJ472,Data_Validation!$A:$D,1,0)</f>
        <v>G27420</v>
      </c>
      <c r="AP472" s="853" t="str">
        <f>+VLOOKUP($AJ472,Data_Validation!$A:$D,3,0)</f>
        <v>Bilan</v>
      </c>
      <c r="AQ472" s="853" t="str">
        <f>+VLOOKUP($AJ472,Data_Validation!$A:$D,4,0)</f>
        <v>Frais Payés d'Avance</v>
      </c>
      <c r="AR472" s="853" t="s">
        <v>728</v>
      </c>
      <c r="AS472" s="853" t="str">
        <f>+VLOOKUP($AJ472,Data_Validation!$A:$E,5,0)</f>
        <v/>
      </c>
      <c r="AT472" s="794" t="str">
        <f t="shared" ref="AT472:AU472" si="942">C472</f>
        <v>G27420</v>
      </c>
      <c r="AU472" s="854" t="str">
        <f t="shared" si="942"/>
        <v>COTISATION CCAQ</v>
      </c>
      <c r="AV472" s="794">
        <f t="array" ref="AV472">IFERROR(INDEX(V472:AG472,1,MATCH(Parametres!$B$3,V$1:AG$1,0)-1)*IF(OR(C472="L",C472="S",C472="I"),-1,1),"")</f>
        <v>0</v>
      </c>
      <c r="AW472" s="794">
        <f t="shared" si="6"/>
        <v>0</v>
      </c>
      <c r="AX472" s="794">
        <f t="array" ref="AX472">INDEX(V472:AG472,1,MATCH(Parametres!$B$3,V$1:AG$1,0))*IF(OR(C472="L",C472="S",C472="I"),-1,1)</f>
        <v>0</v>
      </c>
      <c r="AY472" s="853" t="s">
        <v>772</v>
      </c>
      <c r="AZ472" s="853" t="str">
        <f>+VLOOKUP($AJ472,Data_Validation!$A:$E,5,0)</f>
        <v/>
      </c>
    </row>
    <row r="473" ht="15.0" customHeight="1">
      <c r="A473" s="849" t="s">
        <v>1239</v>
      </c>
      <c r="B473" s="849">
        <v>2026.0</v>
      </c>
      <c r="C473" s="849" t="s">
        <v>2172</v>
      </c>
      <c r="D473" s="849" t="s">
        <v>2173</v>
      </c>
      <c r="E473" s="849" t="s">
        <v>768</v>
      </c>
      <c r="F473" s="849" t="s">
        <v>1926</v>
      </c>
      <c r="G473" s="849">
        <v>0.0</v>
      </c>
      <c r="H473" s="849">
        <v>0.0</v>
      </c>
      <c r="I473" s="849">
        <v>0.0</v>
      </c>
      <c r="J473" s="849">
        <v>0.0</v>
      </c>
      <c r="K473" s="849">
        <v>1590.4</v>
      </c>
      <c r="L473" s="849">
        <v>1363.2</v>
      </c>
      <c r="M473" s="849">
        <v>1136.0</v>
      </c>
      <c r="N473" s="849">
        <v>908.8</v>
      </c>
      <c r="O473" s="849">
        <v>681.6</v>
      </c>
      <c r="P473" s="849">
        <v>681.6</v>
      </c>
      <c r="Q473" s="849">
        <v>0.0</v>
      </c>
      <c r="R473" s="849">
        <v>0.0</v>
      </c>
      <c r="S473" s="849">
        <v>0.0</v>
      </c>
      <c r="T473" s="849">
        <v>0.0</v>
      </c>
      <c r="U473" s="849">
        <v>0.0</v>
      </c>
      <c r="V473" s="849">
        <v>0.0</v>
      </c>
      <c r="W473" s="849">
        <v>0.0</v>
      </c>
      <c r="X473" s="849">
        <v>0.0</v>
      </c>
      <c r="Y473" s="849">
        <v>0.0</v>
      </c>
      <c r="Z473" s="849">
        <v>0.0</v>
      </c>
      <c r="AA473" s="849">
        <v>0.0</v>
      </c>
      <c r="AB473" s="849">
        <v>0.0</v>
      </c>
      <c r="AC473" s="849">
        <v>0.0</v>
      </c>
      <c r="AD473" s="849">
        <v>0.0</v>
      </c>
      <c r="AE473" s="849">
        <v>0.0</v>
      </c>
      <c r="AF473" s="849">
        <v>0.0</v>
      </c>
      <c r="AG473" s="849">
        <v>0.0</v>
      </c>
      <c r="AH473" s="849">
        <v>0.0</v>
      </c>
      <c r="AI473" s="849">
        <v>0.0</v>
      </c>
      <c r="AJ473" s="794" t="str">
        <f t="shared" ref="AJ473:AK473" si="943">C473</f>
        <v>G27421</v>
      </c>
      <c r="AK473" s="794" t="str">
        <f t="shared" si="943"/>
        <v>COTISATION CARRXPERT</v>
      </c>
      <c r="AL473" s="794">
        <f t="array" ref="AL473">IFERROR(INDEX(G473:R473,1,MATCH(Parametres!$B$3,G$1:R$1,0)-1)*IF(OR(F473="L",F473="S",F473="I"),-1,1),"")</f>
        <v>908.8</v>
      </c>
      <c r="AM473" s="794">
        <f t="shared" si="4"/>
        <v>-227.2</v>
      </c>
      <c r="AN473" s="794">
        <f t="array" ref="AN473">INDEX(G473:R473,1,MATCH(Parametres!$B$3,G$1:R$1,0))*IF(OR(F473="L",F473="S",F473="I"),-1,1)</f>
        <v>681.6</v>
      </c>
      <c r="AO473" s="853" t="str">
        <f>+VLOOKUP($AJ473,Data_Validation!$A:$D,1,0)</f>
        <v>G27421</v>
      </c>
      <c r="AP473" s="853" t="str">
        <f>+VLOOKUP($AJ473,Data_Validation!$A:$D,3,0)</f>
        <v>Bilan</v>
      </c>
      <c r="AQ473" s="853" t="str">
        <f>+VLOOKUP($AJ473,Data_Validation!$A:$D,4,0)</f>
        <v>Frais Payés d'Avance</v>
      </c>
      <c r="AR473" s="853" t="s">
        <v>728</v>
      </c>
      <c r="AS473" s="853" t="str">
        <f>+VLOOKUP($AJ473,Data_Validation!$A:$E,5,0)</f>
        <v/>
      </c>
      <c r="AT473" s="794" t="str">
        <f t="shared" ref="AT473:AU473" si="944">C473</f>
        <v>G27421</v>
      </c>
      <c r="AU473" s="854" t="str">
        <f t="shared" si="944"/>
        <v>COTISATION CARRXPERT</v>
      </c>
      <c r="AV473" s="794">
        <f t="array" ref="AV473">IFERROR(INDEX(V473:AG473,1,MATCH(Parametres!$B$3,V$1:AG$1,0)-1)*IF(OR(C473="L",C473="S",C473="I"),-1,1),"")</f>
        <v>0</v>
      </c>
      <c r="AW473" s="794">
        <f t="shared" si="6"/>
        <v>0</v>
      </c>
      <c r="AX473" s="794">
        <f t="array" ref="AX473">INDEX(V473:AG473,1,MATCH(Parametres!$B$3,V$1:AG$1,0))*IF(OR(C473="L",C473="S",C473="I"),-1,1)</f>
        <v>0</v>
      </c>
      <c r="AY473" s="853" t="s">
        <v>772</v>
      </c>
      <c r="AZ473" s="853" t="str">
        <f>+VLOOKUP($AJ473,Data_Validation!$A:$E,5,0)</f>
        <v/>
      </c>
    </row>
    <row r="474" ht="15.0" customHeight="1">
      <c r="A474" s="849" t="s">
        <v>1239</v>
      </c>
      <c r="B474" s="849">
        <v>2026.0</v>
      </c>
      <c r="C474" s="849" t="s">
        <v>2174</v>
      </c>
      <c r="D474" s="849" t="s">
        <v>2175</v>
      </c>
      <c r="E474" s="849" t="s">
        <v>768</v>
      </c>
      <c r="F474" s="849" t="s">
        <v>1926</v>
      </c>
      <c r="G474" s="849">
        <v>0.0</v>
      </c>
      <c r="H474" s="849">
        <v>0.0</v>
      </c>
      <c r="I474" s="849">
        <v>0.0</v>
      </c>
      <c r="J474" s="849">
        <v>0.0</v>
      </c>
      <c r="K474" s="849">
        <v>-49627.99</v>
      </c>
      <c r="L474" s="849">
        <v>-60176.6</v>
      </c>
      <c r="M474" s="849">
        <v>-61835.39</v>
      </c>
      <c r="N474" s="849">
        <v>-78548.19</v>
      </c>
      <c r="O474" s="849">
        <v>-95819.95</v>
      </c>
      <c r="P474" s="849">
        <v>-95218.12</v>
      </c>
      <c r="Q474" s="849">
        <v>0.0</v>
      </c>
      <c r="R474" s="849">
        <v>0.0</v>
      </c>
      <c r="S474" s="849">
        <v>0.0</v>
      </c>
      <c r="T474" s="849">
        <v>0.0</v>
      </c>
      <c r="U474" s="849">
        <v>0.0</v>
      </c>
      <c r="V474" s="849">
        <v>0.0</v>
      </c>
      <c r="W474" s="849">
        <v>0.0</v>
      </c>
      <c r="X474" s="849">
        <v>0.0</v>
      </c>
      <c r="Y474" s="849">
        <v>0.0</v>
      </c>
      <c r="Z474" s="849">
        <v>0.0</v>
      </c>
      <c r="AA474" s="849">
        <v>0.0</v>
      </c>
      <c r="AB474" s="849">
        <v>0.0</v>
      </c>
      <c r="AC474" s="849">
        <v>0.0</v>
      </c>
      <c r="AD474" s="849">
        <v>0.0</v>
      </c>
      <c r="AE474" s="849">
        <v>0.0</v>
      </c>
      <c r="AF474" s="849">
        <v>0.0</v>
      </c>
      <c r="AG474" s="849">
        <v>0.0</v>
      </c>
      <c r="AH474" s="849">
        <v>0.0</v>
      </c>
      <c r="AI474" s="849">
        <v>0.0</v>
      </c>
      <c r="AJ474" s="794" t="str">
        <f t="shared" ref="AJ474:AK474" si="945">C474</f>
        <v>G27430</v>
      </c>
      <c r="AK474" s="794" t="str">
        <f t="shared" si="945"/>
        <v>PLAQUE PAYE D'AVANCE</v>
      </c>
      <c r="AL474" s="794">
        <f t="array" ref="AL474">IFERROR(INDEX(G474:R474,1,MATCH(Parametres!$B$3,G$1:R$1,0)-1)*IF(OR(F474="L",F474="S",F474="I"),-1,1),"")</f>
        <v>-78548.19</v>
      </c>
      <c r="AM474" s="794">
        <f t="shared" si="4"/>
        <v>-17271.76</v>
      </c>
      <c r="AN474" s="794">
        <f t="array" ref="AN474">INDEX(G474:R474,1,MATCH(Parametres!$B$3,G$1:R$1,0))*IF(OR(F474="L",F474="S",F474="I"),-1,1)</f>
        <v>-95819.95</v>
      </c>
      <c r="AO474" s="853" t="str">
        <f>+VLOOKUP($AJ474,Data_Validation!$A:$D,1,0)</f>
        <v>G27430</v>
      </c>
      <c r="AP474" s="853" t="str">
        <f>+VLOOKUP($AJ474,Data_Validation!$A:$D,3,0)</f>
        <v>Bilan</v>
      </c>
      <c r="AQ474" s="853" t="str">
        <f>+VLOOKUP($AJ474,Data_Validation!$A:$D,4,0)</f>
        <v>Frais Payés d'Avance</v>
      </c>
      <c r="AR474" s="853" t="s">
        <v>728</v>
      </c>
      <c r="AS474" s="853" t="str">
        <f>+VLOOKUP($AJ474,Data_Validation!$A:$E,5,0)</f>
        <v/>
      </c>
      <c r="AT474" s="794" t="str">
        <f t="shared" ref="AT474:AU474" si="946">C474</f>
        <v>G27430</v>
      </c>
      <c r="AU474" s="854" t="str">
        <f t="shared" si="946"/>
        <v>PLAQUE PAYE D'AVANCE</v>
      </c>
      <c r="AV474" s="794">
        <f t="array" ref="AV474">IFERROR(INDEX(V474:AG474,1,MATCH(Parametres!$B$3,V$1:AG$1,0)-1)*IF(OR(C474="L",C474="S",C474="I"),-1,1),"")</f>
        <v>0</v>
      </c>
      <c r="AW474" s="794">
        <f t="shared" si="6"/>
        <v>0</v>
      </c>
      <c r="AX474" s="794">
        <f t="array" ref="AX474">INDEX(V474:AG474,1,MATCH(Parametres!$B$3,V$1:AG$1,0))*IF(OR(C474="L",C474="S",C474="I"),-1,1)</f>
        <v>0</v>
      </c>
      <c r="AY474" s="853" t="s">
        <v>772</v>
      </c>
      <c r="AZ474" s="853" t="str">
        <f>+VLOOKUP($AJ474,Data_Validation!$A:$E,5,0)</f>
        <v/>
      </c>
    </row>
    <row r="475" ht="15.0" customHeight="1">
      <c r="A475" s="849" t="s">
        <v>1239</v>
      </c>
      <c r="B475" s="849">
        <v>2026.0</v>
      </c>
      <c r="C475" s="849" t="s">
        <v>2176</v>
      </c>
      <c r="D475" s="849" t="s">
        <v>2177</v>
      </c>
      <c r="E475" s="849" t="s">
        <v>768</v>
      </c>
      <c r="F475" s="849" t="s">
        <v>1926</v>
      </c>
      <c r="G475" s="849">
        <v>0.0</v>
      </c>
      <c r="H475" s="849">
        <v>0.0</v>
      </c>
      <c r="I475" s="849">
        <v>0.0</v>
      </c>
      <c r="J475" s="849">
        <v>0.0</v>
      </c>
      <c r="K475" s="849">
        <v>5445.0</v>
      </c>
      <c r="L475" s="849">
        <v>3645.0</v>
      </c>
      <c r="M475" s="849">
        <v>-2002.5</v>
      </c>
      <c r="N475" s="849">
        <v>-2790.0</v>
      </c>
      <c r="O475" s="849">
        <v>-3577.5</v>
      </c>
      <c r="P475" s="849">
        <v>-3577.5</v>
      </c>
      <c r="Q475" s="849">
        <v>0.0</v>
      </c>
      <c r="R475" s="849">
        <v>0.0</v>
      </c>
      <c r="S475" s="849">
        <v>0.0</v>
      </c>
      <c r="T475" s="849">
        <v>0.0</v>
      </c>
      <c r="U475" s="849">
        <v>0.0</v>
      </c>
      <c r="V475" s="849">
        <v>0.0</v>
      </c>
      <c r="W475" s="849">
        <v>0.0</v>
      </c>
      <c r="X475" s="849">
        <v>0.0</v>
      </c>
      <c r="Y475" s="849">
        <v>0.0</v>
      </c>
      <c r="Z475" s="849">
        <v>0.0</v>
      </c>
      <c r="AA475" s="849">
        <v>0.0</v>
      </c>
      <c r="AB475" s="849">
        <v>0.0</v>
      </c>
      <c r="AC475" s="849">
        <v>0.0</v>
      </c>
      <c r="AD475" s="849">
        <v>0.0</v>
      </c>
      <c r="AE475" s="849">
        <v>0.0</v>
      </c>
      <c r="AF475" s="849">
        <v>0.0</v>
      </c>
      <c r="AG475" s="849">
        <v>0.0</v>
      </c>
      <c r="AH475" s="849">
        <v>0.0</v>
      </c>
      <c r="AI475" s="849">
        <v>0.0</v>
      </c>
      <c r="AJ475" s="794" t="str">
        <f t="shared" ref="AJ475:AK475" si="947">C475</f>
        <v>G27440</v>
      </c>
      <c r="AK475" s="794" t="str">
        <f t="shared" si="947"/>
        <v>DENEIGEMENT PAYE D'AVANCE</v>
      </c>
      <c r="AL475" s="794">
        <f t="array" ref="AL475">IFERROR(INDEX(G475:R475,1,MATCH(Parametres!$B$3,G$1:R$1,0)-1)*IF(OR(F475="L",F475="S",F475="I"),-1,1),"")</f>
        <v>-2790</v>
      </c>
      <c r="AM475" s="794">
        <f t="shared" si="4"/>
        <v>-787.5</v>
      </c>
      <c r="AN475" s="794">
        <f t="array" ref="AN475">INDEX(G475:R475,1,MATCH(Parametres!$B$3,G$1:R$1,0))*IF(OR(F475="L",F475="S",F475="I"),-1,1)</f>
        <v>-3577.5</v>
      </c>
      <c r="AO475" s="853" t="str">
        <f>+VLOOKUP($AJ475,Data_Validation!$A:$D,1,0)</f>
        <v>G27440</v>
      </c>
      <c r="AP475" s="853" t="str">
        <f>+VLOOKUP($AJ475,Data_Validation!$A:$D,3,0)</f>
        <v>Bilan</v>
      </c>
      <c r="AQ475" s="853" t="str">
        <f>+VLOOKUP($AJ475,Data_Validation!$A:$D,4,0)</f>
        <v>Frais Payés d'Avance</v>
      </c>
      <c r="AR475" s="853" t="s">
        <v>728</v>
      </c>
      <c r="AS475" s="853" t="str">
        <f>+VLOOKUP($AJ475,Data_Validation!$A:$E,5,0)</f>
        <v/>
      </c>
      <c r="AT475" s="794" t="str">
        <f t="shared" ref="AT475:AU475" si="948">C475</f>
        <v>G27440</v>
      </c>
      <c r="AU475" s="854" t="str">
        <f t="shared" si="948"/>
        <v>DENEIGEMENT PAYE D'AVANCE</v>
      </c>
      <c r="AV475" s="794">
        <f t="array" ref="AV475">IFERROR(INDEX(V475:AG475,1,MATCH(Parametres!$B$3,V$1:AG$1,0)-1)*IF(OR(C475="L",C475="S",C475="I"),-1,1),"")</f>
        <v>0</v>
      </c>
      <c r="AW475" s="794">
        <f t="shared" si="6"/>
        <v>0</v>
      </c>
      <c r="AX475" s="794">
        <f t="array" ref="AX475">INDEX(V475:AG475,1,MATCH(Parametres!$B$3,V$1:AG$1,0))*IF(OR(C475="L",C475="S",C475="I"),-1,1)</f>
        <v>0</v>
      </c>
      <c r="AY475" s="853" t="s">
        <v>772</v>
      </c>
      <c r="AZ475" s="853" t="str">
        <f>+VLOOKUP($AJ475,Data_Validation!$A:$E,5,0)</f>
        <v/>
      </c>
    </row>
    <row r="476" ht="15.0" customHeight="1">
      <c r="A476" s="849" t="s">
        <v>1239</v>
      </c>
      <c r="B476" s="849">
        <v>2026.0</v>
      </c>
      <c r="C476" s="849" t="s">
        <v>2178</v>
      </c>
      <c r="D476" s="849" t="s">
        <v>2179</v>
      </c>
      <c r="E476" s="849" t="s">
        <v>768</v>
      </c>
      <c r="F476" s="849" t="s">
        <v>1926</v>
      </c>
      <c r="G476" s="849">
        <v>0.0</v>
      </c>
      <c r="H476" s="849">
        <v>0.0</v>
      </c>
      <c r="I476" s="849">
        <v>0.0</v>
      </c>
      <c r="J476" s="849">
        <v>0.0</v>
      </c>
      <c r="K476" s="849">
        <v>0.0</v>
      </c>
      <c r="L476" s="849">
        <v>0.0</v>
      </c>
      <c r="M476" s="849">
        <v>0.0</v>
      </c>
      <c r="N476" s="849">
        <v>30252.0</v>
      </c>
      <c r="O476" s="849">
        <v>22688.0</v>
      </c>
      <c r="P476" s="849">
        <v>22688.0</v>
      </c>
      <c r="Q476" s="849">
        <v>0.0</v>
      </c>
      <c r="R476" s="849">
        <v>0.0</v>
      </c>
      <c r="S476" s="849">
        <v>0.0</v>
      </c>
      <c r="T476" s="849">
        <v>0.0</v>
      </c>
      <c r="U476" s="849">
        <v>0.0</v>
      </c>
      <c r="V476" s="849">
        <v>0.0</v>
      </c>
      <c r="W476" s="849">
        <v>0.0</v>
      </c>
      <c r="X476" s="849">
        <v>0.0</v>
      </c>
      <c r="Y476" s="849">
        <v>0.0</v>
      </c>
      <c r="Z476" s="849">
        <v>0.0</v>
      </c>
      <c r="AA476" s="849">
        <v>0.0</v>
      </c>
      <c r="AB476" s="849">
        <v>0.0</v>
      </c>
      <c r="AC476" s="849">
        <v>0.0</v>
      </c>
      <c r="AD476" s="849">
        <v>0.0</v>
      </c>
      <c r="AE476" s="849">
        <v>0.0</v>
      </c>
      <c r="AF476" s="849">
        <v>0.0</v>
      </c>
      <c r="AG476" s="849">
        <v>0.0</v>
      </c>
      <c r="AH476" s="849">
        <v>0.0</v>
      </c>
      <c r="AI476" s="849">
        <v>0.0</v>
      </c>
      <c r="AJ476" s="794" t="str">
        <f t="shared" ref="AJ476:AK476" si="949">C476</f>
        <v>G27450</v>
      </c>
      <c r="AK476" s="794" t="str">
        <f t="shared" si="949"/>
        <v>RRI PAYE D'AVANCE</v>
      </c>
      <c r="AL476" s="794">
        <f t="array" ref="AL476">IFERROR(INDEX(G476:R476,1,MATCH(Parametres!$B$3,G$1:R$1,0)-1)*IF(OR(F476="L",F476="S",F476="I"),-1,1),"")</f>
        <v>30252</v>
      </c>
      <c r="AM476" s="794">
        <f t="shared" si="4"/>
        <v>-7564</v>
      </c>
      <c r="AN476" s="794">
        <f t="array" ref="AN476">INDEX(G476:R476,1,MATCH(Parametres!$B$3,G$1:R$1,0))*IF(OR(F476="L",F476="S",F476="I"),-1,1)</f>
        <v>22688</v>
      </c>
      <c r="AO476" s="853" t="str">
        <f>+VLOOKUP($AJ476,Data_Validation!$A:$D,1,0)</f>
        <v>G27450</v>
      </c>
      <c r="AP476" s="853" t="str">
        <f>+VLOOKUP($AJ476,Data_Validation!$A:$D,3,0)</f>
        <v>Bilan</v>
      </c>
      <c r="AQ476" s="853" t="str">
        <f>+VLOOKUP($AJ476,Data_Validation!$A:$D,4,0)</f>
        <v>Frais Payés d'Avance</v>
      </c>
      <c r="AR476" s="853" t="s">
        <v>728</v>
      </c>
      <c r="AS476" s="853" t="str">
        <f>+VLOOKUP($AJ476,Data_Validation!$A:$E,5,0)</f>
        <v/>
      </c>
      <c r="AT476" s="794" t="str">
        <f t="shared" ref="AT476:AU476" si="950">C476</f>
        <v>G27450</v>
      </c>
      <c r="AU476" s="854" t="str">
        <f t="shared" si="950"/>
        <v>RRI PAYE D'AVANCE</v>
      </c>
      <c r="AV476" s="794">
        <f t="array" ref="AV476">IFERROR(INDEX(V476:AG476,1,MATCH(Parametres!$B$3,V$1:AG$1,0)-1)*IF(OR(C476="L",C476="S",C476="I"),-1,1),"")</f>
        <v>0</v>
      </c>
      <c r="AW476" s="794">
        <f t="shared" si="6"/>
        <v>0</v>
      </c>
      <c r="AX476" s="794">
        <f t="array" ref="AX476">INDEX(V476:AG476,1,MATCH(Parametres!$B$3,V$1:AG$1,0))*IF(OR(C476="L",C476="S",C476="I"),-1,1)</f>
        <v>0</v>
      </c>
      <c r="AY476" s="853" t="s">
        <v>772</v>
      </c>
      <c r="AZ476" s="853" t="str">
        <f>+VLOOKUP($AJ476,Data_Validation!$A:$E,5,0)</f>
        <v/>
      </c>
    </row>
    <row r="477" ht="15.0" customHeight="1">
      <c r="A477" s="849" t="s">
        <v>1239</v>
      </c>
      <c r="B477" s="849">
        <v>2026.0</v>
      </c>
      <c r="C477" s="849" t="s">
        <v>2180</v>
      </c>
      <c r="D477" s="849" t="s">
        <v>2181</v>
      </c>
      <c r="E477" s="849" t="s">
        <v>2072</v>
      </c>
      <c r="F477" s="849" t="s">
        <v>1926</v>
      </c>
      <c r="G477" s="849">
        <v>0.0</v>
      </c>
      <c r="H477" s="849">
        <v>0.0</v>
      </c>
      <c r="I477" s="849">
        <v>0.0</v>
      </c>
      <c r="J477" s="849">
        <v>0.0</v>
      </c>
      <c r="K477" s="849">
        <v>0.0</v>
      </c>
      <c r="L477" s="849">
        <v>0.0</v>
      </c>
      <c r="M477" s="849">
        <v>0.0</v>
      </c>
      <c r="N477" s="849">
        <v>0.0</v>
      </c>
      <c r="O477" s="849">
        <v>0.0</v>
      </c>
      <c r="P477" s="849">
        <v>0.0</v>
      </c>
      <c r="Q477" s="849">
        <v>0.0</v>
      </c>
      <c r="R477" s="849">
        <v>0.0</v>
      </c>
      <c r="S477" s="849">
        <v>0.0</v>
      </c>
      <c r="T477" s="849">
        <v>0.0</v>
      </c>
      <c r="U477" s="849">
        <v>0.0</v>
      </c>
      <c r="V477" s="849">
        <v>0.0</v>
      </c>
      <c r="W477" s="849">
        <v>0.0</v>
      </c>
      <c r="X477" s="849">
        <v>0.0</v>
      </c>
      <c r="Y477" s="849">
        <v>0.0</v>
      </c>
      <c r="Z477" s="849">
        <v>0.0</v>
      </c>
      <c r="AA477" s="849">
        <v>0.0</v>
      </c>
      <c r="AB477" s="849">
        <v>0.0</v>
      </c>
      <c r="AC477" s="849">
        <v>0.0</v>
      </c>
      <c r="AD477" s="849">
        <v>0.0</v>
      </c>
      <c r="AE477" s="849">
        <v>0.0</v>
      </c>
      <c r="AF477" s="849">
        <v>0.0</v>
      </c>
      <c r="AG477" s="849">
        <v>0.0</v>
      </c>
      <c r="AH477" s="849">
        <v>0.0</v>
      </c>
      <c r="AI477" s="849">
        <v>0.0</v>
      </c>
      <c r="AJ477" s="794" t="str">
        <f t="shared" ref="AJ477:AK477" si="951">C477</f>
        <v>G27700</v>
      </c>
      <c r="AK477" s="794" t="str">
        <f t="shared" si="951"/>
        <v>INV VEHICULE EN LOCATION</v>
      </c>
      <c r="AL477" s="794">
        <f t="array" ref="AL477">IFERROR(INDEX(G477:R477,1,MATCH(Parametres!$B$3,G$1:R$1,0)-1)*IF(OR(F477="L",F477="S",F477="I"),-1,1),"")</f>
        <v>0</v>
      </c>
      <c r="AM477" s="794">
        <f t="shared" si="4"/>
        <v>0</v>
      </c>
      <c r="AN477" s="794">
        <f t="array" ref="AN477">INDEX(G477:R477,1,MATCH(Parametres!$B$3,G$1:R$1,0))*IF(OR(F477="L",F477="S",F477="I"),-1,1)</f>
        <v>0</v>
      </c>
      <c r="AO477" s="853" t="str">
        <f>+VLOOKUP($AJ477,Data_Validation!$A:$D,1,0)</f>
        <v>#N/A</v>
      </c>
      <c r="AP477" s="853" t="str">
        <f>+VLOOKUP($AJ477,Data_Validation!$A:$D,3,0)</f>
        <v>#N/A</v>
      </c>
      <c r="AQ477" s="853" t="str">
        <f>+VLOOKUP($AJ477,Data_Validation!$A:$D,4,0)</f>
        <v>#N/A</v>
      </c>
      <c r="AR477" s="853" t="s">
        <v>728</v>
      </c>
      <c r="AS477" s="853" t="str">
        <f>+VLOOKUP($AJ477,Data_Validation!$A:$E,5,0)</f>
        <v>#N/A</v>
      </c>
      <c r="AT477" s="794" t="str">
        <f t="shared" ref="AT477:AU477" si="952">C477</f>
        <v>G27700</v>
      </c>
      <c r="AU477" s="854" t="str">
        <f t="shared" si="952"/>
        <v>INV VEHICULE EN LOCATION</v>
      </c>
      <c r="AV477" s="794">
        <f t="array" ref="AV477">IFERROR(INDEX(V477:AG477,1,MATCH(Parametres!$B$3,V$1:AG$1,0)-1)*IF(OR(C477="L",C477="S",C477="I"),-1,1),"")</f>
        <v>0</v>
      </c>
      <c r="AW477" s="794">
        <f t="shared" si="6"/>
        <v>0</v>
      </c>
      <c r="AX477" s="794">
        <f t="array" ref="AX477">INDEX(V477:AG477,1,MATCH(Parametres!$B$3,V$1:AG$1,0))*IF(OR(C477="L",C477="S",C477="I"),-1,1)</f>
        <v>0</v>
      </c>
      <c r="AY477" s="853" t="s">
        <v>772</v>
      </c>
      <c r="AZ477" s="853" t="str">
        <f>+VLOOKUP($AJ477,Data_Validation!$A:$E,5,0)</f>
        <v>#N/A</v>
      </c>
    </row>
    <row r="478" ht="15.0" customHeight="1">
      <c r="A478" s="849" t="s">
        <v>1239</v>
      </c>
      <c r="B478" s="849">
        <v>2026.0</v>
      </c>
      <c r="C478" s="849" t="s">
        <v>2182</v>
      </c>
      <c r="D478" s="849" t="s">
        <v>2183</v>
      </c>
      <c r="E478" s="849" t="s">
        <v>768</v>
      </c>
      <c r="F478" s="849" t="s">
        <v>1926</v>
      </c>
      <c r="G478" s="849">
        <v>0.0</v>
      </c>
      <c r="H478" s="849">
        <v>0.0</v>
      </c>
      <c r="I478" s="849">
        <v>0.0</v>
      </c>
      <c r="J478" s="849">
        <v>0.0</v>
      </c>
      <c r="K478" s="849">
        <v>0.0</v>
      </c>
      <c r="L478" s="849">
        <v>0.0</v>
      </c>
      <c r="M478" s="849">
        <v>0.0</v>
      </c>
      <c r="N478" s="849">
        <v>0.0</v>
      </c>
      <c r="O478" s="849">
        <v>0.0</v>
      </c>
      <c r="P478" s="849">
        <v>0.0</v>
      </c>
      <c r="Q478" s="849">
        <v>0.0</v>
      </c>
      <c r="R478" s="849">
        <v>0.0</v>
      </c>
      <c r="S478" s="849">
        <v>0.0</v>
      </c>
      <c r="T478" s="849">
        <v>0.0</v>
      </c>
      <c r="U478" s="849">
        <v>0.0</v>
      </c>
      <c r="V478" s="849">
        <v>0.0</v>
      </c>
      <c r="W478" s="849">
        <v>0.0</v>
      </c>
      <c r="X478" s="849">
        <v>0.0</v>
      </c>
      <c r="Y478" s="849">
        <v>0.0</v>
      </c>
      <c r="Z478" s="849">
        <v>0.0</v>
      </c>
      <c r="AA478" s="849">
        <v>0.0</v>
      </c>
      <c r="AB478" s="849">
        <v>0.0</v>
      </c>
      <c r="AC478" s="849">
        <v>0.0</v>
      </c>
      <c r="AD478" s="849">
        <v>0.0</v>
      </c>
      <c r="AE478" s="849">
        <v>0.0</v>
      </c>
      <c r="AF478" s="849">
        <v>0.0</v>
      </c>
      <c r="AG478" s="849">
        <v>0.0</v>
      </c>
      <c r="AH478" s="849">
        <v>0.0</v>
      </c>
      <c r="AI478" s="849">
        <v>0.0</v>
      </c>
      <c r="AJ478" s="794" t="str">
        <f t="shared" ref="AJ478:AK478" si="953">C478</f>
        <v>G27701</v>
      </c>
      <c r="AK478" s="794" t="str">
        <f t="shared" si="953"/>
        <v>AMORT. ACC. VEH. LOCATION</v>
      </c>
      <c r="AL478" s="794">
        <f t="array" ref="AL478">IFERROR(INDEX(G478:R478,1,MATCH(Parametres!$B$3,G$1:R$1,0)-1)*IF(OR(F478="L",F478="S",F478="I"),-1,1),"")</f>
        <v>0</v>
      </c>
      <c r="AM478" s="794">
        <f t="shared" si="4"/>
        <v>0</v>
      </c>
      <c r="AN478" s="794">
        <f t="array" ref="AN478">INDEX(G478:R478,1,MATCH(Parametres!$B$3,G$1:R$1,0))*IF(OR(F478="L",F478="S",F478="I"),-1,1)</f>
        <v>0</v>
      </c>
      <c r="AO478" s="853" t="str">
        <f>+VLOOKUP($AJ478,Data_Validation!$A:$D,1,0)</f>
        <v>G27701</v>
      </c>
      <c r="AP478" s="853" t="str">
        <f>+VLOOKUP($AJ478,Data_Validation!$A:$D,3,0)</f>
        <v/>
      </c>
      <c r="AQ478" s="853" t="str">
        <f>+VLOOKUP($AJ478,Data_Validation!$A:$D,4,0)</f>
        <v/>
      </c>
      <c r="AR478" s="853" t="s">
        <v>728</v>
      </c>
      <c r="AS478" s="853" t="str">
        <f>+VLOOKUP($AJ478,Data_Validation!$A:$E,5,0)</f>
        <v/>
      </c>
      <c r="AT478" s="794" t="str">
        <f t="shared" ref="AT478:AU478" si="954">C478</f>
        <v>G27701</v>
      </c>
      <c r="AU478" s="854" t="str">
        <f t="shared" si="954"/>
        <v>AMORT. ACC. VEH. LOCATION</v>
      </c>
      <c r="AV478" s="794">
        <f t="array" ref="AV478">IFERROR(INDEX(V478:AG478,1,MATCH(Parametres!$B$3,V$1:AG$1,0)-1)*IF(OR(C478="L",C478="S",C478="I"),-1,1),"")</f>
        <v>0</v>
      </c>
      <c r="AW478" s="794">
        <f t="shared" si="6"/>
        <v>0</v>
      </c>
      <c r="AX478" s="794">
        <f t="array" ref="AX478">INDEX(V478:AG478,1,MATCH(Parametres!$B$3,V$1:AG$1,0))*IF(OR(C478="L",C478="S",C478="I"),-1,1)</f>
        <v>0</v>
      </c>
      <c r="AY478" s="853" t="s">
        <v>772</v>
      </c>
      <c r="AZ478" s="853" t="str">
        <f>+VLOOKUP($AJ478,Data_Validation!$A:$E,5,0)</f>
        <v/>
      </c>
    </row>
    <row r="479" ht="15.0" customHeight="1">
      <c r="A479" s="849" t="s">
        <v>1239</v>
      </c>
      <c r="B479" s="849">
        <v>2026.0</v>
      </c>
      <c r="C479" s="849" t="s">
        <v>2184</v>
      </c>
      <c r="D479" s="849" t="s">
        <v>2185</v>
      </c>
      <c r="E479" s="849" t="s">
        <v>768</v>
      </c>
      <c r="F479" s="849" t="s">
        <v>1926</v>
      </c>
      <c r="G479" s="849">
        <v>1718553.45</v>
      </c>
      <c r="H479" s="849">
        <v>1718553.45</v>
      </c>
      <c r="I479" s="849">
        <v>1718553.45</v>
      </c>
      <c r="J479" s="849">
        <v>1718553.45</v>
      </c>
      <c r="K479" s="849">
        <v>1718553.45</v>
      </c>
      <c r="L479" s="849">
        <v>1718553.45</v>
      </c>
      <c r="M479" s="849">
        <v>1718553.45</v>
      </c>
      <c r="N479" s="849">
        <v>1718553.45</v>
      </c>
      <c r="O479" s="849">
        <v>1718553.45</v>
      </c>
      <c r="P479" s="849">
        <v>1718553.45</v>
      </c>
      <c r="Q479" s="849">
        <v>0.0</v>
      </c>
      <c r="R479" s="849">
        <v>0.0</v>
      </c>
      <c r="S479" s="849">
        <v>0.0</v>
      </c>
      <c r="T479" s="849">
        <v>0.0</v>
      </c>
      <c r="U479" s="849">
        <v>0.0</v>
      </c>
      <c r="V479" s="849">
        <v>0.0</v>
      </c>
      <c r="W479" s="849">
        <v>0.0</v>
      </c>
      <c r="X479" s="849">
        <v>0.0</v>
      </c>
      <c r="Y479" s="849">
        <v>0.0</v>
      </c>
      <c r="Z479" s="849">
        <v>0.0</v>
      </c>
      <c r="AA479" s="849">
        <v>0.0</v>
      </c>
      <c r="AB479" s="849">
        <v>0.0</v>
      </c>
      <c r="AC479" s="849">
        <v>0.0</v>
      </c>
      <c r="AD479" s="849">
        <v>0.0</v>
      </c>
      <c r="AE479" s="849">
        <v>0.0</v>
      </c>
      <c r="AF479" s="849">
        <v>0.0</v>
      </c>
      <c r="AG479" s="849">
        <v>0.0</v>
      </c>
      <c r="AH479" s="849">
        <v>0.0</v>
      </c>
      <c r="AI479" s="849">
        <v>0.0</v>
      </c>
      <c r="AJ479" s="794" t="str">
        <f t="shared" ref="AJ479:AK479" si="955">C479</f>
        <v>G28200</v>
      </c>
      <c r="AK479" s="794" t="str">
        <f t="shared" si="955"/>
        <v>MACHINERIE EQUIP. ATELIER</v>
      </c>
      <c r="AL479" s="794">
        <f t="array" ref="AL479">IFERROR(INDEX(G479:R479,1,MATCH(Parametres!$B$3,G$1:R$1,0)-1)*IF(OR(F479="L",F479="S",F479="I"),-1,1),"")</f>
        <v>1718553.45</v>
      </c>
      <c r="AM479" s="794">
        <f t="shared" si="4"/>
        <v>0</v>
      </c>
      <c r="AN479" s="794">
        <f t="array" ref="AN479">INDEX(G479:R479,1,MATCH(Parametres!$B$3,G$1:R$1,0))*IF(OR(F479="L",F479="S",F479="I"),-1,1)</f>
        <v>1718553.45</v>
      </c>
      <c r="AO479" s="853" t="str">
        <f>+VLOOKUP($AJ479,Data_Validation!$A:$D,1,0)</f>
        <v>G28200</v>
      </c>
      <c r="AP479" s="853" t="str">
        <f>+VLOOKUP($AJ479,Data_Validation!$A:$D,3,0)</f>
        <v>Bilan</v>
      </c>
      <c r="AQ479" s="853" t="str">
        <f>+VLOOKUP($AJ479,Data_Validation!$A:$D,4,0)</f>
        <v>Équipements Service</v>
      </c>
      <c r="AR479" s="853" t="s">
        <v>728</v>
      </c>
      <c r="AS479" s="853" t="str">
        <f>+VLOOKUP($AJ479,Data_Validation!$A:$E,5,0)</f>
        <v/>
      </c>
      <c r="AT479" s="794" t="str">
        <f t="shared" ref="AT479:AU479" si="956">C479</f>
        <v>G28200</v>
      </c>
      <c r="AU479" s="854" t="str">
        <f t="shared" si="956"/>
        <v>MACHINERIE EQUIP. ATELIER</v>
      </c>
      <c r="AV479" s="794">
        <f t="array" ref="AV479">IFERROR(INDEX(V479:AG479,1,MATCH(Parametres!$B$3,V$1:AG$1,0)-1)*IF(OR(C479="L",C479="S",C479="I"),-1,1),"")</f>
        <v>0</v>
      </c>
      <c r="AW479" s="794">
        <f t="shared" si="6"/>
        <v>0</v>
      </c>
      <c r="AX479" s="794">
        <f t="array" ref="AX479">INDEX(V479:AG479,1,MATCH(Parametres!$B$3,V$1:AG$1,0))*IF(OR(C479="L",C479="S",C479="I"),-1,1)</f>
        <v>0</v>
      </c>
      <c r="AY479" s="853" t="s">
        <v>772</v>
      </c>
      <c r="AZ479" s="853" t="str">
        <f>+VLOOKUP($AJ479,Data_Validation!$A:$E,5,0)</f>
        <v/>
      </c>
    </row>
    <row r="480" ht="15.0" customHeight="1">
      <c r="A480" s="849" t="s">
        <v>1239</v>
      </c>
      <c r="B480" s="849">
        <v>2026.0</v>
      </c>
      <c r="C480" s="849" t="s">
        <v>2186</v>
      </c>
      <c r="D480" s="849" t="s">
        <v>2187</v>
      </c>
      <c r="E480" s="849" t="s">
        <v>768</v>
      </c>
      <c r="F480" s="849" t="s">
        <v>1926</v>
      </c>
      <c r="G480" s="849">
        <v>0.0</v>
      </c>
      <c r="H480" s="849">
        <v>0.0</v>
      </c>
      <c r="I480" s="849">
        <v>13498.78</v>
      </c>
      <c r="J480" s="849">
        <v>13498.78</v>
      </c>
      <c r="K480" s="849">
        <v>13498.78</v>
      </c>
      <c r="L480" s="849">
        <v>13498.78</v>
      </c>
      <c r="M480" s="849">
        <v>13498.78</v>
      </c>
      <c r="N480" s="849">
        <v>13498.78</v>
      </c>
      <c r="O480" s="849">
        <v>13498.78</v>
      </c>
      <c r="P480" s="849">
        <v>13498.78</v>
      </c>
      <c r="Q480" s="849">
        <v>0.0</v>
      </c>
      <c r="R480" s="849">
        <v>0.0</v>
      </c>
      <c r="S480" s="849">
        <v>0.0</v>
      </c>
      <c r="T480" s="849">
        <v>0.0</v>
      </c>
      <c r="U480" s="849">
        <v>0.0</v>
      </c>
      <c r="V480" s="849">
        <v>0.0</v>
      </c>
      <c r="W480" s="849">
        <v>0.0</v>
      </c>
      <c r="X480" s="849">
        <v>0.0</v>
      </c>
      <c r="Y480" s="849">
        <v>0.0</v>
      </c>
      <c r="Z480" s="849">
        <v>0.0</v>
      </c>
      <c r="AA480" s="849">
        <v>0.0</v>
      </c>
      <c r="AB480" s="849">
        <v>0.0</v>
      </c>
      <c r="AC480" s="849">
        <v>0.0</v>
      </c>
      <c r="AD480" s="849">
        <v>0.0</v>
      </c>
      <c r="AE480" s="849">
        <v>0.0</v>
      </c>
      <c r="AF480" s="849">
        <v>0.0</v>
      </c>
      <c r="AG480" s="849">
        <v>0.0</v>
      </c>
      <c r="AH480" s="849">
        <v>0.0</v>
      </c>
      <c r="AI480" s="849">
        <v>0.0</v>
      </c>
      <c r="AJ480" s="794" t="str">
        <f t="shared" ref="AJ480:AK480" si="957">C480</f>
        <v>G28210</v>
      </c>
      <c r="AK480" s="794" t="str">
        <f t="shared" si="957"/>
        <v>MACHINERIE EQUIP. CARR</v>
      </c>
      <c r="AL480" s="794">
        <f t="array" ref="AL480">IFERROR(INDEX(G480:R480,1,MATCH(Parametres!$B$3,G$1:R$1,0)-1)*IF(OR(F480="L",F480="S",F480="I"),-1,1),"")</f>
        <v>13498.78</v>
      </c>
      <c r="AM480" s="794">
        <f t="shared" si="4"/>
        <v>0</v>
      </c>
      <c r="AN480" s="794">
        <f t="array" ref="AN480">INDEX(G480:R480,1,MATCH(Parametres!$B$3,G$1:R$1,0))*IF(OR(F480="L",F480="S",F480="I"),-1,1)</f>
        <v>13498.78</v>
      </c>
      <c r="AO480" s="853" t="str">
        <f>+VLOOKUP($AJ480,Data_Validation!$A:$D,1,0)</f>
        <v>G28210</v>
      </c>
      <c r="AP480" s="853" t="str">
        <f>+VLOOKUP($AJ480,Data_Validation!$A:$D,3,0)</f>
        <v>Bilan</v>
      </c>
      <c r="AQ480" s="853" t="str">
        <f>+VLOOKUP($AJ480,Data_Validation!$A:$D,4,0)</f>
        <v>Équipements Service</v>
      </c>
      <c r="AR480" s="853" t="s">
        <v>728</v>
      </c>
      <c r="AS480" s="853" t="str">
        <f>+VLOOKUP($AJ480,Data_Validation!$A:$E,5,0)</f>
        <v/>
      </c>
      <c r="AT480" s="794" t="str">
        <f t="shared" ref="AT480:AU480" si="958">C480</f>
        <v>G28210</v>
      </c>
      <c r="AU480" s="854" t="str">
        <f t="shared" si="958"/>
        <v>MACHINERIE EQUIP. CARR</v>
      </c>
      <c r="AV480" s="794">
        <f t="array" ref="AV480">IFERROR(INDEX(V480:AG480,1,MATCH(Parametres!$B$3,V$1:AG$1,0)-1)*IF(OR(C480="L",C480="S",C480="I"),-1,1),"")</f>
        <v>0</v>
      </c>
      <c r="AW480" s="794">
        <f t="shared" si="6"/>
        <v>0</v>
      </c>
      <c r="AX480" s="794">
        <f t="array" ref="AX480">INDEX(V480:AG480,1,MATCH(Parametres!$B$3,V$1:AG$1,0))*IF(OR(C480="L",C480="S",C480="I"),-1,1)</f>
        <v>0</v>
      </c>
      <c r="AY480" s="853" t="s">
        <v>772</v>
      </c>
      <c r="AZ480" s="853" t="str">
        <f>+VLOOKUP($AJ480,Data_Validation!$A:$E,5,0)</f>
        <v/>
      </c>
    </row>
    <row r="481" ht="15.0" customHeight="1">
      <c r="A481" s="849" t="s">
        <v>1239</v>
      </c>
      <c r="B481" s="849">
        <v>2026.0</v>
      </c>
      <c r="C481" s="849" t="s">
        <v>2188</v>
      </c>
      <c r="D481" s="849" t="s">
        <v>2189</v>
      </c>
      <c r="E481" s="849" t="s">
        <v>768</v>
      </c>
      <c r="F481" s="849" t="s">
        <v>1926</v>
      </c>
      <c r="G481" s="849">
        <v>7077.33</v>
      </c>
      <c r="H481" s="849">
        <v>7077.33</v>
      </c>
      <c r="I481" s="849">
        <v>7077.33</v>
      </c>
      <c r="J481" s="849">
        <v>7077.33</v>
      </c>
      <c r="K481" s="849">
        <v>7077.33</v>
      </c>
      <c r="L481" s="849">
        <v>7077.33</v>
      </c>
      <c r="M481" s="849">
        <v>7077.33</v>
      </c>
      <c r="N481" s="849">
        <v>7077.33</v>
      </c>
      <c r="O481" s="849">
        <v>7077.33</v>
      </c>
      <c r="P481" s="849">
        <v>7077.33</v>
      </c>
      <c r="Q481" s="849">
        <v>0.0</v>
      </c>
      <c r="R481" s="849">
        <v>0.0</v>
      </c>
      <c r="S481" s="849">
        <v>0.0</v>
      </c>
      <c r="T481" s="849">
        <v>0.0</v>
      </c>
      <c r="U481" s="849">
        <v>0.0</v>
      </c>
      <c r="V481" s="849">
        <v>0.0</v>
      </c>
      <c r="W481" s="849">
        <v>0.0</v>
      </c>
      <c r="X481" s="849">
        <v>0.0</v>
      </c>
      <c r="Y481" s="849">
        <v>0.0</v>
      </c>
      <c r="Z481" s="849">
        <v>0.0</v>
      </c>
      <c r="AA481" s="849">
        <v>0.0</v>
      </c>
      <c r="AB481" s="849">
        <v>0.0</v>
      </c>
      <c r="AC481" s="849">
        <v>0.0</v>
      </c>
      <c r="AD481" s="849">
        <v>0.0</v>
      </c>
      <c r="AE481" s="849">
        <v>0.0</v>
      </c>
      <c r="AF481" s="849">
        <v>0.0</v>
      </c>
      <c r="AG481" s="849">
        <v>0.0</v>
      </c>
      <c r="AH481" s="849">
        <v>0.0</v>
      </c>
      <c r="AI481" s="849">
        <v>0.0</v>
      </c>
      <c r="AJ481" s="794" t="str">
        <f t="shared" ref="AJ481:AK481" si="959">C481</f>
        <v>G28300</v>
      </c>
      <c r="AK481" s="794" t="str">
        <f t="shared" si="959"/>
        <v>PNEUS ET ACC.DEMO/COURT</v>
      </c>
      <c r="AL481" s="794">
        <f t="array" ref="AL481">IFERROR(INDEX(G481:R481,1,MATCH(Parametres!$B$3,G$1:R$1,0)-1)*IF(OR(F481="L",F481="S",F481="I"),-1,1),"")</f>
        <v>7077.33</v>
      </c>
      <c r="AM481" s="794">
        <f t="shared" si="4"/>
        <v>0</v>
      </c>
      <c r="AN481" s="794">
        <f t="array" ref="AN481">INDEX(G481:R481,1,MATCH(Parametres!$B$3,G$1:R$1,0))*IF(OR(F481="L",F481="S",F481="I"),-1,1)</f>
        <v>7077.33</v>
      </c>
      <c r="AO481" s="853" t="str">
        <f>+VLOOKUP($AJ481,Data_Validation!$A:$D,1,0)</f>
        <v>G28300</v>
      </c>
      <c r="AP481" s="853" t="str">
        <f>+VLOOKUP($AJ481,Data_Validation!$A:$D,3,0)</f>
        <v>Bilan</v>
      </c>
      <c r="AQ481" s="853" t="str">
        <f>+VLOOKUP($AJ481,Data_Validation!$A:$D,4,0)</f>
        <v>Équipements Service</v>
      </c>
      <c r="AR481" s="853" t="s">
        <v>728</v>
      </c>
      <c r="AS481" s="853" t="str">
        <f>+VLOOKUP($AJ481,Data_Validation!$A:$E,5,0)</f>
        <v/>
      </c>
      <c r="AT481" s="794" t="str">
        <f t="shared" ref="AT481:AU481" si="960">C481</f>
        <v>G28300</v>
      </c>
      <c r="AU481" s="854" t="str">
        <f t="shared" si="960"/>
        <v>PNEUS ET ACC.DEMO/COURT</v>
      </c>
      <c r="AV481" s="794">
        <f t="array" ref="AV481">IFERROR(INDEX(V481:AG481,1,MATCH(Parametres!$B$3,V$1:AG$1,0)-1)*IF(OR(C481="L",C481="S",C481="I"),-1,1),"")</f>
        <v>0</v>
      </c>
      <c r="AW481" s="794">
        <f t="shared" si="6"/>
        <v>0</v>
      </c>
      <c r="AX481" s="794">
        <f t="array" ref="AX481">INDEX(V481:AG481,1,MATCH(Parametres!$B$3,V$1:AG$1,0))*IF(OR(C481="L",C481="S",C481="I"),-1,1)</f>
        <v>0</v>
      </c>
      <c r="AY481" s="853" t="s">
        <v>772</v>
      </c>
      <c r="AZ481" s="853" t="str">
        <f>+VLOOKUP($AJ481,Data_Validation!$A:$E,5,0)</f>
        <v/>
      </c>
    </row>
    <row r="482" ht="15.0" customHeight="1">
      <c r="A482" s="849" t="s">
        <v>1239</v>
      </c>
      <c r="B482" s="849">
        <v>2026.0</v>
      </c>
      <c r="C482" s="849" t="s">
        <v>2190</v>
      </c>
      <c r="D482" s="849" t="s">
        <v>2191</v>
      </c>
      <c r="E482" s="849" t="s">
        <v>768</v>
      </c>
      <c r="F482" s="849" t="s">
        <v>1926</v>
      </c>
      <c r="G482" s="849">
        <v>368778.01</v>
      </c>
      <c r="H482" s="849">
        <v>368778.01</v>
      </c>
      <c r="I482" s="849">
        <v>368778.01</v>
      </c>
      <c r="J482" s="849">
        <v>368778.01</v>
      </c>
      <c r="K482" s="849">
        <v>368778.01</v>
      </c>
      <c r="L482" s="849">
        <v>368778.01</v>
      </c>
      <c r="M482" s="849">
        <v>368778.01</v>
      </c>
      <c r="N482" s="849">
        <v>368778.01</v>
      </c>
      <c r="O482" s="849">
        <v>379282.62</v>
      </c>
      <c r="P482" s="849">
        <v>379282.62</v>
      </c>
      <c r="Q482" s="849">
        <v>0.0</v>
      </c>
      <c r="R482" s="849">
        <v>0.0</v>
      </c>
      <c r="S482" s="849">
        <v>0.0</v>
      </c>
      <c r="T482" s="849">
        <v>0.0</v>
      </c>
      <c r="U482" s="849">
        <v>0.0</v>
      </c>
      <c r="V482" s="849">
        <v>0.0</v>
      </c>
      <c r="W482" s="849">
        <v>0.0</v>
      </c>
      <c r="X482" s="849">
        <v>0.0</v>
      </c>
      <c r="Y482" s="849">
        <v>0.0</v>
      </c>
      <c r="Z482" s="849">
        <v>0.0</v>
      </c>
      <c r="AA482" s="849">
        <v>0.0</v>
      </c>
      <c r="AB482" s="849">
        <v>0.0</v>
      </c>
      <c r="AC482" s="849">
        <v>0.0</v>
      </c>
      <c r="AD482" s="849">
        <v>0.0</v>
      </c>
      <c r="AE482" s="849">
        <v>0.0</v>
      </c>
      <c r="AF482" s="849">
        <v>0.0</v>
      </c>
      <c r="AG482" s="849">
        <v>0.0</v>
      </c>
      <c r="AH482" s="849">
        <v>0.0</v>
      </c>
      <c r="AI482" s="849">
        <v>0.0</v>
      </c>
      <c r="AJ482" s="794" t="str">
        <f t="shared" ref="AJ482:AK482" si="961">C482</f>
        <v>G28400</v>
      </c>
      <c r="AK482" s="794" t="str">
        <f t="shared" si="961"/>
        <v>MOBILIER &amp; EQUIP BUREAU</v>
      </c>
      <c r="AL482" s="794">
        <f t="array" ref="AL482">IFERROR(INDEX(G482:R482,1,MATCH(Parametres!$B$3,G$1:R$1,0)-1)*IF(OR(F482="L",F482="S",F482="I"),-1,1),"")</f>
        <v>368778.01</v>
      </c>
      <c r="AM482" s="794">
        <f t="shared" si="4"/>
        <v>10504.61</v>
      </c>
      <c r="AN482" s="794">
        <f t="array" ref="AN482">INDEX(G482:R482,1,MATCH(Parametres!$B$3,G$1:R$1,0))*IF(OR(F482="L",F482="S",F482="I"),-1,1)</f>
        <v>379282.62</v>
      </c>
      <c r="AO482" s="853" t="str">
        <f>+VLOOKUP($AJ482,Data_Validation!$A:$D,1,0)</f>
        <v>G28400</v>
      </c>
      <c r="AP482" s="853" t="str">
        <f>+VLOOKUP($AJ482,Data_Validation!$A:$D,3,0)</f>
        <v>Bilan</v>
      </c>
      <c r="AQ482" s="853" t="str">
        <f>+VLOOKUP($AJ482,Data_Validation!$A:$D,4,0)</f>
        <v>Mobilier</v>
      </c>
      <c r="AR482" s="853" t="s">
        <v>728</v>
      </c>
      <c r="AS482" s="853" t="str">
        <f>+VLOOKUP($AJ482,Data_Validation!$A:$E,5,0)</f>
        <v/>
      </c>
      <c r="AT482" s="794" t="str">
        <f t="shared" ref="AT482:AU482" si="962">C482</f>
        <v>G28400</v>
      </c>
      <c r="AU482" s="854" t="str">
        <f t="shared" si="962"/>
        <v>MOBILIER &amp; EQUIP BUREAU</v>
      </c>
      <c r="AV482" s="794">
        <f t="array" ref="AV482">IFERROR(INDEX(V482:AG482,1,MATCH(Parametres!$B$3,V$1:AG$1,0)-1)*IF(OR(C482="L",C482="S",C482="I"),-1,1),"")</f>
        <v>0</v>
      </c>
      <c r="AW482" s="794">
        <f t="shared" si="6"/>
        <v>0</v>
      </c>
      <c r="AX482" s="794">
        <f t="array" ref="AX482">INDEX(V482:AG482,1,MATCH(Parametres!$B$3,V$1:AG$1,0))*IF(OR(C482="L",C482="S",C482="I"),-1,1)</f>
        <v>0</v>
      </c>
      <c r="AY482" s="853" t="s">
        <v>772</v>
      </c>
      <c r="AZ482" s="853" t="str">
        <f>+VLOOKUP($AJ482,Data_Validation!$A:$E,5,0)</f>
        <v/>
      </c>
    </row>
    <row r="483" ht="15.0" customHeight="1">
      <c r="A483" s="849" t="s">
        <v>1239</v>
      </c>
      <c r="B483" s="849">
        <v>2026.0</v>
      </c>
      <c r="C483" s="849" t="s">
        <v>2192</v>
      </c>
      <c r="D483" s="849" t="s">
        <v>2193</v>
      </c>
      <c r="E483" s="849" t="s">
        <v>768</v>
      </c>
      <c r="F483" s="849" t="s">
        <v>1926</v>
      </c>
      <c r="G483" s="849">
        <v>125277.95</v>
      </c>
      <c r="H483" s="849">
        <v>125277.95</v>
      </c>
      <c r="I483" s="849">
        <v>125277.95</v>
      </c>
      <c r="J483" s="849">
        <v>125277.95</v>
      </c>
      <c r="K483" s="849">
        <v>125277.95</v>
      </c>
      <c r="L483" s="849">
        <v>125277.95</v>
      </c>
      <c r="M483" s="849">
        <v>135777.95</v>
      </c>
      <c r="N483" s="849">
        <v>135777.95</v>
      </c>
      <c r="O483" s="849">
        <v>135777.95</v>
      </c>
      <c r="P483" s="849">
        <v>135777.95</v>
      </c>
      <c r="Q483" s="849">
        <v>0.0</v>
      </c>
      <c r="R483" s="849">
        <v>0.0</v>
      </c>
      <c r="S483" s="849">
        <v>0.0</v>
      </c>
      <c r="T483" s="849">
        <v>0.0</v>
      </c>
      <c r="U483" s="849">
        <v>0.0</v>
      </c>
      <c r="V483" s="849">
        <v>0.0</v>
      </c>
      <c r="W483" s="849">
        <v>0.0</v>
      </c>
      <c r="X483" s="849">
        <v>0.0</v>
      </c>
      <c r="Y483" s="849">
        <v>0.0</v>
      </c>
      <c r="Z483" s="849">
        <v>0.0</v>
      </c>
      <c r="AA483" s="849">
        <v>0.0</v>
      </c>
      <c r="AB483" s="849">
        <v>0.0</v>
      </c>
      <c r="AC483" s="849">
        <v>0.0</v>
      </c>
      <c r="AD483" s="849">
        <v>0.0</v>
      </c>
      <c r="AE483" s="849">
        <v>0.0</v>
      </c>
      <c r="AF483" s="849">
        <v>0.0</v>
      </c>
      <c r="AG483" s="849">
        <v>0.0</v>
      </c>
      <c r="AH483" s="849">
        <v>0.0</v>
      </c>
      <c r="AI483" s="849">
        <v>0.0</v>
      </c>
      <c r="AJ483" s="794" t="str">
        <f t="shared" ref="AJ483:AK483" si="963">C483</f>
        <v>G28500</v>
      </c>
      <c r="AK483" s="794" t="str">
        <f t="shared" si="963"/>
        <v>LIFT PIECES / TRACTEUR</v>
      </c>
      <c r="AL483" s="794">
        <f t="array" ref="AL483">IFERROR(INDEX(G483:R483,1,MATCH(Parametres!$B$3,G$1:R$1,0)-1)*IF(OR(F483="L",F483="S",F483="I"),-1,1),"")</f>
        <v>135777.95</v>
      </c>
      <c r="AM483" s="794">
        <f t="shared" si="4"/>
        <v>0</v>
      </c>
      <c r="AN483" s="794">
        <f t="array" ref="AN483">INDEX(G483:R483,1,MATCH(Parametres!$B$3,G$1:R$1,0))*IF(OR(F483="L",F483="S",F483="I"),-1,1)</f>
        <v>135777.95</v>
      </c>
      <c r="AO483" s="853" t="str">
        <f>+VLOOKUP($AJ483,Data_Validation!$A:$D,1,0)</f>
        <v>G28500</v>
      </c>
      <c r="AP483" s="853" t="str">
        <f>+VLOOKUP($AJ483,Data_Validation!$A:$D,3,0)</f>
        <v>Bilan</v>
      </c>
      <c r="AQ483" s="853" t="str">
        <f>+VLOOKUP($AJ483,Data_Validation!$A:$D,4,0)</f>
        <v>Équipements Service</v>
      </c>
      <c r="AR483" s="853" t="s">
        <v>728</v>
      </c>
      <c r="AS483" s="853" t="str">
        <f>+VLOOKUP($AJ483,Data_Validation!$A:$E,5,0)</f>
        <v/>
      </c>
      <c r="AT483" s="794" t="str">
        <f t="shared" ref="AT483:AU483" si="964">C483</f>
        <v>G28500</v>
      </c>
      <c r="AU483" s="854" t="str">
        <f t="shared" si="964"/>
        <v>LIFT PIECES / TRACTEUR</v>
      </c>
      <c r="AV483" s="794">
        <f t="array" ref="AV483">IFERROR(INDEX(V483:AG483,1,MATCH(Parametres!$B$3,V$1:AG$1,0)-1)*IF(OR(C483="L",C483="S",C483="I"),-1,1),"")</f>
        <v>0</v>
      </c>
      <c r="AW483" s="794">
        <f t="shared" si="6"/>
        <v>0</v>
      </c>
      <c r="AX483" s="794">
        <f t="array" ref="AX483">INDEX(V483:AG483,1,MATCH(Parametres!$B$3,V$1:AG$1,0))*IF(OR(C483="L",C483="S",C483="I"),-1,1)</f>
        <v>0</v>
      </c>
      <c r="AY483" s="853" t="s">
        <v>772</v>
      </c>
      <c r="AZ483" s="853" t="str">
        <f>+VLOOKUP($AJ483,Data_Validation!$A:$E,5,0)</f>
        <v/>
      </c>
    </row>
    <row r="484" ht="15.0" customHeight="1">
      <c r="A484" s="849" t="s">
        <v>1239</v>
      </c>
      <c r="B484" s="849">
        <v>2026.0</v>
      </c>
      <c r="C484" s="849" t="s">
        <v>2194</v>
      </c>
      <c r="D484" s="849" t="s">
        <v>2195</v>
      </c>
      <c r="E484" s="849" t="s">
        <v>768</v>
      </c>
      <c r="F484" s="849" t="s">
        <v>1926</v>
      </c>
      <c r="G484" s="849">
        <v>214593.95</v>
      </c>
      <c r="H484" s="849">
        <v>214593.95</v>
      </c>
      <c r="I484" s="849">
        <v>214593.95</v>
      </c>
      <c r="J484" s="849">
        <v>214593.95</v>
      </c>
      <c r="K484" s="849">
        <v>214593.95</v>
      </c>
      <c r="L484" s="849">
        <v>214593.95</v>
      </c>
      <c r="M484" s="849">
        <v>214593.95</v>
      </c>
      <c r="N484" s="849">
        <v>250530.55</v>
      </c>
      <c r="O484" s="849">
        <v>250530.55</v>
      </c>
      <c r="P484" s="849">
        <v>250530.55</v>
      </c>
      <c r="Q484" s="849">
        <v>0.0</v>
      </c>
      <c r="R484" s="849">
        <v>0.0</v>
      </c>
      <c r="S484" s="849">
        <v>0.0</v>
      </c>
      <c r="T484" s="849">
        <v>0.0</v>
      </c>
      <c r="U484" s="849">
        <v>0.0</v>
      </c>
      <c r="V484" s="849">
        <v>0.0</v>
      </c>
      <c r="W484" s="849">
        <v>0.0</v>
      </c>
      <c r="X484" s="849">
        <v>0.0</v>
      </c>
      <c r="Y484" s="849">
        <v>0.0</v>
      </c>
      <c r="Z484" s="849">
        <v>0.0</v>
      </c>
      <c r="AA484" s="849">
        <v>0.0</v>
      </c>
      <c r="AB484" s="849">
        <v>0.0</v>
      </c>
      <c r="AC484" s="849">
        <v>0.0</v>
      </c>
      <c r="AD484" s="849">
        <v>0.0</v>
      </c>
      <c r="AE484" s="849">
        <v>0.0</v>
      </c>
      <c r="AF484" s="849">
        <v>0.0</v>
      </c>
      <c r="AG484" s="849">
        <v>0.0</v>
      </c>
      <c r="AH484" s="849">
        <v>0.0</v>
      </c>
      <c r="AI484" s="849">
        <v>0.0</v>
      </c>
      <c r="AJ484" s="794" t="str">
        <f t="shared" ref="AJ484:AK484" si="965">C484</f>
        <v>G28600</v>
      </c>
      <c r="AK484" s="794" t="str">
        <f t="shared" si="965"/>
        <v>BATIMENT</v>
      </c>
      <c r="AL484" s="794">
        <f t="array" ref="AL484">IFERROR(INDEX(G484:R484,1,MATCH(Parametres!$B$3,G$1:R$1,0)-1)*IF(OR(F484="L",F484="S",F484="I"),-1,1),"")</f>
        <v>250530.55</v>
      </c>
      <c r="AM484" s="794">
        <f t="shared" si="4"/>
        <v>0</v>
      </c>
      <c r="AN484" s="794">
        <f t="array" ref="AN484">INDEX(G484:R484,1,MATCH(Parametres!$B$3,G$1:R$1,0))*IF(OR(F484="L",F484="S",F484="I"),-1,1)</f>
        <v>250530.55</v>
      </c>
      <c r="AO484" s="853" t="str">
        <f>+VLOOKUP($AJ484,Data_Validation!$A:$D,1,0)</f>
        <v>G28600</v>
      </c>
      <c r="AP484" s="853" t="str">
        <f>+VLOOKUP($AJ484,Data_Validation!$A:$D,3,0)</f>
        <v>Bilan</v>
      </c>
      <c r="AQ484" s="853" t="str">
        <f>+VLOOKUP($AJ484,Data_Validation!$A:$D,4,0)</f>
        <v>Améliorations Locatives</v>
      </c>
      <c r="AR484" s="853" t="s">
        <v>728</v>
      </c>
      <c r="AS484" s="853" t="str">
        <f>+VLOOKUP($AJ484,Data_Validation!$A:$E,5,0)</f>
        <v/>
      </c>
      <c r="AT484" s="794" t="str">
        <f t="shared" ref="AT484:AU484" si="966">C484</f>
        <v>G28600</v>
      </c>
      <c r="AU484" s="854" t="str">
        <f t="shared" si="966"/>
        <v>BATIMENT</v>
      </c>
      <c r="AV484" s="794">
        <f t="array" ref="AV484">IFERROR(INDEX(V484:AG484,1,MATCH(Parametres!$B$3,V$1:AG$1,0)-1)*IF(OR(C484="L",C484="S",C484="I"),-1,1),"")</f>
        <v>0</v>
      </c>
      <c r="AW484" s="794">
        <f t="shared" si="6"/>
        <v>0</v>
      </c>
      <c r="AX484" s="794">
        <f t="array" ref="AX484">INDEX(V484:AG484,1,MATCH(Parametres!$B$3,V$1:AG$1,0))*IF(OR(C484="L",C484="S",C484="I"),-1,1)</f>
        <v>0</v>
      </c>
      <c r="AY484" s="853" t="s">
        <v>772</v>
      </c>
      <c r="AZ484" s="853" t="str">
        <f>+VLOOKUP($AJ484,Data_Validation!$A:$E,5,0)</f>
        <v/>
      </c>
    </row>
    <row r="485" ht="15.0" customHeight="1">
      <c r="A485" s="849" t="s">
        <v>1239</v>
      </c>
      <c r="B485" s="849">
        <v>2026.0</v>
      </c>
      <c r="C485" s="849" t="s">
        <v>2196</v>
      </c>
      <c r="D485" s="849" t="s">
        <v>2197</v>
      </c>
      <c r="E485" s="849" t="s">
        <v>768</v>
      </c>
      <c r="F485" s="849" t="s">
        <v>1926</v>
      </c>
      <c r="G485" s="849">
        <v>264203.43</v>
      </c>
      <c r="H485" s="849">
        <v>264203.43</v>
      </c>
      <c r="I485" s="849">
        <v>264203.43</v>
      </c>
      <c r="J485" s="849">
        <v>267836.38</v>
      </c>
      <c r="K485" s="849">
        <v>267836.38</v>
      </c>
      <c r="L485" s="849">
        <v>267836.38</v>
      </c>
      <c r="M485" s="849">
        <v>267836.38</v>
      </c>
      <c r="N485" s="849">
        <v>268617.12</v>
      </c>
      <c r="O485" s="849">
        <v>270924.1</v>
      </c>
      <c r="P485" s="849">
        <v>270924.1</v>
      </c>
      <c r="Q485" s="849">
        <v>0.0</v>
      </c>
      <c r="R485" s="849">
        <v>0.0</v>
      </c>
      <c r="S485" s="849">
        <v>0.0</v>
      </c>
      <c r="T485" s="849">
        <v>0.0</v>
      </c>
      <c r="U485" s="849">
        <v>0.0</v>
      </c>
      <c r="V485" s="849">
        <v>0.0</v>
      </c>
      <c r="W485" s="849">
        <v>0.0</v>
      </c>
      <c r="X485" s="849">
        <v>0.0</v>
      </c>
      <c r="Y485" s="849">
        <v>0.0</v>
      </c>
      <c r="Z485" s="849">
        <v>0.0</v>
      </c>
      <c r="AA485" s="849">
        <v>0.0</v>
      </c>
      <c r="AB485" s="849">
        <v>0.0</v>
      </c>
      <c r="AC485" s="849">
        <v>0.0</v>
      </c>
      <c r="AD485" s="849">
        <v>0.0</v>
      </c>
      <c r="AE485" s="849">
        <v>0.0</v>
      </c>
      <c r="AF485" s="849">
        <v>0.0</v>
      </c>
      <c r="AG485" s="849">
        <v>0.0</v>
      </c>
      <c r="AH485" s="849">
        <v>0.0</v>
      </c>
      <c r="AI485" s="849">
        <v>0.0</v>
      </c>
      <c r="AJ485" s="794" t="str">
        <f t="shared" ref="AJ485:AK485" si="967">C485</f>
        <v>G28700</v>
      </c>
      <c r="AK485" s="794" t="str">
        <f t="shared" si="967"/>
        <v>MATERIEL INFORMATIQUE</v>
      </c>
      <c r="AL485" s="794">
        <f t="array" ref="AL485">IFERROR(INDEX(G485:R485,1,MATCH(Parametres!$B$3,G$1:R$1,0)-1)*IF(OR(F485="L",F485="S",F485="I"),-1,1),"")</f>
        <v>268617.12</v>
      </c>
      <c r="AM485" s="794">
        <f t="shared" si="4"/>
        <v>2306.98</v>
      </c>
      <c r="AN485" s="794">
        <f t="array" ref="AN485">INDEX(G485:R485,1,MATCH(Parametres!$B$3,G$1:R$1,0))*IF(OR(F485="L",F485="S",F485="I"),-1,1)</f>
        <v>270924.1</v>
      </c>
      <c r="AO485" s="853" t="str">
        <f>+VLOOKUP($AJ485,Data_Validation!$A:$D,1,0)</f>
        <v>G28700</v>
      </c>
      <c r="AP485" s="853" t="str">
        <f>+VLOOKUP($AJ485,Data_Validation!$A:$D,3,0)</f>
        <v>Bilan</v>
      </c>
      <c r="AQ485" s="853" t="str">
        <f>+VLOOKUP($AJ485,Data_Validation!$A:$D,4,0)</f>
        <v>Équipements Informatique</v>
      </c>
      <c r="AR485" s="853" t="s">
        <v>728</v>
      </c>
      <c r="AS485" s="853" t="str">
        <f>+VLOOKUP($AJ485,Data_Validation!$A:$E,5,0)</f>
        <v/>
      </c>
      <c r="AT485" s="794" t="str">
        <f t="shared" ref="AT485:AU485" si="968">C485</f>
        <v>G28700</v>
      </c>
      <c r="AU485" s="854" t="str">
        <f t="shared" si="968"/>
        <v>MATERIEL INFORMATIQUE</v>
      </c>
      <c r="AV485" s="794">
        <f t="array" ref="AV485">IFERROR(INDEX(V485:AG485,1,MATCH(Parametres!$B$3,V$1:AG$1,0)-1)*IF(OR(C485="L",C485="S",C485="I"),-1,1),"")</f>
        <v>0</v>
      </c>
      <c r="AW485" s="794">
        <f t="shared" si="6"/>
        <v>0</v>
      </c>
      <c r="AX485" s="794">
        <f t="array" ref="AX485">INDEX(V485:AG485,1,MATCH(Parametres!$B$3,V$1:AG$1,0))*IF(OR(C485="L",C485="S",C485="I"),-1,1)</f>
        <v>0</v>
      </c>
      <c r="AY485" s="853" t="s">
        <v>772</v>
      </c>
      <c r="AZ485" s="853" t="str">
        <f>+VLOOKUP($AJ485,Data_Validation!$A:$E,5,0)</f>
        <v/>
      </c>
    </row>
    <row r="486" ht="15.0" customHeight="1">
      <c r="A486" s="849" t="s">
        <v>1239</v>
      </c>
      <c r="B486" s="849">
        <v>2026.0</v>
      </c>
      <c r="C486" s="849" t="s">
        <v>2198</v>
      </c>
      <c r="D486" s="849" t="s">
        <v>2199</v>
      </c>
      <c r="E486" s="849" t="s">
        <v>768</v>
      </c>
      <c r="F486" s="849" t="s">
        <v>1926</v>
      </c>
      <c r="G486" s="849">
        <v>55976.71</v>
      </c>
      <c r="H486" s="849">
        <v>55976.71</v>
      </c>
      <c r="I486" s="849">
        <v>55976.71</v>
      </c>
      <c r="J486" s="849">
        <v>55976.71</v>
      </c>
      <c r="K486" s="849">
        <v>55976.71</v>
      </c>
      <c r="L486" s="849">
        <v>55976.71</v>
      </c>
      <c r="M486" s="849">
        <v>55976.71</v>
      </c>
      <c r="N486" s="849">
        <v>55976.71</v>
      </c>
      <c r="O486" s="849">
        <v>55976.71</v>
      </c>
      <c r="P486" s="849">
        <v>55976.71</v>
      </c>
      <c r="Q486" s="849">
        <v>0.0</v>
      </c>
      <c r="R486" s="849">
        <v>0.0</v>
      </c>
      <c r="S486" s="849">
        <v>0.0</v>
      </c>
      <c r="T486" s="849">
        <v>0.0</v>
      </c>
      <c r="U486" s="849">
        <v>0.0</v>
      </c>
      <c r="V486" s="849">
        <v>0.0</v>
      </c>
      <c r="W486" s="849">
        <v>0.0</v>
      </c>
      <c r="X486" s="849">
        <v>0.0</v>
      </c>
      <c r="Y486" s="849">
        <v>0.0</v>
      </c>
      <c r="Z486" s="849">
        <v>0.0</v>
      </c>
      <c r="AA486" s="849">
        <v>0.0</v>
      </c>
      <c r="AB486" s="849">
        <v>0.0</v>
      </c>
      <c r="AC486" s="849">
        <v>0.0</v>
      </c>
      <c r="AD486" s="849">
        <v>0.0</v>
      </c>
      <c r="AE486" s="849">
        <v>0.0</v>
      </c>
      <c r="AF486" s="849">
        <v>0.0</v>
      </c>
      <c r="AG486" s="849">
        <v>0.0</v>
      </c>
      <c r="AH486" s="849">
        <v>0.0</v>
      </c>
      <c r="AI486" s="849">
        <v>0.0</v>
      </c>
      <c r="AJ486" s="794" t="str">
        <f t="shared" ref="AJ486:AK486" si="969">C486</f>
        <v>G28800</v>
      </c>
      <c r="AK486" s="794" t="str">
        <f t="shared" si="969"/>
        <v>ENSEIGNES</v>
      </c>
      <c r="AL486" s="794">
        <f t="array" ref="AL486">IFERROR(INDEX(G486:R486,1,MATCH(Parametres!$B$3,G$1:R$1,0)-1)*IF(OR(F486="L",F486="S",F486="I"),-1,1),"")</f>
        <v>55976.71</v>
      </c>
      <c r="AM486" s="794">
        <f t="shared" si="4"/>
        <v>0</v>
      </c>
      <c r="AN486" s="794">
        <f t="array" ref="AN486">INDEX(G486:R486,1,MATCH(Parametres!$B$3,G$1:R$1,0))*IF(OR(F486="L",F486="S",F486="I"),-1,1)</f>
        <v>55976.71</v>
      </c>
      <c r="AO486" s="853" t="str">
        <f>+VLOOKUP($AJ486,Data_Validation!$A:$D,1,0)</f>
        <v>G28800</v>
      </c>
      <c r="AP486" s="853" t="str">
        <f>+VLOOKUP($AJ486,Data_Validation!$A:$D,3,0)</f>
        <v>Bilan</v>
      </c>
      <c r="AQ486" s="853" t="str">
        <f>+VLOOKUP($AJ486,Data_Validation!$A:$D,4,0)</f>
        <v>Enseigne</v>
      </c>
      <c r="AR486" s="853" t="s">
        <v>728</v>
      </c>
      <c r="AS486" s="853" t="str">
        <f>+VLOOKUP($AJ486,Data_Validation!$A:$E,5,0)</f>
        <v/>
      </c>
      <c r="AT486" s="794" t="str">
        <f t="shared" ref="AT486:AU486" si="970">C486</f>
        <v>G28800</v>
      </c>
      <c r="AU486" s="854" t="str">
        <f t="shared" si="970"/>
        <v>ENSEIGNES</v>
      </c>
      <c r="AV486" s="794">
        <f t="array" ref="AV486">IFERROR(INDEX(V486:AG486,1,MATCH(Parametres!$B$3,V$1:AG$1,0)-1)*IF(OR(C486="L",C486="S",C486="I"),-1,1),"")</f>
        <v>0</v>
      </c>
      <c r="AW486" s="794">
        <f t="shared" si="6"/>
        <v>0</v>
      </c>
      <c r="AX486" s="794">
        <f t="array" ref="AX486">INDEX(V486:AG486,1,MATCH(Parametres!$B$3,V$1:AG$1,0))*IF(OR(C486="L",C486="S",C486="I"),-1,1)</f>
        <v>0</v>
      </c>
      <c r="AY486" s="853" t="s">
        <v>772</v>
      </c>
      <c r="AZ486" s="853" t="str">
        <f>+VLOOKUP($AJ486,Data_Validation!$A:$E,5,0)</f>
        <v/>
      </c>
    </row>
    <row r="487" ht="15.0" customHeight="1">
      <c r="A487" s="849" t="s">
        <v>1239</v>
      </c>
      <c r="B487" s="849">
        <v>2026.0</v>
      </c>
      <c r="C487" s="849" t="s">
        <v>2200</v>
      </c>
      <c r="D487" s="849" t="s">
        <v>2201</v>
      </c>
      <c r="E487" s="849" t="s">
        <v>768</v>
      </c>
      <c r="F487" s="849" t="s">
        <v>1926</v>
      </c>
      <c r="G487" s="849">
        <v>0.0</v>
      </c>
      <c r="H487" s="849">
        <v>0.0</v>
      </c>
      <c r="I487" s="849">
        <v>0.0</v>
      </c>
      <c r="J487" s="849">
        <v>0.0</v>
      </c>
      <c r="K487" s="849">
        <v>0.0</v>
      </c>
      <c r="L487" s="849">
        <v>0.0</v>
      </c>
      <c r="M487" s="849">
        <v>0.0</v>
      </c>
      <c r="N487" s="849">
        <v>0.0</v>
      </c>
      <c r="O487" s="849">
        <v>0.0</v>
      </c>
      <c r="P487" s="849">
        <v>0.0</v>
      </c>
      <c r="Q487" s="849">
        <v>0.0</v>
      </c>
      <c r="R487" s="849">
        <v>0.0</v>
      </c>
      <c r="S487" s="849">
        <v>0.0</v>
      </c>
      <c r="T487" s="849">
        <v>0.0</v>
      </c>
      <c r="U487" s="849">
        <v>0.0</v>
      </c>
      <c r="V487" s="849">
        <v>0.0</v>
      </c>
      <c r="W487" s="849">
        <v>0.0</v>
      </c>
      <c r="X487" s="849">
        <v>0.0</v>
      </c>
      <c r="Y487" s="849">
        <v>0.0</v>
      </c>
      <c r="Z487" s="849">
        <v>0.0</v>
      </c>
      <c r="AA487" s="849">
        <v>0.0</v>
      </c>
      <c r="AB487" s="849">
        <v>0.0</v>
      </c>
      <c r="AC487" s="849">
        <v>0.0</v>
      </c>
      <c r="AD487" s="849">
        <v>0.0</v>
      </c>
      <c r="AE487" s="849">
        <v>0.0</v>
      </c>
      <c r="AF487" s="849">
        <v>0.0</v>
      </c>
      <c r="AG487" s="849">
        <v>0.0</v>
      </c>
      <c r="AH487" s="849">
        <v>0.0</v>
      </c>
      <c r="AI487" s="849">
        <v>0.0</v>
      </c>
      <c r="AJ487" s="794" t="str">
        <f t="shared" ref="AJ487:AK487" si="971">C487</f>
        <v>G28900</v>
      </c>
      <c r="AK487" s="794" t="str">
        <f t="shared" si="971"/>
        <v>ASPHALTE</v>
      </c>
      <c r="AL487" s="794">
        <f t="array" ref="AL487">IFERROR(INDEX(G487:R487,1,MATCH(Parametres!$B$3,G$1:R$1,0)-1)*IF(OR(F487="L",F487="S",F487="I"),-1,1),"")</f>
        <v>0</v>
      </c>
      <c r="AM487" s="794">
        <f t="shared" si="4"/>
        <v>0</v>
      </c>
      <c r="AN487" s="794">
        <f t="array" ref="AN487">INDEX(G487:R487,1,MATCH(Parametres!$B$3,G$1:R$1,0))*IF(OR(F487="L",F487="S",F487="I"),-1,1)</f>
        <v>0</v>
      </c>
      <c r="AO487" s="853" t="str">
        <f>+VLOOKUP($AJ487,Data_Validation!$A:$D,1,0)</f>
        <v>G28900</v>
      </c>
      <c r="AP487" s="853" t="str">
        <f>+VLOOKUP($AJ487,Data_Validation!$A:$D,3,0)</f>
        <v/>
      </c>
      <c r="AQ487" s="853" t="str">
        <f>+VLOOKUP($AJ487,Data_Validation!$A:$D,4,0)</f>
        <v/>
      </c>
      <c r="AR487" s="853" t="s">
        <v>728</v>
      </c>
      <c r="AS487" s="853" t="str">
        <f>+VLOOKUP($AJ487,Data_Validation!$A:$E,5,0)</f>
        <v/>
      </c>
      <c r="AT487" s="794" t="str">
        <f t="shared" ref="AT487:AU487" si="972">C487</f>
        <v>G28900</v>
      </c>
      <c r="AU487" s="854" t="str">
        <f t="shared" si="972"/>
        <v>ASPHALTE</v>
      </c>
      <c r="AV487" s="794">
        <f t="array" ref="AV487">IFERROR(INDEX(V487:AG487,1,MATCH(Parametres!$B$3,V$1:AG$1,0)-1)*IF(OR(C487="L",C487="S",C487="I"),-1,1),"")</f>
        <v>0</v>
      </c>
      <c r="AW487" s="794">
        <f t="shared" si="6"/>
        <v>0</v>
      </c>
      <c r="AX487" s="794">
        <f t="array" ref="AX487">INDEX(V487:AG487,1,MATCH(Parametres!$B$3,V$1:AG$1,0))*IF(OR(C487="L",C487="S",C487="I"),-1,1)</f>
        <v>0</v>
      </c>
      <c r="AY487" s="853" t="s">
        <v>772</v>
      </c>
      <c r="AZ487" s="853" t="str">
        <f>+VLOOKUP($AJ487,Data_Validation!$A:$E,5,0)</f>
        <v/>
      </c>
    </row>
    <row r="488" ht="15.0" customHeight="1">
      <c r="A488" s="849" t="s">
        <v>1239</v>
      </c>
      <c r="B488" s="849">
        <v>2026.0</v>
      </c>
      <c r="C488" s="849" t="s">
        <v>2202</v>
      </c>
      <c r="D488" s="849" t="s">
        <v>2203</v>
      </c>
      <c r="E488" s="849" t="s">
        <v>768</v>
      </c>
      <c r="F488" s="849" t="s">
        <v>1926</v>
      </c>
      <c r="G488" s="849">
        <v>12974.0</v>
      </c>
      <c r="H488" s="849">
        <v>12974.0</v>
      </c>
      <c r="I488" s="849">
        <v>12974.0</v>
      </c>
      <c r="J488" s="849">
        <v>12974.0</v>
      </c>
      <c r="K488" s="849">
        <v>12974.0</v>
      </c>
      <c r="L488" s="849">
        <v>12974.0</v>
      </c>
      <c r="M488" s="849">
        <v>12974.0</v>
      </c>
      <c r="N488" s="849">
        <v>12974.0</v>
      </c>
      <c r="O488" s="849">
        <v>12974.0</v>
      </c>
      <c r="P488" s="849">
        <v>12974.0</v>
      </c>
      <c r="Q488" s="849">
        <v>0.0</v>
      </c>
      <c r="R488" s="849">
        <v>0.0</v>
      </c>
      <c r="S488" s="849">
        <v>0.0</v>
      </c>
      <c r="T488" s="849">
        <v>0.0</v>
      </c>
      <c r="U488" s="849">
        <v>0.0</v>
      </c>
      <c r="V488" s="849">
        <v>0.0</v>
      </c>
      <c r="W488" s="849">
        <v>0.0</v>
      </c>
      <c r="X488" s="849">
        <v>0.0</v>
      </c>
      <c r="Y488" s="849">
        <v>0.0</v>
      </c>
      <c r="Z488" s="849">
        <v>0.0</v>
      </c>
      <c r="AA488" s="849">
        <v>0.0</v>
      </c>
      <c r="AB488" s="849">
        <v>0.0</v>
      </c>
      <c r="AC488" s="849">
        <v>0.0</v>
      </c>
      <c r="AD488" s="849">
        <v>0.0</v>
      </c>
      <c r="AE488" s="849">
        <v>0.0</v>
      </c>
      <c r="AF488" s="849">
        <v>0.0</v>
      </c>
      <c r="AG488" s="849">
        <v>0.0</v>
      </c>
      <c r="AH488" s="849">
        <v>0.0</v>
      </c>
      <c r="AI488" s="849">
        <v>0.0</v>
      </c>
      <c r="AJ488" s="794" t="str">
        <f t="shared" ref="AJ488:AK488" si="973">C488</f>
        <v>G29300</v>
      </c>
      <c r="AK488" s="794" t="str">
        <f t="shared" si="973"/>
        <v>BILLETS &amp; C/R ADMINIS.</v>
      </c>
      <c r="AL488" s="794">
        <f t="array" ref="AL488">IFERROR(INDEX(G488:R488,1,MATCH(Parametres!$B$3,G$1:R$1,0)-1)*IF(OR(F488="L",F488="S",F488="I"),-1,1),"")</f>
        <v>12974</v>
      </c>
      <c r="AM488" s="794">
        <f t="shared" si="4"/>
        <v>0</v>
      </c>
      <c r="AN488" s="794">
        <f t="array" ref="AN488">INDEX(G488:R488,1,MATCH(Parametres!$B$3,G$1:R$1,0))*IF(OR(F488="L",F488="S",F488="I"),-1,1)</f>
        <v>12974</v>
      </c>
      <c r="AO488" s="853" t="str">
        <f>+VLOOKUP($AJ488,Data_Validation!$A:$D,1,0)</f>
        <v>G29300</v>
      </c>
      <c r="AP488" s="853" t="str">
        <f>+VLOOKUP($AJ488,Data_Validation!$A:$D,3,0)</f>
        <v>Bilan</v>
      </c>
      <c r="AQ488" s="853" t="str">
        <f>+VLOOKUP($AJ488,Data_Validation!$A:$D,4,0)</f>
        <v>Avances à Recevoir Long Terme</v>
      </c>
      <c r="AR488" s="853" t="s">
        <v>728</v>
      </c>
      <c r="AS488" s="853" t="str">
        <f>+VLOOKUP($AJ488,Data_Validation!$A:$E,5,0)</f>
        <v/>
      </c>
      <c r="AT488" s="794" t="str">
        <f t="shared" ref="AT488:AU488" si="974">C488</f>
        <v>G29300</v>
      </c>
      <c r="AU488" s="854" t="str">
        <f t="shared" si="974"/>
        <v>BILLETS &amp; C/R ADMINIS.</v>
      </c>
      <c r="AV488" s="794">
        <f t="array" ref="AV488">IFERROR(INDEX(V488:AG488,1,MATCH(Parametres!$B$3,V$1:AG$1,0)-1)*IF(OR(C488="L",C488="S",C488="I"),-1,1),"")</f>
        <v>0</v>
      </c>
      <c r="AW488" s="794">
        <f t="shared" si="6"/>
        <v>0</v>
      </c>
      <c r="AX488" s="794">
        <f t="array" ref="AX488">INDEX(V488:AG488,1,MATCH(Parametres!$B$3,V$1:AG$1,0))*IF(OR(C488="L",C488="S",C488="I"),-1,1)</f>
        <v>0</v>
      </c>
      <c r="AY488" s="853" t="s">
        <v>772</v>
      </c>
      <c r="AZ488" s="853" t="str">
        <f>+VLOOKUP($AJ488,Data_Validation!$A:$E,5,0)</f>
        <v/>
      </c>
    </row>
    <row r="489" ht="15.0" customHeight="1">
      <c r="A489" s="849" t="s">
        <v>1239</v>
      </c>
      <c r="B489" s="849">
        <v>2026.0</v>
      </c>
      <c r="C489" s="849" t="s">
        <v>2204</v>
      </c>
      <c r="D489" s="849" t="s">
        <v>2205</v>
      </c>
      <c r="E489" s="849" t="s">
        <v>768</v>
      </c>
      <c r="F489" s="849" t="s">
        <v>1926</v>
      </c>
      <c r="G489" s="849">
        <v>2000000.0</v>
      </c>
      <c r="H489" s="849">
        <v>0.0</v>
      </c>
      <c r="I489" s="849">
        <v>0.0</v>
      </c>
      <c r="J489" s="849">
        <v>1000000.0</v>
      </c>
      <c r="K489" s="849">
        <v>1000000.0</v>
      </c>
      <c r="L489" s="849">
        <v>500000.0</v>
      </c>
      <c r="M489" s="849">
        <v>0.0</v>
      </c>
      <c r="N489" s="849">
        <v>0.0</v>
      </c>
      <c r="O489" s="849">
        <v>0.0</v>
      </c>
      <c r="P489" s="849">
        <v>0.0</v>
      </c>
      <c r="Q489" s="849">
        <v>0.0</v>
      </c>
      <c r="R489" s="849">
        <v>0.0</v>
      </c>
      <c r="S489" s="849">
        <v>0.0</v>
      </c>
      <c r="T489" s="849">
        <v>0.0</v>
      </c>
      <c r="U489" s="849">
        <v>0.0</v>
      </c>
      <c r="V489" s="849">
        <v>0.0</v>
      </c>
      <c r="W489" s="849">
        <v>0.0</v>
      </c>
      <c r="X489" s="849">
        <v>0.0</v>
      </c>
      <c r="Y489" s="849">
        <v>0.0</v>
      </c>
      <c r="Z489" s="849">
        <v>0.0</v>
      </c>
      <c r="AA489" s="849">
        <v>0.0</v>
      </c>
      <c r="AB489" s="849">
        <v>0.0</v>
      </c>
      <c r="AC489" s="849">
        <v>0.0</v>
      </c>
      <c r="AD489" s="849">
        <v>0.0</v>
      </c>
      <c r="AE489" s="849">
        <v>0.0</v>
      </c>
      <c r="AF489" s="849">
        <v>0.0</v>
      </c>
      <c r="AG489" s="849">
        <v>0.0</v>
      </c>
      <c r="AH489" s="849">
        <v>0.0</v>
      </c>
      <c r="AI489" s="849">
        <v>0.0</v>
      </c>
      <c r="AJ489" s="794" t="str">
        <f t="shared" ref="AJ489:AK489" si="975">C489</f>
        <v>G29400</v>
      </c>
      <c r="AK489" s="794" t="str">
        <f t="shared" si="975"/>
        <v>EPARGNE BULK</v>
      </c>
      <c r="AL489" s="794">
        <f t="array" ref="AL489">IFERROR(INDEX(G489:R489,1,MATCH(Parametres!$B$3,G$1:R$1,0)-1)*IF(OR(F489="L",F489="S",F489="I"),-1,1),"")</f>
        <v>0</v>
      </c>
      <c r="AM489" s="794">
        <f t="shared" si="4"/>
        <v>0</v>
      </c>
      <c r="AN489" s="794">
        <f t="array" ref="AN489">INDEX(G489:R489,1,MATCH(Parametres!$B$3,G$1:R$1,0))*IF(OR(F489="L",F489="S",F489="I"),-1,1)</f>
        <v>0</v>
      </c>
      <c r="AO489" s="853" t="str">
        <f>+VLOOKUP($AJ489,Data_Validation!$A:$D,1,0)</f>
        <v>G29400</v>
      </c>
      <c r="AP489" s="853" t="str">
        <f>+VLOOKUP($AJ489,Data_Validation!$A:$D,3,0)</f>
        <v>Bilan</v>
      </c>
      <c r="AQ489" s="853" t="str">
        <f>+VLOOKUP($AJ489,Data_Validation!$A:$D,4,0)</f>
        <v>Encaisse</v>
      </c>
      <c r="AR489" s="853" t="s">
        <v>728</v>
      </c>
      <c r="AS489" s="853" t="str">
        <f>+VLOOKUP($AJ489,Data_Validation!$A:$E,5,0)</f>
        <v/>
      </c>
      <c r="AT489" s="794" t="str">
        <f t="shared" ref="AT489:AU489" si="976">C489</f>
        <v>G29400</v>
      </c>
      <c r="AU489" s="854" t="str">
        <f t="shared" si="976"/>
        <v>EPARGNE BULK</v>
      </c>
      <c r="AV489" s="794">
        <f t="array" ref="AV489">IFERROR(INDEX(V489:AG489,1,MATCH(Parametres!$B$3,V$1:AG$1,0)-1)*IF(OR(C489="L",C489="S",C489="I"),-1,1),"")</f>
        <v>0</v>
      </c>
      <c r="AW489" s="794">
        <f t="shared" si="6"/>
        <v>0</v>
      </c>
      <c r="AX489" s="794">
        <f t="array" ref="AX489">INDEX(V489:AG489,1,MATCH(Parametres!$B$3,V$1:AG$1,0))*IF(OR(C489="L",C489="S",C489="I"),-1,1)</f>
        <v>0</v>
      </c>
      <c r="AY489" s="853" t="s">
        <v>772</v>
      </c>
      <c r="AZ489" s="853" t="str">
        <f>+VLOOKUP($AJ489,Data_Validation!$A:$E,5,0)</f>
        <v/>
      </c>
    </row>
    <row r="490" ht="15.0" customHeight="1">
      <c r="A490" s="849" t="s">
        <v>1239</v>
      </c>
      <c r="B490" s="849">
        <v>2026.0</v>
      </c>
      <c r="C490" s="849" t="s">
        <v>2206</v>
      </c>
      <c r="D490" s="849" t="s">
        <v>2207</v>
      </c>
      <c r="E490" s="849" t="s">
        <v>768</v>
      </c>
      <c r="F490" s="849" t="s">
        <v>1926</v>
      </c>
      <c r="G490" s="849">
        <v>2000.0</v>
      </c>
      <c r="H490" s="849">
        <v>2000.0</v>
      </c>
      <c r="I490" s="849">
        <v>2000.0</v>
      </c>
      <c r="J490" s="849">
        <v>2000.0</v>
      </c>
      <c r="K490" s="849">
        <v>2000.0</v>
      </c>
      <c r="L490" s="849">
        <v>2000.0</v>
      </c>
      <c r="M490" s="849">
        <v>2000.0</v>
      </c>
      <c r="N490" s="849">
        <v>2000.0</v>
      </c>
      <c r="O490" s="849">
        <v>2000.0</v>
      </c>
      <c r="P490" s="849">
        <v>2000.0</v>
      </c>
      <c r="Q490" s="849">
        <v>0.0</v>
      </c>
      <c r="R490" s="849">
        <v>0.0</v>
      </c>
      <c r="S490" s="849">
        <v>0.0</v>
      </c>
      <c r="T490" s="849">
        <v>0.0</v>
      </c>
      <c r="U490" s="849">
        <v>0.0</v>
      </c>
      <c r="V490" s="849">
        <v>0.0</v>
      </c>
      <c r="W490" s="849">
        <v>0.0</v>
      </c>
      <c r="X490" s="849">
        <v>0.0</v>
      </c>
      <c r="Y490" s="849">
        <v>0.0</v>
      </c>
      <c r="Z490" s="849">
        <v>0.0</v>
      </c>
      <c r="AA490" s="849">
        <v>0.0</v>
      </c>
      <c r="AB490" s="849">
        <v>0.0</v>
      </c>
      <c r="AC490" s="849">
        <v>0.0</v>
      </c>
      <c r="AD490" s="849">
        <v>0.0</v>
      </c>
      <c r="AE490" s="849">
        <v>0.0</v>
      </c>
      <c r="AF490" s="849">
        <v>0.0</v>
      </c>
      <c r="AG490" s="849">
        <v>0.0</v>
      </c>
      <c r="AH490" s="849">
        <v>0.0</v>
      </c>
      <c r="AI490" s="849">
        <v>0.0</v>
      </c>
      <c r="AJ490" s="794" t="str">
        <f t="shared" ref="AJ490:AK490" si="977">C490</f>
        <v>G29600</v>
      </c>
      <c r="AK490" s="794" t="str">
        <f t="shared" si="977"/>
        <v>AUTRES PLACEMENTS &amp; BIENS</v>
      </c>
      <c r="AL490" s="794">
        <f t="array" ref="AL490">IFERROR(INDEX(G490:R490,1,MATCH(Parametres!$B$3,G$1:R$1,0)-1)*IF(OR(F490="L",F490="S",F490="I"),-1,1),"")</f>
        <v>2000</v>
      </c>
      <c r="AM490" s="794">
        <f t="shared" si="4"/>
        <v>0</v>
      </c>
      <c r="AN490" s="794">
        <f t="array" ref="AN490">INDEX(G490:R490,1,MATCH(Parametres!$B$3,G$1:R$1,0))*IF(OR(F490="L",F490="S",F490="I"),-1,1)</f>
        <v>2000</v>
      </c>
      <c r="AO490" s="853" t="str">
        <f>+VLOOKUP($AJ490,Data_Validation!$A:$D,1,0)</f>
        <v>G29600</v>
      </c>
      <c r="AP490" s="853" t="str">
        <f>+VLOOKUP($AJ490,Data_Validation!$A:$D,3,0)</f>
        <v>Bilan</v>
      </c>
      <c r="AQ490" s="853" t="str">
        <f>+VLOOKUP($AJ490,Data_Validation!$A:$D,4,0)</f>
        <v>Avances à Recevoir Long Terme</v>
      </c>
      <c r="AR490" s="853" t="s">
        <v>728</v>
      </c>
      <c r="AS490" s="853" t="str">
        <f>+VLOOKUP($AJ490,Data_Validation!$A:$E,5,0)</f>
        <v/>
      </c>
      <c r="AT490" s="794" t="str">
        <f t="shared" ref="AT490:AU490" si="978">C490</f>
        <v>G29600</v>
      </c>
      <c r="AU490" s="854" t="str">
        <f t="shared" si="978"/>
        <v>AUTRES PLACEMENTS &amp; BIENS</v>
      </c>
      <c r="AV490" s="794">
        <f t="array" ref="AV490">IFERROR(INDEX(V490:AG490,1,MATCH(Parametres!$B$3,V$1:AG$1,0)-1)*IF(OR(C490="L",C490="S",C490="I"),-1,1),"")</f>
        <v>0</v>
      </c>
      <c r="AW490" s="794">
        <f t="shared" si="6"/>
        <v>0</v>
      </c>
      <c r="AX490" s="794">
        <f t="array" ref="AX490">INDEX(V490:AG490,1,MATCH(Parametres!$B$3,V$1:AG$1,0))*IF(OR(C490="L",C490="S",C490="I"),-1,1)</f>
        <v>0</v>
      </c>
      <c r="AY490" s="853" t="s">
        <v>772</v>
      </c>
      <c r="AZ490" s="853" t="str">
        <f>+VLOOKUP($AJ490,Data_Validation!$A:$E,5,0)</f>
        <v/>
      </c>
    </row>
    <row r="491" ht="15.0" customHeight="1">
      <c r="A491" s="849" t="s">
        <v>1239</v>
      </c>
      <c r="B491" s="849">
        <v>2026.0</v>
      </c>
      <c r="C491" s="849" t="s">
        <v>2208</v>
      </c>
      <c r="D491" s="849" t="s">
        <v>2209</v>
      </c>
      <c r="E491" s="849" t="s">
        <v>768</v>
      </c>
      <c r="F491" s="849" t="s">
        <v>1926</v>
      </c>
      <c r="G491" s="849">
        <v>-66.85</v>
      </c>
      <c r="H491" s="849">
        <v>-66.85</v>
      </c>
      <c r="I491" s="849">
        <v>-66.85</v>
      </c>
      <c r="J491" s="849">
        <v>-66.85</v>
      </c>
      <c r="K491" s="849">
        <v>-66.85</v>
      </c>
      <c r="L491" s="849">
        <v>-66.85</v>
      </c>
      <c r="M491" s="849">
        <v>-66.85</v>
      </c>
      <c r="N491" s="849">
        <v>0.0</v>
      </c>
      <c r="O491" s="849">
        <v>0.0</v>
      </c>
      <c r="P491" s="849">
        <v>0.0</v>
      </c>
      <c r="Q491" s="849">
        <v>0.0</v>
      </c>
      <c r="R491" s="849">
        <v>0.0</v>
      </c>
      <c r="S491" s="849">
        <v>0.0</v>
      </c>
      <c r="T491" s="849">
        <v>0.0</v>
      </c>
      <c r="U491" s="849">
        <v>0.0</v>
      </c>
      <c r="V491" s="849">
        <v>0.0</v>
      </c>
      <c r="W491" s="849">
        <v>0.0</v>
      </c>
      <c r="X491" s="849">
        <v>0.0</v>
      </c>
      <c r="Y491" s="849">
        <v>0.0</v>
      </c>
      <c r="Z491" s="849">
        <v>0.0</v>
      </c>
      <c r="AA491" s="849">
        <v>0.0</v>
      </c>
      <c r="AB491" s="849">
        <v>0.0</v>
      </c>
      <c r="AC491" s="849">
        <v>0.0</v>
      </c>
      <c r="AD491" s="849">
        <v>0.0</v>
      </c>
      <c r="AE491" s="849">
        <v>0.0</v>
      </c>
      <c r="AF491" s="849">
        <v>0.0</v>
      </c>
      <c r="AG491" s="849">
        <v>0.0</v>
      </c>
      <c r="AH491" s="849">
        <v>0.0</v>
      </c>
      <c r="AI491" s="849">
        <v>0.0</v>
      </c>
      <c r="AJ491" s="794" t="str">
        <f t="shared" ref="AJ491:AK491" si="979">C491</f>
        <v>G29900</v>
      </c>
      <c r="AK491" s="794" t="str">
        <f t="shared" si="979"/>
        <v>INTER-DIVISION</v>
      </c>
      <c r="AL491" s="794">
        <f t="array" ref="AL491">IFERROR(INDEX(G491:R491,1,MATCH(Parametres!$B$3,G$1:R$1,0)-1)*IF(OR(F491="L",F491="S",F491="I"),-1,1),"")</f>
        <v>0</v>
      </c>
      <c r="AM491" s="794">
        <f t="shared" si="4"/>
        <v>0</v>
      </c>
      <c r="AN491" s="794">
        <f t="array" ref="AN491">INDEX(G491:R491,1,MATCH(Parametres!$B$3,G$1:R$1,0))*IF(OR(F491="L",F491="S",F491="I"),-1,1)</f>
        <v>0</v>
      </c>
      <c r="AO491" s="853" t="str">
        <f>+VLOOKUP($AJ491,Data_Validation!$A:$D,1,0)</f>
        <v>G29900</v>
      </c>
      <c r="AP491" s="853" t="str">
        <f>+VLOOKUP($AJ491,Data_Validation!$A:$D,3,0)</f>
        <v>Bilan</v>
      </c>
      <c r="AQ491" s="853" t="str">
        <f>+VLOOKUP($AJ491,Data_Validation!$A:$D,4,0)</f>
        <v>Avances à Recevoir Long Terme</v>
      </c>
      <c r="AR491" s="853" t="s">
        <v>728</v>
      </c>
      <c r="AS491" s="853" t="str">
        <f>+VLOOKUP($AJ491,Data_Validation!$A:$E,5,0)</f>
        <v/>
      </c>
      <c r="AT491" s="794" t="str">
        <f t="shared" ref="AT491:AU491" si="980">C491</f>
        <v>G29900</v>
      </c>
      <c r="AU491" s="854" t="str">
        <f t="shared" si="980"/>
        <v>INTER-DIVISION</v>
      </c>
      <c r="AV491" s="794">
        <f t="array" ref="AV491">IFERROR(INDEX(V491:AG491,1,MATCH(Parametres!$B$3,V$1:AG$1,0)-1)*IF(OR(C491="L",C491="S",C491="I"),-1,1),"")</f>
        <v>0</v>
      </c>
      <c r="AW491" s="794">
        <f t="shared" si="6"/>
        <v>0</v>
      </c>
      <c r="AX491" s="794">
        <f t="array" ref="AX491">INDEX(V491:AG491,1,MATCH(Parametres!$B$3,V$1:AG$1,0))*IF(OR(C491="L",C491="S",C491="I"),-1,1)</f>
        <v>0</v>
      </c>
      <c r="AY491" s="853" t="s">
        <v>772</v>
      </c>
      <c r="AZ491" s="853" t="str">
        <f>+VLOOKUP($AJ491,Data_Validation!$A:$E,5,0)</f>
        <v/>
      </c>
    </row>
    <row r="492" ht="15.0" customHeight="1">
      <c r="A492" s="849" t="s">
        <v>1239</v>
      </c>
      <c r="B492" s="849">
        <v>2026.0</v>
      </c>
      <c r="C492" s="849" t="s">
        <v>2210</v>
      </c>
      <c r="D492" s="849" t="s">
        <v>2211</v>
      </c>
      <c r="E492" s="849" t="s">
        <v>2212</v>
      </c>
      <c r="F492" s="849" t="s">
        <v>2057</v>
      </c>
      <c r="G492" s="849">
        <v>546497.76</v>
      </c>
      <c r="H492" s="849">
        <v>562323.41</v>
      </c>
      <c r="I492" s="849">
        <v>1708430.46</v>
      </c>
      <c r="J492" s="849">
        <v>4110330.37</v>
      </c>
      <c r="K492" s="849">
        <v>2543636.43</v>
      </c>
      <c r="L492" s="849">
        <v>2478319.29</v>
      </c>
      <c r="M492" s="849">
        <v>2226444.64</v>
      </c>
      <c r="N492" s="849">
        <v>779504.96</v>
      </c>
      <c r="O492" s="849">
        <v>1377375.88</v>
      </c>
      <c r="P492" s="849">
        <v>520438.91</v>
      </c>
      <c r="Q492" s="849">
        <v>0.0</v>
      </c>
      <c r="R492" s="849">
        <v>0.0</v>
      </c>
      <c r="S492" s="849">
        <v>0.0</v>
      </c>
      <c r="T492" s="849">
        <v>0.0</v>
      </c>
      <c r="U492" s="849">
        <v>0.0</v>
      </c>
      <c r="V492" s="849">
        <v>0.0</v>
      </c>
      <c r="W492" s="849">
        <v>0.0</v>
      </c>
      <c r="X492" s="849">
        <v>0.0</v>
      </c>
      <c r="Y492" s="849">
        <v>0.0</v>
      </c>
      <c r="Z492" s="849">
        <v>0.0</v>
      </c>
      <c r="AA492" s="849">
        <v>0.0</v>
      </c>
      <c r="AB492" s="849">
        <v>0.0</v>
      </c>
      <c r="AC492" s="849">
        <v>0.0</v>
      </c>
      <c r="AD492" s="849">
        <v>0.0</v>
      </c>
      <c r="AE492" s="849">
        <v>0.0</v>
      </c>
      <c r="AF492" s="849">
        <v>0.0</v>
      </c>
      <c r="AG492" s="849">
        <v>0.0</v>
      </c>
      <c r="AH492" s="849">
        <v>0.0</v>
      </c>
      <c r="AI492" s="849">
        <v>0.0</v>
      </c>
      <c r="AJ492" s="794" t="str">
        <f t="shared" ref="AJ492:AK492" si="981">C492</f>
        <v>G30000</v>
      </c>
      <c r="AK492" s="794" t="str">
        <f t="shared" si="981"/>
        <v>C/P FOURNISSEURS</v>
      </c>
      <c r="AL492" s="794">
        <f t="array" ref="AL492">IFERROR(INDEX(G492:R492,1,MATCH(Parametres!$B$3,G$1:R$1,0)-1)*IF(OR(F492="L",F492="S",F492="I"),-1,1),"")</f>
        <v>-779504.96</v>
      </c>
      <c r="AM492" s="794">
        <f t="shared" si="4"/>
        <v>-597870.92</v>
      </c>
      <c r="AN492" s="794">
        <f t="array" ref="AN492">INDEX(G492:R492,1,MATCH(Parametres!$B$3,G$1:R$1,0))*IF(OR(F492="L",F492="S",F492="I"),-1,1)</f>
        <v>-1377375.88</v>
      </c>
      <c r="AO492" s="853" t="str">
        <f>+VLOOKUP($AJ492,Data_Validation!$A:$D,1,0)</f>
        <v>G30000</v>
      </c>
      <c r="AP492" s="853" t="str">
        <f>+VLOOKUP($AJ492,Data_Validation!$A:$D,3,0)</f>
        <v>Bilan</v>
      </c>
      <c r="AQ492" s="853" t="str">
        <f>+VLOOKUP($AJ492,Data_Validation!$A:$D,4,0)</f>
        <v>Comptes à Payer Fournisseurs</v>
      </c>
      <c r="AR492" s="853" t="s">
        <v>728</v>
      </c>
      <c r="AS492" s="853" t="str">
        <f>+VLOOKUP($AJ492,Data_Validation!$A:$E,5,0)</f>
        <v/>
      </c>
      <c r="AT492" s="794" t="str">
        <f t="shared" ref="AT492:AU492" si="982">C492</f>
        <v>G30000</v>
      </c>
      <c r="AU492" s="854" t="str">
        <f t="shared" si="982"/>
        <v>C/P FOURNISSEURS</v>
      </c>
      <c r="AV492" s="794">
        <f t="array" ref="AV492">IFERROR(INDEX(V492:AG492,1,MATCH(Parametres!$B$3,V$1:AG$1,0)-1)*IF(OR(C492="L",C492="S",C492="I"),-1,1),"")</f>
        <v>0</v>
      </c>
      <c r="AW492" s="794">
        <f t="shared" si="6"/>
        <v>0</v>
      </c>
      <c r="AX492" s="794">
        <f t="array" ref="AX492">INDEX(V492:AG492,1,MATCH(Parametres!$B$3,V$1:AG$1,0))*IF(OR(C492="L",C492="S",C492="I"),-1,1)</f>
        <v>0</v>
      </c>
      <c r="AY492" s="853" t="s">
        <v>772</v>
      </c>
      <c r="AZ492" s="853" t="str">
        <f>+VLOOKUP($AJ492,Data_Validation!$A:$E,5,0)</f>
        <v/>
      </c>
    </row>
    <row r="493" ht="15.0" customHeight="1">
      <c r="A493" s="849" t="s">
        <v>1239</v>
      </c>
      <c r="B493" s="849">
        <v>2026.0</v>
      </c>
      <c r="C493" s="849" t="s">
        <v>2213</v>
      </c>
      <c r="D493" s="849" t="s">
        <v>2214</v>
      </c>
      <c r="E493" s="849" t="s">
        <v>2212</v>
      </c>
      <c r="F493" s="849" t="s">
        <v>2057</v>
      </c>
      <c r="G493" s="849">
        <v>0.0</v>
      </c>
      <c r="H493" s="849">
        <v>0.0</v>
      </c>
      <c r="I493" s="849">
        <v>0.0</v>
      </c>
      <c r="J493" s="849">
        <v>0.0</v>
      </c>
      <c r="K493" s="849">
        <v>0.0</v>
      </c>
      <c r="L493" s="849">
        <v>0.0</v>
      </c>
      <c r="M493" s="849">
        <v>0.0</v>
      </c>
      <c r="N493" s="849">
        <v>0.0</v>
      </c>
      <c r="O493" s="849">
        <v>0.0</v>
      </c>
      <c r="P493" s="849">
        <v>0.0</v>
      </c>
      <c r="Q493" s="849">
        <v>0.0</v>
      </c>
      <c r="R493" s="849">
        <v>0.0</v>
      </c>
      <c r="S493" s="849">
        <v>0.0</v>
      </c>
      <c r="T493" s="849">
        <v>0.0</v>
      </c>
      <c r="U493" s="849">
        <v>0.0</v>
      </c>
      <c r="V493" s="849">
        <v>0.0</v>
      </c>
      <c r="W493" s="849">
        <v>0.0</v>
      </c>
      <c r="X493" s="849">
        <v>0.0</v>
      </c>
      <c r="Y493" s="849">
        <v>0.0</v>
      </c>
      <c r="Z493" s="849">
        <v>0.0</v>
      </c>
      <c r="AA493" s="849">
        <v>0.0</v>
      </c>
      <c r="AB493" s="849">
        <v>0.0</v>
      </c>
      <c r="AC493" s="849">
        <v>0.0</v>
      </c>
      <c r="AD493" s="849">
        <v>0.0</v>
      </c>
      <c r="AE493" s="849">
        <v>0.0</v>
      </c>
      <c r="AF493" s="849">
        <v>0.0</v>
      </c>
      <c r="AG493" s="849">
        <v>0.0</v>
      </c>
      <c r="AH493" s="849">
        <v>0.0</v>
      </c>
      <c r="AI493" s="849">
        <v>0.0</v>
      </c>
      <c r="AJ493" s="794" t="str">
        <f t="shared" ref="AJ493:AK493" si="983">C493</f>
        <v>G30001</v>
      </c>
      <c r="AK493" s="794" t="str">
        <f t="shared" si="983"/>
        <v>DIVERS A PAYER</v>
      </c>
      <c r="AL493" s="794">
        <f t="array" ref="AL493">IFERROR(INDEX(G493:R493,1,MATCH(Parametres!$B$3,G$1:R$1,0)-1)*IF(OR(F493="L",F493="S",F493="I"),-1,1),"")</f>
        <v>0</v>
      </c>
      <c r="AM493" s="794">
        <f t="shared" si="4"/>
        <v>0</v>
      </c>
      <c r="AN493" s="794">
        <f t="array" ref="AN493">INDEX(G493:R493,1,MATCH(Parametres!$B$3,G$1:R$1,0))*IF(OR(F493="L",F493="S",F493="I"),-1,1)</f>
        <v>0</v>
      </c>
      <c r="AO493" s="853" t="str">
        <f>+VLOOKUP($AJ493,Data_Validation!$A:$D,1,0)</f>
        <v>#N/A</v>
      </c>
      <c r="AP493" s="853" t="str">
        <f>+VLOOKUP($AJ493,Data_Validation!$A:$D,3,0)</f>
        <v>#N/A</v>
      </c>
      <c r="AQ493" s="853" t="str">
        <f>+VLOOKUP($AJ493,Data_Validation!$A:$D,4,0)</f>
        <v>#N/A</v>
      </c>
      <c r="AR493" s="853" t="s">
        <v>728</v>
      </c>
      <c r="AS493" s="853" t="str">
        <f>+VLOOKUP($AJ493,Data_Validation!$A:$E,5,0)</f>
        <v>#N/A</v>
      </c>
      <c r="AT493" s="794" t="str">
        <f t="shared" ref="AT493:AU493" si="984">C493</f>
        <v>G30001</v>
      </c>
      <c r="AU493" s="854" t="str">
        <f t="shared" si="984"/>
        <v>DIVERS A PAYER</v>
      </c>
      <c r="AV493" s="794">
        <f t="array" ref="AV493">IFERROR(INDEX(V493:AG493,1,MATCH(Parametres!$B$3,V$1:AG$1,0)-1)*IF(OR(C493="L",C493="S",C493="I"),-1,1),"")</f>
        <v>0</v>
      </c>
      <c r="AW493" s="794">
        <f t="shared" si="6"/>
        <v>0</v>
      </c>
      <c r="AX493" s="794">
        <f t="array" ref="AX493">INDEX(V493:AG493,1,MATCH(Parametres!$B$3,V$1:AG$1,0))*IF(OR(C493="L",C493="S",C493="I"),-1,1)</f>
        <v>0</v>
      </c>
      <c r="AY493" s="853" t="s">
        <v>772</v>
      </c>
      <c r="AZ493" s="853" t="str">
        <f>+VLOOKUP($AJ493,Data_Validation!$A:$E,5,0)</f>
        <v>#N/A</v>
      </c>
    </row>
    <row r="494" ht="15.0" customHeight="1">
      <c r="A494" s="849" t="s">
        <v>1239</v>
      </c>
      <c r="B494" s="849">
        <v>2026.0</v>
      </c>
      <c r="C494" s="849" t="s">
        <v>2215</v>
      </c>
      <c r="D494" s="849" t="s">
        <v>2216</v>
      </c>
      <c r="E494" s="849" t="s">
        <v>1959</v>
      </c>
      <c r="F494" s="849" t="s">
        <v>2057</v>
      </c>
      <c r="G494" s="849">
        <v>0.0</v>
      </c>
      <c r="H494" s="849">
        <v>0.0</v>
      </c>
      <c r="I494" s="849">
        <v>195.0</v>
      </c>
      <c r="J494" s="849">
        <v>195.0</v>
      </c>
      <c r="K494" s="849">
        <v>195.0</v>
      </c>
      <c r="L494" s="849">
        <v>195.0</v>
      </c>
      <c r="M494" s="849">
        <v>195.0</v>
      </c>
      <c r="N494" s="849">
        <v>195.0</v>
      </c>
      <c r="O494" s="849">
        <v>195.0</v>
      </c>
      <c r="P494" s="849">
        <v>195.0</v>
      </c>
      <c r="Q494" s="849">
        <v>0.0</v>
      </c>
      <c r="R494" s="849">
        <v>0.0</v>
      </c>
      <c r="S494" s="849">
        <v>0.0</v>
      </c>
      <c r="T494" s="849">
        <v>0.0</v>
      </c>
      <c r="U494" s="849">
        <v>0.0</v>
      </c>
      <c r="V494" s="849">
        <v>0.0</v>
      </c>
      <c r="W494" s="849">
        <v>0.0</v>
      </c>
      <c r="X494" s="849">
        <v>0.0</v>
      </c>
      <c r="Y494" s="849">
        <v>0.0</v>
      </c>
      <c r="Z494" s="849">
        <v>0.0</v>
      </c>
      <c r="AA494" s="849">
        <v>0.0</v>
      </c>
      <c r="AB494" s="849">
        <v>0.0</v>
      </c>
      <c r="AC494" s="849">
        <v>0.0</v>
      </c>
      <c r="AD494" s="849">
        <v>0.0</v>
      </c>
      <c r="AE494" s="849">
        <v>0.0</v>
      </c>
      <c r="AF494" s="849">
        <v>0.0</v>
      </c>
      <c r="AG494" s="849">
        <v>0.0</v>
      </c>
      <c r="AH494" s="849">
        <v>0.0</v>
      </c>
      <c r="AI494" s="849">
        <v>0.0</v>
      </c>
      <c r="AJ494" s="794" t="str">
        <f t="shared" ref="AJ494:AK494" si="985">C494</f>
        <v>G30010</v>
      </c>
      <c r="AK494" s="794" t="str">
        <f t="shared" si="985"/>
        <v>CLAIMS G.M. DU AUX CLIENT</v>
      </c>
      <c r="AL494" s="794">
        <f t="array" ref="AL494">IFERROR(INDEX(G494:R494,1,MATCH(Parametres!$B$3,G$1:R$1,0)-1)*IF(OR(F494="L",F494="S",F494="I"),-1,1),"")</f>
        <v>-195</v>
      </c>
      <c r="AM494" s="794">
        <f t="shared" si="4"/>
        <v>0</v>
      </c>
      <c r="AN494" s="794">
        <f t="array" ref="AN494">INDEX(G494:R494,1,MATCH(Parametres!$B$3,G$1:R$1,0))*IF(OR(F494="L",F494="S",F494="I"),-1,1)</f>
        <v>-195</v>
      </c>
      <c r="AO494" s="853" t="str">
        <f>+VLOOKUP($AJ494,Data_Validation!$A:$D,1,0)</f>
        <v>G30010</v>
      </c>
      <c r="AP494" s="853" t="str">
        <f>+VLOOKUP($AJ494,Data_Validation!$A:$D,3,0)</f>
        <v>Bilan</v>
      </c>
      <c r="AQ494" s="853" t="str">
        <f>+VLOOKUP($AJ494,Data_Validation!$A:$D,4,0)</f>
        <v>Autres Comptes à Payer</v>
      </c>
      <c r="AR494" s="853" t="s">
        <v>728</v>
      </c>
      <c r="AS494" s="853" t="str">
        <f>+VLOOKUP($AJ494,Data_Validation!$A:$E,5,0)</f>
        <v/>
      </c>
      <c r="AT494" s="794" t="str">
        <f t="shared" ref="AT494:AU494" si="986">C494</f>
        <v>G30010</v>
      </c>
      <c r="AU494" s="854" t="str">
        <f t="shared" si="986"/>
        <v>CLAIMS G.M. DU AUX CLIENT</v>
      </c>
      <c r="AV494" s="794">
        <f t="array" ref="AV494">IFERROR(INDEX(V494:AG494,1,MATCH(Parametres!$B$3,V$1:AG$1,0)-1)*IF(OR(C494="L",C494="S",C494="I"),-1,1),"")</f>
        <v>0</v>
      </c>
      <c r="AW494" s="794">
        <f t="shared" si="6"/>
        <v>0</v>
      </c>
      <c r="AX494" s="794">
        <f t="array" ref="AX494">INDEX(V494:AG494,1,MATCH(Parametres!$B$3,V$1:AG$1,0))*IF(OR(C494="L",C494="S",C494="I"),-1,1)</f>
        <v>0</v>
      </c>
      <c r="AY494" s="853" t="s">
        <v>772</v>
      </c>
      <c r="AZ494" s="853" t="str">
        <f>+VLOOKUP($AJ494,Data_Validation!$A:$E,5,0)</f>
        <v/>
      </c>
    </row>
    <row r="495" ht="15.0" customHeight="1">
      <c r="A495" s="849" t="s">
        <v>1239</v>
      </c>
      <c r="B495" s="849">
        <v>2026.0</v>
      </c>
      <c r="C495" s="849" t="s">
        <v>2217</v>
      </c>
      <c r="D495" s="849" t="s">
        <v>2218</v>
      </c>
      <c r="E495" s="849" t="s">
        <v>1959</v>
      </c>
      <c r="F495" s="849" t="s">
        <v>2057</v>
      </c>
      <c r="G495" s="849">
        <v>41747.69</v>
      </c>
      <c r="H495" s="849">
        <v>14473.42</v>
      </c>
      <c r="I495" s="849">
        <v>16879.0</v>
      </c>
      <c r="J495" s="849">
        <v>-836.15</v>
      </c>
      <c r="K495" s="849">
        <v>12556.56</v>
      </c>
      <c r="L495" s="849">
        <v>24569.0</v>
      </c>
      <c r="M495" s="849">
        <v>9647.87</v>
      </c>
      <c r="N495" s="849">
        <v>6154.77</v>
      </c>
      <c r="O495" s="849">
        <v>17772.6</v>
      </c>
      <c r="P495" s="849">
        <v>-6332.2</v>
      </c>
      <c r="Q495" s="849">
        <v>0.0</v>
      </c>
      <c r="R495" s="849">
        <v>0.0</v>
      </c>
      <c r="S495" s="849">
        <v>0.0</v>
      </c>
      <c r="T495" s="849">
        <v>0.0</v>
      </c>
      <c r="U495" s="849">
        <v>0.0</v>
      </c>
      <c r="V495" s="849">
        <v>0.0</v>
      </c>
      <c r="W495" s="849">
        <v>0.0</v>
      </c>
      <c r="X495" s="849">
        <v>0.0</v>
      </c>
      <c r="Y495" s="849">
        <v>0.0</v>
      </c>
      <c r="Z495" s="849">
        <v>0.0</v>
      </c>
      <c r="AA495" s="849">
        <v>0.0</v>
      </c>
      <c r="AB495" s="849">
        <v>0.0</v>
      </c>
      <c r="AC495" s="849">
        <v>0.0</v>
      </c>
      <c r="AD495" s="849">
        <v>0.0</v>
      </c>
      <c r="AE495" s="849">
        <v>0.0</v>
      </c>
      <c r="AF495" s="849">
        <v>0.0</v>
      </c>
      <c r="AG495" s="849">
        <v>0.0</v>
      </c>
      <c r="AH495" s="849">
        <v>0.0</v>
      </c>
      <c r="AI495" s="849">
        <v>0.0</v>
      </c>
      <c r="AJ495" s="794" t="str">
        <f t="shared" ref="AJ495:AK495" si="987">C495</f>
        <v>G30020</v>
      </c>
      <c r="AK495" s="794" t="str">
        <f t="shared" si="987"/>
        <v>PLAN PROTECTION A PAYER</v>
      </c>
      <c r="AL495" s="794">
        <f t="array" ref="AL495">IFERROR(INDEX(G495:R495,1,MATCH(Parametres!$B$3,G$1:R$1,0)-1)*IF(OR(F495="L",F495="S",F495="I"),-1,1),"")</f>
        <v>-6154.77</v>
      </c>
      <c r="AM495" s="794">
        <f t="shared" si="4"/>
        <v>-11617.83</v>
      </c>
      <c r="AN495" s="794">
        <f t="array" ref="AN495">INDEX(G495:R495,1,MATCH(Parametres!$B$3,G$1:R$1,0))*IF(OR(F495="L",F495="S",F495="I"),-1,1)</f>
        <v>-17772.6</v>
      </c>
      <c r="AO495" s="853" t="str">
        <f>+VLOOKUP($AJ495,Data_Validation!$A:$D,1,0)</f>
        <v>G30020</v>
      </c>
      <c r="AP495" s="853" t="str">
        <f>+VLOOKUP($AJ495,Data_Validation!$A:$D,3,0)</f>
        <v>Bilan</v>
      </c>
      <c r="AQ495" s="853" t="str">
        <f>+VLOOKUP($AJ495,Data_Validation!$A:$D,4,0)</f>
        <v>Autres Comptes à Payer</v>
      </c>
      <c r="AR495" s="853" t="s">
        <v>728</v>
      </c>
      <c r="AS495" s="853" t="str">
        <f>+VLOOKUP($AJ495,Data_Validation!$A:$E,5,0)</f>
        <v/>
      </c>
      <c r="AT495" s="794" t="str">
        <f t="shared" ref="AT495:AU495" si="988">C495</f>
        <v>G30020</v>
      </c>
      <c r="AU495" s="854" t="str">
        <f t="shared" si="988"/>
        <v>PLAN PROTECTION A PAYER</v>
      </c>
      <c r="AV495" s="794">
        <f t="array" ref="AV495">IFERROR(INDEX(V495:AG495,1,MATCH(Parametres!$B$3,V$1:AG$1,0)-1)*IF(OR(C495="L",C495="S",C495="I"),-1,1),"")</f>
        <v>0</v>
      </c>
      <c r="AW495" s="794">
        <f t="shared" si="6"/>
        <v>0</v>
      </c>
      <c r="AX495" s="794">
        <f t="array" ref="AX495">INDEX(V495:AG495,1,MATCH(Parametres!$B$3,V$1:AG$1,0))*IF(OR(C495="L",C495="S",C495="I"),-1,1)</f>
        <v>0</v>
      </c>
      <c r="AY495" s="853" t="s">
        <v>772</v>
      </c>
      <c r="AZ495" s="853" t="str">
        <f>+VLOOKUP($AJ495,Data_Validation!$A:$E,5,0)</f>
        <v/>
      </c>
    </row>
    <row r="496" ht="15.0" customHeight="1">
      <c r="A496" s="849" t="s">
        <v>1239</v>
      </c>
      <c r="B496" s="849">
        <v>2026.0</v>
      </c>
      <c r="C496" s="849" t="s">
        <v>2219</v>
      </c>
      <c r="D496" s="849" t="s">
        <v>1953</v>
      </c>
      <c r="E496" s="849" t="s">
        <v>1951</v>
      </c>
      <c r="F496" s="849" t="s">
        <v>2057</v>
      </c>
      <c r="G496" s="849">
        <v>0.0</v>
      </c>
      <c r="H496" s="849">
        <v>0.0</v>
      </c>
      <c r="I496" s="849">
        <v>0.0</v>
      </c>
      <c r="J496" s="849">
        <v>0.0</v>
      </c>
      <c r="K496" s="849">
        <v>0.0</v>
      </c>
      <c r="L496" s="849">
        <v>0.0</v>
      </c>
      <c r="M496" s="849">
        <v>0.0</v>
      </c>
      <c r="N496" s="849">
        <v>0.0</v>
      </c>
      <c r="O496" s="849">
        <v>0.0</v>
      </c>
      <c r="P496" s="849">
        <v>0.0</v>
      </c>
      <c r="Q496" s="849">
        <v>0.0</v>
      </c>
      <c r="R496" s="849">
        <v>0.0</v>
      </c>
      <c r="S496" s="849">
        <v>0.0</v>
      </c>
      <c r="T496" s="849">
        <v>0.0</v>
      </c>
      <c r="U496" s="849">
        <v>0.0</v>
      </c>
      <c r="V496" s="849">
        <v>0.0</v>
      </c>
      <c r="W496" s="849">
        <v>0.0</v>
      </c>
      <c r="X496" s="849">
        <v>0.0</v>
      </c>
      <c r="Y496" s="849">
        <v>0.0</v>
      </c>
      <c r="Z496" s="849">
        <v>0.0</v>
      </c>
      <c r="AA496" s="849">
        <v>0.0</v>
      </c>
      <c r="AB496" s="849">
        <v>0.0</v>
      </c>
      <c r="AC496" s="849">
        <v>0.0</v>
      </c>
      <c r="AD496" s="849">
        <v>0.0</v>
      </c>
      <c r="AE496" s="849">
        <v>0.0</v>
      </c>
      <c r="AF496" s="849">
        <v>0.0</v>
      </c>
      <c r="AG496" s="849">
        <v>0.0</v>
      </c>
      <c r="AH496" s="849">
        <v>0.0</v>
      </c>
      <c r="AI496" s="849">
        <v>0.0</v>
      </c>
      <c r="AJ496" s="794" t="str">
        <f t="shared" ref="AJ496:AK496" si="989">C496</f>
        <v>G30022</v>
      </c>
      <c r="AK496" s="794" t="str">
        <f t="shared" si="989"/>
        <v>DEDUCTIBLE</v>
      </c>
      <c r="AL496" s="794">
        <f t="array" ref="AL496">IFERROR(INDEX(G496:R496,1,MATCH(Parametres!$B$3,G$1:R$1,0)-1)*IF(OR(F496="L",F496="S",F496="I"),-1,1),"")</f>
        <v>0</v>
      </c>
      <c r="AM496" s="794">
        <f t="shared" si="4"/>
        <v>0</v>
      </c>
      <c r="AN496" s="794">
        <f t="array" ref="AN496">INDEX(G496:R496,1,MATCH(Parametres!$B$3,G$1:R$1,0))*IF(OR(F496="L",F496="S",F496="I"),-1,1)</f>
        <v>0</v>
      </c>
      <c r="AO496" s="853" t="str">
        <f>+VLOOKUP($AJ496,Data_Validation!$A:$D,1,0)</f>
        <v>#N/A</v>
      </c>
      <c r="AP496" s="853" t="str">
        <f>+VLOOKUP($AJ496,Data_Validation!$A:$D,3,0)</f>
        <v>#N/A</v>
      </c>
      <c r="AQ496" s="853" t="str">
        <f>+VLOOKUP($AJ496,Data_Validation!$A:$D,4,0)</f>
        <v>#N/A</v>
      </c>
      <c r="AR496" s="853" t="s">
        <v>728</v>
      </c>
      <c r="AS496" s="853" t="str">
        <f>+VLOOKUP($AJ496,Data_Validation!$A:$E,5,0)</f>
        <v>#N/A</v>
      </c>
      <c r="AT496" s="794" t="str">
        <f t="shared" ref="AT496:AU496" si="990">C496</f>
        <v>G30022</v>
      </c>
      <c r="AU496" s="854" t="str">
        <f t="shared" si="990"/>
        <v>DEDUCTIBLE</v>
      </c>
      <c r="AV496" s="794">
        <f t="array" ref="AV496">IFERROR(INDEX(V496:AG496,1,MATCH(Parametres!$B$3,V$1:AG$1,0)-1)*IF(OR(C496="L",C496="S",C496="I"),-1,1),"")</f>
        <v>0</v>
      </c>
      <c r="AW496" s="794">
        <f t="shared" si="6"/>
        <v>0</v>
      </c>
      <c r="AX496" s="794">
        <f t="array" ref="AX496">INDEX(V496:AG496,1,MATCH(Parametres!$B$3,V$1:AG$1,0))*IF(OR(C496="L",C496="S",C496="I"),-1,1)</f>
        <v>0</v>
      </c>
      <c r="AY496" s="853" t="s">
        <v>772</v>
      </c>
      <c r="AZ496" s="853" t="str">
        <f>+VLOOKUP($AJ496,Data_Validation!$A:$E,5,0)</f>
        <v>#N/A</v>
      </c>
    </row>
    <row r="497" ht="15.0" customHeight="1">
      <c r="A497" s="849" t="s">
        <v>1239</v>
      </c>
      <c r="B497" s="849">
        <v>2026.0</v>
      </c>
      <c r="C497" s="849" t="s">
        <v>2220</v>
      </c>
      <c r="D497" s="849" t="s">
        <v>2221</v>
      </c>
      <c r="E497" s="849" t="s">
        <v>1959</v>
      </c>
      <c r="F497" s="849" t="s">
        <v>2057</v>
      </c>
      <c r="G497" s="849">
        <v>0.0</v>
      </c>
      <c r="H497" s="849">
        <v>0.0</v>
      </c>
      <c r="I497" s="849">
        <v>0.0</v>
      </c>
      <c r="J497" s="849">
        <v>0.0</v>
      </c>
      <c r="K497" s="849">
        <v>0.0</v>
      </c>
      <c r="L497" s="849">
        <v>0.0</v>
      </c>
      <c r="M497" s="849">
        <v>1467.1</v>
      </c>
      <c r="N497" s="849">
        <v>664.1</v>
      </c>
      <c r="O497" s="849">
        <v>5431.1</v>
      </c>
      <c r="P497" s="849">
        <v>9994.1</v>
      </c>
      <c r="Q497" s="849">
        <v>0.0</v>
      </c>
      <c r="R497" s="849">
        <v>0.0</v>
      </c>
      <c r="S497" s="849">
        <v>0.0</v>
      </c>
      <c r="T497" s="849">
        <v>0.0</v>
      </c>
      <c r="U497" s="849">
        <v>0.0</v>
      </c>
      <c r="V497" s="849">
        <v>0.0</v>
      </c>
      <c r="W497" s="849">
        <v>0.0</v>
      </c>
      <c r="X497" s="849">
        <v>0.0</v>
      </c>
      <c r="Y497" s="849">
        <v>0.0</v>
      </c>
      <c r="Z497" s="849">
        <v>0.0</v>
      </c>
      <c r="AA497" s="849">
        <v>0.0</v>
      </c>
      <c r="AB497" s="849">
        <v>0.0</v>
      </c>
      <c r="AC497" s="849">
        <v>0.0</v>
      </c>
      <c r="AD497" s="849">
        <v>0.0</v>
      </c>
      <c r="AE497" s="849">
        <v>0.0</v>
      </c>
      <c r="AF497" s="849">
        <v>0.0</v>
      </c>
      <c r="AG497" s="849">
        <v>0.0</v>
      </c>
      <c r="AH497" s="849">
        <v>0.0</v>
      </c>
      <c r="AI497" s="849">
        <v>0.0</v>
      </c>
      <c r="AJ497" s="794" t="str">
        <f t="shared" ref="AJ497:AK497" si="991">C497</f>
        <v>G30025</v>
      </c>
      <c r="AK497" s="794" t="str">
        <f t="shared" si="991"/>
        <v>PRODUITS F&amp;I - SERVICE</v>
      </c>
      <c r="AL497" s="794">
        <f t="array" ref="AL497">IFERROR(INDEX(G497:R497,1,MATCH(Parametres!$B$3,G$1:R$1,0)-1)*IF(OR(F497="L",F497="S",F497="I"),-1,1),"")</f>
        <v>-664.1</v>
      </c>
      <c r="AM497" s="794">
        <f t="shared" si="4"/>
        <v>-4767</v>
      </c>
      <c r="AN497" s="794">
        <f t="array" ref="AN497">INDEX(G497:R497,1,MATCH(Parametres!$B$3,G$1:R$1,0))*IF(OR(F497="L",F497="S",F497="I"),-1,1)</f>
        <v>-5431.1</v>
      </c>
      <c r="AO497" s="853" t="str">
        <f>+VLOOKUP($AJ497,Data_Validation!$A:$D,1,0)</f>
        <v>G30025</v>
      </c>
      <c r="AP497" s="853" t="str">
        <f>+VLOOKUP($AJ497,Data_Validation!$A:$D,3,0)</f>
        <v>Bilan</v>
      </c>
      <c r="AQ497" s="853" t="str">
        <f>+VLOOKUP($AJ497,Data_Validation!$A:$D,4,0)</f>
        <v>Autres Comptes à Payer</v>
      </c>
      <c r="AR497" s="853" t="s">
        <v>728</v>
      </c>
      <c r="AS497" s="853" t="str">
        <f>+VLOOKUP($AJ497,Data_Validation!$A:$E,5,0)</f>
        <v/>
      </c>
      <c r="AT497" s="794" t="str">
        <f t="shared" ref="AT497:AU497" si="992">C497</f>
        <v>G30025</v>
      </c>
      <c r="AU497" s="854" t="str">
        <f t="shared" si="992"/>
        <v>PRODUITS F&amp;I - SERVICE</v>
      </c>
      <c r="AV497" s="794">
        <f t="array" ref="AV497">IFERROR(INDEX(V497:AG497,1,MATCH(Parametres!$B$3,V$1:AG$1,0)-1)*IF(OR(C497="L",C497="S",C497="I"),-1,1),"")</f>
        <v>0</v>
      </c>
      <c r="AW497" s="794">
        <f t="shared" si="6"/>
        <v>0</v>
      </c>
      <c r="AX497" s="794">
        <f t="array" ref="AX497">INDEX(V497:AG497,1,MATCH(Parametres!$B$3,V$1:AG$1,0))*IF(OR(C497="L",C497="S",C497="I"),-1,1)</f>
        <v>0</v>
      </c>
      <c r="AY497" s="853" t="s">
        <v>772</v>
      </c>
      <c r="AZ497" s="853" t="str">
        <f>+VLOOKUP($AJ497,Data_Validation!$A:$E,5,0)</f>
        <v/>
      </c>
    </row>
    <row r="498" ht="15.0" customHeight="1">
      <c r="A498" s="849" t="s">
        <v>1239</v>
      </c>
      <c r="B498" s="849">
        <v>2026.0</v>
      </c>
      <c r="C498" s="849" t="s">
        <v>2222</v>
      </c>
      <c r="D498" s="849" t="s">
        <v>2223</v>
      </c>
      <c r="E498" s="849" t="s">
        <v>768</v>
      </c>
      <c r="F498" s="849" t="s">
        <v>2057</v>
      </c>
      <c r="G498" s="849">
        <v>1633.5</v>
      </c>
      <c r="H498" s="849">
        <v>2146.5</v>
      </c>
      <c r="I498" s="849">
        <v>1795.5</v>
      </c>
      <c r="J498" s="849">
        <v>2093.0</v>
      </c>
      <c r="K498" s="849">
        <v>2628.0</v>
      </c>
      <c r="L498" s="849">
        <v>1629.0</v>
      </c>
      <c r="M498" s="849">
        <v>1467.0</v>
      </c>
      <c r="N498" s="849">
        <v>1624.5</v>
      </c>
      <c r="O498" s="849">
        <v>2565.0</v>
      </c>
      <c r="P498" s="849">
        <v>3339.0</v>
      </c>
      <c r="Q498" s="849">
        <v>0.0</v>
      </c>
      <c r="R498" s="849">
        <v>0.0</v>
      </c>
      <c r="S498" s="849">
        <v>0.0</v>
      </c>
      <c r="T498" s="849">
        <v>0.0</v>
      </c>
      <c r="U498" s="849">
        <v>0.0</v>
      </c>
      <c r="V498" s="849">
        <v>0.0</v>
      </c>
      <c r="W498" s="849">
        <v>0.0</v>
      </c>
      <c r="X498" s="849">
        <v>0.0</v>
      </c>
      <c r="Y498" s="849">
        <v>0.0</v>
      </c>
      <c r="Z498" s="849">
        <v>0.0</v>
      </c>
      <c r="AA498" s="849">
        <v>0.0</v>
      </c>
      <c r="AB498" s="849">
        <v>0.0</v>
      </c>
      <c r="AC498" s="849">
        <v>0.0</v>
      </c>
      <c r="AD498" s="849">
        <v>0.0</v>
      </c>
      <c r="AE498" s="849">
        <v>0.0</v>
      </c>
      <c r="AF498" s="849">
        <v>0.0</v>
      </c>
      <c r="AG498" s="849">
        <v>0.0</v>
      </c>
      <c r="AH498" s="849">
        <v>0.0</v>
      </c>
      <c r="AI498" s="849">
        <v>0.0</v>
      </c>
      <c r="AJ498" s="794" t="str">
        <f t="shared" ref="AJ498:AK498" si="993">C498</f>
        <v>G30030</v>
      </c>
      <c r="AK498" s="794" t="str">
        <f t="shared" si="993"/>
        <v>DROIT SPECIF. SUR PNEUS</v>
      </c>
      <c r="AL498" s="794">
        <f t="array" ref="AL498">IFERROR(INDEX(G498:R498,1,MATCH(Parametres!$B$3,G$1:R$1,0)-1)*IF(OR(F498="L",F498="S",F498="I"),-1,1),"")</f>
        <v>-1624.5</v>
      </c>
      <c r="AM498" s="794">
        <f t="shared" si="4"/>
        <v>-940.5</v>
      </c>
      <c r="AN498" s="794">
        <f t="array" ref="AN498">INDEX(G498:R498,1,MATCH(Parametres!$B$3,G$1:R$1,0))*IF(OR(F498="L",F498="S",F498="I"),-1,1)</f>
        <v>-2565</v>
      </c>
      <c r="AO498" s="853" t="str">
        <f>+VLOOKUP($AJ498,Data_Validation!$A:$D,1,0)</f>
        <v>G30030</v>
      </c>
      <c r="AP498" s="853" t="str">
        <f>+VLOOKUP($AJ498,Data_Validation!$A:$D,3,0)</f>
        <v>Bilan</v>
      </c>
      <c r="AQ498" s="853" t="str">
        <f>+VLOOKUP($AJ498,Data_Validation!$A:$D,4,0)</f>
        <v>Taxes de Vente à Payer</v>
      </c>
      <c r="AR498" s="853" t="s">
        <v>728</v>
      </c>
      <c r="AS498" s="853" t="str">
        <f>+VLOOKUP($AJ498,Data_Validation!$A:$E,5,0)</f>
        <v/>
      </c>
      <c r="AT498" s="794" t="str">
        <f t="shared" ref="AT498:AU498" si="994">C498</f>
        <v>G30030</v>
      </c>
      <c r="AU498" s="854" t="str">
        <f t="shared" si="994"/>
        <v>DROIT SPECIF. SUR PNEUS</v>
      </c>
      <c r="AV498" s="794">
        <f t="array" ref="AV498">IFERROR(INDEX(V498:AG498,1,MATCH(Parametres!$B$3,V$1:AG$1,0)-1)*IF(OR(C498="L",C498="S",C498="I"),-1,1),"")</f>
        <v>0</v>
      </c>
      <c r="AW498" s="794">
        <f t="shared" si="6"/>
        <v>0</v>
      </c>
      <c r="AX498" s="794">
        <f t="array" ref="AX498">INDEX(V498:AG498,1,MATCH(Parametres!$B$3,V$1:AG$1,0))*IF(OR(C498="L",C498="S",C498="I"),-1,1)</f>
        <v>0</v>
      </c>
      <c r="AY498" s="853" t="s">
        <v>772</v>
      </c>
      <c r="AZ498" s="853" t="str">
        <f>+VLOOKUP($AJ498,Data_Validation!$A:$E,5,0)</f>
        <v/>
      </c>
    </row>
    <row r="499" ht="15.0" customHeight="1">
      <c r="A499" s="849" t="s">
        <v>1239</v>
      </c>
      <c r="B499" s="849">
        <v>2026.0</v>
      </c>
      <c r="C499" s="849" t="s">
        <v>2224</v>
      </c>
      <c r="D499" s="849" t="s">
        <v>2225</v>
      </c>
      <c r="E499" s="849" t="s">
        <v>771</v>
      </c>
      <c r="F499" s="849" t="s">
        <v>2057</v>
      </c>
      <c r="G499" s="849">
        <v>0.0</v>
      </c>
      <c r="H499" s="849">
        <v>0.0</v>
      </c>
      <c r="I499" s="849">
        <v>0.0</v>
      </c>
      <c r="J499" s="849">
        <v>0.0</v>
      </c>
      <c r="K499" s="849">
        <v>0.0</v>
      </c>
      <c r="L499" s="849">
        <v>0.0</v>
      </c>
      <c r="M499" s="849">
        <v>0.0</v>
      </c>
      <c r="N499" s="849">
        <v>0.0</v>
      </c>
      <c r="O499" s="849">
        <v>0.0</v>
      </c>
      <c r="P499" s="849">
        <v>0.0</v>
      </c>
      <c r="Q499" s="849">
        <v>0.0</v>
      </c>
      <c r="R499" s="849">
        <v>0.0</v>
      </c>
      <c r="S499" s="849">
        <v>0.0</v>
      </c>
      <c r="T499" s="849">
        <v>0.0</v>
      </c>
      <c r="U499" s="849">
        <v>0.0</v>
      </c>
      <c r="V499" s="849">
        <v>0.0</v>
      </c>
      <c r="W499" s="849">
        <v>0.0</v>
      </c>
      <c r="X499" s="849">
        <v>0.0</v>
      </c>
      <c r="Y499" s="849">
        <v>0.0</v>
      </c>
      <c r="Z499" s="849">
        <v>0.0</v>
      </c>
      <c r="AA499" s="849">
        <v>0.0</v>
      </c>
      <c r="AB499" s="849">
        <v>0.0</v>
      </c>
      <c r="AC499" s="849">
        <v>0.0</v>
      </c>
      <c r="AD499" s="849">
        <v>0.0</v>
      </c>
      <c r="AE499" s="849">
        <v>0.0</v>
      </c>
      <c r="AF499" s="849">
        <v>0.0</v>
      </c>
      <c r="AG499" s="849">
        <v>0.0</v>
      </c>
      <c r="AH499" s="849">
        <v>0.0</v>
      </c>
      <c r="AI499" s="849">
        <v>0.0</v>
      </c>
      <c r="AJ499" s="794" t="str">
        <f t="shared" ref="AJ499:AK499" si="995">C499</f>
        <v>G30035</v>
      </c>
      <c r="AK499" s="794" t="str">
        <f t="shared" si="995"/>
        <v>AP VEH BMW SHERBROOKE</v>
      </c>
      <c r="AL499" s="794">
        <f t="array" ref="AL499">IFERROR(INDEX(G499:R499,1,MATCH(Parametres!$B$3,G$1:R$1,0)-1)*IF(OR(F499="L",F499="S",F499="I"),-1,1),"")</f>
        <v>0</v>
      </c>
      <c r="AM499" s="794">
        <f t="shared" si="4"/>
        <v>0</v>
      </c>
      <c r="AN499" s="794">
        <f t="array" ref="AN499">INDEX(G499:R499,1,MATCH(Parametres!$B$3,G$1:R$1,0))*IF(OR(F499="L",F499="S",F499="I"),-1,1)</f>
        <v>0</v>
      </c>
      <c r="AO499" s="853" t="str">
        <f>+VLOOKUP($AJ499,Data_Validation!$A:$D,1,0)</f>
        <v>#N/A</v>
      </c>
      <c r="AP499" s="853" t="str">
        <f>+VLOOKUP($AJ499,Data_Validation!$A:$D,3,0)</f>
        <v>#N/A</v>
      </c>
      <c r="AQ499" s="853" t="str">
        <f>+VLOOKUP($AJ499,Data_Validation!$A:$D,4,0)</f>
        <v>#N/A</v>
      </c>
      <c r="AR499" s="853" t="s">
        <v>728</v>
      </c>
      <c r="AS499" s="853" t="str">
        <f>+VLOOKUP($AJ499,Data_Validation!$A:$E,5,0)</f>
        <v>#N/A</v>
      </c>
      <c r="AT499" s="794" t="str">
        <f t="shared" ref="AT499:AU499" si="996">C499</f>
        <v>G30035</v>
      </c>
      <c r="AU499" s="854" t="str">
        <f t="shared" si="996"/>
        <v>AP VEH BMW SHERBROOKE</v>
      </c>
      <c r="AV499" s="794">
        <f t="array" ref="AV499">IFERROR(INDEX(V499:AG499,1,MATCH(Parametres!$B$3,V$1:AG$1,0)-1)*IF(OR(C499="L",C499="S",C499="I"),-1,1),"")</f>
        <v>0</v>
      </c>
      <c r="AW499" s="794">
        <f t="shared" si="6"/>
        <v>0</v>
      </c>
      <c r="AX499" s="794">
        <f t="array" ref="AX499">INDEX(V499:AG499,1,MATCH(Parametres!$B$3,V$1:AG$1,0))*IF(OR(C499="L",C499="S",C499="I"),-1,1)</f>
        <v>0</v>
      </c>
      <c r="AY499" s="853" t="s">
        <v>772</v>
      </c>
      <c r="AZ499" s="853" t="str">
        <f>+VLOOKUP($AJ499,Data_Validation!$A:$E,5,0)</f>
        <v>#N/A</v>
      </c>
    </row>
    <row r="500" ht="15.0" customHeight="1">
      <c r="A500" s="849" t="s">
        <v>1239</v>
      </c>
      <c r="B500" s="849">
        <v>2026.0</v>
      </c>
      <c r="C500" s="849" t="s">
        <v>2226</v>
      </c>
      <c r="D500" s="849" t="s">
        <v>2227</v>
      </c>
      <c r="E500" s="849" t="s">
        <v>768</v>
      </c>
      <c r="F500" s="849" t="s">
        <v>2057</v>
      </c>
      <c r="G500" s="849">
        <v>44500.0</v>
      </c>
      <c r="H500" s="849">
        <v>44500.0</v>
      </c>
      <c r="I500" s="849">
        <v>44500.0</v>
      </c>
      <c r="J500" s="849">
        <v>44500.0</v>
      </c>
      <c r="K500" s="849">
        <v>44500.0</v>
      </c>
      <c r="L500" s="849">
        <v>44500.0</v>
      </c>
      <c r="M500" s="849">
        <v>-55500.0</v>
      </c>
      <c r="N500" s="849">
        <v>-55500.0</v>
      </c>
      <c r="O500" s="849">
        <v>-55500.0</v>
      </c>
      <c r="P500" s="849">
        <v>-55500.0</v>
      </c>
      <c r="Q500" s="849">
        <v>0.0</v>
      </c>
      <c r="R500" s="849">
        <v>0.0</v>
      </c>
      <c r="S500" s="849">
        <v>0.0</v>
      </c>
      <c r="T500" s="849">
        <v>0.0</v>
      </c>
      <c r="U500" s="849">
        <v>0.0</v>
      </c>
      <c r="V500" s="849">
        <v>0.0</v>
      </c>
      <c r="W500" s="849">
        <v>0.0</v>
      </c>
      <c r="X500" s="849">
        <v>0.0</v>
      </c>
      <c r="Y500" s="849">
        <v>0.0</v>
      </c>
      <c r="Z500" s="849">
        <v>0.0</v>
      </c>
      <c r="AA500" s="849">
        <v>0.0</v>
      </c>
      <c r="AB500" s="849">
        <v>0.0</v>
      </c>
      <c r="AC500" s="849">
        <v>0.0</v>
      </c>
      <c r="AD500" s="849">
        <v>0.0</v>
      </c>
      <c r="AE500" s="849">
        <v>0.0</v>
      </c>
      <c r="AF500" s="849">
        <v>0.0</v>
      </c>
      <c r="AG500" s="849">
        <v>0.0</v>
      </c>
      <c r="AH500" s="849">
        <v>0.0</v>
      </c>
      <c r="AI500" s="849">
        <v>0.0</v>
      </c>
      <c r="AJ500" s="794" t="str">
        <f t="shared" ref="AJ500:AK500" si="997">C500</f>
        <v>G30040</v>
      </c>
      <c r="AK500" s="794" t="str">
        <f t="shared" si="997"/>
        <v>AVANCE REMARK. AUTO CANAD</v>
      </c>
      <c r="AL500" s="794">
        <f t="array" ref="AL500">IFERROR(INDEX(G500:R500,1,MATCH(Parametres!$B$3,G$1:R$1,0)-1)*IF(OR(F500="L",F500="S",F500="I"),-1,1),"")</f>
        <v>55500</v>
      </c>
      <c r="AM500" s="794">
        <f t="shared" si="4"/>
        <v>0</v>
      </c>
      <c r="AN500" s="794">
        <f t="array" ref="AN500">INDEX(G500:R500,1,MATCH(Parametres!$B$3,G$1:R$1,0))*IF(OR(F500="L",F500="S",F500="I"),-1,1)</f>
        <v>55500</v>
      </c>
      <c r="AO500" s="853" t="str">
        <f>+VLOOKUP($AJ500,Data_Validation!$A:$D,1,0)</f>
        <v>G30040</v>
      </c>
      <c r="AP500" s="853" t="str">
        <f>+VLOOKUP($AJ500,Data_Validation!$A:$D,3,0)</f>
        <v>Bilan</v>
      </c>
      <c r="AQ500" s="853" t="str">
        <f>+VLOOKUP($AJ500,Data_Validation!$A:$D,4,0)</f>
        <v>Payables Intercos</v>
      </c>
      <c r="AR500" s="853" t="s">
        <v>728</v>
      </c>
      <c r="AS500" s="853" t="str">
        <f>+VLOOKUP($AJ500,Data_Validation!$A:$E,5,0)</f>
        <v/>
      </c>
      <c r="AT500" s="794" t="str">
        <f t="shared" ref="AT500:AU500" si="998">C500</f>
        <v>G30040</v>
      </c>
      <c r="AU500" s="854" t="str">
        <f t="shared" si="998"/>
        <v>AVANCE REMARK. AUTO CANAD</v>
      </c>
      <c r="AV500" s="794">
        <f t="array" ref="AV500">IFERROR(INDEX(V500:AG500,1,MATCH(Parametres!$B$3,V$1:AG$1,0)-1)*IF(OR(C500="L",C500="S",C500="I"),-1,1),"")</f>
        <v>0</v>
      </c>
      <c r="AW500" s="794">
        <f t="shared" si="6"/>
        <v>0</v>
      </c>
      <c r="AX500" s="794">
        <f t="array" ref="AX500">INDEX(V500:AG500,1,MATCH(Parametres!$B$3,V$1:AG$1,0))*IF(OR(C500="L",C500="S",C500="I"),-1,1)</f>
        <v>0</v>
      </c>
      <c r="AY500" s="853" t="s">
        <v>772</v>
      </c>
      <c r="AZ500" s="853" t="str">
        <f>+VLOOKUP($AJ500,Data_Validation!$A:$E,5,0)</f>
        <v/>
      </c>
    </row>
    <row r="501" ht="15.0" customHeight="1">
      <c r="A501" s="849" t="s">
        <v>1239</v>
      </c>
      <c r="B501" s="849">
        <v>2026.0</v>
      </c>
      <c r="C501" s="849" t="s">
        <v>2228</v>
      </c>
      <c r="D501" s="849" t="s">
        <v>2229</v>
      </c>
      <c r="E501" s="849" t="s">
        <v>771</v>
      </c>
      <c r="F501" s="849" t="s">
        <v>2057</v>
      </c>
      <c r="G501" s="849">
        <v>0.0</v>
      </c>
      <c r="H501" s="849">
        <v>0.0</v>
      </c>
      <c r="I501" s="849">
        <v>0.0</v>
      </c>
      <c r="J501" s="849">
        <v>0.0</v>
      </c>
      <c r="K501" s="849">
        <v>0.0</v>
      </c>
      <c r="L501" s="849">
        <v>0.0</v>
      </c>
      <c r="M501" s="849">
        <v>0.0</v>
      </c>
      <c r="N501" s="849">
        <v>0.0</v>
      </c>
      <c r="O501" s="849">
        <v>0.0</v>
      </c>
      <c r="P501" s="849">
        <v>0.0</v>
      </c>
      <c r="Q501" s="849">
        <v>0.0</v>
      </c>
      <c r="R501" s="849">
        <v>0.0</v>
      </c>
      <c r="S501" s="849">
        <v>0.0</v>
      </c>
      <c r="T501" s="849">
        <v>0.0</v>
      </c>
      <c r="U501" s="849">
        <v>0.0</v>
      </c>
      <c r="V501" s="849">
        <v>0.0</v>
      </c>
      <c r="W501" s="849">
        <v>0.0</v>
      </c>
      <c r="X501" s="849">
        <v>0.0</v>
      </c>
      <c r="Y501" s="849">
        <v>0.0</v>
      </c>
      <c r="Z501" s="849">
        <v>0.0</v>
      </c>
      <c r="AA501" s="849">
        <v>0.0</v>
      </c>
      <c r="AB501" s="849">
        <v>0.0</v>
      </c>
      <c r="AC501" s="849">
        <v>0.0</v>
      </c>
      <c r="AD501" s="849">
        <v>0.0</v>
      </c>
      <c r="AE501" s="849">
        <v>0.0</v>
      </c>
      <c r="AF501" s="849">
        <v>0.0</v>
      </c>
      <c r="AG501" s="849">
        <v>0.0</v>
      </c>
      <c r="AH501" s="849">
        <v>0.0</v>
      </c>
      <c r="AI501" s="849">
        <v>0.0</v>
      </c>
      <c r="AJ501" s="794" t="str">
        <f t="shared" ref="AJ501:AK501" si="999">C501</f>
        <v>G30041</v>
      </c>
      <c r="AK501" s="794" t="str">
        <f t="shared" si="999"/>
        <v>AP VEH LOCATION LMB</v>
      </c>
      <c r="AL501" s="794">
        <f t="array" ref="AL501">IFERROR(INDEX(G501:R501,1,MATCH(Parametres!$B$3,G$1:R$1,0)-1)*IF(OR(F501="L",F501="S",F501="I"),-1,1),"")</f>
        <v>0</v>
      </c>
      <c r="AM501" s="794">
        <f t="shared" si="4"/>
        <v>0</v>
      </c>
      <c r="AN501" s="794">
        <f t="array" ref="AN501">INDEX(G501:R501,1,MATCH(Parametres!$B$3,G$1:R$1,0))*IF(OR(F501="L",F501="S",F501="I"),-1,1)</f>
        <v>0</v>
      </c>
      <c r="AO501" s="853" t="str">
        <f>+VLOOKUP($AJ501,Data_Validation!$A:$D,1,0)</f>
        <v>#N/A</v>
      </c>
      <c r="AP501" s="853" t="str">
        <f>+VLOOKUP($AJ501,Data_Validation!$A:$D,3,0)</f>
        <v>#N/A</v>
      </c>
      <c r="AQ501" s="853" t="str">
        <f>+VLOOKUP($AJ501,Data_Validation!$A:$D,4,0)</f>
        <v>#N/A</v>
      </c>
      <c r="AR501" s="853" t="s">
        <v>728</v>
      </c>
      <c r="AS501" s="853" t="str">
        <f>+VLOOKUP($AJ501,Data_Validation!$A:$E,5,0)</f>
        <v>#N/A</v>
      </c>
      <c r="AT501" s="794" t="str">
        <f t="shared" ref="AT501:AU501" si="1000">C501</f>
        <v>G30041</v>
      </c>
      <c r="AU501" s="854" t="str">
        <f t="shared" si="1000"/>
        <v>AP VEH LOCATION LMB</v>
      </c>
      <c r="AV501" s="794">
        <f t="array" ref="AV501">IFERROR(INDEX(V501:AG501,1,MATCH(Parametres!$B$3,V$1:AG$1,0)-1)*IF(OR(C501="L",C501="S",C501="I"),-1,1),"")</f>
        <v>0</v>
      </c>
      <c r="AW501" s="794">
        <f t="shared" si="6"/>
        <v>0</v>
      </c>
      <c r="AX501" s="794">
        <f t="array" ref="AX501">INDEX(V501:AG501,1,MATCH(Parametres!$B$3,V$1:AG$1,0))*IF(OR(C501="L",C501="S",C501="I"),-1,1)</f>
        <v>0</v>
      </c>
      <c r="AY501" s="853" t="s">
        <v>772</v>
      </c>
      <c r="AZ501" s="853" t="str">
        <f>+VLOOKUP($AJ501,Data_Validation!$A:$E,5,0)</f>
        <v>#N/A</v>
      </c>
    </row>
    <row r="502" ht="15.0" customHeight="1">
      <c r="A502" s="849" t="s">
        <v>1239</v>
      </c>
      <c r="B502" s="849">
        <v>2026.0</v>
      </c>
      <c r="C502" s="849" t="s">
        <v>2230</v>
      </c>
      <c r="D502" s="849" t="s">
        <v>2231</v>
      </c>
      <c r="E502" s="849" t="s">
        <v>768</v>
      </c>
      <c r="F502" s="849" t="s">
        <v>2057</v>
      </c>
      <c r="G502" s="849">
        <v>3562.0</v>
      </c>
      <c r="H502" s="849">
        <v>3562.0</v>
      </c>
      <c r="I502" s="849">
        <v>3562.0</v>
      </c>
      <c r="J502" s="849">
        <v>3562.0</v>
      </c>
      <c r="K502" s="849">
        <v>3562.0</v>
      </c>
      <c r="L502" s="849">
        <v>3562.0</v>
      </c>
      <c r="M502" s="849">
        <v>3562.0</v>
      </c>
      <c r="N502" s="849">
        <v>3562.0</v>
      </c>
      <c r="O502" s="849">
        <v>3562.0</v>
      </c>
      <c r="P502" s="849">
        <v>3562.0</v>
      </c>
      <c r="Q502" s="849">
        <v>0.0</v>
      </c>
      <c r="R502" s="849">
        <v>0.0</v>
      </c>
      <c r="S502" s="849">
        <v>0.0</v>
      </c>
      <c r="T502" s="849">
        <v>0.0</v>
      </c>
      <c r="U502" s="849">
        <v>0.0</v>
      </c>
      <c r="V502" s="849">
        <v>0.0</v>
      </c>
      <c r="W502" s="849">
        <v>0.0</v>
      </c>
      <c r="X502" s="849">
        <v>0.0</v>
      </c>
      <c r="Y502" s="849">
        <v>0.0</v>
      </c>
      <c r="Z502" s="849">
        <v>0.0</v>
      </c>
      <c r="AA502" s="849">
        <v>0.0</v>
      </c>
      <c r="AB502" s="849">
        <v>0.0</v>
      </c>
      <c r="AC502" s="849">
        <v>0.0</v>
      </c>
      <c r="AD502" s="849">
        <v>0.0</v>
      </c>
      <c r="AE502" s="849">
        <v>0.0</v>
      </c>
      <c r="AF502" s="849">
        <v>0.0</v>
      </c>
      <c r="AG502" s="849">
        <v>0.0</v>
      </c>
      <c r="AH502" s="849">
        <v>0.0</v>
      </c>
      <c r="AI502" s="849">
        <v>0.0</v>
      </c>
      <c r="AJ502" s="794" t="str">
        <f t="shared" ref="AJ502:AK502" si="1001">C502</f>
        <v>G30045</v>
      </c>
      <c r="AK502" s="794" t="str">
        <f t="shared" si="1001"/>
        <v>AVANCE 9046-6640 QC INC</v>
      </c>
      <c r="AL502" s="794">
        <f t="array" ref="AL502">IFERROR(INDEX(G502:R502,1,MATCH(Parametres!$B$3,G$1:R$1,0)-1)*IF(OR(F502="L",F502="S",F502="I"),-1,1),"")</f>
        <v>-3562</v>
      </c>
      <c r="AM502" s="794">
        <f t="shared" si="4"/>
        <v>0</v>
      </c>
      <c r="AN502" s="794">
        <f t="array" ref="AN502">INDEX(G502:R502,1,MATCH(Parametres!$B$3,G$1:R$1,0))*IF(OR(F502="L",F502="S",F502="I"),-1,1)</f>
        <v>-3562</v>
      </c>
      <c r="AO502" s="853" t="str">
        <f>+VLOOKUP($AJ502,Data_Validation!$A:$D,1,0)</f>
        <v>G30045</v>
      </c>
      <c r="AP502" s="853" t="str">
        <f>+VLOOKUP($AJ502,Data_Validation!$A:$D,3,0)</f>
        <v>Bilan</v>
      </c>
      <c r="AQ502" s="853" t="str">
        <f>+VLOOKUP($AJ502,Data_Validation!$A:$D,4,0)</f>
        <v>Payables Intercos</v>
      </c>
      <c r="AR502" s="853" t="s">
        <v>728</v>
      </c>
      <c r="AS502" s="853" t="str">
        <f>+VLOOKUP($AJ502,Data_Validation!$A:$E,5,0)</f>
        <v/>
      </c>
      <c r="AT502" s="794" t="str">
        <f t="shared" ref="AT502:AU502" si="1002">C502</f>
        <v>G30045</v>
      </c>
      <c r="AU502" s="854" t="str">
        <f t="shared" si="1002"/>
        <v>AVANCE 9046-6640 QC INC</v>
      </c>
      <c r="AV502" s="794">
        <f t="array" ref="AV502">IFERROR(INDEX(V502:AG502,1,MATCH(Parametres!$B$3,V$1:AG$1,0)-1)*IF(OR(C502="L",C502="S",C502="I"),-1,1),"")</f>
        <v>0</v>
      </c>
      <c r="AW502" s="794">
        <f t="shared" si="6"/>
        <v>0</v>
      </c>
      <c r="AX502" s="794">
        <f t="array" ref="AX502">INDEX(V502:AG502,1,MATCH(Parametres!$B$3,V$1:AG$1,0))*IF(OR(C502="L",C502="S",C502="I"),-1,1)</f>
        <v>0</v>
      </c>
      <c r="AY502" s="853" t="s">
        <v>772</v>
      </c>
      <c r="AZ502" s="853" t="str">
        <f>+VLOOKUP($AJ502,Data_Validation!$A:$E,5,0)</f>
        <v/>
      </c>
    </row>
    <row r="503" ht="15.0" customHeight="1">
      <c r="A503" s="849" t="s">
        <v>1239</v>
      </c>
      <c r="B503" s="849">
        <v>2026.0</v>
      </c>
      <c r="C503" s="849" t="s">
        <v>2232</v>
      </c>
      <c r="D503" s="849" t="s">
        <v>2233</v>
      </c>
      <c r="E503" s="849" t="s">
        <v>768</v>
      </c>
      <c r="F503" s="849" t="s">
        <v>2057</v>
      </c>
      <c r="G503" s="849">
        <v>0.0</v>
      </c>
      <c r="H503" s="849">
        <v>0.0</v>
      </c>
      <c r="I503" s="849">
        <v>0.0</v>
      </c>
      <c r="J503" s="849">
        <v>0.0</v>
      </c>
      <c r="K503" s="849">
        <v>0.0</v>
      </c>
      <c r="L503" s="849">
        <v>0.0</v>
      </c>
      <c r="M503" s="849">
        <v>0.0</v>
      </c>
      <c r="N503" s="849">
        <v>0.0</v>
      </c>
      <c r="O503" s="849">
        <v>0.0</v>
      </c>
      <c r="P503" s="849">
        <v>0.0</v>
      </c>
      <c r="Q503" s="849">
        <v>0.0</v>
      </c>
      <c r="R503" s="849">
        <v>0.0</v>
      </c>
      <c r="S503" s="849">
        <v>0.0</v>
      </c>
      <c r="T503" s="849">
        <v>0.0</v>
      </c>
      <c r="U503" s="849">
        <v>0.0</v>
      </c>
      <c r="V503" s="849">
        <v>0.0</v>
      </c>
      <c r="W503" s="849">
        <v>0.0</v>
      </c>
      <c r="X503" s="849">
        <v>0.0</v>
      </c>
      <c r="Y503" s="849">
        <v>0.0</v>
      </c>
      <c r="Z503" s="849">
        <v>0.0</v>
      </c>
      <c r="AA503" s="849">
        <v>0.0</v>
      </c>
      <c r="AB503" s="849">
        <v>0.0</v>
      </c>
      <c r="AC503" s="849">
        <v>0.0</v>
      </c>
      <c r="AD503" s="849">
        <v>0.0</v>
      </c>
      <c r="AE503" s="849">
        <v>0.0</v>
      </c>
      <c r="AF503" s="849">
        <v>0.0</v>
      </c>
      <c r="AG503" s="849">
        <v>0.0</v>
      </c>
      <c r="AH503" s="849">
        <v>0.0</v>
      </c>
      <c r="AI503" s="849">
        <v>0.0</v>
      </c>
      <c r="AJ503" s="794" t="str">
        <f t="shared" ref="AJ503:AK503" si="1003">C503</f>
        <v>G30046</v>
      </c>
      <c r="AK503" s="794" t="str">
        <f t="shared" si="1003"/>
        <v>AVANCE HYUNDAI ST-CONSTAN</v>
      </c>
      <c r="AL503" s="794">
        <f t="array" ref="AL503">IFERROR(INDEX(G503:R503,1,MATCH(Parametres!$B$3,G$1:R$1,0)-1)*IF(OR(F503="L",F503="S",F503="I"),-1,1),"")</f>
        <v>0</v>
      </c>
      <c r="AM503" s="794">
        <f t="shared" si="4"/>
        <v>0</v>
      </c>
      <c r="AN503" s="794">
        <f t="array" ref="AN503">INDEX(G503:R503,1,MATCH(Parametres!$B$3,G$1:R$1,0))*IF(OR(F503="L",F503="S",F503="I"),-1,1)</f>
        <v>0</v>
      </c>
      <c r="AO503" s="853" t="str">
        <f>+VLOOKUP($AJ503,Data_Validation!$A:$D,1,0)</f>
        <v>G30046</v>
      </c>
      <c r="AP503" s="853" t="str">
        <f>+VLOOKUP($AJ503,Data_Validation!$A:$D,3,0)</f>
        <v>Bilan</v>
      </c>
      <c r="AQ503" s="853" t="str">
        <f>+VLOOKUP($AJ503,Data_Validation!$A:$D,4,0)</f>
        <v>Payables Intercos</v>
      </c>
      <c r="AR503" s="853" t="s">
        <v>728</v>
      </c>
      <c r="AS503" s="853" t="str">
        <f>+VLOOKUP($AJ503,Data_Validation!$A:$E,5,0)</f>
        <v/>
      </c>
      <c r="AT503" s="794" t="str">
        <f t="shared" ref="AT503:AU503" si="1004">C503</f>
        <v>G30046</v>
      </c>
      <c r="AU503" s="854" t="str">
        <f t="shared" si="1004"/>
        <v>AVANCE HYUNDAI ST-CONSTAN</v>
      </c>
      <c r="AV503" s="794">
        <f t="array" ref="AV503">IFERROR(INDEX(V503:AG503,1,MATCH(Parametres!$B$3,V$1:AG$1,0)-1)*IF(OR(C503="L",C503="S",C503="I"),-1,1),"")</f>
        <v>0</v>
      </c>
      <c r="AW503" s="794">
        <f t="shared" si="6"/>
        <v>0</v>
      </c>
      <c r="AX503" s="794">
        <f t="array" ref="AX503">INDEX(V503:AG503,1,MATCH(Parametres!$B$3,V$1:AG$1,0))*IF(OR(C503="L",C503="S",C503="I"),-1,1)</f>
        <v>0</v>
      </c>
      <c r="AY503" s="853" t="s">
        <v>772</v>
      </c>
      <c r="AZ503" s="853" t="str">
        <f>+VLOOKUP($AJ503,Data_Validation!$A:$E,5,0)</f>
        <v/>
      </c>
    </row>
    <row r="504" ht="15.0" customHeight="1">
      <c r="A504" s="849" t="s">
        <v>1239</v>
      </c>
      <c r="B504" s="849">
        <v>2026.0</v>
      </c>
      <c r="C504" s="849" t="s">
        <v>2234</v>
      </c>
      <c r="D504" s="849" t="s">
        <v>2235</v>
      </c>
      <c r="E504" s="849" t="s">
        <v>768</v>
      </c>
      <c r="F504" s="849" t="s">
        <v>2057</v>
      </c>
      <c r="G504" s="849">
        <v>0.0</v>
      </c>
      <c r="H504" s="849">
        <v>0.0</v>
      </c>
      <c r="I504" s="849">
        <v>0.0</v>
      </c>
      <c r="J504" s="849">
        <v>0.0</v>
      </c>
      <c r="K504" s="849">
        <v>0.0</v>
      </c>
      <c r="L504" s="849">
        <v>0.0</v>
      </c>
      <c r="M504" s="849">
        <v>0.0</v>
      </c>
      <c r="N504" s="849">
        <v>0.0</v>
      </c>
      <c r="O504" s="849">
        <v>0.0</v>
      </c>
      <c r="P504" s="849">
        <v>0.0</v>
      </c>
      <c r="Q504" s="849">
        <v>0.0</v>
      </c>
      <c r="R504" s="849">
        <v>0.0</v>
      </c>
      <c r="S504" s="849">
        <v>0.0</v>
      </c>
      <c r="T504" s="849">
        <v>0.0</v>
      </c>
      <c r="U504" s="849">
        <v>0.0</v>
      </c>
      <c r="V504" s="849">
        <v>0.0</v>
      </c>
      <c r="W504" s="849">
        <v>0.0</v>
      </c>
      <c r="X504" s="849">
        <v>0.0</v>
      </c>
      <c r="Y504" s="849">
        <v>0.0</v>
      </c>
      <c r="Z504" s="849">
        <v>0.0</v>
      </c>
      <c r="AA504" s="849">
        <v>0.0</v>
      </c>
      <c r="AB504" s="849">
        <v>0.0</v>
      </c>
      <c r="AC504" s="849">
        <v>0.0</v>
      </c>
      <c r="AD504" s="849">
        <v>0.0</v>
      </c>
      <c r="AE504" s="849">
        <v>0.0</v>
      </c>
      <c r="AF504" s="849">
        <v>0.0</v>
      </c>
      <c r="AG504" s="849">
        <v>0.0</v>
      </c>
      <c r="AH504" s="849">
        <v>0.0</v>
      </c>
      <c r="AI504" s="849">
        <v>0.0</v>
      </c>
      <c r="AJ504" s="794" t="str">
        <f t="shared" ref="AJ504:AK504" si="1005">C504</f>
        <v>G30047</v>
      </c>
      <c r="AK504" s="794" t="str">
        <f t="shared" si="1005"/>
        <v>AVANCE - PAUL LOISELLE</v>
      </c>
      <c r="AL504" s="794">
        <f t="array" ref="AL504">IFERROR(INDEX(G504:R504,1,MATCH(Parametres!$B$3,G$1:R$1,0)-1)*IF(OR(F504="L",F504="S",F504="I"),-1,1),"")</f>
        <v>0</v>
      </c>
      <c r="AM504" s="794">
        <f t="shared" si="4"/>
        <v>0</v>
      </c>
      <c r="AN504" s="794">
        <f t="array" ref="AN504">INDEX(G504:R504,1,MATCH(Parametres!$B$3,G$1:R$1,0))*IF(OR(F504="L",F504="S",F504="I"),-1,1)</f>
        <v>0</v>
      </c>
      <c r="AO504" s="853" t="str">
        <f>+VLOOKUP($AJ504,Data_Validation!$A:$D,1,0)</f>
        <v>G30047</v>
      </c>
      <c r="AP504" s="853" t="str">
        <f>+VLOOKUP($AJ504,Data_Validation!$A:$D,3,0)</f>
        <v>Bilan</v>
      </c>
      <c r="AQ504" s="853" t="str">
        <f>+VLOOKUP($AJ504,Data_Validation!$A:$D,4,0)</f>
        <v>Payables Intercos</v>
      </c>
      <c r="AR504" s="853" t="s">
        <v>728</v>
      </c>
      <c r="AS504" s="853" t="str">
        <f>+VLOOKUP($AJ504,Data_Validation!$A:$E,5,0)</f>
        <v/>
      </c>
      <c r="AT504" s="794" t="str">
        <f t="shared" ref="AT504:AU504" si="1006">C504</f>
        <v>G30047</v>
      </c>
      <c r="AU504" s="854" t="str">
        <f t="shared" si="1006"/>
        <v>AVANCE - PAUL LOISELLE</v>
      </c>
      <c r="AV504" s="794">
        <f t="array" ref="AV504">IFERROR(INDEX(V504:AG504,1,MATCH(Parametres!$B$3,V$1:AG$1,0)-1)*IF(OR(C504="L",C504="S",C504="I"),-1,1),"")</f>
        <v>0</v>
      </c>
      <c r="AW504" s="794">
        <f t="shared" si="6"/>
        <v>0</v>
      </c>
      <c r="AX504" s="794">
        <f t="array" ref="AX504">INDEX(V504:AG504,1,MATCH(Parametres!$B$3,V$1:AG$1,0))*IF(OR(C504="L",C504="S",C504="I"),-1,1)</f>
        <v>0</v>
      </c>
      <c r="AY504" s="853" t="s">
        <v>772</v>
      </c>
      <c r="AZ504" s="853" t="str">
        <f>+VLOOKUP($AJ504,Data_Validation!$A:$E,5,0)</f>
        <v/>
      </c>
    </row>
    <row r="505" ht="15.0" customHeight="1">
      <c r="A505" s="849" t="s">
        <v>1239</v>
      </c>
      <c r="B505" s="849">
        <v>2026.0</v>
      </c>
      <c r="C505" s="849" t="s">
        <v>2236</v>
      </c>
      <c r="D505" s="849" t="s">
        <v>2237</v>
      </c>
      <c r="E505" s="849" t="s">
        <v>768</v>
      </c>
      <c r="F505" s="849" t="s">
        <v>2057</v>
      </c>
      <c r="G505" s="849">
        <v>0.0</v>
      </c>
      <c r="H505" s="849">
        <v>0.0</v>
      </c>
      <c r="I505" s="849">
        <v>0.0</v>
      </c>
      <c r="J505" s="849">
        <v>0.0</v>
      </c>
      <c r="K505" s="849">
        <v>0.0</v>
      </c>
      <c r="L505" s="849">
        <v>0.0</v>
      </c>
      <c r="M505" s="849">
        <v>0.0</v>
      </c>
      <c r="N505" s="849">
        <v>0.0</v>
      </c>
      <c r="O505" s="849">
        <v>0.0</v>
      </c>
      <c r="P505" s="849">
        <v>0.0</v>
      </c>
      <c r="Q505" s="849">
        <v>0.0</v>
      </c>
      <c r="R505" s="849">
        <v>0.0</v>
      </c>
      <c r="S505" s="849">
        <v>0.0</v>
      </c>
      <c r="T505" s="849">
        <v>0.0</v>
      </c>
      <c r="U505" s="849">
        <v>0.0</v>
      </c>
      <c r="V505" s="849">
        <v>0.0</v>
      </c>
      <c r="W505" s="849">
        <v>0.0</v>
      </c>
      <c r="X505" s="849">
        <v>0.0</v>
      </c>
      <c r="Y505" s="849">
        <v>0.0</v>
      </c>
      <c r="Z505" s="849">
        <v>0.0</v>
      </c>
      <c r="AA505" s="849">
        <v>0.0</v>
      </c>
      <c r="AB505" s="849">
        <v>0.0</v>
      </c>
      <c r="AC505" s="849">
        <v>0.0</v>
      </c>
      <c r="AD505" s="849">
        <v>0.0</v>
      </c>
      <c r="AE505" s="849">
        <v>0.0</v>
      </c>
      <c r="AF505" s="849">
        <v>0.0</v>
      </c>
      <c r="AG505" s="849">
        <v>0.0</v>
      </c>
      <c r="AH505" s="849">
        <v>0.0</v>
      </c>
      <c r="AI505" s="849">
        <v>0.0</v>
      </c>
      <c r="AJ505" s="794" t="str">
        <f t="shared" ref="AJ505:AK505" si="1007">C505</f>
        <v>G30048</v>
      </c>
      <c r="AK505" s="794" t="str">
        <f t="shared" si="1007"/>
        <v>AVANCE LUC POIRIER</v>
      </c>
      <c r="AL505" s="794">
        <f t="array" ref="AL505">IFERROR(INDEX(G505:R505,1,MATCH(Parametres!$B$3,G$1:R$1,0)-1)*IF(OR(F505="L",F505="S",F505="I"),-1,1),"")</f>
        <v>0</v>
      </c>
      <c r="AM505" s="794">
        <f t="shared" si="4"/>
        <v>0</v>
      </c>
      <c r="AN505" s="794">
        <f t="array" ref="AN505">INDEX(G505:R505,1,MATCH(Parametres!$B$3,G$1:R$1,0))*IF(OR(F505="L",F505="S",F505="I"),-1,1)</f>
        <v>0</v>
      </c>
      <c r="AO505" s="853" t="str">
        <f>+VLOOKUP($AJ505,Data_Validation!$A:$D,1,0)</f>
        <v>G30048</v>
      </c>
      <c r="AP505" s="853" t="str">
        <f>+VLOOKUP($AJ505,Data_Validation!$A:$D,3,0)</f>
        <v/>
      </c>
      <c r="AQ505" s="853" t="str">
        <f>+VLOOKUP($AJ505,Data_Validation!$A:$D,4,0)</f>
        <v/>
      </c>
      <c r="AR505" s="853" t="s">
        <v>728</v>
      </c>
      <c r="AS505" s="853" t="str">
        <f>+VLOOKUP($AJ505,Data_Validation!$A:$E,5,0)</f>
        <v/>
      </c>
      <c r="AT505" s="794" t="str">
        <f t="shared" ref="AT505:AU505" si="1008">C505</f>
        <v>G30048</v>
      </c>
      <c r="AU505" s="854" t="str">
        <f t="shared" si="1008"/>
        <v>AVANCE LUC POIRIER</v>
      </c>
      <c r="AV505" s="794">
        <f t="array" ref="AV505">IFERROR(INDEX(V505:AG505,1,MATCH(Parametres!$B$3,V$1:AG$1,0)-1)*IF(OR(C505="L",C505="S",C505="I"),-1,1),"")</f>
        <v>0</v>
      </c>
      <c r="AW505" s="794">
        <f t="shared" si="6"/>
        <v>0</v>
      </c>
      <c r="AX505" s="794">
        <f t="array" ref="AX505">INDEX(V505:AG505,1,MATCH(Parametres!$B$3,V$1:AG$1,0))*IF(OR(C505="L",C505="S",C505="I"),-1,1)</f>
        <v>0</v>
      </c>
      <c r="AY505" s="853" t="s">
        <v>772</v>
      </c>
      <c r="AZ505" s="853" t="str">
        <f>+VLOOKUP($AJ505,Data_Validation!$A:$E,5,0)</f>
        <v/>
      </c>
    </row>
    <row r="506" ht="15.0" customHeight="1">
      <c r="A506" s="849" t="s">
        <v>1239</v>
      </c>
      <c r="B506" s="849">
        <v>2026.0</v>
      </c>
      <c r="C506" s="849" t="s">
        <v>2238</v>
      </c>
      <c r="D506" s="849" t="s">
        <v>2239</v>
      </c>
      <c r="E506" s="849" t="s">
        <v>2115</v>
      </c>
      <c r="F506" s="849" t="s">
        <v>2057</v>
      </c>
      <c r="G506" s="849">
        <v>0.0</v>
      </c>
      <c r="H506" s="849">
        <v>0.0</v>
      </c>
      <c r="I506" s="849">
        <v>991.0</v>
      </c>
      <c r="J506" s="849">
        <v>991.0</v>
      </c>
      <c r="K506" s="849">
        <v>991.0</v>
      </c>
      <c r="L506" s="849">
        <v>991.0</v>
      </c>
      <c r="M506" s="849">
        <v>-93508.06</v>
      </c>
      <c r="N506" s="849">
        <v>-100883.1</v>
      </c>
      <c r="O506" s="849">
        <v>-89700.56</v>
      </c>
      <c r="P506" s="849">
        <v>-89700.56</v>
      </c>
      <c r="Q506" s="849">
        <v>0.0</v>
      </c>
      <c r="R506" s="849">
        <v>0.0</v>
      </c>
      <c r="S506" s="849">
        <v>0.0</v>
      </c>
      <c r="T506" s="849">
        <v>0.0</v>
      </c>
      <c r="U506" s="849">
        <v>0.0</v>
      </c>
      <c r="V506" s="849">
        <v>0.0</v>
      </c>
      <c r="W506" s="849">
        <v>0.0</v>
      </c>
      <c r="X506" s="849">
        <v>0.0</v>
      </c>
      <c r="Y506" s="849">
        <v>0.0</v>
      </c>
      <c r="Z506" s="849">
        <v>0.0</v>
      </c>
      <c r="AA506" s="849">
        <v>0.0</v>
      </c>
      <c r="AB506" s="849">
        <v>0.0</v>
      </c>
      <c r="AC506" s="849">
        <v>0.0</v>
      </c>
      <c r="AD506" s="849">
        <v>0.0</v>
      </c>
      <c r="AE506" s="849">
        <v>0.0</v>
      </c>
      <c r="AF506" s="849">
        <v>0.0</v>
      </c>
      <c r="AG506" s="849">
        <v>0.0</v>
      </c>
      <c r="AH506" s="849">
        <v>0.0</v>
      </c>
      <c r="AI506" s="849">
        <v>0.0</v>
      </c>
      <c r="AJ506" s="794" t="str">
        <f t="shared" ref="AJ506:AK506" si="1009">C506</f>
        <v>G30050</v>
      </c>
      <c r="AK506" s="794" t="str">
        <f t="shared" si="1009"/>
        <v>REVENUS DIFFERES</v>
      </c>
      <c r="AL506" s="794">
        <f t="array" ref="AL506">IFERROR(INDEX(G506:R506,1,MATCH(Parametres!$B$3,G$1:R$1,0)-1)*IF(OR(F506="L",F506="S",F506="I"),-1,1),"")</f>
        <v>100883.1</v>
      </c>
      <c r="AM506" s="794">
        <f t="shared" si="4"/>
        <v>-11182.54</v>
      </c>
      <c r="AN506" s="794">
        <f t="array" ref="AN506">INDEX(G506:R506,1,MATCH(Parametres!$B$3,G$1:R$1,0))*IF(OR(F506="L",F506="S",F506="I"),-1,1)</f>
        <v>89700.56</v>
      </c>
      <c r="AO506" s="853" t="str">
        <f>+VLOOKUP($AJ506,Data_Validation!$A:$D,1,0)</f>
        <v>G30050</v>
      </c>
      <c r="AP506" s="853" t="str">
        <f>+VLOOKUP($AJ506,Data_Validation!$A:$D,3,0)</f>
        <v>Bilan</v>
      </c>
      <c r="AQ506" s="853" t="str">
        <f>+VLOOKUP($AJ506,Data_Validation!$A:$D,4,0)</f>
        <v>Autres Courus</v>
      </c>
      <c r="AR506" s="853" t="s">
        <v>728</v>
      </c>
      <c r="AS506" s="853" t="str">
        <f>+VLOOKUP($AJ506,Data_Validation!$A:$E,5,0)</f>
        <v/>
      </c>
      <c r="AT506" s="794" t="str">
        <f t="shared" ref="AT506:AU506" si="1010">C506</f>
        <v>G30050</v>
      </c>
      <c r="AU506" s="854" t="str">
        <f t="shared" si="1010"/>
        <v>REVENUS DIFFERES</v>
      </c>
      <c r="AV506" s="794">
        <f t="array" ref="AV506">IFERROR(INDEX(V506:AG506,1,MATCH(Parametres!$B$3,V$1:AG$1,0)-1)*IF(OR(C506="L",C506="S",C506="I"),-1,1),"")</f>
        <v>0</v>
      </c>
      <c r="AW506" s="794">
        <f t="shared" si="6"/>
        <v>0</v>
      </c>
      <c r="AX506" s="794">
        <f t="array" ref="AX506">INDEX(V506:AG506,1,MATCH(Parametres!$B$3,V$1:AG$1,0))*IF(OR(C506="L",C506="S",C506="I"),-1,1)</f>
        <v>0</v>
      </c>
      <c r="AY506" s="853" t="s">
        <v>772</v>
      </c>
      <c r="AZ506" s="853" t="str">
        <f>+VLOOKUP($AJ506,Data_Validation!$A:$E,5,0)</f>
        <v/>
      </c>
    </row>
    <row r="507" ht="15.0" customHeight="1">
      <c r="A507" s="849" t="s">
        <v>1239</v>
      </c>
      <c r="B507" s="849">
        <v>2026.0</v>
      </c>
      <c r="C507" s="849" t="s">
        <v>2240</v>
      </c>
      <c r="D507" s="849" t="s">
        <v>2241</v>
      </c>
      <c r="E507" s="849" t="s">
        <v>2115</v>
      </c>
      <c r="F507" s="849" t="s">
        <v>2057</v>
      </c>
      <c r="G507" s="849">
        <v>289413.49</v>
      </c>
      <c r="H507" s="849">
        <v>363152.12</v>
      </c>
      <c r="I507" s="849">
        <v>480330.18</v>
      </c>
      <c r="J507" s="849">
        <v>469909.63</v>
      </c>
      <c r="K507" s="849">
        <v>549896.92</v>
      </c>
      <c r="L507" s="849">
        <v>611748.11</v>
      </c>
      <c r="M507" s="849">
        <v>664272.38</v>
      </c>
      <c r="N507" s="849">
        <v>564818.21</v>
      </c>
      <c r="O507" s="849">
        <v>578170.39</v>
      </c>
      <c r="P507" s="849">
        <v>578470.39</v>
      </c>
      <c r="Q507" s="849">
        <v>0.0</v>
      </c>
      <c r="R507" s="849">
        <v>0.0</v>
      </c>
      <c r="S507" s="849">
        <v>0.0</v>
      </c>
      <c r="T507" s="849">
        <v>0.0</v>
      </c>
      <c r="U507" s="849">
        <v>0.0</v>
      </c>
      <c r="V507" s="849">
        <v>0.0</v>
      </c>
      <c r="W507" s="849">
        <v>0.0</v>
      </c>
      <c r="X507" s="849">
        <v>0.0</v>
      </c>
      <c r="Y507" s="849">
        <v>0.0</v>
      </c>
      <c r="Z507" s="849">
        <v>0.0</v>
      </c>
      <c r="AA507" s="849">
        <v>0.0</v>
      </c>
      <c r="AB507" s="849">
        <v>0.0</v>
      </c>
      <c r="AC507" s="849">
        <v>0.0</v>
      </c>
      <c r="AD507" s="849">
        <v>0.0</v>
      </c>
      <c r="AE507" s="849">
        <v>0.0</v>
      </c>
      <c r="AF507" s="849">
        <v>0.0</v>
      </c>
      <c r="AG507" s="849">
        <v>0.0</v>
      </c>
      <c r="AH507" s="849">
        <v>0.0</v>
      </c>
      <c r="AI507" s="849">
        <v>0.0</v>
      </c>
      <c r="AJ507" s="794" t="str">
        <f t="shared" ref="AJ507:AK507" si="1011">C507</f>
        <v>G30051</v>
      </c>
      <c r="AK507" s="794" t="str">
        <f t="shared" si="1011"/>
        <v>REVENUS DIFFERÉS II</v>
      </c>
      <c r="AL507" s="794">
        <f t="array" ref="AL507">IFERROR(INDEX(G507:R507,1,MATCH(Parametres!$B$3,G$1:R$1,0)-1)*IF(OR(F507="L",F507="S",F507="I"),-1,1),"")</f>
        <v>-564818.21</v>
      </c>
      <c r="AM507" s="794">
        <f t="shared" si="4"/>
        <v>-13352.18</v>
      </c>
      <c r="AN507" s="794">
        <f t="array" ref="AN507">INDEX(G507:R507,1,MATCH(Parametres!$B$3,G$1:R$1,0))*IF(OR(F507="L",F507="S",F507="I"),-1,1)</f>
        <v>-578170.39</v>
      </c>
      <c r="AO507" s="853" t="str">
        <f>+VLOOKUP($AJ507,Data_Validation!$A:$D,1,0)</f>
        <v>G30051</v>
      </c>
      <c r="AP507" s="853" t="str">
        <f>+VLOOKUP($AJ507,Data_Validation!$A:$D,3,0)</f>
        <v>Bilan</v>
      </c>
      <c r="AQ507" s="853" t="str">
        <f>+VLOOKUP($AJ507,Data_Validation!$A:$D,4,0)</f>
        <v>Autres Courus</v>
      </c>
      <c r="AR507" s="853" t="s">
        <v>728</v>
      </c>
      <c r="AS507" s="853" t="str">
        <f>+VLOOKUP($AJ507,Data_Validation!$A:$E,5,0)</f>
        <v/>
      </c>
      <c r="AT507" s="794" t="str">
        <f t="shared" ref="AT507:AU507" si="1012">C507</f>
        <v>G30051</v>
      </c>
      <c r="AU507" s="854" t="str">
        <f t="shared" si="1012"/>
        <v>REVENUS DIFFERÉS II</v>
      </c>
      <c r="AV507" s="794">
        <f t="array" ref="AV507">IFERROR(INDEX(V507:AG507,1,MATCH(Parametres!$B$3,V$1:AG$1,0)-1)*IF(OR(C507="L",C507="S",C507="I"),-1,1),"")</f>
        <v>0</v>
      </c>
      <c r="AW507" s="794">
        <f t="shared" si="6"/>
        <v>0</v>
      </c>
      <c r="AX507" s="794">
        <f t="array" ref="AX507">INDEX(V507:AG507,1,MATCH(Parametres!$B$3,V$1:AG$1,0))*IF(OR(C507="L",C507="S",C507="I"),-1,1)</f>
        <v>0</v>
      </c>
      <c r="AY507" s="853" t="s">
        <v>772</v>
      </c>
      <c r="AZ507" s="853" t="str">
        <f>+VLOOKUP($AJ507,Data_Validation!$A:$E,5,0)</f>
        <v/>
      </c>
    </row>
    <row r="508" ht="15.0" customHeight="1">
      <c r="A508" s="849" t="s">
        <v>1239</v>
      </c>
      <c r="B508" s="849">
        <v>2026.0</v>
      </c>
      <c r="C508" s="849" t="s">
        <v>2242</v>
      </c>
      <c r="D508" s="849" t="s">
        <v>2243</v>
      </c>
      <c r="E508" s="849" t="s">
        <v>768</v>
      </c>
      <c r="F508" s="849" t="s">
        <v>2057</v>
      </c>
      <c r="G508" s="849">
        <v>185658.82</v>
      </c>
      <c r="H508" s="849">
        <v>143527.18</v>
      </c>
      <c r="I508" s="849">
        <v>-83147.49</v>
      </c>
      <c r="J508" s="849">
        <v>37749.65</v>
      </c>
      <c r="K508" s="849">
        <v>54764.9</v>
      </c>
      <c r="L508" s="849">
        <v>-112099.49</v>
      </c>
      <c r="M508" s="849">
        <v>-170929.61</v>
      </c>
      <c r="N508" s="849">
        <v>-189007.11</v>
      </c>
      <c r="O508" s="849">
        <v>-78660.86</v>
      </c>
      <c r="P508" s="849">
        <v>-78660.86</v>
      </c>
      <c r="Q508" s="849">
        <v>0.0</v>
      </c>
      <c r="R508" s="849">
        <v>0.0</v>
      </c>
      <c r="S508" s="849">
        <v>0.0</v>
      </c>
      <c r="T508" s="849">
        <v>0.0</v>
      </c>
      <c r="U508" s="849">
        <v>0.0</v>
      </c>
      <c r="V508" s="849">
        <v>0.0</v>
      </c>
      <c r="W508" s="849">
        <v>0.0</v>
      </c>
      <c r="X508" s="849">
        <v>0.0</v>
      </c>
      <c r="Y508" s="849">
        <v>0.0</v>
      </c>
      <c r="Z508" s="849">
        <v>0.0</v>
      </c>
      <c r="AA508" s="849">
        <v>0.0</v>
      </c>
      <c r="AB508" s="849">
        <v>0.0</v>
      </c>
      <c r="AC508" s="849">
        <v>0.0</v>
      </c>
      <c r="AD508" s="849">
        <v>0.0</v>
      </c>
      <c r="AE508" s="849">
        <v>0.0</v>
      </c>
      <c r="AF508" s="849">
        <v>0.0</v>
      </c>
      <c r="AG508" s="849">
        <v>0.0</v>
      </c>
      <c r="AH508" s="849">
        <v>0.0</v>
      </c>
      <c r="AI508" s="849">
        <v>0.0</v>
      </c>
      <c r="AJ508" s="794" t="str">
        <f t="shared" ref="AJ508:AK508" si="1013">C508</f>
        <v>G30055</v>
      </c>
      <c r="AK508" s="794" t="str">
        <f t="shared" si="1013"/>
        <v>RESERVE US-GAMMA</v>
      </c>
      <c r="AL508" s="794">
        <f t="array" ref="AL508">IFERROR(INDEX(G508:R508,1,MATCH(Parametres!$B$3,G$1:R$1,0)-1)*IF(OR(F508="L",F508="S",F508="I"),-1,1),"")</f>
        <v>189007.11</v>
      </c>
      <c r="AM508" s="794">
        <f t="shared" si="4"/>
        <v>-110346.25</v>
      </c>
      <c r="AN508" s="794">
        <f t="array" ref="AN508">INDEX(G508:R508,1,MATCH(Parametres!$B$3,G$1:R$1,0))*IF(OR(F508="L",F508="S",F508="I"),-1,1)</f>
        <v>78660.86</v>
      </c>
      <c r="AO508" s="853" t="str">
        <f>+VLOOKUP($AJ508,Data_Validation!$A:$D,1,0)</f>
        <v>G30055</v>
      </c>
      <c r="AP508" s="853" t="str">
        <f>+VLOOKUP($AJ508,Data_Validation!$A:$D,3,0)</f>
        <v>Bilan</v>
      </c>
      <c r="AQ508" s="853" t="str">
        <f>+VLOOKUP($AJ508,Data_Validation!$A:$D,4,0)</f>
        <v>Autres Courus</v>
      </c>
      <c r="AR508" s="853" t="s">
        <v>728</v>
      </c>
      <c r="AS508" s="853" t="str">
        <f>+VLOOKUP($AJ508,Data_Validation!$A:$E,5,0)</f>
        <v/>
      </c>
      <c r="AT508" s="794" t="str">
        <f t="shared" ref="AT508:AU508" si="1014">C508</f>
        <v>G30055</v>
      </c>
      <c r="AU508" s="854" t="str">
        <f t="shared" si="1014"/>
        <v>RESERVE US-GAMMA</v>
      </c>
      <c r="AV508" s="794">
        <f t="array" ref="AV508">IFERROR(INDEX(V508:AG508,1,MATCH(Parametres!$B$3,V$1:AG$1,0)-1)*IF(OR(C508="L",C508="S",C508="I"),-1,1),"")</f>
        <v>0</v>
      </c>
      <c r="AW508" s="794">
        <f t="shared" si="6"/>
        <v>0</v>
      </c>
      <c r="AX508" s="794">
        <f t="array" ref="AX508">INDEX(V508:AG508,1,MATCH(Parametres!$B$3,V$1:AG$1,0))*IF(OR(C508="L",C508="S",C508="I"),-1,1)</f>
        <v>0</v>
      </c>
      <c r="AY508" s="853" t="s">
        <v>772</v>
      </c>
      <c r="AZ508" s="853" t="str">
        <f>+VLOOKUP($AJ508,Data_Validation!$A:$E,5,0)</f>
        <v/>
      </c>
    </row>
    <row r="509" ht="15.0" customHeight="1">
      <c r="A509" s="849" t="s">
        <v>1239</v>
      </c>
      <c r="B509" s="849">
        <v>2026.0</v>
      </c>
      <c r="C509" s="849" t="s">
        <v>2244</v>
      </c>
      <c r="D509" s="849" t="s">
        <v>2245</v>
      </c>
      <c r="E509" s="849" t="s">
        <v>768</v>
      </c>
      <c r="F509" s="849" t="s">
        <v>2057</v>
      </c>
      <c r="G509" s="849">
        <v>2000000.0</v>
      </c>
      <c r="H509" s="849">
        <v>0.0</v>
      </c>
      <c r="I509" s="849">
        <v>0.0</v>
      </c>
      <c r="J509" s="849">
        <v>0.0</v>
      </c>
      <c r="K509" s="849">
        <v>0.0</v>
      </c>
      <c r="L509" s="849">
        <v>0.0</v>
      </c>
      <c r="M509" s="849">
        <v>0.0</v>
      </c>
      <c r="N509" s="849">
        <v>0.0</v>
      </c>
      <c r="O509" s="849">
        <v>0.0</v>
      </c>
      <c r="P509" s="849">
        <v>0.0</v>
      </c>
      <c r="Q509" s="849">
        <v>0.0</v>
      </c>
      <c r="R509" s="849">
        <v>0.0</v>
      </c>
      <c r="S509" s="849">
        <v>0.0</v>
      </c>
      <c r="T509" s="849">
        <v>0.0</v>
      </c>
      <c r="U509" s="849">
        <v>0.0</v>
      </c>
      <c r="V509" s="849">
        <v>0.0</v>
      </c>
      <c r="W509" s="849">
        <v>0.0</v>
      </c>
      <c r="X509" s="849">
        <v>0.0</v>
      </c>
      <c r="Y509" s="849">
        <v>0.0</v>
      </c>
      <c r="Z509" s="849">
        <v>0.0</v>
      </c>
      <c r="AA509" s="849">
        <v>0.0</v>
      </c>
      <c r="AB509" s="849">
        <v>0.0</v>
      </c>
      <c r="AC509" s="849">
        <v>0.0</v>
      </c>
      <c r="AD509" s="849">
        <v>0.0</v>
      </c>
      <c r="AE509" s="849">
        <v>0.0</v>
      </c>
      <c r="AF509" s="849">
        <v>0.0</v>
      </c>
      <c r="AG509" s="849">
        <v>0.0</v>
      </c>
      <c r="AH509" s="849">
        <v>0.0</v>
      </c>
      <c r="AI509" s="849">
        <v>0.0</v>
      </c>
      <c r="AJ509" s="794" t="str">
        <f t="shared" ref="AJ509:AK509" si="1015">C509</f>
        <v>G30070</v>
      </c>
      <c r="AK509" s="794" t="str">
        <f t="shared" si="1015"/>
        <v>AVANCES HAWKSBERY CHEV</v>
      </c>
      <c r="AL509" s="794">
        <f t="array" ref="AL509">IFERROR(INDEX(G509:R509,1,MATCH(Parametres!$B$3,G$1:R$1,0)-1)*IF(OR(F509="L",F509="S",F509="I"),-1,1),"")</f>
        <v>0</v>
      </c>
      <c r="AM509" s="794">
        <f t="shared" si="4"/>
        <v>0</v>
      </c>
      <c r="AN509" s="794">
        <f t="array" ref="AN509">INDEX(G509:R509,1,MATCH(Parametres!$B$3,G$1:R$1,0))*IF(OR(F509="L",F509="S",F509="I"),-1,1)</f>
        <v>0</v>
      </c>
      <c r="AO509" s="853" t="str">
        <f>+VLOOKUP($AJ509,Data_Validation!$A:$D,1,0)</f>
        <v>G30070</v>
      </c>
      <c r="AP509" s="853" t="str">
        <f>+VLOOKUP($AJ509,Data_Validation!$A:$D,3,0)</f>
        <v>Bilan</v>
      </c>
      <c r="AQ509" s="853" t="str">
        <f>+VLOOKUP($AJ509,Data_Validation!$A:$D,4,0)</f>
        <v>Payables Intercos</v>
      </c>
      <c r="AR509" s="853" t="s">
        <v>728</v>
      </c>
      <c r="AS509" s="853" t="str">
        <f>+VLOOKUP($AJ509,Data_Validation!$A:$E,5,0)</f>
        <v/>
      </c>
      <c r="AT509" s="794" t="str">
        <f t="shared" ref="AT509:AU509" si="1016">C509</f>
        <v>G30070</v>
      </c>
      <c r="AU509" s="854" t="str">
        <f t="shared" si="1016"/>
        <v>AVANCES HAWKSBERY CHEV</v>
      </c>
      <c r="AV509" s="794">
        <f t="array" ref="AV509">IFERROR(INDEX(V509:AG509,1,MATCH(Parametres!$B$3,V$1:AG$1,0)-1)*IF(OR(C509="L",C509="S",C509="I"),-1,1),"")</f>
        <v>0</v>
      </c>
      <c r="AW509" s="794">
        <f t="shared" si="6"/>
        <v>0</v>
      </c>
      <c r="AX509" s="794">
        <f t="array" ref="AX509">INDEX(V509:AG509,1,MATCH(Parametres!$B$3,V$1:AG$1,0))*IF(OR(C509="L",C509="S",C509="I"),-1,1)</f>
        <v>0</v>
      </c>
      <c r="AY509" s="853" t="s">
        <v>772</v>
      </c>
      <c r="AZ509" s="853" t="str">
        <f>+VLOOKUP($AJ509,Data_Validation!$A:$E,5,0)</f>
        <v/>
      </c>
    </row>
    <row r="510" ht="15.0" customHeight="1">
      <c r="A510" s="849" t="s">
        <v>1239</v>
      </c>
      <c r="B510" s="849">
        <v>2026.0</v>
      </c>
      <c r="C510" s="849" t="s">
        <v>2246</v>
      </c>
      <c r="D510" s="849" t="s">
        <v>2247</v>
      </c>
      <c r="E510" s="849" t="s">
        <v>768</v>
      </c>
      <c r="F510" s="849" t="s">
        <v>2057</v>
      </c>
      <c r="G510" s="849">
        <v>-3367687.77</v>
      </c>
      <c r="H510" s="849">
        <v>-3367687.77</v>
      </c>
      <c r="I510" s="849">
        <v>-3317687.77</v>
      </c>
      <c r="J510" s="849">
        <v>-3317687.77</v>
      </c>
      <c r="K510" s="849">
        <v>-3317687.77</v>
      </c>
      <c r="L510" s="849">
        <v>-4117687.77</v>
      </c>
      <c r="M510" s="849">
        <v>6239782.0</v>
      </c>
      <c r="N510" s="849">
        <v>6239782.0</v>
      </c>
      <c r="O510" s="849">
        <v>6239782.0</v>
      </c>
      <c r="P510" s="849">
        <v>6239782.0</v>
      </c>
      <c r="Q510" s="849">
        <v>0.0</v>
      </c>
      <c r="R510" s="849">
        <v>0.0</v>
      </c>
      <c r="S510" s="849">
        <v>0.0</v>
      </c>
      <c r="T510" s="849">
        <v>0.0</v>
      </c>
      <c r="U510" s="849">
        <v>0.0</v>
      </c>
      <c r="V510" s="849">
        <v>0.0</v>
      </c>
      <c r="W510" s="849">
        <v>0.0</v>
      </c>
      <c r="X510" s="849">
        <v>0.0</v>
      </c>
      <c r="Y510" s="849">
        <v>0.0</v>
      </c>
      <c r="Z510" s="849">
        <v>0.0</v>
      </c>
      <c r="AA510" s="849">
        <v>0.0</v>
      </c>
      <c r="AB510" s="849">
        <v>0.0</v>
      </c>
      <c r="AC510" s="849">
        <v>0.0</v>
      </c>
      <c r="AD510" s="849">
        <v>0.0</v>
      </c>
      <c r="AE510" s="849">
        <v>0.0</v>
      </c>
      <c r="AF510" s="849">
        <v>0.0</v>
      </c>
      <c r="AG510" s="849">
        <v>0.0</v>
      </c>
      <c r="AH510" s="849">
        <v>0.0</v>
      </c>
      <c r="AI510" s="849">
        <v>0.0</v>
      </c>
      <c r="AJ510" s="794" t="str">
        <f t="shared" ref="AJ510:AK510" si="1017">C510</f>
        <v>G30080</v>
      </c>
      <c r="AK510" s="794" t="str">
        <f t="shared" si="1017"/>
        <v>AVANCES 13721515 CANADA I</v>
      </c>
      <c r="AL510" s="794">
        <f t="array" ref="AL510">IFERROR(INDEX(G510:R510,1,MATCH(Parametres!$B$3,G$1:R$1,0)-1)*IF(OR(F510="L",F510="S",F510="I"),-1,1),"")</f>
        <v>-6239782</v>
      </c>
      <c r="AM510" s="794">
        <f t="shared" si="4"/>
        <v>0</v>
      </c>
      <c r="AN510" s="794">
        <f t="array" ref="AN510">INDEX(G510:R510,1,MATCH(Parametres!$B$3,G$1:R$1,0))*IF(OR(F510="L",F510="S",F510="I"),-1,1)</f>
        <v>-6239782</v>
      </c>
      <c r="AO510" s="853" t="str">
        <f>+VLOOKUP($AJ510,Data_Validation!$A:$D,1,0)</f>
        <v>G30080</v>
      </c>
      <c r="AP510" s="853" t="str">
        <f>+VLOOKUP($AJ510,Data_Validation!$A:$D,3,0)</f>
        <v>Bilan</v>
      </c>
      <c r="AQ510" s="853" t="str">
        <f>+VLOOKUP($AJ510,Data_Validation!$A:$D,4,0)</f>
        <v>Payables Intercos</v>
      </c>
      <c r="AR510" s="853" t="s">
        <v>728</v>
      </c>
      <c r="AS510" s="853" t="str">
        <f>+VLOOKUP($AJ510,Data_Validation!$A:$E,5,0)</f>
        <v/>
      </c>
      <c r="AT510" s="794" t="str">
        <f t="shared" ref="AT510:AU510" si="1018">C510</f>
        <v>G30080</v>
      </c>
      <c r="AU510" s="854" t="str">
        <f t="shared" si="1018"/>
        <v>AVANCES 13721515 CANADA I</v>
      </c>
      <c r="AV510" s="794">
        <f t="array" ref="AV510">IFERROR(INDEX(V510:AG510,1,MATCH(Parametres!$B$3,V$1:AG$1,0)-1)*IF(OR(C510="L",C510="S",C510="I"),-1,1),"")</f>
        <v>0</v>
      </c>
      <c r="AW510" s="794">
        <f t="shared" si="6"/>
        <v>0</v>
      </c>
      <c r="AX510" s="794">
        <f t="array" ref="AX510">INDEX(V510:AG510,1,MATCH(Parametres!$B$3,V$1:AG$1,0))*IF(OR(C510="L",C510="S",C510="I"),-1,1)</f>
        <v>0</v>
      </c>
      <c r="AY510" s="853" t="s">
        <v>772</v>
      </c>
      <c r="AZ510" s="853" t="str">
        <f>+VLOOKUP($AJ510,Data_Validation!$A:$E,5,0)</f>
        <v/>
      </c>
    </row>
    <row r="511" ht="15.0" customHeight="1">
      <c r="A511" s="849" t="s">
        <v>1239</v>
      </c>
      <c r="B511" s="849">
        <v>2026.0</v>
      </c>
      <c r="C511" s="849" t="s">
        <v>2248</v>
      </c>
      <c r="D511" s="849" t="s">
        <v>2249</v>
      </c>
      <c r="E511" s="849" t="s">
        <v>768</v>
      </c>
      <c r="F511" s="849" t="s">
        <v>2057</v>
      </c>
      <c r="G511" s="849">
        <v>181477.75</v>
      </c>
      <c r="H511" s="849">
        <v>181477.75</v>
      </c>
      <c r="I511" s="849">
        <v>180282.01</v>
      </c>
      <c r="J511" s="849">
        <v>180282.01</v>
      </c>
      <c r="K511" s="849">
        <v>180282.01</v>
      </c>
      <c r="L511" s="849">
        <v>180282.01</v>
      </c>
      <c r="M511" s="849">
        <v>180282.01</v>
      </c>
      <c r="N511" s="849">
        <v>180282.01</v>
      </c>
      <c r="O511" s="849">
        <v>180282.01</v>
      </c>
      <c r="P511" s="849">
        <v>180282.01</v>
      </c>
      <c r="Q511" s="849">
        <v>0.0</v>
      </c>
      <c r="R511" s="849">
        <v>0.0</v>
      </c>
      <c r="S511" s="849">
        <v>0.0</v>
      </c>
      <c r="T511" s="849">
        <v>0.0</v>
      </c>
      <c r="U511" s="849">
        <v>0.0</v>
      </c>
      <c r="V511" s="849">
        <v>0.0</v>
      </c>
      <c r="W511" s="849">
        <v>0.0</v>
      </c>
      <c r="X511" s="849">
        <v>0.0</v>
      </c>
      <c r="Y511" s="849">
        <v>0.0</v>
      </c>
      <c r="Z511" s="849">
        <v>0.0</v>
      </c>
      <c r="AA511" s="849">
        <v>0.0</v>
      </c>
      <c r="AB511" s="849">
        <v>0.0</v>
      </c>
      <c r="AC511" s="849">
        <v>0.0</v>
      </c>
      <c r="AD511" s="849">
        <v>0.0</v>
      </c>
      <c r="AE511" s="849">
        <v>0.0</v>
      </c>
      <c r="AF511" s="849">
        <v>0.0</v>
      </c>
      <c r="AG511" s="849">
        <v>0.0</v>
      </c>
      <c r="AH511" s="849">
        <v>0.0</v>
      </c>
      <c r="AI511" s="849">
        <v>0.0</v>
      </c>
      <c r="AJ511" s="794" t="str">
        <f t="shared" ref="AJ511:AK511" si="1019">C511</f>
        <v>G30090</v>
      </c>
      <c r="AK511" s="794" t="str">
        <f t="shared" si="1019"/>
        <v>AVANCES 9512-1703 QC</v>
      </c>
      <c r="AL511" s="794">
        <f t="array" ref="AL511">IFERROR(INDEX(G511:R511,1,MATCH(Parametres!$B$3,G$1:R$1,0)-1)*IF(OR(F511="L",F511="S",F511="I"),-1,1),"")</f>
        <v>-180282.01</v>
      </c>
      <c r="AM511" s="794">
        <f t="shared" si="4"/>
        <v>0</v>
      </c>
      <c r="AN511" s="794">
        <f t="array" ref="AN511">INDEX(G511:R511,1,MATCH(Parametres!$B$3,G$1:R$1,0))*IF(OR(F511="L",F511="S",F511="I"),-1,1)</f>
        <v>-180282.01</v>
      </c>
      <c r="AO511" s="853" t="str">
        <f>+VLOOKUP($AJ511,Data_Validation!$A:$D,1,0)</f>
        <v>G30090</v>
      </c>
      <c r="AP511" s="853" t="str">
        <f>+VLOOKUP($AJ511,Data_Validation!$A:$D,3,0)</f>
        <v>Bilan</v>
      </c>
      <c r="AQ511" s="853" t="str">
        <f>+VLOOKUP($AJ511,Data_Validation!$A:$D,4,0)</f>
        <v>Payables Intercos</v>
      </c>
      <c r="AR511" s="853" t="s">
        <v>728</v>
      </c>
      <c r="AS511" s="853" t="str">
        <f>+VLOOKUP($AJ511,Data_Validation!$A:$E,5,0)</f>
        <v/>
      </c>
      <c r="AT511" s="794" t="str">
        <f t="shared" ref="AT511:AU511" si="1020">C511</f>
        <v>G30090</v>
      </c>
      <c r="AU511" s="854" t="str">
        <f t="shared" si="1020"/>
        <v>AVANCES 9512-1703 QC</v>
      </c>
      <c r="AV511" s="794">
        <f t="array" ref="AV511">IFERROR(INDEX(V511:AG511,1,MATCH(Parametres!$B$3,V$1:AG$1,0)-1)*IF(OR(C511="L",C511="S",C511="I"),-1,1),"")</f>
        <v>0</v>
      </c>
      <c r="AW511" s="794">
        <f t="shared" si="6"/>
        <v>0</v>
      </c>
      <c r="AX511" s="794">
        <f t="array" ref="AX511">INDEX(V511:AG511,1,MATCH(Parametres!$B$3,V$1:AG$1,0))*IF(OR(C511="L",C511="S",C511="I"),-1,1)</f>
        <v>0</v>
      </c>
      <c r="AY511" s="853" t="s">
        <v>772</v>
      </c>
      <c r="AZ511" s="853" t="str">
        <f>+VLOOKUP($AJ511,Data_Validation!$A:$E,5,0)</f>
        <v/>
      </c>
    </row>
    <row r="512" ht="15.0" customHeight="1">
      <c r="A512" s="849" t="s">
        <v>1239</v>
      </c>
      <c r="B512" s="849">
        <v>2026.0</v>
      </c>
      <c r="C512" s="849" t="s">
        <v>2250</v>
      </c>
      <c r="D512" s="849" t="s">
        <v>2251</v>
      </c>
      <c r="E512" s="849" t="s">
        <v>768</v>
      </c>
      <c r="F512" s="849" t="s">
        <v>2057</v>
      </c>
      <c r="G512" s="849">
        <v>0.0</v>
      </c>
      <c r="H512" s="849">
        <v>0.0</v>
      </c>
      <c r="I512" s="849">
        <v>4936149.0</v>
      </c>
      <c r="J512" s="849">
        <v>4904017.0</v>
      </c>
      <c r="K512" s="849">
        <v>4871744.0</v>
      </c>
      <c r="L512" s="849">
        <v>4839332.0</v>
      </c>
      <c r="M512" s="849">
        <v>4806780.0</v>
      </c>
      <c r="N512" s="849">
        <v>4774086.0</v>
      </c>
      <c r="O512" s="849">
        <v>4741251.0</v>
      </c>
      <c r="P512" s="849">
        <v>4741251.0</v>
      </c>
      <c r="Q512" s="849">
        <v>0.0</v>
      </c>
      <c r="R512" s="849">
        <v>0.0</v>
      </c>
      <c r="S512" s="849">
        <v>0.0</v>
      </c>
      <c r="T512" s="849">
        <v>0.0</v>
      </c>
      <c r="U512" s="849">
        <v>0.0</v>
      </c>
      <c r="V512" s="849">
        <v>0.0</v>
      </c>
      <c r="W512" s="849">
        <v>0.0</v>
      </c>
      <c r="X512" s="849">
        <v>0.0</v>
      </c>
      <c r="Y512" s="849">
        <v>0.0</v>
      </c>
      <c r="Z512" s="849">
        <v>0.0</v>
      </c>
      <c r="AA512" s="849">
        <v>0.0</v>
      </c>
      <c r="AB512" s="849">
        <v>0.0</v>
      </c>
      <c r="AC512" s="849">
        <v>0.0</v>
      </c>
      <c r="AD512" s="849">
        <v>0.0</v>
      </c>
      <c r="AE512" s="849">
        <v>0.0</v>
      </c>
      <c r="AF512" s="849">
        <v>0.0</v>
      </c>
      <c r="AG512" s="849">
        <v>0.0</v>
      </c>
      <c r="AH512" s="849">
        <v>0.0</v>
      </c>
      <c r="AI512" s="849">
        <v>0.0</v>
      </c>
      <c r="AJ512" s="794" t="str">
        <f t="shared" ref="AJ512:AK512" si="1021">C512</f>
        <v>G30095</v>
      </c>
      <c r="AK512" s="794" t="str">
        <f t="shared" si="1021"/>
        <v>PRET BANQUE TD</v>
      </c>
      <c r="AL512" s="794">
        <f t="array" ref="AL512">IFERROR(INDEX(G512:R512,1,MATCH(Parametres!$B$3,G$1:R$1,0)-1)*IF(OR(F512="L",F512="S",F512="I"),-1,1),"")</f>
        <v>-4774086</v>
      </c>
      <c r="AM512" s="794">
        <f t="shared" si="4"/>
        <v>32835</v>
      </c>
      <c r="AN512" s="794">
        <f t="array" ref="AN512">INDEX(G512:R512,1,MATCH(Parametres!$B$3,G$1:R$1,0))*IF(OR(F512="L",F512="S",F512="I"),-1,1)</f>
        <v>-4741251</v>
      </c>
      <c r="AO512" s="853" t="str">
        <f>+VLOOKUP($AJ512,Data_Validation!$A:$D,1,0)</f>
        <v>G30095</v>
      </c>
      <c r="AP512" s="853" t="str">
        <f>+VLOOKUP($AJ512,Data_Validation!$A:$D,3,0)</f>
        <v>Bilan</v>
      </c>
      <c r="AQ512" s="853" t="str">
        <f>+VLOOKUP($AJ512,Data_Validation!$A:$D,4,0)</f>
        <v>Dette à Long terme</v>
      </c>
      <c r="AR512" s="853" t="s">
        <v>728</v>
      </c>
      <c r="AS512" s="853" t="str">
        <f>+VLOOKUP($AJ512,Data_Validation!$A:$E,5,0)</f>
        <v/>
      </c>
      <c r="AT512" s="794" t="str">
        <f t="shared" ref="AT512:AU512" si="1022">C512</f>
        <v>G30095</v>
      </c>
      <c r="AU512" s="854" t="str">
        <f t="shared" si="1022"/>
        <v>PRET BANQUE TD</v>
      </c>
      <c r="AV512" s="794">
        <f t="array" ref="AV512">IFERROR(INDEX(V512:AG512,1,MATCH(Parametres!$B$3,V$1:AG$1,0)-1)*IF(OR(C512="L",C512="S",C512="I"),-1,1),"")</f>
        <v>0</v>
      </c>
      <c r="AW512" s="794">
        <f t="shared" si="6"/>
        <v>0</v>
      </c>
      <c r="AX512" s="794">
        <f t="array" ref="AX512">INDEX(V512:AG512,1,MATCH(Parametres!$B$3,V$1:AG$1,0))*IF(OR(C512="L",C512="S",C512="I"),-1,1)</f>
        <v>0</v>
      </c>
      <c r="AY512" s="853" t="s">
        <v>772</v>
      </c>
      <c r="AZ512" s="853" t="str">
        <f>+VLOOKUP($AJ512,Data_Validation!$A:$E,5,0)</f>
        <v/>
      </c>
    </row>
    <row r="513" ht="15.0" customHeight="1">
      <c r="A513" s="849" t="s">
        <v>1239</v>
      </c>
      <c r="B513" s="849">
        <v>2026.0</v>
      </c>
      <c r="C513" s="849" t="s">
        <v>2252</v>
      </c>
      <c r="D513" s="849" t="s">
        <v>2253</v>
      </c>
      <c r="E513" s="849" t="s">
        <v>1951</v>
      </c>
      <c r="F513" s="849" t="s">
        <v>2057</v>
      </c>
      <c r="G513" s="849">
        <v>0.0</v>
      </c>
      <c r="H513" s="849">
        <v>0.0</v>
      </c>
      <c r="I513" s="849">
        <v>0.0</v>
      </c>
      <c r="J513" s="849">
        <v>0.0</v>
      </c>
      <c r="K513" s="849">
        <v>0.0</v>
      </c>
      <c r="L513" s="849">
        <v>0.0</v>
      </c>
      <c r="M513" s="849">
        <v>0.0</v>
      </c>
      <c r="N513" s="849">
        <v>0.0</v>
      </c>
      <c r="O513" s="849">
        <v>0.0</v>
      </c>
      <c r="P513" s="849">
        <v>0.0</v>
      </c>
      <c r="Q513" s="849">
        <v>0.0</v>
      </c>
      <c r="R513" s="849">
        <v>0.0</v>
      </c>
      <c r="S513" s="849">
        <v>0.0</v>
      </c>
      <c r="T513" s="849">
        <v>0.0</v>
      </c>
      <c r="U513" s="849">
        <v>0.0</v>
      </c>
      <c r="V513" s="849">
        <v>0.0</v>
      </c>
      <c r="W513" s="849">
        <v>0.0</v>
      </c>
      <c r="X513" s="849">
        <v>0.0</v>
      </c>
      <c r="Y513" s="849">
        <v>0.0</v>
      </c>
      <c r="Z513" s="849">
        <v>0.0</v>
      </c>
      <c r="AA513" s="849">
        <v>0.0</v>
      </c>
      <c r="AB513" s="849">
        <v>0.0</v>
      </c>
      <c r="AC513" s="849">
        <v>0.0</v>
      </c>
      <c r="AD513" s="849">
        <v>0.0</v>
      </c>
      <c r="AE513" s="849">
        <v>0.0</v>
      </c>
      <c r="AF513" s="849">
        <v>0.0</v>
      </c>
      <c r="AG513" s="849">
        <v>0.0</v>
      </c>
      <c r="AH513" s="849">
        <v>0.0</v>
      </c>
      <c r="AI513" s="849">
        <v>0.0</v>
      </c>
      <c r="AJ513" s="794" t="str">
        <f t="shared" ref="AJ513:AK513" si="1023">C513</f>
        <v>G30100</v>
      </c>
      <c r="AK513" s="794" t="str">
        <f t="shared" si="1023"/>
        <v>DEPOT CLIENTS</v>
      </c>
      <c r="AL513" s="794">
        <f t="array" ref="AL513">IFERROR(INDEX(G513:R513,1,MATCH(Parametres!$B$3,G$1:R$1,0)-1)*IF(OR(F513="L",F513="S",F513="I"),-1,1),"")</f>
        <v>0</v>
      </c>
      <c r="AM513" s="794">
        <f t="shared" si="4"/>
        <v>0</v>
      </c>
      <c r="AN513" s="794">
        <f t="array" ref="AN513">INDEX(G513:R513,1,MATCH(Parametres!$B$3,G$1:R$1,0))*IF(OR(F513="L",F513="S",F513="I"),-1,1)</f>
        <v>0</v>
      </c>
      <c r="AO513" s="853" t="str">
        <f>+VLOOKUP($AJ513,Data_Validation!$A:$D,1,0)</f>
        <v>#N/A</v>
      </c>
      <c r="AP513" s="853" t="str">
        <f>+VLOOKUP($AJ513,Data_Validation!$A:$D,3,0)</f>
        <v>#N/A</v>
      </c>
      <c r="AQ513" s="853" t="str">
        <f>+VLOOKUP($AJ513,Data_Validation!$A:$D,4,0)</f>
        <v>#N/A</v>
      </c>
      <c r="AR513" s="853" t="s">
        <v>728</v>
      </c>
      <c r="AS513" s="853" t="str">
        <f>+VLOOKUP($AJ513,Data_Validation!$A:$E,5,0)</f>
        <v>#N/A</v>
      </c>
      <c r="AT513" s="794" t="str">
        <f t="shared" ref="AT513:AU513" si="1024">C513</f>
        <v>G30100</v>
      </c>
      <c r="AU513" s="854" t="str">
        <f t="shared" si="1024"/>
        <v>DEPOT CLIENTS</v>
      </c>
      <c r="AV513" s="794">
        <f t="array" ref="AV513">IFERROR(INDEX(V513:AG513,1,MATCH(Parametres!$B$3,V$1:AG$1,0)-1)*IF(OR(C513="L",C513="S",C513="I"),-1,1),"")</f>
        <v>0</v>
      </c>
      <c r="AW513" s="794">
        <f t="shared" si="6"/>
        <v>0</v>
      </c>
      <c r="AX513" s="794">
        <f t="array" ref="AX513">INDEX(V513:AG513,1,MATCH(Parametres!$B$3,V$1:AG$1,0))*IF(OR(C513="L",C513="S",C513="I"),-1,1)</f>
        <v>0</v>
      </c>
      <c r="AY513" s="853" t="s">
        <v>772</v>
      </c>
      <c r="AZ513" s="853" t="str">
        <f>+VLOOKUP($AJ513,Data_Validation!$A:$E,5,0)</f>
        <v>#N/A</v>
      </c>
    </row>
    <row r="514" ht="15.0" customHeight="1">
      <c r="A514" s="849" t="s">
        <v>1239</v>
      </c>
      <c r="B514" s="849">
        <v>2026.0</v>
      </c>
      <c r="C514" s="849" t="s">
        <v>2254</v>
      </c>
      <c r="D514" s="849" t="s">
        <v>2253</v>
      </c>
      <c r="E514" s="849" t="s">
        <v>1951</v>
      </c>
      <c r="F514" s="849" t="s">
        <v>2057</v>
      </c>
      <c r="G514" s="849">
        <v>0.0</v>
      </c>
      <c r="H514" s="849">
        <v>0.0</v>
      </c>
      <c r="I514" s="849">
        <v>0.0</v>
      </c>
      <c r="J514" s="849">
        <v>0.0</v>
      </c>
      <c r="K514" s="849">
        <v>0.0</v>
      </c>
      <c r="L514" s="849">
        <v>0.0</v>
      </c>
      <c r="M514" s="849">
        <v>0.0</v>
      </c>
      <c r="N514" s="849">
        <v>0.0</v>
      </c>
      <c r="O514" s="849">
        <v>0.0</v>
      </c>
      <c r="P514" s="849">
        <v>167.41</v>
      </c>
      <c r="Q514" s="849">
        <v>0.0</v>
      </c>
      <c r="R514" s="849">
        <v>0.0</v>
      </c>
      <c r="S514" s="849">
        <v>0.0</v>
      </c>
      <c r="T514" s="849">
        <v>0.0</v>
      </c>
      <c r="U514" s="849">
        <v>0.0</v>
      </c>
      <c r="V514" s="849">
        <v>0.0</v>
      </c>
      <c r="W514" s="849">
        <v>0.0</v>
      </c>
      <c r="X514" s="849">
        <v>0.0</v>
      </c>
      <c r="Y514" s="849">
        <v>0.0</v>
      </c>
      <c r="Z514" s="849">
        <v>0.0</v>
      </c>
      <c r="AA514" s="849">
        <v>0.0</v>
      </c>
      <c r="AB514" s="849">
        <v>0.0</v>
      </c>
      <c r="AC514" s="849">
        <v>0.0</v>
      </c>
      <c r="AD514" s="849">
        <v>0.0</v>
      </c>
      <c r="AE514" s="849">
        <v>0.0</v>
      </c>
      <c r="AF514" s="849">
        <v>0.0</v>
      </c>
      <c r="AG514" s="849">
        <v>0.0</v>
      </c>
      <c r="AH514" s="849">
        <v>0.0</v>
      </c>
      <c r="AI514" s="849">
        <v>0.0</v>
      </c>
      <c r="AJ514" s="794" t="str">
        <f t="shared" ref="AJ514:AK514" si="1025">C514</f>
        <v>G30300</v>
      </c>
      <c r="AK514" s="794" t="str">
        <f t="shared" si="1025"/>
        <v>DEPOT CLIENTS</v>
      </c>
      <c r="AL514" s="794">
        <f t="array" ref="AL514">IFERROR(INDEX(G514:R514,1,MATCH(Parametres!$B$3,G$1:R$1,0)-1)*IF(OR(F514="L",F514="S",F514="I"),-1,1),"")</f>
        <v>0</v>
      </c>
      <c r="AM514" s="794">
        <f t="shared" si="4"/>
        <v>0</v>
      </c>
      <c r="AN514" s="794">
        <f t="array" ref="AN514">INDEX(G514:R514,1,MATCH(Parametres!$B$3,G$1:R$1,0))*IF(OR(F514="L",F514="S",F514="I"),-1,1)</f>
        <v>0</v>
      </c>
      <c r="AO514" s="853" t="str">
        <f>+VLOOKUP($AJ514,Data_Validation!$A:$D,1,0)</f>
        <v>G30300</v>
      </c>
      <c r="AP514" s="853" t="str">
        <f>+VLOOKUP($AJ514,Data_Validation!$A:$D,3,0)</f>
        <v>Bilan</v>
      </c>
      <c r="AQ514" s="853" t="str">
        <f>+VLOOKUP($AJ514,Data_Validation!$A:$D,4,0)</f>
        <v>Dépôts de Client</v>
      </c>
      <c r="AR514" s="853" t="s">
        <v>728</v>
      </c>
      <c r="AS514" s="853" t="str">
        <f>+VLOOKUP($AJ514,Data_Validation!$A:$E,5,0)</f>
        <v/>
      </c>
      <c r="AT514" s="794" t="str">
        <f t="shared" ref="AT514:AU514" si="1026">C514</f>
        <v>G30300</v>
      </c>
      <c r="AU514" s="854" t="str">
        <f t="shared" si="1026"/>
        <v>DEPOT CLIENTS</v>
      </c>
      <c r="AV514" s="794">
        <f t="array" ref="AV514">IFERROR(INDEX(V514:AG514,1,MATCH(Parametres!$B$3,V$1:AG$1,0)-1)*IF(OR(C514="L",C514="S",C514="I"),-1,1),"")</f>
        <v>0</v>
      </c>
      <c r="AW514" s="794">
        <f t="shared" si="6"/>
        <v>0</v>
      </c>
      <c r="AX514" s="794">
        <f t="array" ref="AX514">INDEX(V514:AG514,1,MATCH(Parametres!$B$3,V$1:AG$1,0))*IF(OR(C514="L",C514="S",C514="I"),-1,1)</f>
        <v>0</v>
      </c>
      <c r="AY514" s="853" t="s">
        <v>772</v>
      </c>
      <c r="AZ514" s="853" t="str">
        <f>+VLOOKUP($AJ514,Data_Validation!$A:$E,5,0)</f>
        <v/>
      </c>
    </row>
    <row r="515" ht="15.0" customHeight="1">
      <c r="A515" s="849" t="s">
        <v>1239</v>
      </c>
      <c r="B515" s="849">
        <v>2026.0</v>
      </c>
      <c r="C515" s="849" t="s">
        <v>2255</v>
      </c>
      <c r="D515" s="849" t="s">
        <v>2256</v>
      </c>
      <c r="E515" s="849" t="s">
        <v>2257</v>
      </c>
      <c r="F515" s="849" t="s">
        <v>2057</v>
      </c>
      <c r="G515" s="849">
        <v>0.0</v>
      </c>
      <c r="H515" s="849">
        <v>0.0</v>
      </c>
      <c r="I515" s="849">
        <v>0.0</v>
      </c>
      <c r="J515" s="849">
        <v>0.0</v>
      </c>
      <c r="K515" s="849">
        <v>0.0</v>
      </c>
      <c r="L515" s="849">
        <v>0.0</v>
      </c>
      <c r="M515" s="849">
        <v>0.0</v>
      </c>
      <c r="N515" s="849">
        <v>0.0</v>
      </c>
      <c r="O515" s="849">
        <v>0.0</v>
      </c>
      <c r="P515" s="849">
        <v>0.0</v>
      </c>
      <c r="Q515" s="849">
        <v>0.0</v>
      </c>
      <c r="R515" s="849">
        <v>0.0</v>
      </c>
      <c r="S515" s="849">
        <v>0.0</v>
      </c>
      <c r="T515" s="849">
        <v>0.0</v>
      </c>
      <c r="U515" s="849">
        <v>0.0</v>
      </c>
      <c r="V515" s="849">
        <v>0.0</v>
      </c>
      <c r="W515" s="849">
        <v>0.0</v>
      </c>
      <c r="X515" s="849">
        <v>0.0</v>
      </c>
      <c r="Y515" s="849">
        <v>0.0</v>
      </c>
      <c r="Z515" s="849">
        <v>0.0</v>
      </c>
      <c r="AA515" s="849">
        <v>0.0</v>
      </c>
      <c r="AB515" s="849">
        <v>0.0</v>
      </c>
      <c r="AC515" s="849">
        <v>0.0</v>
      </c>
      <c r="AD515" s="849">
        <v>0.0</v>
      </c>
      <c r="AE515" s="849">
        <v>0.0</v>
      </c>
      <c r="AF515" s="849">
        <v>0.0</v>
      </c>
      <c r="AG515" s="849">
        <v>0.0</v>
      </c>
      <c r="AH515" s="849">
        <v>0.0</v>
      </c>
      <c r="AI515" s="849">
        <v>0.0</v>
      </c>
      <c r="AJ515" s="794" t="str">
        <f t="shared" ref="AJ515:AK515" si="1027">C515</f>
        <v>G30900</v>
      </c>
      <c r="AK515" s="794" t="str">
        <f t="shared" si="1027"/>
        <v>EFFETS A PAYER POINDS MOY</v>
      </c>
      <c r="AL515" s="794">
        <f t="array" ref="AL515">IFERROR(INDEX(G515:R515,1,MATCH(Parametres!$B$3,G$1:R$1,0)-1)*IF(OR(F515="L",F515="S",F515="I"),-1,1),"")</f>
        <v>0</v>
      </c>
      <c r="AM515" s="794">
        <f t="shared" si="4"/>
        <v>0</v>
      </c>
      <c r="AN515" s="794">
        <f t="array" ref="AN515">INDEX(G515:R515,1,MATCH(Parametres!$B$3,G$1:R$1,0))*IF(OR(F515="L",F515="S",F515="I"),-1,1)</f>
        <v>0</v>
      </c>
      <c r="AO515" s="853" t="str">
        <f>+VLOOKUP($AJ515,Data_Validation!$A:$D,1,0)</f>
        <v>#N/A</v>
      </c>
      <c r="AP515" s="853" t="str">
        <f>+VLOOKUP($AJ515,Data_Validation!$A:$D,3,0)</f>
        <v>#N/A</v>
      </c>
      <c r="AQ515" s="853" t="str">
        <f>+VLOOKUP($AJ515,Data_Validation!$A:$D,4,0)</f>
        <v>#N/A</v>
      </c>
      <c r="AR515" s="853" t="s">
        <v>728</v>
      </c>
      <c r="AS515" s="853" t="str">
        <f>+VLOOKUP($AJ515,Data_Validation!$A:$E,5,0)</f>
        <v>#N/A</v>
      </c>
      <c r="AT515" s="794" t="str">
        <f t="shared" ref="AT515:AU515" si="1028">C515</f>
        <v>G30900</v>
      </c>
      <c r="AU515" s="854" t="str">
        <f t="shared" si="1028"/>
        <v>EFFETS A PAYER POINDS MOY</v>
      </c>
      <c r="AV515" s="794">
        <f t="array" ref="AV515">IFERROR(INDEX(V515:AG515,1,MATCH(Parametres!$B$3,V$1:AG$1,0)-1)*IF(OR(C515="L",C515="S",C515="I"),-1,1),"")</f>
        <v>0</v>
      </c>
      <c r="AW515" s="794">
        <f t="shared" si="6"/>
        <v>0</v>
      </c>
      <c r="AX515" s="794">
        <f t="array" ref="AX515">INDEX(V515:AG515,1,MATCH(Parametres!$B$3,V$1:AG$1,0))*IF(OR(C515="L",C515="S",C515="I"),-1,1)</f>
        <v>0</v>
      </c>
      <c r="AY515" s="853" t="s">
        <v>772</v>
      </c>
      <c r="AZ515" s="853" t="str">
        <f>+VLOOKUP($AJ515,Data_Validation!$A:$E,5,0)</f>
        <v>#N/A</v>
      </c>
    </row>
    <row r="516" ht="15.0" customHeight="1">
      <c r="A516" s="849" t="s">
        <v>1239</v>
      </c>
      <c r="B516" s="849">
        <v>2026.0</v>
      </c>
      <c r="C516" s="849" t="s">
        <v>2258</v>
      </c>
      <c r="D516" s="849" t="s">
        <v>2259</v>
      </c>
      <c r="E516" s="849" t="s">
        <v>2257</v>
      </c>
      <c r="F516" s="849" t="s">
        <v>2057</v>
      </c>
      <c r="G516" s="849">
        <v>3.547522649E7</v>
      </c>
      <c r="H516" s="849">
        <v>3.361770448E7</v>
      </c>
      <c r="I516" s="849">
        <v>3.84788097E7</v>
      </c>
      <c r="J516" s="849">
        <v>3.059285146E7</v>
      </c>
      <c r="K516" s="849">
        <v>3.108602661E7</v>
      </c>
      <c r="L516" s="849">
        <v>2.31634919E7</v>
      </c>
      <c r="M516" s="849">
        <v>2.012339653E7</v>
      </c>
      <c r="N516" s="849">
        <v>1.894526562E7</v>
      </c>
      <c r="O516" s="849">
        <v>1.82095681E7</v>
      </c>
      <c r="P516" s="849">
        <v>2.283284407E7</v>
      </c>
      <c r="Q516" s="849">
        <v>0.0</v>
      </c>
      <c r="R516" s="849">
        <v>0.0</v>
      </c>
      <c r="S516" s="849">
        <v>0.0</v>
      </c>
      <c r="T516" s="849">
        <v>0.0</v>
      </c>
      <c r="U516" s="849">
        <v>0.0</v>
      </c>
      <c r="V516" s="849">
        <v>0.0</v>
      </c>
      <c r="W516" s="849">
        <v>0.0</v>
      </c>
      <c r="X516" s="849">
        <v>0.0</v>
      </c>
      <c r="Y516" s="849">
        <v>0.0</v>
      </c>
      <c r="Z516" s="849">
        <v>0.0</v>
      </c>
      <c r="AA516" s="849">
        <v>0.0</v>
      </c>
      <c r="AB516" s="849">
        <v>0.0</v>
      </c>
      <c r="AC516" s="849">
        <v>0.0</v>
      </c>
      <c r="AD516" s="849">
        <v>0.0</v>
      </c>
      <c r="AE516" s="849">
        <v>0.0</v>
      </c>
      <c r="AF516" s="849">
        <v>0.0</v>
      </c>
      <c r="AG516" s="849">
        <v>0.0</v>
      </c>
      <c r="AH516" s="849">
        <v>0.0</v>
      </c>
      <c r="AI516" s="849">
        <v>0.0</v>
      </c>
      <c r="AJ516" s="794" t="str">
        <f t="shared" ref="AJ516:AK516" si="1029">C516</f>
        <v>G31000</v>
      </c>
      <c r="AK516" s="794" t="str">
        <f t="shared" si="1029"/>
        <v>EFFETS A PAYER VEHICULES</v>
      </c>
      <c r="AL516" s="794">
        <f t="array" ref="AL516">IFERROR(INDEX(G516:R516,1,MATCH(Parametres!$B$3,G$1:R$1,0)-1)*IF(OR(F516="L",F516="S",F516="I"),-1,1),"")</f>
        <v>-18945265.62</v>
      </c>
      <c r="AM516" s="794">
        <f t="shared" si="4"/>
        <v>735697.52</v>
      </c>
      <c r="AN516" s="794">
        <f t="array" ref="AN516">INDEX(G516:R516,1,MATCH(Parametres!$B$3,G$1:R$1,0))*IF(OR(F516="L",F516="S",F516="I"),-1,1)</f>
        <v>-18209568.1</v>
      </c>
      <c r="AO516" s="853" t="str">
        <f>+VLOOKUP($AJ516,Data_Validation!$A:$D,1,0)</f>
        <v>G31000</v>
      </c>
      <c r="AP516" s="853" t="str">
        <f>+VLOOKUP($AJ516,Data_Validation!$A:$D,3,0)</f>
        <v>Bilan</v>
      </c>
      <c r="AQ516" s="853" t="str">
        <f>+VLOOKUP($AJ516,Data_Validation!$A:$D,4,0)</f>
        <v>Effet à Payer Véhicules Neufs</v>
      </c>
      <c r="AR516" s="853" t="s">
        <v>728</v>
      </c>
      <c r="AS516" s="853" t="str">
        <f>+VLOOKUP($AJ516,Data_Validation!$A:$E,5,0)</f>
        <v/>
      </c>
      <c r="AT516" s="794" t="str">
        <f t="shared" ref="AT516:AU516" si="1030">C516</f>
        <v>G31000</v>
      </c>
      <c r="AU516" s="854" t="str">
        <f t="shared" si="1030"/>
        <v>EFFETS A PAYER VEHICULES</v>
      </c>
      <c r="AV516" s="794">
        <f t="array" ref="AV516">IFERROR(INDEX(V516:AG516,1,MATCH(Parametres!$B$3,V$1:AG$1,0)-1)*IF(OR(C516="L",C516="S",C516="I"),-1,1),"")</f>
        <v>0</v>
      </c>
      <c r="AW516" s="794">
        <f t="shared" si="6"/>
        <v>0</v>
      </c>
      <c r="AX516" s="794">
        <f t="array" ref="AX516">INDEX(V516:AG516,1,MATCH(Parametres!$B$3,V$1:AG$1,0))*IF(OR(C516="L",C516="S",C516="I"),-1,1)</f>
        <v>0</v>
      </c>
      <c r="AY516" s="853" t="s">
        <v>772</v>
      </c>
      <c r="AZ516" s="853" t="str">
        <f>+VLOOKUP($AJ516,Data_Validation!$A:$E,5,0)</f>
        <v/>
      </c>
    </row>
    <row r="517" ht="15.0" customHeight="1">
      <c r="A517" s="849" t="s">
        <v>1239</v>
      </c>
      <c r="B517" s="849">
        <v>2026.0</v>
      </c>
      <c r="C517" s="849" t="s">
        <v>2260</v>
      </c>
      <c r="D517" s="849" t="s">
        <v>2261</v>
      </c>
      <c r="E517" s="849" t="s">
        <v>2257</v>
      </c>
      <c r="F517" s="849" t="s">
        <v>2057</v>
      </c>
      <c r="G517" s="849">
        <v>2.252150365E7</v>
      </c>
      <c r="H517" s="849">
        <v>1.814845595E7</v>
      </c>
      <c r="I517" s="849">
        <v>1.968375965E7</v>
      </c>
      <c r="J517" s="849">
        <v>1.890945283E7</v>
      </c>
      <c r="K517" s="849">
        <v>1.671171295E7</v>
      </c>
      <c r="L517" s="849">
        <v>1.022891072E7</v>
      </c>
      <c r="M517" s="849">
        <v>9596441.62</v>
      </c>
      <c r="N517" s="849">
        <v>4817360.8</v>
      </c>
      <c r="O517" s="849">
        <v>3592513.92</v>
      </c>
      <c r="P517" s="849">
        <v>3033925.62</v>
      </c>
      <c r="Q517" s="849">
        <v>0.0</v>
      </c>
      <c r="R517" s="849">
        <v>0.0</v>
      </c>
      <c r="S517" s="849">
        <v>0.0</v>
      </c>
      <c r="T517" s="849">
        <v>0.0</v>
      </c>
      <c r="U517" s="849">
        <v>0.0</v>
      </c>
      <c r="V517" s="849">
        <v>0.0</v>
      </c>
      <c r="W517" s="849">
        <v>0.0</v>
      </c>
      <c r="X517" s="849">
        <v>0.0</v>
      </c>
      <c r="Y517" s="849">
        <v>0.0</v>
      </c>
      <c r="Z517" s="849">
        <v>0.0</v>
      </c>
      <c r="AA517" s="849">
        <v>0.0</v>
      </c>
      <c r="AB517" s="849">
        <v>0.0</v>
      </c>
      <c r="AC517" s="849">
        <v>0.0</v>
      </c>
      <c r="AD517" s="849">
        <v>0.0</v>
      </c>
      <c r="AE517" s="849">
        <v>0.0</v>
      </c>
      <c r="AF517" s="849">
        <v>0.0</v>
      </c>
      <c r="AG517" s="849">
        <v>0.0</v>
      </c>
      <c r="AH517" s="849">
        <v>0.0</v>
      </c>
      <c r="AI517" s="849">
        <v>0.0</v>
      </c>
      <c r="AJ517" s="794" t="str">
        <f t="shared" ref="AJ517:AK517" si="1031">C517</f>
        <v>G31100</v>
      </c>
      <c r="AK517" s="794" t="str">
        <f t="shared" si="1031"/>
        <v>EFFETS PAYER VEH. OCC.</v>
      </c>
      <c r="AL517" s="794">
        <f t="array" ref="AL517">IFERROR(INDEX(G517:R517,1,MATCH(Parametres!$B$3,G$1:R$1,0)-1)*IF(OR(F517="L",F517="S",F517="I"),-1,1),"")</f>
        <v>-4817360.8</v>
      </c>
      <c r="AM517" s="794">
        <f t="shared" si="4"/>
        <v>1224846.88</v>
      </c>
      <c r="AN517" s="794">
        <f t="array" ref="AN517">INDEX(G517:R517,1,MATCH(Parametres!$B$3,G$1:R$1,0))*IF(OR(F517="L",F517="S",F517="I"),-1,1)</f>
        <v>-3592513.92</v>
      </c>
      <c r="AO517" s="853" t="str">
        <f>+VLOOKUP($AJ517,Data_Validation!$A:$D,1,0)</f>
        <v>G31100</v>
      </c>
      <c r="AP517" s="853" t="str">
        <f>+VLOOKUP($AJ517,Data_Validation!$A:$D,3,0)</f>
        <v>Bilan</v>
      </c>
      <c r="AQ517" s="853" t="str">
        <f>+VLOOKUP($AJ517,Data_Validation!$A:$D,4,0)</f>
        <v>Effet à Payer Véhicules Usagés</v>
      </c>
      <c r="AR517" s="853" t="s">
        <v>728</v>
      </c>
      <c r="AS517" s="853" t="str">
        <f>+VLOOKUP($AJ517,Data_Validation!$A:$E,5,0)</f>
        <v/>
      </c>
      <c r="AT517" s="794" t="str">
        <f t="shared" ref="AT517:AU517" si="1032">C517</f>
        <v>G31100</v>
      </c>
      <c r="AU517" s="854" t="str">
        <f t="shared" si="1032"/>
        <v>EFFETS PAYER VEH. OCC.</v>
      </c>
      <c r="AV517" s="794">
        <f t="array" ref="AV517">IFERROR(INDEX(V517:AG517,1,MATCH(Parametres!$B$3,V$1:AG$1,0)-1)*IF(OR(C517="L",C517="S",C517="I"),-1,1),"")</f>
        <v>0</v>
      </c>
      <c r="AW517" s="794">
        <f t="shared" si="6"/>
        <v>0</v>
      </c>
      <c r="AX517" s="794">
        <f t="array" ref="AX517">INDEX(V517:AG517,1,MATCH(Parametres!$B$3,V$1:AG$1,0))*IF(OR(C517="L",C517="S",C517="I"),-1,1)</f>
        <v>0</v>
      </c>
      <c r="AY517" s="853" t="s">
        <v>772</v>
      </c>
      <c r="AZ517" s="853" t="str">
        <f>+VLOOKUP($AJ517,Data_Validation!$A:$E,5,0)</f>
        <v/>
      </c>
    </row>
    <row r="518" ht="15.0" customHeight="1">
      <c r="A518" s="849" t="s">
        <v>1239</v>
      </c>
      <c r="B518" s="849">
        <v>2026.0</v>
      </c>
      <c r="C518" s="849" t="s">
        <v>2262</v>
      </c>
      <c r="D518" s="849" t="s">
        <v>2263</v>
      </c>
      <c r="E518" s="849" t="s">
        <v>2257</v>
      </c>
      <c r="F518" s="849" t="s">
        <v>2057</v>
      </c>
      <c r="G518" s="849">
        <v>0.0</v>
      </c>
      <c r="H518" s="849">
        <v>0.0</v>
      </c>
      <c r="I518" s="849">
        <v>0.0</v>
      </c>
      <c r="J518" s="849">
        <v>0.0</v>
      </c>
      <c r="K518" s="849">
        <v>0.0</v>
      </c>
      <c r="L518" s="849">
        <v>0.0</v>
      </c>
      <c r="M518" s="849">
        <v>0.0</v>
      </c>
      <c r="N518" s="849">
        <v>0.0</v>
      </c>
      <c r="O518" s="849">
        <v>0.0</v>
      </c>
      <c r="P518" s="849">
        <v>0.0</v>
      </c>
      <c r="Q518" s="849">
        <v>0.0</v>
      </c>
      <c r="R518" s="849">
        <v>0.0</v>
      </c>
      <c r="S518" s="849">
        <v>0.0</v>
      </c>
      <c r="T518" s="849">
        <v>0.0</v>
      </c>
      <c r="U518" s="849">
        <v>0.0</v>
      </c>
      <c r="V518" s="849">
        <v>0.0</v>
      </c>
      <c r="W518" s="849">
        <v>0.0</v>
      </c>
      <c r="X518" s="849">
        <v>0.0</v>
      </c>
      <c r="Y518" s="849">
        <v>0.0</v>
      </c>
      <c r="Z518" s="849">
        <v>0.0</v>
      </c>
      <c r="AA518" s="849">
        <v>0.0</v>
      </c>
      <c r="AB518" s="849">
        <v>0.0</v>
      </c>
      <c r="AC518" s="849">
        <v>0.0</v>
      </c>
      <c r="AD518" s="849">
        <v>0.0</v>
      </c>
      <c r="AE518" s="849">
        <v>0.0</v>
      </c>
      <c r="AF518" s="849">
        <v>0.0</v>
      </c>
      <c r="AG518" s="849">
        <v>0.0</v>
      </c>
      <c r="AH518" s="849">
        <v>0.0</v>
      </c>
      <c r="AI518" s="849">
        <v>0.0</v>
      </c>
      <c r="AJ518" s="794" t="str">
        <f t="shared" ref="AJ518:AK518" si="1033">C518</f>
        <v>G31200</v>
      </c>
      <c r="AK518" s="794" t="str">
        <f t="shared" si="1033"/>
        <v>A/P VEHICULES LOCATIONS</v>
      </c>
      <c r="AL518" s="794">
        <f t="array" ref="AL518">IFERROR(INDEX(G518:R518,1,MATCH(Parametres!$B$3,G$1:R$1,0)-1)*IF(OR(F518="L",F518="S",F518="I"),-1,1),"")</f>
        <v>0</v>
      </c>
      <c r="AM518" s="794">
        <f t="shared" si="4"/>
        <v>0</v>
      </c>
      <c r="AN518" s="794">
        <f t="array" ref="AN518">INDEX(G518:R518,1,MATCH(Parametres!$B$3,G$1:R$1,0))*IF(OR(F518="L",F518="S",F518="I"),-1,1)</f>
        <v>0</v>
      </c>
      <c r="AO518" s="853" t="str">
        <f>+VLOOKUP($AJ518,Data_Validation!$A:$D,1,0)</f>
        <v>#N/A</v>
      </c>
      <c r="AP518" s="853" t="str">
        <f>+VLOOKUP($AJ518,Data_Validation!$A:$D,3,0)</f>
        <v>#N/A</v>
      </c>
      <c r="AQ518" s="853" t="str">
        <f>+VLOOKUP($AJ518,Data_Validation!$A:$D,4,0)</f>
        <v>#N/A</v>
      </c>
      <c r="AR518" s="853" t="s">
        <v>728</v>
      </c>
      <c r="AS518" s="853" t="str">
        <f>+VLOOKUP($AJ518,Data_Validation!$A:$E,5,0)</f>
        <v>#N/A</v>
      </c>
      <c r="AT518" s="794" t="str">
        <f t="shared" ref="AT518:AU518" si="1034">C518</f>
        <v>G31200</v>
      </c>
      <c r="AU518" s="854" t="str">
        <f t="shared" si="1034"/>
        <v>A/P VEHICULES LOCATIONS</v>
      </c>
      <c r="AV518" s="794">
        <f t="array" ref="AV518">IFERROR(INDEX(V518:AG518,1,MATCH(Parametres!$B$3,V$1:AG$1,0)-1)*IF(OR(C518="L",C518="S",C518="I"),-1,1),"")</f>
        <v>0</v>
      </c>
      <c r="AW518" s="794">
        <f t="shared" si="6"/>
        <v>0</v>
      </c>
      <c r="AX518" s="794">
        <f t="array" ref="AX518">INDEX(V518:AG518,1,MATCH(Parametres!$B$3,V$1:AG$1,0))*IF(OR(C518="L",C518="S",C518="I"),-1,1)</f>
        <v>0</v>
      </c>
      <c r="AY518" s="853" t="s">
        <v>772</v>
      </c>
      <c r="AZ518" s="853" t="str">
        <f>+VLOOKUP($AJ518,Data_Validation!$A:$E,5,0)</f>
        <v>#N/A</v>
      </c>
    </row>
    <row r="519" ht="15.0" customHeight="1">
      <c r="A519" s="849" t="s">
        <v>1239</v>
      </c>
      <c r="B519" s="849">
        <v>2026.0</v>
      </c>
      <c r="C519" s="849" t="s">
        <v>2264</v>
      </c>
      <c r="D519" s="849" t="s">
        <v>2265</v>
      </c>
      <c r="E519" s="849" t="s">
        <v>768</v>
      </c>
      <c r="F519" s="849" t="s">
        <v>2057</v>
      </c>
      <c r="G519" s="849">
        <v>0.0</v>
      </c>
      <c r="H519" s="849">
        <v>0.0</v>
      </c>
      <c r="I519" s="849">
        <v>0.0</v>
      </c>
      <c r="J519" s="849">
        <v>0.0</v>
      </c>
      <c r="K519" s="849">
        <v>0.0</v>
      </c>
      <c r="L519" s="849">
        <v>0.0</v>
      </c>
      <c r="M519" s="849">
        <v>0.0</v>
      </c>
      <c r="N519" s="849">
        <v>0.0</v>
      </c>
      <c r="O519" s="849">
        <v>0.0</v>
      </c>
      <c r="P519" s="849">
        <v>0.0</v>
      </c>
      <c r="Q519" s="849">
        <v>0.0</v>
      </c>
      <c r="R519" s="849">
        <v>0.0</v>
      </c>
      <c r="S519" s="849">
        <v>0.0</v>
      </c>
      <c r="T519" s="849">
        <v>0.0</v>
      </c>
      <c r="U519" s="849">
        <v>0.0</v>
      </c>
      <c r="V519" s="849">
        <v>0.0</v>
      </c>
      <c r="W519" s="849">
        <v>0.0</v>
      </c>
      <c r="X519" s="849">
        <v>0.0</v>
      </c>
      <c r="Y519" s="849">
        <v>0.0</v>
      </c>
      <c r="Z519" s="849">
        <v>0.0</v>
      </c>
      <c r="AA519" s="849">
        <v>0.0</v>
      </c>
      <c r="AB519" s="849">
        <v>0.0</v>
      </c>
      <c r="AC519" s="849">
        <v>0.0</v>
      </c>
      <c r="AD519" s="849">
        <v>0.0</v>
      </c>
      <c r="AE519" s="849">
        <v>0.0</v>
      </c>
      <c r="AF519" s="849">
        <v>0.0</v>
      </c>
      <c r="AG519" s="849">
        <v>0.0</v>
      </c>
      <c r="AH519" s="849">
        <v>0.0</v>
      </c>
      <c r="AI519" s="849">
        <v>0.0</v>
      </c>
      <c r="AJ519" s="794" t="str">
        <f t="shared" ref="AJ519:AK519" si="1035">C519</f>
        <v>G31400</v>
      </c>
      <c r="AK519" s="794" t="str">
        <f t="shared" si="1035"/>
        <v>MARGE DE CREDIT</v>
      </c>
      <c r="AL519" s="794">
        <f t="array" ref="AL519">IFERROR(INDEX(G519:R519,1,MATCH(Parametres!$B$3,G$1:R$1,0)-1)*IF(OR(F519="L",F519="S",F519="I"),-1,1),"")</f>
        <v>0</v>
      </c>
      <c r="AM519" s="794">
        <f t="shared" si="4"/>
        <v>0</v>
      </c>
      <c r="AN519" s="794">
        <f t="array" ref="AN519">INDEX(G519:R519,1,MATCH(Parametres!$B$3,G$1:R$1,0))*IF(OR(F519="L",F519="S",F519="I"),-1,1)</f>
        <v>0</v>
      </c>
      <c r="AO519" s="853" t="str">
        <f>+VLOOKUP($AJ519,Data_Validation!$A:$D,1,0)</f>
        <v>G31400</v>
      </c>
      <c r="AP519" s="853" t="str">
        <f>+VLOOKUP($AJ519,Data_Validation!$A:$D,3,0)</f>
        <v/>
      </c>
      <c r="AQ519" s="853" t="str">
        <f>+VLOOKUP($AJ519,Data_Validation!$A:$D,4,0)</f>
        <v/>
      </c>
      <c r="AR519" s="853" t="s">
        <v>728</v>
      </c>
      <c r="AS519" s="853" t="str">
        <f>+VLOOKUP($AJ519,Data_Validation!$A:$E,5,0)</f>
        <v/>
      </c>
      <c r="AT519" s="794" t="str">
        <f t="shared" ref="AT519:AU519" si="1036">C519</f>
        <v>G31400</v>
      </c>
      <c r="AU519" s="854" t="str">
        <f t="shared" si="1036"/>
        <v>MARGE DE CREDIT</v>
      </c>
      <c r="AV519" s="794">
        <f t="array" ref="AV519">IFERROR(INDEX(V519:AG519,1,MATCH(Parametres!$B$3,V$1:AG$1,0)-1)*IF(OR(C519="L",C519="S",C519="I"),-1,1),"")</f>
        <v>0</v>
      </c>
      <c r="AW519" s="794">
        <f t="shared" si="6"/>
        <v>0</v>
      </c>
      <c r="AX519" s="794">
        <f t="array" ref="AX519">INDEX(V519:AG519,1,MATCH(Parametres!$B$3,V$1:AG$1,0))*IF(OR(C519="L",C519="S",C519="I"),-1,1)</f>
        <v>0</v>
      </c>
      <c r="AY519" s="853" t="s">
        <v>772</v>
      </c>
      <c r="AZ519" s="853" t="str">
        <f>+VLOOKUP($AJ519,Data_Validation!$A:$E,5,0)</f>
        <v/>
      </c>
    </row>
    <row r="520" ht="15.0" customHeight="1">
      <c r="A520" s="849" t="s">
        <v>1239</v>
      </c>
      <c r="B520" s="849">
        <v>2026.0</v>
      </c>
      <c r="C520" s="849" t="s">
        <v>2266</v>
      </c>
      <c r="D520" s="849" t="s">
        <v>2267</v>
      </c>
      <c r="E520" s="849" t="s">
        <v>768</v>
      </c>
      <c r="F520" s="849" t="s">
        <v>2057</v>
      </c>
      <c r="G520" s="849">
        <v>0.0</v>
      </c>
      <c r="H520" s="849">
        <v>0.0</v>
      </c>
      <c r="I520" s="849">
        <v>0.0</v>
      </c>
      <c r="J520" s="849">
        <v>0.0</v>
      </c>
      <c r="K520" s="849">
        <v>0.0</v>
      </c>
      <c r="L520" s="849">
        <v>0.0</v>
      </c>
      <c r="M520" s="849">
        <v>0.0</v>
      </c>
      <c r="N520" s="849">
        <v>0.0</v>
      </c>
      <c r="O520" s="849">
        <v>0.0</v>
      </c>
      <c r="P520" s="849">
        <v>0.0</v>
      </c>
      <c r="Q520" s="849">
        <v>0.0</v>
      </c>
      <c r="R520" s="849">
        <v>0.0</v>
      </c>
      <c r="S520" s="849">
        <v>0.0</v>
      </c>
      <c r="T520" s="849">
        <v>0.0</v>
      </c>
      <c r="U520" s="849">
        <v>0.0</v>
      </c>
      <c r="V520" s="849">
        <v>0.0</v>
      </c>
      <c r="W520" s="849">
        <v>0.0</v>
      </c>
      <c r="X520" s="849">
        <v>0.0</v>
      </c>
      <c r="Y520" s="849">
        <v>0.0</v>
      </c>
      <c r="Z520" s="849">
        <v>0.0</v>
      </c>
      <c r="AA520" s="849">
        <v>0.0</v>
      </c>
      <c r="AB520" s="849">
        <v>0.0</v>
      </c>
      <c r="AC520" s="849">
        <v>0.0</v>
      </c>
      <c r="AD520" s="849">
        <v>0.0</v>
      </c>
      <c r="AE520" s="849">
        <v>0.0</v>
      </c>
      <c r="AF520" s="849">
        <v>0.0</v>
      </c>
      <c r="AG520" s="849">
        <v>0.0</v>
      </c>
      <c r="AH520" s="849">
        <v>0.0</v>
      </c>
      <c r="AI520" s="849">
        <v>0.0</v>
      </c>
      <c r="AJ520" s="794" t="str">
        <f t="shared" ref="AJ520:AK520" si="1037">C520</f>
        <v>G31500</v>
      </c>
      <c r="AK520" s="794" t="str">
        <f t="shared" si="1037"/>
        <v>T.P.S. PAYABLE</v>
      </c>
      <c r="AL520" s="794">
        <f t="array" ref="AL520">IFERROR(INDEX(G520:R520,1,MATCH(Parametres!$B$3,G$1:R$1,0)-1)*IF(OR(F520="L",F520="S",F520="I"),-1,1),"")</f>
        <v>0</v>
      </c>
      <c r="AM520" s="794">
        <f t="shared" si="4"/>
        <v>0</v>
      </c>
      <c r="AN520" s="794">
        <f t="array" ref="AN520">INDEX(G520:R520,1,MATCH(Parametres!$B$3,G$1:R$1,0))*IF(OR(F520="L",F520="S",F520="I"),-1,1)</f>
        <v>0</v>
      </c>
      <c r="AO520" s="853" t="str">
        <f>+VLOOKUP($AJ520,Data_Validation!$A:$D,1,0)</f>
        <v>#N/A</v>
      </c>
      <c r="AP520" s="853" t="str">
        <f>+VLOOKUP($AJ520,Data_Validation!$A:$D,3,0)</f>
        <v>#N/A</v>
      </c>
      <c r="AQ520" s="853" t="str">
        <f>+VLOOKUP($AJ520,Data_Validation!$A:$D,4,0)</f>
        <v>#N/A</v>
      </c>
      <c r="AR520" s="853" t="s">
        <v>728</v>
      </c>
      <c r="AS520" s="853" t="str">
        <f>+VLOOKUP($AJ520,Data_Validation!$A:$E,5,0)</f>
        <v>#N/A</v>
      </c>
      <c r="AT520" s="794" t="str">
        <f t="shared" ref="AT520:AU520" si="1038">C520</f>
        <v>G31500</v>
      </c>
      <c r="AU520" s="854" t="str">
        <f t="shared" si="1038"/>
        <v>T.P.S. PAYABLE</v>
      </c>
      <c r="AV520" s="794">
        <f t="array" ref="AV520">IFERROR(INDEX(V520:AG520,1,MATCH(Parametres!$B$3,V$1:AG$1,0)-1)*IF(OR(C520="L",C520="S",C520="I"),-1,1),"")</f>
        <v>0</v>
      </c>
      <c r="AW520" s="794">
        <f t="shared" si="6"/>
        <v>0</v>
      </c>
      <c r="AX520" s="794">
        <f t="array" ref="AX520">INDEX(V520:AG520,1,MATCH(Parametres!$B$3,V$1:AG$1,0))*IF(OR(C520="L",C520="S",C520="I"),-1,1)</f>
        <v>0</v>
      </c>
      <c r="AY520" s="853" t="s">
        <v>772</v>
      </c>
      <c r="AZ520" s="853" t="str">
        <f>+VLOOKUP($AJ520,Data_Validation!$A:$E,5,0)</f>
        <v>#N/A</v>
      </c>
    </row>
    <row r="521" ht="15.0" customHeight="1">
      <c r="A521" s="849" t="s">
        <v>1239</v>
      </c>
      <c r="B521" s="849">
        <v>2026.0</v>
      </c>
      <c r="C521" s="849" t="s">
        <v>2268</v>
      </c>
      <c r="D521" s="849" t="s">
        <v>2269</v>
      </c>
      <c r="E521" s="849" t="s">
        <v>768</v>
      </c>
      <c r="F521" s="849" t="s">
        <v>2057</v>
      </c>
      <c r="G521" s="849">
        <v>0.0</v>
      </c>
      <c r="H521" s="849">
        <v>0.0</v>
      </c>
      <c r="I521" s="849">
        <v>0.0</v>
      </c>
      <c r="J521" s="849">
        <v>0.0</v>
      </c>
      <c r="K521" s="849">
        <v>0.0</v>
      </c>
      <c r="L521" s="849">
        <v>0.0</v>
      </c>
      <c r="M521" s="849">
        <v>0.0</v>
      </c>
      <c r="N521" s="849">
        <v>0.0</v>
      </c>
      <c r="O521" s="849">
        <v>0.0</v>
      </c>
      <c r="P521" s="849">
        <v>0.0</v>
      </c>
      <c r="Q521" s="849">
        <v>0.0</v>
      </c>
      <c r="R521" s="849">
        <v>0.0</v>
      </c>
      <c r="S521" s="849">
        <v>0.0</v>
      </c>
      <c r="T521" s="849">
        <v>0.0</v>
      </c>
      <c r="U521" s="849">
        <v>0.0</v>
      </c>
      <c r="V521" s="849">
        <v>0.0</v>
      </c>
      <c r="W521" s="849">
        <v>0.0</v>
      </c>
      <c r="X521" s="849">
        <v>0.0</v>
      </c>
      <c r="Y521" s="849">
        <v>0.0</v>
      </c>
      <c r="Z521" s="849">
        <v>0.0</v>
      </c>
      <c r="AA521" s="849">
        <v>0.0</v>
      </c>
      <c r="AB521" s="849">
        <v>0.0</v>
      </c>
      <c r="AC521" s="849">
        <v>0.0</v>
      </c>
      <c r="AD521" s="849">
        <v>0.0</v>
      </c>
      <c r="AE521" s="849">
        <v>0.0</v>
      </c>
      <c r="AF521" s="849">
        <v>0.0</v>
      </c>
      <c r="AG521" s="849">
        <v>0.0</v>
      </c>
      <c r="AH521" s="849">
        <v>0.0</v>
      </c>
      <c r="AI521" s="849">
        <v>0.0</v>
      </c>
      <c r="AJ521" s="794" t="str">
        <f t="shared" ref="AJ521:AK521" si="1039">C521</f>
        <v>G32000</v>
      </c>
      <c r="AK521" s="794" t="str">
        <f t="shared" si="1039"/>
        <v>INTERETS A/P</v>
      </c>
      <c r="AL521" s="794">
        <f t="array" ref="AL521">IFERROR(INDEX(G521:R521,1,MATCH(Parametres!$B$3,G$1:R$1,0)-1)*IF(OR(F521="L",F521="S",F521="I"),-1,1),"")</f>
        <v>0</v>
      </c>
      <c r="AM521" s="794">
        <f t="shared" si="4"/>
        <v>0</v>
      </c>
      <c r="AN521" s="794">
        <f t="array" ref="AN521">INDEX(G521:R521,1,MATCH(Parametres!$B$3,G$1:R$1,0))*IF(OR(F521="L",F521="S",F521="I"),-1,1)</f>
        <v>0</v>
      </c>
      <c r="AO521" s="853" t="str">
        <f>+VLOOKUP($AJ521,Data_Validation!$A:$D,1,0)</f>
        <v>G32000</v>
      </c>
      <c r="AP521" s="853" t="str">
        <f>+VLOOKUP($AJ521,Data_Validation!$A:$D,3,0)</f>
        <v/>
      </c>
      <c r="AQ521" s="853" t="str">
        <f>+VLOOKUP($AJ521,Data_Validation!$A:$D,4,0)</f>
        <v/>
      </c>
      <c r="AR521" s="853" t="s">
        <v>728</v>
      </c>
      <c r="AS521" s="853" t="str">
        <f>+VLOOKUP($AJ521,Data_Validation!$A:$E,5,0)</f>
        <v/>
      </c>
      <c r="AT521" s="794" t="str">
        <f t="shared" ref="AT521:AU521" si="1040">C521</f>
        <v>G32000</v>
      </c>
      <c r="AU521" s="854" t="str">
        <f t="shared" si="1040"/>
        <v>INTERETS A/P</v>
      </c>
      <c r="AV521" s="794">
        <f t="array" ref="AV521">IFERROR(INDEX(V521:AG521,1,MATCH(Parametres!$B$3,V$1:AG$1,0)-1)*IF(OR(C521="L",C521="S",C521="I"),-1,1),"")</f>
        <v>0</v>
      </c>
      <c r="AW521" s="794">
        <f t="shared" si="6"/>
        <v>0</v>
      </c>
      <c r="AX521" s="794">
        <f t="array" ref="AX521">INDEX(V521:AG521,1,MATCH(Parametres!$B$3,V$1:AG$1,0))*IF(OR(C521="L",C521="S",C521="I"),-1,1)</f>
        <v>0</v>
      </c>
      <c r="AY521" s="853" t="s">
        <v>772</v>
      </c>
      <c r="AZ521" s="853" t="str">
        <f>+VLOOKUP($AJ521,Data_Validation!$A:$E,5,0)</f>
        <v/>
      </c>
    </row>
    <row r="522" ht="15.0" customHeight="1">
      <c r="A522" s="849" t="s">
        <v>1239</v>
      </c>
      <c r="B522" s="849">
        <v>2026.0</v>
      </c>
      <c r="C522" s="849" t="s">
        <v>2270</v>
      </c>
      <c r="D522" s="849" t="s">
        <v>2271</v>
      </c>
      <c r="E522" s="849" t="s">
        <v>768</v>
      </c>
      <c r="F522" s="849" t="s">
        <v>2057</v>
      </c>
      <c r="G522" s="849">
        <v>1062.8</v>
      </c>
      <c r="H522" s="849">
        <v>-3391.68</v>
      </c>
      <c r="I522" s="849">
        <v>-8059.88</v>
      </c>
      <c r="J522" s="849">
        <v>-13546.82</v>
      </c>
      <c r="K522" s="849">
        <v>-18067.68</v>
      </c>
      <c r="L522" s="849">
        <v>-25209.44</v>
      </c>
      <c r="M522" s="849">
        <v>-31301.25</v>
      </c>
      <c r="N522" s="849">
        <v>-35000.91</v>
      </c>
      <c r="O522" s="849">
        <v>-41476.29</v>
      </c>
      <c r="P522" s="849">
        <v>-32456.41</v>
      </c>
      <c r="Q522" s="849">
        <v>0.0</v>
      </c>
      <c r="R522" s="849">
        <v>0.0</v>
      </c>
      <c r="S522" s="849">
        <v>0.0</v>
      </c>
      <c r="T522" s="849">
        <v>0.0</v>
      </c>
      <c r="U522" s="849">
        <v>0.0</v>
      </c>
      <c r="V522" s="849">
        <v>0.0</v>
      </c>
      <c r="W522" s="849">
        <v>0.0</v>
      </c>
      <c r="X522" s="849">
        <v>0.0</v>
      </c>
      <c r="Y522" s="849">
        <v>0.0</v>
      </c>
      <c r="Z522" s="849">
        <v>0.0</v>
      </c>
      <c r="AA522" s="849">
        <v>0.0</v>
      </c>
      <c r="AB522" s="849">
        <v>0.0</v>
      </c>
      <c r="AC522" s="849">
        <v>0.0</v>
      </c>
      <c r="AD522" s="849">
        <v>0.0</v>
      </c>
      <c r="AE522" s="849">
        <v>0.0</v>
      </c>
      <c r="AF522" s="849">
        <v>0.0</v>
      </c>
      <c r="AG522" s="849">
        <v>0.0</v>
      </c>
      <c r="AH522" s="849">
        <v>0.0</v>
      </c>
      <c r="AI522" s="849">
        <v>0.0</v>
      </c>
      <c r="AJ522" s="794" t="str">
        <f t="shared" ref="AJ522:AK522" si="1041">C522</f>
        <v>G3210A</v>
      </c>
      <c r="AK522" s="794" t="str">
        <f t="shared" si="1041"/>
        <v>ASS-COLLECTIVE A PAYER</v>
      </c>
      <c r="AL522" s="794">
        <f t="array" ref="AL522">IFERROR(INDEX(G522:R522,1,MATCH(Parametres!$B$3,G$1:R$1,0)-1)*IF(OR(F522="L",F522="S",F522="I"),-1,1),"")</f>
        <v>35000.91</v>
      </c>
      <c r="AM522" s="794">
        <f t="shared" si="4"/>
        <v>6475.38</v>
      </c>
      <c r="AN522" s="794">
        <f t="array" ref="AN522">INDEX(G522:R522,1,MATCH(Parametres!$B$3,G$1:R$1,0))*IF(OR(F522="L",F522="S",F522="I"),-1,1)</f>
        <v>41476.29</v>
      </c>
      <c r="AO522" s="853" t="str">
        <f>+VLOOKUP($AJ522,Data_Validation!$A:$D,1,0)</f>
        <v>G3210A</v>
      </c>
      <c r="AP522" s="853" t="str">
        <f>+VLOOKUP($AJ522,Data_Validation!$A:$D,3,0)</f>
        <v>Bilan</v>
      </c>
      <c r="AQ522" s="853" t="str">
        <f>+VLOOKUP($AJ522,Data_Validation!$A:$D,4,0)</f>
        <v>DAS à Payer</v>
      </c>
      <c r="AR522" s="853" t="s">
        <v>728</v>
      </c>
      <c r="AS522" s="853" t="str">
        <f>+VLOOKUP($AJ522,Data_Validation!$A:$E,5,0)</f>
        <v/>
      </c>
      <c r="AT522" s="794" t="str">
        <f t="shared" ref="AT522:AU522" si="1042">C522</f>
        <v>G3210A</v>
      </c>
      <c r="AU522" s="854" t="str">
        <f t="shared" si="1042"/>
        <v>ASS-COLLECTIVE A PAYER</v>
      </c>
      <c r="AV522" s="794">
        <f t="array" ref="AV522">IFERROR(INDEX(V522:AG522,1,MATCH(Parametres!$B$3,V$1:AG$1,0)-1)*IF(OR(C522="L",C522="S",C522="I"),-1,1),"")</f>
        <v>0</v>
      </c>
      <c r="AW522" s="794">
        <f t="shared" si="6"/>
        <v>0</v>
      </c>
      <c r="AX522" s="794">
        <f t="array" ref="AX522">INDEX(V522:AG522,1,MATCH(Parametres!$B$3,V$1:AG$1,0))*IF(OR(C522="L",C522="S",C522="I"),-1,1)</f>
        <v>0</v>
      </c>
      <c r="AY522" s="853" t="s">
        <v>772</v>
      </c>
      <c r="AZ522" s="853" t="str">
        <f>+VLOOKUP($AJ522,Data_Validation!$A:$E,5,0)</f>
        <v/>
      </c>
    </row>
    <row r="523" ht="15.0" customHeight="1">
      <c r="A523" s="849" t="s">
        <v>1239</v>
      </c>
      <c r="B523" s="849">
        <v>2026.0</v>
      </c>
      <c r="C523" s="849" t="s">
        <v>2272</v>
      </c>
      <c r="D523" s="849" t="s">
        <v>2273</v>
      </c>
      <c r="E523" s="849" t="s">
        <v>768</v>
      </c>
      <c r="F523" s="849" t="s">
        <v>2057</v>
      </c>
      <c r="G523" s="849">
        <v>103371.93</v>
      </c>
      <c r="H523" s="849">
        <v>94570.17</v>
      </c>
      <c r="I523" s="849">
        <v>128176.38</v>
      </c>
      <c r="J523" s="849">
        <v>187289.28</v>
      </c>
      <c r="K523" s="849">
        <v>11018.44</v>
      </c>
      <c r="L523" s="849">
        <v>40919.13</v>
      </c>
      <c r="M523" s="849">
        <v>88052.58</v>
      </c>
      <c r="N523" s="849">
        <v>94938.98</v>
      </c>
      <c r="O523" s="849">
        <v>136029.23</v>
      </c>
      <c r="P523" s="849">
        <v>134006.19</v>
      </c>
      <c r="Q523" s="849">
        <v>0.0</v>
      </c>
      <c r="R523" s="849">
        <v>0.0</v>
      </c>
      <c r="S523" s="849">
        <v>0.0</v>
      </c>
      <c r="T523" s="849">
        <v>0.0</v>
      </c>
      <c r="U523" s="849">
        <v>0.0</v>
      </c>
      <c r="V523" s="849">
        <v>0.0</v>
      </c>
      <c r="W523" s="849">
        <v>0.0</v>
      </c>
      <c r="X523" s="849">
        <v>0.0</v>
      </c>
      <c r="Y523" s="849">
        <v>0.0</v>
      </c>
      <c r="Z523" s="849">
        <v>0.0</v>
      </c>
      <c r="AA523" s="849">
        <v>0.0</v>
      </c>
      <c r="AB523" s="849">
        <v>0.0</v>
      </c>
      <c r="AC523" s="849">
        <v>0.0</v>
      </c>
      <c r="AD523" s="849">
        <v>0.0</v>
      </c>
      <c r="AE523" s="849">
        <v>0.0</v>
      </c>
      <c r="AF523" s="849">
        <v>0.0</v>
      </c>
      <c r="AG523" s="849">
        <v>0.0</v>
      </c>
      <c r="AH523" s="849">
        <v>0.0</v>
      </c>
      <c r="AI523" s="849">
        <v>0.0</v>
      </c>
      <c r="AJ523" s="794" t="str">
        <f t="shared" ref="AJ523:AK523" si="1043">C523</f>
        <v>G32100</v>
      </c>
      <c r="AK523" s="794" t="str">
        <f t="shared" si="1043"/>
        <v>SALAIRES &amp; COMM. A PAYER</v>
      </c>
      <c r="AL523" s="794">
        <f t="array" ref="AL523">IFERROR(INDEX(G523:R523,1,MATCH(Parametres!$B$3,G$1:R$1,0)-1)*IF(OR(F523="L",F523="S",F523="I"),-1,1),"")</f>
        <v>-94938.98</v>
      </c>
      <c r="AM523" s="794">
        <f t="shared" si="4"/>
        <v>-41090.25</v>
      </c>
      <c r="AN523" s="794">
        <f t="array" ref="AN523">INDEX(G523:R523,1,MATCH(Parametres!$B$3,G$1:R$1,0))*IF(OR(F523="L",F523="S",F523="I"),-1,1)</f>
        <v>-136029.23</v>
      </c>
      <c r="AO523" s="853" t="str">
        <f>+VLOOKUP($AJ523,Data_Validation!$A:$D,1,0)</f>
        <v>G32100</v>
      </c>
      <c r="AP523" s="853" t="str">
        <f>+VLOOKUP($AJ523,Data_Validation!$A:$D,3,0)</f>
        <v>Bilan</v>
      </c>
      <c r="AQ523" s="853" t="str">
        <f>+VLOOKUP($AJ523,Data_Validation!$A:$D,4,0)</f>
        <v>Salaires à Payer</v>
      </c>
      <c r="AR523" s="853" t="s">
        <v>728</v>
      </c>
      <c r="AS523" s="853" t="str">
        <f>+VLOOKUP($AJ523,Data_Validation!$A:$E,5,0)</f>
        <v/>
      </c>
      <c r="AT523" s="794" t="str">
        <f t="shared" ref="AT523:AU523" si="1044">C523</f>
        <v>G32100</v>
      </c>
      <c r="AU523" s="854" t="str">
        <f t="shared" si="1044"/>
        <v>SALAIRES &amp; COMM. A PAYER</v>
      </c>
      <c r="AV523" s="794">
        <f t="array" ref="AV523">IFERROR(INDEX(V523:AG523,1,MATCH(Parametres!$B$3,V$1:AG$1,0)-1)*IF(OR(C523="L",C523="S",C523="I"),-1,1),"")</f>
        <v>0</v>
      </c>
      <c r="AW523" s="794">
        <f t="shared" si="6"/>
        <v>0</v>
      </c>
      <c r="AX523" s="794">
        <f t="array" ref="AX523">INDEX(V523:AG523,1,MATCH(Parametres!$B$3,V$1:AG$1,0))*IF(OR(C523="L",C523="S",C523="I"),-1,1)</f>
        <v>0</v>
      </c>
      <c r="AY523" s="853" t="s">
        <v>772</v>
      </c>
      <c r="AZ523" s="853" t="str">
        <f>+VLOOKUP($AJ523,Data_Validation!$A:$E,5,0)</f>
        <v/>
      </c>
    </row>
    <row r="524" ht="15.0" customHeight="1">
      <c r="A524" s="849" t="s">
        <v>1239</v>
      </c>
      <c r="B524" s="849">
        <v>2026.0</v>
      </c>
      <c r="C524" s="849" t="s">
        <v>2274</v>
      </c>
      <c r="D524" s="849" t="s">
        <v>2275</v>
      </c>
      <c r="E524" s="849" t="s">
        <v>2212</v>
      </c>
      <c r="F524" s="849" t="s">
        <v>2057</v>
      </c>
      <c r="G524" s="849">
        <v>8276.27</v>
      </c>
      <c r="H524" s="849">
        <v>18492.98</v>
      </c>
      <c r="I524" s="849">
        <v>55868.2</v>
      </c>
      <c r="J524" s="849">
        <v>95443.83</v>
      </c>
      <c r="K524" s="849">
        <v>14169.42</v>
      </c>
      <c r="L524" s="849">
        <v>23654.52</v>
      </c>
      <c r="M524" s="849">
        <v>18493.99</v>
      </c>
      <c r="N524" s="849">
        <v>5687.0</v>
      </c>
      <c r="O524" s="849">
        <v>35101.2</v>
      </c>
      <c r="P524" s="849">
        <v>17908.91</v>
      </c>
      <c r="Q524" s="849">
        <v>0.0</v>
      </c>
      <c r="R524" s="849">
        <v>0.0</v>
      </c>
      <c r="S524" s="849">
        <v>0.0</v>
      </c>
      <c r="T524" s="849">
        <v>0.0</v>
      </c>
      <c r="U524" s="849">
        <v>0.0</v>
      </c>
      <c r="V524" s="849">
        <v>0.0</v>
      </c>
      <c r="W524" s="849">
        <v>0.0</v>
      </c>
      <c r="X524" s="849">
        <v>0.0</v>
      </c>
      <c r="Y524" s="849">
        <v>0.0</v>
      </c>
      <c r="Z524" s="849">
        <v>0.0</v>
      </c>
      <c r="AA524" s="849">
        <v>0.0</v>
      </c>
      <c r="AB524" s="849">
        <v>0.0</v>
      </c>
      <c r="AC524" s="849">
        <v>0.0</v>
      </c>
      <c r="AD524" s="849">
        <v>0.0</v>
      </c>
      <c r="AE524" s="849">
        <v>0.0</v>
      </c>
      <c r="AF524" s="849">
        <v>0.0</v>
      </c>
      <c r="AG524" s="849">
        <v>0.0</v>
      </c>
      <c r="AH524" s="849">
        <v>0.0</v>
      </c>
      <c r="AI524" s="849">
        <v>0.0</v>
      </c>
      <c r="AJ524" s="794" t="str">
        <f t="shared" ref="AJ524:AK524" si="1045">C524</f>
        <v>G32101</v>
      </c>
      <c r="AK524" s="794" t="str">
        <f t="shared" si="1045"/>
        <v>COMMISSIONS A PAYER</v>
      </c>
      <c r="AL524" s="794">
        <f t="array" ref="AL524">IFERROR(INDEX(G524:R524,1,MATCH(Parametres!$B$3,G$1:R$1,0)-1)*IF(OR(F524="L",F524="S",F524="I"),-1,1),"")</f>
        <v>-5687</v>
      </c>
      <c r="AM524" s="794">
        <f t="shared" si="4"/>
        <v>-29414.2</v>
      </c>
      <c r="AN524" s="794">
        <f t="array" ref="AN524">INDEX(G524:R524,1,MATCH(Parametres!$B$3,G$1:R$1,0))*IF(OR(F524="L",F524="S",F524="I"),-1,1)</f>
        <v>-35101.2</v>
      </c>
      <c r="AO524" s="853" t="str">
        <f>+VLOOKUP($AJ524,Data_Validation!$A:$D,1,0)</f>
        <v>G32101</v>
      </c>
      <c r="AP524" s="853" t="str">
        <f>+VLOOKUP($AJ524,Data_Validation!$A:$D,3,0)</f>
        <v>Bilan</v>
      </c>
      <c r="AQ524" s="853" t="str">
        <f>+VLOOKUP($AJ524,Data_Validation!$A:$D,4,0)</f>
        <v>Salaires à Payer</v>
      </c>
      <c r="AR524" s="853" t="s">
        <v>728</v>
      </c>
      <c r="AS524" s="853" t="str">
        <f>+VLOOKUP($AJ524,Data_Validation!$A:$E,5,0)</f>
        <v/>
      </c>
      <c r="AT524" s="794" t="str">
        <f t="shared" ref="AT524:AU524" si="1046">C524</f>
        <v>G32101</v>
      </c>
      <c r="AU524" s="854" t="str">
        <f t="shared" si="1046"/>
        <v>COMMISSIONS A PAYER</v>
      </c>
      <c r="AV524" s="794">
        <f t="array" ref="AV524">IFERROR(INDEX(V524:AG524,1,MATCH(Parametres!$B$3,V$1:AG$1,0)-1)*IF(OR(C524="L",C524="S",C524="I"),-1,1),"")</f>
        <v>0</v>
      </c>
      <c r="AW524" s="794">
        <f t="shared" si="6"/>
        <v>0</v>
      </c>
      <c r="AX524" s="794">
        <f t="array" ref="AX524">INDEX(V524:AG524,1,MATCH(Parametres!$B$3,V$1:AG$1,0))*IF(OR(C524="L",C524="S",C524="I"),-1,1)</f>
        <v>0</v>
      </c>
      <c r="AY524" s="853" t="s">
        <v>772</v>
      </c>
      <c r="AZ524" s="853" t="str">
        <f>+VLOOKUP($AJ524,Data_Validation!$A:$E,5,0)</f>
        <v/>
      </c>
    </row>
    <row r="525" ht="15.0" customHeight="1">
      <c r="A525" s="849" t="s">
        <v>1239</v>
      </c>
      <c r="B525" s="849">
        <v>2026.0</v>
      </c>
      <c r="C525" s="849" t="s">
        <v>2276</v>
      </c>
      <c r="D525" s="849" t="s">
        <v>2277</v>
      </c>
      <c r="E525" s="849" t="s">
        <v>1200</v>
      </c>
      <c r="F525" s="849" t="s">
        <v>2057</v>
      </c>
      <c r="G525" s="849">
        <v>0.0</v>
      </c>
      <c r="H525" s="849">
        <v>0.0</v>
      </c>
      <c r="I525" s="849">
        <v>0.0</v>
      </c>
      <c r="J525" s="849">
        <v>0.0</v>
      </c>
      <c r="K525" s="849">
        <v>0.0</v>
      </c>
      <c r="L525" s="849">
        <v>0.0</v>
      </c>
      <c r="M525" s="849">
        <v>0.0</v>
      </c>
      <c r="N525" s="849">
        <v>0.0</v>
      </c>
      <c r="O525" s="849">
        <v>0.0</v>
      </c>
      <c r="P525" s="849">
        <v>0.0</v>
      </c>
      <c r="Q525" s="849">
        <v>0.0</v>
      </c>
      <c r="R525" s="849">
        <v>0.0</v>
      </c>
      <c r="S525" s="849">
        <v>0.0</v>
      </c>
      <c r="T525" s="849">
        <v>0.0</v>
      </c>
      <c r="U525" s="849">
        <v>0.0</v>
      </c>
      <c r="V525" s="849">
        <v>0.0</v>
      </c>
      <c r="W525" s="849">
        <v>0.0</v>
      </c>
      <c r="X525" s="849">
        <v>0.0</v>
      </c>
      <c r="Y525" s="849">
        <v>0.0</v>
      </c>
      <c r="Z525" s="849">
        <v>0.0</v>
      </c>
      <c r="AA525" s="849">
        <v>0.0</v>
      </c>
      <c r="AB525" s="849">
        <v>0.0</v>
      </c>
      <c r="AC525" s="849">
        <v>0.0</v>
      </c>
      <c r="AD525" s="849">
        <v>0.0</v>
      </c>
      <c r="AE525" s="849">
        <v>0.0</v>
      </c>
      <c r="AF525" s="849">
        <v>0.0</v>
      </c>
      <c r="AG525" s="849">
        <v>0.0</v>
      </c>
      <c r="AH525" s="849">
        <v>0.0</v>
      </c>
      <c r="AI525" s="849">
        <v>0.0</v>
      </c>
      <c r="AJ525" s="794" t="str">
        <f t="shared" ref="AJ525:AK525" si="1047">C525</f>
        <v>G32102</v>
      </c>
      <c r="AK525" s="794" t="str">
        <f t="shared" si="1047"/>
        <v>SALAIRES A PAYER</v>
      </c>
      <c r="AL525" s="794">
        <f t="array" ref="AL525">IFERROR(INDEX(G525:R525,1,MATCH(Parametres!$B$3,G$1:R$1,0)-1)*IF(OR(F525="L",F525="S",F525="I"),-1,1),"")</f>
        <v>0</v>
      </c>
      <c r="AM525" s="794">
        <f t="shared" si="4"/>
        <v>0</v>
      </c>
      <c r="AN525" s="794">
        <f t="array" ref="AN525">INDEX(G525:R525,1,MATCH(Parametres!$B$3,G$1:R$1,0))*IF(OR(F525="L",F525="S",F525="I"),-1,1)</f>
        <v>0</v>
      </c>
      <c r="AO525" s="853" t="str">
        <f>+VLOOKUP($AJ525,Data_Validation!$A:$D,1,0)</f>
        <v>G32102</v>
      </c>
      <c r="AP525" s="853" t="str">
        <f>+VLOOKUP($AJ525,Data_Validation!$A:$D,3,0)</f>
        <v/>
      </c>
      <c r="AQ525" s="853" t="str">
        <f>+VLOOKUP($AJ525,Data_Validation!$A:$D,4,0)</f>
        <v/>
      </c>
      <c r="AR525" s="853" t="s">
        <v>728</v>
      </c>
      <c r="AS525" s="853" t="str">
        <f>+VLOOKUP($AJ525,Data_Validation!$A:$E,5,0)</f>
        <v/>
      </c>
      <c r="AT525" s="794" t="str">
        <f t="shared" ref="AT525:AU525" si="1048">C525</f>
        <v>G32102</v>
      </c>
      <c r="AU525" s="854" t="str">
        <f t="shared" si="1048"/>
        <v>SALAIRES A PAYER</v>
      </c>
      <c r="AV525" s="794">
        <f t="array" ref="AV525">IFERROR(INDEX(V525:AG525,1,MATCH(Parametres!$B$3,V$1:AG$1,0)-1)*IF(OR(C525="L",C525="S",C525="I"),-1,1),"")</f>
        <v>0</v>
      </c>
      <c r="AW525" s="794">
        <f t="shared" si="6"/>
        <v>0</v>
      </c>
      <c r="AX525" s="794">
        <f t="array" ref="AX525">INDEX(V525:AG525,1,MATCH(Parametres!$B$3,V$1:AG$1,0))*IF(OR(C525="L",C525="S",C525="I"),-1,1)</f>
        <v>0</v>
      </c>
      <c r="AY525" s="853" t="s">
        <v>772</v>
      </c>
      <c r="AZ525" s="853" t="str">
        <f>+VLOOKUP($AJ525,Data_Validation!$A:$E,5,0)</f>
        <v/>
      </c>
    </row>
    <row r="526" ht="15.0" customHeight="1">
      <c r="A526" s="849" t="s">
        <v>1239</v>
      </c>
      <c r="B526" s="849">
        <v>2026.0</v>
      </c>
      <c r="C526" s="849" t="s">
        <v>2278</v>
      </c>
      <c r="D526" s="849" t="s">
        <v>2279</v>
      </c>
      <c r="E526" s="849" t="s">
        <v>768</v>
      </c>
      <c r="F526" s="849" t="s">
        <v>2057</v>
      </c>
      <c r="G526" s="849">
        <v>0.0</v>
      </c>
      <c r="H526" s="849">
        <v>0.0</v>
      </c>
      <c r="I526" s="849">
        <v>0.0</v>
      </c>
      <c r="J526" s="849">
        <v>0.0</v>
      </c>
      <c r="K526" s="849">
        <v>0.0</v>
      </c>
      <c r="L526" s="849">
        <v>-637.96</v>
      </c>
      <c r="M526" s="849">
        <v>66.5</v>
      </c>
      <c r="N526" s="849">
        <v>343.99</v>
      </c>
      <c r="O526" s="849">
        <v>-359.76</v>
      </c>
      <c r="P526" s="849">
        <v>89.12</v>
      </c>
      <c r="Q526" s="849">
        <v>0.0</v>
      </c>
      <c r="R526" s="849">
        <v>0.0</v>
      </c>
      <c r="S526" s="849">
        <v>0.0</v>
      </c>
      <c r="T526" s="849">
        <v>0.0</v>
      </c>
      <c r="U526" s="849">
        <v>0.0</v>
      </c>
      <c r="V526" s="849">
        <v>0.0</v>
      </c>
      <c r="W526" s="849">
        <v>0.0</v>
      </c>
      <c r="X526" s="849">
        <v>0.0</v>
      </c>
      <c r="Y526" s="849">
        <v>0.0</v>
      </c>
      <c r="Z526" s="849">
        <v>0.0</v>
      </c>
      <c r="AA526" s="849">
        <v>0.0</v>
      </c>
      <c r="AB526" s="849">
        <v>0.0</v>
      </c>
      <c r="AC526" s="849">
        <v>0.0</v>
      </c>
      <c r="AD526" s="849">
        <v>0.0</v>
      </c>
      <c r="AE526" s="849">
        <v>0.0</v>
      </c>
      <c r="AF526" s="849">
        <v>0.0</v>
      </c>
      <c r="AG526" s="849">
        <v>0.0</v>
      </c>
      <c r="AH526" s="849">
        <v>0.0</v>
      </c>
      <c r="AI526" s="849">
        <v>0.0</v>
      </c>
      <c r="AJ526" s="794" t="str">
        <f t="shared" ref="AJ526:AK526" si="1049">C526</f>
        <v>G32104</v>
      </c>
      <c r="AK526" s="794" t="str">
        <f t="shared" si="1049"/>
        <v>COMPTES DE DEPENSES A/P</v>
      </c>
      <c r="AL526" s="794">
        <f t="array" ref="AL526">IFERROR(INDEX(G526:R526,1,MATCH(Parametres!$B$3,G$1:R$1,0)-1)*IF(OR(F526="L",F526="S",F526="I"),-1,1),"")</f>
        <v>-343.99</v>
      </c>
      <c r="AM526" s="794">
        <f t="shared" si="4"/>
        <v>703.75</v>
      </c>
      <c r="AN526" s="794">
        <f t="array" ref="AN526">INDEX(G526:R526,1,MATCH(Parametres!$B$3,G$1:R$1,0))*IF(OR(F526="L",F526="S",F526="I"),-1,1)</f>
        <v>359.76</v>
      </c>
      <c r="AO526" s="853" t="str">
        <f>+VLOOKUP($AJ526,Data_Validation!$A:$D,1,0)</f>
        <v>G32104</v>
      </c>
      <c r="AP526" s="853" t="str">
        <f>+VLOOKUP($AJ526,Data_Validation!$A:$D,3,0)</f>
        <v>Bilan</v>
      </c>
      <c r="AQ526" s="853" t="str">
        <f>+VLOOKUP($AJ526,Data_Validation!$A:$D,4,0)</f>
        <v>DAS à Payer</v>
      </c>
      <c r="AR526" s="853" t="s">
        <v>728</v>
      </c>
      <c r="AS526" s="853" t="str">
        <f>+VLOOKUP($AJ526,Data_Validation!$A:$E,5,0)</f>
        <v/>
      </c>
      <c r="AT526" s="794" t="str">
        <f t="shared" ref="AT526:AU526" si="1050">C526</f>
        <v>G32104</v>
      </c>
      <c r="AU526" s="854" t="str">
        <f t="shared" si="1050"/>
        <v>COMPTES DE DEPENSES A/P</v>
      </c>
      <c r="AV526" s="794">
        <f t="array" ref="AV526">IFERROR(INDEX(V526:AG526,1,MATCH(Parametres!$B$3,V$1:AG$1,0)-1)*IF(OR(C526="L",C526="S",C526="I"),-1,1),"")</f>
        <v>0</v>
      </c>
      <c r="AW526" s="794">
        <f t="shared" si="6"/>
        <v>0</v>
      </c>
      <c r="AX526" s="794">
        <f t="array" ref="AX526">INDEX(V526:AG526,1,MATCH(Parametres!$B$3,V$1:AG$1,0))*IF(OR(C526="L",C526="S",C526="I"),-1,1)</f>
        <v>0</v>
      </c>
      <c r="AY526" s="853" t="s">
        <v>772</v>
      </c>
      <c r="AZ526" s="853" t="str">
        <f>+VLOOKUP($AJ526,Data_Validation!$A:$E,5,0)</f>
        <v/>
      </c>
    </row>
    <row r="527" ht="15.0" customHeight="1">
      <c r="A527" s="849" t="s">
        <v>1239</v>
      </c>
      <c r="B527" s="849">
        <v>2026.0</v>
      </c>
      <c r="C527" s="849" t="s">
        <v>2280</v>
      </c>
      <c r="D527" s="849" t="s">
        <v>2281</v>
      </c>
      <c r="E527" s="849" t="s">
        <v>768</v>
      </c>
      <c r="F527" s="849" t="s">
        <v>2057</v>
      </c>
      <c r="G527" s="849">
        <v>0.0</v>
      </c>
      <c r="H527" s="849">
        <v>0.0</v>
      </c>
      <c r="I527" s="849">
        <v>0.0</v>
      </c>
      <c r="J527" s="849">
        <v>0.0</v>
      </c>
      <c r="K527" s="849">
        <v>0.0</v>
      </c>
      <c r="L527" s="849">
        <v>0.0</v>
      </c>
      <c r="M527" s="849">
        <v>0.0</v>
      </c>
      <c r="N527" s="849">
        <v>0.0</v>
      </c>
      <c r="O527" s="849">
        <v>0.0</v>
      </c>
      <c r="P527" s="849">
        <v>0.0</v>
      </c>
      <c r="Q527" s="849">
        <v>0.0</v>
      </c>
      <c r="R527" s="849">
        <v>0.0</v>
      </c>
      <c r="S527" s="849">
        <v>0.0</v>
      </c>
      <c r="T527" s="849">
        <v>0.0</v>
      </c>
      <c r="U527" s="849">
        <v>0.0</v>
      </c>
      <c r="V527" s="849">
        <v>0.0</v>
      </c>
      <c r="W527" s="849">
        <v>0.0</v>
      </c>
      <c r="X527" s="849">
        <v>0.0</v>
      </c>
      <c r="Y527" s="849">
        <v>0.0</v>
      </c>
      <c r="Z527" s="849">
        <v>0.0</v>
      </c>
      <c r="AA527" s="849">
        <v>0.0</v>
      </c>
      <c r="AB527" s="849">
        <v>0.0</v>
      </c>
      <c r="AC527" s="849">
        <v>0.0</v>
      </c>
      <c r="AD527" s="849">
        <v>0.0</v>
      </c>
      <c r="AE527" s="849">
        <v>0.0</v>
      </c>
      <c r="AF527" s="849">
        <v>0.0</v>
      </c>
      <c r="AG527" s="849">
        <v>0.0</v>
      </c>
      <c r="AH527" s="849">
        <v>0.0</v>
      </c>
      <c r="AI527" s="849">
        <v>0.0</v>
      </c>
      <c r="AJ527" s="794" t="str">
        <f t="shared" ref="AJ527:AK527" si="1051">C527</f>
        <v>G32301</v>
      </c>
      <c r="AK527" s="794" t="str">
        <f t="shared" si="1051"/>
        <v>REER COLLECTIF A PAYER</v>
      </c>
      <c r="AL527" s="794">
        <f t="array" ref="AL527">IFERROR(INDEX(G527:R527,1,MATCH(Parametres!$B$3,G$1:R$1,0)-1)*IF(OR(F527="L",F527="S",F527="I"),-1,1),"")</f>
        <v>0</v>
      </c>
      <c r="AM527" s="794">
        <f t="shared" si="4"/>
        <v>0</v>
      </c>
      <c r="AN527" s="794">
        <f t="array" ref="AN527">INDEX(G527:R527,1,MATCH(Parametres!$B$3,G$1:R$1,0))*IF(OR(F527="L",F527="S",F527="I"),-1,1)</f>
        <v>0</v>
      </c>
      <c r="AO527" s="853" t="str">
        <f>+VLOOKUP($AJ527,Data_Validation!$A:$D,1,0)</f>
        <v>#N/A</v>
      </c>
      <c r="AP527" s="853" t="str">
        <f>+VLOOKUP($AJ527,Data_Validation!$A:$D,3,0)</f>
        <v>#N/A</v>
      </c>
      <c r="AQ527" s="853" t="str">
        <f>+VLOOKUP($AJ527,Data_Validation!$A:$D,4,0)</f>
        <v>#N/A</v>
      </c>
      <c r="AR527" s="853" t="s">
        <v>728</v>
      </c>
      <c r="AS527" s="853" t="str">
        <f>+VLOOKUP($AJ527,Data_Validation!$A:$E,5,0)</f>
        <v>#N/A</v>
      </c>
      <c r="AT527" s="794" t="str">
        <f t="shared" ref="AT527:AU527" si="1052">C527</f>
        <v>G32301</v>
      </c>
      <c r="AU527" s="854" t="str">
        <f t="shared" si="1052"/>
        <v>REER COLLECTIF A PAYER</v>
      </c>
      <c r="AV527" s="794">
        <f t="array" ref="AV527">IFERROR(INDEX(V527:AG527,1,MATCH(Parametres!$B$3,V$1:AG$1,0)-1)*IF(OR(C527="L",C527="S",C527="I"),-1,1),"")</f>
        <v>0</v>
      </c>
      <c r="AW527" s="794">
        <f t="shared" si="6"/>
        <v>0</v>
      </c>
      <c r="AX527" s="794">
        <f t="array" ref="AX527">INDEX(V527:AG527,1,MATCH(Parametres!$B$3,V$1:AG$1,0))*IF(OR(C527="L",C527="S",C527="I"),-1,1)</f>
        <v>0</v>
      </c>
      <c r="AY527" s="853" t="s">
        <v>772</v>
      </c>
      <c r="AZ527" s="853" t="str">
        <f>+VLOOKUP($AJ527,Data_Validation!$A:$E,5,0)</f>
        <v>#N/A</v>
      </c>
    </row>
    <row r="528" ht="15.0" customHeight="1">
      <c r="A528" s="849" t="s">
        <v>1239</v>
      </c>
      <c r="B528" s="849">
        <v>2026.0</v>
      </c>
      <c r="C528" s="849" t="s">
        <v>2282</v>
      </c>
      <c r="D528" s="849" t="s">
        <v>2283</v>
      </c>
      <c r="E528" s="849" t="s">
        <v>768</v>
      </c>
      <c r="F528" s="849" t="s">
        <v>2057</v>
      </c>
      <c r="G528" s="849">
        <v>0.0</v>
      </c>
      <c r="H528" s="849">
        <v>0.0</v>
      </c>
      <c r="I528" s="849">
        <v>0.0</v>
      </c>
      <c r="J528" s="849">
        <v>0.0</v>
      </c>
      <c r="K528" s="849">
        <v>0.0</v>
      </c>
      <c r="L528" s="849">
        <v>0.0</v>
      </c>
      <c r="M528" s="849">
        <v>0.0</v>
      </c>
      <c r="N528" s="849">
        <v>0.0</v>
      </c>
      <c r="O528" s="849">
        <v>0.0</v>
      </c>
      <c r="P528" s="849">
        <v>0.0</v>
      </c>
      <c r="Q528" s="849">
        <v>0.0</v>
      </c>
      <c r="R528" s="849">
        <v>0.0</v>
      </c>
      <c r="S528" s="849">
        <v>0.0</v>
      </c>
      <c r="T528" s="849">
        <v>0.0</v>
      </c>
      <c r="U528" s="849">
        <v>0.0</v>
      </c>
      <c r="V528" s="849">
        <v>0.0</v>
      </c>
      <c r="W528" s="849">
        <v>0.0</v>
      </c>
      <c r="X528" s="849">
        <v>0.0</v>
      </c>
      <c r="Y528" s="849">
        <v>0.0</v>
      </c>
      <c r="Z528" s="849">
        <v>0.0</v>
      </c>
      <c r="AA528" s="849">
        <v>0.0</v>
      </c>
      <c r="AB528" s="849">
        <v>0.0</v>
      </c>
      <c r="AC528" s="849">
        <v>0.0</v>
      </c>
      <c r="AD528" s="849">
        <v>0.0</v>
      </c>
      <c r="AE528" s="849">
        <v>0.0</v>
      </c>
      <c r="AF528" s="849">
        <v>0.0</v>
      </c>
      <c r="AG528" s="849">
        <v>0.0</v>
      </c>
      <c r="AH528" s="849">
        <v>0.0</v>
      </c>
      <c r="AI528" s="849">
        <v>0.0</v>
      </c>
      <c r="AJ528" s="794" t="str">
        <f t="shared" ref="AJ528:AK528" si="1053">C528</f>
        <v>G32302</v>
      </c>
      <c r="AK528" s="794" t="str">
        <f t="shared" si="1053"/>
        <v>ASSURANCE CHOMAGE A PAYER</v>
      </c>
      <c r="AL528" s="794">
        <f t="array" ref="AL528">IFERROR(INDEX(G528:R528,1,MATCH(Parametres!$B$3,G$1:R$1,0)-1)*IF(OR(F528="L",F528="S",F528="I"),-1,1),"")</f>
        <v>0</v>
      </c>
      <c r="AM528" s="794">
        <f t="shared" si="4"/>
        <v>0</v>
      </c>
      <c r="AN528" s="794">
        <f t="array" ref="AN528">INDEX(G528:R528,1,MATCH(Parametres!$B$3,G$1:R$1,0))*IF(OR(F528="L",F528="S",F528="I"),-1,1)</f>
        <v>0</v>
      </c>
      <c r="AO528" s="853" t="str">
        <f>+VLOOKUP($AJ528,Data_Validation!$A:$D,1,0)</f>
        <v>G32302</v>
      </c>
      <c r="AP528" s="853" t="str">
        <f>+VLOOKUP($AJ528,Data_Validation!$A:$D,3,0)</f>
        <v/>
      </c>
      <c r="AQ528" s="853" t="str">
        <f>+VLOOKUP($AJ528,Data_Validation!$A:$D,4,0)</f>
        <v/>
      </c>
      <c r="AR528" s="853" t="s">
        <v>728</v>
      </c>
      <c r="AS528" s="853" t="str">
        <f>+VLOOKUP($AJ528,Data_Validation!$A:$E,5,0)</f>
        <v/>
      </c>
      <c r="AT528" s="794" t="str">
        <f t="shared" ref="AT528:AU528" si="1054">C528</f>
        <v>G32302</v>
      </c>
      <c r="AU528" s="854" t="str">
        <f t="shared" si="1054"/>
        <v>ASSURANCE CHOMAGE A PAYER</v>
      </c>
      <c r="AV528" s="794">
        <f t="array" ref="AV528">IFERROR(INDEX(V528:AG528,1,MATCH(Parametres!$B$3,V$1:AG$1,0)-1)*IF(OR(C528="L",C528="S",C528="I"),-1,1),"")</f>
        <v>0</v>
      </c>
      <c r="AW528" s="794">
        <f t="shared" si="6"/>
        <v>0</v>
      </c>
      <c r="AX528" s="794">
        <f t="array" ref="AX528">INDEX(V528:AG528,1,MATCH(Parametres!$B$3,V$1:AG$1,0))*IF(OR(C528="L",C528="S",C528="I"),-1,1)</f>
        <v>0</v>
      </c>
      <c r="AY528" s="853" t="s">
        <v>772</v>
      </c>
      <c r="AZ528" s="853" t="str">
        <f>+VLOOKUP($AJ528,Data_Validation!$A:$E,5,0)</f>
        <v/>
      </c>
    </row>
    <row r="529" ht="15.0" customHeight="1">
      <c r="A529" s="849" t="s">
        <v>1239</v>
      </c>
      <c r="B529" s="849">
        <v>2026.0</v>
      </c>
      <c r="C529" s="849" t="s">
        <v>2284</v>
      </c>
      <c r="D529" s="849" t="s">
        <v>2285</v>
      </c>
      <c r="E529" s="849" t="s">
        <v>768</v>
      </c>
      <c r="F529" s="849" t="s">
        <v>2057</v>
      </c>
      <c r="G529" s="849">
        <v>0.0</v>
      </c>
      <c r="H529" s="849">
        <v>0.0</v>
      </c>
      <c r="I529" s="849">
        <v>0.0</v>
      </c>
      <c r="J529" s="849">
        <v>0.0</v>
      </c>
      <c r="K529" s="849">
        <v>0.0</v>
      </c>
      <c r="L529" s="849">
        <v>0.0</v>
      </c>
      <c r="M529" s="849">
        <v>0.0</v>
      </c>
      <c r="N529" s="849">
        <v>0.0</v>
      </c>
      <c r="O529" s="849">
        <v>0.0</v>
      </c>
      <c r="P529" s="849">
        <v>0.0</v>
      </c>
      <c r="Q529" s="849">
        <v>0.0</v>
      </c>
      <c r="R529" s="849">
        <v>0.0</v>
      </c>
      <c r="S529" s="849">
        <v>0.0</v>
      </c>
      <c r="T529" s="849">
        <v>0.0</v>
      </c>
      <c r="U529" s="849">
        <v>0.0</v>
      </c>
      <c r="V529" s="849">
        <v>0.0</v>
      </c>
      <c r="W529" s="849">
        <v>0.0</v>
      </c>
      <c r="X529" s="849">
        <v>0.0</v>
      </c>
      <c r="Y529" s="849">
        <v>0.0</v>
      </c>
      <c r="Z529" s="849">
        <v>0.0</v>
      </c>
      <c r="AA529" s="849">
        <v>0.0</v>
      </c>
      <c r="AB529" s="849">
        <v>0.0</v>
      </c>
      <c r="AC529" s="849">
        <v>0.0</v>
      </c>
      <c r="AD529" s="849">
        <v>0.0</v>
      </c>
      <c r="AE529" s="849">
        <v>0.0</v>
      </c>
      <c r="AF529" s="849">
        <v>0.0</v>
      </c>
      <c r="AG529" s="849">
        <v>0.0</v>
      </c>
      <c r="AH529" s="849">
        <v>0.0</v>
      </c>
      <c r="AI529" s="849">
        <v>0.0</v>
      </c>
      <c r="AJ529" s="794" t="str">
        <f t="shared" ref="AJ529:AK529" si="1055">C529</f>
        <v>G32303</v>
      </c>
      <c r="AK529" s="794" t="str">
        <f t="shared" si="1055"/>
        <v>DON CHARITE A PAYER CENTR</v>
      </c>
      <c r="AL529" s="794">
        <f t="array" ref="AL529">IFERROR(INDEX(G529:R529,1,MATCH(Parametres!$B$3,G$1:R$1,0)-1)*IF(OR(F529="L",F529="S",F529="I"),-1,1),"")</f>
        <v>0</v>
      </c>
      <c r="AM529" s="794">
        <f t="shared" si="4"/>
        <v>0</v>
      </c>
      <c r="AN529" s="794">
        <f t="array" ref="AN529">INDEX(G529:R529,1,MATCH(Parametres!$B$3,G$1:R$1,0))*IF(OR(F529="L",F529="S",F529="I"),-1,1)</f>
        <v>0</v>
      </c>
      <c r="AO529" s="853" t="str">
        <f>+VLOOKUP($AJ529,Data_Validation!$A:$D,1,0)</f>
        <v>#N/A</v>
      </c>
      <c r="AP529" s="853" t="str">
        <f>+VLOOKUP($AJ529,Data_Validation!$A:$D,3,0)</f>
        <v>#N/A</v>
      </c>
      <c r="AQ529" s="853" t="str">
        <f>+VLOOKUP($AJ529,Data_Validation!$A:$D,4,0)</f>
        <v>#N/A</v>
      </c>
      <c r="AR529" s="853" t="s">
        <v>728</v>
      </c>
      <c r="AS529" s="853" t="str">
        <f>+VLOOKUP($AJ529,Data_Validation!$A:$E,5,0)</f>
        <v>#N/A</v>
      </c>
      <c r="AT529" s="794" t="str">
        <f t="shared" ref="AT529:AU529" si="1056">C529</f>
        <v>G32303</v>
      </c>
      <c r="AU529" s="854" t="str">
        <f t="shared" si="1056"/>
        <v>DON CHARITE A PAYER CENTR</v>
      </c>
      <c r="AV529" s="794">
        <f t="array" ref="AV529">IFERROR(INDEX(V529:AG529,1,MATCH(Parametres!$B$3,V$1:AG$1,0)-1)*IF(OR(C529="L",C529="S",C529="I"),-1,1),"")</f>
        <v>0</v>
      </c>
      <c r="AW529" s="794">
        <f t="shared" si="6"/>
        <v>0</v>
      </c>
      <c r="AX529" s="794">
        <f t="array" ref="AX529">INDEX(V529:AG529,1,MATCH(Parametres!$B$3,V$1:AG$1,0))*IF(OR(C529="L",C529="S",C529="I"),-1,1)</f>
        <v>0</v>
      </c>
      <c r="AY529" s="853" t="s">
        <v>772</v>
      </c>
      <c r="AZ529" s="853" t="str">
        <f>+VLOOKUP($AJ529,Data_Validation!$A:$E,5,0)</f>
        <v>#N/A</v>
      </c>
    </row>
    <row r="530" ht="15.0" customHeight="1">
      <c r="A530" s="849" t="s">
        <v>1239</v>
      </c>
      <c r="B530" s="849">
        <v>2026.0</v>
      </c>
      <c r="C530" s="849" t="s">
        <v>2286</v>
      </c>
      <c r="D530" s="849" t="s">
        <v>2287</v>
      </c>
      <c r="E530" s="849" t="s">
        <v>768</v>
      </c>
      <c r="F530" s="849" t="s">
        <v>2057</v>
      </c>
      <c r="G530" s="849">
        <v>-373845.78</v>
      </c>
      <c r="H530" s="849">
        <v>-394845.78</v>
      </c>
      <c r="I530" s="849">
        <v>-767365.78</v>
      </c>
      <c r="J530" s="849">
        <v>-767365.78</v>
      </c>
      <c r="K530" s="849">
        <v>-767365.78</v>
      </c>
      <c r="L530" s="849">
        <v>-767365.78</v>
      </c>
      <c r="M530" s="849">
        <v>-217309.92</v>
      </c>
      <c r="N530" s="849">
        <v>-217309.92</v>
      </c>
      <c r="O530" s="849">
        <v>-217309.92</v>
      </c>
      <c r="P530" s="849">
        <v>-217309.92</v>
      </c>
      <c r="Q530" s="849">
        <v>0.0</v>
      </c>
      <c r="R530" s="849">
        <v>0.0</v>
      </c>
      <c r="S530" s="849">
        <v>0.0</v>
      </c>
      <c r="T530" s="849">
        <v>0.0</v>
      </c>
      <c r="U530" s="849">
        <v>0.0</v>
      </c>
      <c r="V530" s="849">
        <v>0.0</v>
      </c>
      <c r="W530" s="849">
        <v>0.0</v>
      </c>
      <c r="X530" s="849">
        <v>0.0</v>
      </c>
      <c r="Y530" s="849">
        <v>0.0</v>
      </c>
      <c r="Z530" s="849">
        <v>0.0</v>
      </c>
      <c r="AA530" s="849">
        <v>0.0</v>
      </c>
      <c r="AB530" s="849">
        <v>0.0</v>
      </c>
      <c r="AC530" s="849">
        <v>0.0</v>
      </c>
      <c r="AD530" s="849">
        <v>0.0</v>
      </c>
      <c r="AE530" s="849">
        <v>0.0</v>
      </c>
      <c r="AF530" s="849">
        <v>0.0</v>
      </c>
      <c r="AG530" s="849">
        <v>0.0</v>
      </c>
      <c r="AH530" s="849">
        <v>0.0</v>
      </c>
      <c r="AI530" s="849">
        <v>0.0</v>
      </c>
      <c r="AJ530" s="794" t="str">
        <f t="shared" ref="AJ530:AK530" si="1057">C530</f>
        <v>G32304</v>
      </c>
      <c r="AK530" s="794" t="str">
        <f t="shared" si="1057"/>
        <v>IMPOT FEDERAL A PAYER</v>
      </c>
      <c r="AL530" s="794">
        <f t="array" ref="AL530">IFERROR(INDEX(G530:R530,1,MATCH(Parametres!$B$3,G$1:R$1,0)-1)*IF(OR(F530="L",F530="S",F530="I"),-1,1),"")</f>
        <v>217309.92</v>
      </c>
      <c r="AM530" s="794">
        <f t="shared" si="4"/>
        <v>0</v>
      </c>
      <c r="AN530" s="794">
        <f t="array" ref="AN530">INDEX(G530:R530,1,MATCH(Parametres!$B$3,G$1:R$1,0))*IF(OR(F530="L",F530="S",F530="I"),-1,1)</f>
        <v>217309.92</v>
      </c>
      <c r="AO530" s="853" t="str">
        <f>+VLOOKUP($AJ530,Data_Validation!$A:$D,1,0)</f>
        <v>G32304</v>
      </c>
      <c r="AP530" s="853" t="str">
        <f>+VLOOKUP($AJ530,Data_Validation!$A:$D,3,0)</f>
        <v>Bilan</v>
      </c>
      <c r="AQ530" s="853" t="str">
        <f>+VLOOKUP($AJ530,Data_Validation!$A:$D,4,0)</f>
        <v>Frais Payés d'Avance</v>
      </c>
      <c r="AR530" s="853" t="s">
        <v>728</v>
      </c>
      <c r="AS530" s="853" t="str">
        <f>+VLOOKUP($AJ530,Data_Validation!$A:$E,5,0)</f>
        <v/>
      </c>
      <c r="AT530" s="794" t="str">
        <f t="shared" ref="AT530:AU530" si="1058">C530</f>
        <v>G32304</v>
      </c>
      <c r="AU530" s="854" t="str">
        <f t="shared" si="1058"/>
        <v>IMPOT FEDERAL A PAYER</v>
      </c>
      <c r="AV530" s="794">
        <f t="array" ref="AV530">IFERROR(INDEX(V530:AG530,1,MATCH(Parametres!$B$3,V$1:AG$1,0)-1)*IF(OR(C530="L",C530="S",C530="I"),-1,1),"")</f>
        <v>0</v>
      </c>
      <c r="AW530" s="794">
        <f t="shared" si="6"/>
        <v>0</v>
      </c>
      <c r="AX530" s="794">
        <f t="array" ref="AX530">INDEX(V530:AG530,1,MATCH(Parametres!$B$3,V$1:AG$1,0))*IF(OR(C530="L",C530="S",C530="I"),-1,1)</f>
        <v>0</v>
      </c>
      <c r="AY530" s="853" t="s">
        <v>772</v>
      </c>
      <c r="AZ530" s="853" t="str">
        <f>+VLOOKUP($AJ530,Data_Validation!$A:$E,5,0)</f>
        <v/>
      </c>
    </row>
    <row r="531" ht="15.0" customHeight="1">
      <c r="A531" s="849" t="s">
        <v>1239</v>
      </c>
      <c r="B531" s="849">
        <v>2026.0</v>
      </c>
      <c r="C531" s="849" t="s">
        <v>2288</v>
      </c>
      <c r="D531" s="849" t="s">
        <v>2289</v>
      </c>
      <c r="E531" s="849" t="s">
        <v>768</v>
      </c>
      <c r="F531" s="849" t="s">
        <v>2057</v>
      </c>
      <c r="G531" s="849">
        <v>0.0</v>
      </c>
      <c r="H531" s="849">
        <v>0.0</v>
      </c>
      <c r="I531" s="849">
        <v>0.0</v>
      </c>
      <c r="J531" s="849">
        <v>0.0</v>
      </c>
      <c r="K531" s="849">
        <v>0.0</v>
      </c>
      <c r="L531" s="849">
        <v>0.0</v>
      </c>
      <c r="M531" s="849">
        <v>0.0</v>
      </c>
      <c r="N531" s="849">
        <v>0.0</v>
      </c>
      <c r="O531" s="849">
        <v>0.0</v>
      </c>
      <c r="P531" s="849">
        <v>0.0</v>
      </c>
      <c r="Q531" s="849">
        <v>0.0</v>
      </c>
      <c r="R531" s="849">
        <v>0.0</v>
      </c>
      <c r="S531" s="849">
        <v>0.0</v>
      </c>
      <c r="T531" s="849">
        <v>0.0</v>
      </c>
      <c r="U531" s="849">
        <v>0.0</v>
      </c>
      <c r="V531" s="849">
        <v>0.0</v>
      </c>
      <c r="W531" s="849">
        <v>0.0</v>
      </c>
      <c r="X531" s="849">
        <v>0.0</v>
      </c>
      <c r="Y531" s="849">
        <v>0.0</v>
      </c>
      <c r="Z531" s="849">
        <v>0.0</v>
      </c>
      <c r="AA531" s="849">
        <v>0.0</v>
      </c>
      <c r="AB531" s="849">
        <v>0.0</v>
      </c>
      <c r="AC531" s="849">
        <v>0.0</v>
      </c>
      <c r="AD531" s="849">
        <v>0.0</v>
      </c>
      <c r="AE531" s="849">
        <v>0.0</v>
      </c>
      <c r="AF531" s="849">
        <v>0.0</v>
      </c>
      <c r="AG531" s="849">
        <v>0.0</v>
      </c>
      <c r="AH531" s="849">
        <v>0.0</v>
      </c>
      <c r="AI531" s="849">
        <v>0.0</v>
      </c>
      <c r="AJ531" s="794" t="str">
        <f t="shared" ref="AJ531:AK531" si="1059">C531</f>
        <v>G32305</v>
      </c>
      <c r="AK531" s="794" t="str">
        <f t="shared" si="1059"/>
        <v>REGIME ASS. MALADIE PAYER</v>
      </c>
      <c r="AL531" s="794">
        <f t="array" ref="AL531">IFERROR(INDEX(G531:R531,1,MATCH(Parametres!$B$3,G$1:R$1,0)-1)*IF(OR(F531="L",F531="S",F531="I"),-1,1),"")</f>
        <v>0</v>
      </c>
      <c r="AM531" s="794">
        <f t="shared" si="4"/>
        <v>0</v>
      </c>
      <c r="AN531" s="794">
        <f t="array" ref="AN531">INDEX(G531:R531,1,MATCH(Parametres!$B$3,G$1:R$1,0))*IF(OR(F531="L",F531="S",F531="I"),-1,1)</f>
        <v>0</v>
      </c>
      <c r="AO531" s="853" t="str">
        <f>+VLOOKUP($AJ531,Data_Validation!$A:$D,1,0)</f>
        <v>G32305</v>
      </c>
      <c r="AP531" s="853" t="str">
        <f>+VLOOKUP($AJ531,Data_Validation!$A:$D,3,0)</f>
        <v/>
      </c>
      <c r="AQ531" s="853" t="str">
        <f>+VLOOKUP($AJ531,Data_Validation!$A:$D,4,0)</f>
        <v/>
      </c>
      <c r="AR531" s="853" t="s">
        <v>728</v>
      </c>
      <c r="AS531" s="853" t="str">
        <f>+VLOOKUP($AJ531,Data_Validation!$A:$E,5,0)</f>
        <v/>
      </c>
      <c r="AT531" s="794" t="str">
        <f t="shared" ref="AT531:AU531" si="1060">C531</f>
        <v>G32305</v>
      </c>
      <c r="AU531" s="854" t="str">
        <f t="shared" si="1060"/>
        <v>REGIME ASS. MALADIE PAYER</v>
      </c>
      <c r="AV531" s="794">
        <f t="array" ref="AV531">IFERROR(INDEX(V531:AG531,1,MATCH(Parametres!$B$3,V$1:AG$1,0)-1)*IF(OR(C531="L",C531="S",C531="I"),-1,1),"")</f>
        <v>0</v>
      </c>
      <c r="AW531" s="794">
        <f t="shared" si="6"/>
        <v>0</v>
      </c>
      <c r="AX531" s="794">
        <f t="array" ref="AX531">INDEX(V531:AG531,1,MATCH(Parametres!$B$3,V$1:AG$1,0))*IF(OR(C531="L",C531="S",C531="I"),-1,1)</f>
        <v>0</v>
      </c>
      <c r="AY531" s="853" t="s">
        <v>772</v>
      </c>
      <c r="AZ531" s="853" t="str">
        <f>+VLOOKUP($AJ531,Data_Validation!$A:$E,5,0)</f>
        <v/>
      </c>
    </row>
    <row r="532" ht="15.0" customHeight="1">
      <c r="A532" s="849" t="s">
        <v>1239</v>
      </c>
      <c r="B532" s="849">
        <v>2026.0</v>
      </c>
      <c r="C532" s="849" t="s">
        <v>2290</v>
      </c>
      <c r="D532" s="849" t="s">
        <v>2291</v>
      </c>
      <c r="E532" s="849" t="s">
        <v>768</v>
      </c>
      <c r="F532" s="849" t="s">
        <v>2057</v>
      </c>
      <c r="G532" s="849">
        <v>-275879.24</v>
      </c>
      <c r="H532" s="849">
        <v>-297379.24</v>
      </c>
      <c r="I532" s="849">
        <v>-606735.24</v>
      </c>
      <c r="J532" s="849">
        <v>-606735.24</v>
      </c>
      <c r="K532" s="849">
        <v>-606735.24</v>
      </c>
      <c r="L532" s="849">
        <v>-606735.24</v>
      </c>
      <c r="M532" s="849">
        <v>-172488.04</v>
      </c>
      <c r="N532" s="849">
        <v>-200576.24</v>
      </c>
      <c r="O532" s="849">
        <v>-178057.51</v>
      </c>
      <c r="P532" s="849">
        <v>-178057.51</v>
      </c>
      <c r="Q532" s="849">
        <v>0.0</v>
      </c>
      <c r="R532" s="849">
        <v>0.0</v>
      </c>
      <c r="S532" s="849">
        <v>0.0</v>
      </c>
      <c r="T532" s="849">
        <v>0.0</v>
      </c>
      <c r="U532" s="849">
        <v>0.0</v>
      </c>
      <c r="V532" s="849">
        <v>0.0</v>
      </c>
      <c r="W532" s="849">
        <v>0.0</v>
      </c>
      <c r="X532" s="849">
        <v>0.0</v>
      </c>
      <c r="Y532" s="849">
        <v>0.0</v>
      </c>
      <c r="Z532" s="849">
        <v>0.0</v>
      </c>
      <c r="AA532" s="849">
        <v>0.0</v>
      </c>
      <c r="AB532" s="849">
        <v>0.0</v>
      </c>
      <c r="AC532" s="849">
        <v>0.0</v>
      </c>
      <c r="AD532" s="849">
        <v>0.0</v>
      </c>
      <c r="AE532" s="849">
        <v>0.0</v>
      </c>
      <c r="AF532" s="849">
        <v>0.0</v>
      </c>
      <c r="AG532" s="849">
        <v>0.0</v>
      </c>
      <c r="AH532" s="849">
        <v>0.0</v>
      </c>
      <c r="AI532" s="849">
        <v>0.0</v>
      </c>
      <c r="AJ532" s="794" t="str">
        <f t="shared" ref="AJ532:AK532" si="1061">C532</f>
        <v>G32306</v>
      </c>
      <c r="AK532" s="794" t="str">
        <f t="shared" si="1061"/>
        <v>IMPOT PROVINCIAL A PAYER</v>
      </c>
      <c r="AL532" s="794">
        <f t="array" ref="AL532">IFERROR(INDEX(G532:R532,1,MATCH(Parametres!$B$3,G$1:R$1,0)-1)*IF(OR(F532="L",F532="S",F532="I"),-1,1),"")</f>
        <v>200576.24</v>
      </c>
      <c r="AM532" s="794">
        <f t="shared" si="4"/>
        <v>-22518.73</v>
      </c>
      <c r="AN532" s="794">
        <f t="array" ref="AN532">INDEX(G532:R532,1,MATCH(Parametres!$B$3,G$1:R$1,0))*IF(OR(F532="L",F532="S",F532="I"),-1,1)</f>
        <v>178057.51</v>
      </c>
      <c r="AO532" s="853" t="str">
        <f>+VLOOKUP($AJ532,Data_Validation!$A:$D,1,0)</f>
        <v>G32306</v>
      </c>
      <c r="AP532" s="853" t="str">
        <f>+VLOOKUP($AJ532,Data_Validation!$A:$D,3,0)</f>
        <v>Bilan</v>
      </c>
      <c r="AQ532" s="853" t="str">
        <f>+VLOOKUP($AJ532,Data_Validation!$A:$D,4,0)</f>
        <v>Frais Payés d'Avance</v>
      </c>
      <c r="AR532" s="853" t="s">
        <v>728</v>
      </c>
      <c r="AS532" s="853" t="str">
        <f>+VLOOKUP($AJ532,Data_Validation!$A:$E,5,0)</f>
        <v/>
      </c>
      <c r="AT532" s="794" t="str">
        <f t="shared" ref="AT532:AU532" si="1062">C532</f>
        <v>G32306</v>
      </c>
      <c r="AU532" s="854" t="str">
        <f t="shared" si="1062"/>
        <v>IMPOT PROVINCIAL A PAYER</v>
      </c>
      <c r="AV532" s="794">
        <f t="array" ref="AV532">IFERROR(INDEX(V532:AG532,1,MATCH(Parametres!$B$3,V$1:AG$1,0)-1)*IF(OR(C532="L",C532="S",C532="I"),-1,1),"")</f>
        <v>0</v>
      </c>
      <c r="AW532" s="794">
        <f t="shared" si="6"/>
        <v>0</v>
      </c>
      <c r="AX532" s="794">
        <f t="array" ref="AX532">INDEX(V532:AG532,1,MATCH(Parametres!$B$3,V$1:AG$1,0))*IF(OR(C532="L",C532="S",C532="I"),-1,1)</f>
        <v>0</v>
      </c>
      <c r="AY532" s="853" t="s">
        <v>772</v>
      </c>
      <c r="AZ532" s="853" t="str">
        <f>+VLOOKUP($AJ532,Data_Validation!$A:$E,5,0)</f>
        <v/>
      </c>
    </row>
    <row r="533" ht="15.0" customHeight="1">
      <c r="A533" s="849" t="s">
        <v>1239</v>
      </c>
      <c r="B533" s="849">
        <v>2026.0</v>
      </c>
      <c r="C533" s="849" t="s">
        <v>2292</v>
      </c>
      <c r="D533" s="849" t="s">
        <v>2293</v>
      </c>
      <c r="E533" s="849" t="s">
        <v>768</v>
      </c>
      <c r="F533" s="849" t="s">
        <v>2057</v>
      </c>
      <c r="G533" s="849">
        <v>0.0</v>
      </c>
      <c r="H533" s="849">
        <v>0.0</v>
      </c>
      <c r="I533" s="849">
        <v>0.0</v>
      </c>
      <c r="J533" s="849">
        <v>0.0</v>
      </c>
      <c r="K533" s="849">
        <v>0.0</v>
      </c>
      <c r="L533" s="849">
        <v>0.0</v>
      </c>
      <c r="M533" s="849">
        <v>0.0</v>
      </c>
      <c r="N533" s="849">
        <v>0.0</v>
      </c>
      <c r="O533" s="849">
        <v>0.0</v>
      </c>
      <c r="P533" s="849">
        <v>0.0</v>
      </c>
      <c r="Q533" s="849">
        <v>0.0</v>
      </c>
      <c r="R533" s="849">
        <v>0.0</v>
      </c>
      <c r="S533" s="849">
        <v>0.0</v>
      </c>
      <c r="T533" s="849">
        <v>0.0</v>
      </c>
      <c r="U533" s="849">
        <v>0.0</v>
      </c>
      <c r="V533" s="849">
        <v>0.0</v>
      </c>
      <c r="W533" s="849">
        <v>0.0</v>
      </c>
      <c r="X533" s="849">
        <v>0.0</v>
      </c>
      <c r="Y533" s="849">
        <v>0.0</v>
      </c>
      <c r="Z533" s="849">
        <v>0.0</v>
      </c>
      <c r="AA533" s="849">
        <v>0.0</v>
      </c>
      <c r="AB533" s="849">
        <v>0.0</v>
      </c>
      <c r="AC533" s="849">
        <v>0.0</v>
      </c>
      <c r="AD533" s="849">
        <v>0.0</v>
      </c>
      <c r="AE533" s="849">
        <v>0.0</v>
      </c>
      <c r="AF533" s="849">
        <v>0.0</v>
      </c>
      <c r="AG533" s="849">
        <v>0.0</v>
      </c>
      <c r="AH533" s="849">
        <v>0.0</v>
      </c>
      <c r="AI533" s="849">
        <v>0.0</v>
      </c>
      <c r="AJ533" s="794" t="str">
        <f t="shared" ref="AJ533:AK533" si="1063">C533</f>
        <v>G32307</v>
      </c>
      <c r="AK533" s="794" t="str">
        <f t="shared" si="1063"/>
        <v>REGIME DES RENTES QUEBEC</v>
      </c>
      <c r="AL533" s="794">
        <f t="array" ref="AL533">IFERROR(INDEX(G533:R533,1,MATCH(Parametres!$B$3,G$1:R$1,0)-1)*IF(OR(F533="L",F533="S",F533="I"),-1,1),"")</f>
        <v>0</v>
      </c>
      <c r="AM533" s="794">
        <f t="shared" si="4"/>
        <v>0</v>
      </c>
      <c r="AN533" s="794">
        <f t="array" ref="AN533">INDEX(G533:R533,1,MATCH(Parametres!$B$3,G$1:R$1,0))*IF(OR(F533="L",F533="S",F533="I"),-1,1)</f>
        <v>0</v>
      </c>
      <c r="AO533" s="853" t="str">
        <f>+VLOOKUP($AJ533,Data_Validation!$A:$D,1,0)</f>
        <v>G32307</v>
      </c>
      <c r="AP533" s="853" t="str">
        <f>+VLOOKUP($AJ533,Data_Validation!$A:$D,3,0)</f>
        <v/>
      </c>
      <c r="AQ533" s="853" t="str">
        <f>+VLOOKUP($AJ533,Data_Validation!$A:$D,4,0)</f>
        <v/>
      </c>
      <c r="AR533" s="853" t="s">
        <v>728</v>
      </c>
      <c r="AS533" s="853" t="str">
        <f>+VLOOKUP($AJ533,Data_Validation!$A:$E,5,0)</f>
        <v/>
      </c>
      <c r="AT533" s="794" t="str">
        <f t="shared" ref="AT533:AU533" si="1064">C533</f>
        <v>G32307</v>
      </c>
      <c r="AU533" s="854" t="str">
        <f t="shared" si="1064"/>
        <v>REGIME DES RENTES QUEBEC</v>
      </c>
      <c r="AV533" s="794">
        <f t="array" ref="AV533">IFERROR(INDEX(V533:AG533,1,MATCH(Parametres!$B$3,V$1:AG$1,0)-1)*IF(OR(C533="L",C533="S",C533="I"),-1,1),"")</f>
        <v>0</v>
      </c>
      <c r="AW533" s="794">
        <f t="shared" si="6"/>
        <v>0</v>
      </c>
      <c r="AX533" s="794">
        <f t="array" ref="AX533">INDEX(V533:AG533,1,MATCH(Parametres!$B$3,V$1:AG$1,0))*IF(OR(C533="L",C533="S",C533="I"),-1,1)</f>
        <v>0</v>
      </c>
      <c r="AY533" s="853" t="s">
        <v>772</v>
      </c>
      <c r="AZ533" s="853" t="str">
        <f>+VLOOKUP($AJ533,Data_Validation!$A:$E,5,0)</f>
        <v/>
      </c>
    </row>
    <row r="534" ht="15.0" customHeight="1">
      <c r="A534" s="849" t="s">
        <v>1239</v>
      </c>
      <c r="B534" s="849">
        <v>2026.0</v>
      </c>
      <c r="C534" s="849" t="s">
        <v>2294</v>
      </c>
      <c r="D534" s="849" t="s">
        <v>2295</v>
      </c>
      <c r="E534" s="849" t="s">
        <v>768</v>
      </c>
      <c r="F534" s="849" t="s">
        <v>2057</v>
      </c>
      <c r="G534" s="849">
        <v>0.0</v>
      </c>
      <c r="H534" s="849">
        <v>0.0</v>
      </c>
      <c r="I534" s="849">
        <v>0.0</v>
      </c>
      <c r="J534" s="849">
        <v>0.0</v>
      </c>
      <c r="K534" s="849">
        <v>0.0</v>
      </c>
      <c r="L534" s="849">
        <v>0.0</v>
      </c>
      <c r="M534" s="849">
        <v>0.0</v>
      </c>
      <c r="N534" s="849">
        <v>0.0</v>
      </c>
      <c r="O534" s="849">
        <v>0.0</v>
      </c>
      <c r="P534" s="849">
        <v>0.0</v>
      </c>
      <c r="Q534" s="849">
        <v>0.0</v>
      </c>
      <c r="R534" s="849">
        <v>0.0</v>
      </c>
      <c r="S534" s="849">
        <v>0.0</v>
      </c>
      <c r="T534" s="849">
        <v>0.0</v>
      </c>
      <c r="U534" s="849">
        <v>0.0</v>
      </c>
      <c r="V534" s="849">
        <v>0.0</v>
      </c>
      <c r="W534" s="849">
        <v>0.0</v>
      </c>
      <c r="X534" s="849">
        <v>0.0</v>
      </c>
      <c r="Y534" s="849">
        <v>0.0</v>
      </c>
      <c r="Z534" s="849">
        <v>0.0</v>
      </c>
      <c r="AA534" s="849">
        <v>0.0</v>
      </c>
      <c r="AB534" s="849">
        <v>0.0</v>
      </c>
      <c r="AC534" s="849">
        <v>0.0</v>
      </c>
      <c r="AD534" s="849">
        <v>0.0</v>
      </c>
      <c r="AE534" s="849">
        <v>0.0</v>
      </c>
      <c r="AF534" s="849">
        <v>0.0</v>
      </c>
      <c r="AG534" s="849">
        <v>0.0</v>
      </c>
      <c r="AH534" s="849">
        <v>0.0</v>
      </c>
      <c r="AI534" s="849">
        <v>0.0</v>
      </c>
      <c r="AJ534" s="794" t="str">
        <f t="shared" ref="AJ534:AK534" si="1065">C534</f>
        <v>G32308</v>
      </c>
      <c r="AK534" s="794" t="str">
        <f t="shared" si="1065"/>
        <v>COTISATIONS COMITE EMPLOY</v>
      </c>
      <c r="AL534" s="794">
        <f t="array" ref="AL534">IFERROR(INDEX(G534:R534,1,MATCH(Parametres!$B$3,G$1:R$1,0)-1)*IF(OR(F534="L",F534="S",F534="I"),-1,1),"")</f>
        <v>0</v>
      </c>
      <c r="AM534" s="794">
        <f t="shared" si="4"/>
        <v>0</v>
      </c>
      <c r="AN534" s="794">
        <f t="array" ref="AN534">INDEX(G534:R534,1,MATCH(Parametres!$B$3,G$1:R$1,0))*IF(OR(F534="L",F534="S",F534="I"),-1,1)</f>
        <v>0</v>
      </c>
      <c r="AO534" s="853" t="str">
        <f>+VLOOKUP($AJ534,Data_Validation!$A:$D,1,0)</f>
        <v>#N/A</v>
      </c>
      <c r="AP534" s="853" t="str">
        <f>+VLOOKUP($AJ534,Data_Validation!$A:$D,3,0)</f>
        <v>#N/A</v>
      </c>
      <c r="AQ534" s="853" t="str">
        <f>+VLOOKUP($AJ534,Data_Validation!$A:$D,4,0)</f>
        <v>#N/A</v>
      </c>
      <c r="AR534" s="853" t="s">
        <v>728</v>
      </c>
      <c r="AS534" s="853" t="str">
        <f>+VLOOKUP($AJ534,Data_Validation!$A:$E,5,0)</f>
        <v>#N/A</v>
      </c>
      <c r="AT534" s="794" t="str">
        <f t="shared" ref="AT534:AU534" si="1066">C534</f>
        <v>G32308</v>
      </c>
      <c r="AU534" s="854" t="str">
        <f t="shared" si="1066"/>
        <v>COTISATIONS COMITE EMPLOY</v>
      </c>
      <c r="AV534" s="794">
        <f t="array" ref="AV534">IFERROR(INDEX(V534:AG534,1,MATCH(Parametres!$B$3,V$1:AG$1,0)-1)*IF(OR(C534="L",C534="S",C534="I"),-1,1),"")</f>
        <v>0</v>
      </c>
      <c r="AW534" s="794">
        <f t="shared" si="6"/>
        <v>0</v>
      </c>
      <c r="AX534" s="794">
        <f t="array" ref="AX534">INDEX(V534:AG534,1,MATCH(Parametres!$B$3,V$1:AG$1,0))*IF(OR(C534="L",C534="S",C534="I"),-1,1)</f>
        <v>0</v>
      </c>
      <c r="AY534" s="853" t="s">
        <v>772</v>
      </c>
      <c r="AZ534" s="853" t="str">
        <f>+VLOOKUP($AJ534,Data_Validation!$A:$E,5,0)</f>
        <v>#N/A</v>
      </c>
    </row>
    <row r="535" ht="15.0" customHeight="1">
      <c r="A535" s="849" t="s">
        <v>1239</v>
      </c>
      <c r="B535" s="849">
        <v>2026.0</v>
      </c>
      <c r="C535" s="849" t="s">
        <v>2296</v>
      </c>
      <c r="D535" s="849" t="s">
        <v>2297</v>
      </c>
      <c r="E535" s="849" t="s">
        <v>768</v>
      </c>
      <c r="F535" s="849" t="s">
        <v>2057</v>
      </c>
      <c r="G535" s="849">
        <v>0.0</v>
      </c>
      <c r="H535" s="849">
        <v>0.0</v>
      </c>
      <c r="I535" s="849">
        <v>0.0</v>
      </c>
      <c r="J535" s="849">
        <v>0.0</v>
      </c>
      <c r="K535" s="849">
        <v>0.0</v>
      </c>
      <c r="L535" s="849">
        <v>0.0</v>
      </c>
      <c r="M535" s="849">
        <v>0.0</v>
      </c>
      <c r="N535" s="849">
        <v>0.0</v>
      </c>
      <c r="O535" s="849">
        <v>0.0</v>
      </c>
      <c r="P535" s="849">
        <v>0.0</v>
      </c>
      <c r="Q535" s="849">
        <v>0.0</v>
      </c>
      <c r="R535" s="849">
        <v>0.0</v>
      </c>
      <c r="S535" s="849">
        <v>0.0</v>
      </c>
      <c r="T535" s="849">
        <v>0.0</v>
      </c>
      <c r="U535" s="849">
        <v>0.0</v>
      </c>
      <c r="V535" s="849">
        <v>0.0</v>
      </c>
      <c r="W535" s="849">
        <v>0.0</v>
      </c>
      <c r="X535" s="849">
        <v>0.0</v>
      </c>
      <c r="Y535" s="849">
        <v>0.0</v>
      </c>
      <c r="Z535" s="849">
        <v>0.0</v>
      </c>
      <c r="AA535" s="849">
        <v>0.0</v>
      </c>
      <c r="AB535" s="849">
        <v>0.0</v>
      </c>
      <c r="AC535" s="849">
        <v>0.0</v>
      </c>
      <c r="AD535" s="849">
        <v>0.0</v>
      </c>
      <c r="AE535" s="849">
        <v>0.0</v>
      </c>
      <c r="AF535" s="849">
        <v>0.0</v>
      </c>
      <c r="AG535" s="849">
        <v>0.0</v>
      </c>
      <c r="AH535" s="849">
        <v>0.0</v>
      </c>
      <c r="AI535" s="849">
        <v>0.0</v>
      </c>
      <c r="AJ535" s="794" t="str">
        <f t="shared" ref="AJ535:AK535" si="1067">C535</f>
        <v>G32309</v>
      </c>
      <c r="AK535" s="794" t="str">
        <f t="shared" si="1067"/>
        <v>FONDS PENSION EMPLOYES</v>
      </c>
      <c r="AL535" s="794">
        <f t="array" ref="AL535">IFERROR(INDEX(G535:R535,1,MATCH(Parametres!$B$3,G$1:R$1,0)-1)*IF(OR(F535="L",F535="S",F535="I"),-1,1),"")</f>
        <v>0</v>
      </c>
      <c r="AM535" s="794">
        <f t="shared" si="4"/>
        <v>0</v>
      </c>
      <c r="AN535" s="794">
        <f t="array" ref="AN535">INDEX(G535:R535,1,MATCH(Parametres!$B$3,G$1:R$1,0))*IF(OR(F535="L",F535="S",F535="I"),-1,1)</f>
        <v>0</v>
      </c>
      <c r="AO535" s="853" t="str">
        <f>+VLOOKUP($AJ535,Data_Validation!$A:$D,1,0)</f>
        <v>G32309</v>
      </c>
      <c r="AP535" s="853" t="str">
        <f>+VLOOKUP($AJ535,Data_Validation!$A:$D,3,0)</f>
        <v/>
      </c>
      <c r="AQ535" s="853" t="str">
        <f>+VLOOKUP($AJ535,Data_Validation!$A:$D,4,0)</f>
        <v/>
      </c>
      <c r="AR535" s="853" t="s">
        <v>728</v>
      </c>
      <c r="AS535" s="853" t="str">
        <f>+VLOOKUP($AJ535,Data_Validation!$A:$E,5,0)</f>
        <v/>
      </c>
      <c r="AT535" s="794" t="str">
        <f t="shared" ref="AT535:AU535" si="1068">C535</f>
        <v>G32309</v>
      </c>
      <c r="AU535" s="854" t="str">
        <f t="shared" si="1068"/>
        <v>FONDS PENSION EMPLOYES</v>
      </c>
      <c r="AV535" s="794">
        <f t="array" ref="AV535">IFERROR(INDEX(V535:AG535,1,MATCH(Parametres!$B$3,V$1:AG$1,0)-1)*IF(OR(C535="L",C535="S",C535="I"),-1,1),"")</f>
        <v>0</v>
      </c>
      <c r="AW535" s="794">
        <f t="shared" si="6"/>
        <v>0</v>
      </c>
      <c r="AX535" s="794">
        <f t="array" ref="AX535">INDEX(V535:AG535,1,MATCH(Parametres!$B$3,V$1:AG$1,0))*IF(OR(C535="L",C535="S",C535="I"),-1,1)</f>
        <v>0</v>
      </c>
      <c r="AY535" s="853" t="s">
        <v>772</v>
      </c>
      <c r="AZ535" s="853" t="str">
        <f>+VLOOKUP($AJ535,Data_Validation!$A:$E,5,0)</f>
        <v/>
      </c>
    </row>
    <row r="536" ht="15.0" customHeight="1">
      <c r="A536" s="849" t="s">
        <v>1239</v>
      </c>
      <c r="B536" s="849">
        <v>2026.0</v>
      </c>
      <c r="C536" s="849" t="s">
        <v>2298</v>
      </c>
      <c r="D536" s="849" t="s">
        <v>2299</v>
      </c>
      <c r="E536" s="849" t="s">
        <v>768</v>
      </c>
      <c r="F536" s="849" t="s">
        <v>2057</v>
      </c>
      <c r="G536" s="849">
        <v>0.0</v>
      </c>
      <c r="H536" s="849">
        <v>0.0</v>
      </c>
      <c r="I536" s="849">
        <v>0.0</v>
      </c>
      <c r="J536" s="849">
        <v>0.0</v>
      </c>
      <c r="K536" s="849">
        <v>0.0</v>
      </c>
      <c r="L536" s="849">
        <v>0.0</v>
      </c>
      <c r="M536" s="849">
        <v>0.0</v>
      </c>
      <c r="N536" s="849">
        <v>0.0</v>
      </c>
      <c r="O536" s="849">
        <v>0.0</v>
      </c>
      <c r="P536" s="849">
        <v>0.0</v>
      </c>
      <c r="Q536" s="849">
        <v>0.0</v>
      </c>
      <c r="R536" s="849">
        <v>0.0</v>
      </c>
      <c r="S536" s="849">
        <v>0.0</v>
      </c>
      <c r="T536" s="849">
        <v>0.0</v>
      </c>
      <c r="U536" s="849">
        <v>0.0</v>
      </c>
      <c r="V536" s="849">
        <v>0.0</v>
      </c>
      <c r="W536" s="849">
        <v>0.0</v>
      </c>
      <c r="X536" s="849">
        <v>0.0</v>
      </c>
      <c r="Y536" s="849">
        <v>0.0</v>
      </c>
      <c r="Z536" s="849">
        <v>0.0</v>
      </c>
      <c r="AA536" s="849">
        <v>0.0</v>
      </c>
      <c r="AB536" s="849">
        <v>0.0</v>
      </c>
      <c r="AC536" s="849">
        <v>0.0</v>
      </c>
      <c r="AD536" s="849">
        <v>0.0</v>
      </c>
      <c r="AE536" s="849">
        <v>0.0</v>
      </c>
      <c r="AF536" s="849">
        <v>0.0</v>
      </c>
      <c r="AG536" s="849">
        <v>0.0</v>
      </c>
      <c r="AH536" s="849">
        <v>0.0</v>
      </c>
      <c r="AI536" s="849">
        <v>0.0</v>
      </c>
      <c r="AJ536" s="794" t="str">
        <f t="shared" ref="AJ536:AK536" si="1069">C536</f>
        <v>G32310</v>
      </c>
      <c r="AK536" s="794" t="str">
        <f t="shared" si="1069"/>
        <v>FONDS PENSION EMPLOYEUR</v>
      </c>
      <c r="AL536" s="794">
        <f t="array" ref="AL536">IFERROR(INDEX(G536:R536,1,MATCH(Parametres!$B$3,G$1:R$1,0)-1)*IF(OR(F536="L",F536="S",F536="I"),-1,1),"")</f>
        <v>0</v>
      </c>
      <c r="AM536" s="794">
        <f t="shared" si="4"/>
        <v>0</v>
      </c>
      <c r="AN536" s="794">
        <f t="array" ref="AN536">INDEX(G536:R536,1,MATCH(Parametres!$B$3,G$1:R$1,0))*IF(OR(F536="L",F536="S",F536="I"),-1,1)</f>
        <v>0</v>
      </c>
      <c r="AO536" s="853" t="str">
        <f>+VLOOKUP($AJ536,Data_Validation!$A:$D,1,0)</f>
        <v>G32310</v>
      </c>
      <c r="AP536" s="853" t="str">
        <f>+VLOOKUP($AJ536,Data_Validation!$A:$D,3,0)</f>
        <v/>
      </c>
      <c r="AQ536" s="853" t="str">
        <f>+VLOOKUP($AJ536,Data_Validation!$A:$D,4,0)</f>
        <v/>
      </c>
      <c r="AR536" s="853" t="s">
        <v>728</v>
      </c>
      <c r="AS536" s="853" t="str">
        <f>+VLOOKUP($AJ536,Data_Validation!$A:$E,5,0)</f>
        <v/>
      </c>
      <c r="AT536" s="794" t="str">
        <f t="shared" ref="AT536:AU536" si="1070">C536</f>
        <v>G32310</v>
      </c>
      <c r="AU536" s="854" t="str">
        <f t="shared" si="1070"/>
        <v>FONDS PENSION EMPLOYEUR</v>
      </c>
      <c r="AV536" s="794">
        <f t="array" ref="AV536">IFERROR(INDEX(V536:AG536,1,MATCH(Parametres!$B$3,V$1:AG$1,0)-1)*IF(OR(C536="L",C536="S",C536="I"),-1,1),"")</f>
        <v>0</v>
      </c>
      <c r="AW536" s="794">
        <f t="shared" si="6"/>
        <v>0</v>
      </c>
      <c r="AX536" s="794">
        <f t="array" ref="AX536">INDEX(V536:AG536,1,MATCH(Parametres!$B$3,V$1:AG$1,0))*IF(OR(C536="L",C536="S",C536="I"),-1,1)</f>
        <v>0</v>
      </c>
      <c r="AY536" s="853" t="s">
        <v>772</v>
      </c>
      <c r="AZ536" s="853" t="str">
        <f>+VLOOKUP($AJ536,Data_Validation!$A:$E,5,0)</f>
        <v/>
      </c>
    </row>
    <row r="537" ht="15.0" customHeight="1">
      <c r="A537" s="849" t="s">
        <v>1239</v>
      </c>
      <c r="B537" s="849">
        <v>2026.0</v>
      </c>
      <c r="C537" s="849" t="s">
        <v>2300</v>
      </c>
      <c r="D537" s="849" t="s">
        <v>2301</v>
      </c>
      <c r="E537" s="849" t="s">
        <v>768</v>
      </c>
      <c r="F537" s="849" t="s">
        <v>2057</v>
      </c>
      <c r="G537" s="849">
        <v>0.0</v>
      </c>
      <c r="H537" s="849">
        <v>0.0</v>
      </c>
      <c r="I537" s="849">
        <v>0.0</v>
      </c>
      <c r="J537" s="849">
        <v>0.0</v>
      </c>
      <c r="K537" s="849">
        <v>0.0</v>
      </c>
      <c r="L537" s="849">
        <v>0.0</v>
      </c>
      <c r="M537" s="849">
        <v>0.0</v>
      </c>
      <c r="N537" s="849">
        <v>0.0</v>
      </c>
      <c r="O537" s="849">
        <v>0.0</v>
      </c>
      <c r="P537" s="849">
        <v>0.0</v>
      </c>
      <c r="Q537" s="849">
        <v>0.0</v>
      </c>
      <c r="R537" s="849">
        <v>0.0</v>
      </c>
      <c r="S537" s="849">
        <v>0.0</v>
      </c>
      <c r="T537" s="849">
        <v>0.0</v>
      </c>
      <c r="U537" s="849">
        <v>0.0</v>
      </c>
      <c r="V537" s="849">
        <v>0.0</v>
      </c>
      <c r="W537" s="849">
        <v>0.0</v>
      </c>
      <c r="X537" s="849">
        <v>0.0</v>
      </c>
      <c r="Y537" s="849">
        <v>0.0</v>
      </c>
      <c r="Z537" s="849">
        <v>0.0</v>
      </c>
      <c r="AA537" s="849">
        <v>0.0</v>
      </c>
      <c r="AB537" s="849">
        <v>0.0</v>
      </c>
      <c r="AC537" s="849">
        <v>0.0</v>
      </c>
      <c r="AD537" s="849">
        <v>0.0</v>
      </c>
      <c r="AE537" s="849">
        <v>0.0</v>
      </c>
      <c r="AF537" s="849">
        <v>0.0</v>
      </c>
      <c r="AG537" s="849">
        <v>0.0</v>
      </c>
      <c r="AH537" s="849">
        <v>0.0</v>
      </c>
      <c r="AI537" s="849">
        <v>0.0</v>
      </c>
      <c r="AJ537" s="794" t="str">
        <f t="shared" ref="AJ537:AK537" si="1071">C537</f>
        <v>G32311</v>
      </c>
      <c r="AK537" s="794" t="str">
        <f t="shared" si="1071"/>
        <v>RQAP A PAYER</v>
      </c>
      <c r="AL537" s="794">
        <f t="array" ref="AL537">IFERROR(INDEX(G537:R537,1,MATCH(Parametres!$B$3,G$1:R$1,0)-1)*IF(OR(F537="L",F537="S",F537="I"),-1,1),"")</f>
        <v>0</v>
      </c>
      <c r="AM537" s="794">
        <f t="shared" si="4"/>
        <v>0</v>
      </c>
      <c r="AN537" s="794">
        <f t="array" ref="AN537">INDEX(G537:R537,1,MATCH(Parametres!$B$3,G$1:R$1,0))*IF(OR(F537="L",F537="S",F537="I"),-1,1)</f>
        <v>0</v>
      </c>
      <c r="AO537" s="853" t="str">
        <f>+VLOOKUP($AJ537,Data_Validation!$A:$D,1,0)</f>
        <v>G32311</v>
      </c>
      <c r="AP537" s="853" t="str">
        <f>+VLOOKUP($AJ537,Data_Validation!$A:$D,3,0)</f>
        <v/>
      </c>
      <c r="AQ537" s="853" t="str">
        <f>+VLOOKUP($AJ537,Data_Validation!$A:$D,4,0)</f>
        <v/>
      </c>
      <c r="AR537" s="853" t="s">
        <v>728</v>
      </c>
      <c r="AS537" s="853" t="str">
        <f>+VLOOKUP($AJ537,Data_Validation!$A:$E,5,0)</f>
        <v/>
      </c>
      <c r="AT537" s="794" t="str">
        <f t="shared" ref="AT537:AU537" si="1072">C537</f>
        <v>G32311</v>
      </c>
      <c r="AU537" s="854" t="str">
        <f t="shared" si="1072"/>
        <v>RQAP A PAYER</v>
      </c>
      <c r="AV537" s="794">
        <f t="array" ref="AV537">IFERROR(INDEX(V537:AG537,1,MATCH(Parametres!$B$3,V$1:AG$1,0)-1)*IF(OR(C537="L",C537="S",C537="I"),-1,1),"")</f>
        <v>0</v>
      </c>
      <c r="AW537" s="794">
        <f t="shared" si="6"/>
        <v>0</v>
      </c>
      <c r="AX537" s="794">
        <f t="array" ref="AX537">INDEX(V537:AG537,1,MATCH(Parametres!$B$3,V$1:AG$1,0))*IF(OR(C537="L",C537="S",C537="I"),-1,1)</f>
        <v>0</v>
      </c>
      <c r="AY537" s="853" t="s">
        <v>772</v>
      </c>
      <c r="AZ537" s="853" t="str">
        <f>+VLOOKUP($AJ537,Data_Validation!$A:$E,5,0)</f>
        <v/>
      </c>
    </row>
    <row r="538" ht="15.0" customHeight="1">
      <c r="A538" s="849" t="s">
        <v>1239</v>
      </c>
      <c r="B538" s="849">
        <v>2026.0</v>
      </c>
      <c r="C538" s="849" t="s">
        <v>2302</v>
      </c>
      <c r="D538" s="849" t="s">
        <v>2303</v>
      </c>
      <c r="E538" s="849" t="s">
        <v>768</v>
      </c>
      <c r="F538" s="849" t="s">
        <v>2057</v>
      </c>
      <c r="G538" s="849">
        <v>3449.82</v>
      </c>
      <c r="H538" s="849">
        <v>3657.94</v>
      </c>
      <c r="I538" s="849">
        <v>3857.78</v>
      </c>
      <c r="J538" s="849">
        <v>12747.76</v>
      </c>
      <c r="K538" s="849">
        <v>13107.46</v>
      </c>
      <c r="L538" s="849">
        <v>13107.46</v>
      </c>
      <c r="M538" s="849">
        <v>13107.46</v>
      </c>
      <c r="N538" s="849">
        <v>0.0</v>
      </c>
      <c r="O538" s="849">
        <v>0.0</v>
      </c>
      <c r="P538" s="849">
        <v>0.0</v>
      </c>
      <c r="Q538" s="849">
        <v>0.0</v>
      </c>
      <c r="R538" s="849">
        <v>0.0</v>
      </c>
      <c r="S538" s="849">
        <v>0.0</v>
      </c>
      <c r="T538" s="849">
        <v>0.0</v>
      </c>
      <c r="U538" s="849">
        <v>0.0</v>
      </c>
      <c r="V538" s="849">
        <v>0.0</v>
      </c>
      <c r="W538" s="849">
        <v>0.0</v>
      </c>
      <c r="X538" s="849">
        <v>0.0</v>
      </c>
      <c r="Y538" s="849">
        <v>0.0</v>
      </c>
      <c r="Z538" s="849">
        <v>0.0</v>
      </c>
      <c r="AA538" s="849">
        <v>0.0</v>
      </c>
      <c r="AB538" s="849">
        <v>0.0</v>
      </c>
      <c r="AC538" s="849">
        <v>0.0</v>
      </c>
      <c r="AD538" s="849">
        <v>0.0</v>
      </c>
      <c r="AE538" s="849">
        <v>0.0</v>
      </c>
      <c r="AF538" s="849">
        <v>0.0</v>
      </c>
      <c r="AG538" s="849">
        <v>0.0</v>
      </c>
      <c r="AH538" s="849">
        <v>0.0</v>
      </c>
      <c r="AI538" s="849">
        <v>0.0</v>
      </c>
      <c r="AJ538" s="794" t="str">
        <f t="shared" ref="AJ538:AK538" si="1073">C538</f>
        <v>G32312</v>
      </c>
      <c r="AK538" s="794" t="str">
        <f t="shared" si="1073"/>
        <v>CSST A PAYER</v>
      </c>
      <c r="AL538" s="794">
        <f t="array" ref="AL538">IFERROR(INDEX(G538:R538,1,MATCH(Parametres!$B$3,G$1:R$1,0)-1)*IF(OR(F538="L",F538="S",F538="I"),-1,1),"")</f>
        <v>0</v>
      </c>
      <c r="AM538" s="794">
        <f t="shared" si="4"/>
        <v>0</v>
      </c>
      <c r="AN538" s="794">
        <f t="array" ref="AN538">INDEX(G538:R538,1,MATCH(Parametres!$B$3,G$1:R$1,0))*IF(OR(F538="L",F538="S",F538="I"),-1,1)</f>
        <v>0</v>
      </c>
      <c r="AO538" s="853" t="str">
        <f>+VLOOKUP($AJ538,Data_Validation!$A:$D,1,0)</f>
        <v>G32312</v>
      </c>
      <c r="AP538" s="853" t="str">
        <f>+VLOOKUP($AJ538,Data_Validation!$A:$D,3,0)</f>
        <v>Bilan</v>
      </c>
      <c r="AQ538" s="853" t="str">
        <f>+VLOOKUP($AJ538,Data_Validation!$A:$D,4,0)</f>
        <v>DAS à Payer</v>
      </c>
      <c r="AR538" s="853" t="s">
        <v>728</v>
      </c>
      <c r="AS538" s="853" t="str">
        <f>+VLOOKUP($AJ538,Data_Validation!$A:$E,5,0)</f>
        <v/>
      </c>
      <c r="AT538" s="794" t="str">
        <f t="shared" ref="AT538:AU538" si="1074">C538</f>
        <v>G32312</v>
      </c>
      <c r="AU538" s="854" t="str">
        <f t="shared" si="1074"/>
        <v>CSST A PAYER</v>
      </c>
      <c r="AV538" s="794">
        <f t="array" ref="AV538">IFERROR(INDEX(V538:AG538,1,MATCH(Parametres!$B$3,V$1:AG$1,0)-1)*IF(OR(C538="L",C538="S",C538="I"),-1,1),"")</f>
        <v>0</v>
      </c>
      <c r="AW538" s="794">
        <f t="shared" si="6"/>
        <v>0</v>
      </c>
      <c r="AX538" s="794">
        <f t="array" ref="AX538">INDEX(V538:AG538,1,MATCH(Parametres!$B$3,V$1:AG$1,0))*IF(OR(C538="L",C538="S",C538="I"),-1,1)</f>
        <v>0</v>
      </c>
      <c r="AY538" s="853" t="s">
        <v>772</v>
      </c>
      <c r="AZ538" s="853" t="str">
        <f>+VLOOKUP($AJ538,Data_Validation!$A:$E,5,0)</f>
        <v/>
      </c>
    </row>
    <row r="539" ht="15.0" customHeight="1">
      <c r="A539" s="849" t="s">
        <v>1239</v>
      </c>
      <c r="B539" s="849">
        <v>2026.0</v>
      </c>
      <c r="C539" s="849" t="s">
        <v>2304</v>
      </c>
      <c r="D539" s="849" t="s">
        <v>2305</v>
      </c>
      <c r="E539" s="849" t="s">
        <v>768</v>
      </c>
      <c r="F539" s="849" t="s">
        <v>2057</v>
      </c>
      <c r="G539" s="849">
        <v>0.0</v>
      </c>
      <c r="H539" s="849">
        <v>0.0</v>
      </c>
      <c r="I539" s="849">
        <v>0.0</v>
      </c>
      <c r="J539" s="849">
        <v>0.0</v>
      </c>
      <c r="K539" s="849">
        <v>0.0</v>
      </c>
      <c r="L539" s="849">
        <v>214.98</v>
      </c>
      <c r="M539" s="849">
        <v>427.01</v>
      </c>
      <c r="N539" s="849">
        <v>1889.09</v>
      </c>
      <c r="O539" s="849">
        <v>2075.62</v>
      </c>
      <c r="P539" s="849">
        <v>2179.07</v>
      </c>
      <c r="Q539" s="849">
        <v>0.0</v>
      </c>
      <c r="R539" s="849">
        <v>0.0</v>
      </c>
      <c r="S539" s="849">
        <v>0.0</v>
      </c>
      <c r="T539" s="849">
        <v>0.0</v>
      </c>
      <c r="U539" s="849">
        <v>0.0</v>
      </c>
      <c r="V539" s="849">
        <v>0.0</v>
      </c>
      <c r="W539" s="849">
        <v>0.0</v>
      </c>
      <c r="X539" s="849">
        <v>0.0</v>
      </c>
      <c r="Y539" s="849">
        <v>0.0</v>
      </c>
      <c r="Z539" s="849">
        <v>0.0</v>
      </c>
      <c r="AA539" s="849">
        <v>0.0</v>
      </c>
      <c r="AB539" s="849">
        <v>0.0</v>
      </c>
      <c r="AC539" s="849">
        <v>0.0</v>
      </c>
      <c r="AD539" s="849">
        <v>0.0</v>
      </c>
      <c r="AE539" s="849">
        <v>0.0</v>
      </c>
      <c r="AF539" s="849">
        <v>0.0</v>
      </c>
      <c r="AG539" s="849">
        <v>0.0</v>
      </c>
      <c r="AH539" s="849">
        <v>0.0</v>
      </c>
      <c r="AI539" s="849">
        <v>0.0</v>
      </c>
      <c r="AJ539" s="794" t="str">
        <f t="shared" ref="AJ539:AK539" si="1075">C539</f>
        <v>G32313</v>
      </c>
      <c r="AK539" s="794" t="str">
        <f t="shared" si="1075"/>
        <v>CNT A PAYER</v>
      </c>
      <c r="AL539" s="794">
        <f t="array" ref="AL539">IFERROR(INDEX(G539:R539,1,MATCH(Parametres!$B$3,G$1:R$1,0)-1)*IF(OR(F539="L",F539="S",F539="I"),-1,1),"")</f>
        <v>-1889.09</v>
      </c>
      <c r="AM539" s="794">
        <f t="shared" si="4"/>
        <v>-186.53</v>
      </c>
      <c r="AN539" s="794">
        <f t="array" ref="AN539">INDEX(G539:R539,1,MATCH(Parametres!$B$3,G$1:R$1,0))*IF(OR(F539="L",F539="S",F539="I"),-1,1)</f>
        <v>-2075.62</v>
      </c>
      <c r="AO539" s="853" t="str">
        <f>+VLOOKUP($AJ539,Data_Validation!$A:$D,1,0)</f>
        <v>G32313</v>
      </c>
      <c r="AP539" s="853" t="str">
        <f>+VLOOKUP($AJ539,Data_Validation!$A:$D,3,0)</f>
        <v>Bilan</v>
      </c>
      <c r="AQ539" s="853" t="str">
        <f>+VLOOKUP($AJ539,Data_Validation!$A:$D,4,0)</f>
        <v>DAS à Payer</v>
      </c>
      <c r="AR539" s="853" t="s">
        <v>728</v>
      </c>
      <c r="AS539" s="853" t="str">
        <f>+VLOOKUP($AJ539,Data_Validation!$A:$E,5,0)</f>
        <v/>
      </c>
      <c r="AT539" s="794" t="str">
        <f t="shared" ref="AT539:AU539" si="1076">C539</f>
        <v>G32313</v>
      </c>
      <c r="AU539" s="854" t="str">
        <f t="shared" si="1076"/>
        <v>CNT A PAYER</v>
      </c>
      <c r="AV539" s="794">
        <f t="array" ref="AV539">IFERROR(INDEX(V539:AG539,1,MATCH(Parametres!$B$3,V$1:AG$1,0)-1)*IF(OR(C539="L",C539="S",C539="I"),-1,1),"")</f>
        <v>0</v>
      </c>
      <c r="AW539" s="794">
        <f t="shared" si="6"/>
        <v>0</v>
      </c>
      <c r="AX539" s="794">
        <f t="array" ref="AX539">INDEX(V539:AG539,1,MATCH(Parametres!$B$3,V$1:AG$1,0))*IF(OR(C539="L",C539="S",C539="I"),-1,1)</f>
        <v>0</v>
      </c>
      <c r="AY539" s="853" t="s">
        <v>772</v>
      </c>
      <c r="AZ539" s="853" t="str">
        <f>+VLOOKUP($AJ539,Data_Validation!$A:$E,5,0)</f>
        <v/>
      </c>
    </row>
    <row r="540" ht="15.0" customHeight="1">
      <c r="A540" s="849" t="s">
        <v>1239</v>
      </c>
      <c r="B540" s="849">
        <v>2026.0</v>
      </c>
      <c r="C540" s="849" t="s">
        <v>2306</v>
      </c>
      <c r="D540" s="849" t="s">
        <v>2307</v>
      </c>
      <c r="E540" s="849" t="s">
        <v>768</v>
      </c>
      <c r="F540" s="849" t="s">
        <v>2057</v>
      </c>
      <c r="G540" s="849">
        <v>104972.94</v>
      </c>
      <c r="H540" s="849">
        <v>91135.21</v>
      </c>
      <c r="I540" s="849">
        <v>105499.53</v>
      </c>
      <c r="J540" s="849">
        <v>130073.13</v>
      </c>
      <c r="K540" s="849">
        <v>57634.14</v>
      </c>
      <c r="L540" s="849">
        <v>106096.86</v>
      </c>
      <c r="M540" s="849">
        <v>106698.28</v>
      </c>
      <c r="N540" s="849">
        <v>105747.55</v>
      </c>
      <c r="O540" s="849">
        <v>132402.93</v>
      </c>
      <c r="P540" s="849">
        <v>160357.51</v>
      </c>
      <c r="Q540" s="849">
        <v>0.0</v>
      </c>
      <c r="R540" s="849">
        <v>0.0</v>
      </c>
      <c r="S540" s="849">
        <v>0.0</v>
      </c>
      <c r="T540" s="849">
        <v>0.0</v>
      </c>
      <c r="U540" s="849">
        <v>0.0</v>
      </c>
      <c r="V540" s="849">
        <v>0.0</v>
      </c>
      <c r="W540" s="849">
        <v>0.0</v>
      </c>
      <c r="X540" s="849">
        <v>0.0</v>
      </c>
      <c r="Y540" s="849">
        <v>0.0</v>
      </c>
      <c r="Z540" s="849">
        <v>0.0</v>
      </c>
      <c r="AA540" s="849">
        <v>0.0</v>
      </c>
      <c r="AB540" s="849">
        <v>0.0</v>
      </c>
      <c r="AC540" s="849">
        <v>0.0</v>
      </c>
      <c r="AD540" s="849">
        <v>0.0</v>
      </c>
      <c r="AE540" s="849">
        <v>0.0</v>
      </c>
      <c r="AF540" s="849">
        <v>0.0</v>
      </c>
      <c r="AG540" s="849">
        <v>0.0</v>
      </c>
      <c r="AH540" s="849">
        <v>0.0</v>
      </c>
      <c r="AI540" s="849">
        <v>0.0</v>
      </c>
      <c r="AJ540" s="794" t="str">
        <f t="shared" ref="AJ540:AK540" si="1077">C540</f>
        <v>G32400</v>
      </c>
      <c r="AK540" s="794" t="str">
        <f t="shared" si="1077"/>
        <v>T.V.Q. A PAYER</v>
      </c>
      <c r="AL540" s="794">
        <f t="array" ref="AL540">IFERROR(INDEX(G540:R540,1,MATCH(Parametres!$B$3,G$1:R$1,0)-1)*IF(OR(F540="L",F540="S",F540="I"),-1,1),"")</f>
        <v>-105747.55</v>
      </c>
      <c r="AM540" s="794">
        <f t="shared" si="4"/>
        <v>-26655.38</v>
      </c>
      <c r="AN540" s="794">
        <f t="array" ref="AN540">INDEX(G540:R540,1,MATCH(Parametres!$B$3,G$1:R$1,0))*IF(OR(F540="L",F540="S",F540="I"),-1,1)</f>
        <v>-132402.93</v>
      </c>
      <c r="AO540" s="853" t="str">
        <f>+VLOOKUP($AJ540,Data_Validation!$A:$D,1,0)</f>
        <v>G32400</v>
      </c>
      <c r="AP540" s="853" t="str">
        <f>+VLOOKUP($AJ540,Data_Validation!$A:$D,3,0)</f>
        <v>Bilan</v>
      </c>
      <c r="AQ540" s="853" t="str">
        <f>+VLOOKUP($AJ540,Data_Validation!$A:$D,4,0)</f>
        <v>Taxes de Vente à Payer</v>
      </c>
      <c r="AR540" s="853" t="s">
        <v>728</v>
      </c>
      <c r="AS540" s="853" t="str">
        <f>+VLOOKUP($AJ540,Data_Validation!$A:$E,5,0)</f>
        <v/>
      </c>
      <c r="AT540" s="794" t="str">
        <f t="shared" ref="AT540:AU540" si="1078">C540</f>
        <v>G32400</v>
      </c>
      <c r="AU540" s="854" t="str">
        <f t="shared" si="1078"/>
        <v>T.V.Q. A PAYER</v>
      </c>
      <c r="AV540" s="794">
        <f t="array" ref="AV540">IFERROR(INDEX(V540:AG540,1,MATCH(Parametres!$B$3,V$1:AG$1,0)-1)*IF(OR(C540="L",C540="S",C540="I"),-1,1),"")</f>
        <v>0</v>
      </c>
      <c r="AW540" s="794">
        <f t="shared" si="6"/>
        <v>0</v>
      </c>
      <c r="AX540" s="794">
        <f t="array" ref="AX540">INDEX(V540:AG540,1,MATCH(Parametres!$B$3,V$1:AG$1,0))*IF(OR(C540="L",C540="S",C540="I"),-1,1)</f>
        <v>0</v>
      </c>
      <c r="AY540" s="853" t="s">
        <v>772</v>
      </c>
      <c r="AZ540" s="853" t="str">
        <f>+VLOOKUP($AJ540,Data_Validation!$A:$E,5,0)</f>
        <v/>
      </c>
    </row>
    <row r="541" ht="15.0" customHeight="1">
      <c r="A541" s="849" t="s">
        <v>1239</v>
      </c>
      <c r="B541" s="849">
        <v>2026.0</v>
      </c>
      <c r="C541" s="849" t="s">
        <v>2308</v>
      </c>
      <c r="D541" s="849" t="s">
        <v>2309</v>
      </c>
      <c r="E541" s="849" t="s">
        <v>768</v>
      </c>
      <c r="F541" s="849" t="s">
        <v>2057</v>
      </c>
      <c r="G541" s="849">
        <v>1076451.84</v>
      </c>
      <c r="H541" s="849">
        <v>902541.32</v>
      </c>
      <c r="I541" s="849">
        <v>1152829.07</v>
      </c>
      <c r="J541" s="849">
        <v>3897674.97</v>
      </c>
      <c r="K541" s="849">
        <v>1140831.36</v>
      </c>
      <c r="L541" s="849">
        <v>986858.79</v>
      </c>
      <c r="M541" s="849">
        <v>699437.82</v>
      </c>
      <c r="N541" s="849">
        <v>654244.14</v>
      </c>
      <c r="O541" s="849">
        <v>599988.43</v>
      </c>
      <c r="P541" s="849">
        <v>787539.78</v>
      </c>
      <c r="Q541" s="849">
        <v>0.0</v>
      </c>
      <c r="R541" s="849">
        <v>0.0</v>
      </c>
      <c r="S541" s="849">
        <v>0.0</v>
      </c>
      <c r="T541" s="849">
        <v>0.0</v>
      </c>
      <c r="U541" s="849">
        <v>0.0</v>
      </c>
      <c r="V541" s="849">
        <v>0.0</v>
      </c>
      <c r="W541" s="849">
        <v>0.0</v>
      </c>
      <c r="X541" s="849">
        <v>0.0</v>
      </c>
      <c r="Y541" s="849">
        <v>0.0</v>
      </c>
      <c r="Z541" s="849">
        <v>0.0</v>
      </c>
      <c r="AA541" s="849">
        <v>0.0</v>
      </c>
      <c r="AB541" s="849">
        <v>0.0</v>
      </c>
      <c r="AC541" s="849">
        <v>0.0</v>
      </c>
      <c r="AD541" s="849">
        <v>0.0</v>
      </c>
      <c r="AE541" s="849">
        <v>0.0</v>
      </c>
      <c r="AF541" s="849">
        <v>0.0</v>
      </c>
      <c r="AG541" s="849">
        <v>0.0</v>
      </c>
      <c r="AH541" s="849">
        <v>0.0</v>
      </c>
      <c r="AI541" s="849">
        <v>0.0</v>
      </c>
      <c r="AJ541" s="794" t="str">
        <f t="shared" ref="AJ541:AK541" si="1079">C541</f>
        <v>G32401</v>
      </c>
      <c r="AK541" s="794" t="str">
        <f t="shared" si="1079"/>
        <v>T.P.S. A PAYER</v>
      </c>
      <c r="AL541" s="794">
        <f t="array" ref="AL541">IFERROR(INDEX(G541:R541,1,MATCH(Parametres!$B$3,G$1:R$1,0)-1)*IF(OR(F541="L",F541="S",F541="I"),-1,1),"")</f>
        <v>-654244.14</v>
      </c>
      <c r="AM541" s="794">
        <f t="shared" si="4"/>
        <v>54255.71</v>
      </c>
      <c r="AN541" s="794">
        <f t="array" ref="AN541">INDEX(G541:R541,1,MATCH(Parametres!$B$3,G$1:R$1,0))*IF(OR(F541="L",F541="S",F541="I"),-1,1)</f>
        <v>-599988.43</v>
      </c>
      <c r="AO541" s="853" t="str">
        <f>+VLOOKUP($AJ541,Data_Validation!$A:$D,1,0)</f>
        <v>G32401</v>
      </c>
      <c r="AP541" s="853" t="str">
        <f>+VLOOKUP($AJ541,Data_Validation!$A:$D,3,0)</f>
        <v>Bilan</v>
      </c>
      <c r="AQ541" s="853" t="str">
        <f>+VLOOKUP($AJ541,Data_Validation!$A:$D,4,0)</f>
        <v>Taxes de Vente à Payer</v>
      </c>
      <c r="AR541" s="853" t="s">
        <v>728</v>
      </c>
      <c r="AS541" s="853" t="str">
        <f>+VLOOKUP($AJ541,Data_Validation!$A:$E,5,0)</f>
        <v/>
      </c>
      <c r="AT541" s="794" t="str">
        <f t="shared" ref="AT541:AU541" si="1080">C541</f>
        <v>G32401</v>
      </c>
      <c r="AU541" s="854" t="str">
        <f t="shared" si="1080"/>
        <v>T.P.S. A PAYER</v>
      </c>
      <c r="AV541" s="794">
        <f t="array" ref="AV541">IFERROR(INDEX(V541:AG541,1,MATCH(Parametres!$B$3,V$1:AG$1,0)-1)*IF(OR(C541="L",C541="S",C541="I"),-1,1),"")</f>
        <v>0</v>
      </c>
      <c r="AW541" s="794">
        <f t="shared" si="6"/>
        <v>0</v>
      </c>
      <c r="AX541" s="794">
        <f t="array" ref="AX541">INDEX(V541:AG541,1,MATCH(Parametres!$B$3,V$1:AG$1,0))*IF(OR(C541="L",C541="S",C541="I"),-1,1)</f>
        <v>0</v>
      </c>
      <c r="AY541" s="853" t="s">
        <v>772</v>
      </c>
      <c r="AZ541" s="853" t="str">
        <f>+VLOOKUP($AJ541,Data_Validation!$A:$E,5,0)</f>
        <v/>
      </c>
    </row>
    <row r="542" ht="15.0" customHeight="1">
      <c r="A542" s="849" t="s">
        <v>1239</v>
      </c>
      <c r="B542" s="849">
        <v>2026.0</v>
      </c>
      <c r="C542" s="849" t="s">
        <v>2310</v>
      </c>
      <c r="D542" s="849" t="s">
        <v>2311</v>
      </c>
      <c r="E542" s="849" t="s">
        <v>768</v>
      </c>
      <c r="F542" s="849" t="s">
        <v>2057</v>
      </c>
      <c r="G542" s="849">
        <v>195.93</v>
      </c>
      <c r="H542" s="849">
        <v>364.95</v>
      </c>
      <c r="I542" s="849">
        <v>275.4</v>
      </c>
      <c r="J542" s="849">
        <v>280.53</v>
      </c>
      <c r="K542" s="849">
        <v>0.0</v>
      </c>
      <c r="L542" s="849">
        <v>0.0</v>
      </c>
      <c r="M542" s="849">
        <v>609.33</v>
      </c>
      <c r="N542" s="849">
        <v>398.6</v>
      </c>
      <c r="O542" s="849">
        <v>171.99</v>
      </c>
      <c r="P542" s="849">
        <v>171.99</v>
      </c>
      <c r="Q542" s="849">
        <v>0.0</v>
      </c>
      <c r="R542" s="849">
        <v>0.0</v>
      </c>
      <c r="S542" s="849">
        <v>0.0</v>
      </c>
      <c r="T542" s="849">
        <v>0.0</v>
      </c>
      <c r="U542" s="849">
        <v>0.0</v>
      </c>
      <c r="V542" s="849">
        <v>0.0</v>
      </c>
      <c r="W542" s="849">
        <v>0.0</v>
      </c>
      <c r="X542" s="849">
        <v>0.0</v>
      </c>
      <c r="Y542" s="849">
        <v>0.0</v>
      </c>
      <c r="Z542" s="849">
        <v>0.0</v>
      </c>
      <c r="AA542" s="849">
        <v>0.0</v>
      </c>
      <c r="AB542" s="849">
        <v>0.0</v>
      </c>
      <c r="AC542" s="849">
        <v>0.0</v>
      </c>
      <c r="AD542" s="849">
        <v>0.0</v>
      </c>
      <c r="AE542" s="849">
        <v>0.0</v>
      </c>
      <c r="AF542" s="849">
        <v>0.0</v>
      </c>
      <c r="AG542" s="849">
        <v>0.0</v>
      </c>
      <c r="AH542" s="849">
        <v>0.0</v>
      </c>
      <c r="AI542" s="849">
        <v>0.0</v>
      </c>
      <c r="AJ542" s="794" t="str">
        <f t="shared" ref="AJ542:AK542" si="1081">C542</f>
        <v>G32402</v>
      </c>
      <c r="AK542" s="794" t="str">
        <f t="shared" si="1081"/>
        <v>TPA ASSURANCES</v>
      </c>
      <c r="AL542" s="794">
        <f t="array" ref="AL542">IFERROR(INDEX(G542:R542,1,MATCH(Parametres!$B$3,G$1:R$1,0)-1)*IF(OR(F542="L",F542="S",F542="I"),-1,1),"")</f>
        <v>-398.6</v>
      </c>
      <c r="AM542" s="794">
        <f t="shared" si="4"/>
        <v>226.61</v>
      </c>
      <c r="AN542" s="794">
        <f t="array" ref="AN542">INDEX(G542:R542,1,MATCH(Parametres!$B$3,G$1:R$1,0))*IF(OR(F542="L",F542="S",F542="I"),-1,1)</f>
        <v>-171.99</v>
      </c>
      <c r="AO542" s="853" t="str">
        <f>+VLOOKUP($AJ542,Data_Validation!$A:$D,1,0)</f>
        <v>G32402</v>
      </c>
      <c r="AP542" s="853" t="str">
        <f>+VLOOKUP($AJ542,Data_Validation!$A:$D,3,0)</f>
        <v>Bilan</v>
      </c>
      <c r="AQ542" s="853" t="str">
        <f>+VLOOKUP($AJ542,Data_Validation!$A:$D,4,0)</f>
        <v>Taxes de Vente à Payer</v>
      </c>
      <c r="AR542" s="853" t="s">
        <v>728</v>
      </c>
      <c r="AS542" s="853" t="str">
        <f>+VLOOKUP($AJ542,Data_Validation!$A:$E,5,0)</f>
        <v/>
      </c>
      <c r="AT542" s="794" t="str">
        <f t="shared" ref="AT542:AU542" si="1082">C542</f>
        <v>G32402</v>
      </c>
      <c r="AU542" s="854" t="str">
        <f t="shared" si="1082"/>
        <v>TPA ASSURANCES</v>
      </c>
      <c r="AV542" s="794">
        <f t="array" ref="AV542">IFERROR(INDEX(V542:AG542,1,MATCH(Parametres!$B$3,V$1:AG$1,0)-1)*IF(OR(C542="L",C542="S",C542="I"),-1,1),"")</f>
        <v>0</v>
      </c>
      <c r="AW542" s="794">
        <f t="shared" si="6"/>
        <v>0</v>
      </c>
      <c r="AX542" s="794">
        <f t="array" ref="AX542">INDEX(V542:AG542,1,MATCH(Parametres!$B$3,V$1:AG$1,0))*IF(OR(C542="L",C542="S",C542="I"),-1,1)</f>
        <v>0</v>
      </c>
      <c r="AY542" s="853" t="s">
        <v>772</v>
      </c>
      <c r="AZ542" s="853" t="str">
        <f>+VLOOKUP($AJ542,Data_Validation!$A:$E,5,0)</f>
        <v/>
      </c>
    </row>
    <row r="543" ht="15.0" customHeight="1">
      <c r="A543" s="849" t="s">
        <v>1239</v>
      </c>
      <c r="B543" s="849">
        <v>2026.0</v>
      </c>
      <c r="C543" s="849" t="s">
        <v>2312</v>
      </c>
      <c r="D543" s="849" t="s">
        <v>2313</v>
      </c>
      <c r="E543" s="849" t="s">
        <v>768</v>
      </c>
      <c r="F543" s="849" t="s">
        <v>2057</v>
      </c>
      <c r="G543" s="849">
        <v>5030.0</v>
      </c>
      <c r="H543" s="849">
        <v>12525.92</v>
      </c>
      <c r="I543" s="849">
        <v>21790.14</v>
      </c>
      <c r="J543" s="849">
        <v>2267.56</v>
      </c>
      <c r="K543" s="849">
        <v>10794.43</v>
      </c>
      <c r="L543" s="849">
        <v>27004.64</v>
      </c>
      <c r="M543" s="849">
        <v>12198.69</v>
      </c>
      <c r="N543" s="849">
        <v>12410.57</v>
      </c>
      <c r="O543" s="849">
        <v>31679.77</v>
      </c>
      <c r="P543" s="849">
        <v>31679.77</v>
      </c>
      <c r="Q543" s="849">
        <v>0.0</v>
      </c>
      <c r="R543" s="849">
        <v>0.0</v>
      </c>
      <c r="S543" s="849">
        <v>0.0</v>
      </c>
      <c r="T543" s="849">
        <v>0.0</v>
      </c>
      <c r="U543" s="849">
        <v>0.0</v>
      </c>
      <c r="V543" s="849">
        <v>0.0</v>
      </c>
      <c r="W543" s="849">
        <v>0.0</v>
      </c>
      <c r="X543" s="849">
        <v>0.0</v>
      </c>
      <c r="Y543" s="849">
        <v>0.0</v>
      </c>
      <c r="Z543" s="849">
        <v>0.0</v>
      </c>
      <c r="AA543" s="849">
        <v>0.0</v>
      </c>
      <c r="AB543" s="849">
        <v>0.0</v>
      </c>
      <c r="AC543" s="849">
        <v>0.0</v>
      </c>
      <c r="AD543" s="849">
        <v>0.0</v>
      </c>
      <c r="AE543" s="849">
        <v>0.0</v>
      </c>
      <c r="AF543" s="849">
        <v>0.0</v>
      </c>
      <c r="AG543" s="849">
        <v>0.0</v>
      </c>
      <c r="AH543" s="849">
        <v>0.0</v>
      </c>
      <c r="AI543" s="849">
        <v>0.0</v>
      </c>
      <c r="AJ543" s="794" t="str">
        <f t="shared" ref="AJ543:AK543" si="1083">C543</f>
        <v>G32500</v>
      </c>
      <c r="AK543" s="794" t="str">
        <f t="shared" si="1083"/>
        <v>TAXE DELUXE A PAYER</v>
      </c>
      <c r="AL543" s="794">
        <f t="array" ref="AL543">IFERROR(INDEX(G543:R543,1,MATCH(Parametres!$B$3,G$1:R$1,0)-1)*IF(OR(F543="L",F543="S",F543="I"),-1,1),"")</f>
        <v>-12410.57</v>
      </c>
      <c r="AM543" s="794">
        <f t="shared" si="4"/>
        <v>-19269.2</v>
      </c>
      <c r="AN543" s="794">
        <f t="array" ref="AN543">INDEX(G543:R543,1,MATCH(Parametres!$B$3,G$1:R$1,0))*IF(OR(F543="L",F543="S",F543="I"),-1,1)</f>
        <v>-31679.77</v>
      </c>
      <c r="AO543" s="853" t="str">
        <f>+VLOOKUP($AJ543,Data_Validation!$A:$D,1,0)</f>
        <v>G32500</v>
      </c>
      <c r="AP543" s="853" t="str">
        <f>+VLOOKUP($AJ543,Data_Validation!$A:$D,3,0)</f>
        <v>Bilan</v>
      </c>
      <c r="AQ543" s="853" t="str">
        <f>+VLOOKUP($AJ543,Data_Validation!$A:$D,4,0)</f>
        <v>Taxes de Vente à Payer</v>
      </c>
      <c r="AR543" s="853" t="s">
        <v>728</v>
      </c>
      <c r="AS543" s="853" t="str">
        <f>+VLOOKUP($AJ543,Data_Validation!$A:$E,5,0)</f>
        <v/>
      </c>
      <c r="AT543" s="794" t="str">
        <f t="shared" ref="AT543:AU543" si="1084">C543</f>
        <v>G32500</v>
      </c>
      <c r="AU543" s="854" t="str">
        <f t="shared" si="1084"/>
        <v>TAXE DELUXE A PAYER</v>
      </c>
      <c r="AV543" s="794">
        <f t="array" ref="AV543">IFERROR(INDEX(V543:AG543,1,MATCH(Parametres!$B$3,V$1:AG$1,0)-1)*IF(OR(C543="L",C543="S",C543="I"),-1,1),"")</f>
        <v>0</v>
      </c>
      <c r="AW543" s="794">
        <f t="shared" si="6"/>
        <v>0</v>
      </c>
      <c r="AX543" s="794">
        <f t="array" ref="AX543">INDEX(V543:AG543,1,MATCH(Parametres!$B$3,V$1:AG$1,0))*IF(OR(C543="L",C543="S",C543="I"),-1,1)</f>
        <v>0</v>
      </c>
      <c r="AY543" s="853" t="s">
        <v>772</v>
      </c>
      <c r="AZ543" s="853" t="str">
        <f>+VLOOKUP($AJ543,Data_Validation!$A:$E,5,0)</f>
        <v/>
      </c>
    </row>
    <row r="544" ht="15.0" customHeight="1">
      <c r="A544" s="849" t="s">
        <v>1239</v>
      </c>
      <c r="B544" s="849">
        <v>2026.0</v>
      </c>
      <c r="C544" s="849" t="s">
        <v>2314</v>
      </c>
      <c r="D544" s="849" t="s">
        <v>2315</v>
      </c>
      <c r="E544" s="849" t="s">
        <v>768</v>
      </c>
      <c r="F544" s="849" t="s">
        <v>2057</v>
      </c>
      <c r="G544" s="849">
        <v>0.0</v>
      </c>
      <c r="H544" s="849">
        <v>0.0</v>
      </c>
      <c r="I544" s="849">
        <v>0.0</v>
      </c>
      <c r="J544" s="849">
        <v>0.0</v>
      </c>
      <c r="K544" s="849">
        <v>0.0</v>
      </c>
      <c r="L544" s="849">
        <v>0.0</v>
      </c>
      <c r="M544" s="849">
        <v>0.0</v>
      </c>
      <c r="N544" s="849">
        <v>0.0</v>
      </c>
      <c r="O544" s="849">
        <v>0.0</v>
      </c>
      <c r="P544" s="849">
        <v>0.0</v>
      </c>
      <c r="Q544" s="849">
        <v>0.0</v>
      </c>
      <c r="R544" s="849">
        <v>0.0</v>
      </c>
      <c r="S544" s="849">
        <v>0.0</v>
      </c>
      <c r="T544" s="849">
        <v>0.0</v>
      </c>
      <c r="U544" s="849">
        <v>0.0</v>
      </c>
      <c r="V544" s="849">
        <v>0.0</v>
      </c>
      <c r="W544" s="849">
        <v>0.0</v>
      </c>
      <c r="X544" s="849">
        <v>0.0</v>
      </c>
      <c r="Y544" s="849">
        <v>0.0</v>
      </c>
      <c r="Z544" s="849">
        <v>0.0</v>
      </c>
      <c r="AA544" s="849">
        <v>0.0</v>
      </c>
      <c r="AB544" s="849">
        <v>0.0</v>
      </c>
      <c r="AC544" s="849">
        <v>0.0</v>
      </c>
      <c r="AD544" s="849">
        <v>0.0</v>
      </c>
      <c r="AE544" s="849">
        <v>0.0</v>
      </c>
      <c r="AF544" s="849">
        <v>0.0</v>
      </c>
      <c r="AG544" s="849">
        <v>0.0</v>
      </c>
      <c r="AH544" s="849">
        <v>0.0</v>
      </c>
      <c r="AI544" s="849">
        <v>0.0</v>
      </c>
      <c r="AJ544" s="794" t="str">
        <f t="shared" ref="AJ544:AK544" si="1085">C544</f>
        <v>G32700</v>
      </c>
      <c r="AK544" s="794" t="str">
        <f t="shared" si="1085"/>
        <v>IMPÔTS EXIGIBLES</v>
      </c>
      <c r="AL544" s="794">
        <f t="array" ref="AL544">IFERROR(INDEX(G544:R544,1,MATCH(Parametres!$B$3,G$1:R$1,0)-1)*IF(OR(F544="L",F544="S",F544="I"),-1,1),"")</f>
        <v>0</v>
      </c>
      <c r="AM544" s="794">
        <f t="shared" si="4"/>
        <v>0</v>
      </c>
      <c r="AN544" s="794">
        <f t="array" ref="AN544">INDEX(G544:R544,1,MATCH(Parametres!$B$3,G$1:R$1,0))*IF(OR(F544="L",F544="S",F544="I"),-1,1)</f>
        <v>0</v>
      </c>
      <c r="AO544" s="853" t="str">
        <f>+VLOOKUP($AJ544,Data_Validation!$A:$D,1,0)</f>
        <v>G32700</v>
      </c>
      <c r="AP544" s="853" t="str">
        <f>+VLOOKUP($AJ544,Data_Validation!$A:$D,3,0)</f>
        <v>Bilan</v>
      </c>
      <c r="AQ544" s="853" t="str">
        <f>+VLOOKUP($AJ544,Data_Validation!$A:$D,4,0)</f>
        <v>Impôts à payer</v>
      </c>
      <c r="AR544" s="853" t="s">
        <v>728</v>
      </c>
      <c r="AS544" s="853" t="str">
        <f>+VLOOKUP($AJ544,Data_Validation!$A:$E,5,0)</f>
        <v/>
      </c>
      <c r="AT544" s="794" t="str">
        <f t="shared" ref="AT544:AU544" si="1086">C544</f>
        <v>G32700</v>
      </c>
      <c r="AU544" s="854" t="str">
        <f t="shared" si="1086"/>
        <v>IMPÔTS EXIGIBLES</v>
      </c>
      <c r="AV544" s="794">
        <f t="array" ref="AV544">IFERROR(INDEX(V544:AG544,1,MATCH(Parametres!$B$3,V$1:AG$1,0)-1)*IF(OR(C544="L",C544="S",C544="I"),-1,1),"")</f>
        <v>0</v>
      </c>
      <c r="AW544" s="794">
        <f t="shared" si="6"/>
        <v>0</v>
      </c>
      <c r="AX544" s="794">
        <f t="array" ref="AX544">INDEX(V544:AG544,1,MATCH(Parametres!$B$3,V$1:AG$1,0))*IF(OR(C544="L",C544="S",C544="I"),-1,1)</f>
        <v>0</v>
      </c>
      <c r="AY544" s="853" t="s">
        <v>772</v>
      </c>
      <c r="AZ544" s="853" t="str">
        <f>+VLOOKUP($AJ544,Data_Validation!$A:$E,5,0)</f>
        <v/>
      </c>
    </row>
    <row r="545" ht="15.0" customHeight="1">
      <c r="A545" s="849" t="s">
        <v>1239</v>
      </c>
      <c r="B545" s="849">
        <v>2026.0</v>
      </c>
      <c r="C545" s="849" t="s">
        <v>2316</v>
      </c>
      <c r="D545" s="849" t="s">
        <v>2317</v>
      </c>
      <c r="E545" s="849" t="s">
        <v>768</v>
      </c>
      <c r="F545" s="849" t="s">
        <v>2057</v>
      </c>
      <c r="G545" s="849">
        <v>0.0</v>
      </c>
      <c r="H545" s="849">
        <v>0.0</v>
      </c>
      <c r="I545" s="849">
        <v>12274.51</v>
      </c>
      <c r="J545" s="849">
        <v>19394.73</v>
      </c>
      <c r="K545" s="849">
        <v>11577.99</v>
      </c>
      <c r="L545" s="849">
        <v>13279.16</v>
      </c>
      <c r="M545" s="849">
        <v>20373.65</v>
      </c>
      <c r="N545" s="849">
        <v>17501.99</v>
      </c>
      <c r="O545" s="849">
        <v>-3672.38</v>
      </c>
      <c r="P545" s="849">
        <v>-8158.23</v>
      </c>
      <c r="Q545" s="849">
        <v>0.0</v>
      </c>
      <c r="R545" s="849">
        <v>0.0</v>
      </c>
      <c r="S545" s="849">
        <v>0.0</v>
      </c>
      <c r="T545" s="849">
        <v>0.0</v>
      </c>
      <c r="U545" s="849">
        <v>0.0</v>
      </c>
      <c r="V545" s="849">
        <v>0.0</v>
      </c>
      <c r="W545" s="849">
        <v>0.0</v>
      </c>
      <c r="X545" s="849">
        <v>0.0</v>
      </c>
      <c r="Y545" s="849">
        <v>0.0</v>
      </c>
      <c r="Z545" s="849">
        <v>0.0</v>
      </c>
      <c r="AA545" s="849">
        <v>0.0</v>
      </c>
      <c r="AB545" s="849">
        <v>0.0</v>
      </c>
      <c r="AC545" s="849">
        <v>0.0</v>
      </c>
      <c r="AD545" s="849">
        <v>0.0</v>
      </c>
      <c r="AE545" s="849">
        <v>0.0</v>
      </c>
      <c r="AF545" s="849">
        <v>0.0</v>
      </c>
      <c r="AG545" s="849">
        <v>0.0</v>
      </c>
      <c r="AH545" s="849">
        <v>0.0</v>
      </c>
      <c r="AI545" s="849">
        <v>0.0</v>
      </c>
      <c r="AJ545" s="794" t="str">
        <f t="shared" ref="AJ545:AK545" si="1087">C545</f>
        <v>G32800</v>
      </c>
      <c r="AK545" s="794" t="str">
        <f t="shared" si="1087"/>
        <v>BONI A PAYER</v>
      </c>
      <c r="AL545" s="794">
        <f t="array" ref="AL545">IFERROR(INDEX(G545:R545,1,MATCH(Parametres!$B$3,G$1:R$1,0)-1)*IF(OR(F545="L",F545="S",F545="I"),-1,1),"")</f>
        <v>-17501.99</v>
      </c>
      <c r="AM545" s="794">
        <f t="shared" si="4"/>
        <v>21174.37</v>
      </c>
      <c r="AN545" s="794">
        <f t="array" ref="AN545">INDEX(G545:R545,1,MATCH(Parametres!$B$3,G$1:R$1,0))*IF(OR(F545="L",F545="S",F545="I"),-1,1)</f>
        <v>3672.38</v>
      </c>
      <c r="AO545" s="853" t="str">
        <f>+VLOOKUP($AJ545,Data_Validation!$A:$D,1,0)</f>
        <v>G32800</v>
      </c>
      <c r="AP545" s="853" t="str">
        <f>+VLOOKUP($AJ545,Data_Validation!$A:$D,3,0)</f>
        <v>Bilan</v>
      </c>
      <c r="AQ545" s="853" t="str">
        <f>+VLOOKUP($AJ545,Data_Validation!$A:$D,4,0)</f>
        <v>Salaires à Payer</v>
      </c>
      <c r="AR545" s="853" t="s">
        <v>728</v>
      </c>
      <c r="AS545" s="853" t="str">
        <f>+VLOOKUP($AJ545,Data_Validation!$A:$E,5,0)</f>
        <v/>
      </c>
      <c r="AT545" s="794" t="str">
        <f t="shared" ref="AT545:AU545" si="1088">C545</f>
        <v>G32800</v>
      </c>
      <c r="AU545" s="854" t="str">
        <f t="shared" si="1088"/>
        <v>BONI A PAYER</v>
      </c>
      <c r="AV545" s="794">
        <f t="array" ref="AV545">IFERROR(INDEX(V545:AG545,1,MATCH(Parametres!$B$3,V$1:AG$1,0)-1)*IF(OR(C545="L",C545="S",C545="I"),-1,1),"")</f>
        <v>0</v>
      </c>
      <c r="AW545" s="794">
        <f t="shared" si="6"/>
        <v>0</v>
      </c>
      <c r="AX545" s="794">
        <f t="array" ref="AX545">INDEX(V545:AG545,1,MATCH(Parametres!$B$3,V$1:AG$1,0))*IF(OR(C545="L",C545="S",C545="I"),-1,1)</f>
        <v>0</v>
      </c>
      <c r="AY545" s="853" t="s">
        <v>772</v>
      </c>
      <c r="AZ545" s="853" t="str">
        <f>+VLOOKUP($AJ545,Data_Validation!$A:$E,5,0)</f>
        <v/>
      </c>
    </row>
    <row r="546" ht="15.0" customHeight="1">
      <c r="A546" s="849" t="s">
        <v>1239</v>
      </c>
      <c r="B546" s="849">
        <v>2026.0</v>
      </c>
      <c r="C546" s="849" t="s">
        <v>2318</v>
      </c>
      <c r="D546" s="849" t="s">
        <v>2319</v>
      </c>
      <c r="E546" s="849" t="s">
        <v>768</v>
      </c>
      <c r="F546" s="849" t="s">
        <v>2057</v>
      </c>
      <c r="G546" s="849">
        <v>-2725964.6</v>
      </c>
      <c r="H546" s="849">
        <v>-3387014.6</v>
      </c>
      <c r="I546" s="849">
        <v>-3400964.6</v>
      </c>
      <c r="J546" s="849">
        <v>-3389504.24</v>
      </c>
      <c r="K546" s="849">
        <v>-3889504.24</v>
      </c>
      <c r="L546" s="849">
        <v>-3920685.29</v>
      </c>
      <c r="M546" s="849">
        <v>-3918620.97</v>
      </c>
      <c r="N546" s="849">
        <v>-3940255.42</v>
      </c>
      <c r="O546" s="849">
        <v>-3977574.94</v>
      </c>
      <c r="P546" s="849">
        <v>-3981666.93</v>
      </c>
      <c r="Q546" s="849">
        <v>0.0</v>
      </c>
      <c r="R546" s="849">
        <v>0.0</v>
      </c>
      <c r="S546" s="849">
        <v>0.0</v>
      </c>
      <c r="T546" s="849">
        <v>0.0</v>
      </c>
      <c r="U546" s="849">
        <v>0.0</v>
      </c>
      <c r="V546" s="849">
        <v>0.0</v>
      </c>
      <c r="W546" s="849">
        <v>0.0</v>
      </c>
      <c r="X546" s="849">
        <v>0.0</v>
      </c>
      <c r="Y546" s="849">
        <v>0.0</v>
      </c>
      <c r="Z546" s="849">
        <v>0.0</v>
      </c>
      <c r="AA546" s="849">
        <v>0.0</v>
      </c>
      <c r="AB546" s="849">
        <v>0.0</v>
      </c>
      <c r="AC546" s="849">
        <v>0.0</v>
      </c>
      <c r="AD546" s="849">
        <v>0.0</v>
      </c>
      <c r="AE546" s="849">
        <v>0.0</v>
      </c>
      <c r="AF546" s="849">
        <v>0.0</v>
      </c>
      <c r="AG546" s="849">
        <v>0.0</v>
      </c>
      <c r="AH546" s="849">
        <v>0.0</v>
      </c>
      <c r="AI546" s="849">
        <v>0.0</v>
      </c>
      <c r="AJ546" s="794" t="str">
        <f t="shared" ref="AJ546:AK546" si="1089">C546</f>
        <v>G32900</v>
      </c>
      <c r="AK546" s="794" t="str">
        <f t="shared" si="1089"/>
        <v>BONI À PAYER PROPRIETAIRE</v>
      </c>
      <c r="AL546" s="794">
        <f t="array" ref="AL546">IFERROR(INDEX(G546:R546,1,MATCH(Parametres!$B$3,G$1:R$1,0)-1)*IF(OR(F546="L",F546="S",F546="I"),-1,1),"")</f>
        <v>3940255.42</v>
      </c>
      <c r="AM546" s="794">
        <f t="shared" si="4"/>
        <v>37319.52</v>
      </c>
      <c r="AN546" s="794">
        <f t="array" ref="AN546">INDEX(G546:R546,1,MATCH(Parametres!$B$3,G$1:R$1,0))*IF(OR(F546="L",F546="S",F546="I"),-1,1)</f>
        <v>3977574.94</v>
      </c>
      <c r="AO546" s="853" t="str">
        <f>+VLOOKUP($AJ546,Data_Validation!$A:$D,1,0)</f>
        <v>G32900</v>
      </c>
      <c r="AP546" s="853" t="str">
        <f>+VLOOKUP($AJ546,Data_Validation!$A:$D,3,0)</f>
        <v>Bilan</v>
      </c>
      <c r="AQ546" s="853" t="str">
        <f>+VLOOKUP($AJ546,Data_Validation!$A:$D,4,0)</f>
        <v>Salaires à Payer</v>
      </c>
      <c r="AR546" s="853" t="s">
        <v>728</v>
      </c>
      <c r="AS546" s="853" t="str">
        <f>+VLOOKUP($AJ546,Data_Validation!$A:$E,5,0)</f>
        <v/>
      </c>
      <c r="AT546" s="794" t="str">
        <f t="shared" ref="AT546:AU546" si="1090">C546</f>
        <v>G32900</v>
      </c>
      <c r="AU546" s="854" t="str">
        <f t="shared" si="1090"/>
        <v>BONI À PAYER PROPRIETAIRE</v>
      </c>
      <c r="AV546" s="794">
        <f t="array" ref="AV546">IFERROR(INDEX(V546:AG546,1,MATCH(Parametres!$B$3,V$1:AG$1,0)-1)*IF(OR(C546="L",C546="S",C546="I"),-1,1),"")</f>
        <v>0</v>
      </c>
      <c r="AW546" s="794">
        <f t="shared" si="6"/>
        <v>0</v>
      </c>
      <c r="AX546" s="794">
        <f t="array" ref="AX546">INDEX(V546:AG546,1,MATCH(Parametres!$B$3,V$1:AG$1,0))*IF(OR(C546="L",C546="S",C546="I"),-1,1)</f>
        <v>0</v>
      </c>
      <c r="AY546" s="853" t="s">
        <v>772</v>
      </c>
      <c r="AZ546" s="853" t="str">
        <f>+VLOOKUP($AJ546,Data_Validation!$A:$E,5,0)</f>
        <v/>
      </c>
    </row>
    <row r="547" ht="15.0" customHeight="1">
      <c r="A547" s="849" t="s">
        <v>1239</v>
      </c>
      <c r="B547" s="849">
        <v>2026.0</v>
      </c>
      <c r="C547" s="849" t="s">
        <v>2320</v>
      </c>
      <c r="D547" s="849" t="s">
        <v>2321</v>
      </c>
      <c r="E547" s="849" t="s">
        <v>771</v>
      </c>
      <c r="F547" s="849" t="s">
        <v>2057</v>
      </c>
      <c r="G547" s="849">
        <v>0.0</v>
      </c>
      <c r="H547" s="849">
        <v>0.0</v>
      </c>
      <c r="I547" s="849">
        <v>0.0</v>
      </c>
      <c r="J547" s="849">
        <v>0.0</v>
      </c>
      <c r="K547" s="849">
        <v>0.0</v>
      </c>
      <c r="L547" s="849">
        <v>41642.04</v>
      </c>
      <c r="M547" s="849">
        <v>0.0</v>
      </c>
      <c r="N547" s="849">
        <v>42402.54</v>
      </c>
      <c r="O547" s="849">
        <v>155.0</v>
      </c>
      <c r="P547" s="849">
        <v>-6625.33</v>
      </c>
      <c r="Q547" s="849">
        <v>0.0</v>
      </c>
      <c r="R547" s="849">
        <v>0.0</v>
      </c>
      <c r="S547" s="849">
        <v>0.0</v>
      </c>
      <c r="T547" s="849">
        <v>0.0</v>
      </c>
      <c r="U547" s="849">
        <v>0.0</v>
      </c>
      <c r="V547" s="849">
        <v>0.0</v>
      </c>
      <c r="W547" s="849">
        <v>0.0</v>
      </c>
      <c r="X547" s="849">
        <v>0.0</v>
      </c>
      <c r="Y547" s="849">
        <v>0.0</v>
      </c>
      <c r="Z547" s="849">
        <v>0.0</v>
      </c>
      <c r="AA547" s="849">
        <v>0.0</v>
      </c>
      <c r="AB547" s="849">
        <v>0.0</v>
      </c>
      <c r="AC547" s="849">
        <v>0.0</v>
      </c>
      <c r="AD547" s="849">
        <v>0.0</v>
      </c>
      <c r="AE547" s="849">
        <v>0.0</v>
      </c>
      <c r="AF547" s="849">
        <v>0.0</v>
      </c>
      <c r="AG547" s="849">
        <v>0.0</v>
      </c>
      <c r="AH547" s="849">
        <v>0.0</v>
      </c>
      <c r="AI547" s="849">
        <v>0.0</v>
      </c>
      <c r="AJ547" s="794" t="str">
        <f t="shared" ref="AJ547:AK547" si="1091">C547</f>
        <v>G33030</v>
      </c>
      <c r="AK547" s="794" t="str">
        <f t="shared" si="1091"/>
        <v>AP VEH. HAWKESBURY GM</v>
      </c>
      <c r="AL547" s="794">
        <f t="array" ref="AL547">IFERROR(INDEX(G547:R547,1,MATCH(Parametres!$B$3,G$1:R$1,0)-1)*IF(OR(F547="L",F547="S",F547="I"),-1,1),"")</f>
        <v>-42402.54</v>
      </c>
      <c r="AM547" s="794">
        <f t="shared" si="4"/>
        <v>42247.54</v>
      </c>
      <c r="AN547" s="794">
        <f t="array" ref="AN547">INDEX(G547:R547,1,MATCH(Parametres!$B$3,G$1:R$1,0))*IF(OR(F547="L",F547="S",F547="I"),-1,1)</f>
        <v>-155</v>
      </c>
      <c r="AO547" s="853" t="str">
        <f>+VLOOKUP($AJ547,Data_Validation!$A:$D,1,0)</f>
        <v>G33030</v>
      </c>
      <c r="AP547" s="853" t="str">
        <f>+VLOOKUP($AJ547,Data_Validation!$A:$D,3,0)</f>
        <v>Bilan</v>
      </c>
      <c r="AQ547" s="853" t="str">
        <f>+VLOOKUP($AJ547,Data_Validation!$A:$D,4,0)</f>
        <v>Payables Intercos</v>
      </c>
      <c r="AR547" s="853" t="s">
        <v>728</v>
      </c>
      <c r="AS547" s="853" t="str">
        <f>+VLOOKUP($AJ547,Data_Validation!$A:$E,5,0)</f>
        <v/>
      </c>
      <c r="AT547" s="794" t="str">
        <f t="shared" ref="AT547:AU547" si="1092">C547</f>
        <v>G33030</v>
      </c>
      <c r="AU547" s="854" t="str">
        <f t="shared" si="1092"/>
        <v>AP VEH. HAWKESBURY GM</v>
      </c>
      <c r="AV547" s="794">
        <f t="array" ref="AV547">IFERROR(INDEX(V547:AG547,1,MATCH(Parametres!$B$3,V$1:AG$1,0)-1)*IF(OR(C547="L",C547="S",C547="I"),-1,1),"")</f>
        <v>0</v>
      </c>
      <c r="AW547" s="794">
        <f t="shared" si="6"/>
        <v>0</v>
      </c>
      <c r="AX547" s="794">
        <f t="array" ref="AX547">INDEX(V547:AG547,1,MATCH(Parametres!$B$3,V$1:AG$1,0))*IF(OR(C547="L",C547="S",C547="I"),-1,1)</f>
        <v>0</v>
      </c>
      <c r="AY547" s="853" t="s">
        <v>772</v>
      </c>
      <c r="AZ547" s="853" t="str">
        <f>+VLOOKUP($AJ547,Data_Validation!$A:$E,5,0)</f>
        <v/>
      </c>
    </row>
    <row r="548" ht="15.0" customHeight="1">
      <c r="A548" s="849" t="s">
        <v>1239</v>
      </c>
      <c r="B548" s="849">
        <v>2026.0</v>
      </c>
      <c r="C548" s="849" t="s">
        <v>2322</v>
      </c>
      <c r="D548" s="849" t="s">
        <v>2323</v>
      </c>
      <c r="E548" s="849" t="s">
        <v>771</v>
      </c>
      <c r="F548" s="849" t="s">
        <v>2057</v>
      </c>
      <c r="G548" s="849">
        <v>0.0</v>
      </c>
      <c r="H548" s="849">
        <v>0.0</v>
      </c>
      <c r="I548" s="849">
        <v>0.0</v>
      </c>
      <c r="J548" s="849">
        <v>0.0</v>
      </c>
      <c r="K548" s="849">
        <v>0.0</v>
      </c>
      <c r="L548" s="849">
        <v>164000.0</v>
      </c>
      <c r="M548" s="849">
        <v>0.0</v>
      </c>
      <c r="N548" s="849">
        <v>0.0</v>
      </c>
      <c r="O548" s="849">
        <v>0.0</v>
      </c>
      <c r="P548" s="849">
        <v>0.0</v>
      </c>
      <c r="Q548" s="849">
        <v>0.0</v>
      </c>
      <c r="R548" s="849">
        <v>0.0</v>
      </c>
      <c r="S548" s="849">
        <v>0.0</v>
      </c>
      <c r="T548" s="849">
        <v>0.0</v>
      </c>
      <c r="U548" s="849">
        <v>0.0</v>
      </c>
      <c r="V548" s="849">
        <v>0.0</v>
      </c>
      <c r="W548" s="849">
        <v>0.0</v>
      </c>
      <c r="X548" s="849">
        <v>0.0</v>
      </c>
      <c r="Y548" s="849">
        <v>0.0</v>
      </c>
      <c r="Z548" s="849">
        <v>0.0</v>
      </c>
      <c r="AA548" s="849">
        <v>0.0</v>
      </c>
      <c r="AB548" s="849">
        <v>0.0</v>
      </c>
      <c r="AC548" s="849">
        <v>0.0</v>
      </c>
      <c r="AD548" s="849">
        <v>0.0</v>
      </c>
      <c r="AE548" s="849">
        <v>0.0</v>
      </c>
      <c r="AF548" s="849">
        <v>0.0</v>
      </c>
      <c r="AG548" s="849">
        <v>0.0</v>
      </c>
      <c r="AH548" s="849">
        <v>0.0</v>
      </c>
      <c r="AI548" s="849">
        <v>0.0</v>
      </c>
      <c r="AJ548" s="794" t="str">
        <f t="shared" ref="AJ548:AK548" si="1093">C548</f>
        <v>G33035</v>
      </c>
      <c r="AK548" s="794" t="str">
        <f t="shared" si="1093"/>
        <v>AP VEH. BMW SHERBROOKE</v>
      </c>
      <c r="AL548" s="794">
        <f t="array" ref="AL548">IFERROR(INDEX(G548:R548,1,MATCH(Parametres!$B$3,G$1:R$1,0)-1)*IF(OR(F548="L",F548="S",F548="I"),-1,1),"")</f>
        <v>0</v>
      </c>
      <c r="AM548" s="794">
        <f t="shared" si="4"/>
        <v>0</v>
      </c>
      <c r="AN548" s="794">
        <f t="array" ref="AN548">INDEX(G548:R548,1,MATCH(Parametres!$B$3,G$1:R$1,0))*IF(OR(F548="L",F548="S",F548="I"),-1,1)</f>
        <v>0</v>
      </c>
      <c r="AO548" s="853" t="str">
        <f>+VLOOKUP($AJ548,Data_Validation!$A:$D,1,0)</f>
        <v>G33035</v>
      </c>
      <c r="AP548" s="853" t="str">
        <f>+VLOOKUP($AJ548,Data_Validation!$A:$D,3,0)</f>
        <v>Bilan</v>
      </c>
      <c r="AQ548" s="853" t="str">
        <f>+VLOOKUP($AJ548,Data_Validation!$A:$D,4,0)</f>
        <v>Payables Intercos</v>
      </c>
      <c r="AR548" s="853" t="s">
        <v>728</v>
      </c>
      <c r="AS548" s="853" t="str">
        <f>+VLOOKUP($AJ548,Data_Validation!$A:$E,5,0)</f>
        <v/>
      </c>
      <c r="AT548" s="794" t="str">
        <f t="shared" ref="AT548:AU548" si="1094">C548</f>
        <v>G33035</v>
      </c>
      <c r="AU548" s="854" t="str">
        <f t="shared" si="1094"/>
        <v>AP VEH. BMW SHERBROOKE</v>
      </c>
      <c r="AV548" s="794">
        <f t="array" ref="AV548">IFERROR(INDEX(V548:AG548,1,MATCH(Parametres!$B$3,V$1:AG$1,0)-1)*IF(OR(C548="L",C548="S",C548="I"),-1,1),"")</f>
        <v>0</v>
      </c>
      <c r="AW548" s="794">
        <f t="shared" si="6"/>
        <v>0</v>
      </c>
      <c r="AX548" s="794">
        <f t="array" ref="AX548">INDEX(V548:AG548,1,MATCH(Parametres!$B$3,V$1:AG$1,0))*IF(OR(C548="L",C548="S",C548="I"),-1,1)</f>
        <v>0</v>
      </c>
      <c r="AY548" s="853" t="s">
        <v>772</v>
      </c>
      <c r="AZ548" s="853" t="str">
        <f>+VLOOKUP($AJ548,Data_Validation!$A:$E,5,0)</f>
        <v/>
      </c>
    </row>
    <row r="549" ht="15.0" customHeight="1">
      <c r="A549" s="849" t="s">
        <v>1239</v>
      </c>
      <c r="B549" s="849">
        <v>2026.0</v>
      </c>
      <c r="C549" s="849" t="s">
        <v>2324</v>
      </c>
      <c r="D549" s="849" t="s">
        <v>2325</v>
      </c>
      <c r="E549" s="849" t="s">
        <v>771</v>
      </c>
      <c r="F549" s="849" t="s">
        <v>2057</v>
      </c>
      <c r="G549" s="849">
        <v>0.0</v>
      </c>
      <c r="H549" s="849">
        <v>0.0</v>
      </c>
      <c r="I549" s="849">
        <v>0.0</v>
      </c>
      <c r="J549" s="849">
        <v>0.0</v>
      </c>
      <c r="K549" s="849">
        <v>0.0</v>
      </c>
      <c r="L549" s="849">
        <v>0.0</v>
      </c>
      <c r="M549" s="849">
        <v>269445.07</v>
      </c>
      <c r="N549" s="849">
        <v>605146.32</v>
      </c>
      <c r="O549" s="849">
        <v>157063.2</v>
      </c>
      <c r="P549" s="849">
        <v>149109.17</v>
      </c>
      <c r="Q549" s="849">
        <v>0.0</v>
      </c>
      <c r="R549" s="849">
        <v>0.0</v>
      </c>
      <c r="S549" s="849">
        <v>0.0</v>
      </c>
      <c r="T549" s="849">
        <v>0.0</v>
      </c>
      <c r="U549" s="849">
        <v>0.0</v>
      </c>
      <c r="V549" s="849">
        <v>0.0</v>
      </c>
      <c r="W549" s="849">
        <v>0.0</v>
      </c>
      <c r="X549" s="849">
        <v>0.0</v>
      </c>
      <c r="Y549" s="849">
        <v>0.0</v>
      </c>
      <c r="Z549" s="849">
        <v>0.0</v>
      </c>
      <c r="AA549" s="849">
        <v>0.0</v>
      </c>
      <c r="AB549" s="849">
        <v>0.0</v>
      </c>
      <c r="AC549" s="849">
        <v>0.0</v>
      </c>
      <c r="AD549" s="849">
        <v>0.0</v>
      </c>
      <c r="AE549" s="849">
        <v>0.0</v>
      </c>
      <c r="AF549" s="849">
        <v>0.0</v>
      </c>
      <c r="AG549" s="849">
        <v>0.0</v>
      </c>
      <c r="AH549" s="849">
        <v>0.0</v>
      </c>
      <c r="AI549" s="849">
        <v>0.0</v>
      </c>
      <c r="AJ549" s="794" t="str">
        <f t="shared" ref="AJ549:AK549" si="1095">C549</f>
        <v>G33040</v>
      </c>
      <c r="AK549" s="794" t="str">
        <f t="shared" si="1095"/>
        <v>AP VEH. LOCATION LMB</v>
      </c>
      <c r="AL549" s="794">
        <f t="array" ref="AL549">IFERROR(INDEX(G549:R549,1,MATCH(Parametres!$B$3,G$1:R$1,0)-1)*IF(OR(F549="L",F549="S",F549="I"),-1,1),"")</f>
        <v>-605146.32</v>
      </c>
      <c r="AM549" s="794">
        <f t="shared" si="4"/>
        <v>448083.12</v>
      </c>
      <c r="AN549" s="794">
        <f t="array" ref="AN549">INDEX(G549:R549,1,MATCH(Parametres!$B$3,G$1:R$1,0))*IF(OR(F549="L",F549="S",F549="I"),-1,1)</f>
        <v>-157063.2</v>
      </c>
      <c r="AO549" s="853" t="str">
        <f>+VLOOKUP($AJ549,Data_Validation!$A:$D,1,0)</f>
        <v>G33040</v>
      </c>
      <c r="AP549" s="853" t="str">
        <f>+VLOOKUP($AJ549,Data_Validation!$A:$D,3,0)</f>
        <v>Bilan</v>
      </c>
      <c r="AQ549" s="853" t="str">
        <f>+VLOOKUP($AJ549,Data_Validation!$A:$D,4,0)</f>
        <v>Payables Intercos</v>
      </c>
      <c r="AR549" s="853" t="s">
        <v>728</v>
      </c>
      <c r="AS549" s="853" t="str">
        <f>+VLOOKUP($AJ549,Data_Validation!$A:$E,5,0)</f>
        <v/>
      </c>
      <c r="AT549" s="794" t="str">
        <f t="shared" ref="AT549:AU549" si="1096">C549</f>
        <v>G33040</v>
      </c>
      <c r="AU549" s="854" t="str">
        <f t="shared" si="1096"/>
        <v>AP VEH. LOCATION LMB</v>
      </c>
      <c r="AV549" s="794">
        <f t="array" ref="AV549">IFERROR(INDEX(V549:AG549,1,MATCH(Parametres!$B$3,V$1:AG$1,0)-1)*IF(OR(C549="L",C549="S",C549="I"),-1,1),"")</f>
        <v>0</v>
      </c>
      <c r="AW549" s="794">
        <f t="shared" si="6"/>
        <v>0</v>
      </c>
      <c r="AX549" s="794">
        <f t="array" ref="AX549">INDEX(V549:AG549,1,MATCH(Parametres!$B$3,V$1:AG$1,0))*IF(OR(C549="L",C549="S",C549="I"),-1,1)</f>
        <v>0</v>
      </c>
      <c r="AY549" s="853" t="s">
        <v>772</v>
      </c>
      <c r="AZ549" s="853" t="str">
        <f>+VLOOKUP($AJ549,Data_Validation!$A:$E,5,0)</f>
        <v/>
      </c>
    </row>
    <row r="550" ht="15.0" customHeight="1">
      <c r="A550" s="849" t="s">
        <v>1239</v>
      </c>
      <c r="B550" s="849">
        <v>2026.0</v>
      </c>
      <c r="C550" s="849" t="s">
        <v>2326</v>
      </c>
      <c r="D550" s="849" t="s">
        <v>2327</v>
      </c>
      <c r="E550" s="849" t="s">
        <v>771</v>
      </c>
      <c r="F550" s="849" t="s">
        <v>2057</v>
      </c>
      <c r="G550" s="849">
        <v>0.0</v>
      </c>
      <c r="H550" s="849">
        <v>0.0</v>
      </c>
      <c r="I550" s="849">
        <v>0.0</v>
      </c>
      <c r="J550" s="849">
        <v>0.0</v>
      </c>
      <c r="K550" s="849">
        <v>0.0</v>
      </c>
      <c r="L550" s="849">
        <v>42500.0</v>
      </c>
      <c r="M550" s="849">
        <v>0.0</v>
      </c>
      <c r="N550" s="849">
        <v>0.0</v>
      </c>
      <c r="O550" s="849">
        <v>0.0</v>
      </c>
      <c r="P550" s="849">
        <v>0.0</v>
      </c>
      <c r="Q550" s="849">
        <v>0.0</v>
      </c>
      <c r="R550" s="849">
        <v>0.0</v>
      </c>
      <c r="S550" s="849">
        <v>0.0</v>
      </c>
      <c r="T550" s="849">
        <v>0.0</v>
      </c>
      <c r="U550" s="849">
        <v>0.0</v>
      </c>
      <c r="V550" s="849">
        <v>0.0</v>
      </c>
      <c r="W550" s="849">
        <v>0.0</v>
      </c>
      <c r="X550" s="849">
        <v>0.0</v>
      </c>
      <c r="Y550" s="849">
        <v>0.0</v>
      </c>
      <c r="Z550" s="849">
        <v>0.0</v>
      </c>
      <c r="AA550" s="849">
        <v>0.0</v>
      </c>
      <c r="AB550" s="849">
        <v>0.0</v>
      </c>
      <c r="AC550" s="849">
        <v>0.0</v>
      </c>
      <c r="AD550" s="849">
        <v>0.0</v>
      </c>
      <c r="AE550" s="849">
        <v>0.0</v>
      </c>
      <c r="AF550" s="849">
        <v>0.0</v>
      </c>
      <c r="AG550" s="849">
        <v>0.0</v>
      </c>
      <c r="AH550" s="849">
        <v>0.0</v>
      </c>
      <c r="AI550" s="849">
        <v>0.0</v>
      </c>
      <c r="AJ550" s="794" t="str">
        <f t="shared" ref="AJ550:AK550" si="1097">C550</f>
        <v>G33045</v>
      </c>
      <c r="AK550" s="794" t="str">
        <f t="shared" si="1097"/>
        <v>AP VEH. VOLKS BROSSARD</v>
      </c>
      <c r="AL550" s="794">
        <f t="array" ref="AL550">IFERROR(INDEX(G550:R550,1,MATCH(Parametres!$B$3,G$1:R$1,0)-1)*IF(OR(F550="L",F550="S",F550="I"),-1,1),"")</f>
        <v>0</v>
      </c>
      <c r="AM550" s="794">
        <f t="shared" si="4"/>
        <v>0</v>
      </c>
      <c r="AN550" s="794">
        <f t="array" ref="AN550">INDEX(G550:R550,1,MATCH(Parametres!$B$3,G$1:R$1,0))*IF(OR(F550="L",F550="S",F550="I"),-1,1)</f>
        <v>0</v>
      </c>
      <c r="AO550" s="853" t="str">
        <f>+VLOOKUP($AJ550,Data_Validation!$A:$D,1,0)</f>
        <v>G33045</v>
      </c>
      <c r="AP550" s="853" t="str">
        <f>+VLOOKUP($AJ550,Data_Validation!$A:$D,3,0)</f>
        <v>Bilan</v>
      </c>
      <c r="AQ550" s="853" t="str">
        <f>+VLOOKUP($AJ550,Data_Validation!$A:$D,4,0)</f>
        <v>Payables Intercos</v>
      </c>
      <c r="AR550" s="853" t="s">
        <v>728</v>
      </c>
      <c r="AS550" s="853" t="str">
        <f>+VLOOKUP($AJ550,Data_Validation!$A:$E,5,0)</f>
        <v/>
      </c>
      <c r="AT550" s="794" t="str">
        <f t="shared" ref="AT550:AU550" si="1098">C550</f>
        <v>G33045</v>
      </c>
      <c r="AU550" s="854" t="str">
        <f t="shared" si="1098"/>
        <v>AP VEH. VOLKS BROSSARD</v>
      </c>
      <c r="AV550" s="794">
        <f t="array" ref="AV550">IFERROR(INDEX(V550:AG550,1,MATCH(Parametres!$B$3,V$1:AG$1,0)-1)*IF(OR(C550="L",C550="S",C550="I"),-1,1),"")</f>
        <v>0</v>
      </c>
      <c r="AW550" s="794">
        <f t="shared" si="6"/>
        <v>0</v>
      </c>
      <c r="AX550" s="794">
        <f t="array" ref="AX550">INDEX(V550:AG550,1,MATCH(Parametres!$B$3,V$1:AG$1,0))*IF(OR(C550="L",C550="S",C550="I"),-1,1)</f>
        <v>0</v>
      </c>
      <c r="AY550" s="853" t="s">
        <v>772</v>
      </c>
      <c r="AZ550" s="853" t="str">
        <f>+VLOOKUP($AJ550,Data_Validation!$A:$E,5,0)</f>
        <v/>
      </c>
    </row>
    <row r="551" ht="15.0" customHeight="1">
      <c r="A551" s="849" t="s">
        <v>1239</v>
      </c>
      <c r="B551" s="849">
        <v>2026.0</v>
      </c>
      <c r="C551" s="849" t="s">
        <v>2328</v>
      </c>
      <c r="D551" s="849" t="s">
        <v>2329</v>
      </c>
      <c r="E551" s="849" t="s">
        <v>771</v>
      </c>
      <c r="F551" s="849" t="s">
        <v>2057</v>
      </c>
      <c r="G551" s="849">
        <v>0.0</v>
      </c>
      <c r="H551" s="849">
        <v>0.0</v>
      </c>
      <c r="I551" s="849">
        <v>0.0</v>
      </c>
      <c r="J551" s="849">
        <v>0.0</v>
      </c>
      <c r="K551" s="849">
        <v>0.0</v>
      </c>
      <c r="L551" s="849">
        <v>0.0</v>
      </c>
      <c r="M551" s="849">
        <v>0.0</v>
      </c>
      <c r="N551" s="849">
        <v>0.0</v>
      </c>
      <c r="O551" s="849">
        <v>0.0</v>
      </c>
      <c r="P551" s="849">
        <v>0.0</v>
      </c>
      <c r="Q551" s="849">
        <v>0.0</v>
      </c>
      <c r="R551" s="849">
        <v>0.0</v>
      </c>
      <c r="S551" s="849">
        <v>0.0</v>
      </c>
      <c r="T551" s="849">
        <v>0.0</v>
      </c>
      <c r="U551" s="849">
        <v>0.0</v>
      </c>
      <c r="V551" s="849">
        <v>0.0</v>
      </c>
      <c r="W551" s="849">
        <v>0.0</v>
      </c>
      <c r="X551" s="849">
        <v>0.0</v>
      </c>
      <c r="Y551" s="849">
        <v>0.0</v>
      </c>
      <c r="Z551" s="849">
        <v>0.0</v>
      </c>
      <c r="AA551" s="849">
        <v>0.0</v>
      </c>
      <c r="AB551" s="849">
        <v>0.0</v>
      </c>
      <c r="AC551" s="849">
        <v>0.0</v>
      </c>
      <c r="AD551" s="849">
        <v>0.0</v>
      </c>
      <c r="AE551" s="849">
        <v>0.0</v>
      </c>
      <c r="AF551" s="849">
        <v>0.0</v>
      </c>
      <c r="AG551" s="849">
        <v>0.0</v>
      </c>
      <c r="AH551" s="849">
        <v>0.0</v>
      </c>
      <c r="AI551" s="849">
        <v>0.0</v>
      </c>
      <c r="AJ551" s="794" t="str">
        <f t="shared" ref="AJ551:AK551" si="1099">C551</f>
        <v>G33050</v>
      </c>
      <c r="AK551" s="794" t="str">
        <f t="shared" si="1099"/>
        <v>AP VEH. LONGUEUIL HUYNDAI</v>
      </c>
      <c r="AL551" s="794">
        <f t="array" ref="AL551">IFERROR(INDEX(G551:R551,1,MATCH(Parametres!$B$3,G$1:R$1,0)-1)*IF(OR(F551="L",F551="S",F551="I"),-1,1),"")</f>
        <v>0</v>
      </c>
      <c r="AM551" s="794">
        <f t="shared" si="4"/>
        <v>0</v>
      </c>
      <c r="AN551" s="794">
        <f t="array" ref="AN551">INDEX(G551:R551,1,MATCH(Parametres!$B$3,G$1:R$1,0))*IF(OR(F551="L",F551="S",F551="I"),-1,1)</f>
        <v>0</v>
      </c>
      <c r="AO551" s="853" t="str">
        <f>+VLOOKUP($AJ551,Data_Validation!$A:$D,1,0)</f>
        <v>G33050</v>
      </c>
      <c r="AP551" s="853" t="str">
        <f>+VLOOKUP($AJ551,Data_Validation!$A:$D,3,0)</f>
        <v>Bilan</v>
      </c>
      <c r="AQ551" s="853" t="str">
        <f>+VLOOKUP($AJ551,Data_Validation!$A:$D,4,0)</f>
        <v>Payables Intercos</v>
      </c>
      <c r="AR551" s="853" t="s">
        <v>728</v>
      </c>
      <c r="AS551" s="853" t="str">
        <f>+VLOOKUP($AJ551,Data_Validation!$A:$E,5,0)</f>
        <v/>
      </c>
      <c r="AT551" s="794" t="str">
        <f t="shared" ref="AT551:AU551" si="1100">C551</f>
        <v>G33050</v>
      </c>
      <c r="AU551" s="854" t="str">
        <f t="shared" si="1100"/>
        <v>AP VEH. LONGUEUIL HUYNDAI</v>
      </c>
      <c r="AV551" s="794">
        <f t="array" ref="AV551">IFERROR(INDEX(V551:AG551,1,MATCH(Parametres!$B$3,V$1:AG$1,0)-1)*IF(OR(C551="L",C551="S",C551="I"),-1,1),"")</f>
        <v>0</v>
      </c>
      <c r="AW551" s="794">
        <f t="shared" si="6"/>
        <v>0</v>
      </c>
      <c r="AX551" s="794">
        <f t="array" ref="AX551">INDEX(V551:AG551,1,MATCH(Parametres!$B$3,V$1:AG$1,0))*IF(OR(C551="L",C551="S",C551="I"),-1,1)</f>
        <v>0</v>
      </c>
      <c r="AY551" s="853" t="s">
        <v>772</v>
      </c>
      <c r="AZ551" s="853" t="str">
        <f>+VLOOKUP($AJ551,Data_Validation!$A:$E,5,0)</f>
        <v/>
      </c>
    </row>
    <row r="552" ht="15.0" customHeight="1">
      <c r="A552" s="849" t="s">
        <v>1239</v>
      </c>
      <c r="B552" s="849">
        <v>2026.0</v>
      </c>
      <c r="C552" s="849" t="s">
        <v>2330</v>
      </c>
      <c r="D552" s="849" t="s">
        <v>2331</v>
      </c>
      <c r="E552" s="849" t="s">
        <v>1959</v>
      </c>
      <c r="F552" s="849" t="s">
        <v>2057</v>
      </c>
      <c r="G552" s="849">
        <v>4700.85</v>
      </c>
      <c r="H552" s="849">
        <v>6127.32</v>
      </c>
      <c r="I552" s="849">
        <v>312.14</v>
      </c>
      <c r="J552" s="849">
        <v>4525.93</v>
      </c>
      <c r="K552" s="849">
        <v>7740.16</v>
      </c>
      <c r="L552" s="849">
        <v>9222.64</v>
      </c>
      <c r="M552" s="849">
        <v>7659.56</v>
      </c>
      <c r="N552" s="849">
        <v>10943.55</v>
      </c>
      <c r="O552" s="849">
        <v>14095.05</v>
      </c>
      <c r="P552" s="849">
        <v>8929.79</v>
      </c>
      <c r="Q552" s="849">
        <v>0.0</v>
      </c>
      <c r="R552" s="849">
        <v>0.0</v>
      </c>
      <c r="S552" s="849">
        <v>0.0</v>
      </c>
      <c r="T552" s="849">
        <v>0.0</v>
      </c>
      <c r="U552" s="849">
        <v>0.0</v>
      </c>
      <c r="V552" s="849">
        <v>0.0</v>
      </c>
      <c r="W552" s="849">
        <v>0.0</v>
      </c>
      <c r="X552" s="849">
        <v>0.0</v>
      </c>
      <c r="Y552" s="849">
        <v>0.0</v>
      </c>
      <c r="Z552" s="849">
        <v>0.0</v>
      </c>
      <c r="AA552" s="849">
        <v>0.0</v>
      </c>
      <c r="AB552" s="849">
        <v>0.0</v>
      </c>
      <c r="AC552" s="849">
        <v>0.0</v>
      </c>
      <c r="AD552" s="849">
        <v>0.0</v>
      </c>
      <c r="AE552" s="849">
        <v>0.0</v>
      </c>
      <c r="AF552" s="849">
        <v>0.0</v>
      </c>
      <c r="AG552" s="849">
        <v>0.0</v>
      </c>
      <c r="AH552" s="849">
        <v>0.0</v>
      </c>
      <c r="AI552" s="849">
        <v>0.0</v>
      </c>
      <c r="AJ552" s="794" t="str">
        <f t="shared" ref="AJ552:AK552" si="1101">C552</f>
        <v>G33100</v>
      </c>
      <c r="AK552" s="794" t="str">
        <f t="shared" si="1101"/>
        <v>ACC VENDU NON INSTALLE</v>
      </c>
      <c r="AL552" s="794">
        <f t="array" ref="AL552">IFERROR(INDEX(G552:R552,1,MATCH(Parametres!$B$3,G$1:R$1,0)-1)*IF(OR(F552="L",F552="S",F552="I"),-1,1),"")</f>
        <v>-10943.55</v>
      </c>
      <c r="AM552" s="794">
        <f t="shared" si="4"/>
        <v>-3151.5</v>
      </c>
      <c r="AN552" s="794">
        <f t="array" ref="AN552">INDEX(G552:R552,1,MATCH(Parametres!$B$3,G$1:R$1,0))*IF(OR(F552="L",F552="S",F552="I"),-1,1)</f>
        <v>-14095.05</v>
      </c>
      <c r="AO552" s="853" t="str">
        <f>+VLOOKUP($AJ552,Data_Validation!$A:$D,1,0)</f>
        <v>G33100</v>
      </c>
      <c r="AP552" s="853" t="str">
        <f>+VLOOKUP($AJ552,Data_Validation!$A:$D,3,0)</f>
        <v>Bilan</v>
      </c>
      <c r="AQ552" s="853" t="str">
        <f>+VLOOKUP($AJ552,Data_Validation!$A:$D,4,0)</f>
        <v>Autres Courus</v>
      </c>
      <c r="AR552" s="853" t="s">
        <v>728</v>
      </c>
      <c r="AS552" s="853" t="str">
        <f>+VLOOKUP($AJ552,Data_Validation!$A:$E,5,0)</f>
        <v/>
      </c>
      <c r="AT552" s="794" t="str">
        <f t="shared" ref="AT552:AU552" si="1102">C552</f>
        <v>G33100</v>
      </c>
      <c r="AU552" s="854" t="str">
        <f t="shared" si="1102"/>
        <v>ACC VENDU NON INSTALLE</v>
      </c>
      <c r="AV552" s="794">
        <f t="array" ref="AV552">IFERROR(INDEX(V552:AG552,1,MATCH(Parametres!$B$3,V$1:AG$1,0)-1)*IF(OR(C552="L",C552="S",C552="I"),-1,1),"")</f>
        <v>0</v>
      </c>
      <c r="AW552" s="794">
        <f t="shared" si="6"/>
        <v>0</v>
      </c>
      <c r="AX552" s="794">
        <f t="array" ref="AX552">INDEX(V552:AG552,1,MATCH(Parametres!$B$3,V$1:AG$1,0))*IF(OR(C552="L",C552="S",C552="I"),-1,1)</f>
        <v>0</v>
      </c>
      <c r="AY552" s="853" t="s">
        <v>772</v>
      </c>
      <c r="AZ552" s="853" t="str">
        <f>+VLOOKUP($AJ552,Data_Validation!$A:$E,5,0)</f>
        <v/>
      </c>
    </row>
    <row r="553" ht="15.0" customHeight="1">
      <c r="A553" s="849" t="s">
        <v>1239</v>
      </c>
      <c r="B553" s="849">
        <v>2026.0</v>
      </c>
      <c r="C553" s="849" t="s">
        <v>2332</v>
      </c>
      <c r="D553" s="849" t="s">
        <v>2333</v>
      </c>
      <c r="E553" s="849" t="s">
        <v>768</v>
      </c>
      <c r="F553" s="849" t="s">
        <v>2057</v>
      </c>
      <c r="G553" s="849">
        <v>0.0</v>
      </c>
      <c r="H553" s="849">
        <v>0.0</v>
      </c>
      <c r="I553" s="849">
        <v>0.0</v>
      </c>
      <c r="J553" s="849">
        <v>0.0</v>
      </c>
      <c r="K553" s="849">
        <v>0.0</v>
      </c>
      <c r="L553" s="849">
        <v>0.0</v>
      </c>
      <c r="M553" s="849">
        <v>0.0</v>
      </c>
      <c r="N553" s="849">
        <v>0.0</v>
      </c>
      <c r="O553" s="849">
        <v>0.0</v>
      </c>
      <c r="P553" s="849">
        <v>0.0</v>
      </c>
      <c r="Q553" s="849">
        <v>0.0</v>
      </c>
      <c r="R553" s="849">
        <v>0.0</v>
      </c>
      <c r="S553" s="849">
        <v>0.0</v>
      </c>
      <c r="T553" s="849">
        <v>0.0</v>
      </c>
      <c r="U553" s="849">
        <v>0.0</v>
      </c>
      <c r="V553" s="849">
        <v>0.0</v>
      </c>
      <c r="W553" s="849">
        <v>0.0</v>
      </c>
      <c r="X553" s="849">
        <v>0.0</v>
      </c>
      <c r="Y553" s="849">
        <v>0.0</v>
      </c>
      <c r="Z553" s="849">
        <v>0.0</v>
      </c>
      <c r="AA553" s="849">
        <v>0.0</v>
      </c>
      <c r="AB553" s="849">
        <v>0.0</v>
      </c>
      <c r="AC553" s="849">
        <v>0.0</v>
      </c>
      <c r="AD553" s="849">
        <v>0.0</v>
      </c>
      <c r="AE553" s="849">
        <v>0.0</v>
      </c>
      <c r="AF553" s="849">
        <v>0.0</v>
      </c>
      <c r="AG553" s="849">
        <v>0.0</v>
      </c>
      <c r="AH553" s="849">
        <v>0.0</v>
      </c>
      <c r="AI553" s="849">
        <v>0.0</v>
      </c>
      <c r="AJ553" s="794" t="str">
        <f t="shared" ref="AJ553:AK553" si="1103">C553</f>
        <v>G33101</v>
      </c>
      <c r="AK553" s="794" t="str">
        <f t="shared" si="1103"/>
        <v>PROVISION PUBLICITE</v>
      </c>
      <c r="AL553" s="794">
        <f t="array" ref="AL553">IFERROR(INDEX(G553:R553,1,MATCH(Parametres!$B$3,G$1:R$1,0)-1)*IF(OR(F553="L",F553="S",F553="I"),-1,1),"")</f>
        <v>0</v>
      </c>
      <c r="AM553" s="794">
        <f t="shared" si="4"/>
        <v>0</v>
      </c>
      <c r="AN553" s="794">
        <f t="array" ref="AN553">INDEX(G553:R553,1,MATCH(Parametres!$B$3,G$1:R$1,0))*IF(OR(F553="L",F553="S",F553="I"),-1,1)</f>
        <v>0</v>
      </c>
      <c r="AO553" s="853" t="str">
        <f>+VLOOKUP($AJ553,Data_Validation!$A:$D,1,0)</f>
        <v>G33101</v>
      </c>
      <c r="AP553" s="853" t="str">
        <f>+VLOOKUP($AJ553,Data_Validation!$A:$D,3,0)</f>
        <v>Bilan</v>
      </c>
      <c r="AQ553" s="853" t="str">
        <f>+VLOOKUP($AJ553,Data_Validation!$A:$D,4,0)</f>
        <v>Autres Courus</v>
      </c>
      <c r="AR553" s="853" t="s">
        <v>728</v>
      </c>
      <c r="AS553" s="853" t="str">
        <f>+VLOOKUP($AJ553,Data_Validation!$A:$E,5,0)</f>
        <v/>
      </c>
      <c r="AT553" s="794" t="str">
        <f t="shared" ref="AT553:AU553" si="1104">C553</f>
        <v>G33101</v>
      </c>
      <c r="AU553" s="854" t="str">
        <f t="shared" si="1104"/>
        <v>PROVISION PUBLICITE</v>
      </c>
      <c r="AV553" s="794">
        <f t="array" ref="AV553">IFERROR(INDEX(V553:AG553,1,MATCH(Parametres!$B$3,V$1:AG$1,0)-1)*IF(OR(C553="L",C553="S",C553="I"),-1,1),"")</f>
        <v>0</v>
      </c>
      <c r="AW553" s="794">
        <f t="shared" si="6"/>
        <v>0</v>
      </c>
      <c r="AX553" s="794">
        <f t="array" ref="AX553">INDEX(V553:AG553,1,MATCH(Parametres!$B$3,V$1:AG$1,0))*IF(OR(C553="L",C553="S",C553="I"),-1,1)</f>
        <v>0</v>
      </c>
      <c r="AY553" s="853" t="s">
        <v>772</v>
      </c>
      <c r="AZ553" s="853" t="str">
        <f>+VLOOKUP($AJ553,Data_Validation!$A:$E,5,0)</f>
        <v/>
      </c>
    </row>
    <row r="554" ht="15.0" customHeight="1">
      <c r="A554" s="849" t="s">
        <v>1239</v>
      </c>
      <c r="B554" s="849">
        <v>2026.0</v>
      </c>
      <c r="C554" s="849" t="s">
        <v>2334</v>
      </c>
      <c r="D554" s="849" t="s">
        <v>2335</v>
      </c>
      <c r="E554" s="849" t="s">
        <v>768</v>
      </c>
      <c r="F554" s="849" t="s">
        <v>2057</v>
      </c>
      <c r="G554" s="849">
        <v>258113.68</v>
      </c>
      <c r="H554" s="849">
        <v>276039.8</v>
      </c>
      <c r="I554" s="849">
        <v>276197.55</v>
      </c>
      <c r="J554" s="849">
        <v>282895.93</v>
      </c>
      <c r="K554" s="849">
        <v>273009.69</v>
      </c>
      <c r="L554" s="849">
        <v>275839.29</v>
      </c>
      <c r="M554" s="849">
        <v>193376.23</v>
      </c>
      <c r="N554" s="849">
        <v>188843.4</v>
      </c>
      <c r="O554" s="849">
        <v>188743.58</v>
      </c>
      <c r="P554" s="849">
        <v>182690.6</v>
      </c>
      <c r="Q554" s="849">
        <v>0.0</v>
      </c>
      <c r="R554" s="849">
        <v>0.0</v>
      </c>
      <c r="S554" s="849">
        <v>0.0</v>
      </c>
      <c r="T554" s="849">
        <v>0.0</v>
      </c>
      <c r="U554" s="849">
        <v>0.0</v>
      </c>
      <c r="V554" s="849">
        <v>0.0</v>
      </c>
      <c r="W554" s="849">
        <v>0.0</v>
      </c>
      <c r="X554" s="849">
        <v>0.0</v>
      </c>
      <c r="Y554" s="849">
        <v>0.0</v>
      </c>
      <c r="Z554" s="849">
        <v>0.0</v>
      </c>
      <c r="AA554" s="849">
        <v>0.0</v>
      </c>
      <c r="AB554" s="849">
        <v>0.0</v>
      </c>
      <c r="AC554" s="849">
        <v>0.0</v>
      </c>
      <c r="AD554" s="849">
        <v>0.0</v>
      </c>
      <c r="AE554" s="849">
        <v>0.0</v>
      </c>
      <c r="AF554" s="849">
        <v>0.0</v>
      </c>
      <c r="AG554" s="849">
        <v>0.0</v>
      </c>
      <c r="AH554" s="849">
        <v>0.0</v>
      </c>
      <c r="AI554" s="849">
        <v>0.0</v>
      </c>
      <c r="AJ554" s="794" t="str">
        <f t="shared" ref="AJ554:AK554" si="1105">C554</f>
        <v>G33102</v>
      </c>
      <c r="AK554" s="794" t="str">
        <f t="shared" si="1105"/>
        <v>PROVISIONS POUR VACANCES</v>
      </c>
      <c r="AL554" s="794">
        <f t="array" ref="AL554">IFERROR(INDEX(G554:R554,1,MATCH(Parametres!$B$3,G$1:R$1,0)-1)*IF(OR(F554="L",F554="S",F554="I"),-1,1),"")</f>
        <v>-188843.4</v>
      </c>
      <c r="AM554" s="794">
        <f t="shared" si="4"/>
        <v>99.82</v>
      </c>
      <c r="AN554" s="794">
        <f t="array" ref="AN554">INDEX(G554:R554,1,MATCH(Parametres!$B$3,G$1:R$1,0))*IF(OR(F554="L",F554="S",F554="I"),-1,1)</f>
        <v>-188743.58</v>
      </c>
      <c r="AO554" s="853" t="str">
        <f>+VLOOKUP($AJ554,Data_Validation!$A:$D,1,0)</f>
        <v>G33102</v>
      </c>
      <c r="AP554" s="853" t="str">
        <f>+VLOOKUP($AJ554,Data_Validation!$A:$D,3,0)</f>
        <v>Bilan</v>
      </c>
      <c r="AQ554" s="853" t="str">
        <f>+VLOOKUP($AJ554,Data_Validation!$A:$D,4,0)</f>
        <v>Salaires à Payer</v>
      </c>
      <c r="AR554" s="853" t="s">
        <v>728</v>
      </c>
      <c r="AS554" s="853" t="str">
        <f>+VLOOKUP($AJ554,Data_Validation!$A:$E,5,0)</f>
        <v/>
      </c>
      <c r="AT554" s="794" t="str">
        <f t="shared" ref="AT554:AU554" si="1106">C554</f>
        <v>G33102</v>
      </c>
      <c r="AU554" s="854" t="str">
        <f t="shared" si="1106"/>
        <v>PROVISIONS POUR VACANCES</v>
      </c>
      <c r="AV554" s="794">
        <f t="array" ref="AV554">IFERROR(INDEX(V554:AG554,1,MATCH(Parametres!$B$3,V$1:AG$1,0)-1)*IF(OR(C554="L",C554="S",C554="I"),-1,1),"")</f>
        <v>0</v>
      </c>
      <c r="AW554" s="794">
        <f t="shared" si="6"/>
        <v>0</v>
      </c>
      <c r="AX554" s="794">
        <f t="array" ref="AX554">INDEX(V554:AG554,1,MATCH(Parametres!$B$3,V$1:AG$1,0))*IF(OR(C554="L",C554="S",C554="I"),-1,1)</f>
        <v>0</v>
      </c>
      <c r="AY554" s="853" t="s">
        <v>772</v>
      </c>
      <c r="AZ554" s="853" t="str">
        <f>+VLOOKUP($AJ554,Data_Validation!$A:$E,5,0)</f>
        <v/>
      </c>
    </row>
    <row r="555" ht="15.0" customHeight="1">
      <c r="A555" s="849" t="s">
        <v>1239</v>
      </c>
      <c r="B555" s="849">
        <v>2026.0</v>
      </c>
      <c r="C555" s="849" t="s">
        <v>2336</v>
      </c>
      <c r="D555" s="849" t="s">
        <v>2337</v>
      </c>
      <c r="E555" s="849" t="s">
        <v>771</v>
      </c>
      <c r="F555" s="849" t="s">
        <v>2057</v>
      </c>
      <c r="G555" s="849">
        <v>0.0</v>
      </c>
      <c r="H555" s="849">
        <v>900.0</v>
      </c>
      <c r="I555" s="849">
        <v>7000.0</v>
      </c>
      <c r="J555" s="849">
        <v>4068.52</v>
      </c>
      <c r="K555" s="849">
        <v>9993.52</v>
      </c>
      <c r="L555" s="849">
        <v>12361.57</v>
      </c>
      <c r="M555" s="849">
        <v>26665.25</v>
      </c>
      <c r="N555" s="849">
        <v>55110.42</v>
      </c>
      <c r="O555" s="849">
        <v>15937.74</v>
      </c>
      <c r="P555" s="849">
        <v>15937.74</v>
      </c>
      <c r="Q555" s="849">
        <v>0.0</v>
      </c>
      <c r="R555" s="849">
        <v>0.0</v>
      </c>
      <c r="S555" s="849">
        <v>0.0</v>
      </c>
      <c r="T555" s="849">
        <v>0.0</v>
      </c>
      <c r="U555" s="849">
        <v>0.0</v>
      </c>
      <c r="V555" s="849">
        <v>0.0</v>
      </c>
      <c r="W555" s="849">
        <v>0.0</v>
      </c>
      <c r="X555" s="849">
        <v>0.0</v>
      </c>
      <c r="Y555" s="849">
        <v>0.0</v>
      </c>
      <c r="Z555" s="849">
        <v>0.0</v>
      </c>
      <c r="AA555" s="849">
        <v>0.0</v>
      </c>
      <c r="AB555" s="849">
        <v>0.0</v>
      </c>
      <c r="AC555" s="849">
        <v>0.0</v>
      </c>
      <c r="AD555" s="849">
        <v>0.0</v>
      </c>
      <c r="AE555" s="849">
        <v>0.0</v>
      </c>
      <c r="AF555" s="849">
        <v>0.0</v>
      </c>
      <c r="AG555" s="849">
        <v>0.0</v>
      </c>
      <c r="AH555" s="849">
        <v>0.0</v>
      </c>
      <c r="AI555" s="849">
        <v>0.0</v>
      </c>
      <c r="AJ555" s="794" t="str">
        <f t="shared" ref="AJ555:AK555" si="1107">C555</f>
        <v>G33103</v>
      </c>
      <c r="AK555" s="794" t="str">
        <f t="shared" si="1107"/>
        <v>ACCESOIRES USA</v>
      </c>
      <c r="AL555" s="794">
        <f t="array" ref="AL555">IFERROR(INDEX(G555:R555,1,MATCH(Parametres!$B$3,G$1:R$1,0)-1)*IF(OR(F555="L",F555="S",F555="I"),-1,1),"")</f>
        <v>-55110.42</v>
      </c>
      <c r="AM555" s="794">
        <f t="shared" si="4"/>
        <v>39172.68</v>
      </c>
      <c r="AN555" s="794">
        <f t="array" ref="AN555">INDEX(G555:R555,1,MATCH(Parametres!$B$3,G$1:R$1,0))*IF(OR(F555="L",F555="S",F555="I"),-1,1)</f>
        <v>-15937.74</v>
      </c>
      <c r="AO555" s="853" t="str">
        <f>+VLOOKUP($AJ555,Data_Validation!$A:$D,1,0)</f>
        <v>G33103</v>
      </c>
      <c r="AP555" s="853" t="str">
        <f>+VLOOKUP($AJ555,Data_Validation!$A:$D,3,0)</f>
        <v>Bilan</v>
      </c>
      <c r="AQ555" s="853" t="str">
        <f>+VLOOKUP($AJ555,Data_Validation!$A:$D,4,0)</f>
        <v>Autres Courus</v>
      </c>
      <c r="AR555" s="853" t="s">
        <v>728</v>
      </c>
      <c r="AS555" s="853" t="str">
        <f>+VLOOKUP($AJ555,Data_Validation!$A:$E,5,0)</f>
        <v/>
      </c>
      <c r="AT555" s="794" t="str">
        <f t="shared" ref="AT555:AU555" si="1108">C555</f>
        <v>G33103</v>
      </c>
      <c r="AU555" s="854" t="str">
        <f t="shared" si="1108"/>
        <v>ACCESOIRES USA</v>
      </c>
      <c r="AV555" s="794">
        <f t="array" ref="AV555">IFERROR(INDEX(V555:AG555,1,MATCH(Parametres!$B$3,V$1:AG$1,0)-1)*IF(OR(C555="L",C555="S",C555="I"),-1,1),"")</f>
        <v>0</v>
      </c>
      <c r="AW555" s="794">
        <f t="shared" si="6"/>
        <v>0</v>
      </c>
      <c r="AX555" s="794">
        <f t="array" ref="AX555">INDEX(V555:AG555,1,MATCH(Parametres!$B$3,V$1:AG$1,0))*IF(OR(C555="L",C555="S",C555="I"),-1,1)</f>
        <v>0</v>
      </c>
      <c r="AY555" s="853" t="s">
        <v>772</v>
      </c>
      <c r="AZ555" s="853" t="str">
        <f>+VLOOKUP($AJ555,Data_Validation!$A:$E,5,0)</f>
        <v/>
      </c>
    </row>
    <row r="556" ht="15.0" customHeight="1">
      <c r="A556" s="849" t="s">
        <v>1239</v>
      </c>
      <c r="B556" s="849">
        <v>2026.0</v>
      </c>
      <c r="C556" s="849" t="s">
        <v>2338</v>
      </c>
      <c r="D556" s="849" t="s">
        <v>2339</v>
      </c>
      <c r="E556" s="849" t="s">
        <v>1959</v>
      </c>
      <c r="F556" s="849" t="s">
        <v>2057</v>
      </c>
      <c r="G556" s="849">
        <v>11405.0</v>
      </c>
      <c r="H556" s="849">
        <v>14155.0</v>
      </c>
      <c r="I556" s="849">
        <v>16155.0</v>
      </c>
      <c r="J556" s="849">
        <v>17655.0</v>
      </c>
      <c r="K556" s="849">
        <v>18155.0</v>
      </c>
      <c r="L556" s="849">
        <v>18155.0</v>
      </c>
      <c r="M556" s="849">
        <v>18155.0</v>
      </c>
      <c r="N556" s="849">
        <v>18155.0</v>
      </c>
      <c r="O556" s="849">
        <v>18155.0</v>
      </c>
      <c r="P556" s="849">
        <v>18155.0</v>
      </c>
      <c r="Q556" s="849">
        <v>0.0</v>
      </c>
      <c r="R556" s="849">
        <v>0.0</v>
      </c>
      <c r="S556" s="849">
        <v>0.0</v>
      </c>
      <c r="T556" s="849">
        <v>0.0</v>
      </c>
      <c r="U556" s="849">
        <v>0.0</v>
      </c>
      <c r="V556" s="849">
        <v>0.0</v>
      </c>
      <c r="W556" s="849">
        <v>0.0</v>
      </c>
      <c r="X556" s="849">
        <v>0.0</v>
      </c>
      <c r="Y556" s="849">
        <v>0.0</v>
      </c>
      <c r="Z556" s="849">
        <v>0.0</v>
      </c>
      <c r="AA556" s="849">
        <v>0.0</v>
      </c>
      <c r="AB556" s="849">
        <v>0.0</v>
      </c>
      <c r="AC556" s="849">
        <v>0.0</v>
      </c>
      <c r="AD556" s="849">
        <v>0.0</v>
      </c>
      <c r="AE556" s="849">
        <v>0.0</v>
      </c>
      <c r="AF556" s="849">
        <v>0.0</v>
      </c>
      <c r="AG556" s="849">
        <v>0.0</v>
      </c>
      <c r="AH556" s="849">
        <v>0.0</v>
      </c>
      <c r="AI556" s="849">
        <v>0.0</v>
      </c>
      <c r="AJ556" s="794" t="str">
        <f t="shared" ref="AJ556:AK556" si="1109">C556</f>
        <v>G33104</v>
      </c>
      <c r="AK556" s="794" t="str">
        <f t="shared" si="1109"/>
        <v>RESERVE FLOTTES</v>
      </c>
      <c r="AL556" s="794">
        <f t="array" ref="AL556">IFERROR(INDEX(G556:R556,1,MATCH(Parametres!$B$3,G$1:R$1,0)-1)*IF(OR(F556="L",F556="S",F556="I"),-1,1),"")</f>
        <v>-18155</v>
      </c>
      <c r="AM556" s="794">
        <f t="shared" si="4"/>
        <v>0</v>
      </c>
      <c r="AN556" s="794">
        <f t="array" ref="AN556">INDEX(G556:R556,1,MATCH(Parametres!$B$3,G$1:R$1,0))*IF(OR(F556="L",F556="S",F556="I"),-1,1)</f>
        <v>-18155</v>
      </c>
      <c r="AO556" s="853" t="str">
        <f>+VLOOKUP($AJ556,Data_Validation!$A:$D,1,0)</f>
        <v>G33104</v>
      </c>
      <c r="AP556" s="853" t="str">
        <f>+VLOOKUP($AJ556,Data_Validation!$A:$D,3,0)</f>
        <v>Bilan</v>
      </c>
      <c r="AQ556" s="853" t="str">
        <f>+VLOOKUP($AJ556,Data_Validation!$A:$D,4,0)</f>
        <v>Autres Courus</v>
      </c>
      <c r="AR556" s="853" t="s">
        <v>728</v>
      </c>
      <c r="AS556" s="853" t="str">
        <f>+VLOOKUP($AJ556,Data_Validation!$A:$E,5,0)</f>
        <v/>
      </c>
      <c r="AT556" s="794" t="str">
        <f t="shared" ref="AT556:AU556" si="1110">C556</f>
        <v>G33104</v>
      </c>
      <c r="AU556" s="854" t="str">
        <f t="shared" si="1110"/>
        <v>RESERVE FLOTTES</v>
      </c>
      <c r="AV556" s="794">
        <f t="array" ref="AV556">IFERROR(INDEX(V556:AG556,1,MATCH(Parametres!$B$3,V$1:AG$1,0)-1)*IF(OR(C556="L",C556="S",C556="I"),-1,1),"")</f>
        <v>0</v>
      </c>
      <c r="AW556" s="794">
        <f t="shared" si="6"/>
        <v>0</v>
      </c>
      <c r="AX556" s="794">
        <f t="array" ref="AX556">INDEX(V556:AG556,1,MATCH(Parametres!$B$3,V$1:AG$1,0))*IF(OR(C556="L",C556="S",C556="I"),-1,1)</f>
        <v>0</v>
      </c>
      <c r="AY556" s="853" t="s">
        <v>772</v>
      </c>
      <c r="AZ556" s="853" t="str">
        <f>+VLOOKUP($AJ556,Data_Validation!$A:$E,5,0)</f>
        <v/>
      </c>
    </row>
    <row r="557" ht="15.0" customHeight="1">
      <c r="A557" s="849" t="s">
        <v>1239</v>
      </c>
      <c r="B557" s="849">
        <v>2026.0</v>
      </c>
      <c r="C557" s="849" t="s">
        <v>2340</v>
      </c>
      <c r="D557" s="849" t="s">
        <v>2341</v>
      </c>
      <c r="E557" s="849" t="s">
        <v>771</v>
      </c>
      <c r="F557" s="849" t="s">
        <v>2057</v>
      </c>
      <c r="G557" s="849">
        <v>2230.75</v>
      </c>
      <c r="H557" s="849">
        <v>2230.75</v>
      </c>
      <c r="I557" s="849">
        <v>2230.75</v>
      </c>
      <c r="J557" s="849">
        <v>2230.75</v>
      </c>
      <c r="K557" s="849">
        <v>2230.75</v>
      </c>
      <c r="L557" s="849">
        <v>2230.75</v>
      </c>
      <c r="M557" s="849">
        <v>2230.75</v>
      </c>
      <c r="N557" s="849">
        <v>0.0</v>
      </c>
      <c r="O557" s="849">
        <v>0.0</v>
      </c>
      <c r="P557" s="849">
        <v>0.0</v>
      </c>
      <c r="Q557" s="849">
        <v>0.0</v>
      </c>
      <c r="R557" s="849">
        <v>0.0</v>
      </c>
      <c r="S557" s="849">
        <v>0.0</v>
      </c>
      <c r="T557" s="849">
        <v>0.0</v>
      </c>
      <c r="U557" s="849">
        <v>0.0</v>
      </c>
      <c r="V557" s="849">
        <v>0.0</v>
      </c>
      <c r="W557" s="849">
        <v>0.0</v>
      </c>
      <c r="X557" s="849">
        <v>0.0</v>
      </c>
      <c r="Y557" s="849">
        <v>0.0</v>
      </c>
      <c r="Z557" s="849">
        <v>0.0</v>
      </c>
      <c r="AA557" s="849">
        <v>0.0</v>
      </c>
      <c r="AB557" s="849">
        <v>0.0</v>
      </c>
      <c r="AC557" s="849">
        <v>0.0</v>
      </c>
      <c r="AD557" s="849">
        <v>0.0</v>
      </c>
      <c r="AE557" s="849">
        <v>0.0</v>
      </c>
      <c r="AF557" s="849">
        <v>0.0</v>
      </c>
      <c r="AG557" s="849">
        <v>0.0</v>
      </c>
      <c r="AH557" s="849">
        <v>0.0</v>
      </c>
      <c r="AI557" s="849">
        <v>0.0</v>
      </c>
      <c r="AJ557" s="794" t="str">
        <f t="shared" ref="AJ557:AK557" si="1111">C557</f>
        <v>G33105</v>
      </c>
      <c r="AK557" s="794" t="str">
        <f t="shared" si="1111"/>
        <v>RESERVE TRANSP.WHOLESALE</v>
      </c>
      <c r="AL557" s="794">
        <f t="array" ref="AL557">IFERROR(INDEX(G557:R557,1,MATCH(Parametres!$B$3,G$1:R$1,0)-1)*IF(OR(F557="L",F557="S",F557="I"),-1,1),"")</f>
        <v>0</v>
      </c>
      <c r="AM557" s="794">
        <f t="shared" si="4"/>
        <v>0</v>
      </c>
      <c r="AN557" s="794">
        <f t="array" ref="AN557">INDEX(G557:R557,1,MATCH(Parametres!$B$3,G$1:R$1,0))*IF(OR(F557="L",F557="S",F557="I"),-1,1)</f>
        <v>0</v>
      </c>
      <c r="AO557" s="853" t="str">
        <f>+VLOOKUP($AJ557,Data_Validation!$A:$D,1,0)</f>
        <v>G33105</v>
      </c>
      <c r="AP557" s="853" t="str">
        <f>+VLOOKUP($AJ557,Data_Validation!$A:$D,3,0)</f>
        <v>Bilan</v>
      </c>
      <c r="AQ557" s="853" t="str">
        <f>+VLOOKUP($AJ557,Data_Validation!$A:$D,4,0)</f>
        <v>Autres Courus</v>
      </c>
      <c r="AR557" s="853" t="s">
        <v>728</v>
      </c>
      <c r="AS557" s="853" t="str">
        <f>+VLOOKUP($AJ557,Data_Validation!$A:$E,5,0)</f>
        <v/>
      </c>
      <c r="AT557" s="794" t="str">
        <f t="shared" ref="AT557:AU557" si="1112">C557</f>
        <v>G33105</v>
      </c>
      <c r="AU557" s="854" t="str">
        <f t="shared" si="1112"/>
        <v>RESERVE TRANSP.WHOLESALE</v>
      </c>
      <c r="AV557" s="794">
        <f t="array" ref="AV557">IFERROR(INDEX(V557:AG557,1,MATCH(Parametres!$B$3,V$1:AG$1,0)-1)*IF(OR(C557="L",C557="S",C557="I"),-1,1),"")</f>
        <v>0</v>
      </c>
      <c r="AW557" s="794">
        <f t="shared" si="6"/>
        <v>0</v>
      </c>
      <c r="AX557" s="794">
        <f t="array" ref="AX557">INDEX(V557:AG557,1,MATCH(Parametres!$B$3,V$1:AG$1,0))*IF(OR(C557="L",C557="S",C557="I"),-1,1)</f>
        <v>0</v>
      </c>
      <c r="AY557" s="853" t="s">
        <v>772</v>
      </c>
      <c r="AZ557" s="853" t="str">
        <f>+VLOOKUP($AJ557,Data_Validation!$A:$E,5,0)</f>
        <v/>
      </c>
    </row>
    <row r="558" ht="15.0" customHeight="1">
      <c r="A558" s="849" t="s">
        <v>1239</v>
      </c>
      <c r="B558" s="849">
        <v>2026.0</v>
      </c>
      <c r="C558" s="849" t="s">
        <v>2342</v>
      </c>
      <c r="D558" s="849" t="s">
        <v>2343</v>
      </c>
      <c r="E558" s="849" t="s">
        <v>1959</v>
      </c>
      <c r="F558" s="849" t="s">
        <v>2057</v>
      </c>
      <c r="G558" s="849">
        <v>-59856.17</v>
      </c>
      <c r="H558" s="849">
        <v>-56377.41</v>
      </c>
      <c r="I558" s="849">
        <v>-51741.85</v>
      </c>
      <c r="J558" s="849">
        <v>-41059.89</v>
      </c>
      <c r="K558" s="849">
        <v>-27006.69</v>
      </c>
      <c r="L558" s="849">
        <v>-17971.02</v>
      </c>
      <c r="M558" s="849">
        <v>34811.38</v>
      </c>
      <c r="N558" s="849">
        <v>60914.29</v>
      </c>
      <c r="O558" s="849">
        <v>69690.07</v>
      </c>
      <c r="P558" s="849">
        <v>68462.69</v>
      </c>
      <c r="Q558" s="849">
        <v>0.0</v>
      </c>
      <c r="R558" s="849">
        <v>0.0</v>
      </c>
      <c r="S558" s="849">
        <v>0.0</v>
      </c>
      <c r="T558" s="849">
        <v>0.0</v>
      </c>
      <c r="U558" s="849">
        <v>0.0</v>
      </c>
      <c r="V558" s="849">
        <v>0.0</v>
      </c>
      <c r="W558" s="849">
        <v>0.0</v>
      </c>
      <c r="X558" s="849">
        <v>0.0</v>
      </c>
      <c r="Y558" s="849">
        <v>0.0</v>
      </c>
      <c r="Z558" s="849">
        <v>0.0</v>
      </c>
      <c r="AA558" s="849">
        <v>0.0</v>
      </c>
      <c r="AB558" s="849">
        <v>0.0</v>
      </c>
      <c r="AC558" s="849">
        <v>0.0</v>
      </c>
      <c r="AD558" s="849">
        <v>0.0</v>
      </c>
      <c r="AE558" s="849">
        <v>0.0</v>
      </c>
      <c r="AF558" s="849">
        <v>0.0</v>
      </c>
      <c r="AG558" s="849">
        <v>0.0</v>
      </c>
      <c r="AH558" s="849">
        <v>0.0</v>
      </c>
      <c r="AI558" s="849">
        <v>0.0</v>
      </c>
      <c r="AJ558" s="794" t="str">
        <f t="shared" ref="AJ558:AK558" si="1113">C558</f>
        <v>G33106</v>
      </c>
      <c r="AK558" s="794" t="str">
        <f t="shared" si="1113"/>
        <v>RESERVE DEMO</v>
      </c>
      <c r="AL558" s="794">
        <f t="array" ref="AL558">IFERROR(INDEX(G558:R558,1,MATCH(Parametres!$B$3,G$1:R$1,0)-1)*IF(OR(F558="L",F558="S",F558="I"),-1,1),"")</f>
        <v>-60914.29</v>
      </c>
      <c r="AM558" s="794">
        <f t="shared" si="4"/>
        <v>-8775.78</v>
      </c>
      <c r="AN558" s="794">
        <f t="array" ref="AN558">INDEX(G558:R558,1,MATCH(Parametres!$B$3,G$1:R$1,0))*IF(OR(F558="L",F558="S",F558="I"),-1,1)</f>
        <v>-69690.07</v>
      </c>
      <c r="AO558" s="853" t="str">
        <f>+VLOOKUP($AJ558,Data_Validation!$A:$D,1,0)</f>
        <v>G33106</v>
      </c>
      <c r="AP558" s="853" t="str">
        <f>+VLOOKUP($AJ558,Data_Validation!$A:$D,3,0)</f>
        <v>Bilan</v>
      </c>
      <c r="AQ558" s="853" t="str">
        <f>+VLOOKUP($AJ558,Data_Validation!$A:$D,4,0)</f>
        <v>Autres Courus</v>
      </c>
      <c r="AR558" s="853" t="s">
        <v>728</v>
      </c>
      <c r="AS558" s="853" t="str">
        <f>+VLOOKUP($AJ558,Data_Validation!$A:$E,5,0)</f>
        <v/>
      </c>
      <c r="AT558" s="794" t="str">
        <f t="shared" ref="AT558:AU558" si="1114">C558</f>
        <v>G33106</v>
      </c>
      <c r="AU558" s="854" t="str">
        <f t="shared" si="1114"/>
        <v>RESERVE DEMO</v>
      </c>
      <c r="AV558" s="794">
        <f t="array" ref="AV558">IFERROR(INDEX(V558:AG558,1,MATCH(Parametres!$B$3,V$1:AG$1,0)-1)*IF(OR(C558="L",C558="S",C558="I"),-1,1),"")</f>
        <v>0</v>
      </c>
      <c r="AW558" s="794">
        <f t="shared" si="6"/>
        <v>0</v>
      </c>
      <c r="AX558" s="794">
        <f t="array" ref="AX558">INDEX(V558:AG558,1,MATCH(Parametres!$B$3,V$1:AG$1,0))*IF(OR(C558="L",C558="S",C558="I"),-1,1)</f>
        <v>0</v>
      </c>
      <c r="AY558" s="853" t="s">
        <v>772</v>
      </c>
      <c r="AZ558" s="853" t="str">
        <f>+VLOOKUP($AJ558,Data_Validation!$A:$E,5,0)</f>
        <v/>
      </c>
    </row>
    <row r="559" ht="15.0" customHeight="1">
      <c r="A559" s="849" t="s">
        <v>1239</v>
      </c>
      <c r="B559" s="849">
        <v>2026.0</v>
      </c>
      <c r="C559" s="849" t="s">
        <v>2344</v>
      </c>
      <c r="D559" s="849" t="s">
        <v>2345</v>
      </c>
      <c r="E559" s="849" t="s">
        <v>1959</v>
      </c>
      <c r="F559" s="849" t="s">
        <v>2057</v>
      </c>
      <c r="G559" s="849">
        <v>-79159.12</v>
      </c>
      <c r="H559" s="849">
        <v>-79159.12</v>
      </c>
      <c r="I559" s="849">
        <v>-79633.53</v>
      </c>
      <c r="J559" s="849">
        <v>-77159.12</v>
      </c>
      <c r="K559" s="849">
        <v>-77660.12</v>
      </c>
      <c r="L559" s="849">
        <v>-77257.0</v>
      </c>
      <c r="M559" s="849">
        <v>-77257.0</v>
      </c>
      <c r="N559" s="849">
        <v>-77257.0</v>
      </c>
      <c r="O559" s="849">
        <v>-77257.0</v>
      </c>
      <c r="P559" s="849">
        <v>-77257.0</v>
      </c>
      <c r="Q559" s="849">
        <v>0.0</v>
      </c>
      <c r="R559" s="849">
        <v>0.0</v>
      </c>
      <c r="S559" s="849">
        <v>0.0</v>
      </c>
      <c r="T559" s="849">
        <v>0.0</v>
      </c>
      <c r="U559" s="849">
        <v>0.0</v>
      </c>
      <c r="V559" s="849">
        <v>0.0</v>
      </c>
      <c r="W559" s="849">
        <v>0.0</v>
      </c>
      <c r="X559" s="849">
        <v>0.0</v>
      </c>
      <c r="Y559" s="849">
        <v>0.0</v>
      </c>
      <c r="Z559" s="849">
        <v>0.0</v>
      </c>
      <c r="AA559" s="849">
        <v>0.0</v>
      </c>
      <c r="AB559" s="849">
        <v>0.0</v>
      </c>
      <c r="AC559" s="849">
        <v>0.0</v>
      </c>
      <c r="AD559" s="849">
        <v>0.0</v>
      </c>
      <c r="AE559" s="849">
        <v>0.0</v>
      </c>
      <c r="AF559" s="849">
        <v>0.0</v>
      </c>
      <c r="AG559" s="849">
        <v>0.0</v>
      </c>
      <c r="AH559" s="849">
        <v>0.0</v>
      </c>
      <c r="AI559" s="849">
        <v>0.0</v>
      </c>
      <c r="AJ559" s="794" t="str">
        <f t="shared" ref="AJ559:AK559" si="1115">C559</f>
        <v>G33107</v>
      </c>
      <c r="AK559" s="794" t="str">
        <f t="shared" si="1115"/>
        <v>ACCESSOIRES FLOTTES</v>
      </c>
      <c r="AL559" s="794">
        <f t="array" ref="AL559">IFERROR(INDEX(G559:R559,1,MATCH(Parametres!$B$3,G$1:R$1,0)-1)*IF(OR(F559="L",F559="S",F559="I"),-1,1),"")</f>
        <v>77257</v>
      </c>
      <c r="AM559" s="794">
        <f t="shared" si="4"/>
        <v>0</v>
      </c>
      <c r="AN559" s="794">
        <f t="array" ref="AN559">INDEX(G559:R559,1,MATCH(Parametres!$B$3,G$1:R$1,0))*IF(OR(F559="L",F559="S",F559="I"),-1,1)</f>
        <v>77257</v>
      </c>
      <c r="AO559" s="853" t="str">
        <f>+VLOOKUP($AJ559,Data_Validation!$A:$D,1,0)</f>
        <v>G33107</v>
      </c>
      <c r="AP559" s="853" t="str">
        <f>+VLOOKUP($AJ559,Data_Validation!$A:$D,3,0)</f>
        <v>Bilan</v>
      </c>
      <c r="AQ559" s="853" t="str">
        <f>+VLOOKUP($AJ559,Data_Validation!$A:$D,4,0)</f>
        <v>Autres Comptes à Payer</v>
      </c>
      <c r="AR559" s="853" t="s">
        <v>728</v>
      </c>
      <c r="AS559" s="853" t="str">
        <f>+VLOOKUP($AJ559,Data_Validation!$A:$E,5,0)</f>
        <v/>
      </c>
      <c r="AT559" s="794" t="str">
        <f t="shared" ref="AT559:AU559" si="1116">C559</f>
        <v>G33107</v>
      </c>
      <c r="AU559" s="854" t="str">
        <f t="shared" si="1116"/>
        <v>ACCESSOIRES FLOTTES</v>
      </c>
      <c r="AV559" s="794">
        <f t="array" ref="AV559">IFERROR(INDEX(V559:AG559,1,MATCH(Parametres!$B$3,V$1:AG$1,0)-1)*IF(OR(C559="L",C559="S",C559="I"),-1,1),"")</f>
        <v>0</v>
      </c>
      <c r="AW559" s="794">
        <f t="shared" si="6"/>
        <v>0</v>
      </c>
      <c r="AX559" s="794">
        <f t="array" ref="AX559">INDEX(V559:AG559,1,MATCH(Parametres!$B$3,V$1:AG$1,0))*IF(OR(C559="L",C559="S",C559="I"),-1,1)</f>
        <v>0</v>
      </c>
      <c r="AY559" s="853" t="s">
        <v>772</v>
      </c>
      <c r="AZ559" s="853" t="str">
        <f>+VLOOKUP($AJ559,Data_Validation!$A:$E,5,0)</f>
        <v/>
      </c>
    </row>
    <row r="560" ht="15.0" customHeight="1">
      <c r="A560" s="849" t="s">
        <v>1239</v>
      </c>
      <c r="B560" s="849">
        <v>2026.0</v>
      </c>
      <c r="C560" s="849" t="s">
        <v>2346</v>
      </c>
      <c r="D560" s="849" t="s">
        <v>2347</v>
      </c>
      <c r="E560" s="849" t="s">
        <v>768</v>
      </c>
      <c r="F560" s="849" t="s">
        <v>2057</v>
      </c>
      <c r="G560" s="849">
        <v>0.0</v>
      </c>
      <c r="H560" s="849">
        <v>0.0</v>
      </c>
      <c r="I560" s="849">
        <v>0.0</v>
      </c>
      <c r="J560" s="849">
        <v>0.0</v>
      </c>
      <c r="K560" s="849">
        <v>0.0</v>
      </c>
      <c r="L560" s="849">
        <v>0.0</v>
      </c>
      <c r="M560" s="849">
        <v>0.0</v>
      </c>
      <c r="N560" s="849">
        <v>3000.0</v>
      </c>
      <c r="O560" s="849">
        <v>4500.0</v>
      </c>
      <c r="P560" s="849">
        <v>4500.0</v>
      </c>
      <c r="Q560" s="849">
        <v>0.0</v>
      </c>
      <c r="R560" s="849">
        <v>0.0</v>
      </c>
      <c r="S560" s="849">
        <v>0.0</v>
      </c>
      <c r="T560" s="849">
        <v>0.0</v>
      </c>
      <c r="U560" s="849">
        <v>0.0</v>
      </c>
      <c r="V560" s="849">
        <v>0.0</v>
      </c>
      <c r="W560" s="849">
        <v>0.0</v>
      </c>
      <c r="X560" s="849">
        <v>0.0</v>
      </c>
      <c r="Y560" s="849">
        <v>0.0</v>
      </c>
      <c r="Z560" s="849">
        <v>0.0</v>
      </c>
      <c r="AA560" s="849">
        <v>0.0</v>
      </c>
      <c r="AB560" s="849">
        <v>0.0</v>
      </c>
      <c r="AC560" s="849">
        <v>0.0</v>
      </c>
      <c r="AD560" s="849">
        <v>0.0</v>
      </c>
      <c r="AE560" s="849">
        <v>0.0</v>
      </c>
      <c r="AF560" s="849">
        <v>0.0</v>
      </c>
      <c r="AG560" s="849">
        <v>0.0</v>
      </c>
      <c r="AH560" s="849">
        <v>0.0</v>
      </c>
      <c r="AI560" s="849">
        <v>0.0</v>
      </c>
      <c r="AJ560" s="794" t="str">
        <f t="shared" ref="AJ560:AK560" si="1117">C560</f>
        <v>G33108</v>
      </c>
      <c r="AK560" s="794" t="str">
        <f t="shared" si="1117"/>
        <v>RESERVE COURT BODY</v>
      </c>
      <c r="AL560" s="794">
        <f t="array" ref="AL560">IFERROR(INDEX(G560:R560,1,MATCH(Parametres!$B$3,G$1:R$1,0)-1)*IF(OR(F560="L",F560="S",F560="I"),-1,1),"")</f>
        <v>-3000</v>
      </c>
      <c r="AM560" s="794">
        <f t="shared" si="4"/>
        <v>-1500</v>
      </c>
      <c r="AN560" s="794">
        <f t="array" ref="AN560">INDEX(G560:R560,1,MATCH(Parametres!$B$3,G$1:R$1,0))*IF(OR(F560="L",F560="S",F560="I"),-1,1)</f>
        <v>-4500</v>
      </c>
      <c r="AO560" s="853" t="str">
        <f>+VLOOKUP($AJ560,Data_Validation!$A:$D,1,0)</f>
        <v>G33108</v>
      </c>
      <c r="AP560" s="853" t="str">
        <f>+VLOOKUP($AJ560,Data_Validation!$A:$D,3,0)</f>
        <v>Bilan</v>
      </c>
      <c r="AQ560" s="853" t="str">
        <f>+VLOOKUP($AJ560,Data_Validation!$A:$D,4,0)</f>
        <v>Autres Courus</v>
      </c>
      <c r="AR560" s="853" t="s">
        <v>728</v>
      </c>
      <c r="AS560" s="853" t="str">
        <f>+VLOOKUP($AJ560,Data_Validation!$A:$E,5,0)</f>
        <v/>
      </c>
      <c r="AT560" s="794" t="str">
        <f t="shared" ref="AT560:AU560" si="1118">C560</f>
        <v>G33108</v>
      </c>
      <c r="AU560" s="854" t="str">
        <f t="shared" si="1118"/>
        <v>RESERVE COURT BODY</v>
      </c>
      <c r="AV560" s="794">
        <f t="array" ref="AV560">IFERROR(INDEX(V560:AG560,1,MATCH(Parametres!$B$3,V$1:AG$1,0)-1)*IF(OR(C560="L",C560="S",C560="I"),-1,1),"")</f>
        <v>0</v>
      </c>
      <c r="AW560" s="794">
        <f t="shared" si="6"/>
        <v>0</v>
      </c>
      <c r="AX560" s="794">
        <f t="array" ref="AX560">INDEX(V560:AG560,1,MATCH(Parametres!$B$3,V$1:AG$1,0))*IF(OR(C560="L",C560="S",C560="I"),-1,1)</f>
        <v>0</v>
      </c>
      <c r="AY560" s="853" t="s">
        <v>772</v>
      </c>
      <c r="AZ560" s="853" t="str">
        <f>+VLOOKUP($AJ560,Data_Validation!$A:$E,5,0)</f>
        <v/>
      </c>
    </row>
    <row r="561" ht="15.0" customHeight="1">
      <c r="A561" s="849" t="s">
        <v>1239</v>
      </c>
      <c r="B561" s="849">
        <v>2026.0</v>
      </c>
      <c r="C561" s="849" t="s">
        <v>2348</v>
      </c>
      <c r="D561" s="849" t="s">
        <v>2349</v>
      </c>
      <c r="E561" s="849" t="s">
        <v>771</v>
      </c>
      <c r="F561" s="849" t="s">
        <v>2057</v>
      </c>
      <c r="G561" s="849">
        <v>0.0</v>
      </c>
      <c r="H561" s="849">
        <v>0.0</v>
      </c>
      <c r="I561" s="849">
        <v>0.0</v>
      </c>
      <c r="J561" s="849">
        <v>0.0</v>
      </c>
      <c r="K561" s="849">
        <v>0.0</v>
      </c>
      <c r="L561" s="849">
        <v>0.0</v>
      </c>
      <c r="M561" s="849">
        <v>0.0</v>
      </c>
      <c r="N561" s="849">
        <v>0.0</v>
      </c>
      <c r="O561" s="849">
        <v>0.0</v>
      </c>
      <c r="P561" s="849">
        <v>0.0</v>
      </c>
      <c r="Q561" s="849">
        <v>0.0</v>
      </c>
      <c r="R561" s="849">
        <v>0.0</v>
      </c>
      <c r="S561" s="849">
        <v>0.0</v>
      </c>
      <c r="T561" s="849">
        <v>0.0</v>
      </c>
      <c r="U561" s="849">
        <v>0.0</v>
      </c>
      <c r="V561" s="849">
        <v>0.0</v>
      </c>
      <c r="W561" s="849">
        <v>0.0</v>
      </c>
      <c r="X561" s="849">
        <v>0.0</v>
      </c>
      <c r="Y561" s="849">
        <v>0.0</v>
      </c>
      <c r="Z561" s="849">
        <v>0.0</v>
      </c>
      <c r="AA561" s="849">
        <v>0.0</v>
      </c>
      <c r="AB561" s="849">
        <v>0.0</v>
      </c>
      <c r="AC561" s="849">
        <v>0.0</v>
      </c>
      <c r="AD561" s="849">
        <v>0.0</v>
      </c>
      <c r="AE561" s="849">
        <v>0.0</v>
      </c>
      <c r="AF561" s="849">
        <v>0.0</v>
      </c>
      <c r="AG561" s="849">
        <v>0.0</v>
      </c>
      <c r="AH561" s="849">
        <v>0.0</v>
      </c>
      <c r="AI561" s="849">
        <v>0.0</v>
      </c>
      <c r="AJ561" s="794" t="str">
        <f t="shared" ref="AJ561:AK561" si="1119">C561</f>
        <v>G33110</v>
      </c>
      <c r="AK561" s="794" t="str">
        <f t="shared" si="1119"/>
        <v>RABAIS LOCATION LMB INC</v>
      </c>
      <c r="AL561" s="794">
        <f t="array" ref="AL561">IFERROR(INDEX(G561:R561,1,MATCH(Parametres!$B$3,G$1:R$1,0)-1)*IF(OR(F561="L",F561="S",F561="I"),-1,1),"")</f>
        <v>0</v>
      </c>
      <c r="AM561" s="794">
        <f t="shared" si="4"/>
        <v>0</v>
      </c>
      <c r="AN561" s="794">
        <f t="array" ref="AN561">INDEX(G561:R561,1,MATCH(Parametres!$B$3,G$1:R$1,0))*IF(OR(F561="L",F561="S",F561="I"),-1,1)</f>
        <v>0</v>
      </c>
      <c r="AO561" s="853" t="str">
        <f>+VLOOKUP($AJ561,Data_Validation!$A:$D,1,0)</f>
        <v>G33110</v>
      </c>
      <c r="AP561" s="853" t="str">
        <f>+VLOOKUP($AJ561,Data_Validation!$A:$D,3,0)</f>
        <v/>
      </c>
      <c r="AQ561" s="853" t="str">
        <f>+VLOOKUP($AJ561,Data_Validation!$A:$D,4,0)</f>
        <v/>
      </c>
      <c r="AR561" s="853" t="s">
        <v>728</v>
      </c>
      <c r="AS561" s="853" t="str">
        <f>+VLOOKUP($AJ561,Data_Validation!$A:$E,5,0)</f>
        <v/>
      </c>
      <c r="AT561" s="794" t="str">
        <f t="shared" ref="AT561:AU561" si="1120">C561</f>
        <v>G33110</v>
      </c>
      <c r="AU561" s="854" t="str">
        <f t="shared" si="1120"/>
        <v>RABAIS LOCATION LMB INC</v>
      </c>
      <c r="AV561" s="794">
        <f t="array" ref="AV561">IFERROR(INDEX(V561:AG561,1,MATCH(Parametres!$B$3,V$1:AG$1,0)-1)*IF(OR(C561="L",C561="S",C561="I"),-1,1),"")</f>
        <v>0</v>
      </c>
      <c r="AW561" s="794">
        <f t="shared" si="6"/>
        <v>0</v>
      </c>
      <c r="AX561" s="794">
        <f t="array" ref="AX561">INDEX(V561:AG561,1,MATCH(Parametres!$B$3,V$1:AG$1,0))*IF(OR(C561="L",C561="S",C561="I"),-1,1)</f>
        <v>0</v>
      </c>
      <c r="AY561" s="853" t="s">
        <v>772</v>
      </c>
      <c r="AZ561" s="853" t="str">
        <f>+VLOOKUP($AJ561,Data_Validation!$A:$E,5,0)</f>
        <v/>
      </c>
    </row>
    <row r="562" ht="15.0" customHeight="1">
      <c r="A562" s="849" t="s">
        <v>1239</v>
      </c>
      <c r="B562" s="849">
        <v>2026.0</v>
      </c>
      <c r="C562" s="849" t="s">
        <v>2350</v>
      </c>
      <c r="D562" s="849" t="s">
        <v>2351</v>
      </c>
      <c r="E562" s="849" t="s">
        <v>768</v>
      </c>
      <c r="F562" s="849" t="s">
        <v>2057</v>
      </c>
      <c r="G562" s="849">
        <v>-200.0</v>
      </c>
      <c r="H562" s="849">
        <v>-200.0</v>
      </c>
      <c r="I562" s="849">
        <v>-200.0</v>
      </c>
      <c r="J562" s="849">
        <v>-200.0</v>
      </c>
      <c r="K562" s="849">
        <v>750.0</v>
      </c>
      <c r="L562" s="849">
        <v>1550.0</v>
      </c>
      <c r="M562" s="849">
        <v>6196.0</v>
      </c>
      <c r="N562" s="849">
        <v>21136.0</v>
      </c>
      <c r="O562" s="849">
        <v>32686.0</v>
      </c>
      <c r="P562" s="849">
        <v>40336.0</v>
      </c>
      <c r="Q562" s="849">
        <v>0.0</v>
      </c>
      <c r="R562" s="849">
        <v>0.0</v>
      </c>
      <c r="S562" s="849">
        <v>0.0</v>
      </c>
      <c r="T562" s="849">
        <v>0.0</v>
      </c>
      <c r="U562" s="849">
        <v>0.0</v>
      </c>
      <c r="V562" s="849">
        <v>0.0</v>
      </c>
      <c r="W562" s="849">
        <v>0.0</v>
      </c>
      <c r="X562" s="849">
        <v>0.0</v>
      </c>
      <c r="Y562" s="849">
        <v>0.0</v>
      </c>
      <c r="Z562" s="849">
        <v>0.0</v>
      </c>
      <c r="AA562" s="849">
        <v>0.0</v>
      </c>
      <c r="AB562" s="849">
        <v>0.0</v>
      </c>
      <c r="AC562" s="849">
        <v>0.0</v>
      </c>
      <c r="AD562" s="849">
        <v>0.0</v>
      </c>
      <c r="AE562" s="849">
        <v>0.0</v>
      </c>
      <c r="AF562" s="849">
        <v>0.0</v>
      </c>
      <c r="AG562" s="849">
        <v>0.0</v>
      </c>
      <c r="AH562" s="849">
        <v>0.0</v>
      </c>
      <c r="AI562" s="849">
        <v>0.0</v>
      </c>
      <c r="AJ562" s="794" t="str">
        <f t="shared" ref="AJ562:AK562" si="1121">C562</f>
        <v>G33111</v>
      </c>
      <c r="AK562" s="794" t="str">
        <f t="shared" si="1121"/>
        <v>PROVISION WHOLESSALE</v>
      </c>
      <c r="AL562" s="794">
        <f t="array" ref="AL562">IFERROR(INDEX(G562:R562,1,MATCH(Parametres!$B$3,G$1:R$1,0)-1)*IF(OR(F562="L",F562="S",F562="I"),-1,1),"")</f>
        <v>-21136</v>
      </c>
      <c r="AM562" s="794">
        <f t="shared" si="4"/>
        <v>-11550</v>
      </c>
      <c r="AN562" s="794">
        <f t="array" ref="AN562">INDEX(G562:R562,1,MATCH(Parametres!$B$3,G$1:R$1,0))*IF(OR(F562="L",F562="S",F562="I"),-1,1)</f>
        <v>-32686</v>
      </c>
      <c r="AO562" s="853" t="str">
        <f>+VLOOKUP($AJ562,Data_Validation!$A:$D,1,0)</f>
        <v>G33111</v>
      </c>
      <c r="AP562" s="853" t="str">
        <f>+VLOOKUP($AJ562,Data_Validation!$A:$D,3,0)</f>
        <v>Bilan</v>
      </c>
      <c r="AQ562" s="853" t="str">
        <f>+VLOOKUP($AJ562,Data_Validation!$A:$D,4,0)</f>
        <v>Autres Courus</v>
      </c>
      <c r="AR562" s="853" t="s">
        <v>728</v>
      </c>
      <c r="AS562" s="853" t="str">
        <f>+VLOOKUP($AJ562,Data_Validation!$A:$E,5,0)</f>
        <v/>
      </c>
      <c r="AT562" s="794" t="str">
        <f t="shared" ref="AT562:AU562" si="1122">C562</f>
        <v>G33111</v>
      </c>
      <c r="AU562" s="854" t="str">
        <f t="shared" si="1122"/>
        <v>PROVISION WHOLESSALE</v>
      </c>
      <c r="AV562" s="794">
        <f t="array" ref="AV562">IFERROR(INDEX(V562:AG562,1,MATCH(Parametres!$B$3,V$1:AG$1,0)-1)*IF(OR(C562="L",C562="S",C562="I"),-1,1),"")</f>
        <v>0</v>
      </c>
      <c r="AW562" s="794">
        <f t="shared" si="6"/>
        <v>0</v>
      </c>
      <c r="AX562" s="794">
        <f t="array" ref="AX562">INDEX(V562:AG562,1,MATCH(Parametres!$B$3,V$1:AG$1,0))*IF(OR(C562="L",C562="S",C562="I"),-1,1)</f>
        <v>0</v>
      </c>
      <c r="AY562" s="853" t="s">
        <v>772</v>
      </c>
      <c r="AZ562" s="853" t="str">
        <f>+VLOOKUP($AJ562,Data_Validation!$A:$E,5,0)</f>
        <v/>
      </c>
    </row>
    <row r="563" ht="15.0" customHeight="1">
      <c r="A563" s="849" t="s">
        <v>1239</v>
      </c>
      <c r="B563" s="849">
        <v>2026.0</v>
      </c>
      <c r="C563" s="849" t="s">
        <v>2352</v>
      </c>
      <c r="D563" s="849" t="s">
        <v>2353</v>
      </c>
      <c r="E563" s="849" t="s">
        <v>768</v>
      </c>
      <c r="F563" s="849" t="s">
        <v>2057</v>
      </c>
      <c r="G563" s="849">
        <v>0.0</v>
      </c>
      <c r="H563" s="849">
        <v>0.0</v>
      </c>
      <c r="I563" s="849">
        <v>0.0</v>
      </c>
      <c r="J563" s="849">
        <v>0.0</v>
      </c>
      <c r="K563" s="849">
        <v>0.0</v>
      </c>
      <c r="L563" s="849">
        <v>0.0</v>
      </c>
      <c r="M563" s="849">
        <v>0.0</v>
      </c>
      <c r="N563" s="849">
        <v>0.0</v>
      </c>
      <c r="O563" s="849">
        <v>0.0</v>
      </c>
      <c r="P563" s="849">
        <v>0.0</v>
      </c>
      <c r="Q563" s="849">
        <v>0.0</v>
      </c>
      <c r="R563" s="849">
        <v>0.0</v>
      </c>
      <c r="S563" s="849">
        <v>0.0</v>
      </c>
      <c r="T563" s="849">
        <v>0.0</v>
      </c>
      <c r="U563" s="849">
        <v>0.0</v>
      </c>
      <c r="V563" s="849">
        <v>0.0</v>
      </c>
      <c r="W563" s="849">
        <v>0.0</v>
      </c>
      <c r="X563" s="849">
        <v>0.0</v>
      </c>
      <c r="Y563" s="849">
        <v>0.0</v>
      </c>
      <c r="Z563" s="849">
        <v>0.0</v>
      </c>
      <c r="AA563" s="849">
        <v>0.0</v>
      </c>
      <c r="AB563" s="849">
        <v>0.0</v>
      </c>
      <c r="AC563" s="849">
        <v>0.0</v>
      </c>
      <c r="AD563" s="849">
        <v>0.0</v>
      </c>
      <c r="AE563" s="849">
        <v>0.0</v>
      </c>
      <c r="AF563" s="849">
        <v>0.0</v>
      </c>
      <c r="AG563" s="849">
        <v>0.0</v>
      </c>
      <c r="AH563" s="849">
        <v>0.0</v>
      </c>
      <c r="AI563" s="849">
        <v>0.0</v>
      </c>
      <c r="AJ563" s="794" t="str">
        <f t="shared" ref="AJ563:AK563" si="1123">C563</f>
        <v>G33112</v>
      </c>
      <c r="AK563" s="794" t="str">
        <f t="shared" si="1123"/>
        <v>PROVISION DETAIL</v>
      </c>
      <c r="AL563" s="794">
        <f t="array" ref="AL563">IFERROR(INDEX(G563:R563,1,MATCH(Parametres!$B$3,G$1:R$1,0)-1)*IF(OR(F563="L",F563="S",F563="I"),-1,1),"")</f>
        <v>0</v>
      </c>
      <c r="AM563" s="794">
        <f t="shared" si="4"/>
        <v>0</v>
      </c>
      <c r="AN563" s="794">
        <f t="array" ref="AN563">INDEX(G563:R563,1,MATCH(Parametres!$B$3,G$1:R$1,0))*IF(OR(F563="L",F563="S",F563="I"),-1,1)</f>
        <v>0</v>
      </c>
      <c r="AO563" s="853" t="str">
        <f>+VLOOKUP($AJ563,Data_Validation!$A:$D,1,0)</f>
        <v>G33112</v>
      </c>
      <c r="AP563" s="853" t="str">
        <f>+VLOOKUP($AJ563,Data_Validation!$A:$D,3,0)</f>
        <v>Bilan</v>
      </c>
      <c r="AQ563" s="853" t="str">
        <f>+VLOOKUP($AJ563,Data_Validation!$A:$D,4,0)</f>
        <v>Autres Courus</v>
      </c>
      <c r="AR563" s="853" t="s">
        <v>728</v>
      </c>
      <c r="AS563" s="853" t="str">
        <f>+VLOOKUP($AJ563,Data_Validation!$A:$E,5,0)</f>
        <v/>
      </c>
      <c r="AT563" s="794" t="str">
        <f t="shared" ref="AT563:AU563" si="1124">C563</f>
        <v>G33112</v>
      </c>
      <c r="AU563" s="854" t="str">
        <f t="shared" si="1124"/>
        <v>PROVISION DETAIL</v>
      </c>
      <c r="AV563" s="794">
        <f t="array" ref="AV563">IFERROR(INDEX(V563:AG563,1,MATCH(Parametres!$B$3,V$1:AG$1,0)-1)*IF(OR(C563="L",C563="S",C563="I"),-1,1),"")</f>
        <v>0</v>
      </c>
      <c r="AW563" s="794">
        <f t="shared" si="6"/>
        <v>0</v>
      </c>
      <c r="AX563" s="794">
        <f t="array" ref="AX563">INDEX(V563:AG563,1,MATCH(Parametres!$B$3,V$1:AG$1,0))*IF(OR(C563="L",C563="S",C563="I"),-1,1)</f>
        <v>0</v>
      </c>
      <c r="AY563" s="853" t="s">
        <v>772</v>
      </c>
      <c r="AZ563" s="853" t="str">
        <f>+VLOOKUP($AJ563,Data_Validation!$A:$E,5,0)</f>
        <v/>
      </c>
    </row>
    <row r="564" ht="15.0" customHeight="1">
      <c r="A564" s="849" t="s">
        <v>1239</v>
      </c>
      <c r="B564" s="849">
        <v>2026.0</v>
      </c>
      <c r="C564" s="849" t="s">
        <v>2354</v>
      </c>
      <c r="D564" s="849" t="s">
        <v>2355</v>
      </c>
      <c r="E564" s="849" t="s">
        <v>768</v>
      </c>
      <c r="F564" s="849" t="s">
        <v>2057</v>
      </c>
      <c r="G564" s="849">
        <v>6050.0</v>
      </c>
      <c r="H564" s="849">
        <v>7800.0</v>
      </c>
      <c r="I564" s="849">
        <v>11050.0</v>
      </c>
      <c r="J564" s="849">
        <v>18950.0</v>
      </c>
      <c r="K564" s="849">
        <v>48850.0</v>
      </c>
      <c r="L564" s="849">
        <v>70500.0</v>
      </c>
      <c r="M564" s="849">
        <v>79450.0</v>
      </c>
      <c r="N564" s="849">
        <v>91750.0</v>
      </c>
      <c r="O564" s="849">
        <v>93300.0</v>
      </c>
      <c r="P564" s="849">
        <v>93150.0</v>
      </c>
      <c r="Q564" s="849">
        <v>0.0</v>
      </c>
      <c r="R564" s="849">
        <v>0.0</v>
      </c>
      <c r="S564" s="849">
        <v>0.0</v>
      </c>
      <c r="T564" s="849">
        <v>0.0</v>
      </c>
      <c r="U564" s="849">
        <v>0.0</v>
      </c>
      <c r="V564" s="849">
        <v>0.0</v>
      </c>
      <c r="W564" s="849">
        <v>0.0</v>
      </c>
      <c r="X564" s="849">
        <v>0.0</v>
      </c>
      <c r="Y564" s="849">
        <v>0.0</v>
      </c>
      <c r="Z564" s="849">
        <v>0.0</v>
      </c>
      <c r="AA564" s="849">
        <v>0.0</v>
      </c>
      <c r="AB564" s="849">
        <v>0.0</v>
      </c>
      <c r="AC564" s="849">
        <v>0.0</v>
      </c>
      <c r="AD564" s="849">
        <v>0.0</v>
      </c>
      <c r="AE564" s="849">
        <v>0.0</v>
      </c>
      <c r="AF564" s="849">
        <v>0.0</v>
      </c>
      <c r="AG564" s="849">
        <v>0.0</v>
      </c>
      <c r="AH564" s="849">
        <v>0.0</v>
      </c>
      <c r="AI564" s="849">
        <v>0.0</v>
      </c>
      <c r="AJ564" s="794" t="str">
        <f t="shared" ref="AJ564:AK564" si="1125">C564</f>
        <v>G33113</v>
      </c>
      <c r="AK564" s="794" t="str">
        <f t="shared" si="1125"/>
        <v>PROVISION USA</v>
      </c>
      <c r="AL564" s="794">
        <f t="array" ref="AL564">IFERROR(INDEX(G564:R564,1,MATCH(Parametres!$B$3,G$1:R$1,0)-1)*IF(OR(F564="L",F564="S",F564="I"),-1,1),"")</f>
        <v>-91750</v>
      </c>
      <c r="AM564" s="794">
        <f t="shared" si="4"/>
        <v>-1550</v>
      </c>
      <c r="AN564" s="794">
        <f t="array" ref="AN564">INDEX(G564:R564,1,MATCH(Parametres!$B$3,G$1:R$1,0))*IF(OR(F564="L",F564="S",F564="I"),-1,1)</f>
        <v>-93300</v>
      </c>
      <c r="AO564" s="853" t="str">
        <f>+VLOOKUP($AJ564,Data_Validation!$A:$D,1,0)</f>
        <v>G33113</v>
      </c>
      <c r="AP564" s="853" t="str">
        <f>+VLOOKUP($AJ564,Data_Validation!$A:$D,3,0)</f>
        <v>Bilan</v>
      </c>
      <c r="AQ564" s="853" t="str">
        <f>+VLOOKUP($AJ564,Data_Validation!$A:$D,4,0)</f>
        <v>Autres Courus</v>
      </c>
      <c r="AR564" s="853" t="s">
        <v>728</v>
      </c>
      <c r="AS564" s="853" t="str">
        <f>+VLOOKUP($AJ564,Data_Validation!$A:$E,5,0)</f>
        <v/>
      </c>
      <c r="AT564" s="794" t="str">
        <f t="shared" ref="AT564:AU564" si="1126">C564</f>
        <v>G33113</v>
      </c>
      <c r="AU564" s="854" t="str">
        <f t="shared" si="1126"/>
        <v>PROVISION USA</v>
      </c>
      <c r="AV564" s="794">
        <f t="array" ref="AV564">IFERROR(INDEX(V564:AG564,1,MATCH(Parametres!$B$3,V$1:AG$1,0)-1)*IF(OR(C564="L",C564="S",C564="I"),-1,1),"")</f>
        <v>0</v>
      </c>
      <c r="AW564" s="794">
        <f t="shared" si="6"/>
        <v>0</v>
      </c>
      <c r="AX564" s="794">
        <f t="array" ref="AX564">INDEX(V564:AG564,1,MATCH(Parametres!$B$3,V$1:AG$1,0))*IF(OR(C564="L",C564="S",C564="I"),-1,1)</f>
        <v>0</v>
      </c>
      <c r="AY564" s="853" t="s">
        <v>772</v>
      </c>
      <c r="AZ564" s="853" t="str">
        <f>+VLOOKUP($AJ564,Data_Validation!$A:$E,5,0)</f>
        <v/>
      </c>
    </row>
    <row r="565" ht="15.0" customHeight="1">
      <c r="A565" s="849" t="s">
        <v>1239</v>
      </c>
      <c r="B565" s="849">
        <v>2026.0</v>
      </c>
      <c r="C565" s="849" t="s">
        <v>2356</v>
      </c>
      <c r="D565" s="849" t="s">
        <v>2357</v>
      </c>
      <c r="E565" s="849" t="s">
        <v>768</v>
      </c>
      <c r="F565" s="849" t="s">
        <v>2057</v>
      </c>
      <c r="G565" s="849">
        <v>0.0</v>
      </c>
      <c r="H565" s="849">
        <v>0.0</v>
      </c>
      <c r="I565" s="849">
        <v>0.0</v>
      </c>
      <c r="J565" s="849">
        <v>0.0</v>
      </c>
      <c r="K565" s="849">
        <v>0.0</v>
      </c>
      <c r="L565" s="849">
        <v>0.0</v>
      </c>
      <c r="M565" s="849">
        <v>0.0</v>
      </c>
      <c r="N565" s="849">
        <v>0.0</v>
      </c>
      <c r="O565" s="849">
        <v>0.0</v>
      </c>
      <c r="P565" s="849">
        <v>0.0</v>
      </c>
      <c r="Q565" s="849">
        <v>0.0</v>
      </c>
      <c r="R565" s="849">
        <v>0.0</v>
      </c>
      <c r="S565" s="849">
        <v>0.0</v>
      </c>
      <c r="T565" s="849">
        <v>0.0</v>
      </c>
      <c r="U565" s="849">
        <v>0.0</v>
      </c>
      <c r="V565" s="849">
        <v>0.0</v>
      </c>
      <c r="W565" s="849">
        <v>0.0</v>
      </c>
      <c r="X565" s="849">
        <v>0.0</v>
      </c>
      <c r="Y565" s="849">
        <v>0.0</v>
      </c>
      <c r="Z565" s="849">
        <v>0.0</v>
      </c>
      <c r="AA565" s="849">
        <v>0.0</v>
      </c>
      <c r="AB565" s="849">
        <v>0.0</v>
      </c>
      <c r="AC565" s="849">
        <v>0.0</v>
      </c>
      <c r="AD565" s="849">
        <v>0.0</v>
      </c>
      <c r="AE565" s="849">
        <v>0.0</v>
      </c>
      <c r="AF565" s="849">
        <v>0.0</v>
      </c>
      <c r="AG565" s="849">
        <v>0.0</v>
      </c>
      <c r="AH565" s="849">
        <v>0.0</v>
      </c>
      <c r="AI565" s="849">
        <v>0.0</v>
      </c>
      <c r="AJ565" s="794" t="str">
        <f t="shared" ref="AJ565:AK565" si="1127">C565</f>
        <v>G33114</v>
      </c>
      <c r="AK565" s="794" t="str">
        <f t="shared" si="1127"/>
        <v>PROVISION HERELLE</v>
      </c>
      <c r="AL565" s="794">
        <f t="array" ref="AL565">IFERROR(INDEX(G565:R565,1,MATCH(Parametres!$B$3,G$1:R$1,0)-1)*IF(OR(F565="L",F565="S",F565="I"),-1,1),"")</f>
        <v>0</v>
      </c>
      <c r="AM565" s="794">
        <f t="shared" si="4"/>
        <v>0</v>
      </c>
      <c r="AN565" s="794">
        <f t="array" ref="AN565">INDEX(G565:R565,1,MATCH(Parametres!$B$3,G$1:R$1,0))*IF(OR(F565="L",F565="S",F565="I"),-1,1)</f>
        <v>0</v>
      </c>
      <c r="AO565" s="853" t="str">
        <f>+VLOOKUP($AJ565,Data_Validation!$A:$D,1,0)</f>
        <v>G33114</v>
      </c>
      <c r="AP565" s="853" t="str">
        <f>+VLOOKUP($AJ565,Data_Validation!$A:$D,3,0)</f>
        <v>Bilan</v>
      </c>
      <c r="AQ565" s="853" t="str">
        <f>+VLOOKUP($AJ565,Data_Validation!$A:$D,4,0)</f>
        <v>Autres Courus</v>
      </c>
      <c r="AR565" s="853" t="s">
        <v>728</v>
      </c>
      <c r="AS565" s="853" t="str">
        <f>+VLOOKUP($AJ565,Data_Validation!$A:$E,5,0)</f>
        <v/>
      </c>
      <c r="AT565" s="794" t="str">
        <f t="shared" ref="AT565:AU565" si="1128">C565</f>
        <v>G33114</v>
      </c>
      <c r="AU565" s="854" t="str">
        <f t="shared" si="1128"/>
        <v>PROVISION HERELLE</v>
      </c>
      <c r="AV565" s="794">
        <f t="array" ref="AV565">IFERROR(INDEX(V565:AG565,1,MATCH(Parametres!$B$3,V$1:AG$1,0)-1)*IF(OR(C565="L",C565="S",C565="I"),-1,1),"")</f>
        <v>0</v>
      </c>
      <c r="AW565" s="794">
        <f t="shared" si="6"/>
        <v>0</v>
      </c>
      <c r="AX565" s="794">
        <f t="array" ref="AX565">INDEX(V565:AG565,1,MATCH(Parametres!$B$3,V$1:AG$1,0))*IF(OR(C565="L",C565="S",C565="I"),-1,1)</f>
        <v>0</v>
      </c>
      <c r="AY565" s="853" t="s">
        <v>772</v>
      </c>
      <c r="AZ565" s="853" t="str">
        <f>+VLOOKUP($AJ565,Data_Validation!$A:$E,5,0)</f>
        <v/>
      </c>
    </row>
    <row r="566" ht="15.0" customHeight="1">
      <c r="A566" s="849" t="s">
        <v>1239</v>
      </c>
      <c r="B566" s="849">
        <v>2026.0</v>
      </c>
      <c r="C566" s="849" t="s">
        <v>2358</v>
      </c>
      <c r="D566" s="849" t="s">
        <v>2359</v>
      </c>
      <c r="E566" s="849" t="s">
        <v>771</v>
      </c>
      <c r="F566" s="849" t="s">
        <v>2057</v>
      </c>
      <c r="G566" s="849">
        <v>-401.17</v>
      </c>
      <c r="H566" s="849">
        <v>20908.19</v>
      </c>
      <c r="I566" s="849">
        <v>-0.02</v>
      </c>
      <c r="J566" s="849">
        <v>9.4</v>
      </c>
      <c r="K566" s="849">
        <v>37602.91</v>
      </c>
      <c r="L566" s="849">
        <v>49318.7</v>
      </c>
      <c r="M566" s="849">
        <v>49318.7</v>
      </c>
      <c r="N566" s="849">
        <v>0.0</v>
      </c>
      <c r="O566" s="849">
        <v>0.0</v>
      </c>
      <c r="P566" s="849">
        <v>28295.64</v>
      </c>
      <c r="Q566" s="849">
        <v>0.0</v>
      </c>
      <c r="R566" s="849">
        <v>0.0</v>
      </c>
      <c r="S566" s="849">
        <v>0.0</v>
      </c>
      <c r="T566" s="849">
        <v>0.0</v>
      </c>
      <c r="U566" s="849">
        <v>0.0</v>
      </c>
      <c r="V566" s="849">
        <v>0.0</v>
      </c>
      <c r="W566" s="849">
        <v>0.0</v>
      </c>
      <c r="X566" s="849">
        <v>0.0</v>
      </c>
      <c r="Y566" s="849">
        <v>0.0</v>
      </c>
      <c r="Z566" s="849">
        <v>0.0</v>
      </c>
      <c r="AA566" s="849">
        <v>0.0</v>
      </c>
      <c r="AB566" s="849">
        <v>0.0</v>
      </c>
      <c r="AC566" s="849">
        <v>0.0</v>
      </c>
      <c r="AD566" s="849">
        <v>0.0</v>
      </c>
      <c r="AE566" s="849">
        <v>0.0</v>
      </c>
      <c r="AF566" s="849">
        <v>0.0</v>
      </c>
      <c r="AG566" s="849">
        <v>0.0</v>
      </c>
      <c r="AH566" s="849">
        <v>0.0</v>
      </c>
      <c r="AI566" s="849">
        <v>0.0</v>
      </c>
      <c r="AJ566" s="794" t="str">
        <f t="shared" ref="AJ566:AK566" si="1129">C566</f>
        <v>G33115</v>
      </c>
      <c r="AK566" s="794" t="str">
        <f t="shared" si="1129"/>
        <v>PROVISION LMB</v>
      </c>
      <c r="AL566" s="794">
        <f t="array" ref="AL566">IFERROR(INDEX(G566:R566,1,MATCH(Parametres!$B$3,G$1:R$1,0)-1)*IF(OR(F566="L",F566="S",F566="I"),-1,1),"")</f>
        <v>0</v>
      </c>
      <c r="AM566" s="794">
        <f t="shared" si="4"/>
        <v>0</v>
      </c>
      <c r="AN566" s="794">
        <f t="array" ref="AN566">INDEX(G566:R566,1,MATCH(Parametres!$B$3,G$1:R$1,0))*IF(OR(F566="L",F566="S",F566="I"),-1,1)</f>
        <v>0</v>
      </c>
      <c r="AO566" s="853" t="str">
        <f>+VLOOKUP($AJ566,Data_Validation!$A:$D,1,0)</f>
        <v>G33115</v>
      </c>
      <c r="AP566" s="853" t="str">
        <f>+VLOOKUP($AJ566,Data_Validation!$A:$D,3,0)</f>
        <v>Bilan</v>
      </c>
      <c r="AQ566" s="853" t="str">
        <f>+VLOOKUP($AJ566,Data_Validation!$A:$D,4,0)</f>
        <v>Autres Courus</v>
      </c>
      <c r="AR566" s="853" t="s">
        <v>728</v>
      </c>
      <c r="AS566" s="853" t="str">
        <f>+VLOOKUP($AJ566,Data_Validation!$A:$E,5,0)</f>
        <v/>
      </c>
      <c r="AT566" s="794" t="str">
        <f t="shared" ref="AT566:AU566" si="1130">C566</f>
        <v>G33115</v>
      </c>
      <c r="AU566" s="854" t="str">
        <f t="shared" si="1130"/>
        <v>PROVISION LMB</v>
      </c>
      <c r="AV566" s="794">
        <f t="array" ref="AV566">IFERROR(INDEX(V566:AG566,1,MATCH(Parametres!$B$3,V$1:AG$1,0)-1)*IF(OR(C566="L",C566="S",C566="I"),-1,1),"")</f>
        <v>0</v>
      </c>
      <c r="AW566" s="794">
        <f t="shared" si="6"/>
        <v>0</v>
      </c>
      <c r="AX566" s="794">
        <f t="array" ref="AX566">INDEX(V566:AG566,1,MATCH(Parametres!$B$3,V$1:AG$1,0))*IF(OR(C566="L",C566="S",C566="I"),-1,1)</f>
        <v>0</v>
      </c>
      <c r="AY566" s="853" t="s">
        <v>772</v>
      </c>
      <c r="AZ566" s="853" t="str">
        <f>+VLOOKUP($AJ566,Data_Validation!$A:$E,5,0)</f>
        <v/>
      </c>
    </row>
    <row r="567" ht="15.0" customHeight="1">
      <c r="A567" s="849" t="s">
        <v>1239</v>
      </c>
      <c r="B567" s="849">
        <v>2026.0</v>
      </c>
      <c r="C567" s="849" t="s">
        <v>2360</v>
      </c>
      <c r="D567" s="849" t="s">
        <v>2361</v>
      </c>
      <c r="E567" s="849" t="s">
        <v>771</v>
      </c>
      <c r="F567" s="849" t="s">
        <v>2057</v>
      </c>
      <c r="G567" s="849">
        <v>0.0</v>
      </c>
      <c r="H567" s="849">
        <v>0.0</v>
      </c>
      <c r="I567" s="849">
        <v>0.0</v>
      </c>
      <c r="J567" s="849">
        <v>0.0</v>
      </c>
      <c r="K567" s="849">
        <v>410.14</v>
      </c>
      <c r="L567" s="849">
        <v>391.57</v>
      </c>
      <c r="M567" s="849">
        <v>391.57</v>
      </c>
      <c r="N567" s="849">
        <v>0.0</v>
      </c>
      <c r="O567" s="849">
        <v>0.0</v>
      </c>
      <c r="P567" s="849">
        <v>0.0</v>
      </c>
      <c r="Q567" s="849">
        <v>0.0</v>
      </c>
      <c r="R567" s="849">
        <v>0.0</v>
      </c>
      <c r="S567" s="849">
        <v>0.0</v>
      </c>
      <c r="T567" s="849">
        <v>0.0</v>
      </c>
      <c r="U567" s="849">
        <v>0.0</v>
      </c>
      <c r="V567" s="849">
        <v>0.0</v>
      </c>
      <c r="W567" s="849">
        <v>0.0</v>
      </c>
      <c r="X567" s="849">
        <v>0.0</v>
      </c>
      <c r="Y567" s="849">
        <v>0.0</v>
      </c>
      <c r="Z567" s="849">
        <v>0.0</v>
      </c>
      <c r="AA567" s="849">
        <v>0.0</v>
      </c>
      <c r="AB567" s="849">
        <v>0.0</v>
      </c>
      <c r="AC567" s="849">
        <v>0.0</v>
      </c>
      <c r="AD567" s="849">
        <v>0.0</v>
      </c>
      <c r="AE567" s="849">
        <v>0.0</v>
      </c>
      <c r="AF567" s="849">
        <v>0.0</v>
      </c>
      <c r="AG567" s="849">
        <v>0.0</v>
      </c>
      <c r="AH567" s="849">
        <v>0.0</v>
      </c>
      <c r="AI567" s="849">
        <v>0.0</v>
      </c>
      <c r="AJ567" s="794" t="str">
        <f t="shared" ref="AJ567:AK567" si="1131">C567</f>
        <v>G33116</v>
      </c>
      <c r="AK567" s="794" t="str">
        <f t="shared" si="1131"/>
        <v>PROVISION USA LMB</v>
      </c>
      <c r="AL567" s="794">
        <f t="array" ref="AL567">IFERROR(INDEX(G567:R567,1,MATCH(Parametres!$B$3,G$1:R$1,0)-1)*IF(OR(F567="L",F567="S",F567="I"),-1,1),"")</f>
        <v>0</v>
      </c>
      <c r="AM567" s="794">
        <f t="shared" si="4"/>
        <v>0</v>
      </c>
      <c r="AN567" s="794">
        <f t="array" ref="AN567">INDEX(G567:R567,1,MATCH(Parametres!$B$3,G$1:R$1,0))*IF(OR(F567="L",F567="S",F567="I"),-1,1)</f>
        <v>0</v>
      </c>
      <c r="AO567" s="853" t="str">
        <f>+VLOOKUP($AJ567,Data_Validation!$A:$D,1,0)</f>
        <v>G33116</v>
      </c>
      <c r="AP567" s="853" t="str">
        <f>+VLOOKUP($AJ567,Data_Validation!$A:$D,3,0)</f>
        <v>Bilan</v>
      </c>
      <c r="AQ567" s="853" t="str">
        <f>+VLOOKUP($AJ567,Data_Validation!$A:$D,4,0)</f>
        <v>Autres Courus</v>
      </c>
      <c r="AR567" s="853" t="s">
        <v>728</v>
      </c>
      <c r="AS567" s="853" t="str">
        <f>+VLOOKUP($AJ567,Data_Validation!$A:$E,5,0)</f>
        <v/>
      </c>
      <c r="AT567" s="794" t="str">
        <f t="shared" ref="AT567:AU567" si="1132">C567</f>
        <v>G33116</v>
      </c>
      <c r="AU567" s="854" t="str">
        <f t="shared" si="1132"/>
        <v>PROVISION USA LMB</v>
      </c>
      <c r="AV567" s="794">
        <f t="array" ref="AV567">IFERROR(INDEX(V567:AG567,1,MATCH(Parametres!$B$3,V$1:AG$1,0)-1)*IF(OR(C567="L",C567="S",C567="I"),-1,1),"")</f>
        <v>0</v>
      </c>
      <c r="AW567" s="794">
        <f t="shared" si="6"/>
        <v>0</v>
      </c>
      <c r="AX567" s="794">
        <f t="array" ref="AX567">INDEX(V567:AG567,1,MATCH(Parametres!$B$3,V$1:AG$1,0))*IF(OR(C567="L",C567="S",C567="I"),-1,1)</f>
        <v>0</v>
      </c>
      <c r="AY567" s="853" t="s">
        <v>772</v>
      </c>
      <c r="AZ567" s="853" t="str">
        <f>+VLOOKUP($AJ567,Data_Validation!$A:$E,5,0)</f>
        <v/>
      </c>
    </row>
    <row r="568" ht="15.0" customHeight="1">
      <c r="A568" s="849" t="s">
        <v>1239</v>
      </c>
      <c r="B568" s="849">
        <v>2026.0</v>
      </c>
      <c r="C568" s="849" t="s">
        <v>2362</v>
      </c>
      <c r="D568" s="849" t="s">
        <v>2363</v>
      </c>
      <c r="E568" s="849" t="s">
        <v>771</v>
      </c>
      <c r="F568" s="849" t="s">
        <v>2057</v>
      </c>
      <c r="G568" s="849">
        <v>0.0</v>
      </c>
      <c r="H568" s="849">
        <v>0.0</v>
      </c>
      <c r="I568" s="849">
        <v>0.0</v>
      </c>
      <c r="J568" s="849">
        <v>0.0</v>
      </c>
      <c r="K568" s="849">
        <v>1108.44</v>
      </c>
      <c r="L568" s="849">
        <v>0.0</v>
      </c>
      <c r="M568" s="849">
        <v>0.0</v>
      </c>
      <c r="N568" s="849">
        <v>0.0</v>
      </c>
      <c r="O568" s="849">
        <v>0.0</v>
      </c>
      <c r="P568" s="849">
        <v>0.0</v>
      </c>
      <c r="Q568" s="849">
        <v>0.0</v>
      </c>
      <c r="R568" s="849">
        <v>0.0</v>
      </c>
      <c r="S568" s="849">
        <v>0.0</v>
      </c>
      <c r="T568" s="849">
        <v>0.0</v>
      </c>
      <c r="U568" s="849">
        <v>0.0</v>
      </c>
      <c r="V568" s="849">
        <v>0.0</v>
      </c>
      <c r="W568" s="849">
        <v>0.0</v>
      </c>
      <c r="X568" s="849">
        <v>0.0</v>
      </c>
      <c r="Y568" s="849">
        <v>0.0</v>
      </c>
      <c r="Z568" s="849">
        <v>0.0</v>
      </c>
      <c r="AA568" s="849">
        <v>0.0</v>
      </c>
      <c r="AB568" s="849">
        <v>0.0</v>
      </c>
      <c r="AC568" s="849">
        <v>0.0</v>
      </c>
      <c r="AD568" s="849">
        <v>0.0</v>
      </c>
      <c r="AE568" s="849">
        <v>0.0</v>
      </c>
      <c r="AF568" s="849">
        <v>0.0</v>
      </c>
      <c r="AG568" s="849">
        <v>0.0</v>
      </c>
      <c r="AH568" s="849">
        <v>0.0</v>
      </c>
      <c r="AI568" s="849">
        <v>0.0</v>
      </c>
      <c r="AJ568" s="794" t="str">
        <f t="shared" ref="AJ568:AK568" si="1133">C568</f>
        <v>G33117</v>
      </c>
      <c r="AK568" s="794" t="str">
        <f t="shared" si="1133"/>
        <v>PROVISION USA BMW</v>
      </c>
      <c r="AL568" s="794">
        <f t="array" ref="AL568">IFERROR(INDEX(G568:R568,1,MATCH(Parametres!$B$3,G$1:R$1,0)-1)*IF(OR(F568="L",F568="S",F568="I"),-1,1),"")</f>
        <v>0</v>
      </c>
      <c r="AM568" s="794">
        <f t="shared" si="4"/>
        <v>0</v>
      </c>
      <c r="AN568" s="794">
        <f t="array" ref="AN568">INDEX(G568:R568,1,MATCH(Parametres!$B$3,G$1:R$1,0))*IF(OR(F568="L",F568="S",F568="I"),-1,1)</f>
        <v>0</v>
      </c>
      <c r="AO568" s="853" t="str">
        <f>+VLOOKUP($AJ568,Data_Validation!$A:$D,1,0)</f>
        <v>G33117</v>
      </c>
      <c r="AP568" s="853" t="str">
        <f>+VLOOKUP($AJ568,Data_Validation!$A:$D,3,0)</f>
        <v>Bilan</v>
      </c>
      <c r="AQ568" s="853" t="str">
        <f>+VLOOKUP($AJ568,Data_Validation!$A:$D,4,0)</f>
        <v>Autres Courus</v>
      </c>
      <c r="AR568" s="853" t="s">
        <v>728</v>
      </c>
      <c r="AS568" s="853" t="str">
        <f>+VLOOKUP($AJ568,Data_Validation!$A:$E,5,0)</f>
        <v/>
      </c>
      <c r="AT568" s="794" t="str">
        <f t="shared" ref="AT568:AU568" si="1134">C568</f>
        <v>G33117</v>
      </c>
      <c r="AU568" s="854" t="str">
        <f t="shared" si="1134"/>
        <v>PROVISION USA BMW</v>
      </c>
      <c r="AV568" s="794">
        <f t="array" ref="AV568">IFERROR(INDEX(V568:AG568,1,MATCH(Parametres!$B$3,V$1:AG$1,0)-1)*IF(OR(C568="L",C568="S",C568="I"),-1,1),"")</f>
        <v>0</v>
      </c>
      <c r="AW568" s="794">
        <f t="shared" si="6"/>
        <v>0</v>
      </c>
      <c r="AX568" s="794">
        <f t="array" ref="AX568">INDEX(V568:AG568,1,MATCH(Parametres!$B$3,V$1:AG$1,0))*IF(OR(C568="L",C568="S",C568="I"),-1,1)</f>
        <v>0</v>
      </c>
      <c r="AY568" s="853" t="s">
        <v>772</v>
      </c>
      <c r="AZ568" s="853" t="str">
        <f>+VLOOKUP($AJ568,Data_Validation!$A:$E,5,0)</f>
        <v/>
      </c>
    </row>
    <row r="569" ht="15.0" customHeight="1">
      <c r="A569" s="849" t="s">
        <v>1239</v>
      </c>
      <c r="B569" s="849">
        <v>2026.0</v>
      </c>
      <c r="C569" s="849" t="s">
        <v>2364</v>
      </c>
      <c r="D569" s="849" t="s">
        <v>2365</v>
      </c>
      <c r="E569" s="849" t="s">
        <v>771</v>
      </c>
      <c r="F569" s="849" t="s">
        <v>2057</v>
      </c>
      <c r="G569" s="849">
        <v>0.0</v>
      </c>
      <c r="H569" s="849">
        <v>0.0</v>
      </c>
      <c r="I569" s="849">
        <v>0.0</v>
      </c>
      <c r="J569" s="849">
        <v>0.0</v>
      </c>
      <c r="K569" s="849">
        <v>0.0</v>
      </c>
      <c r="L569" s="849">
        <v>0.0</v>
      </c>
      <c r="M569" s="849">
        <v>0.0</v>
      </c>
      <c r="N569" s="849">
        <v>0.0</v>
      </c>
      <c r="O569" s="849">
        <v>0.0</v>
      </c>
      <c r="P569" s="849">
        <v>-1100.0</v>
      </c>
      <c r="Q569" s="849">
        <v>0.0</v>
      </c>
      <c r="R569" s="849">
        <v>0.0</v>
      </c>
      <c r="S569" s="849">
        <v>0.0</v>
      </c>
      <c r="T569" s="849">
        <v>0.0</v>
      </c>
      <c r="U569" s="849">
        <v>0.0</v>
      </c>
      <c r="V569" s="849">
        <v>0.0</v>
      </c>
      <c r="W569" s="849">
        <v>0.0</v>
      </c>
      <c r="X569" s="849">
        <v>0.0</v>
      </c>
      <c r="Y569" s="849">
        <v>0.0</v>
      </c>
      <c r="Z569" s="849">
        <v>0.0</v>
      </c>
      <c r="AA569" s="849">
        <v>0.0</v>
      </c>
      <c r="AB569" s="849">
        <v>0.0</v>
      </c>
      <c r="AC569" s="849">
        <v>0.0</v>
      </c>
      <c r="AD569" s="849">
        <v>0.0</v>
      </c>
      <c r="AE569" s="849">
        <v>0.0</v>
      </c>
      <c r="AF569" s="849">
        <v>0.0</v>
      </c>
      <c r="AG569" s="849">
        <v>0.0</v>
      </c>
      <c r="AH569" s="849">
        <v>0.0</v>
      </c>
      <c r="AI569" s="849">
        <v>0.0</v>
      </c>
      <c r="AJ569" s="794" t="str">
        <f t="shared" ref="AJ569:AK569" si="1135">C569</f>
        <v>G33119</v>
      </c>
      <c r="AK569" s="794" t="str">
        <f t="shared" si="1135"/>
        <v>RESERVE WHOLESALE - AJOUT</v>
      </c>
      <c r="AL569" s="794">
        <f t="array" ref="AL569">IFERROR(INDEX(G569:R569,1,MATCH(Parametres!$B$3,G$1:R$1,0)-1)*IF(OR(F569="L",F569="S",F569="I"),-1,1),"")</f>
        <v>0</v>
      </c>
      <c r="AM569" s="794">
        <f t="shared" si="4"/>
        <v>0</v>
      </c>
      <c r="AN569" s="794">
        <f t="array" ref="AN569">INDEX(G569:R569,1,MATCH(Parametres!$B$3,G$1:R$1,0))*IF(OR(F569="L",F569="S",F569="I"),-1,1)</f>
        <v>0</v>
      </c>
      <c r="AO569" s="853" t="str">
        <f>+VLOOKUP($AJ569,Data_Validation!$A:$D,1,0)</f>
        <v>#N/A</v>
      </c>
      <c r="AP569" s="853" t="str">
        <f>+VLOOKUP($AJ569,Data_Validation!$A:$D,3,0)</f>
        <v>#N/A</v>
      </c>
      <c r="AQ569" s="853" t="str">
        <f>+VLOOKUP($AJ569,Data_Validation!$A:$D,4,0)</f>
        <v>#N/A</v>
      </c>
      <c r="AR569" s="853" t="s">
        <v>728</v>
      </c>
      <c r="AS569" s="853" t="str">
        <f>+VLOOKUP($AJ569,Data_Validation!$A:$E,5,0)</f>
        <v>#N/A</v>
      </c>
      <c r="AT569" s="794" t="str">
        <f t="shared" ref="AT569:AU569" si="1136">C569</f>
        <v>G33119</v>
      </c>
      <c r="AU569" s="854" t="str">
        <f t="shared" si="1136"/>
        <v>RESERVE WHOLESALE - AJOUT</v>
      </c>
      <c r="AV569" s="794">
        <f t="array" ref="AV569">IFERROR(INDEX(V569:AG569,1,MATCH(Parametres!$B$3,V$1:AG$1,0)-1)*IF(OR(C569="L",C569="S",C569="I"),-1,1),"")</f>
        <v>0</v>
      </c>
      <c r="AW569" s="794">
        <f t="shared" si="6"/>
        <v>0</v>
      </c>
      <c r="AX569" s="794">
        <f t="array" ref="AX569">INDEX(V569:AG569,1,MATCH(Parametres!$B$3,V$1:AG$1,0))*IF(OR(C569="L",C569="S",C569="I"),-1,1)</f>
        <v>0</v>
      </c>
      <c r="AY569" s="853" t="s">
        <v>772</v>
      </c>
      <c r="AZ569" s="853" t="str">
        <f>+VLOOKUP($AJ569,Data_Validation!$A:$E,5,0)</f>
        <v>#N/A</v>
      </c>
    </row>
    <row r="570" ht="15.0" customHeight="1">
      <c r="A570" s="849" t="s">
        <v>1239</v>
      </c>
      <c r="B570" s="849">
        <v>2026.0</v>
      </c>
      <c r="C570" s="849" t="s">
        <v>2366</v>
      </c>
      <c r="D570" s="849" t="s">
        <v>2367</v>
      </c>
      <c r="E570" s="849" t="s">
        <v>768</v>
      </c>
      <c r="F570" s="849" t="s">
        <v>2057</v>
      </c>
      <c r="G570" s="849">
        <v>0.0</v>
      </c>
      <c r="H570" s="849">
        <v>0.0</v>
      </c>
      <c r="I570" s="849">
        <v>0.0</v>
      </c>
      <c r="J570" s="849">
        <v>0.0</v>
      </c>
      <c r="K570" s="849">
        <v>0.0</v>
      </c>
      <c r="L570" s="849">
        <v>0.0</v>
      </c>
      <c r="M570" s="849">
        <v>-23333.35</v>
      </c>
      <c r="N570" s="849">
        <v>-18666.68</v>
      </c>
      <c r="O570" s="849">
        <v>-14000.01</v>
      </c>
      <c r="P570" s="849">
        <v>-14000.01</v>
      </c>
      <c r="Q570" s="849">
        <v>0.0</v>
      </c>
      <c r="R570" s="849">
        <v>0.0</v>
      </c>
      <c r="S570" s="849">
        <v>0.0</v>
      </c>
      <c r="T570" s="849">
        <v>0.0</v>
      </c>
      <c r="U570" s="849">
        <v>0.0</v>
      </c>
      <c r="V570" s="849">
        <v>0.0</v>
      </c>
      <c r="W570" s="849">
        <v>0.0</v>
      </c>
      <c r="X570" s="849">
        <v>0.0</v>
      </c>
      <c r="Y570" s="849">
        <v>0.0</v>
      </c>
      <c r="Z570" s="849">
        <v>0.0</v>
      </c>
      <c r="AA570" s="849">
        <v>0.0</v>
      </c>
      <c r="AB570" s="849">
        <v>0.0</v>
      </c>
      <c r="AC570" s="849">
        <v>0.0</v>
      </c>
      <c r="AD570" s="849">
        <v>0.0</v>
      </c>
      <c r="AE570" s="849">
        <v>0.0</v>
      </c>
      <c r="AF570" s="849">
        <v>0.0</v>
      </c>
      <c r="AG570" s="849">
        <v>0.0</v>
      </c>
      <c r="AH570" s="849">
        <v>0.0</v>
      </c>
      <c r="AI570" s="849">
        <v>0.0</v>
      </c>
      <c r="AJ570" s="794" t="str">
        <f t="shared" ref="AJ570:AK570" si="1137">C570</f>
        <v>G33120</v>
      </c>
      <c r="AK570" s="794" t="str">
        <f t="shared" si="1137"/>
        <v>HONORAIRE VERIFICATION</v>
      </c>
      <c r="AL570" s="794">
        <f t="array" ref="AL570">IFERROR(INDEX(G570:R570,1,MATCH(Parametres!$B$3,G$1:R$1,0)-1)*IF(OR(F570="L",F570="S",F570="I"),-1,1),"")</f>
        <v>18666.68</v>
      </c>
      <c r="AM570" s="794">
        <f t="shared" si="4"/>
        <v>-4666.67</v>
      </c>
      <c r="AN570" s="794">
        <f t="array" ref="AN570">INDEX(G570:R570,1,MATCH(Parametres!$B$3,G$1:R$1,0))*IF(OR(F570="L",F570="S",F570="I"),-1,1)</f>
        <v>14000.01</v>
      </c>
      <c r="AO570" s="853" t="str">
        <f>+VLOOKUP($AJ570,Data_Validation!$A:$D,1,0)</f>
        <v>G33120</v>
      </c>
      <c r="AP570" s="853" t="str">
        <f>+VLOOKUP($AJ570,Data_Validation!$A:$D,3,0)</f>
        <v>Bilan</v>
      </c>
      <c r="AQ570" s="853" t="str">
        <f>+VLOOKUP($AJ570,Data_Validation!$A:$D,4,0)</f>
        <v>Autres Courus</v>
      </c>
      <c r="AR570" s="853" t="s">
        <v>728</v>
      </c>
      <c r="AS570" s="853" t="str">
        <f>+VLOOKUP($AJ570,Data_Validation!$A:$E,5,0)</f>
        <v/>
      </c>
      <c r="AT570" s="794" t="str">
        <f t="shared" ref="AT570:AU570" si="1138">C570</f>
        <v>G33120</v>
      </c>
      <c r="AU570" s="854" t="str">
        <f t="shared" si="1138"/>
        <v>HONORAIRE VERIFICATION</v>
      </c>
      <c r="AV570" s="794">
        <f t="array" ref="AV570">IFERROR(INDEX(V570:AG570,1,MATCH(Parametres!$B$3,V$1:AG$1,0)-1)*IF(OR(C570="L",C570="S",C570="I"),-1,1),"")</f>
        <v>0</v>
      </c>
      <c r="AW570" s="794">
        <f t="shared" si="6"/>
        <v>0</v>
      </c>
      <c r="AX570" s="794">
        <f t="array" ref="AX570">INDEX(V570:AG570,1,MATCH(Parametres!$B$3,V$1:AG$1,0))*IF(OR(C570="L",C570="S",C570="I"),-1,1)</f>
        <v>0</v>
      </c>
      <c r="AY570" s="853" t="s">
        <v>772</v>
      </c>
      <c r="AZ570" s="853" t="str">
        <f>+VLOOKUP($AJ570,Data_Validation!$A:$E,5,0)</f>
        <v/>
      </c>
    </row>
    <row r="571" ht="15.0" customHeight="1">
      <c r="A571" s="849" t="s">
        <v>1239</v>
      </c>
      <c r="B571" s="849">
        <v>2026.0</v>
      </c>
      <c r="C571" s="849" t="s">
        <v>2368</v>
      </c>
      <c r="D571" s="849" t="s">
        <v>2369</v>
      </c>
      <c r="E571" s="849" t="s">
        <v>1959</v>
      </c>
      <c r="F571" s="849" t="s">
        <v>2057</v>
      </c>
      <c r="G571" s="849">
        <v>4200.0</v>
      </c>
      <c r="H571" s="849">
        <v>1950.0</v>
      </c>
      <c r="I571" s="849">
        <v>4700.0</v>
      </c>
      <c r="J571" s="849">
        <v>8700.0</v>
      </c>
      <c r="K571" s="849">
        <v>12824.0</v>
      </c>
      <c r="L571" s="849">
        <v>12824.0</v>
      </c>
      <c r="M571" s="849">
        <v>12824.0</v>
      </c>
      <c r="N571" s="849">
        <v>6575.0</v>
      </c>
      <c r="O571" s="849">
        <v>6575.0</v>
      </c>
      <c r="P571" s="849">
        <v>6575.0</v>
      </c>
      <c r="Q571" s="849">
        <v>0.0</v>
      </c>
      <c r="R571" s="849">
        <v>0.0</v>
      </c>
      <c r="S571" s="849">
        <v>0.0</v>
      </c>
      <c r="T571" s="849">
        <v>0.0</v>
      </c>
      <c r="U571" s="849">
        <v>0.0</v>
      </c>
      <c r="V571" s="849">
        <v>0.0</v>
      </c>
      <c r="W571" s="849">
        <v>0.0</v>
      </c>
      <c r="X571" s="849">
        <v>0.0</v>
      </c>
      <c r="Y571" s="849">
        <v>0.0</v>
      </c>
      <c r="Z571" s="849">
        <v>0.0</v>
      </c>
      <c r="AA571" s="849">
        <v>0.0</v>
      </c>
      <c r="AB571" s="849">
        <v>0.0</v>
      </c>
      <c r="AC571" s="849">
        <v>0.0</v>
      </c>
      <c r="AD571" s="849">
        <v>0.0</v>
      </c>
      <c r="AE571" s="849">
        <v>0.0</v>
      </c>
      <c r="AF571" s="849">
        <v>0.0</v>
      </c>
      <c r="AG571" s="849">
        <v>0.0</v>
      </c>
      <c r="AH571" s="849">
        <v>0.0</v>
      </c>
      <c r="AI571" s="849">
        <v>0.0</v>
      </c>
      <c r="AJ571" s="794" t="str">
        <f t="shared" ref="AJ571:AK571" si="1139">C571</f>
        <v>G33150</v>
      </c>
      <c r="AK571" s="794" t="str">
        <f t="shared" si="1139"/>
        <v>SIMPLICITÉ RABAIS À PAYER</v>
      </c>
      <c r="AL571" s="794">
        <f t="array" ref="AL571">IFERROR(INDEX(G571:R571,1,MATCH(Parametres!$B$3,G$1:R$1,0)-1)*IF(OR(F571="L",F571="S",F571="I"),-1,1),"")</f>
        <v>-6575</v>
      </c>
      <c r="AM571" s="794">
        <f t="shared" si="4"/>
        <v>0</v>
      </c>
      <c r="AN571" s="794">
        <f t="array" ref="AN571">INDEX(G571:R571,1,MATCH(Parametres!$B$3,G$1:R$1,0))*IF(OR(F571="L",F571="S",F571="I"),-1,1)</f>
        <v>-6575</v>
      </c>
      <c r="AO571" s="853" t="str">
        <f>+VLOOKUP($AJ571,Data_Validation!$A:$D,1,0)</f>
        <v>G33150</v>
      </c>
      <c r="AP571" s="853" t="str">
        <f>+VLOOKUP($AJ571,Data_Validation!$A:$D,3,0)</f>
        <v>Bilan</v>
      </c>
      <c r="AQ571" s="853" t="str">
        <f>+VLOOKUP($AJ571,Data_Validation!$A:$D,4,0)</f>
        <v>Autres Courus</v>
      </c>
      <c r="AR571" s="853" t="s">
        <v>728</v>
      </c>
      <c r="AS571" s="853" t="str">
        <f>+VLOOKUP($AJ571,Data_Validation!$A:$E,5,0)</f>
        <v/>
      </c>
      <c r="AT571" s="794" t="str">
        <f t="shared" ref="AT571:AU571" si="1140">C571</f>
        <v>G33150</v>
      </c>
      <c r="AU571" s="854" t="str">
        <f t="shared" si="1140"/>
        <v>SIMPLICITÉ RABAIS À PAYER</v>
      </c>
      <c r="AV571" s="794">
        <f t="array" ref="AV571">IFERROR(INDEX(V571:AG571,1,MATCH(Parametres!$B$3,V$1:AG$1,0)-1)*IF(OR(C571="L",C571="S",C571="I"),-1,1),"")</f>
        <v>0</v>
      </c>
      <c r="AW571" s="794">
        <f t="shared" si="6"/>
        <v>0</v>
      </c>
      <c r="AX571" s="794">
        <f t="array" ref="AX571">INDEX(V571:AG571,1,MATCH(Parametres!$B$3,V$1:AG$1,0))*IF(OR(C571="L",C571="S",C571="I"),-1,1)</f>
        <v>0</v>
      </c>
      <c r="AY571" s="853" t="s">
        <v>772</v>
      </c>
      <c r="AZ571" s="853" t="str">
        <f>+VLOOKUP($AJ571,Data_Validation!$A:$E,5,0)</f>
        <v/>
      </c>
    </row>
    <row r="572" ht="15.0" customHeight="1">
      <c r="A572" s="849" t="s">
        <v>1239</v>
      </c>
      <c r="B572" s="849">
        <v>2026.0</v>
      </c>
      <c r="C572" s="849" t="s">
        <v>2370</v>
      </c>
      <c r="D572" s="849" t="s">
        <v>2371</v>
      </c>
      <c r="E572" s="849" t="s">
        <v>768</v>
      </c>
      <c r="F572" s="849" t="s">
        <v>2057</v>
      </c>
      <c r="G572" s="849">
        <v>0.0</v>
      </c>
      <c r="H572" s="849">
        <v>0.0</v>
      </c>
      <c r="I572" s="849">
        <v>0.0</v>
      </c>
      <c r="J572" s="849">
        <v>0.0</v>
      </c>
      <c r="K572" s="849">
        <v>0.0</v>
      </c>
      <c r="L572" s="849">
        <v>0.0</v>
      </c>
      <c r="M572" s="849">
        <v>0.0</v>
      </c>
      <c r="N572" s="849">
        <v>0.0</v>
      </c>
      <c r="O572" s="849">
        <v>0.0</v>
      </c>
      <c r="P572" s="849">
        <v>0.0</v>
      </c>
      <c r="Q572" s="849">
        <v>0.0</v>
      </c>
      <c r="R572" s="849">
        <v>0.0</v>
      </c>
      <c r="S572" s="849">
        <v>0.0</v>
      </c>
      <c r="T572" s="849">
        <v>0.0</v>
      </c>
      <c r="U572" s="849">
        <v>0.0</v>
      </c>
      <c r="V572" s="849">
        <v>0.0</v>
      </c>
      <c r="W572" s="849">
        <v>0.0</v>
      </c>
      <c r="X572" s="849">
        <v>0.0</v>
      </c>
      <c r="Y572" s="849">
        <v>0.0</v>
      </c>
      <c r="Z572" s="849">
        <v>0.0</v>
      </c>
      <c r="AA572" s="849">
        <v>0.0</v>
      </c>
      <c r="AB572" s="849">
        <v>0.0</v>
      </c>
      <c r="AC572" s="849">
        <v>0.0</v>
      </c>
      <c r="AD572" s="849">
        <v>0.0</v>
      </c>
      <c r="AE572" s="849">
        <v>0.0</v>
      </c>
      <c r="AF572" s="849">
        <v>0.0</v>
      </c>
      <c r="AG572" s="849">
        <v>0.0</v>
      </c>
      <c r="AH572" s="849">
        <v>0.0</v>
      </c>
      <c r="AI572" s="849">
        <v>0.0</v>
      </c>
      <c r="AJ572" s="794" t="str">
        <f t="shared" ref="AJ572:AK572" si="1141">C572</f>
        <v>G33200</v>
      </c>
      <c r="AK572" s="794" t="str">
        <f t="shared" si="1141"/>
        <v>RACHAT ACTIONS PRIVILEGIE</v>
      </c>
      <c r="AL572" s="794">
        <f t="array" ref="AL572">IFERROR(INDEX(G572:R572,1,MATCH(Parametres!$B$3,G$1:R$1,0)-1)*IF(OR(F572="L",F572="S",F572="I"),-1,1),"")</f>
        <v>0</v>
      </c>
      <c r="AM572" s="794">
        <f t="shared" si="4"/>
        <v>0</v>
      </c>
      <c r="AN572" s="794">
        <f t="array" ref="AN572">INDEX(G572:R572,1,MATCH(Parametres!$B$3,G$1:R$1,0))*IF(OR(F572="L",F572="S",F572="I"),-1,1)</f>
        <v>0</v>
      </c>
      <c r="AO572" s="853" t="str">
        <f>+VLOOKUP($AJ572,Data_Validation!$A:$D,1,0)</f>
        <v>#N/A</v>
      </c>
      <c r="AP572" s="853" t="str">
        <f>+VLOOKUP($AJ572,Data_Validation!$A:$D,3,0)</f>
        <v>#N/A</v>
      </c>
      <c r="AQ572" s="853" t="str">
        <f>+VLOOKUP($AJ572,Data_Validation!$A:$D,4,0)</f>
        <v>#N/A</v>
      </c>
      <c r="AR572" s="853" t="s">
        <v>728</v>
      </c>
      <c r="AS572" s="853" t="str">
        <f>+VLOOKUP($AJ572,Data_Validation!$A:$E,5,0)</f>
        <v>#N/A</v>
      </c>
      <c r="AT572" s="794" t="str">
        <f t="shared" ref="AT572:AU572" si="1142">C572</f>
        <v>G33200</v>
      </c>
      <c r="AU572" s="854" t="str">
        <f t="shared" si="1142"/>
        <v>RACHAT ACTIONS PRIVILEGIE</v>
      </c>
      <c r="AV572" s="794">
        <f t="array" ref="AV572">IFERROR(INDEX(V572:AG572,1,MATCH(Parametres!$B$3,V$1:AG$1,0)-1)*IF(OR(C572="L",C572="S",C572="I"),-1,1),"")</f>
        <v>0</v>
      </c>
      <c r="AW572" s="794">
        <f t="shared" si="6"/>
        <v>0</v>
      </c>
      <c r="AX572" s="794">
        <f t="array" ref="AX572">INDEX(V572:AG572,1,MATCH(Parametres!$B$3,V$1:AG$1,0))*IF(OR(C572="L",C572="S",C572="I"),-1,1)</f>
        <v>0</v>
      </c>
      <c r="AY572" s="853" t="s">
        <v>772</v>
      </c>
      <c r="AZ572" s="853" t="str">
        <f>+VLOOKUP($AJ572,Data_Validation!$A:$E,5,0)</f>
        <v>#N/A</v>
      </c>
    </row>
    <row r="573" ht="15.0" customHeight="1">
      <c r="A573" s="849" t="s">
        <v>1239</v>
      </c>
      <c r="B573" s="849">
        <v>2026.0</v>
      </c>
      <c r="C573" s="849" t="s">
        <v>2372</v>
      </c>
      <c r="D573" s="849" t="s">
        <v>2373</v>
      </c>
      <c r="E573" s="849" t="s">
        <v>768</v>
      </c>
      <c r="F573" s="849" t="s">
        <v>2057</v>
      </c>
      <c r="G573" s="849">
        <v>0.0</v>
      </c>
      <c r="H573" s="849">
        <v>0.0</v>
      </c>
      <c r="I573" s="849">
        <v>0.0</v>
      </c>
      <c r="J573" s="849">
        <v>0.0</v>
      </c>
      <c r="K573" s="849">
        <v>0.0</v>
      </c>
      <c r="L573" s="849">
        <v>0.0</v>
      </c>
      <c r="M573" s="849">
        <v>0.0</v>
      </c>
      <c r="N573" s="849">
        <v>144000.0</v>
      </c>
      <c r="O573" s="849">
        <v>144000.0</v>
      </c>
      <c r="P573" s="849">
        <v>144000.0</v>
      </c>
      <c r="Q573" s="849">
        <v>0.0</v>
      </c>
      <c r="R573" s="849">
        <v>0.0</v>
      </c>
      <c r="S573" s="849">
        <v>0.0</v>
      </c>
      <c r="T573" s="849">
        <v>0.0</v>
      </c>
      <c r="U573" s="849">
        <v>0.0</v>
      </c>
      <c r="V573" s="849">
        <v>0.0</v>
      </c>
      <c r="W573" s="849">
        <v>0.0</v>
      </c>
      <c r="X573" s="849">
        <v>0.0</v>
      </c>
      <c r="Y573" s="849">
        <v>0.0</v>
      </c>
      <c r="Z573" s="849">
        <v>0.0</v>
      </c>
      <c r="AA573" s="849">
        <v>0.0</v>
      </c>
      <c r="AB573" s="849">
        <v>0.0</v>
      </c>
      <c r="AC573" s="849">
        <v>0.0</v>
      </c>
      <c r="AD573" s="849">
        <v>0.0</v>
      </c>
      <c r="AE573" s="849">
        <v>0.0</v>
      </c>
      <c r="AF573" s="849">
        <v>0.0</v>
      </c>
      <c r="AG573" s="849">
        <v>0.0</v>
      </c>
      <c r="AH573" s="849">
        <v>0.0</v>
      </c>
      <c r="AI573" s="849">
        <v>0.0</v>
      </c>
      <c r="AJ573" s="794" t="str">
        <f t="shared" ref="AJ573:AK573" si="1143">C573</f>
        <v>G33250</v>
      </c>
      <c r="AK573" s="794" t="str">
        <f t="shared" si="1143"/>
        <v>RISTOURNE AXALTA</v>
      </c>
      <c r="AL573" s="794">
        <f t="array" ref="AL573">IFERROR(INDEX(G573:R573,1,MATCH(Parametres!$B$3,G$1:R$1,0)-1)*IF(OR(F573="L",F573="S",F573="I"),-1,1),"")</f>
        <v>-144000</v>
      </c>
      <c r="AM573" s="794">
        <f t="shared" si="4"/>
        <v>0</v>
      </c>
      <c r="AN573" s="794">
        <f t="array" ref="AN573">INDEX(G573:R573,1,MATCH(Parametres!$B$3,G$1:R$1,0))*IF(OR(F573="L",F573="S",F573="I"),-1,1)</f>
        <v>-144000</v>
      </c>
      <c r="AO573" s="853" t="str">
        <f>+VLOOKUP($AJ573,Data_Validation!$A:$D,1,0)</f>
        <v>G33250</v>
      </c>
      <c r="AP573" s="853" t="str">
        <f>+VLOOKUP($AJ573,Data_Validation!$A:$D,3,0)</f>
        <v>Bilan</v>
      </c>
      <c r="AQ573" s="853" t="str">
        <f>+VLOOKUP($AJ573,Data_Validation!$A:$D,4,0)</f>
        <v>Autres Courus</v>
      </c>
      <c r="AR573" s="853" t="s">
        <v>728</v>
      </c>
      <c r="AS573" s="853" t="str">
        <f>+VLOOKUP($AJ573,Data_Validation!$A:$E,5,0)</f>
        <v/>
      </c>
      <c r="AT573" s="794" t="str">
        <f t="shared" ref="AT573:AU573" si="1144">C573</f>
        <v>G33250</v>
      </c>
      <c r="AU573" s="854" t="str">
        <f t="shared" si="1144"/>
        <v>RISTOURNE AXALTA</v>
      </c>
      <c r="AV573" s="794">
        <f t="array" ref="AV573">IFERROR(INDEX(V573:AG573,1,MATCH(Parametres!$B$3,V$1:AG$1,0)-1)*IF(OR(C573="L",C573="S",C573="I"),-1,1),"")</f>
        <v>0</v>
      </c>
      <c r="AW573" s="794">
        <f t="shared" si="6"/>
        <v>0</v>
      </c>
      <c r="AX573" s="794">
        <f t="array" ref="AX573">INDEX(V573:AG573,1,MATCH(Parametres!$B$3,V$1:AG$1,0))*IF(OR(C573="L",C573="S",C573="I"),-1,1)</f>
        <v>0</v>
      </c>
      <c r="AY573" s="853" t="s">
        <v>772</v>
      </c>
      <c r="AZ573" s="853" t="str">
        <f>+VLOOKUP($AJ573,Data_Validation!$A:$E,5,0)</f>
        <v/>
      </c>
    </row>
    <row r="574" ht="15.0" customHeight="1">
      <c r="A574" s="849" t="s">
        <v>1239</v>
      </c>
      <c r="B574" s="849">
        <v>2026.0</v>
      </c>
      <c r="C574" s="849" t="s">
        <v>2374</v>
      </c>
      <c r="D574" s="849" t="s">
        <v>2375</v>
      </c>
      <c r="E574" s="849" t="s">
        <v>768</v>
      </c>
      <c r="F574" s="849" t="s">
        <v>2057</v>
      </c>
      <c r="G574" s="849">
        <v>-30962.0</v>
      </c>
      <c r="H574" s="849">
        <v>-30962.0</v>
      </c>
      <c r="I574" s="849">
        <v>-30962.0</v>
      </c>
      <c r="J574" s="849">
        <v>-30962.0</v>
      </c>
      <c r="K574" s="849">
        <v>-30962.0</v>
      </c>
      <c r="L574" s="849">
        <v>-30962.0</v>
      </c>
      <c r="M574" s="849">
        <v>88167.0</v>
      </c>
      <c r="N574" s="849">
        <v>88167.0</v>
      </c>
      <c r="O574" s="849">
        <v>88167.0</v>
      </c>
      <c r="P574" s="849">
        <v>88167.0</v>
      </c>
      <c r="Q574" s="849">
        <v>0.0</v>
      </c>
      <c r="R574" s="849">
        <v>0.0</v>
      </c>
      <c r="S574" s="849">
        <v>0.0</v>
      </c>
      <c r="T574" s="849">
        <v>0.0</v>
      </c>
      <c r="U574" s="849">
        <v>0.0</v>
      </c>
      <c r="V574" s="849">
        <v>0.0</v>
      </c>
      <c r="W574" s="849">
        <v>0.0</v>
      </c>
      <c r="X574" s="849">
        <v>0.0</v>
      </c>
      <c r="Y574" s="849">
        <v>0.0</v>
      </c>
      <c r="Z574" s="849">
        <v>0.0</v>
      </c>
      <c r="AA574" s="849">
        <v>0.0</v>
      </c>
      <c r="AB574" s="849">
        <v>0.0</v>
      </c>
      <c r="AC574" s="849">
        <v>0.0</v>
      </c>
      <c r="AD574" s="849">
        <v>0.0</v>
      </c>
      <c r="AE574" s="849">
        <v>0.0</v>
      </c>
      <c r="AF574" s="849">
        <v>0.0</v>
      </c>
      <c r="AG574" s="849">
        <v>0.0</v>
      </c>
      <c r="AH574" s="849">
        <v>0.0</v>
      </c>
      <c r="AI574" s="849">
        <v>0.0</v>
      </c>
      <c r="AJ574" s="794" t="str">
        <f t="shared" ref="AJ574:AK574" si="1145">C574</f>
        <v>G33300</v>
      </c>
      <c r="AK574" s="794" t="str">
        <f t="shared" si="1145"/>
        <v>ACTIF D'IMPOTS FUTURS</v>
      </c>
      <c r="AL574" s="794">
        <f t="array" ref="AL574">IFERROR(INDEX(G574:R574,1,MATCH(Parametres!$B$3,G$1:R$1,0)-1)*IF(OR(F574="L",F574="S",F574="I"),-1,1),"")</f>
        <v>-88167</v>
      </c>
      <c r="AM574" s="794">
        <f t="shared" si="4"/>
        <v>0</v>
      </c>
      <c r="AN574" s="794">
        <f t="array" ref="AN574">INDEX(G574:R574,1,MATCH(Parametres!$B$3,G$1:R$1,0))*IF(OR(F574="L",F574="S",F574="I"),-1,1)</f>
        <v>-88167</v>
      </c>
      <c r="AO574" s="853" t="str">
        <f>+VLOOKUP($AJ574,Data_Validation!$A:$D,1,0)</f>
        <v>G33300</v>
      </c>
      <c r="AP574" s="853" t="str">
        <f>+VLOOKUP($AJ574,Data_Validation!$A:$D,3,0)</f>
        <v>Bilan</v>
      </c>
      <c r="AQ574" s="853" t="str">
        <f>+VLOOKUP($AJ574,Data_Validation!$A:$D,4,0)</f>
        <v>Impôts Futurs à payer</v>
      </c>
      <c r="AR574" s="853" t="s">
        <v>728</v>
      </c>
      <c r="AS574" s="853" t="str">
        <f>+VLOOKUP($AJ574,Data_Validation!$A:$E,5,0)</f>
        <v/>
      </c>
      <c r="AT574" s="794" t="str">
        <f t="shared" ref="AT574:AU574" si="1146">C574</f>
        <v>G33300</v>
      </c>
      <c r="AU574" s="854" t="str">
        <f t="shared" si="1146"/>
        <v>ACTIF D'IMPOTS FUTURS</v>
      </c>
      <c r="AV574" s="794">
        <f t="array" ref="AV574">IFERROR(INDEX(V574:AG574,1,MATCH(Parametres!$B$3,V$1:AG$1,0)-1)*IF(OR(C574="L",C574="S",C574="I"),-1,1),"")</f>
        <v>0</v>
      </c>
      <c r="AW574" s="794">
        <f t="shared" si="6"/>
        <v>0</v>
      </c>
      <c r="AX574" s="794">
        <f t="array" ref="AX574">INDEX(V574:AG574,1,MATCH(Parametres!$B$3,V$1:AG$1,0))*IF(OR(C574="L",C574="S",C574="I"),-1,1)</f>
        <v>0</v>
      </c>
      <c r="AY574" s="853" t="s">
        <v>772</v>
      </c>
      <c r="AZ574" s="853" t="str">
        <f>+VLOOKUP($AJ574,Data_Validation!$A:$E,5,0)</f>
        <v/>
      </c>
    </row>
    <row r="575" ht="15.0" customHeight="1">
      <c r="A575" s="849" t="s">
        <v>1239</v>
      </c>
      <c r="B575" s="849">
        <v>2026.0</v>
      </c>
      <c r="C575" s="849" t="s">
        <v>2376</v>
      </c>
      <c r="D575" s="849" t="s">
        <v>2377</v>
      </c>
      <c r="E575" s="849" t="s">
        <v>768</v>
      </c>
      <c r="F575" s="849" t="s">
        <v>2057</v>
      </c>
      <c r="G575" s="849">
        <v>0.0</v>
      </c>
      <c r="H575" s="849">
        <v>0.0</v>
      </c>
      <c r="I575" s="849">
        <v>0.0</v>
      </c>
      <c r="J575" s="849">
        <v>0.0</v>
      </c>
      <c r="K575" s="849">
        <v>0.0</v>
      </c>
      <c r="L575" s="849">
        <v>0.0</v>
      </c>
      <c r="M575" s="849">
        <v>0.0</v>
      </c>
      <c r="N575" s="849">
        <v>0.0</v>
      </c>
      <c r="O575" s="849">
        <v>0.0</v>
      </c>
      <c r="P575" s="849">
        <v>0.0</v>
      </c>
      <c r="Q575" s="849">
        <v>0.0</v>
      </c>
      <c r="R575" s="849">
        <v>0.0</v>
      </c>
      <c r="S575" s="849">
        <v>0.0</v>
      </c>
      <c r="T575" s="849">
        <v>0.0</v>
      </c>
      <c r="U575" s="849">
        <v>0.0</v>
      </c>
      <c r="V575" s="849">
        <v>0.0</v>
      </c>
      <c r="W575" s="849">
        <v>0.0</v>
      </c>
      <c r="X575" s="849">
        <v>0.0</v>
      </c>
      <c r="Y575" s="849">
        <v>0.0</v>
      </c>
      <c r="Z575" s="849">
        <v>0.0</v>
      </c>
      <c r="AA575" s="849">
        <v>0.0</v>
      </c>
      <c r="AB575" s="849">
        <v>0.0</v>
      </c>
      <c r="AC575" s="849">
        <v>0.0</v>
      </c>
      <c r="AD575" s="849">
        <v>0.0</v>
      </c>
      <c r="AE575" s="849">
        <v>0.0</v>
      </c>
      <c r="AF575" s="849">
        <v>0.0</v>
      </c>
      <c r="AG575" s="849">
        <v>0.0</v>
      </c>
      <c r="AH575" s="849">
        <v>0.0</v>
      </c>
      <c r="AI575" s="849">
        <v>0.0</v>
      </c>
      <c r="AJ575" s="794" t="str">
        <f t="shared" ref="AJ575:AK575" si="1147">C575</f>
        <v>G33400</v>
      </c>
      <c r="AK575" s="794" t="str">
        <f t="shared" si="1147"/>
        <v>MARGE DE CRÉDIT &amp; LOYER</v>
      </c>
      <c r="AL575" s="794">
        <f t="array" ref="AL575">IFERROR(INDEX(G575:R575,1,MATCH(Parametres!$B$3,G$1:R$1,0)-1)*IF(OR(F575="L",F575="S",F575="I"),-1,1),"")</f>
        <v>0</v>
      </c>
      <c r="AM575" s="794">
        <f t="shared" si="4"/>
        <v>0</v>
      </c>
      <c r="AN575" s="794">
        <f t="array" ref="AN575">INDEX(G575:R575,1,MATCH(Parametres!$B$3,G$1:R$1,0))*IF(OR(F575="L",F575="S",F575="I"),-1,1)</f>
        <v>0</v>
      </c>
      <c r="AO575" s="853" t="str">
        <f>+VLOOKUP($AJ575,Data_Validation!$A:$D,1,0)</f>
        <v>G33400</v>
      </c>
      <c r="AP575" s="853" t="str">
        <f>+VLOOKUP($AJ575,Data_Validation!$A:$D,3,0)</f>
        <v>Bilan</v>
      </c>
      <c r="AQ575" s="853" t="str">
        <f>+VLOOKUP($AJ575,Data_Validation!$A:$D,4,0)</f>
        <v>Marge de crédit</v>
      </c>
      <c r="AR575" s="853" t="s">
        <v>728</v>
      </c>
      <c r="AS575" s="853" t="str">
        <f>+VLOOKUP($AJ575,Data_Validation!$A:$E,5,0)</f>
        <v/>
      </c>
      <c r="AT575" s="794" t="str">
        <f t="shared" ref="AT575:AU575" si="1148">C575</f>
        <v>G33400</v>
      </c>
      <c r="AU575" s="854" t="str">
        <f t="shared" si="1148"/>
        <v>MARGE DE CRÉDIT &amp; LOYER</v>
      </c>
      <c r="AV575" s="794">
        <f t="array" ref="AV575">IFERROR(INDEX(V575:AG575,1,MATCH(Parametres!$B$3,V$1:AG$1,0)-1)*IF(OR(C575="L",C575="S",C575="I"),-1,1),"")</f>
        <v>0</v>
      </c>
      <c r="AW575" s="794">
        <f t="shared" si="6"/>
        <v>0</v>
      </c>
      <c r="AX575" s="794">
        <f t="array" ref="AX575">INDEX(V575:AG575,1,MATCH(Parametres!$B$3,V$1:AG$1,0))*IF(OR(C575="L",C575="S",C575="I"),-1,1)</f>
        <v>0</v>
      </c>
      <c r="AY575" s="853" t="s">
        <v>772</v>
      </c>
      <c r="AZ575" s="853" t="str">
        <f>+VLOOKUP($AJ575,Data_Validation!$A:$E,5,0)</f>
        <v/>
      </c>
    </row>
    <row r="576" ht="15.0" customHeight="1">
      <c r="A576" s="849" t="s">
        <v>1239</v>
      </c>
      <c r="B576" s="849">
        <v>2026.0</v>
      </c>
      <c r="C576" s="849" t="s">
        <v>2378</v>
      </c>
      <c r="D576" s="849" t="s">
        <v>2379</v>
      </c>
      <c r="E576" s="849" t="s">
        <v>768</v>
      </c>
      <c r="F576" s="849" t="s">
        <v>2057</v>
      </c>
      <c r="G576" s="849">
        <v>-62787.0</v>
      </c>
      <c r="H576" s="849">
        <v>-62787.0</v>
      </c>
      <c r="I576" s="849">
        <v>-62787.0</v>
      </c>
      <c r="J576" s="849">
        <v>-62787.0</v>
      </c>
      <c r="K576" s="849">
        <v>-62787.0</v>
      </c>
      <c r="L576" s="849">
        <v>-62787.0</v>
      </c>
      <c r="M576" s="849">
        <v>-156705.0</v>
      </c>
      <c r="N576" s="849">
        <v>-156705.0</v>
      </c>
      <c r="O576" s="849">
        <v>-156705.0</v>
      </c>
      <c r="P576" s="849">
        <v>-156705.0</v>
      </c>
      <c r="Q576" s="849">
        <v>0.0</v>
      </c>
      <c r="R576" s="849">
        <v>0.0</v>
      </c>
      <c r="S576" s="849">
        <v>0.0</v>
      </c>
      <c r="T576" s="849">
        <v>0.0</v>
      </c>
      <c r="U576" s="849">
        <v>0.0</v>
      </c>
      <c r="V576" s="849">
        <v>0.0</v>
      </c>
      <c r="W576" s="849">
        <v>0.0</v>
      </c>
      <c r="X576" s="849">
        <v>0.0</v>
      </c>
      <c r="Y576" s="849">
        <v>0.0</v>
      </c>
      <c r="Z576" s="849">
        <v>0.0</v>
      </c>
      <c r="AA576" s="849">
        <v>0.0</v>
      </c>
      <c r="AB576" s="849">
        <v>0.0</v>
      </c>
      <c r="AC576" s="849">
        <v>0.0</v>
      </c>
      <c r="AD576" s="849">
        <v>0.0</v>
      </c>
      <c r="AE576" s="849">
        <v>0.0</v>
      </c>
      <c r="AF576" s="849">
        <v>0.0</v>
      </c>
      <c r="AG576" s="849">
        <v>0.0</v>
      </c>
      <c r="AH576" s="849">
        <v>0.0</v>
      </c>
      <c r="AI576" s="849">
        <v>0.0</v>
      </c>
      <c r="AJ576" s="794" t="str">
        <f t="shared" ref="AJ576:AK576" si="1149">C576</f>
        <v>G33600</v>
      </c>
      <c r="AK576" s="794" t="str">
        <f t="shared" si="1149"/>
        <v>RRI</v>
      </c>
      <c r="AL576" s="794">
        <f t="array" ref="AL576">IFERROR(INDEX(G576:R576,1,MATCH(Parametres!$B$3,G$1:R$1,0)-1)*IF(OR(F576="L",F576="S",F576="I"),-1,1),"")</f>
        <v>156705</v>
      </c>
      <c r="AM576" s="794">
        <f t="shared" si="4"/>
        <v>0</v>
      </c>
      <c r="AN576" s="794">
        <f t="array" ref="AN576">INDEX(G576:R576,1,MATCH(Parametres!$B$3,G$1:R$1,0))*IF(OR(F576="L",F576="S",F576="I"),-1,1)</f>
        <v>156705</v>
      </c>
      <c r="AO576" s="853" t="str">
        <f>+VLOOKUP($AJ576,Data_Validation!$A:$D,1,0)</f>
        <v>G33600</v>
      </c>
      <c r="AP576" s="853" t="str">
        <f>+VLOOKUP($AJ576,Data_Validation!$A:$D,3,0)</f>
        <v>Bilan</v>
      </c>
      <c r="AQ576" s="853" t="str">
        <f>+VLOOKUP($AJ576,Data_Validation!$A:$D,4,0)</f>
        <v>Frais Payés d'Avance</v>
      </c>
      <c r="AR576" s="853" t="s">
        <v>728</v>
      </c>
      <c r="AS576" s="853" t="str">
        <f>+VLOOKUP($AJ576,Data_Validation!$A:$E,5,0)</f>
        <v/>
      </c>
      <c r="AT576" s="794" t="str">
        <f t="shared" ref="AT576:AU576" si="1150">C576</f>
        <v>G33600</v>
      </c>
      <c r="AU576" s="854" t="str">
        <f t="shared" si="1150"/>
        <v>RRI</v>
      </c>
      <c r="AV576" s="794">
        <f t="array" ref="AV576">IFERROR(INDEX(V576:AG576,1,MATCH(Parametres!$B$3,V$1:AG$1,0)-1)*IF(OR(C576="L",C576="S",C576="I"),-1,1),"")</f>
        <v>0</v>
      </c>
      <c r="AW576" s="794">
        <f t="shared" si="6"/>
        <v>0</v>
      </c>
      <c r="AX576" s="794">
        <f t="array" ref="AX576">INDEX(V576:AG576,1,MATCH(Parametres!$B$3,V$1:AG$1,0))*IF(OR(C576="L",C576="S",C576="I"),-1,1)</f>
        <v>0</v>
      </c>
      <c r="AY576" s="853" t="s">
        <v>772</v>
      </c>
      <c r="AZ576" s="853" t="str">
        <f>+VLOOKUP($AJ576,Data_Validation!$A:$E,5,0)</f>
        <v/>
      </c>
    </row>
    <row r="577" ht="15.0" customHeight="1">
      <c r="A577" s="849" t="s">
        <v>1239</v>
      </c>
      <c r="B577" s="849">
        <v>2026.0</v>
      </c>
      <c r="C577" s="849" t="s">
        <v>2380</v>
      </c>
      <c r="D577" s="849" t="s">
        <v>2381</v>
      </c>
      <c r="E577" s="849" t="s">
        <v>768</v>
      </c>
      <c r="F577" s="849" t="s">
        <v>2057</v>
      </c>
      <c r="G577" s="849">
        <v>0.0</v>
      </c>
      <c r="H577" s="849">
        <v>0.0</v>
      </c>
      <c r="I577" s="849">
        <v>0.0</v>
      </c>
      <c r="J577" s="849">
        <v>0.0</v>
      </c>
      <c r="K577" s="849">
        <v>0.0</v>
      </c>
      <c r="L577" s="849">
        <v>0.0</v>
      </c>
      <c r="M577" s="849">
        <v>0.0</v>
      </c>
      <c r="N577" s="849">
        <v>0.0</v>
      </c>
      <c r="O577" s="849">
        <v>0.0</v>
      </c>
      <c r="P577" s="849">
        <v>0.0</v>
      </c>
      <c r="Q577" s="849">
        <v>0.0</v>
      </c>
      <c r="R577" s="849">
        <v>0.0</v>
      </c>
      <c r="S577" s="849">
        <v>0.0</v>
      </c>
      <c r="T577" s="849">
        <v>0.0</v>
      </c>
      <c r="U577" s="849">
        <v>0.0</v>
      </c>
      <c r="V577" s="849">
        <v>0.0</v>
      </c>
      <c r="W577" s="849">
        <v>0.0</v>
      </c>
      <c r="X577" s="849">
        <v>0.0</v>
      </c>
      <c r="Y577" s="849">
        <v>0.0</v>
      </c>
      <c r="Z577" s="849">
        <v>0.0</v>
      </c>
      <c r="AA577" s="849">
        <v>0.0</v>
      </c>
      <c r="AB577" s="849">
        <v>0.0</v>
      </c>
      <c r="AC577" s="849">
        <v>0.0</v>
      </c>
      <c r="AD577" s="849">
        <v>0.0</v>
      </c>
      <c r="AE577" s="849">
        <v>0.0</v>
      </c>
      <c r="AF577" s="849">
        <v>0.0</v>
      </c>
      <c r="AG577" s="849">
        <v>0.0</v>
      </c>
      <c r="AH577" s="849">
        <v>0.0</v>
      </c>
      <c r="AI577" s="849">
        <v>0.0</v>
      </c>
      <c r="AJ577" s="794" t="str">
        <f t="shared" ref="AJ577:AK577" si="1151">C577</f>
        <v>G34000</v>
      </c>
      <c r="AK577" s="794" t="str">
        <f t="shared" si="1151"/>
        <v>PROV.CREANCES DOUTEUSES</v>
      </c>
      <c r="AL577" s="794">
        <f t="array" ref="AL577">IFERROR(INDEX(G577:R577,1,MATCH(Parametres!$B$3,G$1:R$1,0)-1)*IF(OR(F577="L",F577="S",F577="I"),-1,1),"")</f>
        <v>0</v>
      </c>
      <c r="AM577" s="794">
        <f t="shared" si="4"/>
        <v>0</v>
      </c>
      <c r="AN577" s="794">
        <f t="array" ref="AN577">INDEX(G577:R577,1,MATCH(Parametres!$B$3,G$1:R$1,0))*IF(OR(F577="L",F577="S",F577="I"),-1,1)</f>
        <v>0</v>
      </c>
      <c r="AO577" s="853" t="str">
        <f>+VLOOKUP($AJ577,Data_Validation!$A:$D,1,0)</f>
        <v>G34000</v>
      </c>
      <c r="AP577" s="853" t="str">
        <f>+VLOOKUP($AJ577,Data_Validation!$A:$D,3,0)</f>
        <v/>
      </c>
      <c r="AQ577" s="853" t="str">
        <f>+VLOOKUP($AJ577,Data_Validation!$A:$D,4,0)</f>
        <v/>
      </c>
      <c r="AR577" s="853" t="s">
        <v>728</v>
      </c>
      <c r="AS577" s="853" t="str">
        <f>+VLOOKUP($AJ577,Data_Validation!$A:$E,5,0)</f>
        <v/>
      </c>
      <c r="AT577" s="794" t="str">
        <f t="shared" ref="AT577:AU577" si="1152">C577</f>
        <v>G34000</v>
      </c>
      <c r="AU577" s="854" t="str">
        <f t="shared" si="1152"/>
        <v>PROV.CREANCES DOUTEUSES</v>
      </c>
      <c r="AV577" s="794">
        <f t="array" ref="AV577">IFERROR(INDEX(V577:AG577,1,MATCH(Parametres!$B$3,V$1:AG$1,0)-1)*IF(OR(C577="L",C577="S",C577="I"),-1,1),"")</f>
        <v>0</v>
      </c>
      <c r="AW577" s="794">
        <f t="shared" si="6"/>
        <v>0</v>
      </c>
      <c r="AX577" s="794">
        <f t="array" ref="AX577">INDEX(V577:AG577,1,MATCH(Parametres!$B$3,V$1:AG$1,0))*IF(OR(C577="L",C577="S",C577="I"),-1,1)</f>
        <v>0</v>
      </c>
      <c r="AY577" s="853" t="s">
        <v>772</v>
      </c>
      <c r="AZ577" s="853" t="str">
        <f>+VLOOKUP($AJ577,Data_Validation!$A:$E,5,0)</f>
        <v/>
      </c>
    </row>
    <row r="578" ht="15.0" customHeight="1">
      <c r="A578" s="849" t="s">
        <v>1239</v>
      </c>
      <c r="B578" s="849">
        <v>2026.0</v>
      </c>
      <c r="C578" s="849" t="s">
        <v>2382</v>
      </c>
      <c r="D578" s="849" t="s">
        <v>2383</v>
      </c>
      <c r="E578" s="849" t="s">
        <v>768</v>
      </c>
      <c r="F578" s="849" t="s">
        <v>2057</v>
      </c>
      <c r="G578" s="849">
        <v>1394309.58</v>
      </c>
      <c r="H578" s="849">
        <v>1394309.58</v>
      </c>
      <c r="I578" s="849">
        <v>1399339.58</v>
      </c>
      <c r="J578" s="849">
        <v>1414429.58</v>
      </c>
      <c r="K578" s="849">
        <v>1419459.58</v>
      </c>
      <c r="L578" s="849">
        <v>1424489.58</v>
      </c>
      <c r="M578" s="849">
        <v>1435855.58</v>
      </c>
      <c r="N578" s="849">
        <v>1440885.58</v>
      </c>
      <c r="O578" s="849">
        <v>1445915.58</v>
      </c>
      <c r="P578" s="849">
        <v>1445915.58</v>
      </c>
      <c r="Q578" s="849">
        <v>0.0</v>
      </c>
      <c r="R578" s="849">
        <v>0.0</v>
      </c>
      <c r="S578" s="849">
        <v>0.0</v>
      </c>
      <c r="T578" s="849">
        <v>0.0</v>
      </c>
      <c r="U578" s="849">
        <v>0.0</v>
      </c>
      <c r="V578" s="849">
        <v>0.0</v>
      </c>
      <c r="W578" s="849">
        <v>0.0</v>
      </c>
      <c r="X578" s="849">
        <v>0.0</v>
      </c>
      <c r="Y578" s="849">
        <v>0.0</v>
      </c>
      <c r="Z578" s="849">
        <v>0.0</v>
      </c>
      <c r="AA578" s="849">
        <v>0.0</v>
      </c>
      <c r="AB578" s="849">
        <v>0.0</v>
      </c>
      <c r="AC578" s="849">
        <v>0.0</v>
      </c>
      <c r="AD578" s="849">
        <v>0.0</v>
      </c>
      <c r="AE578" s="849">
        <v>0.0</v>
      </c>
      <c r="AF578" s="849">
        <v>0.0</v>
      </c>
      <c r="AG578" s="849">
        <v>0.0</v>
      </c>
      <c r="AH578" s="849">
        <v>0.0</v>
      </c>
      <c r="AI578" s="849">
        <v>0.0</v>
      </c>
      <c r="AJ578" s="794" t="str">
        <f t="shared" ref="AJ578:AK578" si="1153">C578</f>
        <v>G35200</v>
      </c>
      <c r="AK578" s="794" t="str">
        <f t="shared" si="1153"/>
        <v>AMORT.ACC.MACHINERIE,EQUI</v>
      </c>
      <c r="AL578" s="794">
        <f t="array" ref="AL578">IFERROR(INDEX(G578:R578,1,MATCH(Parametres!$B$3,G$1:R$1,0)-1)*IF(OR(F578="L",F578="S",F578="I"),-1,1),"")</f>
        <v>-1440885.58</v>
      </c>
      <c r="AM578" s="794">
        <f t="shared" si="4"/>
        <v>-5030</v>
      </c>
      <c r="AN578" s="794">
        <f t="array" ref="AN578">INDEX(G578:R578,1,MATCH(Parametres!$B$3,G$1:R$1,0))*IF(OR(F578="L",F578="S",F578="I"),-1,1)</f>
        <v>-1445915.58</v>
      </c>
      <c r="AO578" s="853" t="str">
        <f>+VLOOKUP($AJ578,Data_Validation!$A:$D,1,0)</f>
        <v>G35200</v>
      </c>
      <c r="AP578" s="853" t="str">
        <f>+VLOOKUP($AJ578,Data_Validation!$A:$D,3,0)</f>
        <v>Bilan</v>
      </c>
      <c r="AQ578" s="853" t="str">
        <f>+VLOOKUP($AJ578,Data_Validation!$A:$D,4,0)</f>
        <v>Équipements Service</v>
      </c>
      <c r="AR578" s="853" t="s">
        <v>728</v>
      </c>
      <c r="AS578" s="853" t="str">
        <f>+VLOOKUP($AJ578,Data_Validation!$A:$E,5,0)</f>
        <v/>
      </c>
      <c r="AT578" s="794" t="str">
        <f t="shared" ref="AT578:AU578" si="1154">C578</f>
        <v>G35200</v>
      </c>
      <c r="AU578" s="854" t="str">
        <f t="shared" si="1154"/>
        <v>AMORT.ACC.MACHINERIE,EQUI</v>
      </c>
      <c r="AV578" s="794">
        <f t="array" ref="AV578">IFERROR(INDEX(V578:AG578,1,MATCH(Parametres!$B$3,V$1:AG$1,0)-1)*IF(OR(C578="L",C578="S",C578="I"),-1,1),"")</f>
        <v>0</v>
      </c>
      <c r="AW578" s="794">
        <f t="shared" si="6"/>
        <v>0</v>
      </c>
      <c r="AX578" s="794">
        <f t="array" ref="AX578">INDEX(V578:AG578,1,MATCH(Parametres!$B$3,V$1:AG$1,0))*IF(OR(C578="L",C578="S",C578="I"),-1,1)</f>
        <v>0</v>
      </c>
      <c r="AY578" s="853" t="s">
        <v>772</v>
      </c>
      <c r="AZ578" s="853" t="str">
        <f>+VLOOKUP($AJ578,Data_Validation!$A:$E,5,0)</f>
        <v/>
      </c>
    </row>
    <row r="579" ht="15.0" customHeight="1">
      <c r="A579" s="849" t="s">
        <v>1239</v>
      </c>
      <c r="B579" s="849">
        <v>2026.0</v>
      </c>
      <c r="C579" s="849" t="s">
        <v>2384</v>
      </c>
      <c r="D579" s="849" t="s">
        <v>2385</v>
      </c>
      <c r="E579" s="849" t="s">
        <v>768</v>
      </c>
      <c r="F579" s="849" t="s">
        <v>2057</v>
      </c>
      <c r="G579" s="849">
        <v>0.0</v>
      </c>
      <c r="H579" s="849">
        <v>0.0</v>
      </c>
      <c r="I579" s="849">
        <v>0.0</v>
      </c>
      <c r="J579" s="849">
        <v>0.0</v>
      </c>
      <c r="K579" s="849">
        <v>0.0</v>
      </c>
      <c r="L579" s="849">
        <v>0.0</v>
      </c>
      <c r="M579" s="849">
        <v>0.0</v>
      </c>
      <c r="N579" s="849">
        <v>0.0</v>
      </c>
      <c r="O579" s="849">
        <v>0.0</v>
      </c>
      <c r="P579" s="849">
        <v>0.0</v>
      </c>
      <c r="Q579" s="849">
        <v>0.0</v>
      </c>
      <c r="R579" s="849">
        <v>0.0</v>
      </c>
      <c r="S579" s="849">
        <v>0.0</v>
      </c>
      <c r="T579" s="849">
        <v>0.0</v>
      </c>
      <c r="U579" s="849">
        <v>0.0</v>
      </c>
      <c r="V579" s="849">
        <v>0.0</v>
      </c>
      <c r="W579" s="849">
        <v>0.0</v>
      </c>
      <c r="X579" s="849">
        <v>0.0</v>
      </c>
      <c r="Y579" s="849">
        <v>0.0</v>
      </c>
      <c r="Z579" s="849">
        <v>0.0</v>
      </c>
      <c r="AA579" s="849">
        <v>0.0</v>
      </c>
      <c r="AB579" s="849">
        <v>0.0</v>
      </c>
      <c r="AC579" s="849">
        <v>0.0</v>
      </c>
      <c r="AD579" s="849">
        <v>0.0</v>
      </c>
      <c r="AE579" s="849">
        <v>0.0</v>
      </c>
      <c r="AF579" s="849">
        <v>0.0</v>
      </c>
      <c r="AG579" s="849">
        <v>0.0</v>
      </c>
      <c r="AH579" s="849">
        <v>0.0</v>
      </c>
      <c r="AI579" s="849">
        <v>0.0</v>
      </c>
      <c r="AJ579" s="794" t="str">
        <f t="shared" ref="AJ579:AK579" si="1155">C579</f>
        <v>G35210</v>
      </c>
      <c r="AK579" s="794" t="str">
        <f t="shared" si="1155"/>
        <v>AMORT.ACC.MACHINERIE,CARR</v>
      </c>
      <c r="AL579" s="794">
        <f t="array" ref="AL579">IFERROR(INDEX(G579:R579,1,MATCH(Parametres!$B$3,G$1:R$1,0)-1)*IF(OR(F579="L",F579="S",F579="I"),-1,1),"")</f>
        <v>0</v>
      </c>
      <c r="AM579" s="794">
        <f t="shared" si="4"/>
        <v>0</v>
      </c>
      <c r="AN579" s="794">
        <f t="array" ref="AN579">INDEX(G579:R579,1,MATCH(Parametres!$B$3,G$1:R$1,0))*IF(OR(F579="L",F579="S",F579="I"),-1,1)</f>
        <v>0</v>
      </c>
      <c r="AO579" s="853" t="str">
        <f>+VLOOKUP($AJ579,Data_Validation!$A:$D,1,0)</f>
        <v>G35210</v>
      </c>
      <c r="AP579" s="853" t="str">
        <f>+VLOOKUP($AJ579,Data_Validation!$A:$D,3,0)</f>
        <v>Bilan</v>
      </c>
      <c r="AQ579" s="853" t="str">
        <f>+VLOOKUP($AJ579,Data_Validation!$A:$D,4,0)</f>
        <v>Équipements Service</v>
      </c>
      <c r="AR579" s="853" t="s">
        <v>728</v>
      </c>
      <c r="AS579" s="853" t="str">
        <f>+VLOOKUP($AJ579,Data_Validation!$A:$E,5,0)</f>
        <v/>
      </c>
      <c r="AT579" s="794" t="str">
        <f t="shared" ref="AT579:AU579" si="1156">C579</f>
        <v>G35210</v>
      </c>
      <c r="AU579" s="854" t="str">
        <f t="shared" si="1156"/>
        <v>AMORT.ACC.MACHINERIE,CARR</v>
      </c>
      <c r="AV579" s="794">
        <f t="array" ref="AV579">IFERROR(INDEX(V579:AG579,1,MATCH(Parametres!$B$3,V$1:AG$1,0)-1)*IF(OR(C579="L",C579="S",C579="I"),-1,1),"")</f>
        <v>0</v>
      </c>
      <c r="AW579" s="794">
        <f t="shared" si="6"/>
        <v>0</v>
      </c>
      <c r="AX579" s="794">
        <f t="array" ref="AX579">INDEX(V579:AG579,1,MATCH(Parametres!$B$3,V$1:AG$1,0))*IF(OR(C579="L",C579="S",C579="I"),-1,1)</f>
        <v>0</v>
      </c>
      <c r="AY579" s="853" t="s">
        <v>772</v>
      </c>
      <c r="AZ579" s="853" t="str">
        <f>+VLOOKUP($AJ579,Data_Validation!$A:$E,5,0)</f>
        <v/>
      </c>
    </row>
    <row r="580" ht="15.0" customHeight="1">
      <c r="A580" s="849" t="s">
        <v>1239</v>
      </c>
      <c r="B580" s="849">
        <v>2026.0</v>
      </c>
      <c r="C580" s="849" t="s">
        <v>2386</v>
      </c>
      <c r="D580" s="849" t="s">
        <v>2387</v>
      </c>
      <c r="E580" s="849" t="s">
        <v>768</v>
      </c>
      <c r="F580" s="849" t="s">
        <v>2057</v>
      </c>
      <c r="G580" s="849">
        <v>1161.79</v>
      </c>
      <c r="H580" s="849">
        <v>1256.79</v>
      </c>
      <c r="I580" s="849">
        <v>1351.79</v>
      </c>
      <c r="J580" s="849">
        <v>1446.79</v>
      </c>
      <c r="K580" s="849">
        <v>1541.79</v>
      </c>
      <c r="L580" s="849">
        <v>1636.79</v>
      </c>
      <c r="M580" s="849">
        <v>599.79</v>
      </c>
      <c r="N580" s="849">
        <v>694.79</v>
      </c>
      <c r="O580" s="849">
        <v>789.79</v>
      </c>
      <c r="P580" s="849">
        <v>789.79</v>
      </c>
      <c r="Q580" s="849">
        <v>0.0</v>
      </c>
      <c r="R580" s="849">
        <v>0.0</v>
      </c>
      <c r="S580" s="849">
        <v>0.0</v>
      </c>
      <c r="T580" s="849">
        <v>0.0</v>
      </c>
      <c r="U580" s="849">
        <v>0.0</v>
      </c>
      <c r="V580" s="849">
        <v>0.0</v>
      </c>
      <c r="W580" s="849">
        <v>0.0</v>
      </c>
      <c r="X580" s="849">
        <v>0.0</v>
      </c>
      <c r="Y580" s="849">
        <v>0.0</v>
      </c>
      <c r="Z580" s="849">
        <v>0.0</v>
      </c>
      <c r="AA580" s="849">
        <v>0.0</v>
      </c>
      <c r="AB580" s="849">
        <v>0.0</v>
      </c>
      <c r="AC580" s="849">
        <v>0.0</v>
      </c>
      <c r="AD580" s="849">
        <v>0.0</v>
      </c>
      <c r="AE580" s="849">
        <v>0.0</v>
      </c>
      <c r="AF580" s="849">
        <v>0.0</v>
      </c>
      <c r="AG580" s="849">
        <v>0.0</v>
      </c>
      <c r="AH580" s="849">
        <v>0.0</v>
      </c>
      <c r="AI580" s="849">
        <v>0.0</v>
      </c>
      <c r="AJ580" s="794" t="str">
        <f t="shared" ref="AJ580:AK580" si="1157">C580</f>
        <v>G35300</v>
      </c>
      <c r="AK580" s="794" t="str">
        <f t="shared" si="1157"/>
        <v>AMORT.PNEUSACC.DEMO/COURT</v>
      </c>
      <c r="AL580" s="794">
        <f t="array" ref="AL580">IFERROR(INDEX(G580:R580,1,MATCH(Parametres!$B$3,G$1:R$1,0)-1)*IF(OR(F580="L",F580="S",F580="I"),-1,1),"")</f>
        <v>-694.79</v>
      </c>
      <c r="AM580" s="794">
        <f t="shared" si="4"/>
        <v>-95</v>
      </c>
      <c r="AN580" s="794">
        <f t="array" ref="AN580">INDEX(G580:R580,1,MATCH(Parametres!$B$3,G$1:R$1,0))*IF(OR(F580="L",F580="S",F580="I"),-1,1)</f>
        <v>-789.79</v>
      </c>
      <c r="AO580" s="853" t="str">
        <f>+VLOOKUP($AJ580,Data_Validation!$A:$D,1,0)</f>
        <v>G35300</v>
      </c>
      <c r="AP580" s="853" t="str">
        <f>+VLOOKUP($AJ580,Data_Validation!$A:$D,3,0)</f>
        <v>Bilan</v>
      </c>
      <c r="AQ580" s="853" t="str">
        <f>+VLOOKUP($AJ580,Data_Validation!$A:$D,4,0)</f>
        <v>Équipements Service</v>
      </c>
      <c r="AR580" s="853" t="s">
        <v>728</v>
      </c>
      <c r="AS580" s="853" t="str">
        <f>+VLOOKUP($AJ580,Data_Validation!$A:$E,5,0)</f>
        <v/>
      </c>
      <c r="AT580" s="794" t="str">
        <f t="shared" ref="AT580:AU580" si="1158">C580</f>
        <v>G35300</v>
      </c>
      <c r="AU580" s="854" t="str">
        <f t="shared" si="1158"/>
        <v>AMORT.PNEUSACC.DEMO/COURT</v>
      </c>
      <c r="AV580" s="794">
        <f t="array" ref="AV580">IFERROR(INDEX(V580:AG580,1,MATCH(Parametres!$B$3,V$1:AG$1,0)-1)*IF(OR(C580="L",C580="S",C580="I"),-1,1),"")</f>
        <v>0</v>
      </c>
      <c r="AW580" s="794">
        <f t="shared" si="6"/>
        <v>0</v>
      </c>
      <c r="AX580" s="794">
        <f t="array" ref="AX580">INDEX(V580:AG580,1,MATCH(Parametres!$B$3,V$1:AG$1,0))*IF(OR(C580="L",C580="S",C580="I"),-1,1)</f>
        <v>0</v>
      </c>
      <c r="AY580" s="853" t="s">
        <v>772</v>
      </c>
      <c r="AZ580" s="853" t="str">
        <f>+VLOOKUP($AJ580,Data_Validation!$A:$E,5,0)</f>
        <v/>
      </c>
    </row>
    <row r="581" ht="15.0" customHeight="1">
      <c r="A581" s="849" t="s">
        <v>1239</v>
      </c>
      <c r="B581" s="849">
        <v>2026.0</v>
      </c>
      <c r="C581" s="849" t="s">
        <v>2388</v>
      </c>
      <c r="D581" s="849" t="s">
        <v>2389</v>
      </c>
      <c r="E581" s="849" t="s">
        <v>768</v>
      </c>
      <c r="F581" s="849" t="s">
        <v>2057</v>
      </c>
      <c r="G581" s="849">
        <v>315824.27</v>
      </c>
      <c r="H581" s="849">
        <v>316649.27</v>
      </c>
      <c r="I581" s="849">
        <v>317474.27</v>
      </c>
      <c r="J581" s="849">
        <v>318299.27</v>
      </c>
      <c r="K581" s="849">
        <v>319124.27</v>
      </c>
      <c r="L581" s="849">
        <v>319949.27</v>
      </c>
      <c r="M581" s="849">
        <v>321922.27</v>
      </c>
      <c r="N581" s="849">
        <v>322747.27</v>
      </c>
      <c r="O581" s="849">
        <v>323572.27</v>
      </c>
      <c r="P581" s="849">
        <v>323572.27</v>
      </c>
      <c r="Q581" s="849">
        <v>0.0</v>
      </c>
      <c r="R581" s="849">
        <v>0.0</v>
      </c>
      <c r="S581" s="849">
        <v>0.0</v>
      </c>
      <c r="T581" s="849">
        <v>0.0</v>
      </c>
      <c r="U581" s="849">
        <v>0.0</v>
      </c>
      <c r="V581" s="849">
        <v>0.0</v>
      </c>
      <c r="W581" s="849">
        <v>0.0</v>
      </c>
      <c r="X581" s="849">
        <v>0.0</v>
      </c>
      <c r="Y581" s="849">
        <v>0.0</v>
      </c>
      <c r="Z581" s="849">
        <v>0.0</v>
      </c>
      <c r="AA581" s="849">
        <v>0.0</v>
      </c>
      <c r="AB581" s="849">
        <v>0.0</v>
      </c>
      <c r="AC581" s="849">
        <v>0.0</v>
      </c>
      <c r="AD581" s="849">
        <v>0.0</v>
      </c>
      <c r="AE581" s="849">
        <v>0.0</v>
      </c>
      <c r="AF581" s="849">
        <v>0.0</v>
      </c>
      <c r="AG581" s="849">
        <v>0.0</v>
      </c>
      <c r="AH581" s="849">
        <v>0.0</v>
      </c>
      <c r="AI581" s="849">
        <v>0.0</v>
      </c>
      <c r="AJ581" s="794" t="str">
        <f t="shared" ref="AJ581:AK581" si="1159">C581</f>
        <v>G35400</v>
      </c>
      <c r="AK581" s="794" t="str">
        <f t="shared" si="1159"/>
        <v>AMORT.ACC.&amp; EQUIP.BUR</v>
      </c>
      <c r="AL581" s="794">
        <f t="array" ref="AL581">IFERROR(INDEX(G581:R581,1,MATCH(Parametres!$B$3,G$1:R$1,0)-1)*IF(OR(F581="L",F581="S",F581="I"),-1,1),"")</f>
        <v>-322747.27</v>
      </c>
      <c r="AM581" s="794">
        <f t="shared" si="4"/>
        <v>-825</v>
      </c>
      <c r="AN581" s="794">
        <f t="array" ref="AN581">INDEX(G581:R581,1,MATCH(Parametres!$B$3,G$1:R$1,0))*IF(OR(F581="L",F581="S",F581="I"),-1,1)</f>
        <v>-323572.27</v>
      </c>
      <c r="AO581" s="853" t="str">
        <f>+VLOOKUP($AJ581,Data_Validation!$A:$D,1,0)</f>
        <v>G35400</v>
      </c>
      <c r="AP581" s="853" t="str">
        <f>+VLOOKUP($AJ581,Data_Validation!$A:$D,3,0)</f>
        <v>Bilan</v>
      </c>
      <c r="AQ581" s="853" t="str">
        <f>+VLOOKUP($AJ581,Data_Validation!$A:$D,4,0)</f>
        <v>Mobilier</v>
      </c>
      <c r="AR581" s="853" t="s">
        <v>728</v>
      </c>
      <c r="AS581" s="853" t="str">
        <f>+VLOOKUP($AJ581,Data_Validation!$A:$E,5,0)</f>
        <v/>
      </c>
      <c r="AT581" s="794" t="str">
        <f t="shared" ref="AT581:AU581" si="1160">C581</f>
        <v>G35400</v>
      </c>
      <c r="AU581" s="854" t="str">
        <f t="shared" si="1160"/>
        <v>AMORT.ACC.&amp; EQUIP.BUR</v>
      </c>
      <c r="AV581" s="794">
        <f t="array" ref="AV581">IFERROR(INDEX(V581:AG581,1,MATCH(Parametres!$B$3,V$1:AG$1,0)-1)*IF(OR(C581="L",C581="S",C581="I"),-1,1),"")</f>
        <v>0</v>
      </c>
      <c r="AW581" s="794">
        <f t="shared" si="6"/>
        <v>0</v>
      </c>
      <c r="AX581" s="794">
        <f t="array" ref="AX581">INDEX(V581:AG581,1,MATCH(Parametres!$B$3,V$1:AG$1,0))*IF(OR(C581="L",C581="S",C581="I"),-1,1)</f>
        <v>0</v>
      </c>
      <c r="AY581" s="853" t="s">
        <v>772</v>
      </c>
      <c r="AZ581" s="853" t="str">
        <f>+VLOOKUP($AJ581,Data_Validation!$A:$E,5,0)</f>
        <v/>
      </c>
    </row>
    <row r="582" ht="15.0" customHeight="1">
      <c r="A582" s="849" t="s">
        <v>1239</v>
      </c>
      <c r="B582" s="849">
        <v>2026.0</v>
      </c>
      <c r="C582" s="849" t="s">
        <v>2390</v>
      </c>
      <c r="D582" s="849" t="s">
        <v>2391</v>
      </c>
      <c r="E582" s="849" t="s">
        <v>768</v>
      </c>
      <c r="F582" s="849" t="s">
        <v>2057</v>
      </c>
      <c r="G582" s="849">
        <v>78325.71</v>
      </c>
      <c r="H582" s="849">
        <v>80075.71</v>
      </c>
      <c r="I582" s="849">
        <v>81825.71</v>
      </c>
      <c r="J582" s="849">
        <v>83575.71</v>
      </c>
      <c r="K582" s="849">
        <v>85325.71</v>
      </c>
      <c r="L582" s="849">
        <v>87075.71</v>
      </c>
      <c r="M582" s="849">
        <v>88825.71</v>
      </c>
      <c r="N582" s="849">
        <v>90575.71</v>
      </c>
      <c r="O582" s="849">
        <v>92325.71</v>
      </c>
      <c r="P582" s="849">
        <v>92325.71</v>
      </c>
      <c r="Q582" s="849">
        <v>0.0</v>
      </c>
      <c r="R582" s="849">
        <v>0.0</v>
      </c>
      <c r="S582" s="849">
        <v>0.0</v>
      </c>
      <c r="T582" s="849">
        <v>0.0</v>
      </c>
      <c r="U582" s="849">
        <v>0.0</v>
      </c>
      <c r="V582" s="849">
        <v>0.0</v>
      </c>
      <c r="W582" s="849">
        <v>0.0</v>
      </c>
      <c r="X582" s="849">
        <v>0.0</v>
      </c>
      <c r="Y582" s="849">
        <v>0.0</v>
      </c>
      <c r="Z582" s="849">
        <v>0.0</v>
      </c>
      <c r="AA582" s="849">
        <v>0.0</v>
      </c>
      <c r="AB582" s="849">
        <v>0.0</v>
      </c>
      <c r="AC582" s="849">
        <v>0.0</v>
      </c>
      <c r="AD582" s="849">
        <v>0.0</v>
      </c>
      <c r="AE582" s="849">
        <v>0.0</v>
      </c>
      <c r="AF582" s="849">
        <v>0.0</v>
      </c>
      <c r="AG582" s="849">
        <v>0.0</v>
      </c>
      <c r="AH582" s="849">
        <v>0.0</v>
      </c>
      <c r="AI582" s="849">
        <v>0.0</v>
      </c>
      <c r="AJ582" s="794" t="str">
        <f t="shared" ref="AJ582:AK582" si="1161">C582</f>
        <v>G35500</v>
      </c>
      <c r="AK582" s="794" t="str">
        <f t="shared" si="1161"/>
        <v>AMORT.CUMULE VEHICULE SER</v>
      </c>
      <c r="AL582" s="794">
        <f t="array" ref="AL582">IFERROR(INDEX(G582:R582,1,MATCH(Parametres!$B$3,G$1:R$1,0)-1)*IF(OR(F582="L",F582="S",F582="I"),-1,1),"")</f>
        <v>-90575.71</v>
      </c>
      <c r="AM582" s="794">
        <f t="shared" si="4"/>
        <v>-1750</v>
      </c>
      <c r="AN582" s="794">
        <f t="array" ref="AN582">INDEX(G582:R582,1,MATCH(Parametres!$B$3,G$1:R$1,0))*IF(OR(F582="L",F582="S",F582="I"),-1,1)</f>
        <v>-92325.71</v>
      </c>
      <c r="AO582" s="853" t="str">
        <f>+VLOOKUP($AJ582,Data_Validation!$A:$D,1,0)</f>
        <v>G35500</v>
      </c>
      <c r="AP582" s="853" t="str">
        <f>+VLOOKUP($AJ582,Data_Validation!$A:$D,3,0)</f>
        <v>Bilan</v>
      </c>
      <c r="AQ582" s="853" t="str">
        <f>+VLOOKUP($AJ582,Data_Validation!$A:$D,4,0)</f>
        <v>Équipements Service</v>
      </c>
      <c r="AR582" s="853" t="s">
        <v>728</v>
      </c>
      <c r="AS582" s="853" t="str">
        <f>+VLOOKUP($AJ582,Data_Validation!$A:$E,5,0)</f>
        <v/>
      </c>
      <c r="AT582" s="794" t="str">
        <f t="shared" ref="AT582:AU582" si="1162">C582</f>
        <v>G35500</v>
      </c>
      <c r="AU582" s="854" t="str">
        <f t="shared" si="1162"/>
        <v>AMORT.CUMULE VEHICULE SER</v>
      </c>
      <c r="AV582" s="794">
        <f t="array" ref="AV582">IFERROR(INDEX(V582:AG582,1,MATCH(Parametres!$B$3,V$1:AG$1,0)-1)*IF(OR(C582="L",C582="S",C582="I"),-1,1),"")</f>
        <v>0</v>
      </c>
      <c r="AW582" s="794">
        <f t="shared" si="6"/>
        <v>0</v>
      </c>
      <c r="AX582" s="794">
        <f t="array" ref="AX582">INDEX(V582:AG582,1,MATCH(Parametres!$B$3,V$1:AG$1,0))*IF(OR(C582="L",C582="S",C582="I"),-1,1)</f>
        <v>0</v>
      </c>
      <c r="AY582" s="853" t="s">
        <v>772</v>
      </c>
      <c r="AZ582" s="853" t="str">
        <f>+VLOOKUP($AJ582,Data_Validation!$A:$E,5,0)</f>
        <v/>
      </c>
    </row>
    <row r="583" ht="15.0" customHeight="1">
      <c r="A583" s="849" t="s">
        <v>1239</v>
      </c>
      <c r="B583" s="849">
        <v>2026.0</v>
      </c>
      <c r="C583" s="849" t="s">
        <v>2392</v>
      </c>
      <c r="D583" s="849" t="s">
        <v>2393</v>
      </c>
      <c r="E583" s="849" t="s">
        <v>768</v>
      </c>
      <c r="F583" s="849" t="s">
        <v>2057</v>
      </c>
      <c r="G583" s="849">
        <v>62858.9</v>
      </c>
      <c r="H583" s="849">
        <v>65058.9</v>
      </c>
      <c r="I583" s="849">
        <v>67258.9</v>
      </c>
      <c r="J583" s="849">
        <v>69458.9</v>
      </c>
      <c r="K583" s="849">
        <v>71658.9</v>
      </c>
      <c r="L583" s="849">
        <v>73858.9</v>
      </c>
      <c r="M583" s="849">
        <v>88802.9</v>
      </c>
      <c r="N583" s="849">
        <v>91002.9</v>
      </c>
      <c r="O583" s="849">
        <v>93202.9</v>
      </c>
      <c r="P583" s="849">
        <v>93202.9</v>
      </c>
      <c r="Q583" s="849">
        <v>0.0</v>
      </c>
      <c r="R583" s="849">
        <v>0.0</v>
      </c>
      <c r="S583" s="849">
        <v>0.0</v>
      </c>
      <c r="T583" s="849">
        <v>0.0</v>
      </c>
      <c r="U583" s="849">
        <v>0.0</v>
      </c>
      <c r="V583" s="849">
        <v>0.0</v>
      </c>
      <c r="W583" s="849">
        <v>0.0</v>
      </c>
      <c r="X583" s="849">
        <v>0.0</v>
      </c>
      <c r="Y583" s="849">
        <v>0.0</v>
      </c>
      <c r="Z583" s="849">
        <v>0.0</v>
      </c>
      <c r="AA583" s="849">
        <v>0.0</v>
      </c>
      <c r="AB583" s="849">
        <v>0.0</v>
      </c>
      <c r="AC583" s="849">
        <v>0.0</v>
      </c>
      <c r="AD583" s="849">
        <v>0.0</v>
      </c>
      <c r="AE583" s="849">
        <v>0.0</v>
      </c>
      <c r="AF583" s="849">
        <v>0.0</v>
      </c>
      <c r="AG583" s="849">
        <v>0.0</v>
      </c>
      <c r="AH583" s="849">
        <v>0.0</v>
      </c>
      <c r="AI583" s="849">
        <v>0.0</v>
      </c>
      <c r="AJ583" s="794" t="str">
        <f t="shared" ref="AJ583:AK583" si="1163">C583</f>
        <v>G35600</v>
      </c>
      <c r="AK583" s="794" t="str">
        <f t="shared" si="1163"/>
        <v>AMORT.ACC.AMEL. LOCAT.</v>
      </c>
      <c r="AL583" s="794">
        <f t="array" ref="AL583">IFERROR(INDEX(G583:R583,1,MATCH(Parametres!$B$3,G$1:R$1,0)-1)*IF(OR(F583="L",F583="S",F583="I"),-1,1),"")</f>
        <v>-91002.9</v>
      </c>
      <c r="AM583" s="794">
        <f t="shared" si="4"/>
        <v>-2200</v>
      </c>
      <c r="AN583" s="794">
        <f t="array" ref="AN583">INDEX(G583:R583,1,MATCH(Parametres!$B$3,G$1:R$1,0))*IF(OR(F583="L",F583="S",F583="I"),-1,1)</f>
        <v>-93202.9</v>
      </c>
      <c r="AO583" s="853" t="str">
        <f>+VLOOKUP($AJ583,Data_Validation!$A:$D,1,0)</f>
        <v>G35600</v>
      </c>
      <c r="AP583" s="853" t="str">
        <f>+VLOOKUP($AJ583,Data_Validation!$A:$D,3,0)</f>
        <v>Bilan</v>
      </c>
      <c r="AQ583" s="853" t="str">
        <f>+VLOOKUP($AJ583,Data_Validation!$A:$D,4,0)</f>
        <v>Améliorations Locatives</v>
      </c>
      <c r="AR583" s="853" t="s">
        <v>728</v>
      </c>
      <c r="AS583" s="853" t="str">
        <f>+VLOOKUP($AJ583,Data_Validation!$A:$E,5,0)</f>
        <v/>
      </c>
      <c r="AT583" s="794" t="str">
        <f t="shared" ref="AT583:AU583" si="1164">C583</f>
        <v>G35600</v>
      </c>
      <c r="AU583" s="854" t="str">
        <f t="shared" si="1164"/>
        <v>AMORT.ACC.AMEL. LOCAT.</v>
      </c>
      <c r="AV583" s="794">
        <f t="array" ref="AV583">IFERROR(INDEX(V583:AG583,1,MATCH(Parametres!$B$3,V$1:AG$1,0)-1)*IF(OR(C583="L",C583="S",C583="I"),-1,1),"")</f>
        <v>0</v>
      </c>
      <c r="AW583" s="794">
        <f t="shared" si="6"/>
        <v>0</v>
      </c>
      <c r="AX583" s="794">
        <f t="array" ref="AX583">INDEX(V583:AG583,1,MATCH(Parametres!$B$3,V$1:AG$1,0))*IF(OR(C583="L",C583="S",C583="I"),-1,1)</f>
        <v>0</v>
      </c>
      <c r="AY583" s="853" t="s">
        <v>772</v>
      </c>
      <c r="AZ583" s="853" t="str">
        <f>+VLOOKUP($AJ583,Data_Validation!$A:$E,5,0)</f>
        <v/>
      </c>
    </row>
    <row r="584" ht="15.0" customHeight="1">
      <c r="A584" s="849" t="s">
        <v>1239</v>
      </c>
      <c r="B584" s="849">
        <v>2026.0</v>
      </c>
      <c r="C584" s="849" t="s">
        <v>2394</v>
      </c>
      <c r="D584" s="849" t="s">
        <v>2395</v>
      </c>
      <c r="E584" s="849" t="s">
        <v>768</v>
      </c>
      <c r="F584" s="849" t="s">
        <v>2057</v>
      </c>
      <c r="G584" s="849">
        <v>187329.09</v>
      </c>
      <c r="H584" s="849">
        <v>188099.09</v>
      </c>
      <c r="I584" s="849">
        <v>188869.09</v>
      </c>
      <c r="J584" s="849">
        <v>189639.09</v>
      </c>
      <c r="K584" s="849">
        <v>190409.09</v>
      </c>
      <c r="L584" s="849">
        <v>191179.09</v>
      </c>
      <c r="M584" s="849">
        <v>202845.09</v>
      </c>
      <c r="N584" s="849">
        <v>203615.09</v>
      </c>
      <c r="O584" s="849">
        <v>204385.09</v>
      </c>
      <c r="P584" s="849">
        <v>204385.09</v>
      </c>
      <c r="Q584" s="849">
        <v>0.0</v>
      </c>
      <c r="R584" s="849">
        <v>0.0</v>
      </c>
      <c r="S584" s="849">
        <v>0.0</v>
      </c>
      <c r="T584" s="849">
        <v>0.0</v>
      </c>
      <c r="U584" s="849">
        <v>0.0</v>
      </c>
      <c r="V584" s="849">
        <v>0.0</v>
      </c>
      <c r="W584" s="849">
        <v>0.0</v>
      </c>
      <c r="X584" s="849">
        <v>0.0</v>
      </c>
      <c r="Y584" s="849">
        <v>0.0</v>
      </c>
      <c r="Z584" s="849">
        <v>0.0</v>
      </c>
      <c r="AA584" s="849">
        <v>0.0</v>
      </c>
      <c r="AB584" s="849">
        <v>0.0</v>
      </c>
      <c r="AC584" s="849">
        <v>0.0</v>
      </c>
      <c r="AD584" s="849">
        <v>0.0</v>
      </c>
      <c r="AE584" s="849">
        <v>0.0</v>
      </c>
      <c r="AF584" s="849">
        <v>0.0</v>
      </c>
      <c r="AG584" s="849">
        <v>0.0</v>
      </c>
      <c r="AH584" s="849">
        <v>0.0</v>
      </c>
      <c r="AI584" s="849">
        <v>0.0</v>
      </c>
      <c r="AJ584" s="794" t="str">
        <f t="shared" ref="AJ584:AK584" si="1165">C584</f>
        <v>G35700</v>
      </c>
      <c r="AK584" s="794" t="str">
        <f t="shared" si="1165"/>
        <v>AMORT. MATERIEL INFORM.</v>
      </c>
      <c r="AL584" s="794">
        <f t="array" ref="AL584">IFERROR(INDEX(G584:R584,1,MATCH(Parametres!$B$3,G$1:R$1,0)-1)*IF(OR(F584="L",F584="S",F584="I"),-1,1),"")</f>
        <v>-203615.09</v>
      </c>
      <c r="AM584" s="794">
        <f t="shared" si="4"/>
        <v>-770</v>
      </c>
      <c r="AN584" s="794">
        <f t="array" ref="AN584">INDEX(G584:R584,1,MATCH(Parametres!$B$3,G$1:R$1,0))*IF(OR(F584="L",F584="S",F584="I"),-1,1)</f>
        <v>-204385.09</v>
      </c>
      <c r="AO584" s="853" t="str">
        <f>+VLOOKUP($AJ584,Data_Validation!$A:$D,1,0)</f>
        <v>G35700</v>
      </c>
      <c r="AP584" s="853" t="str">
        <f>+VLOOKUP($AJ584,Data_Validation!$A:$D,3,0)</f>
        <v>Bilan</v>
      </c>
      <c r="AQ584" s="853" t="str">
        <f>+VLOOKUP($AJ584,Data_Validation!$A:$D,4,0)</f>
        <v>Équipements Informatique</v>
      </c>
      <c r="AR584" s="853" t="s">
        <v>728</v>
      </c>
      <c r="AS584" s="853" t="str">
        <f>+VLOOKUP($AJ584,Data_Validation!$A:$E,5,0)</f>
        <v/>
      </c>
      <c r="AT584" s="794" t="str">
        <f t="shared" ref="AT584:AU584" si="1166">C584</f>
        <v>G35700</v>
      </c>
      <c r="AU584" s="854" t="str">
        <f t="shared" si="1166"/>
        <v>AMORT. MATERIEL INFORM.</v>
      </c>
      <c r="AV584" s="794">
        <f t="array" ref="AV584">IFERROR(INDEX(V584:AG584,1,MATCH(Parametres!$B$3,V$1:AG$1,0)-1)*IF(OR(C584="L",C584="S",C584="I"),-1,1),"")</f>
        <v>0</v>
      </c>
      <c r="AW584" s="794">
        <f t="shared" si="6"/>
        <v>0</v>
      </c>
      <c r="AX584" s="794">
        <f t="array" ref="AX584">INDEX(V584:AG584,1,MATCH(Parametres!$B$3,V$1:AG$1,0))*IF(OR(C584="L",C584="S",C584="I"),-1,1)</f>
        <v>0</v>
      </c>
      <c r="AY584" s="853" t="s">
        <v>772</v>
      </c>
      <c r="AZ584" s="853" t="str">
        <f>+VLOOKUP($AJ584,Data_Validation!$A:$E,5,0)</f>
        <v/>
      </c>
    </row>
    <row r="585" ht="15.0" customHeight="1">
      <c r="A585" s="849" t="s">
        <v>1239</v>
      </c>
      <c r="B585" s="849">
        <v>2026.0</v>
      </c>
      <c r="C585" s="849" t="s">
        <v>2396</v>
      </c>
      <c r="D585" s="849" t="s">
        <v>2397</v>
      </c>
      <c r="E585" s="849" t="s">
        <v>768</v>
      </c>
      <c r="F585" s="849" t="s">
        <v>2057</v>
      </c>
      <c r="G585" s="849">
        <v>49409.61</v>
      </c>
      <c r="H585" s="849">
        <v>49549.61</v>
      </c>
      <c r="I585" s="849">
        <v>49689.61</v>
      </c>
      <c r="J585" s="849">
        <v>49829.61</v>
      </c>
      <c r="K585" s="849">
        <v>49969.61</v>
      </c>
      <c r="L585" s="849">
        <v>50109.61</v>
      </c>
      <c r="M585" s="849">
        <v>50249.61</v>
      </c>
      <c r="N585" s="849">
        <v>50389.61</v>
      </c>
      <c r="O585" s="849">
        <v>50529.61</v>
      </c>
      <c r="P585" s="849">
        <v>50529.61</v>
      </c>
      <c r="Q585" s="849">
        <v>0.0</v>
      </c>
      <c r="R585" s="849">
        <v>0.0</v>
      </c>
      <c r="S585" s="849">
        <v>0.0</v>
      </c>
      <c r="T585" s="849">
        <v>0.0</v>
      </c>
      <c r="U585" s="849">
        <v>0.0</v>
      </c>
      <c r="V585" s="849">
        <v>0.0</v>
      </c>
      <c r="W585" s="849">
        <v>0.0</v>
      </c>
      <c r="X585" s="849">
        <v>0.0</v>
      </c>
      <c r="Y585" s="849">
        <v>0.0</v>
      </c>
      <c r="Z585" s="849">
        <v>0.0</v>
      </c>
      <c r="AA585" s="849">
        <v>0.0</v>
      </c>
      <c r="AB585" s="849">
        <v>0.0</v>
      </c>
      <c r="AC585" s="849">
        <v>0.0</v>
      </c>
      <c r="AD585" s="849">
        <v>0.0</v>
      </c>
      <c r="AE585" s="849">
        <v>0.0</v>
      </c>
      <c r="AF585" s="849">
        <v>0.0</v>
      </c>
      <c r="AG585" s="849">
        <v>0.0</v>
      </c>
      <c r="AH585" s="849">
        <v>0.0</v>
      </c>
      <c r="AI585" s="849">
        <v>0.0</v>
      </c>
      <c r="AJ585" s="794" t="str">
        <f t="shared" ref="AJ585:AK585" si="1167">C585</f>
        <v>G35800</v>
      </c>
      <c r="AK585" s="794" t="str">
        <f t="shared" si="1167"/>
        <v>AMORT.CUMULÉ ENSEIGNES</v>
      </c>
      <c r="AL585" s="794">
        <f t="array" ref="AL585">IFERROR(INDEX(G585:R585,1,MATCH(Parametres!$B$3,G$1:R$1,0)-1)*IF(OR(F585="L",F585="S",F585="I"),-1,1),"")</f>
        <v>-50389.61</v>
      </c>
      <c r="AM585" s="794">
        <f t="shared" si="4"/>
        <v>-140</v>
      </c>
      <c r="AN585" s="794">
        <f t="array" ref="AN585">INDEX(G585:R585,1,MATCH(Parametres!$B$3,G$1:R$1,0))*IF(OR(F585="L",F585="S",F585="I"),-1,1)</f>
        <v>-50529.61</v>
      </c>
      <c r="AO585" s="853" t="str">
        <f>+VLOOKUP($AJ585,Data_Validation!$A:$D,1,0)</f>
        <v>G35800</v>
      </c>
      <c r="AP585" s="853" t="str">
        <f>+VLOOKUP($AJ585,Data_Validation!$A:$D,3,0)</f>
        <v>Bilan</v>
      </c>
      <c r="AQ585" s="853" t="str">
        <f>+VLOOKUP($AJ585,Data_Validation!$A:$D,4,0)</f>
        <v>Enseigne</v>
      </c>
      <c r="AR585" s="853" t="s">
        <v>728</v>
      </c>
      <c r="AS585" s="853" t="str">
        <f>+VLOOKUP($AJ585,Data_Validation!$A:$E,5,0)</f>
        <v/>
      </c>
      <c r="AT585" s="794" t="str">
        <f t="shared" ref="AT585:AU585" si="1168">C585</f>
        <v>G35800</v>
      </c>
      <c r="AU585" s="854" t="str">
        <f t="shared" si="1168"/>
        <v>AMORT.CUMULÉ ENSEIGNES</v>
      </c>
      <c r="AV585" s="794">
        <f t="array" ref="AV585">IFERROR(INDEX(V585:AG585,1,MATCH(Parametres!$B$3,V$1:AG$1,0)-1)*IF(OR(C585="L",C585="S",C585="I"),-1,1),"")</f>
        <v>0</v>
      </c>
      <c r="AW585" s="794">
        <f t="shared" si="6"/>
        <v>0</v>
      </c>
      <c r="AX585" s="794">
        <f t="array" ref="AX585">INDEX(V585:AG585,1,MATCH(Parametres!$B$3,V$1:AG$1,0))*IF(OR(C585="L",C585="S",C585="I"),-1,1)</f>
        <v>0</v>
      </c>
      <c r="AY585" s="853" t="s">
        <v>772</v>
      </c>
      <c r="AZ585" s="853" t="str">
        <f>+VLOOKUP($AJ585,Data_Validation!$A:$E,5,0)</f>
        <v/>
      </c>
    </row>
    <row r="586" ht="15.0" customHeight="1">
      <c r="A586" s="849" t="s">
        <v>1239</v>
      </c>
      <c r="B586" s="849">
        <v>2026.0</v>
      </c>
      <c r="C586" s="849" t="s">
        <v>2398</v>
      </c>
      <c r="D586" s="849" t="s">
        <v>2399</v>
      </c>
      <c r="E586" s="849" t="s">
        <v>768</v>
      </c>
      <c r="F586" s="849" t="s">
        <v>2057</v>
      </c>
      <c r="G586" s="849">
        <v>0.0</v>
      </c>
      <c r="H586" s="849">
        <v>0.0</v>
      </c>
      <c r="I586" s="849">
        <v>0.0</v>
      </c>
      <c r="J586" s="849">
        <v>0.0</v>
      </c>
      <c r="K586" s="849">
        <v>0.0</v>
      </c>
      <c r="L586" s="849">
        <v>0.0</v>
      </c>
      <c r="M586" s="849">
        <v>0.0</v>
      </c>
      <c r="N586" s="849">
        <v>0.0</v>
      </c>
      <c r="O586" s="849">
        <v>0.0</v>
      </c>
      <c r="P586" s="849">
        <v>0.0</v>
      </c>
      <c r="Q586" s="849">
        <v>0.0</v>
      </c>
      <c r="R586" s="849">
        <v>0.0</v>
      </c>
      <c r="S586" s="849">
        <v>0.0</v>
      </c>
      <c r="T586" s="849">
        <v>0.0</v>
      </c>
      <c r="U586" s="849">
        <v>0.0</v>
      </c>
      <c r="V586" s="849">
        <v>0.0</v>
      </c>
      <c r="W586" s="849">
        <v>0.0</v>
      </c>
      <c r="X586" s="849">
        <v>0.0</v>
      </c>
      <c r="Y586" s="849">
        <v>0.0</v>
      </c>
      <c r="Z586" s="849">
        <v>0.0</v>
      </c>
      <c r="AA586" s="849">
        <v>0.0</v>
      </c>
      <c r="AB586" s="849">
        <v>0.0</v>
      </c>
      <c r="AC586" s="849">
        <v>0.0</v>
      </c>
      <c r="AD586" s="849">
        <v>0.0</v>
      </c>
      <c r="AE586" s="849">
        <v>0.0</v>
      </c>
      <c r="AF586" s="849">
        <v>0.0</v>
      </c>
      <c r="AG586" s="849">
        <v>0.0</v>
      </c>
      <c r="AH586" s="849">
        <v>0.0</v>
      </c>
      <c r="AI586" s="849">
        <v>0.0</v>
      </c>
      <c r="AJ586" s="794" t="str">
        <f t="shared" ref="AJ586:AK586" si="1169">C586</f>
        <v>G35900</v>
      </c>
      <c r="AK586" s="794" t="str">
        <f t="shared" si="1169"/>
        <v>ASPHALTE AMORT.CUMULÉ</v>
      </c>
      <c r="AL586" s="794">
        <f t="array" ref="AL586">IFERROR(INDEX(G586:R586,1,MATCH(Parametres!$B$3,G$1:R$1,0)-1)*IF(OR(F586="L",F586="S",F586="I"),-1,1),"")</f>
        <v>0</v>
      </c>
      <c r="AM586" s="794">
        <f t="shared" si="4"/>
        <v>0</v>
      </c>
      <c r="AN586" s="794">
        <f t="array" ref="AN586">INDEX(G586:R586,1,MATCH(Parametres!$B$3,G$1:R$1,0))*IF(OR(F586="L",F586="S",F586="I"),-1,1)</f>
        <v>0</v>
      </c>
      <c r="AO586" s="853" t="str">
        <f>+VLOOKUP($AJ586,Data_Validation!$A:$D,1,0)</f>
        <v>G35900</v>
      </c>
      <c r="AP586" s="853" t="str">
        <f>+VLOOKUP($AJ586,Data_Validation!$A:$D,3,0)</f>
        <v/>
      </c>
      <c r="AQ586" s="853" t="str">
        <f>+VLOOKUP($AJ586,Data_Validation!$A:$D,4,0)</f>
        <v/>
      </c>
      <c r="AR586" s="853" t="s">
        <v>728</v>
      </c>
      <c r="AS586" s="853" t="str">
        <f>+VLOOKUP($AJ586,Data_Validation!$A:$E,5,0)</f>
        <v/>
      </c>
      <c r="AT586" s="794" t="str">
        <f t="shared" ref="AT586:AU586" si="1170">C586</f>
        <v>G35900</v>
      </c>
      <c r="AU586" s="854" t="str">
        <f t="shared" si="1170"/>
        <v>ASPHALTE AMORT.CUMULÉ</v>
      </c>
      <c r="AV586" s="794">
        <f t="array" ref="AV586">IFERROR(INDEX(V586:AG586,1,MATCH(Parametres!$B$3,V$1:AG$1,0)-1)*IF(OR(C586="L",C586="S",C586="I"),-1,1),"")</f>
        <v>0</v>
      </c>
      <c r="AW586" s="794">
        <f t="shared" si="6"/>
        <v>0</v>
      </c>
      <c r="AX586" s="794">
        <f t="array" ref="AX586">INDEX(V586:AG586,1,MATCH(Parametres!$B$3,V$1:AG$1,0))*IF(OR(C586="L",C586="S",C586="I"),-1,1)</f>
        <v>0</v>
      </c>
      <c r="AY586" s="853" t="s">
        <v>772</v>
      </c>
      <c r="AZ586" s="853" t="str">
        <f>+VLOOKUP($AJ586,Data_Validation!$A:$E,5,0)</f>
        <v/>
      </c>
    </row>
    <row r="587" ht="15.0" customHeight="1">
      <c r="A587" s="849" t="s">
        <v>1239</v>
      </c>
      <c r="B587" s="849">
        <v>2026.0</v>
      </c>
      <c r="C587" s="849" t="s">
        <v>2400</v>
      </c>
      <c r="D587" s="849" t="s">
        <v>2401</v>
      </c>
      <c r="E587" s="849" t="s">
        <v>768</v>
      </c>
      <c r="F587" s="849" t="s">
        <v>2057</v>
      </c>
      <c r="G587" s="849">
        <v>0.0</v>
      </c>
      <c r="H587" s="849">
        <v>0.0</v>
      </c>
      <c r="I587" s="849">
        <v>0.0</v>
      </c>
      <c r="J587" s="849">
        <v>0.0</v>
      </c>
      <c r="K587" s="849">
        <v>0.0</v>
      </c>
      <c r="L587" s="849">
        <v>0.0</v>
      </c>
      <c r="M587" s="849">
        <v>0.0</v>
      </c>
      <c r="N587" s="849">
        <v>0.0</v>
      </c>
      <c r="O587" s="849">
        <v>0.0</v>
      </c>
      <c r="P587" s="849">
        <v>0.0</v>
      </c>
      <c r="Q587" s="849">
        <v>0.0</v>
      </c>
      <c r="R587" s="849">
        <v>0.0</v>
      </c>
      <c r="S587" s="849">
        <v>0.0</v>
      </c>
      <c r="T587" s="849">
        <v>0.0</v>
      </c>
      <c r="U587" s="849">
        <v>0.0</v>
      </c>
      <c r="V587" s="849">
        <v>0.0</v>
      </c>
      <c r="W587" s="849">
        <v>0.0</v>
      </c>
      <c r="X587" s="849">
        <v>0.0</v>
      </c>
      <c r="Y587" s="849">
        <v>0.0</v>
      </c>
      <c r="Z587" s="849">
        <v>0.0</v>
      </c>
      <c r="AA587" s="849">
        <v>0.0</v>
      </c>
      <c r="AB587" s="849">
        <v>0.0</v>
      </c>
      <c r="AC587" s="849">
        <v>0.0</v>
      </c>
      <c r="AD587" s="849">
        <v>0.0</v>
      </c>
      <c r="AE587" s="849">
        <v>0.0</v>
      </c>
      <c r="AF587" s="849">
        <v>0.0</v>
      </c>
      <c r="AG587" s="849">
        <v>0.0</v>
      </c>
      <c r="AH587" s="849">
        <v>0.0</v>
      </c>
      <c r="AI587" s="849">
        <v>0.0</v>
      </c>
      <c r="AJ587" s="794" t="str">
        <f t="shared" ref="AJ587:AK587" si="1171">C587</f>
        <v>G36000</v>
      </c>
      <c r="AK587" s="794" t="str">
        <f t="shared" si="1171"/>
        <v>CAPITAL-ACTIONS</v>
      </c>
      <c r="AL587" s="794">
        <f t="array" ref="AL587">IFERROR(INDEX(G587:R587,1,MATCH(Parametres!$B$3,G$1:R$1,0)-1)*IF(OR(F587="L",F587="S",F587="I"),-1,1),"")</f>
        <v>0</v>
      </c>
      <c r="AM587" s="794">
        <f t="shared" si="4"/>
        <v>0</v>
      </c>
      <c r="AN587" s="794">
        <f t="array" ref="AN587">INDEX(G587:R587,1,MATCH(Parametres!$B$3,G$1:R$1,0))*IF(OR(F587="L",F587="S",F587="I"),-1,1)</f>
        <v>0</v>
      </c>
      <c r="AO587" s="853" t="str">
        <f>+VLOOKUP($AJ587,Data_Validation!$A:$D,1,0)</f>
        <v>G36000</v>
      </c>
      <c r="AP587" s="853" t="str">
        <f>+VLOOKUP($AJ587,Data_Validation!$A:$D,3,0)</f>
        <v>Bilan</v>
      </c>
      <c r="AQ587" s="853" t="str">
        <f>+VLOOKUP($AJ587,Data_Validation!$A:$D,4,0)</f>
        <v>Capital Actions</v>
      </c>
      <c r="AR587" s="853" t="s">
        <v>728</v>
      </c>
      <c r="AS587" s="853" t="str">
        <f>+VLOOKUP($AJ587,Data_Validation!$A:$E,5,0)</f>
        <v/>
      </c>
      <c r="AT587" s="794" t="str">
        <f t="shared" ref="AT587:AU587" si="1172">C587</f>
        <v>G36000</v>
      </c>
      <c r="AU587" s="854" t="str">
        <f t="shared" si="1172"/>
        <v>CAPITAL-ACTIONS</v>
      </c>
      <c r="AV587" s="794">
        <f t="array" ref="AV587">IFERROR(INDEX(V587:AG587,1,MATCH(Parametres!$B$3,V$1:AG$1,0)-1)*IF(OR(C587="L",C587="S",C587="I"),-1,1),"")</f>
        <v>0</v>
      </c>
      <c r="AW587" s="794">
        <f t="shared" si="6"/>
        <v>0</v>
      </c>
      <c r="AX587" s="794">
        <f t="array" ref="AX587">INDEX(V587:AG587,1,MATCH(Parametres!$B$3,V$1:AG$1,0))*IF(OR(C587="L",C587="S",C587="I"),-1,1)</f>
        <v>0</v>
      </c>
      <c r="AY587" s="853" t="s">
        <v>772</v>
      </c>
      <c r="AZ587" s="853" t="str">
        <f>+VLOOKUP($AJ587,Data_Validation!$A:$E,5,0)</f>
        <v/>
      </c>
    </row>
    <row r="588" ht="15.0" customHeight="1">
      <c r="A588" s="849" t="s">
        <v>1239</v>
      </c>
      <c r="B588" s="849">
        <v>2026.0</v>
      </c>
      <c r="C588" s="849" t="s">
        <v>2402</v>
      </c>
      <c r="D588" s="849" t="s">
        <v>2403</v>
      </c>
      <c r="E588" s="849" t="s">
        <v>768</v>
      </c>
      <c r="F588" s="849" t="s">
        <v>2057</v>
      </c>
      <c r="G588" s="849">
        <v>15.0</v>
      </c>
      <c r="H588" s="849">
        <v>15.0</v>
      </c>
      <c r="I588" s="849">
        <v>15.0</v>
      </c>
      <c r="J588" s="849">
        <v>15.0</v>
      </c>
      <c r="K588" s="849">
        <v>15.0</v>
      </c>
      <c r="L588" s="849">
        <v>15.0</v>
      </c>
      <c r="M588" s="849">
        <v>0.0</v>
      </c>
      <c r="N588" s="849">
        <v>0.0</v>
      </c>
      <c r="O588" s="849">
        <v>0.0</v>
      </c>
      <c r="P588" s="849">
        <v>0.0</v>
      </c>
      <c r="Q588" s="849">
        <v>0.0</v>
      </c>
      <c r="R588" s="849">
        <v>0.0</v>
      </c>
      <c r="S588" s="849">
        <v>0.0</v>
      </c>
      <c r="T588" s="849">
        <v>0.0</v>
      </c>
      <c r="U588" s="849">
        <v>0.0</v>
      </c>
      <c r="V588" s="849">
        <v>0.0</v>
      </c>
      <c r="W588" s="849">
        <v>0.0</v>
      </c>
      <c r="X588" s="849">
        <v>0.0</v>
      </c>
      <c r="Y588" s="849">
        <v>0.0</v>
      </c>
      <c r="Z588" s="849">
        <v>0.0</v>
      </c>
      <c r="AA588" s="849">
        <v>0.0</v>
      </c>
      <c r="AB588" s="849">
        <v>0.0</v>
      </c>
      <c r="AC588" s="849">
        <v>0.0</v>
      </c>
      <c r="AD588" s="849">
        <v>0.0</v>
      </c>
      <c r="AE588" s="849">
        <v>0.0</v>
      </c>
      <c r="AF588" s="849">
        <v>0.0</v>
      </c>
      <c r="AG588" s="849">
        <v>0.0</v>
      </c>
      <c r="AH588" s="849">
        <v>0.0</v>
      </c>
      <c r="AI588" s="849">
        <v>0.0</v>
      </c>
      <c r="AJ588" s="794" t="str">
        <f t="shared" ref="AJ588:AK588" si="1173">C588</f>
        <v>G36001</v>
      </c>
      <c r="AK588" s="794" t="str">
        <f t="shared" si="1173"/>
        <v>ACTIONS A</v>
      </c>
      <c r="AL588" s="794">
        <f t="array" ref="AL588">IFERROR(INDEX(G588:R588,1,MATCH(Parametres!$B$3,G$1:R$1,0)-1)*IF(OR(F588="L",F588="S",F588="I"),-1,1),"")</f>
        <v>0</v>
      </c>
      <c r="AM588" s="794">
        <f t="shared" si="4"/>
        <v>0</v>
      </c>
      <c r="AN588" s="794">
        <f t="array" ref="AN588">INDEX(G588:R588,1,MATCH(Parametres!$B$3,G$1:R$1,0))*IF(OR(F588="L",F588="S",F588="I"),-1,1)</f>
        <v>0</v>
      </c>
      <c r="AO588" s="853" t="str">
        <f>+VLOOKUP($AJ588,Data_Validation!$A:$D,1,0)</f>
        <v>G36001</v>
      </c>
      <c r="AP588" s="853" t="str">
        <f>+VLOOKUP($AJ588,Data_Validation!$A:$D,3,0)</f>
        <v>Bilan</v>
      </c>
      <c r="AQ588" s="853" t="str">
        <f>+VLOOKUP($AJ588,Data_Validation!$A:$D,4,0)</f>
        <v>Capital Actions</v>
      </c>
      <c r="AR588" s="853" t="s">
        <v>728</v>
      </c>
      <c r="AS588" s="853" t="str">
        <f>+VLOOKUP($AJ588,Data_Validation!$A:$E,5,0)</f>
        <v/>
      </c>
      <c r="AT588" s="794" t="str">
        <f t="shared" ref="AT588:AU588" si="1174">C588</f>
        <v>G36001</v>
      </c>
      <c r="AU588" s="854" t="str">
        <f t="shared" si="1174"/>
        <v>ACTIONS A</v>
      </c>
      <c r="AV588" s="794">
        <f t="array" ref="AV588">IFERROR(INDEX(V588:AG588,1,MATCH(Parametres!$B$3,V$1:AG$1,0)-1)*IF(OR(C588="L",C588="S",C588="I"),-1,1),"")</f>
        <v>0</v>
      </c>
      <c r="AW588" s="794">
        <f t="shared" si="6"/>
        <v>0</v>
      </c>
      <c r="AX588" s="794">
        <f t="array" ref="AX588">INDEX(V588:AG588,1,MATCH(Parametres!$B$3,V$1:AG$1,0))*IF(OR(C588="L",C588="S",C588="I"),-1,1)</f>
        <v>0</v>
      </c>
      <c r="AY588" s="853" t="s">
        <v>772</v>
      </c>
      <c r="AZ588" s="853" t="str">
        <f>+VLOOKUP($AJ588,Data_Validation!$A:$E,5,0)</f>
        <v/>
      </c>
    </row>
    <row r="589" ht="15.0" customHeight="1">
      <c r="A589" s="849" t="s">
        <v>1239</v>
      </c>
      <c r="B589" s="849">
        <v>2026.0</v>
      </c>
      <c r="C589" s="849" t="s">
        <v>2404</v>
      </c>
      <c r="D589" s="849" t="s">
        <v>2405</v>
      </c>
      <c r="E589" s="849" t="s">
        <v>768</v>
      </c>
      <c r="F589" s="849" t="s">
        <v>2057</v>
      </c>
      <c r="G589" s="849">
        <v>85.0</v>
      </c>
      <c r="H589" s="849">
        <v>85.0</v>
      </c>
      <c r="I589" s="849">
        <v>85.0</v>
      </c>
      <c r="J589" s="849">
        <v>85.0</v>
      </c>
      <c r="K589" s="849">
        <v>85.0</v>
      </c>
      <c r="L589" s="849">
        <v>85.0</v>
      </c>
      <c r="M589" s="849">
        <v>85.0</v>
      </c>
      <c r="N589" s="849">
        <v>85.0</v>
      </c>
      <c r="O589" s="849">
        <v>85.0</v>
      </c>
      <c r="P589" s="849">
        <v>85.0</v>
      </c>
      <c r="Q589" s="849">
        <v>0.0</v>
      </c>
      <c r="R589" s="849">
        <v>0.0</v>
      </c>
      <c r="S589" s="849">
        <v>0.0</v>
      </c>
      <c r="T589" s="849">
        <v>0.0</v>
      </c>
      <c r="U589" s="849">
        <v>0.0</v>
      </c>
      <c r="V589" s="849">
        <v>0.0</v>
      </c>
      <c r="W589" s="849">
        <v>0.0</v>
      </c>
      <c r="X589" s="849">
        <v>0.0</v>
      </c>
      <c r="Y589" s="849">
        <v>0.0</v>
      </c>
      <c r="Z589" s="849">
        <v>0.0</v>
      </c>
      <c r="AA589" s="849">
        <v>0.0</v>
      </c>
      <c r="AB589" s="849">
        <v>0.0</v>
      </c>
      <c r="AC589" s="849">
        <v>0.0</v>
      </c>
      <c r="AD589" s="849">
        <v>0.0</v>
      </c>
      <c r="AE589" s="849">
        <v>0.0</v>
      </c>
      <c r="AF589" s="849">
        <v>0.0</v>
      </c>
      <c r="AG589" s="849">
        <v>0.0</v>
      </c>
      <c r="AH589" s="849">
        <v>0.0</v>
      </c>
      <c r="AI589" s="849">
        <v>0.0</v>
      </c>
      <c r="AJ589" s="794" t="str">
        <f t="shared" ref="AJ589:AK589" si="1175">C589</f>
        <v>G36002</v>
      </c>
      <c r="AK589" s="794" t="str">
        <f t="shared" si="1175"/>
        <v>ACTIONS B</v>
      </c>
      <c r="AL589" s="794">
        <f t="array" ref="AL589">IFERROR(INDEX(G589:R589,1,MATCH(Parametres!$B$3,G$1:R$1,0)-1)*IF(OR(F589="L",F589="S",F589="I"),-1,1),"")</f>
        <v>-85</v>
      </c>
      <c r="AM589" s="794">
        <f t="shared" si="4"/>
        <v>0</v>
      </c>
      <c r="AN589" s="794">
        <f t="array" ref="AN589">INDEX(G589:R589,1,MATCH(Parametres!$B$3,G$1:R$1,0))*IF(OR(F589="L",F589="S",F589="I"),-1,1)</f>
        <v>-85</v>
      </c>
      <c r="AO589" s="853" t="str">
        <f>+VLOOKUP($AJ589,Data_Validation!$A:$D,1,0)</f>
        <v>G36002</v>
      </c>
      <c r="AP589" s="853" t="str">
        <f>+VLOOKUP($AJ589,Data_Validation!$A:$D,3,0)</f>
        <v>Bilan</v>
      </c>
      <c r="AQ589" s="853" t="str">
        <f>+VLOOKUP($AJ589,Data_Validation!$A:$D,4,0)</f>
        <v>Capital Actions</v>
      </c>
      <c r="AR589" s="853" t="s">
        <v>728</v>
      </c>
      <c r="AS589" s="853" t="str">
        <f>+VLOOKUP($AJ589,Data_Validation!$A:$E,5,0)</f>
        <v/>
      </c>
      <c r="AT589" s="794" t="str">
        <f t="shared" ref="AT589:AU589" si="1176">C589</f>
        <v>G36002</v>
      </c>
      <c r="AU589" s="854" t="str">
        <f t="shared" si="1176"/>
        <v>ACTIONS B</v>
      </c>
      <c r="AV589" s="794">
        <f t="array" ref="AV589">IFERROR(INDEX(V589:AG589,1,MATCH(Parametres!$B$3,V$1:AG$1,0)-1)*IF(OR(C589="L",C589="S",C589="I"),-1,1),"")</f>
        <v>0</v>
      </c>
      <c r="AW589" s="794">
        <f t="shared" si="6"/>
        <v>0</v>
      </c>
      <c r="AX589" s="794">
        <f t="array" ref="AX589">INDEX(V589:AG589,1,MATCH(Parametres!$B$3,V$1:AG$1,0))*IF(OR(C589="L",C589="S",C589="I"),-1,1)</f>
        <v>0</v>
      </c>
      <c r="AY589" s="853" t="s">
        <v>772</v>
      </c>
      <c r="AZ589" s="853" t="str">
        <f>+VLOOKUP($AJ589,Data_Validation!$A:$E,5,0)</f>
        <v/>
      </c>
    </row>
    <row r="590" ht="15.0" customHeight="1">
      <c r="A590" s="849" t="s">
        <v>1239</v>
      </c>
      <c r="B590" s="849">
        <v>2026.0</v>
      </c>
      <c r="C590" s="849" t="s">
        <v>2406</v>
      </c>
      <c r="D590" s="849" t="s">
        <v>2407</v>
      </c>
      <c r="E590" s="849" t="s">
        <v>768</v>
      </c>
      <c r="F590" s="849" t="s">
        <v>2057</v>
      </c>
      <c r="G590" s="849">
        <v>85.0</v>
      </c>
      <c r="H590" s="849">
        <v>85.0</v>
      </c>
      <c r="I590" s="849">
        <v>85.0</v>
      </c>
      <c r="J590" s="849">
        <v>85.0</v>
      </c>
      <c r="K590" s="849">
        <v>85.0</v>
      </c>
      <c r="L590" s="849">
        <v>85.0</v>
      </c>
      <c r="M590" s="849">
        <v>85.0</v>
      </c>
      <c r="N590" s="849">
        <v>85.0</v>
      </c>
      <c r="O590" s="849">
        <v>85.0</v>
      </c>
      <c r="P590" s="849">
        <v>85.0</v>
      </c>
      <c r="Q590" s="849">
        <v>0.0</v>
      </c>
      <c r="R590" s="849">
        <v>0.0</v>
      </c>
      <c r="S590" s="849">
        <v>0.0</v>
      </c>
      <c r="T590" s="849">
        <v>0.0</v>
      </c>
      <c r="U590" s="849">
        <v>0.0</v>
      </c>
      <c r="V590" s="849">
        <v>0.0</v>
      </c>
      <c r="W590" s="849">
        <v>0.0</v>
      </c>
      <c r="X590" s="849">
        <v>0.0</v>
      </c>
      <c r="Y590" s="849">
        <v>0.0</v>
      </c>
      <c r="Z590" s="849">
        <v>0.0</v>
      </c>
      <c r="AA590" s="849">
        <v>0.0</v>
      </c>
      <c r="AB590" s="849">
        <v>0.0</v>
      </c>
      <c r="AC590" s="849">
        <v>0.0</v>
      </c>
      <c r="AD590" s="849">
        <v>0.0</v>
      </c>
      <c r="AE590" s="849">
        <v>0.0</v>
      </c>
      <c r="AF590" s="849">
        <v>0.0</v>
      </c>
      <c r="AG590" s="849">
        <v>0.0</v>
      </c>
      <c r="AH590" s="849">
        <v>0.0</v>
      </c>
      <c r="AI590" s="849">
        <v>0.0</v>
      </c>
      <c r="AJ590" s="794" t="str">
        <f t="shared" ref="AJ590:AK590" si="1177">C590</f>
        <v>G36003</v>
      </c>
      <c r="AK590" s="794" t="str">
        <f t="shared" si="1177"/>
        <v>ACTIONS C</v>
      </c>
      <c r="AL590" s="794">
        <f t="array" ref="AL590">IFERROR(INDEX(G590:R590,1,MATCH(Parametres!$B$3,G$1:R$1,0)-1)*IF(OR(F590="L",F590="S",F590="I"),-1,1),"")</f>
        <v>-85</v>
      </c>
      <c r="AM590" s="794">
        <f t="shared" si="4"/>
        <v>0</v>
      </c>
      <c r="AN590" s="794">
        <f t="array" ref="AN590">INDEX(G590:R590,1,MATCH(Parametres!$B$3,G$1:R$1,0))*IF(OR(F590="L",F590="S",F590="I"),-1,1)</f>
        <v>-85</v>
      </c>
      <c r="AO590" s="853" t="str">
        <f>+VLOOKUP($AJ590,Data_Validation!$A:$D,1,0)</f>
        <v>G36003</v>
      </c>
      <c r="AP590" s="853" t="str">
        <f>+VLOOKUP($AJ590,Data_Validation!$A:$D,3,0)</f>
        <v>Bilan</v>
      </c>
      <c r="AQ590" s="853" t="str">
        <f>+VLOOKUP($AJ590,Data_Validation!$A:$D,4,0)</f>
        <v>Capital Actions</v>
      </c>
      <c r="AR590" s="853" t="s">
        <v>728</v>
      </c>
      <c r="AS590" s="853" t="str">
        <f>+VLOOKUP($AJ590,Data_Validation!$A:$E,5,0)</f>
        <v/>
      </c>
      <c r="AT590" s="794" t="str">
        <f t="shared" ref="AT590:AU590" si="1178">C590</f>
        <v>G36003</v>
      </c>
      <c r="AU590" s="854" t="str">
        <f t="shared" si="1178"/>
        <v>ACTIONS C</v>
      </c>
      <c r="AV590" s="794">
        <f t="array" ref="AV590">IFERROR(INDEX(V590:AG590,1,MATCH(Parametres!$B$3,V$1:AG$1,0)-1)*IF(OR(C590="L",C590="S",C590="I"),-1,1),"")</f>
        <v>0</v>
      </c>
      <c r="AW590" s="794">
        <f t="shared" si="6"/>
        <v>0</v>
      </c>
      <c r="AX590" s="794">
        <f t="array" ref="AX590">INDEX(V590:AG590,1,MATCH(Parametres!$B$3,V$1:AG$1,0))*IF(OR(C590="L",C590="S",C590="I"),-1,1)</f>
        <v>0</v>
      </c>
      <c r="AY590" s="853" t="s">
        <v>772</v>
      </c>
      <c r="AZ590" s="853" t="str">
        <f>+VLOOKUP($AJ590,Data_Validation!$A:$E,5,0)</f>
        <v/>
      </c>
    </row>
    <row r="591" ht="15.0" customHeight="1">
      <c r="A591" s="849" t="s">
        <v>1239</v>
      </c>
      <c r="B591" s="849">
        <v>2026.0</v>
      </c>
      <c r="C591" s="849" t="s">
        <v>2408</v>
      </c>
      <c r="D591" s="849" t="s">
        <v>2409</v>
      </c>
      <c r="E591" s="849" t="s">
        <v>768</v>
      </c>
      <c r="F591" s="849" t="s">
        <v>2057</v>
      </c>
      <c r="G591" s="849">
        <v>51.0</v>
      </c>
      <c r="H591" s="849">
        <v>51.0</v>
      </c>
      <c r="I591" s="849">
        <v>51.0</v>
      </c>
      <c r="J591" s="849">
        <v>51.0</v>
      </c>
      <c r="K591" s="849">
        <v>51.0</v>
      </c>
      <c r="L591" s="849">
        <v>51.0</v>
      </c>
      <c r="M591" s="849">
        <v>51.0</v>
      </c>
      <c r="N591" s="849">
        <v>51.0</v>
      </c>
      <c r="O591" s="849">
        <v>51.0</v>
      </c>
      <c r="P591" s="849">
        <v>51.0</v>
      </c>
      <c r="Q591" s="849">
        <v>0.0</v>
      </c>
      <c r="R591" s="849">
        <v>0.0</v>
      </c>
      <c r="S591" s="849">
        <v>0.0</v>
      </c>
      <c r="T591" s="849">
        <v>0.0</v>
      </c>
      <c r="U591" s="849">
        <v>0.0</v>
      </c>
      <c r="V591" s="849">
        <v>0.0</v>
      </c>
      <c r="W591" s="849">
        <v>0.0</v>
      </c>
      <c r="X591" s="849">
        <v>0.0</v>
      </c>
      <c r="Y591" s="849">
        <v>0.0</v>
      </c>
      <c r="Z591" s="849">
        <v>0.0</v>
      </c>
      <c r="AA591" s="849">
        <v>0.0</v>
      </c>
      <c r="AB591" s="849">
        <v>0.0</v>
      </c>
      <c r="AC591" s="849">
        <v>0.0</v>
      </c>
      <c r="AD591" s="849">
        <v>0.0</v>
      </c>
      <c r="AE591" s="849">
        <v>0.0</v>
      </c>
      <c r="AF591" s="849">
        <v>0.0</v>
      </c>
      <c r="AG591" s="849">
        <v>0.0</v>
      </c>
      <c r="AH591" s="849">
        <v>0.0</v>
      </c>
      <c r="AI591" s="849">
        <v>0.0</v>
      </c>
      <c r="AJ591" s="794" t="str">
        <f t="shared" ref="AJ591:AK591" si="1179">C591</f>
        <v>G36004</v>
      </c>
      <c r="AK591" s="794" t="str">
        <f t="shared" si="1179"/>
        <v>ACTIONS E</v>
      </c>
      <c r="AL591" s="794">
        <f t="array" ref="AL591">IFERROR(INDEX(G591:R591,1,MATCH(Parametres!$B$3,G$1:R$1,0)-1)*IF(OR(F591="L",F591="S",F591="I"),-1,1),"")</f>
        <v>-51</v>
      </c>
      <c r="AM591" s="794">
        <f t="shared" si="4"/>
        <v>0</v>
      </c>
      <c r="AN591" s="794">
        <f t="array" ref="AN591">INDEX(G591:R591,1,MATCH(Parametres!$B$3,G$1:R$1,0))*IF(OR(F591="L",F591="S",F591="I"),-1,1)</f>
        <v>-51</v>
      </c>
      <c r="AO591" s="853" t="str">
        <f>+VLOOKUP($AJ591,Data_Validation!$A:$D,1,0)</f>
        <v>G36004</v>
      </c>
      <c r="AP591" s="853" t="str">
        <f>+VLOOKUP($AJ591,Data_Validation!$A:$D,3,0)</f>
        <v>Bilan</v>
      </c>
      <c r="AQ591" s="853" t="str">
        <f>+VLOOKUP($AJ591,Data_Validation!$A:$D,4,0)</f>
        <v>Capital Actions</v>
      </c>
      <c r="AR591" s="853" t="s">
        <v>728</v>
      </c>
      <c r="AS591" s="853" t="str">
        <f>+VLOOKUP($AJ591,Data_Validation!$A:$E,5,0)</f>
        <v/>
      </c>
      <c r="AT591" s="794" t="str">
        <f t="shared" ref="AT591:AU591" si="1180">C591</f>
        <v>G36004</v>
      </c>
      <c r="AU591" s="854" t="str">
        <f t="shared" si="1180"/>
        <v>ACTIONS E</v>
      </c>
      <c r="AV591" s="794">
        <f t="array" ref="AV591">IFERROR(INDEX(V591:AG591,1,MATCH(Parametres!$B$3,V$1:AG$1,0)-1)*IF(OR(C591="L",C591="S",C591="I"),-1,1),"")</f>
        <v>0</v>
      </c>
      <c r="AW591" s="794">
        <f t="shared" si="6"/>
        <v>0</v>
      </c>
      <c r="AX591" s="794">
        <f t="array" ref="AX591">INDEX(V591:AG591,1,MATCH(Parametres!$B$3,V$1:AG$1,0))*IF(OR(C591="L",C591="S",C591="I"),-1,1)</f>
        <v>0</v>
      </c>
      <c r="AY591" s="853" t="s">
        <v>772</v>
      </c>
      <c r="AZ591" s="853" t="str">
        <f>+VLOOKUP($AJ591,Data_Validation!$A:$E,5,0)</f>
        <v/>
      </c>
    </row>
    <row r="592" ht="15.0" customHeight="1">
      <c r="A592" s="849" t="s">
        <v>1239</v>
      </c>
      <c r="B592" s="849">
        <v>2026.0</v>
      </c>
      <c r="C592" s="849" t="s">
        <v>2410</v>
      </c>
      <c r="D592" s="849" t="s">
        <v>2411</v>
      </c>
      <c r="E592" s="849" t="s">
        <v>768</v>
      </c>
      <c r="F592" s="849" t="s">
        <v>2057</v>
      </c>
      <c r="G592" s="849">
        <v>0.0</v>
      </c>
      <c r="H592" s="849">
        <v>0.0</v>
      </c>
      <c r="I592" s="849">
        <v>0.0</v>
      </c>
      <c r="J592" s="849">
        <v>0.0</v>
      </c>
      <c r="K592" s="849">
        <v>0.0</v>
      </c>
      <c r="L592" s="849">
        <v>0.0</v>
      </c>
      <c r="M592" s="849">
        <v>0.0</v>
      </c>
      <c r="N592" s="849">
        <v>0.0</v>
      </c>
      <c r="O592" s="849">
        <v>0.0</v>
      </c>
      <c r="P592" s="849">
        <v>0.0</v>
      </c>
      <c r="Q592" s="849">
        <v>0.0</v>
      </c>
      <c r="R592" s="849">
        <v>0.0</v>
      </c>
      <c r="S592" s="849">
        <v>0.0</v>
      </c>
      <c r="T592" s="849">
        <v>0.0</v>
      </c>
      <c r="U592" s="849">
        <v>0.0</v>
      </c>
      <c r="V592" s="849">
        <v>0.0</v>
      </c>
      <c r="W592" s="849">
        <v>0.0</v>
      </c>
      <c r="X592" s="849">
        <v>0.0</v>
      </c>
      <c r="Y592" s="849">
        <v>0.0</v>
      </c>
      <c r="Z592" s="849">
        <v>0.0</v>
      </c>
      <c r="AA592" s="849">
        <v>0.0</v>
      </c>
      <c r="AB592" s="849">
        <v>0.0</v>
      </c>
      <c r="AC592" s="849">
        <v>0.0</v>
      </c>
      <c r="AD592" s="849">
        <v>0.0</v>
      </c>
      <c r="AE592" s="849">
        <v>0.0</v>
      </c>
      <c r="AF592" s="849">
        <v>0.0</v>
      </c>
      <c r="AG592" s="849">
        <v>0.0</v>
      </c>
      <c r="AH592" s="849">
        <v>0.0</v>
      </c>
      <c r="AI592" s="849">
        <v>0.0</v>
      </c>
      <c r="AJ592" s="794" t="str">
        <f t="shared" ref="AJ592:AK592" si="1181">C592</f>
        <v>G36005</v>
      </c>
      <c r="AK592" s="794" t="str">
        <f t="shared" si="1181"/>
        <v>VALEUR RACHETABLE ACT E</v>
      </c>
      <c r="AL592" s="794">
        <f t="array" ref="AL592">IFERROR(INDEX(G592:R592,1,MATCH(Parametres!$B$3,G$1:R$1,0)-1)*IF(OR(F592="L",F592="S",F592="I"),-1,1),"")</f>
        <v>0</v>
      </c>
      <c r="AM592" s="794">
        <f t="shared" si="4"/>
        <v>0</v>
      </c>
      <c r="AN592" s="794">
        <f t="array" ref="AN592">INDEX(G592:R592,1,MATCH(Parametres!$B$3,G$1:R$1,0))*IF(OR(F592="L",F592="S",F592="I"),-1,1)</f>
        <v>0</v>
      </c>
      <c r="AO592" s="853" t="str">
        <f>+VLOOKUP($AJ592,Data_Validation!$A:$D,1,0)</f>
        <v>G36005</v>
      </c>
      <c r="AP592" s="853" t="str">
        <f>+VLOOKUP($AJ592,Data_Validation!$A:$D,3,0)</f>
        <v>Bilan</v>
      </c>
      <c r="AQ592" s="853" t="str">
        <f>+VLOOKUP($AJ592,Data_Validation!$A:$D,4,0)</f>
        <v>Capital Actions</v>
      </c>
      <c r="AR592" s="853" t="s">
        <v>728</v>
      </c>
      <c r="AS592" s="853" t="str">
        <f>+VLOOKUP($AJ592,Data_Validation!$A:$E,5,0)</f>
        <v/>
      </c>
      <c r="AT592" s="794" t="str">
        <f t="shared" ref="AT592:AU592" si="1182">C592</f>
        <v>G36005</v>
      </c>
      <c r="AU592" s="854" t="str">
        <f t="shared" si="1182"/>
        <v>VALEUR RACHETABLE ACT E</v>
      </c>
      <c r="AV592" s="794">
        <f t="array" ref="AV592">IFERROR(INDEX(V592:AG592,1,MATCH(Parametres!$B$3,V$1:AG$1,0)-1)*IF(OR(C592="L",C592="S",C592="I"),-1,1),"")</f>
        <v>0</v>
      </c>
      <c r="AW592" s="794">
        <f t="shared" si="6"/>
        <v>0</v>
      </c>
      <c r="AX592" s="794">
        <f t="array" ref="AX592">INDEX(V592:AG592,1,MATCH(Parametres!$B$3,V$1:AG$1,0))*IF(OR(C592="L",C592="S",C592="I"),-1,1)</f>
        <v>0</v>
      </c>
      <c r="AY592" s="853" t="s">
        <v>772</v>
      </c>
      <c r="AZ592" s="853" t="str">
        <f>+VLOOKUP($AJ592,Data_Validation!$A:$E,5,0)</f>
        <v/>
      </c>
    </row>
    <row r="593" ht="15.0" customHeight="1">
      <c r="A593" s="849" t="s">
        <v>1239</v>
      </c>
      <c r="B593" s="849">
        <v>2026.0</v>
      </c>
      <c r="C593" s="849" t="s">
        <v>2412</v>
      </c>
      <c r="D593" s="849" t="s">
        <v>2413</v>
      </c>
      <c r="E593" s="849" t="s">
        <v>768</v>
      </c>
      <c r="F593" s="849" t="s">
        <v>2057</v>
      </c>
      <c r="G593" s="849">
        <v>0.0</v>
      </c>
      <c r="H593" s="849">
        <v>0.0</v>
      </c>
      <c r="I593" s="849">
        <v>0.0</v>
      </c>
      <c r="J593" s="849">
        <v>0.0</v>
      </c>
      <c r="K593" s="849">
        <v>0.0</v>
      </c>
      <c r="L593" s="849">
        <v>0.0</v>
      </c>
      <c r="M593" s="849">
        <v>1349853.0</v>
      </c>
      <c r="N593" s="849">
        <v>1349853.0</v>
      </c>
      <c r="O593" s="849">
        <v>1349853.0</v>
      </c>
      <c r="P593" s="849">
        <v>1349853.0</v>
      </c>
      <c r="Q593" s="849">
        <v>0.0</v>
      </c>
      <c r="R593" s="849">
        <v>0.0</v>
      </c>
      <c r="S593" s="849">
        <v>0.0</v>
      </c>
      <c r="T593" s="849">
        <v>0.0</v>
      </c>
      <c r="U593" s="849">
        <v>0.0</v>
      </c>
      <c r="V593" s="849">
        <v>0.0</v>
      </c>
      <c r="W593" s="849">
        <v>0.0</v>
      </c>
      <c r="X593" s="849">
        <v>0.0</v>
      </c>
      <c r="Y593" s="849">
        <v>0.0</v>
      </c>
      <c r="Z593" s="849">
        <v>0.0</v>
      </c>
      <c r="AA593" s="849">
        <v>0.0</v>
      </c>
      <c r="AB593" s="849">
        <v>0.0</v>
      </c>
      <c r="AC593" s="849">
        <v>0.0</v>
      </c>
      <c r="AD593" s="849">
        <v>0.0</v>
      </c>
      <c r="AE593" s="849">
        <v>0.0</v>
      </c>
      <c r="AF593" s="849">
        <v>0.0</v>
      </c>
      <c r="AG593" s="849">
        <v>0.0</v>
      </c>
      <c r="AH593" s="849">
        <v>0.0</v>
      </c>
      <c r="AI593" s="849">
        <v>0.0</v>
      </c>
      <c r="AJ593" s="794" t="str">
        <f t="shared" ref="AJ593:AK593" si="1183">C593</f>
        <v>G36006</v>
      </c>
      <c r="AK593" s="794" t="str">
        <f t="shared" si="1183"/>
        <v>ACTIONS F</v>
      </c>
      <c r="AL593" s="794">
        <f t="array" ref="AL593">IFERROR(INDEX(G593:R593,1,MATCH(Parametres!$B$3,G$1:R$1,0)-1)*IF(OR(F593="L",F593="S",F593="I"),-1,1),"")</f>
        <v>-1349853</v>
      </c>
      <c r="AM593" s="794">
        <f t="shared" si="4"/>
        <v>0</v>
      </c>
      <c r="AN593" s="794">
        <f t="array" ref="AN593">INDEX(G593:R593,1,MATCH(Parametres!$B$3,G$1:R$1,0))*IF(OR(F593="L",F593="S",F593="I"),-1,1)</f>
        <v>-1349853</v>
      </c>
      <c r="AO593" s="853" t="str">
        <f>+VLOOKUP($AJ593,Data_Validation!$A:$D,1,0)</f>
        <v>G36006</v>
      </c>
      <c r="AP593" s="853" t="str">
        <f>+VLOOKUP($AJ593,Data_Validation!$A:$D,3,0)</f>
        <v>Bilan</v>
      </c>
      <c r="AQ593" s="853" t="str">
        <f>+VLOOKUP($AJ593,Data_Validation!$A:$D,4,0)</f>
        <v>Capital Actions</v>
      </c>
      <c r="AR593" s="853" t="s">
        <v>728</v>
      </c>
      <c r="AS593" s="853" t="str">
        <f>+VLOOKUP($AJ593,Data_Validation!$A:$E,5,0)</f>
        <v/>
      </c>
      <c r="AT593" s="794" t="str">
        <f t="shared" ref="AT593:AU593" si="1184">C593</f>
        <v>G36006</v>
      </c>
      <c r="AU593" s="854" t="str">
        <f t="shared" si="1184"/>
        <v>ACTIONS F</v>
      </c>
      <c r="AV593" s="794">
        <f t="array" ref="AV593">IFERROR(INDEX(V593:AG593,1,MATCH(Parametres!$B$3,V$1:AG$1,0)-1)*IF(OR(C593="L",C593="S",C593="I"),-1,1),"")</f>
        <v>0</v>
      </c>
      <c r="AW593" s="794">
        <f t="shared" si="6"/>
        <v>0</v>
      </c>
      <c r="AX593" s="794">
        <f t="array" ref="AX593">INDEX(V593:AG593,1,MATCH(Parametres!$B$3,V$1:AG$1,0))*IF(OR(C593="L",C593="S",C593="I"),-1,1)</f>
        <v>0</v>
      </c>
      <c r="AY593" s="853" t="s">
        <v>772</v>
      </c>
      <c r="AZ593" s="853" t="str">
        <f>+VLOOKUP($AJ593,Data_Validation!$A:$E,5,0)</f>
        <v/>
      </c>
    </row>
    <row r="594" ht="15.0" customHeight="1">
      <c r="A594" s="849" t="s">
        <v>1239</v>
      </c>
      <c r="B594" s="849">
        <v>2026.0</v>
      </c>
      <c r="C594" s="849" t="s">
        <v>2414</v>
      </c>
      <c r="D594" s="849" t="s">
        <v>2415</v>
      </c>
      <c r="E594" s="849" t="s">
        <v>768</v>
      </c>
      <c r="F594" s="849" t="s">
        <v>2057</v>
      </c>
      <c r="G594" s="849">
        <v>0.0</v>
      </c>
      <c r="H594" s="849">
        <v>0.0</v>
      </c>
      <c r="I594" s="849">
        <v>0.0</v>
      </c>
      <c r="J594" s="849">
        <v>0.0</v>
      </c>
      <c r="K594" s="849">
        <v>0.0</v>
      </c>
      <c r="L594" s="849">
        <v>0.0</v>
      </c>
      <c r="M594" s="849">
        <v>0.0</v>
      </c>
      <c r="N594" s="849">
        <v>0.0</v>
      </c>
      <c r="O594" s="849">
        <v>0.0</v>
      </c>
      <c r="P594" s="849">
        <v>0.0</v>
      </c>
      <c r="Q594" s="849">
        <v>0.0</v>
      </c>
      <c r="R594" s="849">
        <v>0.0</v>
      </c>
      <c r="S594" s="849">
        <v>0.0</v>
      </c>
      <c r="T594" s="849">
        <v>0.0</v>
      </c>
      <c r="U594" s="849">
        <v>0.0</v>
      </c>
      <c r="V594" s="849">
        <v>0.0</v>
      </c>
      <c r="W594" s="849">
        <v>0.0</v>
      </c>
      <c r="X594" s="849">
        <v>0.0</v>
      </c>
      <c r="Y594" s="849">
        <v>0.0</v>
      </c>
      <c r="Z594" s="849">
        <v>0.0</v>
      </c>
      <c r="AA594" s="849">
        <v>0.0</v>
      </c>
      <c r="AB594" s="849">
        <v>0.0</v>
      </c>
      <c r="AC594" s="849">
        <v>0.0</v>
      </c>
      <c r="AD594" s="849">
        <v>0.0</v>
      </c>
      <c r="AE594" s="849">
        <v>0.0</v>
      </c>
      <c r="AF594" s="849">
        <v>0.0</v>
      </c>
      <c r="AG594" s="849">
        <v>0.0</v>
      </c>
      <c r="AH594" s="849">
        <v>0.0</v>
      </c>
      <c r="AI594" s="849">
        <v>0.0</v>
      </c>
      <c r="AJ594" s="794" t="str">
        <f t="shared" ref="AJ594:AK594" si="1185">C594</f>
        <v>G36009</v>
      </c>
      <c r="AK594" s="794" t="str">
        <f t="shared" si="1185"/>
        <v>AJUST CAPITAL-ACTIONS</v>
      </c>
      <c r="AL594" s="794">
        <f t="array" ref="AL594">IFERROR(INDEX(G594:R594,1,MATCH(Parametres!$B$3,G$1:R$1,0)-1)*IF(OR(F594="L",F594="S",F594="I"),-1,1),"")</f>
        <v>0</v>
      </c>
      <c r="AM594" s="794">
        <f t="shared" si="4"/>
        <v>0</v>
      </c>
      <c r="AN594" s="794">
        <f t="array" ref="AN594">INDEX(G594:R594,1,MATCH(Parametres!$B$3,G$1:R$1,0))*IF(OR(F594="L",F594="S",F594="I"),-1,1)</f>
        <v>0</v>
      </c>
      <c r="AO594" s="853" t="str">
        <f>+VLOOKUP($AJ594,Data_Validation!$A:$D,1,0)</f>
        <v>G36009</v>
      </c>
      <c r="AP594" s="853" t="str">
        <f>+VLOOKUP($AJ594,Data_Validation!$A:$D,3,0)</f>
        <v>Bilan</v>
      </c>
      <c r="AQ594" s="853" t="str">
        <f>+VLOOKUP($AJ594,Data_Validation!$A:$D,4,0)</f>
        <v>Capital Actions</v>
      </c>
      <c r="AR594" s="853" t="s">
        <v>728</v>
      </c>
      <c r="AS594" s="853" t="str">
        <f>+VLOOKUP($AJ594,Data_Validation!$A:$E,5,0)</f>
        <v/>
      </c>
      <c r="AT594" s="794" t="str">
        <f t="shared" ref="AT594:AU594" si="1186">C594</f>
        <v>G36009</v>
      </c>
      <c r="AU594" s="854" t="str">
        <f t="shared" si="1186"/>
        <v>AJUST CAPITAL-ACTIONS</v>
      </c>
      <c r="AV594" s="794">
        <f t="array" ref="AV594">IFERROR(INDEX(V594:AG594,1,MATCH(Parametres!$B$3,V$1:AG$1,0)-1)*IF(OR(C594="L",C594="S",C594="I"),-1,1),"")</f>
        <v>0</v>
      </c>
      <c r="AW594" s="794">
        <f t="shared" si="6"/>
        <v>0</v>
      </c>
      <c r="AX594" s="794">
        <f t="array" ref="AX594">INDEX(V594:AG594,1,MATCH(Parametres!$B$3,V$1:AG$1,0))*IF(OR(C594="L",C594="S",C594="I"),-1,1)</f>
        <v>0</v>
      </c>
      <c r="AY594" s="853" t="s">
        <v>772</v>
      </c>
      <c r="AZ594" s="853" t="str">
        <f>+VLOOKUP($AJ594,Data_Validation!$A:$E,5,0)</f>
        <v/>
      </c>
    </row>
    <row r="595" ht="15.0" customHeight="1">
      <c r="A595" s="849" t="s">
        <v>1239</v>
      </c>
      <c r="B595" s="849">
        <v>2026.0</v>
      </c>
      <c r="C595" s="849" t="s">
        <v>2416</v>
      </c>
      <c r="D595" s="849" t="s">
        <v>2417</v>
      </c>
      <c r="E595" s="849" t="s">
        <v>768</v>
      </c>
      <c r="F595" s="849" t="s">
        <v>2057</v>
      </c>
      <c r="G595" s="849">
        <v>0.0</v>
      </c>
      <c r="H595" s="849">
        <v>0.0</v>
      </c>
      <c r="I595" s="849">
        <v>0.0</v>
      </c>
      <c r="J595" s="849">
        <v>0.0</v>
      </c>
      <c r="K595" s="849">
        <v>0.0</v>
      </c>
      <c r="L595" s="849">
        <v>0.0</v>
      </c>
      <c r="M595" s="849">
        <v>-1349838.0</v>
      </c>
      <c r="N595" s="849">
        <v>-1349838.0</v>
      </c>
      <c r="O595" s="849">
        <v>-1349838.0</v>
      </c>
      <c r="P595" s="849">
        <v>-1349838.0</v>
      </c>
      <c r="Q595" s="849">
        <v>0.0</v>
      </c>
      <c r="R595" s="849">
        <v>0.0</v>
      </c>
      <c r="S595" s="849">
        <v>0.0</v>
      </c>
      <c r="T595" s="849">
        <v>0.0</v>
      </c>
      <c r="U595" s="849">
        <v>0.0</v>
      </c>
      <c r="V595" s="849">
        <v>0.0</v>
      </c>
      <c r="W595" s="849">
        <v>0.0</v>
      </c>
      <c r="X595" s="849">
        <v>0.0</v>
      </c>
      <c r="Y595" s="849">
        <v>0.0</v>
      </c>
      <c r="Z595" s="849">
        <v>0.0</v>
      </c>
      <c r="AA595" s="849">
        <v>0.0</v>
      </c>
      <c r="AB595" s="849">
        <v>0.0</v>
      </c>
      <c r="AC595" s="849">
        <v>0.0</v>
      </c>
      <c r="AD595" s="849">
        <v>0.0</v>
      </c>
      <c r="AE595" s="849">
        <v>0.0</v>
      </c>
      <c r="AF595" s="849">
        <v>0.0</v>
      </c>
      <c r="AG595" s="849">
        <v>0.0</v>
      </c>
      <c r="AH595" s="849">
        <v>0.0</v>
      </c>
      <c r="AI595" s="849">
        <v>0.0</v>
      </c>
      <c r="AJ595" s="794" t="str">
        <f t="shared" ref="AJ595:AK595" si="1187">C595</f>
        <v>G36100</v>
      </c>
      <c r="AK595" s="794" t="str">
        <f t="shared" si="1187"/>
        <v>AJUST ACTIONS RACHETABLE</v>
      </c>
      <c r="AL595" s="794">
        <f t="array" ref="AL595">IFERROR(INDEX(G595:R595,1,MATCH(Parametres!$B$3,G$1:R$1,0)-1)*IF(OR(F595="L",F595="S",F595="I"),-1,1),"")</f>
        <v>1349838</v>
      </c>
      <c r="AM595" s="794">
        <f t="shared" si="4"/>
        <v>0</v>
      </c>
      <c r="AN595" s="794">
        <f t="array" ref="AN595">INDEX(G595:R595,1,MATCH(Parametres!$B$3,G$1:R$1,0))*IF(OR(F595="L",F595="S",F595="I"),-1,1)</f>
        <v>1349838</v>
      </c>
      <c r="AO595" s="853" t="str">
        <f>+VLOOKUP($AJ595,Data_Validation!$A:$D,1,0)</f>
        <v>G36100</v>
      </c>
      <c r="AP595" s="853" t="str">
        <f>+VLOOKUP($AJ595,Data_Validation!$A:$D,3,0)</f>
        <v>Bilan</v>
      </c>
      <c r="AQ595" s="853" t="str">
        <f>+VLOOKUP($AJ595,Data_Validation!$A:$D,4,0)</f>
        <v>Capital Actions</v>
      </c>
      <c r="AR595" s="853" t="s">
        <v>728</v>
      </c>
      <c r="AS595" s="853" t="str">
        <f>+VLOOKUP($AJ595,Data_Validation!$A:$E,5,0)</f>
        <v/>
      </c>
      <c r="AT595" s="794" t="str">
        <f t="shared" ref="AT595:AU595" si="1188">C595</f>
        <v>G36100</v>
      </c>
      <c r="AU595" s="854" t="str">
        <f t="shared" si="1188"/>
        <v>AJUST ACTIONS RACHETABLE</v>
      </c>
      <c r="AV595" s="794">
        <f t="array" ref="AV595">IFERROR(INDEX(V595:AG595,1,MATCH(Parametres!$B$3,V$1:AG$1,0)-1)*IF(OR(C595="L",C595="S",C595="I"),-1,1),"")</f>
        <v>0</v>
      </c>
      <c r="AW595" s="794">
        <f t="shared" si="6"/>
        <v>0</v>
      </c>
      <c r="AX595" s="794">
        <f t="array" ref="AX595">INDEX(V595:AG595,1,MATCH(Parametres!$B$3,V$1:AG$1,0))*IF(OR(C595="L",C595="S",C595="I"),-1,1)</f>
        <v>0</v>
      </c>
      <c r="AY595" s="853" t="s">
        <v>772</v>
      </c>
      <c r="AZ595" s="853" t="str">
        <f>+VLOOKUP($AJ595,Data_Validation!$A:$E,5,0)</f>
        <v/>
      </c>
    </row>
    <row r="596" ht="15.0" customHeight="1">
      <c r="A596" s="849" t="s">
        <v>1239</v>
      </c>
      <c r="B596" s="849">
        <v>2026.0</v>
      </c>
      <c r="C596" s="849" t="s">
        <v>2418</v>
      </c>
      <c r="D596" s="849" t="s">
        <v>2419</v>
      </c>
      <c r="E596" s="849" t="s">
        <v>768</v>
      </c>
      <c r="F596" s="849" t="s">
        <v>2057</v>
      </c>
      <c r="G596" s="849">
        <v>9723956.01</v>
      </c>
      <c r="H596" s="849">
        <v>9723956.01</v>
      </c>
      <c r="I596" s="849">
        <v>9723956.01</v>
      </c>
      <c r="J596" s="849">
        <v>9723956.01</v>
      </c>
      <c r="K596" s="849">
        <v>9723956.01</v>
      </c>
      <c r="L596" s="849">
        <v>9723956.01</v>
      </c>
      <c r="M596" s="849">
        <v>8651948.0</v>
      </c>
      <c r="N596" s="849">
        <v>8651948.0</v>
      </c>
      <c r="O596" s="849">
        <v>8651948.0</v>
      </c>
      <c r="P596" s="849">
        <v>8651948.0</v>
      </c>
      <c r="Q596" s="849">
        <v>0.0</v>
      </c>
      <c r="R596" s="849">
        <v>0.0</v>
      </c>
      <c r="S596" s="849">
        <v>0.0</v>
      </c>
      <c r="T596" s="849">
        <v>0.0</v>
      </c>
      <c r="U596" s="849">
        <v>0.0</v>
      </c>
      <c r="V596" s="849">
        <v>0.0</v>
      </c>
      <c r="W596" s="849">
        <v>0.0</v>
      </c>
      <c r="X596" s="849">
        <v>0.0</v>
      </c>
      <c r="Y596" s="849">
        <v>0.0</v>
      </c>
      <c r="Z596" s="849">
        <v>0.0</v>
      </c>
      <c r="AA596" s="849">
        <v>0.0</v>
      </c>
      <c r="AB596" s="849">
        <v>0.0</v>
      </c>
      <c r="AC596" s="849">
        <v>0.0</v>
      </c>
      <c r="AD596" s="849">
        <v>0.0</v>
      </c>
      <c r="AE596" s="849">
        <v>0.0</v>
      </c>
      <c r="AF596" s="849">
        <v>0.0</v>
      </c>
      <c r="AG596" s="849">
        <v>0.0</v>
      </c>
      <c r="AH596" s="849">
        <v>0.0</v>
      </c>
      <c r="AI596" s="849">
        <v>0.0</v>
      </c>
      <c r="AJ596" s="794" t="str">
        <f t="shared" ref="AJ596:AK596" si="1189">C596</f>
        <v>G37000</v>
      </c>
      <c r="AK596" s="794" t="str">
        <f t="shared" si="1189"/>
        <v>BENEFICES NON REPARTIS</v>
      </c>
      <c r="AL596" s="794">
        <f t="array" ref="AL596">IFERROR(INDEX(G596:R596,1,MATCH(Parametres!$B$3,G$1:R$1,0)-1)*IF(OR(F596="L",F596="S",F596="I"),-1,1),"")</f>
        <v>-8651948</v>
      </c>
      <c r="AM596" s="794">
        <f t="shared" si="4"/>
        <v>0</v>
      </c>
      <c r="AN596" s="794">
        <f t="array" ref="AN596">INDEX(G596:R596,1,MATCH(Parametres!$B$3,G$1:R$1,0))*IF(OR(F596="L",F596="S",F596="I"),-1,1)</f>
        <v>-8651948</v>
      </c>
      <c r="AO596" s="853" t="str">
        <f>+VLOOKUP($AJ596,Data_Validation!$A:$D,1,0)</f>
        <v>G37000</v>
      </c>
      <c r="AP596" s="853" t="str">
        <f>+VLOOKUP($AJ596,Data_Validation!$A:$D,3,0)</f>
        <v>Bilan</v>
      </c>
      <c r="AQ596" s="853" t="str">
        <f>+VLOOKUP($AJ596,Data_Validation!$A:$D,4,0)</f>
        <v>Bénéfices non répartis</v>
      </c>
      <c r="AR596" s="853" t="s">
        <v>728</v>
      </c>
      <c r="AS596" s="853" t="str">
        <f>+VLOOKUP($AJ596,Data_Validation!$A:$E,5,0)</f>
        <v/>
      </c>
      <c r="AT596" s="794" t="str">
        <f t="shared" ref="AT596:AU596" si="1190">C596</f>
        <v>G37000</v>
      </c>
      <c r="AU596" s="854" t="str">
        <f t="shared" si="1190"/>
        <v>BENEFICES NON REPARTIS</v>
      </c>
      <c r="AV596" s="794">
        <f t="array" ref="AV596">IFERROR(INDEX(V596:AG596,1,MATCH(Parametres!$B$3,V$1:AG$1,0)-1)*IF(OR(C596="L",C596="S",C596="I"),-1,1),"")</f>
        <v>0</v>
      </c>
      <c r="AW596" s="794">
        <f t="shared" si="6"/>
        <v>0</v>
      </c>
      <c r="AX596" s="794">
        <f t="array" ref="AX596">INDEX(V596:AG596,1,MATCH(Parametres!$B$3,V$1:AG$1,0))*IF(OR(C596="L",C596="S",C596="I"),-1,1)</f>
        <v>0</v>
      </c>
      <c r="AY596" s="853" t="s">
        <v>772</v>
      </c>
      <c r="AZ596" s="853" t="str">
        <f>+VLOOKUP($AJ596,Data_Validation!$A:$E,5,0)</f>
        <v/>
      </c>
    </row>
    <row r="597" ht="15.0" customHeight="1">
      <c r="A597" s="849" t="s">
        <v>1239</v>
      </c>
      <c r="B597" s="849">
        <v>2026.0</v>
      </c>
      <c r="C597" s="849" t="s">
        <v>2420</v>
      </c>
      <c r="D597" s="849" t="s">
        <v>2421</v>
      </c>
      <c r="E597" s="849" t="s">
        <v>768</v>
      </c>
      <c r="F597" s="849" t="s">
        <v>2057</v>
      </c>
      <c r="G597" s="849">
        <v>0.0</v>
      </c>
      <c r="H597" s="849">
        <v>0.0</v>
      </c>
      <c r="I597" s="849">
        <v>0.0</v>
      </c>
      <c r="J597" s="849">
        <v>0.0</v>
      </c>
      <c r="K597" s="849">
        <v>0.0</v>
      </c>
      <c r="L597" s="849">
        <v>0.0</v>
      </c>
      <c r="M597" s="849">
        <v>0.0</v>
      </c>
      <c r="N597" s="849">
        <v>0.0</v>
      </c>
      <c r="O597" s="849">
        <v>0.0</v>
      </c>
      <c r="P597" s="849">
        <v>0.0</v>
      </c>
      <c r="Q597" s="849">
        <v>0.0</v>
      </c>
      <c r="R597" s="849">
        <v>0.0</v>
      </c>
      <c r="S597" s="849">
        <v>0.0</v>
      </c>
      <c r="T597" s="849">
        <v>0.0</v>
      </c>
      <c r="U597" s="849">
        <v>0.0</v>
      </c>
      <c r="V597" s="849">
        <v>0.0</v>
      </c>
      <c r="W597" s="849">
        <v>0.0</v>
      </c>
      <c r="X597" s="849">
        <v>0.0</v>
      </c>
      <c r="Y597" s="849">
        <v>0.0</v>
      </c>
      <c r="Z597" s="849">
        <v>0.0</v>
      </c>
      <c r="AA597" s="849">
        <v>0.0</v>
      </c>
      <c r="AB597" s="849">
        <v>0.0</v>
      </c>
      <c r="AC597" s="849">
        <v>0.0</v>
      </c>
      <c r="AD597" s="849">
        <v>0.0</v>
      </c>
      <c r="AE597" s="849">
        <v>0.0</v>
      </c>
      <c r="AF597" s="849">
        <v>0.0</v>
      </c>
      <c r="AG597" s="849">
        <v>0.0</v>
      </c>
      <c r="AH597" s="849">
        <v>0.0</v>
      </c>
      <c r="AI597" s="849">
        <v>0.0</v>
      </c>
      <c r="AJ597" s="794" t="str">
        <f t="shared" ref="AJ597:AK597" si="1191">C597</f>
        <v>G37500</v>
      </c>
      <c r="AK597" s="794" t="str">
        <f t="shared" si="1191"/>
        <v>DIVIDENDES RECUS</v>
      </c>
      <c r="AL597" s="794">
        <f t="array" ref="AL597">IFERROR(INDEX(G597:R597,1,MATCH(Parametres!$B$3,G$1:R$1,0)-1)*IF(OR(F597="L",F597="S",F597="I"),-1,1),"")</f>
        <v>0</v>
      </c>
      <c r="AM597" s="794">
        <f t="shared" si="4"/>
        <v>0</v>
      </c>
      <c r="AN597" s="794">
        <f t="array" ref="AN597">INDEX(G597:R597,1,MATCH(Parametres!$B$3,G$1:R$1,0))*IF(OR(F597="L",F597="S",F597="I"),-1,1)</f>
        <v>0</v>
      </c>
      <c r="AO597" s="853" t="str">
        <f>+VLOOKUP($AJ597,Data_Validation!$A:$D,1,0)</f>
        <v>G37500</v>
      </c>
      <c r="AP597" s="853" t="str">
        <f>+VLOOKUP($AJ597,Data_Validation!$A:$D,3,0)</f>
        <v/>
      </c>
      <c r="AQ597" s="853" t="str">
        <f>+VLOOKUP($AJ597,Data_Validation!$A:$D,4,0)</f>
        <v/>
      </c>
      <c r="AR597" s="853" t="s">
        <v>728</v>
      </c>
      <c r="AS597" s="853" t="str">
        <f>+VLOOKUP($AJ597,Data_Validation!$A:$E,5,0)</f>
        <v/>
      </c>
      <c r="AT597" s="794" t="str">
        <f t="shared" ref="AT597:AU597" si="1192">C597</f>
        <v>G37500</v>
      </c>
      <c r="AU597" s="854" t="str">
        <f t="shared" si="1192"/>
        <v>DIVIDENDES RECUS</v>
      </c>
      <c r="AV597" s="794">
        <f t="array" ref="AV597">IFERROR(INDEX(V597:AG597,1,MATCH(Parametres!$B$3,V$1:AG$1,0)-1)*IF(OR(C597="L",C597="S",C597="I"),-1,1),"")</f>
        <v>0</v>
      </c>
      <c r="AW597" s="794">
        <f t="shared" si="6"/>
        <v>0</v>
      </c>
      <c r="AX597" s="794">
        <f t="array" ref="AX597">INDEX(V597:AG597,1,MATCH(Parametres!$B$3,V$1:AG$1,0))*IF(OR(C597="L",C597="S",C597="I"),-1,1)</f>
        <v>0</v>
      </c>
      <c r="AY597" s="853" t="s">
        <v>772</v>
      </c>
      <c r="AZ597" s="853" t="str">
        <f>+VLOOKUP($AJ597,Data_Validation!$A:$E,5,0)</f>
        <v/>
      </c>
    </row>
    <row r="598" ht="15.0" customHeight="1">
      <c r="A598" s="849" t="s">
        <v>1239</v>
      </c>
      <c r="B598" s="849">
        <v>2026.0</v>
      </c>
      <c r="C598" s="849" t="s">
        <v>2422</v>
      </c>
      <c r="D598" s="849" t="s">
        <v>2423</v>
      </c>
      <c r="E598" s="849" t="s">
        <v>768</v>
      </c>
      <c r="F598" s="849" t="s">
        <v>2057</v>
      </c>
      <c r="G598" s="849">
        <v>0.0</v>
      </c>
      <c r="H598" s="849">
        <v>0.0</v>
      </c>
      <c r="I598" s="849">
        <v>0.0</v>
      </c>
      <c r="J598" s="849">
        <v>0.0</v>
      </c>
      <c r="K598" s="849">
        <v>0.0</v>
      </c>
      <c r="L598" s="849">
        <v>0.0</v>
      </c>
      <c r="M598" s="849">
        <v>0.0</v>
      </c>
      <c r="N598" s="849">
        <v>0.0</v>
      </c>
      <c r="O598" s="849">
        <v>0.0</v>
      </c>
      <c r="P598" s="849">
        <v>0.0</v>
      </c>
      <c r="Q598" s="849">
        <v>0.0</v>
      </c>
      <c r="R598" s="849">
        <v>0.0</v>
      </c>
      <c r="S598" s="849">
        <v>0.0</v>
      </c>
      <c r="T598" s="849">
        <v>0.0</v>
      </c>
      <c r="U598" s="849">
        <v>0.0</v>
      </c>
      <c r="V598" s="849">
        <v>0.0</v>
      </c>
      <c r="W598" s="849">
        <v>0.0</v>
      </c>
      <c r="X598" s="849">
        <v>0.0</v>
      </c>
      <c r="Y598" s="849">
        <v>0.0</v>
      </c>
      <c r="Z598" s="849">
        <v>0.0</v>
      </c>
      <c r="AA598" s="849">
        <v>0.0</v>
      </c>
      <c r="AB598" s="849">
        <v>0.0</v>
      </c>
      <c r="AC598" s="849">
        <v>0.0</v>
      </c>
      <c r="AD598" s="849">
        <v>0.0</v>
      </c>
      <c r="AE598" s="849">
        <v>0.0</v>
      </c>
      <c r="AF598" s="849">
        <v>0.0</v>
      </c>
      <c r="AG598" s="849">
        <v>0.0</v>
      </c>
      <c r="AH598" s="849">
        <v>0.0</v>
      </c>
      <c r="AI598" s="849">
        <v>0.0</v>
      </c>
      <c r="AJ598" s="794" t="str">
        <f t="shared" ref="AJ598:AK598" si="1193">C598</f>
        <v>G38000</v>
      </c>
      <c r="AK598" s="794" t="str">
        <f t="shared" si="1193"/>
        <v>PLACEMENTS</v>
      </c>
      <c r="AL598" s="794">
        <f t="array" ref="AL598">IFERROR(INDEX(G598:R598,1,MATCH(Parametres!$B$3,G$1:R$1,0)-1)*IF(OR(F598="L",F598="S",F598="I"),-1,1),"")</f>
        <v>0</v>
      </c>
      <c r="AM598" s="794">
        <f t="shared" si="4"/>
        <v>0</v>
      </c>
      <c r="AN598" s="794">
        <f t="array" ref="AN598">INDEX(G598:R598,1,MATCH(Parametres!$B$3,G$1:R$1,0))*IF(OR(F598="L",F598="S",F598="I"),-1,1)</f>
        <v>0</v>
      </c>
      <c r="AO598" s="853" t="str">
        <f>+VLOOKUP($AJ598,Data_Validation!$A:$D,1,0)</f>
        <v>#N/A</v>
      </c>
      <c r="AP598" s="853" t="str">
        <f>+VLOOKUP($AJ598,Data_Validation!$A:$D,3,0)</f>
        <v>#N/A</v>
      </c>
      <c r="AQ598" s="853" t="str">
        <f>+VLOOKUP($AJ598,Data_Validation!$A:$D,4,0)</f>
        <v>#N/A</v>
      </c>
      <c r="AR598" s="853" t="s">
        <v>728</v>
      </c>
      <c r="AS598" s="853" t="str">
        <f>+VLOOKUP($AJ598,Data_Validation!$A:$E,5,0)</f>
        <v>#N/A</v>
      </c>
      <c r="AT598" s="794" t="str">
        <f t="shared" ref="AT598:AU598" si="1194">C598</f>
        <v>G38000</v>
      </c>
      <c r="AU598" s="854" t="str">
        <f t="shared" si="1194"/>
        <v>PLACEMENTS</v>
      </c>
      <c r="AV598" s="794">
        <f t="array" ref="AV598">IFERROR(INDEX(V598:AG598,1,MATCH(Parametres!$B$3,V$1:AG$1,0)-1)*IF(OR(C598="L",C598="S",C598="I"),-1,1),"")</f>
        <v>0</v>
      </c>
      <c r="AW598" s="794">
        <f t="shared" si="6"/>
        <v>0</v>
      </c>
      <c r="AX598" s="794">
        <f t="array" ref="AX598">INDEX(V598:AG598,1,MATCH(Parametres!$B$3,V$1:AG$1,0))*IF(OR(C598="L",C598="S",C598="I"),-1,1)</f>
        <v>0</v>
      </c>
      <c r="AY598" s="853" t="s">
        <v>772</v>
      </c>
      <c r="AZ598" s="853" t="str">
        <f>+VLOOKUP($AJ598,Data_Validation!$A:$E,5,0)</f>
        <v>#N/A</v>
      </c>
    </row>
    <row r="599" ht="15.0" customHeight="1">
      <c r="A599" s="849" t="s">
        <v>1239</v>
      </c>
      <c r="B599" s="849">
        <v>2026.0</v>
      </c>
      <c r="C599" s="849" t="s">
        <v>2424</v>
      </c>
      <c r="D599" s="849" t="s">
        <v>2425</v>
      </c>
      <c r="E599" s="849" t="s">
        <v>2426</v>
      </c>
      <c r="F599" s="849" t="s">
        <v>2426</v>
      </c>
      <c r="G599" s="849">
        <v>0.0</v>
      </c>
      <c r="H599" s="849">
        <v>0.0</v>
      </c>
      <c r="I599" s="849">
        <v>0.0</v>
      </c>
      <c r="J599" s="849">
        <v>0.0</v>
      </c>
      <c r="K599" s="849">
        <v>0.0</v>
      </c>
      <c r="L599" s="849">
        <v>0.0</v>
      </c>
      <c r="M599" s="849">
        <v>0.0</v>
      </c>
      <c r="N599" s="849">
        <v>0.0</v>
      </c>
      <c r="O599" s="849">
        <v>0.0</v>
      </c>
      <c r="P599" s="849">
        <v>0.0</v>
      </c>
      <c r="Q599" s="849">
        <v>0.0</v>
      </c>
      <c r="R599" s="849">
        <v>0.0</v>
      </c>
      <c r="S599" s="849">
        <v>0.0</v>
      </c>
      <c r="T599" s="849">
        <v>0.0</v>
      </c>
      <c r="U599" s="849">
        <v>0.0</v>
      </c>
      <c r="V599" s="849">
        <v>0.0</v>
      </c>
      <c r="W599" s="849">
        <v>0.0</v>
      </c>
      <c r="X599" s="849">
        <v>0.0</v>
      </c>
      <c r="Y599" s="849">
        <v>0.0</v>
      </c>
      <c r="Z599" s="849">
        <v>0.0</v>
      </c>
      <c r="AA599" s="849">
        <v>0.0</v>
      </c>
      <c r="AB599" s="849">
        <v>0.0</v>
      </c>
      <c r="AC599" s="849">
        <v>0.0</v>
      </c>
      <c r="AD599" s="849">
        <v>0.0</v>
      </c>
      <c r="AE599" s="849">
        <v>0.0</v>
      </c>
      <c r="AF599" s="849">
        <v>0.0</v>
      </c>
      <c r="AG599" s="849">
        <v>0.0</v>
      </c>
      <c r="AH599" s="849">
        <v>0.0</v>
      </c>
      <c r="AI599" s="849">
        <v>0.0</v>
      </c>
      <c r="AJ599" s="794" t="str">
        <f t="shared" ref="AJ599:AK599" si="1195">C599</f>
        <v>G40000</v>
      </c>
      <c r="AK599" s="794" t="str">
        <f t="shared" si="1195"/>
        <v>VENTE VOLT</v>
      </c>
      <c r="AL599" s="794">
        <f t="array" ref="AL599">IFERROR(INDEX(G599:R599,1,MATCH(Parametres!$B$3,G$1:R$1,0)-1)*IF(OR(F599="L",F599="S",F599="I"),-1,1),"")</f>
        <v>0</v>
      </c>
      <c r="AM599" s="794">
        <f t="shared" si="4"/>
        <v>0</v>
      </c>
      <c r="AN599" s="794">
        <f t="array" ref="AN599">INDEX(G599:R599,1,MATCH(Parametres!$B$3,G$1:R$1,0))*IF(OR(F599="L",F599="S",F599="I"),-1,1)</f>
        <v>0</v>
      </c>
      <c r="AO599" s="853" t="str">
        <f>+VLOOKUP($AJ599,Data_Validation!$A:$D,1,0)</f>
        <v>G40000</v>
      </c>
      <c r="AP599" s="853" t="str">
        <f>+VLOOKUP($AJ599,Data_Validation!$A:$D,3,0)</f>
        <v>Véhicules neufs</v>
      </c>
      <c r="AQ599" s="853" t="str">
        <f>+VLOOKUP($AJ599,Data_Validation!$A:$D,4,0)</f>
        <v>Autos détail</v>
      </c>
      <c r="AR599" s="853" t="s">
        <v>728</v>
      </c>
      <c r="AS599" s="853" t="str">
        <f>+VLOOKUP($AJ599,Data_Validation!$A:$E,5,0)</f>
        <v>Oui</v>
      </c>
      <c r="AT599" s="794" t="str">
        <f t="shared" ref="AT599:AU599" si="1196">C599</f>
        <v>G40000</v>
      </c>
      <c r="AU599" s="854" t="str">
        <f t="shared" si="1196"/>
        <v>VENTE VOLT</v>
      </c>
      <c r="AV599" s="794">
        <f t="array" ref="AV599">IFERROR(INDEX(V599:AG599,1,MATCH(Parametres!$B$3,V$1:AG$1,0)-1)*IF(OR(C599="L",C599="S",C599="I"),-1,1),"")</f>
        <v>0</v>
      </c>
      <c r="AW599" s="794">
        <f t="shared" si="6"/>
        <v>0</v>
      </c>
      <c r="AX599" s="794">
        <f t="array" ref="AX599">INDEX(V599:AG599,1,MATCH(Parametres!$B$3,V$1:AG$1,0))*IF(OR(C599="L",C599="S",C599="I"),-1,1)</f>
        <v>0</v>
      </c>
      <c r="AY599" s="853" t="s">
        <v>772</v>
      </c>
      <c r="AZ599" s="853" t="str">
        <f>+VLOOKUP($AJ599,Data_Validation!$A:$E,5,0)</f>
        <v>Oui</v>
      </c>
    </row>
    <row r="600" ht="15.0" customHeight="1">
      <c r="A600" s="849" t="s">
        <v>1239</v>
      </c>
      <c r="B600" s="849">
        <v>2026.0</v>
      </c>
      <c r="C600" s="849" t="s">
        <v>2427</v>
      </c>
      <c r="D600" s="849" t="s">
        <v>2428</v>
      </c>
      <c r="E600" s="849" t="s">
        <v>2426</v>
      </c>
      <c r="F600" s="849" t="s">
        <v>2426</v>
      </c>
      <c r="G600" s="849">
        <v>0.0</v>
      </c>
      <c r="H600" s="849">
        <v>0.0</v>
      </c>
      <c r="I600" s="849">
        <v>0.0</v>
      </c>
      <c r="J600" s="849">
        <v>0.0</v>
      </c>
      <c r="K600" s="849">
        <v>0.0</v>
      </c>
      <c r="L600" s="849">
        <v>0.0</v>
      </c>
      <c r="M600" s="849">
        <v>0.0</v>
      </c>
      <c r="N600" s="849">
        <v>0.0</v>
      </c>
      <c r="O600" s="849">
        <v>0.0</v>
      </c>
      <c r="P600" s="849">
        <v>0.0</v>
      </c>
      <c r="Q600" s="849">
        <v>0.0</v>
      </c>
      <c r="R600" s="849">
        <v>0.0</v>
      </c>
      <c r="S600" s="849">
        <v>0.0</v>
      </c>
      <c r="T600" s="849">
        <v>0.0</v>
      </c>
      <c r="U600" s="849">
        <v>0.0</v>
      </c>
      <c r="V600" s="849">
        <v>0.0</v>
      </c>
      <c r="W600" s="849">
        <v>0.0</v>
      </c>
      <c r="X600" s="849">
        <v>0.0</v>
      </c>
      <c r="Y600" s="849">
        <v>0.0</v>
      </c>
      <c r="Z600" s="849">
        <v>0.0</v>
      </c>
      <c r="AA600" s="849">
        <v>0.0</v>
      </c>
      <c r="AB600" s="849">
        <v>0.0</v>
      </c>
      <c r="AC600" s="849">
        <v>0.0</v>
      </c>
      <c r="AD600" s="849">
        <v>0.0</v>
      </c>
      <c r="AE600" s="849">
        <v>0.0</v>
      </c>
      <c r="AF600" s="849">
        <v>0.0</v>
      </c>
      <c r="AG600" s="849">
        <v>0.0</v>
      </c>
      <c r="AH600" s="849">
        <v>0.0</v>
      </c>
      <c r="AI600" s="849">
        <v>0.0</v>
      </c>
      <c r="AJ600" s="794" t="str">
        <f t="shared" ref="AJ600:AK600" si="1197">C600</f>
        <v>G40004</v>
      </c>
      <c r="AK600" s="794" t="str">
        <f t="shared" si="1197"/>
        <v>VENTE BUICK REGAL</v>
      </c>
      <c r="AL600" s="794">
        <f t="array" ref="AL600">IFERROR(INDEX(G600:R600,1,MATCH(Parametres!$B$3,G$1:R$1,0)-1)*IF(OR(F600="L",F600="S",F600="I"),-1,1),"")</f>
        <v>0</v>
      </c>
      <c r="AM600" s="794">
        <f t="shared" si="4"/>
        <v>0</v>
      </c>
      <c r="AN600" s="794">
        <f t="array" ref="AN600">INDEX(G600:R600,1,MATCH(Parametres!$B$3,G$1:R$1,0))*IF(OR(F600="L",F600="S",F600="I"),-1,1)</f>
        <v>0</v>
      </c>
      <c r="AO600" s="853" t="str">
        <f>+VLOOKUP($AJ600,Data_Validation!$A:$D,1,0)</f>
        <v>G40004</v>
      </c>
      <c r="AP600" s="853" t="str">
        <f>+VLOOKUP($AJ600,Data_Validation!$A:$D,3,0)</f>
        <v>Véhicules neufs</v>
      </c>
      <c r="AQ600" s="853" t="str">
        <f>+VLOOKUP($AJ600,Data_Validation!$A:$D,4,0)</f>
        <v>Autos détail</v>
      </c>
      <c r="AR600" s="853" t="s">
        <v>728</v>
      </c>
      <c r="AS600" s="853" t="str">
        <f>+VLOOKUP($AJ600,Data_Validation!$A:$E,5,0)</f>
        <v>Oui</v>
      </c>
      <c r="AT600" s="794" t="str">
        <f t="shared" ref="AT600:AU600" si="1198">C600</f>
        <v>G40004</v>
      </c>
      <c r="AU600" s="854" t="str">
        <f t="shared" si="1198"/>
        <v>VENTE BUICK REGAL</v>
      </c>
      <c r="AV600" s="794">
        <f t="array" ref="AV600">IFERROR(INDEX(V600:AG600,1,MATCH(Parametres!$B$3,V$1:AG$1,0)-1)*IF(OR(C600="L",C600="S",C600="I"),-1,1),"")</f>
        <v>0</v>
      </c>
      <c r="AW600" s="794">
        <f t="shared" si="6"/>
        <v>0</v>
      </c>
      <c r="AX600" s="794">
        <f t="array" ref="AX600">INDEX(V600:AG600,1,MATCH(Parametres!$B$3,V$1:AG$1,0))*IF(OR(C600="L",C600="S",C600="I"),-1,1)</f>
        <v>0</v>
      </c>
      <c r="AY600" s="853" t="s">
        <v>772</v>
      </c>
      <c r="AZ600" s="853" t="str">
        <f>+VLOOKUP($AJ600,Data_Validation!$A:$E,5,0)</f>
        <v>Oui</v>
      </c>
    </row>
    <row r="601" ht="15.0" customHeight="1">
      <c r="A601" s="849" t="s">
        <v>1239</v>
      </c>
      <c r="B601" s="849">
        <v>2026.0</v>
      </c>
      <c r="C601" s="849" t="s">
        <v>2429</v>
      </c>
      <c r="D601" s="849" t="s">
        <v>2430</v>
      </c>
      <c r="E601" s="849" t="s">
        <v>2426</v>
      </c>
      <c r="F601" s="849" t="s">
        <v>2426</v>
      </c>
      <c r="G601" s="849">
        <v>0.0</v>
      </c>
      <c r="H601" s="849">
        <v>0.0</v>
      </c>
      <c r="I601" s="849">
        <v>0.0</v>
      </c>
      <c r="J601" s="849">
        <v>0.0</v>
      </c>
      <c r="K601" s="849">
        <v>0.0</v>
      </c>
      <c r="L601" s="849">
        <v>0.0</v>
      </c>
      <c r="M601" s="849">
        <v>0.0</v>
      </c>
      <c r="N601" s="849">
        <v>0.0</v>
      </c>
      <c r="O601" s="849">
        <v>0.0</v>
      </c>
      <c r="P601" s="849">
        <v>0.0</v>
      </c>
      <c r="Q601" s="849">
        <v>0.0</v>
      </c>
      <c r="R601" s="849">
        <v>0.0</v>
      </c>
      <c r="S601" s="849">
        <v>0.0</v>
      </c>
      <c r="T601" s="849">
        <v>0.0</v>
      </c>
      <c r="U601" s="849">
        <v>0.0</v>
      </c>
      <c r="V601" s="849">
        <v>0.0</v>
      </c>
      <c r="W601" s="849">
        <v>0.0</v>
      </c>
      <c r="X601" s="849">
        <v>0.0</v>
      </c>
      <c r="Y601" s="849">
        <v>0.0</v>
      </c>
      <c r="Z601" s="849">
        <v>0.0</v>
      </c>
      <c r="AA601" s="849">
        <v>0.0</v>
      </c>
      <c r="AB601" s="849">
        <v>0.0</v>
      </c>
      <c r="AC601" s="849">
        <v>0.0</v>
      </c>
      <c r="AD601" s="849">
        <v>0.0</v>
      </c>
      <c r="AE601" s="849">
        <v>0.0</v>
      </c>
      <c r="AF601" s="849">
        <v>0.0</v>
      </c>
      <c r="AG601" s="849">
        <v>0.0</v>
      </c>
      <c r="AH601" s="849">
        <v>0.0</v>
      </c>
      <c r="AI601" s="849">
        <v>0.0</v>
      </c>
      <c r="AJ601" s="794" t="str">
        <f t="shared" ref="AJ601:AK601" si="1199">C601</f>
        <v>G40100</v>
      </c>
      <c r="AK601" s="794" t="str">
        <f t="shared" si="1199"/>
        <v>VTES-MALIBU</v>
      </c>
      <c r="AL601" s="794">
        <f t="array" ref="AL601">IFERROR(INDEX(G601:R601,1,MATCH(Parametres!$B$3,G$1:R$1,0)-1)*IF(OR(F601="L",F601="S",F601="I"),-1,1),"")</f>
        <v>0</v>
      </c>
      <c r="AM601" s="794">
        <f t="shared" si="4"/>
        <v>0</v>
      </c>
      <c r="AN601" s="794">
        <f t="array" ref="AN601">INDEX(G601:R601,1,MATCH(Parametres!$B$3,G$1:R$1,0))*IF(OR(F601="L",F601="S",F601="I"),-1,1)</f>
        <v>0</v>
      </c>
      <c r="AO601" s="853" t="str">
        <f>+VLOOKUP($AJ601,Data_Validation!$A:$D,1,0)</f>
        <v>G40100</v>
      </c>
      <c r="AP601" s="853" t="str">
        <f>+VLOOKUP($AJ601,Data_Validation!$A:$D,3,0)</f>
        <v>Véhicules neufs</v>
      </c>
      <c r="AQ601" s="853" t="str">
        <f>+VLOOKUP($AJ601,Data_Validation!$A:$D,4,0)</f>
        <v>Autos détail</v>
      </c>
      <c r="AR601" s="853" t="s">
        <v>728</v>
      </c>
      <c r="AS601" s="853" t="str">
        <f>+VLOOKUP($AJ601,Data_Validation!$A:$E,5,0)</f>
        <v>Oui</v>
      </c>
      <c r="AT601" s="794" t="str">
        <f t="shared" ref="AT601:AU601" si="1200">C601</f>
        <v>G40100</v>
      </c>
      <c r="AU601" s="854" t="str">
        <f t="shared" si="1200"/>
        <v>VTES-MALIBU</v>
      </c>
      <c r="AV601" s="794">
        <f t="array" ref="AV601">IFERROR(INDEX(V601:AG601,1,MATCH(Parametres!$B$3,V$1:AG$1,0)-1)*IF(OR(C601="L",C601="S",C601="I"),-1,1),"")</f>
        <v>0</v>
      </c>
      <c r="AW601" s="794">
        <f t="shared" si="6"/>
        <v>0</v>
      </c>
      <c r="AX601" s="794">
        <f t="array" ref="AX601">INDEX(V601:AG601,1,MATCH(Parametres!$B$3,V$1:AG$1,0))*IF(OR(C601="L",C601="S",C601="I"),-1,1)</f>
        <v>0</v>
      </c>
      <c r="AY601" s="853" t="s">
        <v>772</v>
      </c>
      <c r="AZ601" s="853" t="str">
        <f>+VLOOKUP($AJ601,Data_Validation!$A:$E,5,0)</f>
        <v>Oui</v>
      </c>
    </row>
    <row r="602" ht="15.0" customHeight="1">
      <c r="A602" s="849" t="s">
        <v>1239</v>
      </c>
      <c r="B602" s="849">
        <v>2026.0</v>
      </c>
      <c r="C602" s="849" t="s">
        <v>2431</v>
      </c>
      <c r="D602" s="849" t="s">
        <v>2432</v>
      </c>
      <c r="E602" s="849" t="s">
        <v>2426</v>
      </c>
      <c r="F602" s="849" t="s">
        <v>2426</v>
      </c>
      <c r="G602" s="849">
        <v>0.0</v>
      </c>
      <c r="H602" s="849">
        <v>0.0</v>
      </c>
      <c r="I602" s="849">
        <v>0.0</v>
      </c>
      <c r="J602" s="849">
        <v>0.0</v>
      </c>
      <c r="K602" s="849">
        <v>0.0</v>
      </c>
      <c r="L602" s="849">
        <v>0.0</v>
      </c>
      <c r="M602" s="849">
        <v>0.0</v>
      </c>
      <c r="N602" s="849">
        <v>0.0</v>
      </c>
      <c r="O602" s="849">
        <v>0.0</v>
      </c>
      <c r="P602" s="849">
        <v>0.0</v>
      </c>
      <c r="Q602" s="849">
        <v>0.0</v>
      </c>
      <c r="R602" s="849">
        <v>0.0</v>
      </c>
      <c r="S602" s="849">
        <v>0.0</v>
      </c>
      <c r="T602" s="849">
        <v>0.0</v>
      </c>
      <c r="U602" s="849">
        <v>0.0</v>
      </c>
      <c r="V602" s="849">
        <v>0.0</v>
      </c>
      <c r="W602" s="849">
        <v>0.0</v>
      </c>
      <c r="X602" s="849">
        <v>0.0</v>
      </c>
      <c r="Y602" s="849">
        <v>0.0</v>
      </c>
      <c r="Z602" s="849">
        <v>0.0</v>
      </c>
      <c r="AA602" s="849">
        <v>0.0</v>
      </c>
      <c r="AB602" s="849">
        <v>0.0</v>
      </c>
      <c r="AC602" s="849">
        <v>0.0</v>
      </c>
      <c r="AD602" s="849">
        <v>0.0</v>
      </c>
      <c r="AE602" s="849">
        <v>0.0</v>
      </c>
      <c r="AF602" s="849">
        <v>0.0</v>
      </c>
      <c r="AG602" s="849">
        <v>0.0</v>
      </c>
      <c r="AH602" s="849">
        <v>0.0</v>
      </c>
      <c r="AI602" s="849">
        <v>0.0</v>
      </c>
      <c r="AJ602" s="794" t="str">
        <f t="shared" ref="AJ602:AK602" si="1201">C602</f>
        <v>G40101</v>
      </c>
      <c r="AK602" s="794" t="str">
        <f t="shared" si="1201"/>
        <v>VENTE BUICK LACROSSE</v>
      </c>
      <c r="AL602" s="794">
        <f t="array" ref="AL602">IFERROR(INDEX(G602:R602,1,MATCH(Parametres!$B$3,G$1:R$1,0)-1)*IF(OR(F602="L",F602="S",F602="I"),-1,1),"")</f>
        <v>0</v>
      </c>
      <c r="AM602" s="794">
        <f t="shared" si="4"/>
        <v>0</v>
      </c>
      <c r="AN602" s="794">
        <f t="array" ref="AN602">INDEX(G602:R602,1,MATCH(Parametres!$B$3,G$1:R$1,0))*IF(OR(F602="L",F602="S",F602="I"),-1,1)</f>
        <v>0</v>
      </c>
      <c r="AO602" s="853" t="str">
        <f>+VLOOKUP($AJ602,Data_Validation!$A:$D,1,0)</f>
        <v>G40101</v>
      </c>
      <c r="AP602" s="853" t="str">
        <f>+VLOOKUP($AJ602,Data_Validation!$A:$D,3,0)</f>
        <v>Véhicules neufs</v>
      </c>
      <c r="AQ602" s="853" t="str">
        <f>+VLOOKUP($AJ602,Data_Validation!$A:$D,4,0)</f>
        <v>Autos détail</v>
      </c>
      <c r="AR602" s="853" t="s">
        <v>728</v>
      </c>
      <c r="AS602" s="853" t="str">
        <f>+VLOOKUP($AJ602,Data_Validation!$A:$E,5,0)</f>
        <v>Oui</v>
      </c>
      <c r="AT602" s="794" t="str">
        <f t="shared" ref="AT602:AU602" si="1202">C602</f>
        <v>G40101</v>
      </c>
      <c r="AU602" s="854" t="str">
        <f t="shared" si="1202"/>
        <v>VENTE BUICK LACROSSE</v>
      </c>
      <c r="AV602" s="794">
        <f t="array" ref="AV602">IFERROR(INDEX(V602:AG602,1,MATCH(Parametres!$B$3,V$1:AG$1,0)-1)*IF(OR(C602="L",C602="S",C602="I"),-1,1),"")</f>
        <v>0</v>
      </c>
      <c r="AW602" s="794">
        <f t="shared" si="6"/>
        <v>0</v>
      </c>
      <c r="AX602" s="794">
        <f t="array" ref="AX602">INDEX(V602:AG602,1,MATCH(Parametres!$B$3,V$1:AG$1,0))*IF(OR(C602="L",C602="S",C602="I"),-1,1)</f>
        <v>0</v>
      </c>
      <c r="AY602" s="853" t="s">
        <v>772</v>
      </c>
      <c r="AZ602" s="853" t="str">
        <f>+VLOOKUP($AJ602,Data_Validation!$A:$E,5,0)</f>
        <v>Oui</v>
      </c>
    </row>
    <row r="603" ht="15.0" customHeight="1">
      <c r="A603" s="849" t="s">
        <v>1239</v>
      </c>
      <c r="B603" s="849">
        <v>2026.0</v>
      </c>
      <c r="C603" s="849" t="s">
        <v>2433</v>
      </c>
      <c r="D603" s="849" t="s">
        <v>2434</v>
      </c>
      <c r="E603" s="849" t="s">
        <v>2426</v>
      </c>
      <c r="F603" s="849" t="s">
        <v>2426</v>
      </c>
      <c r="G603" s="849">
        <v>0.0</v>
      </c>
      <c r="H603" s="849">
        <v>0.0</v>
      </c>
      <c r="I603" s="849">
        <v>0.0</v>
      </c>
      <c r="J603" s="849">
        <v>0.0</v>
      </c>
      <c r="K603" s="849">
        <v>0.0</v>
      </c>
      <c r="L603" s="849">
        <v>0.0</v>
      </c>
      <c r="M603" s="849">
        <v>0.0</v>
      </c>
      <c r="N603" s="849">
        <v>0.0</v>
      </c>
      <c r="O603" s="849">
        <v>0.0</v>
      </c>
      <c r="P603" s="849">
        <v>0.0</v>
      </c>
      <c r="Q603" s="849">
        <v>0.0</v>
      </c>
      <c r="R603" s="849">
        <v>0.0</v>
      </c>
      <c r="S603" s="849">
        <v>0.0</v>
      </c>
      <c r="T603" s="849">
        <v>0.0</v>
      </c>
      <c r="U603" s="849">
        <v>0.0</v>
      </c>
      <c r="V603" s="849">
        <v>0.0</v>
      </c>
      <c r="W603" s="849">
        <v>0.0</v>
      </c>
      <c r="X603" s="849">
        <v>0.0</v>
      </c>
      <c r="Y603" s="849">
        <v>0.0</v>
      </c>
      <c r="Z603" s="849">
        <v>0.0</v>
      </c>
      <c r="AA603" s="849">
        <v>0.0</v>
      </c>
      <c r="AB603" s="849">
        <v>0.0</v>
      </c>
      <c r="AC603" s="849">
        <v>0.0</v>
      </c>
      <c r="AD603" s="849">
        <v>0.0</v>
      </c>
      <c r="AE603" s="849">
        <v>0.0</v>
      </c>
      <c r="AF603" s="849">
        <v>0.0</v>
      </c>
      <c r="AG603" s="849">
        <v>0.0</v>
      </c>
      <c r="AH603" s="849">
        <v>0.0</v>
      </c>
      <c r="AI603" s="849">
        <v>0.0</v>
      </c>
      <c r="AJ603" s="794" t="str">
        <f t="shared" ref="AJ603:AK603" si="1203">C603</f>
        <v>G40120</v>
      </c>
      <c r="AK603" s="794" t="str">
        <f t="shared" si="1203"/>
        <v>VTES-MALIBU          -LOC</v>
      </c>
      <c r="AL603" s="794">
        <f t="array" ref="AL603">IFERROR(INDEX(G603:R603,1,MATCH(Parametres!$B$3,G$1:R$1,0)-1)*IF(OR(F603="L",F603="S",F603="I"),-1,1),"")</f>
        <v>0</v>
      </c>
      <c r="AM603" s="794">
        <f t="shared" si="4"/>
        <v>0</v>
      </c>
      <c r="AN603" s="794">
        <f t="array" ref="AN603">INDEX(G603:R603,1,MATCH(Parametres!$B$3,G$1:R$1,0))*IF(OR(F603="L",F603="S",F603="I"),-1,1)</f>
        <v>0</v>
      </c>
      <c r="AO603" s="853" t="str">
        <f>+VLOOKUP($AJ603,Data_Validation!$A:$D,1,0)</f>
        <v>#N/A</v>
      </c>
      <c r="AP603" s="853" t="str">
        <f>+VLOOKUP($AJ603,Data_Validation!$A:$D,3,0)</f>
        <v>#N/A</v>
      </c>
      <c r="AQ603" s="853" t="str">
        <f>+VLOOKUP($AJ603,Data_Validation!$A:$D,4,0)</f>
        <v>#N/A</v>
      </c>
      <c r="AR603" s="853" t="s">
        <v>728</v>
      </c>
      <c r="AS603" s="853" t="str">
        <f>+VLOOKUP($AJ603,Data_Validation!$A:$E,5,0)</f>
        <v>#N/A</v>
      </c>
      <c r="AT603" s="794" t="str">
        <f t="shared" ref="AT603:AU603" si="1204">C603</f>
        <v>G40120</v>
      </c>
      <c r="AU603" s="854" t="str">
        <f t="shared" si="1204"/>
        <v>VTES-MALIBU          -LOC</v>
      </c>
      <c r="AV603" s="794">
        <f t="array" ref="AV603">IFERROR(INDEX(V603:AG603,1,MATCH(Parametres!$B$3,V$1:AG$1,0)-1)*IF(OR(C603="L",C603="S",C603="I"),-1,1),"")</f>
        <v>0</v>
      </c>
      <c r="AW603" s="794">
        <f t="shared" si="6"/>
        <v>0</v>
      </c>
      <c r="AX603" s="794">
        <f t="array" ref="AX603">INDEX(V603:AG603,1,MATCH(Parametres!$B$3,V$1:AG$1,0))*IF(OR(C603="L",C603="S",C603="I"),-1,1)</f>
        <v>0</v>
      </c>
      <c r="AY603" s="853" t="s">
        <v>772</v>
      </c>
      <c r="AZ603" s="853" t="str">
        <f>+VLOOKUP($AJ603,Data_Validation!$A:$E,5,0)</f>
        <v>#N/A</v>
      </c>
    </row>
    <row r="604" ht="15.0" customHeight="1">
      <c r="A604" s="849" t="s">
        <v>1239</v>
      </c>
      <c r="B604" s="849">
        <v>2026.0</v>
      </c>
      <c r="C604" s="849" t="s">
        <v>2435</v>
      </c>
      <c r="D604" s="849" t="s">
        <v>2436</v>
      </c>
      <c r="E604" s="849" t="s">
        <v>2426</v>
      </c>
      <c r="F604" s="849" t="s">
        <v>2426</v>
      </c>
      <c r="G604" s="849">
        <v>0.0</v>
      </c>
      <c r="H604" s="849">
        <v>0.0</v>
      </c>
      <c r="I604" s="849">
        <v>0.0</v>
      </c>
      <c r="J604" s="849">
        <v>0.0</v>
      </c>
      <c r="K604" s="849">
        <v>0.0</v>
      </c>
      <c r="L604" s="849">
        <v>0.0</v>
      </c>
      <c r="M604" s="849">
        <v>0.0</v>
      </c>
      <c r="N604" s="849">
        <v>0.0</v>
      </c>
      <c r="O604" s="849">
        <v>0.0</v>
      </c>
      <c r="P604" s="849">
        <v>0.0</v>
      </c>
      <c r="Q604" s="849">
        <v>0.0</v>
      </c>
      <c r="R604" s="849">
        <v>0.0</v>
      </c>
      <c r="S604" s="849">
        <v>0.0</v>
      </c>
      <c r="T604" s="849">
        <v>0.0</v>
      </c>
      <c r="U604" s="849">
        <v>0.0</v>
      </c>
      <c r="V604" s="849">
        <v>0.0</v>
      </c>
      <c r="W604" s="849">
        <v>0.0</v>
      </c>
      <c r="X604" s="849">
        <v>0.0</v>
      </c>
      <c r="Y604" s="849">
        <v>0.0</v>
      </c>
      <c r="Z604" s="849">
        <v>0.0</v>
      </c>
      <c r="AA604" s="849">
        <v>0.0</v>
      </c>
      <c r="AB604" s="849">
        <v>0.0</v>
      </c>
      <c r="AC604" s="849">
        <v>0.0</v>
      </c>
      <c r="AD604" s="849">
        <v>0.0</v>
      </c>
      <c r="AE604" s="849">
        <v>0.0</v>
      </c>
      <c r="AF604" s="849">
        <v>0.0</v>
      </c>
      <c r="AG604" s="849">
        <v>0.0</v>
      </c>
      <c r="AH604" s="849">
        <v>0.0</v>
      </c>
      <c r="AI604" s="849">
        <v>0.0</v>
      </c>
      <c r="AJ604" s="794" t="str">
        <f t="shared" ref="AJ604:AK604" si="1205">C604</f>
        <v>G40200</v>
      </c>
      <c r="AK604" s="794" t="str">
        <f t="shared" si="1205"/>
        <v>VTES-MALIBU MAXX</v>
      </c>
      <c r="AL604" s="794">
        <f t="array" ref="AL604">IFERROR(INDEX(G604:R604,1,MATCH(Parametres!$B$3,G$1:R$1,0)-1)*IF(OR(F604="L",F604="S",F604="I"),-1,1),"")</f>
        <v>0</v>
      </c>
      <c r="AM604" s="794">
        <f t="shared" si="4"/>
        <v>0</v>
      </c>
      <c r="AN604" s="794">
        <f t="array" ref="AN604">INDEX(G604:R604,1,MATCH(Parametres!$B$3,G$1:R$1,0))*IF(OR(F604="L",F604="S",F604="I"),-1,1)</f>
        <v>0</v>
      </c>
      <c r="AO604" s="853" t="str">
        <f>+VLOOKUP($AJ604,Data_Validation!$A:$D,1,0)</f>
        <v>#N/A</v>
      </c>
      <c r="AP604" s="853" t="str">
        <f>+VLOOKUP($AJ604,Data_Validation!$A:$D,3,0)</f>
        <v>#N/A</v>
      </c>
      <c r="AQ604" s="853" t="str">
        <f>+VLOOKUP($AJ604,Data_Validation!$A:$D,4,0)</f>
        <v>#N/A</v>
      </c>
      <c r="AR604" s="853" t="s">
        <v>728</v>
      </c>
      <c r="AS604" s="853" t="str">
        <f>+VLOOKUP($AJ604,Data_Validation!$A:$E,5,0)</f>
        <v>#N/A</v>
      </c>
      <c r="AT604" s="794" t="str">
        <f t="shared" ref="AT604:AU604" si="1206">C604</f>
        <v>G40200</v>
      </c>
      <c r="AU604" s="854" t="str">
        <f t="shared" si="1206"/>
        <v>VTES-MALIBU MAXX</v>
      </c>
      <c r="AV604" s="794">
        <f t="array" ref="AV604">IFERROR(INDEX(V604:AG604,1,MATCH(Parametres!$B$3,V$1:AG$1,0)-1)*IF(OR(C604="L",C604="S",C604="I"),-1,1),"")</f>
        <v>0</v>
      </c>
      <c r="AW604" s="794">
        <f t="shared" si="6"/>
        <v>0</v>
      </c>
      <c r="AX604" s="794">
        <f t="array" ref="AX604">INDEX(V604:AG604,1,MATCH(Parametres!$B$3,V$1:AG$1,0))*IF(OR(C604="L",C604="S",C604="I"),-1,1)</f>
        <v>0</v>
      </c>
      <c r="AY604" s="853" t="s">
        <v>772</v>
      </c>
      <c r="AZ604" s="853" t="str">
        <f>+VLOOKUP($AJ604,Data_Validation!$A:$E,5,0)</f>
        <v>#N/A</v>
      </c>
    </row>
    <row r="605" ht="15.0" customHeight="1">
      <c r="A605" s="849" t="s">
        <v>1239</v>
      </c>
      <c r="B605" s="849">
        <v>2026.0</v>
      </c>
      <c r="C605" s="849" t="s">
        <v>2437</v>
      </c>
      <c r="D605" s="849" t="s">
        <v>2438</v>
      </c>
      <c r="E605" s="849" t="s">
        <v>2426</v>
      </c>
      <c r="F605" s="849" t="s">
        <v>2426</v>
      </c>
      <c r="G605" s="849">
        <v>0.0</v>
      </c>
      <c r="H605" s="849">
        <v>0.0</v>
      </c>
      <c r="I605" s="849">
        <v>0.0</v>
      </c>
      <c r="J605" s="849">
        <v>0.0</v>
      </c>
      <c r="K605" s="849">
        <v>0.0</v>
      </c>
      <c r="L605" s="849">
        <v>0.0</v>
      </c>
      <c r="M605" s="849">
        <v>0.0</v>
      </c>
      <c r="N605" s="849">
        <v>0.0</v>
      </c>
      <c r="O605" s="849">
        <v>0.0</v>
      </c>
      <c r="P605" s="849">
        <v>0.0</v>
      </c>
      <c r="Q605" s="849">
        <v>0.0</v>
      </c>
      <c r="R605" s="849">
        <v>0.0</v>
      </c>
      <c r="S605" s="849">
        <v>0.0</v>
      </c>
      <c r="T605" s="849">
        <v>0.0</v>
      </c>
      <c r="U605" s="849">
        <v>0.0</v>
      </c>
      <c r="V605" s="849">
        <v>0.0</v>
      </c>
      <c r="W605" s="849">
        <v>0.0</v>
      </c>
      <c r="X605" s="849">
        <v>0.0</v>
      </c>
      <c r="Y605" s="849">
        <v>0.0</v>
      </c>
      <c r="Z605" s="849">
        <v>0.0</v>
      </c>
      <c r="AA605" s="849">
        <v>0.0</v>
      </c>
      <c r="AB605" s="849">
        <v>0.0</v>
      </c>
      <c r="AC605" s="849">
        <v>0.0</v>
      </c>
      <c r="AD605" s="849">
        <v>0.0</v>
      </c>
      <c r="AE605" s="849">
        <v>0.0</v>
      </c>
      <c r="AF605" s="849">
        <v>0.0</v>
      </c>
      <c r="AG605" s="849">
        <v>0.0</v>
      </c>
      <c r="AH605" s="849">
        <v>0.0</v>
      </c>
      <c r="AI605" s="849">
        <v>0.0</v>
      </c>
      <c r="AJ605" s="794" t="str">
        <f t="shared" ref="AJ605:AK605" si="1207">C605</f>
        <v>G40201</v>
      </c>
      <c r="AK605" s="794" t="str">
        <f t="shared" si="1207"/>
        <v>VENTES - SONIC</v>
      </c>
      <c r="AL605" s="794">
        <f t="array" ref="AL605">IFERROR(INDEX(G605:R605,1,MATCH(Parametres!$B$3,G$1:R$1,0)-1)*IF(OR(F605="L",F605="S",F605="I"),-1,1),"")</f>
        <v>0</v>
      </c>
      <c r="AM605" s="794">
        <f t="shared" si="4"/>
        <v>0</v>
      </c>
      <c r="AN605" s="794">
        <f t="array" ref="AN605">INDEX(G605:R605,1,MATCH(Parametres!$B$3,G$1:R$1,0))*IF(OR(F605="L",F605="S",F605="I"),-1,1)</f>
        <v>0</v>
      </c>
      <c r="AO605" s="853" t="str">
        <f>+VLOOKUP($AJ605,Data_Validation!$A:$D,1,0)</f>
        <v>#N/A</v>
      </c>
      <c r="AP605" s="853" t="str">
        <f>+VLOOKUP($AJ605,Data_Validation!$A:$D,3,0)</f>
        <v>#N/A</v>
      </c>
      <c r="AQ605" s="853" t="str">
        <f>+VLOOKUP($AJ605,Data_Validation!$A:$D,4,0)</f>
        <v>#N/A</v>
      </c>
      <c r="AR605" s="853" t="s">
        <v>728</v>
      </c>
      <c r="AS605" s="853" t="str">
        <f>+VLOOKUP($AJ605,Data_Validation!$A:$E,5,0)</f>
        <v>#N/A</v>
      </c>
      <c r="AT605" s="794" t="str">
        <f t="shared" ref="AT605:AU605" si="1208">C605</f>
        <v>G40201</v>
      </c>
      <c r="AU605" s="854" t="str">
        <f t="shared" si="1208"/>
        <v>VENTES - SONIC</v>
      </c>
      <c r="AV605" s="794">
        <f t="array" ref="AV605">IFERROR(INDEX(V605:AG605,1,MATCH(Parametres!$B$3,V$1:AG$1,0)-1)*IF(OR(C605="L",C605="S",C605="I"),-1,1),"")</f>
        <v>0</v>
      </c>
      <c r="AW605" s="794">
        <f t="shared" si="6"/>
        <v>0</v>
      </c>
      <c r="AX605" s="794">
        <f t="array" ref="AX605">INDEX(V605:AG605,1,MATCH(Parametres!$B$3,V$1:AG$1,0))*IF(OR(C605="L",C605="S",C605="I"),-1,1)</f>
        <v>0</v>
      </c>
      <c r="AY605" s="853" t="s">
        <v>772</v>
      </c>
      <c r="AZ605" s="853" t="str">
        <f>+VLOOKUP($AJ605,Data_Validation!$A:$E,5,0)</f>
        <v>#N/A</v>
      </c>
    </row>
    <row r="606" ht="15.0" customHeight="1">
      <c r="A606" s="849" t="s">
        <v>1239</v>
      </c>
      <c r="B606" s="849">
        <v>2026.0</v>
      </c>
      <c r="C606" s="849" t="s">
        <v>2439</v>
      </c>
      <c r="D606" s="849" t="s">
        <v>2440</v>
      </c>
      <c r="E606" s="849" t="s">
        <v>2426</v>
      </c>
      <c r="F606" s="849" t="s">
        <v>2426</v>
      </c>
      <c r="G606" s="849">
        <v>0.0</v>
      </c>
      <c r="H606" s="849">
        <v>0.0</v>
      </c>
      <c r="I606" s="849">
        <v>0.0</v>
      </c>
      <c r="J606" s="849">
        <v>0.0</v>
      </c>
      <c r="K606" s="849">
        <v>0.0</v>
      </c>
      <c r="L606" s="849">
        <v>0.0</v>
      </c>
      <c r="M606" s="849">
        <v>0.0</v>
      </c>
      <c r="N606" s="849">
        <v>0.0</v>
      </c>
      <c r="O606" s="849">
        <v>0.0</v>
      </c>
      <c r="P606" s="849">
        <v>0.0</v>
      </c>
      <c r="Q606" s="849">
        <v>0.0</v>
      </c>
      <c r="R606" s="849">
        <v>0.0</v>
      </c>
      <c r="S606" s="849">
        <v>0.0</v>
      </c>
      <c r="T606" s="849">
        <v>0.0</v>
      </c>
      <c r="U606" s="849">
        <v>0.0</v>
      </c>
      <c r="V606" s="849">
        <v>0.0</v>
      </c>
      <c r="W606" s="849">
        <v>0.0</v>
      </c>
      <c r="X606" s="849">
        <v>0.0</v>
      </c>
      <c r="Y606" s="849">
        <v>0.0</v>
      </c>
      <c r="Z606" s="849">
        <v>0.0</v>
      </c>
      <c r="AA606" s="849">
        <v>0.0</v>
      </c>
      <c r="AB606" s="849">
        <v>0.0</v>
      </c>
      <c r="AC606" s="849">
        <v>0.0</v>
      </c>
      <c r="AD606" s="849">
        <v>0.0</v>
      </c>
      <c r="AE606" s="849">
        <v>0.0</v>
      </c>
      <c r="AF606" s="849">
        <v>0.0</v>
      </c>
      <c r="AG606" s="849">
        <v>0.0</v>
      </c>
      <c r="AH606" s="849">
        <v>0.0</v>
      </c>
      <c r="AI606" s="849">
        <v>0.0</v>
      </c>
      <c r="AJ606" s="794" t="str">
        <f t="shared" ref="AJ606:AK606" si="1209">C606</f>
        <v>G40204</v>
      </c>
      <c r="AK606" s="794" t="str">
        <f t="shared" si="1209"/>
        <v>VENTES - VERANO</v>
      </c>
      <c r="AL606" s="794">
        <f t="array" ref="AL606">IFERROR(INDEX(G606:R606,1,MATCH(Parametres!$B$3,G$1:R$1,0)-1)*IF(OR(F606="L",F606="S",F606="I"),-1,1),"")</f>
        <v>0</v>
      </c>
      <c r="AM606" s="794">
        <f t="shared" si="4"/>
        <v>0</v>
      </c>
      <c r="AN606" s="794">
        <f t="array" ref="AN606">INDEX(G606:R606,1,MATCH(Parametres!$B$3,G$1:R$1,0))*IF(OR(F606="L",F606="S",F606="I"),-1,1)</f>
        <v>0</v>
      </c>
      <c r="AO606" s="853" t="str">
        <f>+VLOOKUP($AJ606,Data_Validation!$A:$D,1,0)</f>
        <v>G40204</v>
      </c>
      <c r="AP606" s="853" t="str">
        <f>+VLOOKUP($AJ606,Data_Validation!$A:$D,3,0)</f>
        <v>Véhicules neufs</v>
      </c>
      <c r="AQ606" s="853" t="str">
        <f>+VLOOKUP($AJ606,Data_Validation!$A:$D,4,0)</f>
        <v>Autos détail</v>
      </c>
      <c r="AR606" s="853" t="s">
        <v>728</v>
      </c>
      <c r="AS606" s="853" t="str">
        <f>+VLOOKUP($AJ606,Data_Validation!$A:$E,5,0)</f>
        <v>Oui</v>
      </c>
      <c r="AT606" s="794" t="str">
        <f t="shared" ref="AT606:AU606" si="1210">C606</f>
        <v>G40204</v>
      </c>
      <c r="AU606" s="854" t="str">
        <f t="shared" si="1210"/>
        <v>VENTES - VERANO</v>
      </c>
      <c r="AV606" s="794">
        <f t="array" ref="AV606">IFERROR(INDEX(V606:AG606,1,MATCH(Parametres!$B$3,V$1:AG$1,0)-1)*IF(OR(C606="L",C606="S",C606="I"),-1,1),"")</f>
        <v>0</v>
      </c>
      <c r="AW606" s="794">
        <f t="shared" si="6"/>
        <v>0</v>
      </c>
      <c r="AX606" s="794">
        <f t="array" ref="AX606">INDEX(V606:AG606,1,MATCH(Parametres!$B$3,V$1:AG$1,0))*IF(OR(C606="L",C606="S",C606="I"),-1,1)</f>
        <v>0</v>
      </c>
      <c r="AY606" s="853" t="s">
        <v>772</v>
      </c>
      <c r="AZ606" s="853" t="str">
        <f>+VLOOKUP($AJ606,Data_Validation!$A:$E,5,0)</f>
        <v>Oui</v>
      </c>
    </row>
    <row r="607" ht="15.0" customHeight="1">
      <c r="A607" s="849" t="s">
        <v>1239</v>
      </c>
      <c r="B607" s="849">
        <v>2026.0</v>
      </c>
      <c r="C607" s="849" t="s">
        <v>2441</v>
      </c>
      <c r="D607" s="849" t="s">
        <v>2442</v>
      </c>
      <c r="E607" s="849" t="s">
        <v>2426</v>
      </c>
      <c r="F607" s="849" t="s">
        <v>2426</v>
      </c>
      <c r="G607" s="849">
        <v>0.0</v>
      </c>
      <c r="H607" s="849">
        <v>0.0</v>
      </c>
      <c r="I607" s="849">
        <v>0.0</v>
      </c>
      <c r="J607" s="849">
        <v>0.0</v>
      </c>
      <c r="K607" s="849">
        <v>0.0</v>
      </c>
      <c r="L607" s="849">
        <v>0.0</v>
      </c>
      <c r="M607" s="849">
        <v>0.0</v>
      </c>
      <c r="N607" s="849">
        <v>0.0</v>
      </c>
      <c r="O607" s="849">
        <v>0.0</v>
      </c>
      <c r="P607" s="849">
        <v>0.0</v>
      </c>
      <c r="Q607" s="849">
        <v>0.0</v>
      </c>
      <c r="R607" s="849">
        <v>0.0</v>
      </c>
      <c r="S607" s="849">
        <v>0.0</v>
      </c>
      <c r="T607" s="849">
        <v>0.0</v>
      </c>
      <c r="U607" s="849">
        <v>0.0</v>
      </c>
      <c r="V607" s="849">
        <v>0.0</v>
      </c>
      <c r="W607" s="849">
        <v>0.0</v>
      </c>
      <c r="X607" s="849">
        <v>0.0</v>
      </c>
      <c r="Y607" s="849">
        <v>0.0</v>
      </c>
      <c r="Z607" s="849">
        <v>0.0</v>
      </c>
      <c r="AA607" s="849">
        <v>0.0</v>
      </c>
      <c r="AB607" s="849">
        <v>0.0</v>
      </c>
      <c r="AC607" s="849">
        <v>0.0</v>
      </c>
      <c r="AD607" s="849">
        <v>0.0</v>
      </c>
      <c r="AE607" s="849">
        <v>0.0</v>
      </c>
      <c r="AF607" s="849">
        <v>0.0</v>
      </c>
      <c r="AG607" s="849">
        <v>0.0</v>
      </c>
      <c r="AH607" s="849">
        <v>0.0</v>
      </c>
      <c r="AI607" s="849">
        <v>0.0</v>
      </c>
      <c r="AJ607" s="794" t="str">
        <f t="shared" ref="AJ607:AK607" si="1211">C607</f>
        <v>G40300</v>
      </c>
      <c r="AK607" s="794" t="str">
        <f t="shared" si="1211"/>
        <v>VTES-IMPALA</v>
      </c>
      <c r="AL607" s="794">
        <f t="array" ref="AL607">IFERROR(INDEX(G607:R607,1,MATCH(Parametres!$B$3,G$1:R$1,0)-1)*IF(OR(F607="L",F607="S",F607="I"),-1,1),"")</f>
        <v>0</v>
      </c>
      <c r="AM607" s="794">
        <f t="shared" si="4"/>
        <v>0</v>
      </c>
      <c r="AN607" s="794">
        <f t="array" ref="AN607">INDEX(G607:R607,1,MATCH(Parametres!$B$3,G$1:R$1,0))*IF(OR(F607="L",F607="S",F607="I"),-1,1)</f>
        <v>0</v>
      </c>
      <c r="AO607" s="853" t="str">
        <f>+VLOOKUP($AJ607,Data_Validation!$A:$D,1,0)</f>
        <v>G40300</v>
      </c>
      <c r="AP607" s="853" t="str">
        <f>+VLOOKUP($AJ607,Data_Validation!$A:$D,3,0)</f>
        <v>Véhicules neufs</v>
      </c>
      <c r="AQ607" s="853" t="str">
        <f>+VLOOKUP($AJ607,Data_Validation!$A:$D,4,0)</f>
        <v>Autos détail</v>
      </c>
      <c r="AR607" s="853" t="s">
        <v>728</v>
      </c>
      <c r="AS607" s="853" t="str">
        <f>+VLOOKUP($AJ607,Data_Validation!$A:$E,5,0)</f>
        <v>Oui</v>
      </c>
      <c r="AT607" s="794" t="str">
        <f t="shared" ref="AT607:AU607" si="1212">C607</f>
        <v>G40300</v>
      </c>
      <c r="AU607" s="854" t="str">
        <f t="shared" si="1212"/>
        <v>VTES-IMPALA</v>
      </c>
      <c r="AV607" s="794">
        <f t="array" ref="AV607">IFERROR(INDEX(V607:AG607,1,MATCH(Parametres!$B$3,V$1:AG$1,0)-1)*IF(OR(C607="L",C607="S",C607="I"),-1,1),"")</f>
        <v>0</v>
      </c>
      <c r="AW607" s="794">
        <f t="shared" si="6"/>
        <v>0</v>
      </c>
      <c r="AX607" s="794">
        <f t="array" ref="AX607">INDEX(V607:AG607,1,MATCH(Parametres!$B$3,V$1:AG$1,0))*IF(OR(C607="L",C607="S",C607="I"),-1,1)</f>
        <v>0</v>
      </c>
      <c r="AY607" s="853" t="s">
        <v>772</v>
      </c>
      <c r="AZ607" s="853" t="str">
        <f>+VLOOKUP($AJ607,Data_Validation!$A:$E,5,0)</f>
        <v>Oui</v>
      </c>
    </row>
    <row r="608" ht="15.0" customHeight="1">
      <c r="A608" s="849" t="s">
        <v>1239</v>
      </c>
      <c r="B608" s="849">
        <v>2026.0</v>
      </c>
      <c r="C608" s="849" t="s">
        <v>2443</v>
      </c>
      <c r="D608" s="849" t="s">
        <v>2444</v>
      </c>
      <c r="E608" s="849" t="s">
        <v>2426</v>
      </c>
      <c r="F608" s="849" t="s">
        <v>2426</v>
      </c>
      <c r="G608" s="849">
        <v>0.0</v>
      </c>
      <c r="H608" s="849">
        <v>0.0</v>
      </c>
      <c r="I608" s="849">
        <v>0.0</v>
      </c>
      <c r="J608" s="849">
        <v>0.0</v>
      </c>
      <c r="K608" s="849">
        <v>0.0</v>
      </c>
      <c r="L608" s="849">
        <v>0.0</v>
      </c>
      <c r="M608" s="849">
        <v>0.0</v>
      </c>
      <c r="N608" s="849">
        <v>0.0</v>
      </c>
      <c r="O608" s="849">
        <v>0.0</v>
      </c>
      <c r="P608" s="849">
        <v>0.0</v>
      </c>
      <c r="Q608" s="849">
        <v>0.0</v>
      </c>
      <c r="R608" s="849">
        <v>0.0</v>
      </c>
      <c r="S608" s="849">
        <v>0.0</v>
      </c>
      <c r="T608" s="849">
        <v>0.0</v>
      </c>
      <c r="U608" s="849">
        <v>0.0</v>
      </c>
      <c r="V608" s="849">
        <v>0.0</v>
      </c>
      <c r="W608" s="849">
        <v>0.0</v>
      </c>
      <c r="X608" s="849">
        <v>0.0</v>
      </c>
      <c r="Y608" s="849">
        <v>0.0</v>
      </c>
      <c r="Z608" s="849">
        <v>0.0</v>
      </c>
      <c r="AA608" s="849">
        <v>0.0</v>
      </c>
      <c r="AB608" s="849">
        <v>0.0</v>
      </c>
      <c r="AC608" s="849">
        <v>0.0</v>
      </c>
      <c r="AD608" s="849">
        <v>0.0</v>
      </c>
      <c r="AE608" s="849">
        <v>0.0</v>
      </c>
      <c r="AF608" s="849">
        <v>0.0</v>
      </c>
      <c r="AG608" s="849">
        <v>0.0</v>
      </c>
      <c r="AH608" s="849">
        <v>0.0</v>
      </c>
      <c r="AI608" s="849">
        <v>0.0</v>
      </c>
      <c r="AJ608" s="794" t="str">
        <f t="shared" ref="AJ608:AK608" si="1213">C608</f>
        <v>G40320</v>
      </c>
      <c r="AK608" s="794" t="str">
        <f t="shared" si="1213"/>
        <v>VTES-IMPALA          -LOC</v>
      </c>
      <c r="AL608" s="794">
        <f t="array" ref="AL608">IFERROR(INDEX(G608:R608,1,MATCH(Parametres!$B$3,G$1:R$1,0)-1)*IF(OR(F608="L",F608="S",F608="I"),-1,1),"")</f>
        <v>0</v>
      </c>
      <c r="AM608" s="794">
        <f t="shared" si="4"/>
        <v>0</v>
      </c>
      <c r="AN608" s="794">
        <f t="array" ref="AN608">INDEX(G608:R608,1,MATCH(Parametres!$B$3,G$1:R$1,0))*IF(OR(F608="L",F608="S",F608="I"),-1,1)</f>
        <v>0</v>
      </c>
      <c r="AO608" s="853" t="str">
        <f>+VLOOKUP($AJ608,Data_Validation!$A:$D,1,0)</f>
        <v>#N/A</v>
      </c>
      <c r="AP608" s="853" t="str">
        <f>+VLOOKUP($AJ608,Data_Validation!$A:$D,3,0)</f>
        <v>#N/A</v>
      </c>
      <c r="AQ608" s="853" t="str">
        <f>+VLOOKUP($AJ608,Data_Validation!$A:$D,4,0)</f>
        <v>#N/A</v>
      </c>
      <c r="AR608" s="853" t="s">
        <v>728</v>
      </c>
      <c r="AS608" s="853" t="str">
        <f>+VLOOKUP($AJ608,Data_Validation!$A:$E,5,0)</f>
        <v>#N/A</v>
      </c>
      <c r="AT608" s="794" t="str">
        <f t="shared" ref="AT608:AU608" si="1214">C608</f>
        <v>G40320</v>
      </c>
      <c r="AU608" s="854" t="str">
        <f t="shared" si="1214"/>
        <v>VTES-IMPALA          -LOC</v>
      </c>
      <c r="AV608" s="794">
        <f t="array" ref="AV608">IFERROR(INDEX(V608:AG608,1,MATCH(Parametres!$B$3,V$1:AG$1,0)-1)*IF(OR(C608="L",C608="S",C608="I"),-1,1),"")</f>
        <v>0</v>
      </c>
      <c r="AW608" s="794">
        <f t="shared" si="6"/>
        <v>0</v>
      </c>
      <c r="AX608" s="794">
        <f t="array" ref="AX608">INDEX(V608:AG608,1,MATCH(Parametres!$B$3,V$1:AG$1,0))*IF(OR(C608="L",C608="S",C608="I"),-1,1)</f>
        <v>0</v>
      </c>
      <c r="AY608" s="853" t="s">
        <v>772</v>
      </c>
      <c r="AZ608" s="853" t="str">
        <f>+VLOOKUP($AJ608,Data_Validation!$A:$E,5,0)</f>
        <v>#N/A</v>
      </c>
    </row>
    <row r="609" ht="15.0" customHeight="1">
      <c r="A609" s="849" t="s">
        <v>1239</v>
      </c>
      <c r="B609" s="849">
        <v>2026.0</v>
      </c>
      <c r="C609" s="849" t="s">
        <v>2445</v>
      </c>
      <c r="D609" s="849" t="s">
        <v>2446</v>
      </c>
      <c r="E609" s="849" t="s">
        <v>2426</v>
      </c>
      <c r="F609" s="849" t="s">
        <v>2426</v>
      </c>
      <c r="G609" s="849">
        <v>0.0</v>
      </c>
      <c r="H609" s="849">
        <v>0.0</v>
      </c>
      <c r="I609" s="849">
        <v>0.0</v>
      </c>
      <c r="J609" s="849">
        <v>0.0</v>
      </c>
      <c r="K609" s="849">
        <v>0.0</v>
      </c>
      <c r="L609" s="849">
        <v>0.0</v>
      </c>
      <c r="M609" s="849">
        <v>0.0</v>
      </c>
      <c r="N609" s="849">
        <v>0.0</v>
      </c>
      <c r="O609" s="849">
        <v>0.0</v>
      </c>
      <c r="P609" s="849">
        <v>0.0</v>
      </c>
      <c r="Q609" s="849">
        <v>0.0</v>
      </c>
      <c r="R609" s="849">
        <v>0.0</v>
      </c>
      <c r="S609" s="849">
        <v>0.0</v>
      </c>
      <c r="T609" s="849">
        <v>0.0</v>
      </c>
      <c r="U609" s="849">
        <v>0.0</v>
      </c>
      <c r="V609" s="849">
        <v>0.0</v>
      </c>
      <c r="W609" s="849">
        <v>0.0</v>
      </c>
      <c r="X609" s="849">
        <v>0.0</v>
      </c>
      <c r="Y609" s="849">
        <v>0.0</v>
      </c>
      <c r="Z609" s="849">
        <v>0.0</v>
      </c>
      <c r="AA609" s="849">
        <v>0.0</v>
      </c>
      <c r="AB609" s="849">
        <v>0.0</v>
      </c>
      <c r="AC609" s="849">
        <v>0.0</v>
      </c>
      <c r="AD609" s="849">
        <v>0.0</v>
      </c>
      <c r="AE609" s="849">
        <v>0.0</v>
      </c>
      <c r="AF609" s="849">
        <v>0.0</v>
      </c>
      <c r="AG609" s="849">
        <v>0.0</v>
      </c>
      <c r="AH609" s="849">
        <v>0.0</v>
      </c>
      <c r="AI609" s="849">
        <v>0.0</v>
      </c>
      <c r="AJ609" s="794" t="str">
        <f t="shared" ref="AJ609:AK609" si="1215">C609</f>
        <v>G40400</v>
      </c>
      <c r="AK609" s="794" t="str">
        <f t="shared" si="1215"/>
        <v>VENTES / SPARK</v>
      </c>
      <c r="AL609" s="794">
        <f t="array" ref="AL609">IFERROR(INDEX(G609:R609,1,MATCH(Parametres!$B$3,G$1:R$1,0)-1)*IF(OR(F609="L",F609="S",F609="I"),-1,1),"")</f>
        <v>0</v>
      </c>
      <c r="AM609" s="794">
        <f t="shared" si="4"/>
        <v>0</v>
      </c>
      <c r="AN609" s="794">
        <f t="array" ref="AN609">INDEX(G609:R609,1,MATCH(Parametres!$B$3,G$1:R$1,0))*IF(OR(F609="L",F609="S",F609="I"),-1,1)</f>
        <v>0</v>
      </c>
      <c r="AO609" s="853" t="str">
        <f>+VLOOKUP($AJ609,Data_Validation!$A:$D,1,0)</f>
        <v>G40400</v>
      </c>
      <c r="AP609" s="853" t="str">
        <f>+VLOOKUP($AJ609,Data_Validation!$A:$D,3,0)</f>
        <v>Véhicules neufs</v>
      </c>
      <c r="AQ609" s="853" t="str">
        <f>+VLOOKUP($AJ609,Data_Validation!$A:$D,4,0)</f>
        <v>Autos détail</v>
      </c>
      <c r="AR609" s="853" t="s">
        <v>728</v>
      </c>
      <c r="AS609" s="853" t="str">
        <f>+VLOOKUP($AJ609,Data_Validation!$A:$E,5,0)</f>
        <v>Oui</v>
      </c>
      <c r="AT609" s="794" t="str">
        <f t="shared" ref="AT609:AU609" si="1216">C609</f>
        <v>G40400</v>
      </c>
      <c r="AU609" s="854" t="str">
        <f t="shared" si="1216"/>
        <v>VENTES / SPARK</v>
      </c>
      <c r="AV609" s="794">
        <f t="array" ref="AV609">IFERROR(INDEX(V609:AG609,1,MATCH(Parametres!$B$3,V$1:AG$1,0)-1)*IF(OR(C609="L",C609="S",C609="I"),-1,1),"")</f>
        <v>0</v>
      </c>
      <c r="AW609" s="794">
        <f t="shared" si="6"/>
        <v>0</v>
      </c>
      <c r="AX609" s="794">
        <f t="array" ref="AX609">INDEX(V609:AG609,1,MATCH(Parametres!$B$3,V$1:AG$1,0))*IF(OR(C609="L",C609="S",C609="I"),-1,1)</f>
        <v>0</v>
      </c>
      <c r="AY609" s="853" t="s">
        <v>772</v>
      </c>
      <c r="AZ609" s="853" t="str">
        <f>+VLOOKUP($AJ609,Data_Validation!$A:$E,5,0)</f>
        <v>Oui</v>
      </c>
    </row>
    <row r="610" ht="15.0" customHeight="1">
      <c r="A610" s="849" t="s">
        <v>1239</v>
      </c>
      <c r="B610" s="849">
        <v>2026.0</v>
      </c>
      <c r="C610" s="849" t="s">
        <v>2447</v>
      </c>
      <c r="D610" s="849" t="s">
        <v>2448</v>
      </c>
      <c r="E610" s="849" t="s">
        <v>2426</v>
      </c>
      <c r="F610" s="849" t="s">
        <v>2426</v>
      </c>
      <c r="G610" s="849">
        <v>0.0</v>
      </c>
      <c r="H610" s="849">
        <v>0.0</v>
      </c>
      <c r="I610" s="849">
        <v>0.0</v>
      </c>
      <c r="J610" s="849">
        <v>102018.5</v>
      </c>
      <c r="K610" s="849">
        <v>203641.5</v>
      </c>
      <c r="L610" s="849">
        <v>349904.5</v>
      </c>
      <c r="M610" s="849">
        <v>449377.5</v>
      </c>
      <c r="N610" s="849">
        <v>449377.5</v>
      </c>
      <c r="O610" s="849">
        <v>608598.86</v>
      </c>
      <c r="P610" s="849">
        <v>608598.86</v>
      </c>
      <c r="Q610" s="849">
        <v>0.0</v>
      </c>
      <c r="R610" s="849">
        <v>0.0</v>
      </c>
      <c r="S610" s="849">
        <v>67622.1</v>
      </c>
      <c r="T610" s="849">
        <v>67622.1</v>
      </c>
      <c r="U610" s="849">
        <v>0.0</v>
      </c>
      <c r="V610" s="849">
        <v>0.0</v>
      </c>
      <c r="W610" s="849">
        <v>0.0</v>
      </c>
      <c r="X610" s="849">
        <v>0.0</v>
      </c>
      <c r="Y610" s="849">
        <v>1.0</v>
      </c>
      <c r="Z610" s="849">
        <v>2.0</v>
      </c>
      <c r="AA610" s="849">
        <v>3.0</v>
      </c>
      <c r="AB610" s="849">
        <v>4.0</v>
      </c>
      <c r="AC610" s="849">
        <v>4.0</v>
      </c>
      <c r="AD610" s="849">
        <v>5.0</v>
      </c>
      <c r="AE610" s="849">
        <v>5.0</v>
      </c>
      <c r="AF610" s="849">
        <v>0.0</v>
      </c>
      <c r="AG610" s="849">
        <v>0.0</v>
      </c>
      <c r="AH610" s="849">
        <v>1.0</v>
      </c>
      <c r="AI610" s="849">
        <v>1.0</v>
      </c>
      <c r="AJ610" s="794" t="str">
        <f t="shared" ref="AJ610:AK610" si="1217">C610</f>
        <v>G40500</v>
      </c>
      <c r="AK610" s="794" t="str">
        <f t="shared" si="1217"/>
        <v>VTES-CORVETTE</v>
      </c>
      <c r="AL610" s="794">
        <f t="array" ref="AL610">IFERROR(INDEX(G610:R610,1,MATCH(Parametres!$B$3,G$1:R$1,0)-1)*IF(OR(F610="L",F610="S",F610="I"),-1,1),"")</f>
        <v>-449377.5</v>
      </c>
      <c r="AM610" s="794">
        <f t="shared" si="4"/>
        <v>-159221.36</v>
      </c>
      <c r="AN610" s="794">
        <f t="array" ref="AN610">INDEX(G610:R610,1,MATCH(Parametres!$B$3,G$1:R$1,0))*IF(OR(F610="L",F610="S",F610="I"),-1,1)</f>
        <v>-608598.86</v>
      </c>
      <c r="AO610" s="853" t="str">
        <f>+VLOOKUP($AJ610,Data_Validation!$A:$D,1,0)</f>
        <v>G40500</v>
      </c>
      <c r="AP610" s="853" t="str">
        <f>+VLOOKUP($AJ610,Data_Validation!$A:$D,3,0)</f>
        <v>Véhicules neufs</v>
      </c>
      <c r="AQ610" s="853" t="str">
        <f>+VLOOKUP($AJ610,Data_Validation!$A:$D,4,0)</f>
        <v>Autos détail</v>
      </c>
      <c r="AR610" s="853" t="s">
        <v>728</v>
      </c>
      <c r="AS610" s="853" t="str">
        <f>+VLOOKUP($AJ610,Data_Validation!$A:$E,5,0)</f>
        <v>Oui</v>
      </c>
      <c r="AT610" s="794" t="str">
        <f t="shared" ref="AT610:AU610" si="1218">C610</f>
        <v>G40500</v>
      </c>
      <c r="AU610" s="854" t="str">
        <f t="shared" si="1218"/>
        <v>VTES-CORVETTE</v>
      </c>
      <c r="AV610" s="794">
        <f t="array" ref="AV610">IFERROR(INDEX(V610:AG610,1,MATCH(Parametres!$B$3,V$1:AG$1,0)-1)*IF(OR(C610="L",C610="S",C610="I"),-1,1),"")</f>
        <v>4</v>
      </c>
      <c r="AW610" s="794">
        <f t="shared" si="6"/>
        <v>1</v>
      </c>
      <c r="AX610" s="794">
        <f t="array" ref="AX610">INDEX(V610:AG610,1,MATCH(Parametres!$B$3,V$1:AG$1,0))*IF(OR(C610="L",C610="S",C610="I"),-1,1)</f>
        <v>5</v>
      </c>
      <c r="AY610" s="853" t="s">
        <v>772</v>
      </c>
      <c r="AZ610" s="853" t="str">
        <f>+VLOOKUP($AJ610,Data_Validation!$A:$E,5,0)</f>
        <v>Oui</v>
      </c>
    </row>
    <row r="611" ht="15.0" customHeight="1">
      <c r="A611" s="849" t="s">
        <v>1239</v>
      </c>
      <c r="B611" s="849">
        <v>2026.0</v>
      </c>
      <c r="C611" s="849" t="s">
        <v>2449</v>
      </c>
      <c r="D611" s="849" t="s">
        <v>2450</v>
      </c>
      <c r="E611" s="849" t="s">
        <v>2426</v>
      </c>
      <c r="F611" s="849" t="s">
        <v>2426</v>
      </c>
      <c r="G611" s="849">
        <v>0.0</v>
      </c>
      <c r="H611" s="849">
        <v>0.0</v>
      </c>
      <c r="I611" s="849">
        <v>0.0</v>
      </c>
      <c r="J611" s="849">
        <v>0.0</v>
      </c>
      <c r="K611" s="849">
        <v>0.0</v>
      </c>
      <c r="L611" s="849">
        <v>0.0</v>
      </c>
      <c r="M611" s="849">
        <v>0.0</v>
      </c>
      <c r="N611" s="849">
        <v>0.0</v>
      </c>
      <c r="O611" s="849">
        <v>0.0</v>
      </c>
      <c r="P611" s="849">
        <v>0.0</v>
      </c>
      <c r="Q611" s="849">
        <v>0.0</v>
      </c>
      <c r="R611" s="849">
        <v>0.0</v>
      </c>
      <c r="S611" s="849">
        <v>0.0</v>
      </c>
      <c r="T611" s="849">
        <v>0.0</v>
      </c>
      <c r="U611" s="849">
        <v>0.0</v>
      </c>
      <c r="V611" s="849">
        <v>0.0</v>
      </c>
      <c r="W611" s="849">
        <v>0.0</v>
      </c>
      <c r="X611" s="849">
        <v>0.0</v>
      </c>
      <c r="Y611" s="849">
        <v>0.0</v>
      </c>
      <c r="Z611" s="849">
        <v>0.0</v>
      </c>
      <c r="AA611" s="849">
        <v>0.0</v>
      </c>
      <c r="AB611" s="849">
        <v>0.0</v>
      </c>
      <c r="AC611" s="849">
        <v>0.0</v>
      </c>
      <c r="AD611" s="849">
        <v>0.0</v>
      </c>
      <c r="AE611" s="849">
        <v>0.0</v>
      </c>
      <c r="AF611" s="849">
        <v>0.0</v>
      </c>
      <c r="AG611" s="849">
        <v>0.0</v>
      </c>
      <c r="AH611" s="849">
        <v>0.0</v>
      </c>
      <c r="AI611" s="849">
        <v>0.0</v>
      </c>
      <c r="AJ611" s="794" t="str">
        <f t="shared" ref="AJ611:AK611" si="1219">C611</f>
        <v>G40600</v>
      </c>
      <c r="AK611" s="794" t="str">
        <f t="shared" si="1219"/>
        <v>VTES-AVEO</v>
      </c>
      <c r="AL611" s="794">
        <f t="array" ref="AL611">IFERROR(INDEX(G611:R611,1,MATCH(Parametres!$B$3,G$1:R$1,0)-1)*IF(OR(F611="L",F611="S",F611="I"),-1,1),"")</f>
        <v>0</v>
      </c>
      <c r="AM611" s="794">
        <f t="shared" si="4"/>
        <v>0</v>
      </c>
      <c r="AN611" s="794">
        <f t="array" ref="AN611">INDEX(G611:R611,1,MATCH(Parametres!$B$3,G$1:R$1,0))*IF(OR(F611="L",F611="S",F611="I"),-1,1)</f>
        <v>0</v>
      </c>
      <c r="AO611" s="853" t="str">
        <f>+VLOOKUP($AJ611,Data_Validation!$A:$D,1,0)</f>
        <v>#N/A</v>
      </c>
      <c r="AP611" s="853" t="str">
        <f>+VLOOKUP($AJ611,Data_Validation!$A:$D,3,0)</f>
        <v>#N/A</v>
      </c>
      <c r="AQ611" s="853" t="str">
        <f>+VLOOKUP($AJ611,Data_Validation!$A:$D,4,0)</f>
        <v>#N/A</v>
      </c>
      <c r="AR611" s="853" t="s">
        <v>728</v>
      </c>
      <c r="AS611" s="853" t="str">
        <f>+VLOOKUP($AJ611,Data_Validation!$A:$E,5,0)</f>
        <v>#N/A</v>
      </c>
      <c r="AT611" s="794" t="str">
        <f t="shared" ref="AT611:AU611" si="1220">C611</f>
        <v>G40600</v>
      </c>
      <c r="AU611" s="854" t="str">
        <f t="shared" si="1220"/>
        <v>VTES-AVEO</v>
      </c>
      <c r="AV611" s="794">
        <f t="array" ref="AV611">IFERROR(INDEX(V611:AG611,1,MATCH(Parametres!$B$3,V$1:AG$1,0)-1)*IF(OR(C611="L",C611="S",C611="I"),-1,1),"")</f>
        <v>0</v>
      </c>
      <c r="AW611" s="794">
        <f t="shared" si="6"/>
        <v>0</v>
      </c>
      <c r="AX611" s="794">
        <f t="array" ref="AX611">INDEX(V611:AG611,1,MATCH(Parametres!$B$3,V$1:AG$1,0))*IF(OR(C611="L",C611="S",C611="I"),-1,1)</f>
        <v>0</v>
      </c>
      <c r="AY611" s="853" t="s">
        <v>772</v>
      </c>
      <c r="AZ611" s="853" t="str">
        <f>+VLOOKUP($AJ611,Data_Validation!$A:$E,5,0)</f>
        <v>#N/A</v>
      </c>
    </row>
    <row r="612" ht="15.0" customHeight="1">
      <c r="A612" s="849" t="s">
        <v>1239</v>
      </c>
      <c r="B612" s="849">
        <v>2026.0</v>
      </c>
      <c r="C612" s="849" t="s">
        <v>2451</v>
      </c>
      <c r="D612" s="849" t="s">
        <v>2452</v>
      </c>
      <c r="E612" s="849" t="s">
        <v>2426</v>
      </c>
      <c r="F612" s="849" t="s">
        <v>2426</v>
      </c>
      <c r="G612" s="849">
        <v>0.0</v>
      </c>
      <c r="H612" s="849">
        <v>0.0</v>
      </c>
      <c r="I612" s="849">
        <v>0.0</v>
      </c>
      <c r="J612" s="849">
        <v>0.0</v>
      </c>
      <c r="K612" s="849">
        <v>0.0</v>
      </c>
      <c r="L612" s="849">
        <v>0.0</v>
      </c>
      <c r="M612" s="849">
        <v>0.0</v>
      </c>
      <c r="N612" s="849">
        <v>0.0</v>
      </c>
      <c r="O612" s="849">
        <v>0.0</v>
      </c>
      <c r="P612" s="849">
        <v>0.0</v>
      </c>
      <c r="Q612" s="849">
        <v>0.0</v>
      </c>
      <c r="R612" s="849">
        <v>0.0</v>
      </c>
      <c r="S612" s="849">
        <v>0.0</v>
      </c>
      <c r="T612" s="849">
        <v>0.0</v>
      </c>
      <c r="U612" s="849">
        <v>0.0</v>
      </c>
      <c r="V612" s="849">
        <v>0.0</v>
      </c>
      <c r="W612" s="849">
        <v>0.0</v>
      </c>
      <c r="X612" s="849">
        <v>0.0</v>
      </c>
      <c r="Y612" s="849">
        <v>0.0</v>
      </c>
      <c r="Z612" s="849">
        <v>0.0</v>
      </c>
      <c r="AA612" s="849">
        <v>0.0</v>
      </c>
      <c r="AB612" s="849">
        <v>0.0</v>
      </c>
      <c r="AC612" s="849">
        <v>0.0</v>
      </c>
      <c r="AD612" s="849">
        <v>0.0</v>
      </c>
      <c r="AE612" s="849">
        <v>0.0</v>
      </c>
      <c r="AF612" s="849">
        <v>0.0</v>
      </c>
      <c r="AG612" s="849">
        <v>0.0</v>
      </c>
      <c r="AH612" s="849">
        <v>0.0</v>
      </c>
      <c r="AI612" s="849">
        <v>0.0</v>
      </c>
      <c r="AJ612" s="794" t="str">
        <f t="shared" ref="AJ612:AK612" si="1221">C612</f>
        <v>G40620</v>
      </c>
      <c r="AK612" s="794" t="str">
        <f t="shared" si="1221"/>
        <v>VTES-AVEO            -LOC</v>
      </c>
      <c r="AL612" s="794">
        <f t="array" ref="AL612">IFERROR(INDEX(G612:R612,1,MATCH(Parametres!$B$3,G$1:R$1,0)-1)*IF(OR(F612="L",F612="S",F612="I"),-1,1),"")</f>
        <v>0</v>
      </c>
      <c r="AM612" s="794">
        <f t="shared" si="4"/>
        <v>0</v>
      </c>
      <c r="AN612" s="794">
        <f t="array" ref="AN612">INDEX(G612:R612,1,MATCH(Parametres!$B$3,G$1:R$1,0))*IF(OR(F612="L",F612="S",F612="I"),-1,1)</f>
        <v>0</v>
      </c>
      <c r="AO612" s="853" t="str">
        <f>+VLOOKUP($AJ612,Data_Validation!$A:$D,1,0)</f>
        <v>#N/A</v>
      </c>
      <c r="AP612" s="853" t="str">
        <f>+VLOOKUP($AJ612,Data_Validation!$A:$D,3,0)</f>
        <v>#N/A</v>
      </c>
      <c r="AQ612" s="853" t="str">
        <f>+VLOOKUP($AJ612,Data_Validation!$A:$D,4,0)</f>
        <v>#N/A</v>
      </c>
      <c r="AR612" s="853" t="s">
        <v>728</v>
      </c>
      <c r="AS612" s="853" t="str">
        <f>+VLOOKUP($AJ612,Data_Validation!$A:$E,5,0)</f>
        <v>#N/A</v>
      </c>
      <c r="AT612" s="794" t="str">
        <f t="shared" ref="AT612:AU612" si="1222">C612</f>
        <v>G40620</v>
      </c>
      <c r="AU612" s="854" t="str">
        <f t="shared" si="1222"/>
        <v>VTES-AVEO            -LOC</v>
      </c>
      <c r="AV612" s="794">
        <f t="array" ref="AV612">IFERROR(INDEX(V612:AG612,1,MATCH(Parametres!$B$3,V$1:AG$1,0)-1)*IF(OR(C612="L",C612="S",C612="I"),-1,1),"")</f>
        <v>0</v>
      </c>
      <c r="AW612" s="794">
        <f t="shared" si="6"/>
        <v>0</v>
      </c>
      <c r="AX612" s="794">
        <f t="array" ref="AX612">INDEX(V612:AG612,1,MATCH(Parametres!$B$3,V$1:AG$1,0))*IF(OR(C612="L",C612="S",C612="I"),-1,1)</f>
        <v>0</v>
      </c>
      <c r="AY612" s="853" t="s">
        <v>772</v>
      </c>
      <c r="AZ612" s="853" t="str">
        <f>+VLOOKUP($AJ612,Data_Validation!$A:$E,5,0)</f>
        <v>#N/A</v>
      </c>
    </row>
    <row r="613" ht="15.0" customHeight="1">
      <c r="A613" s="849" t="s">
        <v>1239</v>
      </c>
      <c r="B613" s="849">
        <v>2026.0</v>
      </c>
      <c r="C613" s="849" t="s">
        <v>2453</v>
      </c>
      <c r="D613" s="849" t="s">
        <v>2454</v>
      </c>
      <c r="E613" s="849" t="s">
        <v>2426</v>
      </c>
      <c r="F613" s="849" t="s">
        <v>2426</v>
      </c>
      <c r="G613" s="849">
        <v>0.0</v>
      </c>
      <c r="H613" s="849">
        <v>0.0</v>
      </c>
      <c r="I613" s="849">
        <v>0.0</v>
      </c>
      <c r="J613" s="849">
        <v>0.0</v>
      </c>
      <c r="K613" s="849">
        <v>46018.0</v>
      </c>
      <c r="L613" s="849">
        <v>46018.0</v>
      </c>
      <c r="M613" s="849">
        <v>46018.0</v>
      </c>
      <c r="N613" s="849">
        <v>174813.7</v>
      </c>
      <c r="O613" s="849">
        <v>353435.7</v>
      </c>
      <c r="P613" s="849">
        <v>454010.0</v>
      </c>
      <c r="Q613" s="849">
        <v>0.0</v>
      </c>
      <c r="R613" s="849">
        <v>0.0</v>
      </c>
      <c r="S613" s="849">
        <v>39270.63</v>
      </c>
      <c r="T613" s="849">
        <v>39270.63</v>
      </c>
      <c r="U613" s="849">
        <v>0.0</v>
      </c>
      <c r="V613" s="849">
        <v>0.0</v>
      </c>
      <c r="W613" s="849">
        <v>0.0</v>
      </c>
      <c r="X613" s="849">
        <v>0.0</v>
      </c>
      <c r="Y613" s="849">
        <v>0.0</v>
      </c>
      <c r="Z613" s="849">
        <v>1.0</v>
      </c>
      <c r="AA613" s="849">
        <v>1.0</v>
      </c>
      <c r="AB613" s="849">
        <v>1.0</v>
      </c>
      <c r="AC613" s="849">
        <v>4.0</v>
      </c>
      <c r="AD613" s="849">
        <v>8.0</v>
      </c>
      <c r="AE613" s="849">
        <v>10.0</v>
      </c>
      <c r="AF613" s="849">
        <v>0.0</v>
      </c>
      <c r="AG613" s="849">
        <v>0.0</v>
      </c>
      <c r="AH613" s="849">
        <v>1.0</v>
      </c>
      <c r="AI613" s="849">
        <v>1.0</v>
      </c>
      <c r="AJ613" s="794" t="str">
        <f t="shared" ref="AJ613:AK613" si="1223">C613</f>
        <v>G40700</v>
      </c>
      <c r="AK613" s="794" t="str">
        <f t="shared" si="1223"/>
        <v>VENTES BOLT - EV</v>
      </c>
      <c r="AL613" s="794">
        <f t="array" ref="AL613">IFERROR(INDEX(G613:R613,1,MATCH(Parametres!$B$3,G$1:R$1,0)-1)*IF(OR(F613="L",F613="S",F613="I"),-1,1),"")</f>
        <v>-174813.7</v>
      </c>
      <c r="AM613" s="794">
        <f t="shared" si="4"/>
        <v>-178622</v>
      </c>
      <c r="AN613" s="794">
        <f t="array" ref="AN613">INDEX(G613:R613,1,MATCH(Parametres!$B$3,G$1:R$1,0))*IF(OR(F613="L",F613="S",F613="I"),-1,1)</f>
        <v>-353435.7</v>
      </c>
      <c r="AO613" s="853" t="str">
        <f>+VLOOKUP($AJ613,Data_Validation!$A:$D,1,0)</f>
        <v>G40700</v>
      </c>
      <c r="AP613" s="853" t="str">
        <f>+VLOOKUP($AJ613,Data_Validation!$A:$D,3,0)</f>
        <v>Véhicules neufs</v>
      </c>
      <c r="AQ613" s="853" t="str">
        <f>+VLOOKUP($AJ613,Data_Validation!$A:$D,4,0)</f>
        <v>Camions electriques</v>
      </c>
      <c r="AR613" s="853" t="s">
        <v>728</v>
      </c>
      <c r="AS613" s="853" t="str">
        <f>+VLOOKUP($AJ613,Data_Validation!$A:$E,5,0)</f>
        <v>Oui</v>
      </c>
      <c r="AT613" s="794" t="str">
        <f t="shared" ref="AT613:AU613" si="1224">C613</f>
        <v>G40700</v>
      </c>
      <c r="AU613" s="854" t="str">
        <f t="shared" si="1224"/>
        <v>VENTES BOLT - EV</v>
      </c>
      <c r="AV613" s="794">
        <f t="array" ref="AV613">IFERROR(INDEX(V613:AG613,1,MATCH(Parametres!$B$3,V$1:AG$1,0)-1)*IF(OR(C613="L",C613="S",C613="I"),-1,1),"")</f>
        <v>4</v>
      </c>
      <c r="AW613" s="794">
        <f t="shared" si="6"/>
        <v>4</v>
      </c>
      <c r="AX613" s="794">
        <f t="array" ref="AX613">INDEX(V613:AG613,1,MATCH(Parametres!$B$3,V$1:AG$1,0))*IF(OR(C613="L",C613="S",C613="I"),-1,1)</f>
        <v>8</v>
      </c>
      <c r="AY613" s="853" t="s">
        <v>772</v>
      </c>
      <c r="AZ613" s="853" t="str">
        <f>+VLOOKUP($AJ613,Data_Validation!$A:$E,5,0)</f>
        <v>Oui</v>
      </c>
    </row>
    <row r="614" ht="15.0" customHeight="1">
      <c r="A614" s="849" t="s">
        <v>1239</v>
      </c>
      <c r="B614" s="849">
        <v>2026.0</v>
      </c>
      <c r="C614" s="849" t="s">
        <v>2455</v>
      </c>
      <c r="D614" s="849" t="s">
        <v>2456</v>
      </c>
      <c r="E614" s="849" t="s">
        <v>2426</v>
      </c>
      <c r="F614" s="849" t="s">
        <v>2426</v>
      </c>
      <c r="G614" s="849">
        <v>0.0</v>
      </c>
      <c r="H614" s="849">
        <v>0.0</v>
      </c>
      <c r="I614" s="849">
        <v>0.0</v>
      </c>
      <c r="J614" s="849">
        <v>0.0</v>
      </c>
      <c r="K614" s="849">
        <v>0.0</v>
      </c>
      <c r="L614" s="849">
        <v>0.0</v>
      </c>
      <c r="M614" s="849">
        <v>0.0</v>
      </c>
      <c r="N614" s="849">
        <v>0.0</v>
      </c>
      <c r="O614" s="849">
        <v>0.0</v>
      </c>
      <c r="P614" s="849">
        <v>0.0</v>
      </c>
      <c r="Q614" s="849">
        <v>0.0</v>
      </c>
      <c r="R614" s="849">
        <v>0.0</v>
      </c>
      <c r="S614" s="849">
        <v>0.0</v>
      </c>
      <c r="T614" s="849">
        <v>0.0</v>
      </c>
      <c r="U614" s="849">
        <v>0.0</v>
      </c>
      <c r="V614" s="849">
        <v>0.0</v>
      </c>
      <c r="W614" s="849">
        <v>0.0</v>
      </c>
      <c r="X614" s="849">
        <v>0.0</v>
      </c>
      <c r="Y614" s="849">
        <v>0.0</v>
      </c>
      <c r="Z614" s="849">
        <v>0.0</v>
      </c>
      <c r="AA614" s="849">
        <v>0.0</v>
      </c>
      <c r="AB614" s="849">
        <v>0.0</v>
      </c>
      <c r="AC614" s="849">
        <v>0.0</v>
      </c>
      <c r="AD614" s="849">
        <v>0.0</v>
      </c>
      <c r="AE614" s="849">
        <v>0.0</v>
      </c>
      <c r="AF614" s="849">
        <v>0.0</v>
      </c>
      <c r="AG614" s="849">
        <v>0.0</v>
      </c>
      <c r="AH614" s="849">
        <v>0.0</v>
      </c>
      <c r="AI614" s="849">
        <v>0.0</v>
      </c>
      <c r="AJ614" s="794" t="str">
        <f t="shared" ref="AJ614:AK614" si="1225">C614</f>
        <v>G40720</v>
      </c>
      <c r="AK614" s="794" t="str">
        <f t="shared" si="1225"/>
        <v>VTES-OPTRA           -LOC</v>
      </c>
      <c r="AL614" s="794">
        <f t="array" ref="AL614">IFERROR(INDEX(G614:R614,1,MATCH(Parametres!$B$3,G$1:R$1,0)-1)*IF(OR(F614="L",F614="S",F614="I"),-1,1),"")</f>
        <v>0</v>
      </c>
      <c r="AM614" s="794">
        <f t="shared" si="4"/>
        <v>0</v>
      </c>
      <c r="AN614" s="794">
        <f t="array" ref="AN614">INDEX(G614:R614,1,MATCH(Parametres!$B$3,G$1:R$1,0))*IF(OR(F614="L",F614="S",F614="I"),-1,1)</f>
        <v>0</v>
      </c>
      <c r="AO614" s="853" t="str">
        <f>+VLOOKUP($AJ614,Data_Validation!$A:$D,1,0)</f>
        <v>#N/A</v>
      </c>
      <c r="AP614" s="853" t="str">
        <f>+VLOOKUP($AJ614,Data_Validation!$A:$D,3,0)</f>
        <v>#N/A</v>
      </c>
      <c r="AQ614" s="853" t="str">
        <f>+VLOOKUP($AJ614,Data_Validation!$A:$D,4,0)</f>
        <v>#N/A</v>
      </c>
      <c r="AR614" s="853" t="s">
        <v>728</v>
      </c>
      <c r="AS614" s="853" t="str">
        <f>+VLOOKUP($AJ614,Data_Validation!$A:$E,5,0)</f>
        <v>#N/A</v>
      </c>
      <c r="AT614" s="794" t="str">
        <f t="shared" ref="AT614:AU614" si="1226">C614</f>
        <v>G40720</v>
      </c>
      <c r="AU614" s="854" t="str">
        <f t="shared" si="1226"/>
        <v>VTES-OPTRA           -LOC</v>
      </c>
      <c r="AV614" s="794">
        <f t="array" ref="AV614">IFERROR(INDEX(V614:AG614,1,MATCH(Parametres!$B$3,V$1:AG$1,0)-1)*IF(OR(C614="L",C614="S",C614="I"),-1,1),"")</f>
        <v>0</v>
      </c>
      <c r="AW614" s="794">
        <f t="shared" si="6"/>
        <v>0</v>
      </c>
      <c r="AX614" s="794">
        <f t="array" ref="AX614">INDEX(V614:AG614,1,MATCH(Parametres!$B$3,V$1:AG$1,0))*IF(OR(C614="L",C614="S",C614="I"),-1,1)</f>
        <v>0</v>
      </c>
      <c r="AY614" s="853" t="s">
        <v>772</v>
      </c>
      <c r="AZ614" s="853" t="str">
        <f>+VLOOKUP($AJ614,Data_Validation!$A:$E,5,0)</f>
        <v>#N/A</v>
      </c>
    </row>
    <row r="615" ht="15.0" customHeight="1">
      <c r="A615" s="849" t="s">
        <v>1239</v>
      </c>
      <c r="B615" s="849">
        <v>2026.0</v>
      </c>
      <c r="C615" s="849" t="s">
        <v>2457</v>
      </c>
      <c r="D615" s="849" t="s">
        <v>2458</v>
      </c>
      <c r="E615" s="849" t="s">
        <v>2426</v>
      </c>
      <c r="F615" s="849" t="s">
        <v>2426</v>
      </c>
      <c r="G615" s="849">
        <v>0.0</v>
      </c>
      <c r="H615" s="849">
        <v>0.0</v>
      </c>
      <c r="I615" s="849">
        <v>0.0</v>
      </c>
      <c r="J615" s="849">
        <v>0.0</v>
      </c>
      <c r="K615" s="849">
        <v>0.0</v>
      </c>
      <c r="L615" s="849">
        <v>0.0</v>
      </c>
      <c r="M615" s="849">
        <v>0.0</v>
      </c>
      <c r="N615" s="849">
        <v>0.0</v>
      </c>
      <c r="O615" s="849">
        <v>0.0</v>
      </c>
      <c r="P615" s="849">
        <v>0.0</v>
      </c>
      <c r="Q615" s="849">
        <v>0.0</v>
      </c>
      <c r="R615" s="849">
        <v>0.0</v>
      </c>
      <c r="S615" s="849">
        <v>0.0</v>
      </c>
      <c r="T615" s="849">
        <v>0.0</v>
      </c>
      <c r="U615" s="849">
        <v>0.0</v>
      </c>
      <c r="V615" s="849">
        <v>0.0</v>
      </c>
      <c r="W615" s="849">
        <v>0.0</v>
      </c>
      <c r="X615" s="849">
        <v>0.0</v>
      </c>
      <c r="Y615" s="849">
        <v>0.0</v>
      </c>
      <c r="Z615" s="849">
        <v>0.0</v>
      </c>
      <c r="AA615" s="849">
        <v>0.0</v>
      </c>
      <c r="AB615" s="849">
        <v>0.0</v>
      </c>
      <c r="AC615" s="849">
        <v>0.0</v>
      </c>
      <c r="AD615" s="849">
        <v>0.0</v>
      </c>
      <c r="AE615" s="849">
        <v>0.0</v>
      </c>
      <c r="AF615" s="849">
        <v>0.0</v>
      </c>
      <c r="AG615" s="849">
        <v>0.0</v>
      </c>
      <c r="AH615" s="849">
        <v>0.0</v>
      </c>
      <c r="AI615" s="849">
        <v>0.0</v>
      </c>
      <c r="AJ615" s="794" t="str">
        <f t="shared" ref="AJ615:AK615" si="1227">C615</f>
        <v>G40800</v>
      </c>
      <c r="AK615" s="794" t="str">
        <f t="shared" si="1227"/>
        <v>VTES-EPICA</v>
      </c>
      <c r="AL615" s="794">
        <f t="array" ref="AL615">IFERROR(INDEX(G615:R615,1,MATCH(Parametres!$B$3,G$1:R$1,0)-1)*IF(OR(F615="L",F615="S",F615="I"),-1,1),"")</f>
        <v>0</v>
      </c>
      <c r="AM615" s="794">
        <f t="shared" si="4"/>
        <v>0</v>
      </c>
      <c r="AN615" s="794">
        <f t="array" ref="AN615">INDEX(G615:R615,1,MATCH(Parametres!$B$3,G$1:R$1,0))*IF(OR(F615="L",F615="S",F615="I"),-1,1)</f>
        <v>0</v>
      </c>
      <c r="AO615" s="853" t="str">
        <f>+VLOOKUP($AJ615,Data_Validation!$A:$D,1,0)</f>
        <v>#N/A</v>
      </c>
      <c r="AP615" s="853" t="str">
        <f>+VLOOKUP($AJ615,Data_Validation!$A:$D,3,0)</f>
        <v>#N/A</v>
      </c>
      <c r="AQ615" s="853" t="str">
        <f>+VLOOKUP($AJ615,Data_Validation!$A:$D,4,0)</f>
        <v>#N/A</v>
      </c>
      <c r="AR615" s="853" t="s">
        <v>728</v>
      </c>
      <c r="AS615" s="853" t="str">
        <f>+VLOOKUP($AJ615,Data_Validation!$A:$E,5,0)</f>
        <v>#N/A</v>
      </c>
      <c r="AT615" s="794" t="str">
        <f t="shared" ref="AT615:AU615" si="1228">C615</f>
        <v>G40800</v>
      </c>
      <c r="AU615" s="854" t="str">
        <f t="shared" si="1228"/>
        <v>VTES-EPICA</v>
      </c>
      <c r="AV615" s="794">
        <f t="array" ref="AV615">IFERROR(INDEX(V615:AG615,1,MATCH(Parametres!$B$3,V$1:AG$1,0)-1)*IF(OR(C615="L",C615="S",C615="I"),-1,1),"")</f>
        <v>0</v>
      </c>
      <c r="AW615" s="794">
        <f t="shared" si="6"/>
        <v>0</v>
      </c>
      <c r="AX615" s="794">
        <f t="array" ref="AX615">INDEX(V615:AG615,1,MATCH(Parametres!$B$3,V$1:AG$1,0))*IF(OR(C615="L",C615="S",C615="I"),-1,1)</f>
        <v>0</v>
      </c>
      <c r="AY615" s="853" t="s">
        <v>772</v>
      </c>
      <c r="AZ615" s="853" t="str">
        <f>+VLOOKUP($AJ615,Data_Validation!$A:$E,5,0)</f>
        <v>#N/A</v>
      </c>
    </row>
    <row r="616" ht="15.0" customHeight="1">
      <c r="A616" s="849" t="s">
        <v>1239</v>
      </c>
      <c r="B616" s="849">
        <v>2026.0</v>
      </c>
      <c r="C616" s="849" t="s">
        <v>2459</v>
      </c>
      <c r="D616" s="849" t="s">
        <v>2460</v>
      </c>
      <c r="E616" s="849" t="s">
        <v>2426</v>
      </c>
      <c r="F616" s="849" t="s">
        <v>2426</v>
      </c>
      <c r="G616" s="849">
        <v>0.0</v>
      </c>
      <c r="H616" s="849">
        <v>0.0</v>
      </c>
      <c r="I616" s="849">
        <v>0.0</v>
      </c>
      <c r="J616" s="849">
        <v>0.0</v>
      </c>
      <c r="K616" s="849">
        <v>0.0</v>
      </c>
      <c r="L616" s="849">
        <v>0.0</v>
      </c>
      <c r="M616" s="849">
        <v>0.0</v>
      </c>
      <c r="N616" s="849">
        <v>0.0</v>
      </c>
      <c r="O616" s="849">
        <v>0.0</v>
      </c>
      <c r="P616" s="849">
        <v>0.0</v>
      </c>
      <c r="Q616" s="849">
        <v>0.0</v>
      </c>
      <c r="R616" s="849">
        <v>0.0</v>
      </c>
      <c r="S616" s="849">
        <v>0.0</v>
      </c>
      <c r="T616" s="849">
        <v>0.0</v>
      </c>
      <c r="U616" s="849">
        <v>0.0</v>
      </c>
      <c r="V616" s="849">
        <v>0.0</v>
      </c>
      <c r="W616" s="849">
        <v>0.0</v>
      </c>
      <c r="X616" s="849">
        <v>0.0</v>
      </c>
      <c r="Y616" s="849">
        <v>0.0</v>
      </c>
      <c r="Z616" s="849">
        <v>0.0</v>
      </c>
      <c r="AA616" s="849">
        <v>0.0</v>
      </c>
      <c r="AB616" s="849">
        <v>0.0</v>
      </c>
      <c r="AC616" s="849">
        <v>0.0</v>
      </c>
      <c r="AD616" s="849">
        <v>0.0</v>
      </c>
      <c r="AE616" s="849">
        <v>0.0</v>
      </c>
      <c r="AF616" s="849">
        <v>0.0</v>
      </c>
      <c r="AG616" s="849">
        <v>0.0</v>
      </c>
      <c r="AH616" s="849">
        <v>0.0</v>
      </c>
      <c r="AI616" s="849">
        <v>0.0</v>
      </c>
      <c r="AJ616" s="794" t="str">
        <f t="shared" ref="AJ616:AK616" si="1229">C616</f>
        <v>G40820</v>
      </c>
      <c r="AK616" s="794" t="str">
        <f t="shared" si="1229"/>
        <v>VTES-EPICA           -LOC</v>
      </c>
      <c r="AL616" s="794">
        <f t="array" ref="AL616">IFERROR(INDEX(G616:R616,1,MATCH(Parametres!$B$3,G$1:R$1,0)-1)*IF(OR(F616="L",F616="S",F616="I"),-1,1),"")</f>
        <v>0</v>
      </c>
      <c r="AM616" s="794">
        <f t="shared" si="4"/>
        <v>0</v>
      </c>
      <c r="AN616" s="794">
        <f t="array" ref="AN616">INDEX(G616:R616,1,MATCH(Parametres!$B$3,G$1:R$1,0))*IF(OR(F616="L",F616="S",F616="I"),-1,1)</f>
        <v>0</v>
      </c>
      <c r="AO616" s="853" t="str">
        <f>+VLOOKUP($AJ616,Data_Validation!$A:$D,1,0)</f>
        <v>#N/A</v>
      </c>
      <c r="AP616" s="853" t="str">
        <f>+VLOOKUP($AJ616,Data_Validation!$A:$D,3,0)</f>
        <v>#N/A</v>
      </c>
      <c r="AQ616" s="853" t="str">
        <f>+VLOOKUP($AJ616,Data_Validation!$A:$D,4,0)</f>
        <v>#N/A</v>
      </c>
      <c r="AR616" s="853" t="s">
        <v>728</v>
      </c>
      <c r="AS616" s="853" t="str">
        <f>+VLOOKUP($AJ616,Data_Validation!$A:$E,5,0)</f>
        <v>#N/A</v>
      </c>
      <c r="AT616" s="794" t="str">
        <f t="shared" ref="AT616:AU616" si="1230">C616</f>
        <v>G40820</v>
      </c>
      <c r="AU616" s="854" t="str">
        <f t="shared" si="1230"/>
        <v>VTES-EPICA           -LOC</v>
      </c>
      <c r="AV616" s="794">
        <f t="array" ref="AV616">IFERROR(INDEX(V616:AG616,1,MATCH(Parametres!$B$3,V$1:AG$1,0)-1)*IF(OR(C616="L",C616="S",C616="I"),-1,1),"")</f>
        <v>0</v>
      </c>
      <c r="AW616" s="794">
        <f t="shared" si="6"/>
        <v>0</v>
      </c>
      <c r="AX616" s="794">
        <f t="array" ref="AX616">INDEX(V616:AG616,1,MATCH(Parametres!$B$3,V$1:AG$1,0))*IF(OR(C616="L",C616="S",C616="I"),-1,1)</f>
        <v>0</v>
      </c>
      <c r="AY616" s="853" t="s">
        <v>772</v>
      </c>
      <c r="AZ616" s="853" t="str">
        <f>+VLOOKUP($AJ616,Data_Validation!$A:$E,5,0)</f>
        <v>#N/A</v>
      </c>
    </row>
    <row r="617" ht="15.0" customHeight="1">
      <c r="A617" s="849" t="s">
        <v>1239</v>
      </c>
      <c r="B617" s="849">
        <v>2026.0</v>
      </c>
      <c r="C617" s="849" t="s">
        <v>2461</v>
      </c>
      <c r="D617" s="849" t="s">
        <v>2462</v>
      </c>
      <c r="E617" s="849" t="s">
        <v>2426</v>
      </c>
      <c r="F617" s="849" t="s">
        <v>2426</v>
      </c>
      <c r="G617" s="849">
        <v>0.0</v>
      </c>
      <c r="H617" s="849">
        <v>0.0</v>
      </c>
      <c r="I617" s="849">
        <v>0.0</v>
      </c>
      <c r="J617" s="849">
        <v>0.0</v>
      </c>
      <c r="K617" s="849">
        <v>0.0</v>
      </c>
      <c r="L617" s="849">
        <v>0.0</v>
      </c>
      <c r="M617" s="849">
        <v>0.0</v>
      </c>
      <c r="N617" s="849">
        <v>0.0</v>
      </c>
      <c r="O617" s="849">
        <v>0.0</v>
      </c>
      <c r="P617" s="849">
        <v>0.0</v>
      </c>
      <c r="Q617" s="849">
        <v>0.0</v>
      </c>
      <c r="R617" s="849">
        <v>0.0</v>
      </c>
      <c r="S617" s="849">
        <v>0.0</v>
      </c>
      <c r="T617" s="849">
        <v>0.0</v>
      </c>
      <c r="U617" s="849">
        <v>0.0</v>
      </c>
      <c r="V617" s="849">
        <v>0.0</v>
      </c>
      <c r="W617" s="849">
        <v>0.0</v>
      </c>
      <c r="X617" s="849">
        <v>0.0</v>
      </c>
      <c r="Y617" s="849">
        <v>0.0</v>
      </c>
      <c r="Z617" s="849">
        <v>0.0</v>
      </c>
      <c r="AA617" s="849">
        <v>0.0</v>
      </c>
      <c r="AB617" s="849">
        <v>0.0</v>
      </c>
      <c r="AC617" s="849">
        <v>0.0</v>
      </c>
      <c r="AD617" s="849">
        <v>0.0</v>
      </c>
      <c r="AE617" s="849">
        <v>0.0</v>
      </c>
      <c r="AF617" s="849">
        <v>0.0</v>
      </c>
      <c r="AG617" s="849">
        <v>0.0</v>
      </c>
      <c r="AH617" s="849">
        <v>0.0</v>
      </c>
      <c r="AI617" s="849">
        <v>0.0</v>
      </c>
      <c r="AJ617" s="794" t="str">
        <f t="shared" ref="AJ617:AK617" si="1231">C617</f>
        <v>G40900</v>
      </c>
      <c r="AK617" s="794" t="str">
        <f t="shared" si="1231"/>
        <v>VTES-COBALT</v>
      </c>
      <c r="AL617" s="794">
        <f t="array" ref="AL617">IFERROR(INDEX(G617:R617,1,MATCH(Parametres!$B$3,G$1:R$1,0)-1)*IF(OR(F617="L",F617="S",F617="I"),-1,1),"")</f>
        <v>0</v>
      </c>
      <c r="AM617" s="794">
        <f t="shared" si="4"/>
        <v>0</v>
      </c>
      <c r="AN617" s="794">
        <f t="array" ref="AN617">INDEX(G617:R617,1,MATCH(Parametres!$B$3,G$1:R$1,0))*IF(OR(F617="L",F617="S",F617="I"),-1,1)</f>
        <v>0</v>
      </c>
      <c r="AO617" s="853" t="str">
        <f>+VLOOKUP($AJ617,Data_Validation!$A:$D,1,0)</f>
        <v>G40900</v>
      </c>
      <c r="AP617" s="853" t="str">
        <f>+VLOOKUP($AJ617,Data_Validation!$A:$D,3,0)</f>
        <v>Véhicules neufs</v>
      </c>
      <c r="AQ617" s="853" t="str">
        <f>+VLOOKUP($AJ617,Data_Validation!$A:$D,4,0)</f>
        <v>Autos détail</v>
      </c>
      <c r="AR617" s="853" t="s">
        <v>728</v>
      </c>
      <c r="AS617" s="853" t="str">
        <f>+VLOOKUP($AJ617,Data_Validation!$A:$E,5,0)</f>
        <v>Oui</v>
      </c>
      <c r="AT617" s="794" t="str">
        <f t="shared" ref="AT617:AU617" si="1232">C617</f>
        <v>G40900</v>
      </c>
      <c r="AU617" s="854" t="str">
        <f t="shared" si="1232"/>
        <v>VTES-COBALT</v>
      </c>
      <c r="AV617" s="794">
        <f t="array" ref="AV617">IFERROR(INDEX(V617:AG617,1,MATCH(Parametres!$B$3,V$1:AG$1,0)-1)*IF(OR(C617="L",C617="S",C617="I"),-1,1),"")</f>
        <v>0</v>
      </c>
      <c r="AW617" s="794">
        <f t="shared" si="6"/>
        <v>0</v>
      </c>
      <c r="AX617" s="794">
        <f t="array" ref="AX617">INDEX(V617:AG617,1,MATCH(Parametres!$B$3,V$1:AG$1,0))*IF(OR(C617="L",C617="S",C617="I"),-1,1)</f>
        <v>0</v>
      </c>
      <c r="AY617" s="853" t="s">
        <v>772</v>
      </c>
      <c r="AZ617" s="853" t="str">
        <f>+VLOOKUP($AJ617,Data_Validation!$A:$E,5,0)</f>
        <v>Oui</v>
      </c>
    </row>
    <row r="618" ht="15.0" customHeight="1">
      <c r="A618" s="849" t="s">
        <v>1239</v>
      </c>
      <c r="B618" s="849">
        <v>2026.0</v>
      </c>
      <c r="C618" s="849" t="s">
        <v>2463</v>
      </c>
      <c r="D618" s="849" t="s">
        <v>2464</v>
      </c>
      <c r="E618" s="849" t="s">
        <v>2426</v>
      </c>
      <c r="F618" s="849" t="s">
        <v>2426</v>
      </c>
      <c r="G618" s="849">
        <v>0.0</v>
      </c>
      <c r="H618" s="849">
        <v>0.0</v>
      </c>
      <c r="I618" s="849">
        <v>0.0</v>
      </c>
      <c r="J618" s="849">
        <v>0.0</v>
      </c>
      <c r="K618" s="849">
        <v>0.0</v>
      </c>
      <c r="L618" s="849">
        <v>0.0</v>
      </c>
      <c r="M618" s="849">
        <v>0.0</v>
      </c>
      <c r="N618" s="849">
        <v>0.0</v>
      </c>
      <c r="O618" s="849">
        <v>0.0</v>
      </c>
      <c r="P618" s="849">
        <v>0.0</v>
      </c>
      <c r="Q618" s="849">
        <v>0.0</v>
      </c>
      <c r="R618" s="849">
        <v>0.0</v>
      </c>
      <c r="S618" s="849">
        <v>0.0</v>
      </c>
      <c r="T618" s="849">
        <v>0.0</v>
      </c>
      <c r="U618" s="849">
        <v>0.0</v>
      </c>
      <c r="V618" s="849">
        <v>0.0</v>
      </c>
      <c r="W618" s="849">
        <v>0.0</v>
      </c>
      <c r="X618" s="849">
        <v>0.0</v>
      </c>
      <c r="Y618" s="849">
        <v>0.0</v>
      </c>
      <c r="Z618" s="849">
        <v>0.0</v>
      </c>
      <c r="AA618" s="849">
        <v>0.0</v>
      </c>
      <c r="AB618" s="849">
        <v>0.0</v>
      </c>
      <c r="AC618" s="849">
        <v>0.0</v>
      </c>
      <c r="AD618" s="849">
        <v>0.0</v>
      </c>
      <c r="AE618" s="849">
        <v>0.0</v>
      </c>
      <c r="AF618" s="849">
        <v>0.0</v>
      </c>
      <c r="AG618" s="849">
        <v>0.0</v>
      </c>
      <c r="AH618" s="849">
        <v>0.0</v>
      </c>
      <c r="AI618" s="849">
        <v>0.0</v>
      </c>
      <c r="AJ618" s="794" t="str">
        <f t="shared" ref="AJ618:AK618" si="1233">C618</f>
        <v>G40920</v>
      </c>
      <c r="AK618" s="794" t="str">
        <f t="shared" si="1233"/>
        <v>VTES-COBALT          -LOC</v>
      </c>
      <c r="AL618" s="794">
        <f t="array" ref="AL618">IFERROR(INDEX(G618:R618,1,MATCH(Parametres!$B$3,G$1:R$1,0)-1)*IF(OR(F618="L",F618="S",F618="I"),-1,1),"")</f>
        <v>0</v>
      </c>
      <c r="AM618" s="794">
        <f t="shared" si="4"/>
        <v>0</v>
      </c>
      <c r="AN618" s="794">
        <f t="array" ref="AN618">INDEX(G618:R618,1,MATCH(Parametres!$B$3,G$1:R$1,0))*IF(OR(F618="L",F618="S",F618="I"),-1,1)</f>
        <v>0</v>
      </c>
      <c r="AO618" s="853" t="str">
        <f>+VLOOKUP($AJ618,Data_Validation!$A:$D,1,0)</f>
        <v>#N/A</v>
      </c>
      <c r="AP618" s="853" t="str">
        <f>+VLOOKUP($AJ618,Data_Validation!$A:$D,3,0)</f>
        <v>#N/A</v>
      </c>
      <c r="AQ618" s="853" t="str">
        <f>+VLOOKUP($AJ618,Data_Validation!$A:$D,4,0)</f>
        <v>#N/A</v>
      </c>
      <c r="AR618" s="853" t="s">
        <v>728</v>
      </c>
      <c r="AS618" s="853" t="str">
        <f>+VLOOKUP($AJ618,Data_Validation!$A:$E,5,0)</f>
        <v>#N/A</v>
      </c>
      <c r="AT618" s="794" t="str">
        <f t="shared" ref="AT618:AU618" si="1234">C618</f>
        <v>G40920</v>
      </c>
      <c r="AU618" s="854" t="str">
        <f t="shared" si="1234"/>
        <v>VTES-COBALT          -LOC</v>
      </c>
      <c r="AV618" s="794">
        <f t="array" ref="AV618">IFERROR(INDEX(V618:AG618,1,MATCH(Parametres!$B$3,V$1:AG$1,0)-1)*IF(OR(C618="L",C618="S",C618="I"),-1,1),"")</f>
        <v>0</v>
      </c>
      <c r="AW618" s="794">
        <f t="shared" si="6"/>
        <v>0</v>
      </c>
      <c r="AX618" s="794">
        <f t="array" ref="AX618">INDEX(V618:AG618,1,MATCH(Parametres!$B$3,V$1:AG$1,0))*IF(OR(C618="L",C618="S",C618="I"),-1,1)</f>
        <v>0</v>
      </c>
      <c r="AY618" s="853" t="s">
        <v>772</v>
      </c>
      <c r="AZ618" s="853" t="str">
        <f>+VLOOKUP($AJ618,Data_Validation!$A:$E,5,0)</f>
        <v>#N/A</v>
      </c>
    </row>
    <row r="619" ht="15.0" customHeight="1">
      <c r="A619" s="849" t="s">
        <v>1239</v>
      </c>
      <c r="B619" s="849">
        <v>2026.0</v>
      </c>
      <c r="C619" s="849" t="s">
        <v>2465</v>
      </c>
      <c r="D619" s="849" t="s">
        <v>2466</v>
      </c>
      <c r="E619" s="849" t="s">
        <v>2426</v>
      </c>
      <c r="F619" s="849" t="s">
        <v>2426</v>
      </c>
      <c r="G619" s="849">
        <v>0.0</v>
      </c>
      <c r="H619" s="849">
        <v>0.0</v>
      </c>
      <c r="I619" s="849">
        <v>0.0</v>
      </c>
      <c r="J619" s="849">
        <v>0.0</v>
      </c>
      <c r="K619" s="849">
        <v>0.0</v>
      </c>
      <c r="L619" s="849">
        <v>0.0</v>
      </c>
      <c r="M619" s="849">
        <v>0.0</v>
      </c>
      <c r="N619" s="849">
        <v>0.0</v>
      </c>
      <c r="O619" s="849">
        <v>0.0</v>
      </c>
      <c r="P619" s="849">
        <v>0.0</v>
      </c>
      <c r="Q619" s="849">
        <v>0.0</v>
      </c>
      <c r="R619" s="849">
        <v>0.0</v>
      </c>
      <c r="S619" s="849">
        <v>0.0</v>
      </c>
      <c r="T619" s="849">
        <v>0.0</v>
      </c>
      <c r="U619" s="849">
        <v>0.0</v>
      </c>
      <c r="V619" s="849">
        <v>0.0</v>
      </c>
      <c r="W619" s="849">
        <v>0.0</v>
      </c>
      <c r="X619" s="849">
        <v>0.0</v>
      </c>
      <c r="Y619" s="849">
        <v>0.0</v>
      </c>
      <c r="Z619" s="849">
        <v>0.0</v>
      </c>
      <c r="AA619" s="849">
        <v>0.0</v>
      </c>
      <c r="AB619" s="849">
        <v>0.0</v>
      </c>
      <c r="AC619" s="849">
        <v>0.0</v>
      </c>
      <c r="AD619" s="849">
        <v>0.0</v>
      </c>
      <c r="AE619" s="849">
        <v>0.0</v>
      </c>
      <c r="AF619" s="849">
        <v>0.0</v>
      </c>
      <c r="AG619" s="849">
        <v>0.0</v>
      </c>
      <c r="AH619" s="849">
        <v>0.0</v>
      </c>
      <c r="AI619" s="849">
        <v>0.0</v>
      </c>
      <c r="AJ619" s="794" t="str">
        <f t="shared" ref="AJ619:AK619" si="1235">C619</f>
        <v>G41000</v>
      </c>
      <c r="AK619" s="794" t="str">
        <f t="shared" si="1235"/>
        <v>VENTES CAMARO</v>
      </c>
      <c r="AL619" s="794">
        <f t="array" ref="AL619">IFERROR(INDEX(G619:R619,1,MATCH(Parametres!$B$3,G$1:R$1,0)-1)*IF(OR(F619="L",F619="S",F619="I"),-1,1),"")</f>
        <v>0</v>
      </c>
      <c r="AM619" s="794">
        <f t="shared" si="4"/>
        <v>0</v>
      </c>
      <c r="AN619" s="794">
        <f t="array" ref="AN619">INDEX(G619:R619,1,MATCH(Parametres!$B$3,G$1:R$1,0))*IF(OR(F619="L",F619="S",F619="I"),-1,1)</f>
        <v>0</v>
      </c>
      <c r="AO619" s="853" t="str">
        <f>+VLOOKUP($AJ619,Data_Validation!$A:$D,1,0)</f>
        <v>G41000</v>
      </c>
      <c r="AP619" s="853" t="str">
        <f>+VLOOKUP($AJ619,Data_Validation!$A:$D,3,0)</f>
        <v>Véhicules neufs</v>
      </c>
      <c r="AQ619" s="853" t="str">
        <f>+VLOOKUP($AJ619,Data_Validation!$A:$D,4,0)</f>
        <v>Autos détail</v>
      </c>
      <c r="AR619" s="853" t="s">
        <v>728</v>
      </c>
      <c r="AS619" s="853" t="str">
        <f>+VLOOKUP($AJ619,Data_Validation!$A:$E,5,0)</f>
        <v>Oui</v>
      </c>
      <c r="AT619" s="794" t="str">
        <f t="shared" ref="AT619:AU619" si="1236">C619</f>
        <v>G41000</v>
      </c>
      <c r="AU619" s="854" t="str">
        <f t="shared" si="1236"/>
        <v>VENTES CAMARO</v>
      </c>
      <c r="AV619" s="794">
        <f t="array" ref="AV619">IFERROR(INDEX(V619:AG619,1,MATCH(Parametres!$B$3,V$1:AG$1,0)-1)*IF(OR(C619="L",C619="S",C619="I"),-1,1),"")</f>
        <v>0</v>
      </c>
      <c r="AW619" s="794">
        <f t="shared" si="6"/>
        <v>0</v>
      </c>
      <c r="AX619" s="794">
        <f t="array" ref="AX619">INDEX(V619:AG619,1,MATCH(Parametres!$B$3,V$1:AG$1,0))*IF(OR(C619="L",C619="S",C619="I"),-1,1)</f>
        <v>0</v>
      </c>
      <c r="AY619" s="853" t="s">
        <v>772</v>
      </c>
      <c r="AZ619" s="853" t="str">
        <f>+VLOOKUP($AJ619,Data_Validation!$A:$E,5,0)</f>
        <v>Oui</v>
      </c>
    </row>
    <row r="620" ht="15.0" customHeight="1">
      <c r="A620" s="849" t="s">
        <v>1239</v>
      </c>
      <c r="B620" s="849">
        <v>2026.0</v>
      </c>
      <c r="C620" s="849" t="s">
        <v>2467</v>
      </c>
      <c r="D620" s="849" t="s">
        <v>2468</v>
      </c>
      <c r="E620" s="849" t="s">
        <v>2426</v>
      </c>
      <c r="F620" s="849" t="s">
        <v>2426</v>
      </c>
      <c r="G620" s="849">
        <v>0.0</v>
      </c>
      <c r="H620" s="849">
        <v>0.0</v>
      </c>
      <c r="I620" s="849">
        <v>0.0</v>
      </c>
      <c r="J620" s="849">
        <v>0.0</v>
      </c>
      <c r="K620" s="849">
        <v>0.0</v>
      </c>
      <c r="L620" s="849">
        <v>0.0</v>
      </c>
      <c r="M620" s="849">
        <v>0.0</v>
      </c>
      <c r="N620" s="849">
        <v>0.0</v>
      </c>
      <c r="O620" s="849">
        <v>0.0</v>
      </c>
      <c r="P620" s="849">
        <v>0.0</v>
      </c>
      <c r="Q620" s="849">
        <v>0.0</v>
      </c>
      <c r="R620" s="849">
        <v>0.0</v>
      </c>
      <c r="S620" s="849">
        <v>0.0</v>
      </c>
      <c r="T620" s="849">
        <v>0.0</v>
      </c>
      <c r="U620" s="849">
        <v>0.0</v>
      </c>
      <c r="V620" s="849">
        <v>0.0</v>
      </c>
      <c r="W620" s="849">
        <v>0.0</v>
      </c>
      <c r="X620" s="849">
        <v>0.0</v>
      </c>
      <c r="Y620" s="849">
        <v>0.0</v>
      </c>
      <c r="Z620" s="849">
        <v>0.0</v>
      </c>
      <c r="AA620" s="849">
        <v>0.0</v>
      </c>
      <c r="AB620" s="849">
        <v>0.0</v>
      </c>
      <c r="AC620" s="849">
        <v>0.0</v>
      </c>
      <c r="AD620" s="849">
        <v>0.0</v>
      </c>
      <c r="AE620" s="849">
        <v>0.0</v>
      </c>
      <c r="AF620" s="849">
        <v>0.0</v>
      </c>
      <c r="AG620" s="849">
        <v>0.0</v>
      </c>
      <c r="AH620" s="849">
        <v>0.0</v>
      </c>
      <c r="AI620" s="849">
        <v>0.0</v>
      </c>
      <c r="AJ620" s="794" t="str">
        <f t="shared" ref="AJ620:AK620" si="1237">C620</f>
        <v>G41100</v>
      </c>
      <c r="AK620" s="794" t="str">
        <f t="shared" si="1237"/>
        <v>VENTES CRUZE</v>
      </c>
      <c r="AL620" s="794">
        <f t="array" ref="AL620">IFERROR(INDEX(G620:R620,1,MATCH(Parametres!$B$3,G$1:R$1,0)-1)*IF(OR(F620="L",F620="S",F620="I"),-1,1),"")</f>
        <v>0</v>
      </c>
      <c r="AM620" s="794">
        <f t="shared" si="4"/>
        <v>0</v>
      </c>
      <c r="AN620" s="794">
        <f t="array" ref="AN620">INDEX(G620:R620,1,MATCH(Parametres!$B$3,G$1:R$1,0))*IF(OR(F620="L",F620="S",F620="I"),-1,1)</f>
        <v>0</v>
      </c>
      <c r="AO620" s="853" t="str">
        <f>+VLOOKUP($AJ620,Data_Validation!$A:$D,1,0)</f>
        <v>G41100</v>
      </c>
      <c r="AP620" s="853" t="str">
        <f>+VLOOKUP($AJ620,Data_Validation!$A:$D,3,0)</f>
        <v>Véhicules neufs</v>
      </c>
      <c r="AQ620" s="853" t="str">
        <f>+VLOOKUP($AJ620,Data_Validation!$A:$D,4,0)</f>
        <v>Autos détail</v>
      </c>
      <c r="AR620" s="853" t="s">
        <v>728</v>
      </c>
      <c r="AS620" s="853" t="str">
        <f>+VLOOKUP($AJ620,Data_Validation!$A:$E,5,0)</f>
        <v>Oui</v>
      </c>
      <c r="AT620" s="794" t="str">
        <f t="shared" ref="AT620:AU620" si="1238">C620</f>
        <v>G41100</v>
      </c>
      <c r="AU620" s="854" t="str">
        <f t="shared" si="1238"/>
        <v>VENTES CRUZE</v>
      </c>
      <c r="AV620" s="794">
        <f t="array" ref="AV620">IFERROR(INDEX(V620:AG620,1,MATCH(Parametres!$B$3,V$1:AG$1,0)-1)*IF(OR(C620="L",C620="S",C620="I"),-1,1),"")</f>
        <v>0</v>
      </c>
      <c r="AW620" s="794">
        <f t="shared" si="6"/>
        <v>0</v>
      </c>
      <c r="AX620" s="794">
        <f t="array" ref="AX620">INDEX(V620:AG620,1,MATCH(Parametres!$B$3,V$1:AG$1,0))*IF(OR(C620="L",C620="S",C620="I"),-1,1)</f>
        <v>0</v>
      </c>
      <c r="AY620" s="853" t="s">
        <v>772</v>
      </c>
      <c r="AZ620" s="853" t="str">
        <f>+VLOOKUP($AJ620,Data_Validation!$A:$E,5,0)</f>
        <v>Oui</v>
      </c>
    </row>
    <row r="621" ht="15.0" customHeight="1">
      <c r="A621" s="849" t="s">
        <v>1239</v>
      </c>
      <c r="B621" s="849">
        <v>2026.0</v>
      </c>
      <c r="C621" s="849" t="s">
        <v>2469</v>
      </c>
      <c r="D621" s="849" t="s">
        <v>2470</v>
      </c>
      <c r="E621" s="849" t="s">
        <v>768</v>
      </c>
      <c r="F621" s="849" t="s">
        <v>2426</v>
      </c>
      <c r="G621" s="849">
        <v>0.0</v>
      </c>
      <c r="H621" s="849">
        <v>0.0</v>
      </c>
      <c r="I621" s="849">
        <v>0.0</v>
      </c>
      <c r="J621" s="849">
        <v>0.0</v>
      </c>
      <c r="K621" s="849">
        <v>0.0</v>
      </c>
      <c r="L621" s="849">
        <v>0.0</v>
      </c>
      <c r="M621" s="849">
        <v>0.0</v>
      </c>
      <c r="N621" s="849">
        <v>0.0</v>
      </c>
      <c r="O621" s="849">
        <v>0.0</v>
      </c>
      <c r="P621" s="849">
        <v>0.0</v>
      </c>
      <c r="Q621" s="849">
        <v>0.0</v>
      </c>
      <c r="R621" s="849">
        <v>0.0</v>
      </c>
      <c r="S621" s="849">
        <v>0.0</v>
      </c>
      <c r="T621" s="849">
        <v>0.0</v>
      </c>
      <c r="U621" s="849">
        <v>0.0</v>
      </c>
      <c r="V621" s="849">
        <v>0.0</v>
      </c>
      <c r="W621" s="849">
        <v>0.0</v>
      </c>
      <c r="X621" s="849">
        <v>0.0</v>
      </c>
      <c r="Y621" s="849">
        <v>0.0</v>
      </c>
      <c r="Z621" s="849">
        <v>0.0</v>
      </c>
      <c r="AA621" s="849">
        <v>0.0</v>
      </c>
      <c r="AB621" s="849">
        <v>0.0</v>
      </c>
      <c r="AC621" s="849">
        <v>0.0</v>
      </c>
      <c r="AD621" s="849">
        <v>0.0</v>
      </c>
      <c r="AE621" s="849">
        <v>0.0</v>
      </c>
      <c r="AF621" s="849">
        <v>0.0</v>
      </c>
      <c r="AG621" s="849">
        <v>0.0</v>
      </c>
      <c r="AH621" s="849">
        <v>0.0</v>
      </c>
      <c r="AI621" s="849">
        <v>0.0</v>
      </c>
      <c r="AJ621" s="794" t="str">
        <f t="shared" ref="AJ621:AK621" si="1239">C621</f>
        <v>G41600</v>
      </c>
      <c r="AK621" s="794" t="str">
        <f t="shared" si="1239"/>
        <v>*PROGRAMME GENERAL MOTORS</v>
      </c>
      <c r="AL621" s="794">
        <f t="array" ref="AL621">IFERROR(INDEX(G621:R621,1,MATCH(Parametres!$B$3,G$1:R$1,0)-1)*IF(OR(F621="L",F621="S",F621="I"),-1,1),"")</f>
        <v>0</v>
      </c>
      <c r="AM621" s="794">
        <f t="shared" si="4"/>
        <v>0</v>
      </c>
      <c r="AN621" s="794">
        <f t="array" ref="AN621">INDEX(G621:R621,1,MATCH(Parametres!$B$3,G$1:R$1,0))*IF(OR(F621="L",F621="S",F621="I"),-1,1)</f>
        <v>0</v>
      </c>
      <c r="AO621" s="853" t="str">
        <f>+VLOOKUP($AJ621,Data_Validation!$A:$D,1,0)</f>
        <v>G41600</v>
      </c>
      <c r="AP621" s="853" t="str">
        <f>+VLOOKUP($AJ621,Data_Validation!$A:$D,3,0)</f>
        <v/>
      </c>
      <c r="AQ621" s="853" t="str">
        <f>+VLOOKUP($AJ621,Data_Validation!$A:$D,4,0)</f>
        <v/>
      </c>
      <c r="AR621" s="853" t="s">
        <v>728</v>
      </c>
      <c r="AS621" s="853" t="str">
        <f>+VLOOKUP($AJ621,Data_Validation!$A:$E,5,0)</f>
        <v/>
      </c>
      <c r="AT621" s="794" t="str">
        <f t="shared" ref="AT621:AU621" si="1240">C621</f>
        <v>G41600</v>
      </c>
      <c r="AU621" s="854" t="str">
        <f t="shared" si="1240"/>
        <v>*PROGRAMME GENERAL MOTORS</v>
      </c>
      <c r="AV621" s="794">
        <f t="array" ref="AV621">IFERROR(INDEX(V621:AG621,1,MATCH(Parametres!$B$3,V$1:AG$1,0)-1)*IF(OR(C621="L",C621="S",C621="I"),-1,1),"")</f>
        <v>0</v>
      </c>
      <c r="AW621" s="794">
        <f t="shared" si="6"/>
        <v>0</v>
      </c>
      <c r="AX621" s="794">
        <f t="array" ref="AX621">INDEX(V621:AG621,1,MATCH(Parametres!$B$3,V$1:AG$1,0))*IF(OR(C621="L",C621="S",C621="I"),-1,1)</f>
        <v>0</v>
      </c>
      <c r="AY621" s="853" t="s">
        <v>772</v>
      </c>
      <c r="AZ621" s="853" t="str">
        <f>+VLOOKUP($AJ621,Data_Validation!$A:$E,5,0)</f>
        <v/>
      </c>
    </row>
    <row r="622" ht="15.0" customHeight="1">
      <c r="A622" s="849" t="s">
        <v>1239</v>
      </c>
      <c r="B622" s="849">
        <v>2026.0</v>
      </c>
      <c r="C622" s="849" t="s">
        <v>2471</v>
      </c>
      <c r="D622" s="849" t="s">
        <v>2472</v>
      </c>
      <c r="E622" s="849" t="s">
        <v>2426</v>
      </c>
      <c r="F622" s="849" t="s">
        <v>2426</v>
      </c>
      <c r="G622" s="849">
        <v>0.0</v>
      </c>
      <c r="H622" s="849">
        <v>0.0</v>
      </c>
      <c r="I622" s="849">
        <v>0.0</v>
      </c>
      <c r="J622" s="849">
        <v>0.0</v>
      </c>
      <c r="K622" s="849">
        <v>0.0</v>
      </c>
      <c r="L622" s="849">
        <v>0.0</v>
      </c>
      <c r="M622" s="849">
        <v>0.0</v>
      </c>
      <c r="N622" s="849">
        <v>0.0</v>
      </c>
      <c r="O622" s="849">
        <v>0.0</v>
      </c>
      <c r="P622" s="849">
        <v>0.0</v>
      </c>
      <c r="Q622" s="849">
        <v>0.0</v>
      </c>
      <c r="R622" s="849">
        <v>0.0</v>
      </c>
      <c r="S622" s="849">
        <v>0.0</v>
      </c>
      <c r="T622" s="849">
        <v>0.0</v>
      </c>
      <c r="U622" s="849">
        <v>0.0</v>
      </c>
      <c r="V622" s="849">
        <v>0.0</v>
      </c>
      <c r="W622" s="849">
        <v>0.0</v>
      </c>
      <c r="X622" s="849">
        <v>0.0</v>
      </c>
      <c r="Y622" s="849">
        <v>0.0</v>
      </c>
      <c r="Z622" s="849">
        <v>0.0</v>
      </c>
      <c r="AA622" s="849">
        <v>0.0</v>
      </c>
      <c r="AB622" s="849">
        <v>0.0</v>
      </c>
      <c r="AC622" s="849">
        <v>0.0</v>
      </c>
      <c r="AD622" s="849">
        <v>0.0</v>
      </c>
      <c r="AE622" s="849">
        <v>0.0</v>
      </c>
      <c r="AF622" s="849">
        <v>0.0</v>
      </c>
      <c r="AG622" s="849">
        <v>0.0</v>
      </c>
      <c r="AH622" s="849">
        <v>0.0</v>
      </c>
      <c r="AI622" s="849">
        <v>0.0</v>
      </c>
      <c r="AJ622" s="794" t="str">
        <f t="shared" ref="AJ622:AK622" si="1241">C622</f>
        <v>G41700</v>
      </c>
      <c r="AK622" s="794" t="str">
        <f t="shared" si="1241"/>
        <v>VTES-CHEV AUTOS AUTRES</v>
      </c>
      <c r="AL622" s="794">
        <f t="array" ref="AL622">IFERROR(INDEX(G622:R622,1,MATCH(Parametres!$B$3,G$1:R$1,0)-1)*IF(OR(F622="L",F622="S",F622="I"),-1,1),"")</f>
        <v>0</v>
      </c>
      <c r="AM622" s="794">
        <f t="shared" si="4"/>
        <v>0</v>
      </c>
      <c r="AN622" s="794">
        <f t="array" ref="AN622">INDEX(G622:R622,1,MATCH(Parametres!$B$3,G$1:R$1,0))*IF(OR(F622="L",F622="S",F622="I"),-1,1)</f>
        <v>0</v>
      </c>
      <c r="AO622" s="853" t="str">
        <f>+VLOOKUP($AJ622,Data_Validation!$A:$D,1,0)</f>
        <v>#N/A</v>
      </c>
      <c r="AP622" s="853" t="str">
        <f>+VLOOKUP($AJ622,Data_Validation!$A:$D,3,0)</f>
        <v>#N/A</v>
      </c>
      <c r="AQ622" s="853" t="str">
        <f>+VLOOKUP($AJ622,Data_Validation!$A:$D,4,0)</f>
        <v>#N/A</v>
      </c>
      <c r="AR622" s="853" t="s">
        <v>728</v>
      </c>
      <c r="AS622" s="853" t="str">
        <f>+VLOOKUP($AJ622,Data_Validation!$A:$E,5,0)</f>
        <v>#N/A</v>
      </c>
      <c r="AT622" s="794" t="str">
        <f t="shared" ref="AT622:AU622" si="1242">C622</f>
        <v>G41700</v>
      </c>
      <c r="AU622" s="854" t="str">
        <f t="shared" si="1242"/>
        <v>VTES-CHEV AUTOS AUTRES</v>
      </c>
      <c r="AV622" s="794">
        <f t="array" ref="AV622">IFERROR(INDEX(V622:AG622,1,MATCH(Parametres!$B$3,V$1:AG$1,0)-1)*IF(OR(C622="L",C622="S",C622="I"),-1,1),"")</f>
        <v>0</v>
      </c>
      <c r="AW622" s="794">
        <f t="shared" si="6"/>
        <v>0</v>
      </c>
      <c r="AX622" s="794">
        <f t="array" ref="AX622">INDEX(V622:AG622,1,MATCH(Parametres!$B$3,V$1:AG$1,0))*IF(OR(C622="L",C622="S",C622="I"),-1,1)</f>
        <v>0</v>
      </c>
      <c r="AY622" s="853" t="s">
        <v>772</v>
      </c>
      <c r="AZ622" s="853" t="str">
        <f>+VLOOKUP($AJ622,Data_Validation!$A:$E,5,0)</f>
        <v>#N/A</v>
      </c>
    </row>
    <row r="623" ht="15.0" customHeight="1">
      <c r="A623" s="849" t="s">
        <v>1239</v>
      </c>
      <c r="B623" s="849">
        <v>2026.0</v>
      </c>
      <c r="C623" s="849" t="s">
        <v>2473</v>
      </c>
      <c r="D623" s="849" t="s">
        <v>2474</v>
      </c>
      <c r="E623" s="849" t="s">
        <v>2426</v>
      </c>
      <c r="F623" s="849" t="s">
        <v>2426</v>
      </c>
      <c r="G623" s="849">
        <v>0.0</v>
      </c>
      <c r="H623" s="849">
        <v>0.0</v>
      </c>
      <c r="I623" s="849">
        <v>0.0</v>
      </c>
      <c r="J623" s="849">
        <v>0.0</v>
      </c>
      <c r="K623" s="849">
        <v>0.0</v>
      </c>
      <c r="L623" s="849">
        <v>0.0</v>
      </c>
      <c r="M623" s="849">
        <v>0.0</v>
      </c>
      <c r="N623" s="849">
        <v>0.0</v>
      </c>
      <c r="O623" s="849">
        <v>0.0</v>
      </c>
      <c r="P623" s="849">
        <v>0.0</v>
      </c>
      <c r="Q623" s="849">
        <v>0.0</v>
      </c>
      <c r="R623" s="849">
        <v>0.0</v>
      </c>
      <c r="S623" s="849">
        <v>0.0</v>
      </c>
      <c r="T623" s="849">
        <v>0.0</v>
      </c>
      <c r="U623" s="849">
        <v>0.0</v>
      </c>
      <c r="V623" s="849">
        <v>0.0</v>
      </c>
      <c r="W623" s="849">
        <v>0.0</v>
      </c>
      <c r="X623" s="849">
        <v>0.0</v>
      </c>
      <c r="Y623" s="849">
        <v>0.0</v>
      </c>
      <c r="Z623" s="849">
        <v>0.0</v>
      </c>
      <c r="AA623" s="849">
        <v>0.0</v>
      </c>
      <c r="AB623" s="849">
        <v>0.0</v>
      </c>
      <c r="AC623" s="849">
        <v>0.0</v>
      </c>
      <c r="AD623" s="849">
        <v>0.0</v>
      </c>
      <c r="AE623" s="849">
        <v>0.0</v>
      </c>
      <c r="AF623" s="849">
        <v>0.0</v>
      </c>
      <c r="AG623" s="849">
        <v>0.0</v>
      </c>
      <c r="AH623" s="849">
        <v>0.0</v>
      </c>
      <c r="AI623" s="849">
        <v>0.0</v>
      </c>
      <c r="AJ623" s="794" t="str">
        <f t="shared" ref="AJ623:AK623" si="1243">C623</f>
        <v>G41720</v>
      </c>
      <c r="AK623" s="794" t="str">
        <f t="shared" si="1243"/>
        <v>VTES-CHEV AUTOS AUTRE-LOC</v>
      </c>
      <c r="AL623" s="794">
        <f t="array" ref="AL623">IFERROR(INDEX(G623:R623,1,MATCH(Parametres!$B$3,G$1:R$1,0)-1)*IF(OR(F623="L",F623="S",F623="I"),-1,1),"")</f>
        <v>0</v>
      </c>
      <c r="AM623" s="794">
        <f t="shared" si="4"/>
        <v>0</v>
      </c>
      <c r="AN623" s="794">
        <f t="array" ref="AN623">INDEX(G623:R623,1,MATCH(Parametres!$B$3,G$1:R$1,0))*IF(OR(F623="L",F623="S",F623="I"),-1,1)</f>
        <v>0</v>
      </c>
      <c r="AO623" s="853" t="str">
        <f>+VLOOKUP($AJ623,Data_Validation!$A:$D,1,0)</f>
        <v>#N/A</v>
      </c>
      <c r="AP623" s="853" t="str">
        <f>+VLOOKUP($AJ623,Data_Validation!$A:$D,3,0)</f>
        <v>#N/A</v>
      </c>
      <c r="AQ623" s="853" t="str">
        <f>+VLOOKUP($AJ623,Data_Validation!$A:$D,4,0)</f>
        <v>#N/A</v>
      </c>
      <c r="AR623" s="853" t="s">
        <v>728</v>
      </c>
      <c r="AS623" s="853" t="str">
        <f>+VLOOKUP($AJ623,Data_Validation!$A:$E,5,0)</f>
        <v>#N/A</v>
      </c>
      <c r="AT623" s="794" t="str">
        <f t="shared" ref="AT623:AU623" si="1244">C623</f>
        <v>G41720</v>
      </c>
      <c r="AU623" s="854" t="str">
        <f t="shared" si="1244"/>
        <v>VTES-CHEV AUTOS AUTRE-LOC</v>
      </c>
      <c r="AV623" s="794">
        <f t="array" ref="AV623">IFERROR(INDEX(V623:AG623,1,MATCH(Parametres!$B$3,V$1:AG$1,0)-1)*IF(OR(C623="L",C623="S",C623="I"),-1,1),"")</f>
        <v>0</v>
      </c>
      <c r="AW623" s="794">
        <f t="shared" si="6"/>
        <v>0</v>
      </c>
      <c r="AX623" s="794">
        <f t="array" ref="AX623">INDEX(V623:AG623,1,MATCH(Parametres!$B$3,V$1:AG$1,0))*IF(OR(C623="L",C623="S",C623="I"),-1,1)</f>
        <v>0</v>
      </c>
      <c r="AY623" s="853" t="s">
        <v>772</v>
      </c>
      <c r="AZ623" s="853" t="str">
        <f>+VLOOKUP($AJ623,Data_Validation!$A:$E,5,0)</f>
        <v>#N/A</v>
      </c>
    </row>
    <row r="624" ht="15.0" customHeight="1">
      <c r="A624" s="849" t="s">
        <v>1239</v>
      </c>
      <c r="B624" s="849">
        <v>2026.0</v>
      </c>
      <c r="C624" s="849" t="s">
        <v>2475</v>
      </c>
      <c r="D624" s="849" t="s">
        <v>2476</v>
      </c>
      <c r="E624" s="849" t="s">
        <v>2426</v>
      </c>
      <c r="F624" s="849" t="s">
        <v>2426</v>
      </c>
      <c r="G624" s="849">
        <v>0.0</v>
      </c>
      <c r="H624" s="849">
        <v>0.0</v>
      </c>
      <c r="I624" s="849">
        <v>0.0</v>
      </c>
      <c r="J624" s="849">
        <v>0.0</v>
      </c>
      <c r="K624" s="849">
        <v>0.0</v>
      </c>
      <c r="L624" s="849">
        <v>0.0</v>
      </c>
      <c r="M624" s="849">
        <v>0.0</v>
      </c>
      <c r="N624" s="849">
        <v>0.0</v>
      </c>
      <c r="O624" s="849">
        <v>0.0</v>
      </c>
      <c r="P624" s="849">
        <v>0.0</v>
      </c>
      <c r="Q624" s="849">
        <v>0.0</v>
      </c>
      <c r="R624" s="849">
        <v>0.0</v>
      </c>
      <c r="S624" s="849">
        <v>0.0</v>
      </c>
      <c r="T624" s="849">
        <v>0.0</v>
      </c>
      <c r="U624" s="849">
        <v>0.0</v>
      </c>
      <c r="V624" s="849">
        <v>20.0</v>
      </c>
      <c r="W624" s="849">
        <v>54.0</v>
      </c>
      <c r="X624" s="849">
        <v>104.0</v>
      </c>
      <c r="Y624" s="849">
        <v>159.0</v>
      </c>
      <c r="Z624" s="849">
        <v>186.0</v>
      </c>
      <c r="AA624" s="849">
        <v>230.0</v>
      </c>
      <c r="AB624" s="849">
        <v>272.0</v>
      </c>
      <c r="AC624" s="849">
        <v>320.0</v>
      </c>
      <c r="AD624" s="849">
        <v>358.0</v>
      </c>
      <c r="AE624" s="849">
        <v>368.0</v>
      </c>
      <c r="AF624" s="849">
        <v>0.0</v>
      </c>
      <c r="AG624" s="849">
        <v>0.0</v>
      </c>
      <c r="AH624" s="849">
        <v>40.0</v>
      </c>
      <c r="AI624" s="849">
        <v>40.0</v>
      </c>
      <c r="AJ624" s="794" t="str">
        <f t="shared" ref="AJ624:AK624" si="1245">C624</f>
        <v>G41799</v>
      </c>
      <c r="AK624" s="794" t="str">
        <f t="shared" si="1245"/>
        <v>VTES-ECHANGE CONCESSIONN.</v>
      </c>
      <c r="AL624" s="794">
        <f t="array" ref="AL624">IFERROR(INDEX(G624:R624,1,MATCH(Parametres!$B$3,G$1:R$1,0)-1)*IF(OR(F624="L",F624="S",F624="I"),-1,1),"")</f>
        <v>0</v>
      </c>
      <c r="AM624" s="794">
        <f t="shared" si="4"/>
        <v>0</v>
      </c>
      <c r="AN624" s="794">
        <f t="array" ref="AN624">INDEX(G624:R624,1,MATCH(Parametres!$B$3,G$1:R$1,0))*IF(OR(F624="L",F624="S",F624="I"),-1,1)</f>
        <v>0</v>
      </c>
      <c r="AO624" s="853" t="str">
        <f>+VLOOKUP($AJ624,Data_Validation!$A:$D,1,0)</f>
        <v>G41799</v>
      </c>
      <c r="AP624" s="853" t="str">
        <f>+VLOOKUP($AJ624,Data_Validation!$A:$D,3,0)</f>
        <v/>
      </c>
      <c r="AQ624" s="853" t="str">
        <f>+VLOOKUP($AJ624,Data_Validation!$A:$D,4,0)</f>
        <v/>
      </c>
      <c r="AR624" s="853" t="s">
        <v>728</v>
      </c>
      <c r="AS624" s="853" t="str">
        <f>+VLOOKUP($AJ624,Data_Validation!$A:$E,5,0)</f>
        <v/>
      </c>
      <c r="AT624" s="794" t="str">
        <f t="shared" ref="AT624:AU624" si="1246">C624</f>
        <v>G41799</v>
      </c>
      <c r="AU624" s="854" t="str">
        <f t="shared" si="1246"/>
        <v>VTES-ECHANGE CONCESSIONN.</v>
      </c>
      <c r="AV624" s="794">
        <f t="array" ref="AV624">IFERROR(INDEX(V624:AG624,1,MATCH(Parametres!$B$3,V$1:AG$1,0)-1)*IF(OR(C624="L",C624="S",C624="I"),-1,1),"")</f>
        <v>320</v>
      </c>
      <c r="AW624" s="794">
        <f t="shared" si="6"/>
        <v>38</v>
      </c>
      <c r="AX624" s="794">
        <f t="array" ref="AX624">INDEX(V624:AG624,1,MATCH(Parametres!$B$3,V$1:AG$1,0))*IF(OR(C624="L",C624="S",C624="I"),-1,1)</f>
        <v>358</v>
      </c>
      <c r="AY624" s="853" t="s">
        <v>772</v>
      </c>
      <c r="AZ624" s="853" t="str">
        <f>+VLOOKUP($AJ624,Data_Validation!$A:$E,5,0)</f>
        <v/>
      </c>
    </row>
    <row r="625" ht="15.0" customHeight="1">
      <c r="A625" s="849" t="s">
        <v>1239</v>
      </c>
      <c r="B625" s="849">
        <v>2026.0</v>
      </c>
      <c r="C625" s="849" t="s">
        <v>2477</v>
      </c>
      <c r="D625" s="849" t="s">
        <v>2478</v>
      </c>
      <c r="E625" s="849" t="s">
        <v>2426</v>
      </c>
      <c r="F625" s="849" t="s">
        <v>2426</v>
      </c>
      <c r="G625" s="849">
        <v>0.0</v>
      </c>
      <c r="H625" s="849">
        <v>0.0</v>
      </c>
      <c r="I625" s="849">
        <v>0.0</v>
      </c>
      <c r="J625" s="849">
        <v>0.0</v>
      </c>
      <c r="K625" s="849">
        <v>0.0</v>
      </c>
      <c r="L625" s="849">
        <v>0.0</v>
      </c>
      <c r="M625" s="849">
        <v>0.0</v>
      </c>
      <c r="N625" s="849">
        <v>0.0</v>
      </c>
      <c r="O625" s="849">
        <v>0.0</v>
      </c>
      <c r="P625" s="849">
        <v>0.0</v>
      </c>
      <c r="Q625" s="849">
        <v>0.0</v>
      </c>
      <c r="R625" s="849">
        <v>0.0</v>
      </c>
      <c r="S625" s="849">
        <v>0.0</v>
      </c>
      <c r="T625" s="849">
        <v>0.0</v>
      </c>
      <c r="U625" s="849">
        <v>0.0</v>
      </c>
      <c r="V625" s="849">
        <v>0.0</v>
      </c>
      <c r="W625" s="849">
        <v>0.0</v>
      </c>
      <c r="X625" s="849">
        <v>0.0</v>
      </c>
      <c r="Y625" s="849">
        <v>0.0</v>
      </c>
      <c r="Z625" s="849">
        <v>0.0</v>
      </c>
      <c r="AA625" s="849">
        <v>0.0</v>
      </c>
      <c r="AB625" s="849">
        <v>0.0</v>
      </c>
      <c r="AC625" s="849">
        <v>0.0</v>
      </c>
      <c r="AD625" s="849">
        <v>0.0</v>
      </c>
      <c r="AE625" s="849">
        <v>0.0</v>
      </c>
      <c r="AF625" s="849">
        <v>0.0</v>
      </c>
      <c r="AG625" s="849">
        <v>0.0</v>
      </c>
      <c r="AH625" s="849">
        <v>0.0</v>
      </c>
      <c r="AI625" s="849">
        <v>0.0</v>
      </c>
      <c r="AJ625" s="794" t="str">
        <f t="shared" ref="AJ625:AK625" si="1247">C625</f>
        <v>G41800</v>
      </c>
      <c r="AK625" s="794" t="str">
        <f t="shared" si="1247"/>
        <v>AUTRES CHEVROLET</v>
      </c>
      <c r="AL625" s="794">
        <f t="array" ref="AL625">IFERROR(INDEX(G625:R625,1,MATCH(Parametres!$B$3,G$1:R$1,0)-1)*IF(OR(F625="L",F625="S",F625="I"),-1,1),"")</f>
        <v>0</v>
      </c>
      <c r="AM625" s="794">
        <f t="shared" si="4"/>
        <v>0</v>
      </c>
      <c r="AN625" s="794">
        <f t="array" ref="AN625">INDEX(G625:R625,1,MATCH(Parametres!$B$3,G$1:R$1,0))*IF(OR(F625="L",F625="S",F625="I"),-1,1)</f>
        <v>0</v>
      </c>
      <c r="AO625" s="853" t="str">
        <f>+VLOOKUP($AJ625,Data_Validation!$A:$D,1,0)</f>
        <v>#N/A</v>
      </c>
      <c r="AP625" s="853" t="str">
        <f>+VLOOKUP($AJ625,Data_Validation!$A:$D,3,0)</f>
        <v>#N/A</v>
      </c>
      <c r="AQ625" s="853" t="str">
        <f>+VLOOKUP($AJ625,Data_Validation!$A:$D,4,0)</f>
        <v>#N/A</v>
      </c>
      <c r="AR625" s="853" t="s">
        <v>728</v>
      </c>
      <c r="AS625" s="853" t="str">
        <f>+VLOOKUP($AJ625,Data_Validation!$A:$E,5,0)</f>
        <v>#N/A</v>
      </c>
      <c r="AT625" s="794" t="str">
        <f t="shared" ref="AT625:AU625" si="1248">C625</f>
        <v>G41800</v>
      </c>
      <c r="AU625" s="854" t="str">
        <f t="shared" si="1248"/>
        <v>AUTRES CHEVROLET</v>
      </c>
      <c r="AV625" s="794">
        <f t="array" ref="AV625">IFERROR(INDEX(V625:AG625,1,MATCH(Parametres!$B$3,V$1:AG$1,0)-1)*IF(OR(C625="L",C625="S",C625="I"),-1,1),"")</f>
        <v>0</v>
      </c>
      <c r="AW625" s="794">
        <f t="shared" si="6"/>
        <v>0</v>
      </c>
      <c r="AX625" s="794">
        <f t="array" ref="AX625">INDEX(V625:AG625,1,MATCH(Parametres!$B$3,V$1:AG$1,0))*IF(OR(C625="L",C625="S",C625="I"),-1,1)</f>
        <v>0</v>
      </c>
      <c r="AY625" s="853" t="s">
        <v>772</v>
      </c>
      <c r="AZ625" s="853" t="str">
        <f>+VLOOKUP($AJ625,Data_Validation!$A:$E,5,0)</f>
        <v>#N/A</v>
      </c>
    </row>
    <row r="626" ht="15.0" customHeight="1">
      <c r="A626" s="849" t="s">
        <v>1239</v>
      </c>
      <c r="B626" s="849">
        <v>2026.0</v>
      </c>
      <c r="C626" s="849" t="s">
        <v>2479</v>
      </c>
      <c r="D626" s="849" t="s">
        <v>2480</v>
      </c>
      <c r="E626" s="849" t="s">
        <v>2426</v>
      </c>
      <c r="F626" s="849" t="s">
        <v>2426</v>
      </c>
      <c r="G626" s="849">
        <v>0.0</v>
      </c>
      <c r="H626" s="849">
        <v>0.0</v>
      </c>
      <c r="I626" s="849">
        <v>0.0</v>
      </c>
      <c r="J626" s="849">
        <v>0.0</v>
      </c>
      <c r="K626" s="849">
        <v>0.0</v>
      </c>
      <c r="L626" s="849">
        <v>0.0</v>
      </c>
      <c r="M626" s="849">
        <v>0.0</v>
      </c>
      <c r="N626" s="849">
        <v>0.0</v>
      </c>
      <c r="O626" s="849">
        <v>0.0</v>
      </c>
      <c r="P626" s="849">
        <v>0.0</v>
      </c>
      <c r="Q626" s="849">
        <v>0.0</v>
      </c>
      <c r="R626" s="849">
        <v>0.0</v>
      </c>
      <c r="S626" s="849">
        <v>0.0</v>
      </c>
      <c r="T626" s="849">
        <v>0.0</v>
      </c>
      <c r="U626" s="849">
        <v>0.0</v>
      </c>
      <c r="V626" s="849">
        <v>0.0</v>
      </c>
      <c r="W626" s="849">
        <v>0.0</v>
      </c>
      <c r="X626" s="849">
        <v>0.0</v>
      </c>
      <c r="Y626" s="849">
        <v>0.0</v>
      </c>
      <c r="Z626" s="849">
        <v>0.0</v>
      </c>
      <c r="AA626" s="849">
        <v>0.0</v>
      </c>
      <c r="AB626" s="849">
        <v>0.0</v>
      </c>
      <c r="AC626" s="849">
        <v>0.0</v>
      </c>
      <c r="AD626" s="849">
        <v>0.0</v>
      </c>
      <c r="AE626" s="849">
        <v>0.0</v>
      </c>
      <c r="AF626" s="849">
        <v>0.0</v>
      </c>
      <c r="AG626" s="849">
        <v>0.0</v>
      </c>
      <c r="AH626" s="849">
        <v>0.0</v>
      </c>
      <c r="AI626" s="849">
        <v>0.0</v>
      </c>
      <c r="AJ626" s="794" t="str">
        <f t="shared" ref="AJ626:AK626" si="1249">C626</f>
        <v>G42000</v>
      </c>
      <c r="AK626" s="794" t="str">
        <f t="shared" si="1249"/>
        <v>VTES-PARCS VOITURES</v>
      </c>
      <c r="AL626" s="794">
        <f t="array" ref="AL626">IFERROR(INDEX(G626:R626,1,MATCH(Parametres!$B$3,G$1:R$1,0)-1)*IF(OR(F626="L",F626="S",F626="I"),-1,1),"")</f>
        <v>0</v>
      </c>
      <c r="AM626" s="794">
        <f t="shared" si="4"/>
        <v>0</v>
      </c>
      <c r="AN626" s="794">
        <f t="array" ref="AN626">INDEX(G626:R626,1,MATCH(Parametres!$B$3,G$1:R$1,0))*IF(OR(F626="L",F626="S",F626="I"),-1,1)</f>
        <v>0</v>
      </c>
      <c r="AO626" s="853" t="str">
        <f>+VLOOKUP($AJ626,Data_Validation!$A:$D,1,0)</f>
        <v>#N/A</v>
      </c>
      <c r="AP626" s="853" t="str">
        <f>+VLOOKUP($AJ626,Data_Validation!$A:$D,3,0)</f>
        <v>#N/A</v>
      </c>
      <c r="AQ626" s="853" t="str">
        <f>+VLOOKUP($AJ626,Data_Validation!$A:$D,4,0)</f>
        <v>#N/A</v>
      </c>
      <c r="AR626" s="853" t="s">
        <v>728</v>
      </c>
      <c r="AS626" s="853" t="str">
        <f>+VLOOKUP($AJ626,Data_Validation!$A:$E,5,0)</f>
        <v>#N/A</v>
      </c>
      <c r="AT626" s="794" t="str">
        <f t="shared" ref="AT626:AU626" si="1250">C626</f>
        <v>G42000</v>
      </c>
      <c r="AU626" s="854" t="str">
        <f t="shared" si="1250"/>
        <v>VTES-PARCS VOITURES</v>
      </c>
      <c r="AV626" s="794">
        <f t="array" ref="AV626">IFERROR(INDEX(V626:AG626,1,MATCH(Parametres!$B$3,V$1:AG$1,0)-1)*IF(OR(C626="L",C626="S",C626="I"),-1,1),"")</f>
        <v>0</v>
      </c>
      <c r="AW626" s="794">
        <f t="shared" si="6"/>
        <v>0</v>
      </c>
      <c r="AX626" s="794">
        <f t="array" ref="AX626">INDEX(V626:AG626,1,MATCH(Parametres!$B$3,V$1:AG$1,0))*IF(OR(C626="L",C626="S",C626="I"),-1,1)</f>
        <v>0</v>
      </c>
      <c r="AY626" s="853" t="s">
        <v>772</v>
      </c>
      <c r="AZ626" s="853" t="str">
        <f>+VLOOKUP($AJ626,Data_Validation!$A:$E,5,0)</f>
        <v>#N/A</v>
      </c>
    </row>
    <row r="627" ht="15.0" customHeight="1">
      <c r="A627" s="849" t="s">
        <v>1239</v>
      </c>
      <c r="B627" s="849">
        <v>2026.0</v>
      </c>
      <c r="C627" s="849" t="s">
        <v>2481</v>
      </c>
      <c r="D627" s="849" t="s">
        <v>2482</v>
      </c>
      <c r="E627" s="849" t="s">
        <v>2426</v>
      </c>
      <c r="F627" s="849" t="s">
        <v>2426</v>
      </c>
      <c r="G627" s="849">
        <v>0.0</v>
      </c>
      <c r="H627" s="849">
        <v>0.0</v>
      </c>
      <c r="I627" s="849">
        <v>0.0</v>
      </c>
      <c r="J627" s="849">
        <v>0.0</v>
      </c>
      <c r="K627" s="849">
        <v>0.0</v>
      </c>
      <c r="L627" s="849">
        <v>0.0</v>
      </c>
      <c r="M627" s="849">
        <v>0.0</v>
      </c>
      <c r="N627" s="849">
        <v>0.0</v>
      </c>
      <c r="O627" s="849">
        <v>0.0</v>
      </c>
      <c r="P627" s="849">
        <v>0.0</v>
      </c>
      <c r="Q627" s="849">
        <v>0.0</v>
      </c>
      <c r="R627" s="849">
        <v>0.0</v>
      </c>
      <c r="S627" s="849">
        <v>0.0</v>
      </c>
      <c r="T627" s="849">
        <v>0.0</v>
      </c>
      <c r="U627" s="849">
        <v>0.0</v>
      </c>
      <c r="V627" s="849">
        <v>0.0</v>
      </c>
      <c r="W627" s="849">
        <v>0.0</v>
      </c>
      <c r="X627" s="849">
        <v>0.0</v>
      </c>
      <c r="Y627" s="849">
        <v>0.0</v>
      </c>
      <c r="Z627" s="849">
        <v>0.0</v>
      </c>
      <c r="AA627" s="849">
        <v>0.0</v>
      </c>
      <c r="AB627" s="849">
        <v>0.0</v>
      </c>
      <c r="AC627" s="849">
        <v>0.0</v>
      </c>
      <c r="AD627" s="849">
        <v>0.0</v>
      </c>
      <c r="AE627" s="849">
        <v>0.0</v>
      </c>
      <c r="AF627" s="849">
        <v>0.0</v>
      </c>
      <c r="AG627" s="849">
        <v>0.0</v>
      </c>
      <c r="AH627" s="849">
        <v>0.0</v>
      </c>
      <c r="AI627" s="849">
        <v>0.0</v>
      </c>
      <c r="AJ627" s="794" t="str">
        <f t="shared" ref="AJ627:AK627" si="1251">C627</f>
        <v>G42100</v>
      </c>
      <c r="AK627" s="794" t="str">
        <f t="shared" si="1251"/>
        <v>VTES-VOITURES INTERNE</v>
      </c>
      <c r="AL627" s="794">
        <f t="array" ref="AL627">IFERROR(INDEX(G627:R627,1,MATCH(Parametres!$B$3,G$1:R$1,0)-1)*IF(OR(F627="L",F627="S",F627="I"),-1,1),"")</f>
        <v>0</v>
      </c>
      <c r="AM627" s="794">
        <f t="shared" si="4"/>
        <v>0</v>
      </c>
      <c r="AN627" s="794">
        <f t="array" ref="AN627">INDEX(G627:R627,1,MATCH(Parametres!$B$3,G$1:R$1,0))*IF(OR(F627="L",F627="S",F627="I"),-1,1)</f>
        <v>0</v>
      </c>
      <c r="AO627" s="853" t="str">
        <f>+VLOOKUP($AJ627,Data_Validation!$A:$D,1,0)</f>
        <v>#N/A</v>
      </c>
      <c r="AP627" s="853" t="str">
        <f>+VLOOKUP($AJ627,Data_Validation!$A:$D,3,0)</f>
        <v>#N/A</v>
      </c>
      <c r="AQ627" s="853" t="str">
        <f>+VLOOKUP($AJ627,Data_Validation!$A:$D,4,0)</f>
        <v>#N/A</v>
      </c>
      <c r="AR627" s="853" t="s">
        <v>728</v>
      </c>
      <c r="AS627" s="853" t="str">
        <f>+VLOOKUP($AJ627,Data_Validation!$A:$E,5,0)</f>
        <v>#N/A</v>
      </c>
      <c r="AT627" s="794" t="str">
        <f t="shared" ref="AT627:AU627" si="1252">C627</f>
        <v>G42100</v>
      </c>
      <c r="AU627" s="854" t="str">
        <f t="shared" si="1252"/>
        <v>VTES-VOITURES INTERNE</v>
      </c>
      <c r="AV627" s="794">
        <f t="array" ref="AV627">IFERROR(INDEX(V627:AG627,1,MATCH(Parametres!$B$3,V$1:AG$1,0)-1)*IF(OR(C627="L",C627="S",C627="I"),-1,1),"")</f>
        <v>0</v>
      </c>
      <c r="AW627" s="794">
        <f t="shared" si="6"/>
        <v>0</v>
      </c>
      <c r="AX627" s="794">
        <f t="array" ref="AX627">INDEX(V627:AG627,1,MATCH(Parametres!$B$3,V$1:AG$1,0))*IF(OR(C627="L",C627="S",C627="I"),-1,1)</f>
        <v>0</v>
      </c>
      <c r="AY627" s="853" t="s">
        <v>772</v>
      </c>
      <c r="AZ627" s="853" t="str">
        <f>+VLOOKUP($AJ627,Data_Validation!$A:$E,5,0)</f>
        <v>#N/A</v>
      </c>
    </row>
    <row r="628" ht="15.0" customHeight="1">
      <c r="A628" s="849" t="s">
        <v>1239</v>
      </c>
      <c r="B628" s="849">
        <v>2026.0</v>
      </c>
      <c r="C628" s="849" t="s">
        <v>2483</v>
      </c>
      <c r="D628" s="849" t="s">
        <v>2484</v>
      </c>
      <c r="E628" s="849" t="s">
        <v>2426</v>
      </c>
      <c r="F628" s="849" t="s">
        <v>2426</v>
      </c>
      <c r="G628" s="849">
        <v>0.0</v>
      </c>
      <c r="H628" s="849">
        <v>0.0</v>
      </c>
      <c r="I628" s="849">
        <v>0.0</v>
      </c>
      <c r="J628" s="849">
        <v>0.0</v>
      </c>
      <c r="K628" s="849">
        <v>0.0</v>
      </c>
      <c r="L628" s="849">
        <v>0.0</v>
      </c>
      <c r="M628" s="849">
        <v>0.0</v>
      </c>
      <c r="N628" s="849">
        <v>0.0</v>
      </c>
      <c r="O628" s="849">
        <v>0.0</v>
      </c>
      <c r="P628" s="849">
        <v>0.0</v>
      </c>
      <c r="Q628" s="849">
        <v>0.0</v>
      </c>
      <c r="R628" s="849">
        <v>0.0</v>
      </c>
      <c r="S628" s="849">
        <v>0.0</v>
      </c>
      <c r="T628" s="849">
        <v>0.0</v>
      </c>
      <c r="U628" s="849">
        <v>0.0</v>
      </c>
      <c r="V628" s="849">
        <v>0.0</v>
      </c>
      <c r="W628" s="849">
        <v>0.0</v>
      </c>
      <c r="X628" s="849">
        <v>0.0</v>
      </c>
      <c r="Y628" s="849">
        <v>0.0</v>
      </c>
      <c r="Z628" s="849">
        <v>0.0</v>
      </c>
      <c r="AA628" s="849">
        <v>0.0</v>
      </c>
      <c r="AB628" s="849">
        <v>0.0</v>
      </c>
      <c r="AC628" s="849">
        <v>0.0</v>
      </c>
      <c r="AD628" s="849">
        <v>0.0</v>
      </c>
      <c r="AE628" s="849">
        <v>0.0</v>
      </c>
      <c r="AF628" s="849">
        <v>0.0</v>
      </c>
      <c r="AG628" s="849">
        <v>0.0</v>
      </c>
      <c r="AH628" s="849">
        <v>0.0</v>
      </c>
      <c r="AI628" s="849">
        <v>0.0</v>
      </c>
      <c r="AJ628" s="794" t="str">
        <f t="shared" ref="AJ628:AK628" si="1253">C628</f>
        <v>G42300</v>
      </c>
      <c r="AK628" s="794" t="str">
        <f t="shared" si="1253"/>
        <v>VTES-VENTURES-UPLAND VAN</v>
      </c>
      <c r="AL628" s="794">
        <f t="array" ref="AL628">IFERROR(INDEX(G628:R628,1,MATCH(Parametres!$B$3,G$1:R$1,0)-1)*IF(OR(F628="L",F628="S",F628="I"),-1,1),"")</f>
        <v>0</v>
      </c>
      <c r="AM628" s="794">
        <f t="shared" si="4"/>
        <v>0</v>
      </c>
      <c r="AN628" s="794">
        <f t="array" ref="AN628">INDEX(G628:R628,1,MATCH(Parametres!$B$3,G$1:R$1,0))*IF(OR(F628="L",F628="S",F628="I"),-1,1)</f>
        <v>0</v>
      </c>
      <c r="AO628" s="853" t="str">
        <f>+VLOOKUP($AJ628,Data_Validation!$A:$D,1,0)</f>
        <v>#N/A</v>
      </c>
      <c r="AP628" s="853" t="str">
        <f>+VLOOKUP($AJ628,Data_Validation!$A:$D,3,0)</f>
        <v>#N/A</v>
      </c>
      <c r="AQ628" s="853" t="str">
        <f>+VLOOKUP($AJ628,Data_Validation!$A:$D,4,0)</f>
        <v>#N/A</v>
      </c>
      <c r="AR628" s="853" t="s">
        <v>728</v>
      </c>
      <c r="AS628" s="853" t="str">
        <f>+VLOOKUP($AJ628,Data_Validation!$A:$E,5,0)</f>
        <v>#N/A</v>
      </c>
      <c r="AT628" s="794" t="str">
        <f t="shared" ref="AT628:AU628" si="1254">C628</f>
        <v>G42300</v>
      </c>
      <c r="AU628" s="854" t="str">
        <f t="shared" si="1254"/>
        <v>VTES-VENTURES-UPLAND VAN</v>
      </c>
      <c r="AV628" s="794">
        <f t="array" ref="AV628">IFERROR(INDEX(V628:AG628,1,MATCH(Parametres!$B$3,V$1:AG$1,0)-1)*IF(OR(C628="L",C628="S",C628="I"),-1,1),"")</f>
        <v>0</v>
      </c>
      <c r="AW628" s="794">
        <f t="shared" si="6"/>
        <v>0</v>
      </c>
      <c r="AX628" s="794">
        <f t="array" ref="AX628">INDEX(V628:AG628,1,MATCH(Parametres!$B$3,V$1:AG$1,0))*IF(OR(C628="L",C628="S",C628="I"),-1,1)</f>
        <v>0</v>
      </c>
      <c r="AY628" s="853" t="s">
        <v>772</v>
      </c>
      <c r="AZ628" s="853" t="str">
        <f>+VLOOKUP($AJ628,Data_Validation!$A:$E,5,0)</f>
        <v>#N/A</v>
      </c>
    </row>
    <row r="629" ht="15.0" customHeight="1">
      <c r="A629" s="849" t="s">
        <v>1239</v>
      </c>
      <c r="B629" s="849">
        <v>2026.0</v>
      </c>
      <c r="C629" s="849" t="s">
        <v>2485</v>
      </c>
      <c r="D629" s="849" t="s">
        <v>2486</v>
      </c>
      <c r="E629" s="849" t="s">
        <v>2426</v>
      </c>
      <c r="F629" s="849" t="s">
        <v>2426</v>
      </c>
      <c r="G629" s="849">
        <v>0.0</v>
      </c>
      <c r="H629" s="849">
        <v>0.0</v>
      </c>
      <c r="I629" s="849">
        <v>0.0</v>
      </c>
      <c r="J629" s="849">
        <v>0.0</v>
      </c>
      <c r="K629" s="849">
        <v>0.0</v>
      </c>
      <c r="L629" s="849">
        <v>0.0</v>
      </c>
      <c r="M629" s="849">
        <v>0.0</v>
      </c>
      <c r="N629" s="849">
        <v>0.0</v>
      </c>
      <c r="O629" s="849">
        <v>0.0</v>
      </c>
      <c r="P629" s="849">
        <v>0.0</v>
      </c>
      <c r="Q629" s="849">
        <v>0.0</v>
      </c>
      <c r="R629" s="849">
        <v>0.0</v>
      </c>
      <c r="S629" s="849">
        <v>0.0</v>
      </c>
      <c r="T629" s="849">
        <v>0.0</v>
      </c>
      <c r="U629" s="849">
        <v>0.0</v>
      </c>
      <c r="V629" s="849">
        <v>0.0</v>
      </c>
      <c r="W629" s="849">
        <v>0.0</v>
      </c>
      <c r="X629" s="849">
        <v>0.0</v>
      </c>
      <c r="Y629" s="849">
        <v>0.0</v>
      </c>
      <c r="Z629" s="849">
        <v>0.0</v>
      </c>
      <c r="AA629" s="849">
        <v>0.0</v>
      </c>
      <c r="AB629" s="849">
        <v>0.0</v>
      </c>
      <c r="AC629" s="849">
        <v>0.0</v>
      </c>
      <c r="AD629" s="849">
        <v>0.0</v>
      </c>
      <c r="AE629" s="849">
        <v>0.0</v>
      </c>
      <c r="AF629" s="849">
        <v>0.0</v>
      </c>
      <c r="AG629" s="849">
        <v>0.0</v>
      </c>
      <c r="AH629" s="849">
        <v>0.0</v>
      </c>
      <c r="AI629" s="849">
        <v>0.0</v>
      </c>
      <c r="AJ629" s="794" t="str">
        <f t="shared" ref="AJ629:AK629" si="1255">C629</f>
        <v>G42312</v>
      </c>
      <c r="AK629" s="794" t="str">
        <f t="shared" si="1255"/>
        <v>VTES-KODIAK/TOPKICK 4/5</v>
      </c>
      <c r="AL629" s="794">
        <f t="array" ref="AL629">IFERROR(INDEX(G629:R629,1,MATCH(Parametres!$B$3,G$1:R$1,0)-1)*IF(OR(F629="L",F629="S",F629="I"),-1,1),"")</f>
        <v>0</v>
      </c>
      <c r="AM629" s="794">
        <f t="shared" si="4"/>
        <v>0</v>
      </c>
      <c r="AN629" s="794">
        <f t="array" ref="AN629">INDEX(G629:R629,1,MATCH(Parametres!$B$3,G$1:R$1,0))*IF(OR(F629="L",F629="S",F629="I"),-1,1)</f>
        <v>0</v>
      </c>
      <c r="AO629" s="853" t="str">
        <f>+VLOOKUP($AJ629,Data_Validation!$A:$D,1,0)</f>
        <v>#N/A</v>
      </c>
      <c r="AP629" s="853" t="str">
        <f>+VLOOKUP($AJ629,Data_Validation!$A:$D,3,0)</f>
        <v>#N/A</v>
      </c>
      <c r="AQ629" s="853" t="str">
        <f>+VLOOKUP($AJ629,Data_Validation!$A:$D,4,0)</f>
        <v>#N/A</v>
      </c>
      <c r="AR629" s="853" t="s">
        <v>728</v>
      </c>
      <c r="AS629" s="853" t="str">
        <f>+VLOOKUP($AJ629,Data_Validation!$A:$E,5,0)</f>
        <v>#N/A</v>
      </c>
      <c r="AT629" s="794" t="str">
        <f t="shared" ref="AT629:AU629" si="1256">C629</f>
        <v>G42312</v>
      </c>
      <c r="AU629" s="854" t="str">
        <f t="shared" si="1256"/>
        <v>VTES-KODIAK/TOPKICK 4/5</v>
      </c>
      <c r="AV629" s="794">
        <f t="array" ref="AV629">IFERROR(INDEX(V629:AG629,1,MATCH(Parametres!$B$3,V$1:AG$1,0)-1)*IF(OR(C629="L",C629="S",C629="I"),-1,1),"")</f>
        <v>0</v>
      </c>
      <c r="AW629" s="794">
        <f t="shared" si="6"/>
        <v>0</v>
      </c>
      <c r="AX629" s="794">
        <f t="array" ref="AX629">INDEX(V629:AG629,1,MATCH(Parametres!$B$3,V$1:AG$1,0))*IF(OR(C629="L",C629="S",C629="I"),-1,1)</f>
        <v>0</v>
      </c>
      <c r="AY629" s="853" t="s">
        <v>772</v>
      </c>
      <c r="AZ629" s="853" t="str">
        <f>+VLOOKUP($AJ629,Data_Validation!$A:$E,5,0)</f>
        <v>#N/A</v>
      </c>
    </row>
    <row r="630" ht="15.0" customHeight="1">
      <c r="A630" s="849" t="s">
        <v>1239</v>
      </c>
      <c r="B630" s="849">
        <v>2026.0</v>
      </c>
      <c r="C630" s="849" t="s">
        <v>2487</v>
      </c>
      <c r="D630" s="849" t="s">
        <v>2488</v>
      </c>
      <c r="E630" s="849" t="s">
        <v>2426</v>
      </c>
      <c r="F630" s="849" t="s">
        <v>2426</v>
      </c>
      <c r="G630" s="849">
        <v>0.0</v>
      </c>
      <c r="H630" s="849">
        <v>0.0</v>
      </c>
      <c r="I630" s="849">
        <v>0.0</v>
      </c>
      <c r="J630" s="849">
        <v>0.0</v>
      </c>
      <c r="K630" s="849">
        <v>0.0</v>
      </c>
      <c r="L630" s="849">
        <v>0.0</v>
      </c>
      <c r="M630" s="849">
        <v>0.0</v>
      </c>
      <c r="N630" s="849">
        <v>0.0</v>
      </c>
      <c r="O630" s="849">
        <v>0.0</v>
      </c>
      <c r="P630" s="849">
        <v>0.0</v>
      </c>
      <c r="Q630" s="849">
        <v>0.0</v>
      </c>
      <c r="R630" s="849">
        <v>0.0</v>
      </c>
      <c r="S630" s="849">
        <v>0.0</v>
      </c>
      <c r="T630" s="849">
        <v>0.0</v>
      </c>
      <c r="U630" s="849">
        <v>0.0</v>
      </c>
      <c r="V630" s="849">
        <v>0.0</v>
      </c>
      <c r="W630" s="849">
        <v>0.0</v>
      </c>
      <c r="X630" s="849">
        <v>0.0</v>
      </c>
      <c r="Y630" s="849">
        <v>0.0</v>
      </c>
      <c r="Z630" s="849">
        <v>0.0</v>
      </c>
      <c r="AA630" s="849">
        <v>0.0</v>
      </c>
      <c r="AB630" s="849">
        <v>0.0</v>
      </c>
      <c r="AC630" s="849">
        <v>0.0</v>
      </c>
      <c r="AD630" s="849">
        <v>0.0</v>
      </c>
      <c r="AE630" s="849">
        <v>0.0</v>
      </c>
      <c r="AF630" s="849">
        <v>0.0</v>
      </c>
      <c r="AG630" s="849">
        <v>0.0</v>
      </c>
      <c r="AH630" s="849">
        <v>0.0</v>
      </c>
      <c r="AI630" s="849">
        <v>0.0</v>
      </c>
      <c r="AJ630" s="794" t="str">
        <f t="shared" ref="AJ630:AK630" si="1257">C630</f>
        <v>G42320</v>
      </c>
      <c r="AK630" s="794" t="str">
        <f t="shared" si="1257"/>
        <v>VTES-VENTURE-UPLANDER-LOC</v>
      </c>
      <c r="AL630" s="794">
        <f t="array" ref="AL630">IFERROR(INDEX(G630:R630,1,MATCH(Parametres!$B$3,G$1:R$1,0)-1)*IF(OR(F630="L",F630="S",F630="I"),-1,1),"")</f>
        <v>0</v>
      </c>
      <c r="AM630" s="794">
        <f t="shared" si="4"/>
        <v>0</v>
      </c>
      <c r="AN630" s="794">
        <f t="array" ref="AN630">INDEX(G630:R630,1,MATCH(Parametres!$B$3,G$1:R$1,0))*IF(OR(F630="L",F630="S",F630="I"),-1,1)</f>
        <v>0</v>
      </c>
      <c r="AO630" s="853" t="str">
        <f>+VLOOKUP($AJ630,Data_Validation!$A:$D,1,0)</f>
        <v>#N/A</v>
      </c>
      <c r="AP630" s="853" t="str">
        <f>+VLOOKUP($AJ630,Data_Validation!$A:$D,3,0)</f>
        <v>#N/A</v>
      </c>
      <c r="AQ630" s="853" t="str">
        <f>+VLOOKUP($AJ630,Data_Validation!$A:$D,4,0)</f>
        <v>#N/A</v>
      </c>
      <c r="AR630" s="853" t="s">
        <v>728</v>
      </c>
      <c r="AS630" s="853" t="str">
        <f>+VLOOKUP($AJ630,Data_Validation!$A:$E,5,0)</f>
        <v>#N/A</v>
      </c>
      <c r="AT630" s="794" t="str">
        <f t="shared" ref="AT630:AU630" si="1258">C630</f>
        <v>G42320</v>
      </c>
      <c r="AU630" s="854" t="str">
        <f t="shared" si="1258"/>
        <v>VTES-VENTURE-UPLANDER-LOC</v>
      </c>
      <c r="AV630" s="794">
        <f t="array" ref="AV630">IFERROR(INDEX(V630:AG630,1,MATCH(Parametres!$B$3,V$1:AG$1,0)-1)*IF(OR(C630="L",C630="S",C630="I"),-1,1),"")</f>
        <v>0</v>
      </c>
      <c r="AW630" s="794">
        <f t="shared" si="6"/>
        <v>0</v>
      </c>
      <c r="AX630" s="794">
        <f t="array" ref="AX630">INDEX(V630:AG630,1,MATCH(Parametres!$B$3,V$1:AG$1,0))*IF(OR(C630="L",C630="S",C630="I"),-1,1)</f>
        <v>0</v>
      </c>
      <c r="AY630" s="853" t="s">
        <v>772</v>
      </c>
      <c r="AZ630" s="853" t="str">
        <f>+VLOOKUP($AJ630,Data_Validation!$A:$E,5,0)</f>
        <v>#N/A</v>
      </c>
    </row>
    <row r="631" ht="15.0" customHeight="1">
      <c r="A631" s="849" t="s">
        <v>1239</v>
      </c>
      <c r="B631" s="849">
        <v>2026.0</v>
      </c>
      <c r="C631" s="849" t="s">
        <v>2489</v>
      </c>
      <c r="D631" s="849" t="s">
        <v>2490</v>
      </c>
      <c r="E631" s="849" t="s">
        <v>2426</v>
      </c>
      <c r="F631" s="849" t="s">
        <v>2426</v>
      </c>
      <c r="G631" s="849">
        <v>93796.43</v>
      </c>
      <c r="H631" s="849">
        <v>93796.43</v>
      </c>
      <c r="I631" s="849">
        <v>93796.43</v>
      </c>
      <c r="J631" s="849">
        <v>240565.64</v>
      </c>
      <c r="K631" s="849">
        <v>330422.31</v>
      </c>
      <c r="L631" s="849">
        <v>330422.31</v>
      </c>
      <c r="M631" s="849">
        <v>469151.31</v>
      </c>
      <c r="N631" s="849">
        <v>573703.9</v>
      </c>
      <c r="O631" s="849">
        <v>573703.9</v>
      </c>
      <c r="P631" s="849">
        <v>573703.9</v>
      </c>
      <c r="Q631" s="849">
        <v>0.0</v>
      </c>
      <c r="R631" s="849">
        <v>0.0</v>
      </c>
      <c r="S631" s="849">
        <v>63744.88</v>
      </c>
      <c r="T631" s="849">
        <v>63744.88</v>
      </c>
      <c r="U631" s="849">
        <v>0.0</v>
      </c>
      <c r="V631" s="849">
        <v>2.0</v>
      </c>
      <c r="W631" s="849">
        <v>2.0</v>
      </c>
      <c r="X631" s="849">
        <v>2.0</v>
      </c>
      <c r="Y631" s="849">
        <v>5.0</v>
      </c>
      <c r="Z631" s="849">
        <v>7.0</v>
      </c>
      <c r="AA631" s="849">
        <v>7.0</v>
      </c>
      <c r="AB631" s="849">
        <v>10.0</v>
      </c>
      <c r="AC631" s="849">
        <v>12.0</v>
      </c>
      <c r="AD631" s="849">
        <v>12.0</v>
      </c>
      <c r="AE631" s="849">
        <v>12.0</v>
      </c>
      <c r="AF631" s="849">
        <v>0.0</v>
      </c>
      <c r="AG631" s="849">
        <v>0.0</v>
      </c>
      <c r="AH631" s="849">
        <v>1.0</v>
      </c>
      <c r="AI631" s="849">
        <v>1.0</v>
      </c>
      <c r="AJ631" s="794" t="str">
        <f t="shared" ref="AJ631:AK631" si="1259">C631</f>
        <v>G42400</v>
      </c>
      <c r="AK631" s="794" t="str">
        <f t="shared" si="1259"/>
        <v>VTES-TERRAIN</v>
      </c>
      <c r="AL631" s="794">
        <f t="array" ref="AL631">IFERROR(INDEX(G631:R631,1,MATCH(Parametres!$B$3,G$1:R$1,0)-1)*IF(OR(F631="L",F631="S",F631="I"),-1,1),"")</f>
        <v>-573703.9</v>
      </c>
      <c r="AM631" s="794">
        <f t="shared" si="4"/>
        <v>0</v>
      </c>
      <c r="AN631" s="794">
        <f t="array" ref="AN631">INDEX(G631:R631,1,MATCH(Parametres!$B$3,G$1:R$1,0))*IF(OR(F631="L",F631="S",F631="I"),-1,1)</f>
        <v>-573703.9</v>
      </c>
      <c r="AO631" s="853" t="str">
        <f>+VLOOKUP($AJ631,Data_Validation!$A:$D,1,0)</f>
        <v>G42400</v>
      </c>
      <c r="AP631" s="853" t="str">
        <f>+VLOOKUP($AJ631,Data_Validation!$A:$D,3,0)</f>
        <v>Véhicules neufs</v>
      </c>
      <c r="AQ631" s="853" t="str">
        <f>+VLOOKUP($AJ631,Data_Validation!$A:$D,4,0)</f>
        <v>Camions détail</v>
      </c>
      <c r="AR631" s="853" t="s">
        <v>728</v>
      </c>
      <c r="AS631" s="853" t="str">
        <f>+VLOOKUP($AJ631,Data_Validation!$A:$E,5,0)</f>
        <v>Oui</v>
      </c>
      <c r="AT631" s="794" t="str">
        <f t="shared" ref="AT631:AU631" si="1260">C631</f>
        <v>G42400</v>
      </c>
      <c r="AU631" s="854" t="str">
        <f t="shared" si="1260"/>
        <v>VTES-TERRAIN</v>
      </c>
      <c r="AV631" s="794">
        <f t="array" ref="AV631">IFERROR(INDEX(V631:AG631,1,MATCH(Parametres!$B$3,V$1:AG$1,0)-1)*IF(OR(C631="L",C631="S",C631="I"),-1,1),"")</f>
        <v>12</v>
      </c>
      <c r="AW631" s="794">
        <f t="shared" si="6"/>
        <v>0</v>
      </c>
      <c r="AX631" s="794">
        <f t="array" ref="AX631">INDEX(V631:AG631,1,MATCH(Parametres!$B$3,V$1:AG$1,0))*IF(OR(C631="L",C631="S",C631="I"),-1,1)</f>
        <v>12</v>
      </c>
      <c r="AY631" s="853" t="s">
        <v>772</v>
      </c>
      <c r="AZ631" s="853" t="str">
        <f>+VLOOKUP($AJ631,Data_Validation!$A:$E,5,0)</f>
        <v>Oui</v>
      </c>
    </row>
    <row r="632" ht="15.0" customHeight="1">
      <c r="A632" s="849" t="s">
        <v>1239</v>
      </c>
      <c r="B632" s="849">
        <v>2026.0</v>
      </c>
      <c r="C632" s="849" t="s">
        <v>2491</v>
      </c>
      <c r="D632" s="849" t="s">
        <v>2492</v>
      </c>
      <c r="E632" s="849" t="s">
        <v>2426</v>
      </c>
      <c r="F632" s="849" t="s">
        <v>2426</v>
      </c>
      <c r="G632" s="849">
        <v>0.0</v>
      </c>
      <c r="H632" s="849">
        <v>0.0</v>
      </c>
      <c r="I632" s="849">
        <v>0.0</v>
      </c>
      <c r="J632" s="849">
        <v>0.0</v>
      </c>
      <c r="K632" s="849">
        <v>409811.5</v>
      </c>
      <c r="L632" s="849">
        <v>668670.41</v>
      </c>
      <c r="M632" s="849">
        <v>1186449.53</v>
      </c>
      <c r="N632" s="849">
        <v>1792442.06</v>
      </c>
      <c r="O632" s="849">
        <v>3161694.2</v>
      </c>
      <c r="P632" s="849">
        <v>3525492.13</v>
      </c>
      <c r="Q632" s="849">
        <v>0.0</v>
      </c>
      <c r="R632" s="849">
        <v>0.0</v>
      </c>
      <c r="S632" s="849">
        <v>351299.36</v>
      </c>
      <c r="T632" s="849">
        <v>351299.36</v>
      </c>
      <c r="U632" s="849">
        <v>0.0</v>
      </c>
      <c r="V632" s="849">
        <v>0.0</v>
      </c>
      <c r="W632" s="849">
        <v>0.0</v>
      </c>
      <c r="X632" s="849">
        <v>0.0</v>
      </c>
      <c r="Y632" s="849">
        <v>0.0</v>
      </c>
      <c r="Z632" s="849">
        <v>9.0</v>
      </c>
      <c r="AA632" s="849">
        <v>15.0</v>
      </c>
      <c r="AB632" s="849">
        <v>27.0</v>
      </c>
      <c r="AC632" s="849">
        <v>41.0</v>
      </c>
      <c r="AD632" s="849">
        <v>72.0</v>
      </c>
      <c r="AE632" s="849">
        <v>80.0</v>
      </c>
      <c r="AF632" s="849">
        <v>0.0</v>
      </c>
      <c r="AG632" s="849">
        <v>0.0</v>
      </c>
      <c r="AH632" s="849">
        <v>8.0</v>
      </c>
      <c r="AI632" s="849">
        <v>8.0</v>
      </c>
      <c r="AJ632" s="794" t="str">
        <f t="shared" ref="AJ632:AK632" si="1261">C632</f>
        <v>G42401</v>
      </c>
      <c r="AK632" s="794" t="str">
        <f t="shared" si="1261"/>
        <v>VENTES - BOLT EUV</v>
      </c>
      <c r="AL632" s="794">
        <f t="array" ref="AL632">IFERROR(INDEX(G632:R632,1,MATCH(Parametres!$B$3,G$1:R$1,0)-1)*IF(OR(F632="L",F632="S",F632="I"),-1,1),"")</f>
        <v>-1792442.06</v>
      </c>
      <c r="AM632" s="794">
        <f t="shared" si="4"/>
        <v>-1369252.14</v>
      </c>
      <c r="AN632" s="794">
        <f t="array" ref="AN632">INDEX(G632:R632,1,MATCH(Parametres!$B$3,G$1:R$1,0))*IF(OR(F632="L",F632="S",F632="I"),-1,1)</f>
        <v>-3161694.2</v>
      </c>
      <c r="AO632" s="853" t="str">
        <f>+VLOOKUP($AJ632,Data_Validation!$A:$D,1,0)</f>
        <v>G42401</v>
      </c>
      <c r="AP632" s="853" t="str">
        <f>+VLOOKUP($AJ632,Data_Validation!$A:$D,3,0)</f>
        <v>Véhicules neufs</v>
      </c>
      <c r="AQ632" s="853" t="str">
        <f>+VLOOKUP($AJ632,Data_Validation!$A:$D,4,0)</f>
        <v>Camions electriques</v>
      </c>
      <c r="AR632" s="853" t="s">
        <v>728</v>
      </c>
      <c r="AS632" s="853" t="str">
        <f>+VLOOKUP($AJ632,Data_Validation!$A:$E,5,0)</f>
        <v>Oui</v>
      </c>
      <c r="AT632" s="794" t="str">
        <f t="shared" ref="AT632:AU632" si="1262">C632</f>
        <v>G42401</v>
      </c>
      <c r="AU632" s="854" t="str">
        <f t="shared" si="1262"/>
        <v>VENTES - BOLT EUV</v>
      </c>
      <c r="AV632" s="794">
        <f t="array" ref="AV632">IFERROR(INDEX(V632:AG632,1,MATCH(Parametres!$B$3,V$1:AG$1,0)-1)*IF(OR(C632="L",C632="S",C632="I"),-1,1),"")</f>
        <v>41</v>
      </c>
      <c r="AW632" s="794">
        <f t="shared" si="6"/>
        <v>31</v>
      </c>
      <c r="AX632" s="794">
        <f t="array" ref="AX632">INDEX(V632:AG632,1,MATCH(Parametres!$B$3,V$1:AG$1,0))*IF(OR(C632="L",C632="S",C632="I"),-1,1)</f>
        <v>72</v>
      </c>
      <c r="AY632" s="853" t="s">
        <v>772</v>
      </c>
      <c r="AZ632" s="853" t="str">
        <f>+VLOOKUP($AJ632,Data_Validation!$A:$E,5,0)</f>
        <v>Oui</v>
      </c>
    </row>
    <row r="633" ht="15.0" customHeight="1">
      <c r="A633" s="849" t="s">
        <v>1239</v>
      </c>
      <c r="B633" s="849">
        <v>2026.0</v>
      </c>
      <c r="C633" s="849" t="s">
        <v>2493</v>
      </c>
      <c r="D633" s="849" t="s">
        <v>2494</v>
      </c>
      <c r="E633" s="849" t="s">
        <v>2426</v>
      </c>
      <c r="F633" s="849" t="s">
        <v>2426</v>
      </c>
      <c r="G633" s="849">
        <v>0.0</v>
      </c>
      <c r="H633" s="849">
        <v>0.0</v>
      </c>
      <c r="I633" s="849">
        <v>0.0</v>
      </c>
      <c r="J633" s="849">
        <v>0.0</v>
      </c>
      <c r="K633" s="849">
        <v>0.0</v>
      </c>
      <c r="L633" s="849">
        <v>0.0</v>
      </c>
      <c r="M633" s="849">
        <v>0.0</v>
      </c>
      <c r="N633" s="849">
        <v>0.0</v>
      </c>
      <c r="O633" s="849">
        <v>0.0</v>
      </c>
      <c r="P633" s="849">
        <v>0.0</v>
      </c>
      <c r="Q633" s="849">
        <v>0.0</v>
      </c>
      <c r="R633" s="849">
        <v>0.0</v>
      </c>
      <c r="S633" s="849">
        <v>0.0</v>
      </c>
      <c r="T633" s="849">
        <v>0.0</v>
      </c>
      <c r="U633" s="849">
        <v>0.0</v>
      </c>
      <c r="V633" s="849">
        <v>0.0</v>
      </c>
      <c r="W633" s="849">
        <v>0.0</v>
      </c>
      <c r="X633" s="849">
        <v>0.0</v>
      </c>
      <c r="Y633" s="849">
        <v>0.0</v>
      </c>
      <c r="Z633" s="849">
        <v>0.0</v>
      </c>
      <c r="AA633" s="849">
        <v>0.0</v>
      </c>
      <c r="AB633" s="849">
        <v>0.0</v>
      </c>
      <c r="AC633" s="849">
        <v>0.0</v>
      </c>
      <c r="AD633" s="849">
        <v>0.0</v>
      </c>
      <c r="AE633" s="849">
        <v>0.0</v>
      </c>
      <c r="AF633" s="849">
        <v>0.0</v>
      </c>
      <c r="AG633" s="849">
        <v>0.0</v>
      </c>
      <c r="AH633" s="849">
        <v>0.0</v>
      </c>
      <c r="AI633" s="849">
        <v>0.0</v>
      </c>
      <c r="AJ633" s="794" t="str">
        <f t="shared" ref="AJ633:AK633" si="1263">C633</f>
        <v>G42412</v>
      </c>
      <c r="AK633" s="794" t="str">
        <f t="shared" si="1263"/>
        <v>VTES-TOPKICK 6/7/8 C</v>
      </c>
      <c r="AL633" s="794">
        <f t="array" ref="AL633">IFERROR(INDEX(G633:R633,1,MATCH(Parametres!$B$3,G$1:R$1,0)-1)*IF(OR(F633="L",F633="S",F633="I"),-1,1),"")</f>
        <v>0</v>
      </c>
      <c r="AM633" s="794">
        <f t="shared" si="4"/>
        <v>0</v>
      </c>
      <c r="AN633" s="794">
        <f t="array" ref="AN633">INDEX(G633:R633,1,MATCH(Parametres!$B$3,G$1:R$1,0))*IF(OR(F633="L",F633="S",F633="I"),-1,1)</f>
        <v>0</v>
      </c>
      <c r="AO633" s="853" t="str">
        <f>+VLOOKUP($AJ633,Data_Validation!$A:$D,1,0)</f>
        <v>#N/A</v>
      </c>
      <c r="AP633" s="853" t="str">
        <f>+VLOOKUP($AJ633,Data_Validation!$A:$D,3,0)</f>
        <v>#N/A</v>
      </c>
      <c r="AQ633" s="853" t="str">
        <f>+VLOOKUP($AJ633,Data_Validation!$A:$D,4,0)</f>
        <v>#N/A</v>
      </c>
      <c r="AR633" s="853" t="s">
        <v>728</v>
      </c>
      <c r="AS633" s="853" t="str">
        <f>+VLOOKUP($AJ633,Data_Validation!$A:$E,5,0)</f>
        <v>#N/A</v>
      </c>
      <c r="AT633" s="794" t="str">
        <f t="shared" ref="AT633:AU633" si="1264">C633</f>
        <v>G42412</v>
      </c>
      <c r="AU633" s="854" t="str">
        <f t="shared" si="1264"/>
        <v>VTES-TOPKICK 6/7/8 C</v>
      </c>
      <c r="AV633" s="794">
        <f t="array" ref="AV633">IFERROR(INDEX(V633:AG633,1,MATCH(Parametres!$B$3,V$1:AG$1,0)-1)*IF(OR(C633="L",C633="S",C633="I"),-1,1),"")</f>
        <v>0</v>
      </c>
      <c r="AW633" s="794">
        <f t="shared" si="6"/>
        <v>0</v>
      </c>
      <c r="AX633" s="794">
        <f t="array" ref="AX633">INDEX(V633:AG633,1,MATCH(Parametres!$B$3,V$1:AG$1,0))*IF(OR(C633="L",C633="S",C633="I"),-1,1)</f>
        <v>0</v>
      </c>
      <c r="AY633" s="853" t="s">
        <v>772</v>
      </c>
      <c r="AZ633" s="853" t="str">
        <f>+VLOOKUP($AJ633,Data_Validation!$A:$E,5,0)</f>
        <v>#N/A</v>
      </c>
    </row>
    <row r="634" ht="15.0" customHeight="1">
      <c r="A634" s="849" t="s">
        <v>1239</v>
      </c>
      <c r="B634" s="849">
        <v>2026.0</v>
      </c>
      <c r="C634" s="849" t="s">
        <v>2495</v>
      </c>
      <c r="D634" s="849" t="s">
        <v>2496</v>
      </c>
      <c r="E634" s="849" t="s">
        <v>2426</v>
      </c>
      <c r="F634" s="849" t="s">
        <v>2426</v>
      </c>
      <c r="G634" s="849">
        <v>0.0</v>
      </c>
      <c r="H634" s="849">
        <v>0.0</v>
      </c>
      <c r="I634" s="849">
        <v>0.0</v>
      </c>
      <c r="J634" s="849">
        <v>0.0</v>
      </c>
      <c r="K634" s="849">
        <v>0.0</v>
      </c>
      <c r="L634" s="849">
        <v>0.0</v>
      </c>
      <c r="M634" s="849">
        <v>0.0</v>
      </c>
      <c r="N634" s="849">
        <v>0.0</v>
      </c>
      <c r="O634" s="849">
        <v>0.0</v>
      </c>
      <c r="P634" s="849">
        <v>0.0</v>
      </c>
      <c r="Q634" s="849">
        <v>0.0</v>
      </c>
      <c r="R634" s="849">
        <v>0.0</v>
      </c>
      <c r="S634" s="849">
        <v>0.0</v>
      </c>
      <c r="T634" s="849">
        <v>0.0</v>
      </c>
      <c r="U634" s="849">
        <v>0.0</v>
      </c>
      <c r="V634" s="849">
        <v>0.0</v>
      </c>
      <c r="W634" s="849">
        <v>0.0</v>
      </c>
      <c r="X634" s="849">
        <v>0.0</v>
      </c>
      <c r="Y634" s="849">
        <v>0.0</v>
      </c>
      <c r="Z634" s="849">
        <v>0.0</v>
      </c>
      <c r="AA634" s="849">
        <v>0.0</v>
      </c>
      <c r="AB634" s="849">
        <v>0.0</v>
      </c>
      <c r="AC634" s="849">
        <v>0.0</v>
      </c>
      <c r="AD634" s="849">
        <v>0.0</v>
      </c>
      <c r="AE634" s="849">
        <v>0.0</v>
      </c>
      <c r="AF634" s="849">
        <v>0.0</v>
      </c>
      <c r="AG634" s="849">
        <v>0.0</v>
      </c>
      <c r="AH634" s="849">
        <v>0.0</v>
      </c>
      <c r="AI634" s="849">
        <v>0.0</v>
      </c>
      <c r="AJ634" s="794" t="str">
        <f t="shared" ref="AJ634:AK634" si="1265">C634</f>
        <v>G42500</v>
      </c>
      <c r="AK634" s="794" t="str">
        <f t="shared" si="1265"/>
        <v>VTES-G EXPRESS</v>
      </c>
      <c r="AL634" s="794">
        <f t="array" ref="AL634">IFERROR(INDEX(G634:R634,1,MATCH(Parametres!$B$3,G$1:R$1,0)-1)*IF(OR(F634="L",F634="S",F634="I"),-1,1),"")</f>
        <v>0</v>
      </c>
      <c r="AM634" s="794">
        <f t="shared" si="4"/>
        <v>0</v>
      </c>
      <c r="AN634" s="794">
        <f t="array" ref="AN634">INDEX(G634:R634,1,MATCH(Parametres!$B$3,G$1:R$1,0))*IF(OR(F634="L",F634="S",F634="I"),-1,1)</f>
        <v>0</v>
      </c>
      <c r="AO634" s="853" t="str">
        <f>+VLOOKUP($AJ634,Data_Validation!$A:$D,1,0)</f>
        <v>G42500</v>
      </c>
      <c r="AP634" s="853" t="str">
        <f>+VLOOKUP($AJ634,Data_Validation!$A:$D,3,0)</f>
        <v>Véhicules neufs</v>
      </c>
      <c r="AQ634" s="853" t="str">
        <f>+VLOOKUP($AJ634,Data_Validation!$A:$D,4,0)</f>
        <v>Camions détail</v>
      </c>
      <c r="AR634" s="853" t="s">
        <v>728</v>
      </c>
      <c r="AS634" s="853" t="str">
        <f>+VLOOKUP($AJ634,Data_Validation!$A:$E,5,0)</f>
        <v>Oui</v>
      </c>
      <c r="AT634" s="794" t="str">
        <f t="shared" ref="AT634:AU634" si="1266">C634</f>
        <v>G42500</v>
      </c>
      <c r="AU634" s="854" t="str">
        <f t="shared" si="1266"/>
        <v>VTES-G EXPRESS</v>
      </c>
      <c r="AV634" s="794">
        <f t="array" ref="AV634">IFERROR(INDEX(V634:AG634,1,MATCH(Parametres!$B$3,V$1:AG$1,0)-1)*IF(OR(C634="L",C634="S",C634="I"),-1,1),"")</f>
        <v>0</v>
      </c>
      <c r="AW634" s="794">
        <f t="shared" si="6"/>
        <v>0</v>
      </c>
      <c r="AX634" s="794">
        <f t="array" ref="AX634">INDEX(V634:AG634,1,MATCH(Parametres!$B$3,V$1:AG$1,0))*IF(OR(C634="L",C634="S",C634="I"),-1,1)</f>
        <v>0</v>
      </c>
      <c r="AY634" s="853" t="s">
        <v>772</v>
      </c>
      <c r="AZ634" s="853" t="str">
        <f>+VLOOKUP($AJ634,Data_Validation!$A:$E,5,0)</f>
        <v>Oui</v>
      </c>
    </row>
    <row r="635" ht="15.0" customHeight="1">
      <c r="A635" s="849" t="s">
        <v>1239</v>
      </c>
      <c r="B635" s="849">
        <v>2026.0</v>
      </c>
      <c r="C635" s="849" t="s">
        <v>2497</v>
      </c>
      <c r="D635" s="849" t="s">
        <v>2498</v>
      </c>
      <c r="E635" s="849" t="s">
        <v>2426</v>
      </c>
      <c r="F635" s="849" t="s">
        <v>2426</v>
      </c>
      <c r="G635" s="849">
        <v>0.0</v>
      </c>
      <c r="H635" s="849">
        <v>0.0</v>
      </c>
      <c r="I635" s="849">
        <v>0.0</v>
      </c>
      <c r="J635" s="849">
        <v>0.0</v>
      </c>
      <c r="K635" s="849">
        <v>50150.0</v>
      </c>
      <c r="L635" s="849">
        <v>50150.0</v>
      </c>
      <c r="M635" s="849">
        <v>50150.0</v>
      </c>
      <c r="N635" s="849">
        <v>50150.0</v>
      </c>
      <c r="O635" s="849">
        <v>50150.0</v>
      </c>
      <c r="P635" s="849">
        <v>50150.0</v>
      </c>
      <c r="Q635" s="849">
        <v>0.0</v>
      </c>
      <c r="R635" s="849">
        <v>0.0</v>
      </c>
      <c r="S635" s="849">
        <v>5572.22</v>
      </c>
      <c r="T635" s="849">
        <v>5572.22</v>
      </c>
      <c r="U635" s="849">
        <v>0.0</v>
      </c>
      <c r="V635" s="849">
        <v>0.0</v>
      </c>
      <c r="W635" s="849">
        <v>0.0</v>
      </c>
      <c r="X635" s="849">
        <v>0.0</v>
      </c>
      <c r="Y635" s="849">
        <v>0.0</v>
      </c>
      <c r="Z635" s="849">
        <v>1.0</v>
      </c>
      <c r="AA635" s="849">
        <v>1.0</v>
      </c>
      <c r="AB635" s="849">
        <v>1.0</v>
      </c>
      <c r="AC635" s="849">
        <v>1.0</v>
      </c>
      <c r="AD635" s="849">
        <v>1.0</v>
      </c>
      <c r="AE635" s="849">
        <v>1.0</v>
      </c>
      <c r="AF635" s="849">
        <v>0.0</v>
      </c>
      <c r="AG635" s="849">
        <v>0.0</v>
      </c>
      <c r="AH635" s="849">
        <v>0.0</v>
      </c>
      <c r="AI635" s="849">
        <v>0.0</v>
      </c>
      <c r="AJ635" s="794" t="str">
        <f t="shared" ref="AJ635:AK635" si="1267">C635</f>
        <v>G42502</v>
      </c>
      <c r="AK635" s="794" t="str">
        <f t="shared" si="1267"/>
        <v>VENTES SAVANA</v>
      </c>
      <c r="AL635" s="794">
        <f t="array" ref="AL635">IFERROR(INDEX(G635:R635,1,MATCH(Parametres!$B$3,G$1:R$1,0)-1)*IF(OR(F635="L",F635="S",F635="I"),-1,1),"")</f>
        <v>-50150</v>
      </c>
      <c r="AM635" s="794">
        <f t="shared" si="4"/>
        <v>0</v>
      </c>
      <c r="AN635" s="794">
        <f t="array" ref="AN635">INDEX(G635:R635,1,MATCH(Parametres!$B$3,G$1:R$1,0))*IF(OR(F635="L",F635="S",F635="I"),-1,1)</f>
        <v>-50150</v>
      </c>
      <c r="AO635" s="853" t="str">
        <f>+VLOOKUP($AJ635,Data_Validation!$A:$D,1,0)</f>
        <v>G42502</v>
      </c>
      <c r="AP635" s="853" t="str">
        <f>+VLOOKUP($AJ635,Data_Validation!$A:$D,3,0)</f>
        <v>Véhicules neufs</v>
      </c>
      <c r="AQ635" s="853" t="str">
        <f>+VLOOKUP($AJ635,Data_Validation!$A:$D,4,0)</f>
        <v>Camions electriques</v>
      </c>
      <c r="AR635" s="853" t="s">
        <v>728</v>
      </c>
      <c r="AS635" s="853" t="str">
        <f>+VLOOKUP($AJ635,Data_Validation!$A:$E,5,0)</f>
        <v>Oui</v>
      </c>
      <c r="AT635" s="794" t="str">
        <f t="shared" ref="AT635:AU635" si="1268">C635</f>
        <v>G42502</v>
      </c>
      <c r="AU635" s="854" t="str">
        <f t="shared" si="1268"/>
        <v>VENTES SAVANA</v>
      </c>
      <c r="AV635" s="794">
        <f t="array" ref="AV635">IFERROR(INDEX(V635:AG635,1,MATCH(Parametres!$B$3,V$1:AG$1,0)-1)*IF(OR(C635="L",C635="S",C635="I"),-1,1),"")</f>
        <v>1</v>
      </c>
      <c r="AW635" s="794">
        <f t="shared" si="6"/>
        <v>0</v>
      </c>
      <c r="AX635" s="794">
        <f t="array" ref="AX635">INDEX(V635:AG635,1,MATCH(Parametres!$B$3,V$1:AG$1,0))*IF(OR(C635="L",C635="S",C635="I"),-1,1)</f>
        <v>1</v>
      </c>
      <c r="AY635" s="853" t="s">
        <v>772</v>
      </c>
      <c r="AZ635" s="853" t="str">
        <f>+VLOOKUP($AJ635,Data_Validation!$A:$E,5,0)</f>
        <v>Oui</v>
      </c>
    </row>
    <row r="636" ht="15.0" customHeight="1">
      <c r="A636" s="849" t="s">
        <v>1239</v>
      </c>
      <c r="B636" s="849">
        <v>2026.0</v>
      </c>
      <c r="C636" s="849" t="s">
        <v>2499</v>
      </c>
      <c r="D636" s="849" t="s">
        <v>2500</v>
      </c>
      <c r="E636" s="849" t="s">
        <v>2426</v>
      </c>
      <c r="F636" s="849" t="s">
        <v>2426</v>
      </c>
      <c r="G636" s="849">
        <v>0.0</v>
      </c>
      <c r="H636" s="849">
        <v>0.0</v>
      </c>
      <c r="I636" s="849">
        <v>0.0</v>
      </c>
      <c r="J636" s="849">
        <v>0.0</v>
      </c>
      <c r="K636" s="849">
        <v>0.0</v>
      </c>
      <c r="L636" s="849">
        <v>0.0</v>
      </c>
      <c r="M636" s="849">
        <v>0.0</v>
      </c>
      <c r="N636" s="849">
        <v>0.0</v>
      </c>
      <c r="O636" s="849">
        <v>0.0</v>
      </c>
      <c r="P636" s="849">
        <v>0.0</v>
      </c>
      <c r="Q636" s="849">
        <v>0.0</v>
      </c>
      <c r="R636" s="849">
        <v>0.0</v>
      </c>
      <c r="S636" s="849">
        <v>0.0</v>
      </c>
      <c r="T636" s="849">
        <v>0.0</v>
      </c>
      <c r="U636" s="849">
        <v>0.0</v>
      </c>
      <c r="V636" s="849">
        <v>0.0</v>
      </c>
      <c r="W636" s="849">
        <v>0.0</v>
      </c>
      <c r="X636" s="849">
        <v>0.0</v>
      </c>
      <c r="Y636" s="849">
        <v>0.0</v>
      </c>
      <c r="Z636" s="849">
        <v>0.0</v>
      </c>
      <c r="AA636" s="849">
        <v>0.0</v>
      </c>
      <c r="AB636" s="849">
        <v>0.0</v>
      </c>
      <c r="AC636" s="849">
        <v>0.0</v>
      </c>
      <c r="AD636" s="849">
        <v>0.0</v>
      </c>
      <c r="AE636" s="849">
        <v>0.0</v>
      </c>
      <c r="AF636" s="849">
        <v>0.0</v>
      </c>
      <c r="AG636" s="849">
        <v>0.0</v>
      </c>
      <c r="AH636" s="849">
        <v>0.0</v>
      </c>
      <c r="AI636" s="849">
        <v>0.0</v>
      </c>
      <c r="AJ636" s="794" t="str">
        <f t="shared" ref="AJ636:AK636" si="1269">C636</f>
        <v>G42512</v>
      </c>
      <c r="AK636" s="794" t="str">
        <f t="shared" si="1269"/>
        <v>VTES-TOPKICK 6/7/8 T</v>
      </c>
      <c r="AL636" s="794">
        <f t="array" ref="AL636">IFERROR(INDEX(G636:R636,1,MATCH(Parametres!$B$3,G$1:R$1,0)-1)*IF(OR(F636="L",F636="S",F636="I"),-1,1),"")</f>
        <v>0</v>
      </c>
      <c r="AM636" s="794">
        <f t="shared" si="4"/>
        <v>0</v>
      </c>
      <c r="AN636" s="794">
        <f t="array" ref="AN636">INDEX(G636:R636,1,MATCH(Parametres!$B$3,G$1:R$1,0))*IF(OR(F636="L",F636="S",F636="I"),-1,1)</f>
        <v>0</v>
      </c>
      <c r="AO636" s="853" t="str">
        <f>+VLOOKUP($AJ636,Data_Validation!$A:$D,1,0)</f>
        <v>#N/A</v>
      </c>
      <c r="AP636" s="853" t="str">
        <f>+VLOOKUP($AJ636,Data_Validation!$A:$D,3,0)</f>
        <v>#N/A</v>
      </c>
      <c r="AQ636" s="853" t="str">
        <f>+VLOOKUP($AJ636,Data_Validation!$A:$D,4,0)</f>
        <v>#N/A</v>
      </c>
      <c r="AR636" s="853" t="s">
        <v>728</v>
      </c>
      <c r="AS636" s="853" t="str">
        <f>+VLOOKUP($AJ636,Data_Validation!$A:$E,5,0)</f>
        <v>#N/A</v>
      </c>
      <c r="AT636" s="794" t="str">
        <f t="shared" ref="AT636:AU636" si="1270">C636</f>
        <v>G42512</v>
      </c>
      <c r="AU636" s="854" t="str">
        <f t="shared" si="1270"/>
        <v>VTES-TOPKICK 6/7/8 T</v>
      </c>
      <c r="AV636" s="794">
        <f t="array" ref="AV636">IFERROR(INDEX(V636:AG636,1,MATCH(Parametres!$B$3,V$1:AG$1,0)-1)*IF(OR(C636="L",C636="S",C636="I"),-1,1),"")</f>
        <v>0</v>
      </c>
      <c r="AW636" s="794">
        <f t="shared" si="6"/>
        <v>0</v>
      </c>
      <c r="AX636" s="794">
        <f t="array" ref="AX636">INDEX(V636:AG636,1,MATCH(Parametres!$B$3,V$1:AG$1,0))*IF(OR(C636="L",C636="S",C636="I"),-1,1)</f>
        <v>0</v>
      </c>
      <c r="AY636" s="853" t="s">
        <v>772</v>
      </c>
      <c r="AZ636" s="853" t="str">
        <f>+VLOOKUP($AJ636,Data_Validation!$A:$E,5,0)</f>
        <v>#N/A</v>
      </c>
    </row>
    <row r="637" ht="15.0" customHeight="1">
      <c r="A637" s="849" t="s">
        <v>1239</v>
      </c>
      <c r="B637" s="849">
        <v>2026.0</v>
      </c>
      <c r="C637" s="849" t="s">
        <v>2501</v>
      </c>
      <c r="D637" s="849" t="s">
        <v>2502</v>
      </c>
      <c r="E637" s="849" t="s">
        <v>2426</v>
      </c>
      <c r="F637" s="849" t="s">
        <v>2426</v>
      </c>
      <c r="G637" s="849">
        <v>0.0</v>
      </c>
      <c r="H637" s="849">
        <v>0.0</v>
      </c>
      <c r="I637" s="849">
        <v>0.0</v>
      </c>
      <c r="J637" s="849">
        <v>0.0</v>
      </c>
      <c r="K637" s="849">
        <v>0.0</v>
      </c>
      <c r="L637" s="849">
        <v>0.0</v>
      </c>
      <c r="M637" s="849">
        <v>0.0</v>
      </c>
      <c r="N637" s="849">
        <v>0.0</v>
      </c>
      <c r="O637" s="849">
        <v>0.0</v>
      </c>
      <c r="P637" s="849">
        <v>0.0</v>
      </c>
      <c r="Q637" s="849">
        <v>0.0</v>
      </c>
      <c r="R637" s="849">
        <v>0.0</v>
      </c>
      <c r="S637" s="849">
        <v>0.0</v>
      </c>
      <c r="T637" s="849">
        <v>0.0</v>
      </c>
      <c r="U637" s="849">
        <v>0.0</v>
      </c>
      <c r="V637" s="849">
        <v>0.0</v>
      </c>
      <c r="W637" s="849">
        <v>0.0</v>
      </c>
      <c r="X637" s="849">
        <v>0.0</v>
      </c>
      <c r="Y637" s="849">
        <v>0.0</v>
      </c>
      <c r="Z637" s="849">
        <v>0.0</v>
      </c>
      <c r="AA637" s="849">
        <v>0.0</v>
      </c>
      <c r="AB637" s="849">
        <v>0.0</v>
      </c>
      <c r="AC637" s="849">
        <v>0.0</v>
      </c>
      <c r="AD637" s="849">
        <v>0.0</v>
      </c>
      <c r="AE637" s="849">
        <v>0.0</v>
      </c>
      <c r="AF637" s="849">
        <v>0.0</v>
      </c>
      <c r="AG637" s="849">
        <v>0.0</v>
      </c>
      <c r="AH637" s="849">
        <v>0.0</v>
      </c>
      <c r="AI637" s="849">
        <v>0.0</v>
      </c>
      <c r="AJ637" s="794" t="str">
        <f t="shared" ref="AJ637:AK637" si="1271">C637</f>
        <v>G42520</v>
      </c>
      <c r="AK637" s="794" t="str">
        <f t="shared" si="1271"/>
        <v>VTES-G EXPRESS       -LOC</v>
      </c>
      <c r="AL637" s="794">
        <f t="array" ref="AL637">IFERROR(INDEX(G637:R637,1,MATCH(Parametres!$B$3,G$1:R$1,0)-1)*IF(OR(F637="L",F637="S",F637="I"),-1,1),"")</f>
        <v>0</v>
      </c>
      <c r="AM637" s="794">
        <f t="shared" si="4"/>
        <v>0</v>
      </c>
      <c r="AN637" s="794">
        <f t="array" ref="AN637">INDEX(G637:R637,1,MATCH(Parametres!$B$3,G$1:R$1,0))*IF(OR(F637="L",F637="S",F637="I"),-1,1)</f>
        <v>0</v>
      </c>
      <c r="AO637" s="853" t="str">
        <f>+VLOOKUP($AJ637,Data_Validation!$A:$D,1,0)</f>
        <v>#N/A</v>
      </c>
      <c r="AP637" s="853" t="str">
        <f>+VLOOKUP($AJ637,Data_Validation!$A:$D,3,0)</f>
        <v>#N/A</v>
      </c>
      <c r="AQ637" s="853" t="str">
        <f>+VLOOKUP($AJ637,Data_Validation!$A:$D,4,0)</f>
        <v>#N/A</v>
      </c>
      <c r="AR637" s="853" t="s">
        <v>728</v>
      </c>
      <c r="AS637" s="853" t="str">
        <f>+VLOOKUP($AJ637,Data_Validation!$A:$E,5,0)</f>
        <v>#N/A</v>
      </c>
      <c r="AT637" s="794" t="str">
        <f t="shared" ref="AT637:AU637" si="1272">C637</f>
        <v>G42520</v>
      </c>
      <c r="AU637" s="854" t="str">
        <f t="shared" si="1272"/>
        <v>VTES-G EXPRESS       -LOC</v>
      </c>
      <c r="AV637" s="794">
        <f t="array" ref="AV637">IFERROR(INDEX(V637:AG637,1,MATCH(Parametres!$B$3,V$1:AG$1,0)-1)*IF(OR(C637="L",C637="S",C637="I"),-1,1),"")</f>
        <v>0</v>
      </c>
      <c r="AW637" s="794">
        <f t="shared" si="6"/>
        <v>0</v>
      </c>
      <c r="AX637" s="794">
        <f t="array" ref="AX637">INDEX(V637:AG637,1,MATCH(Parametres!$B$3,V$1:AG$1,0))*IF(OR(C637="L",C637="S",C637="I"),-1,1)</f>
        <v>0</v>
      </c>
      <c r="AY637" s="853" t="s">
        <v>772</v>
      </c>
      <c r="AZ637" s="853" t="str">
        <f>+VLOOKUP($AJ637,Data_Validation!$A:$E,5,0)</f>
        <v>#N/A</v>
      </c>
    </row>
    <row r="638" ht="15.0" customHeight="1">
      <c r="A638" s="849" t="s">
        <v>1239</v>
      </c>
      <c r="B638" s="849">
        <v>2026.0</v>
      </c>
      <c r="C638" s="849" t="s">
        <v>2503</v>
      </c>
      <c r="D638" s="849" t="s">
        <v>2504</v>
      </c>
      <c r="E638" s="849" t="s">
        <v>2426</v>
      </c>
      <c r="F638" s="849" t="s">
        <v>2426</v>
      </c>
      <c r="G638" s="849">
        <v>0.0</v>
      </c>
      <c r="H638" s="849">
        <v>133245.68</v>
      </c>
      <c r="I638" s="849">
        <v>133245.68</v>
      </c>
      <c r="J638" s="849">
        <v>190253.68</v>
      </c>
      <c r="K638" s="849">
        <v>249977.68</v>
      </c>
      <c r="L638" s="849">
        <v>306489.21</v>
      </c>
      <c r="M638" s="849">
        <v>419411.99</v>
      </c>
      <c r="N638" s="849">
        <v>537227.49</v>
      </c>
      <c r="O638" s="849">
        <v>537227.49</v>
      </c>
      <c r="P638" s="849">
        <v>537227.49</v>
      </c>
      <c r="Q638" s="849">
        <v>0.0</v>
      </c>
      <c r="R638" s="849">
        <v>0.0</v>
      </c>
      <c r="S638" s="849">
        <v>59691.94</v>
      </c>
      <c r="T638" s="849">
        <v>59691.94</v>
      </c>
      <c r="U638" s="849">
        <v>0.0</v>
      </c>
      <c r="V638" s="849">
        <v>0.0</v>
      </c>
      <c r="W638" s="849">
        <v>2.0</v>
      </c>
      <c r="X638" s="849">
        <v>2.0</v>
      </c>
      <c r="Y638" s="849">
        <v>3.0</v>
      </c>
      <c r="Z638" s="849">
        <v>4.0</v>
      </c>
      <c r="AA638" s="849">
        <v>5.0</v>
      </c>
      <c r="AB638" s="849">
        <v>7.0</v>
      </c>
      <c r="AC638" s="849">
        <v>9.0</v>
      </c>
      <c r="AD638" s="849">
        <v>9.0</v>
      </c>
      <c r="AE638" s="849">
        <v>9.0</v>
      </c>
      <c r="AF638" s="849">
        <v>0.0</v>
      </c>
      <c r="AG638" s="849">
        <v>0.0</v>
      </c>
      <c r="AH638" s="849">
        <v>1.0</v>
      </c>
      <c r="AI638" s="849">
        <v>1.0</v>
      </c>
      <c r="AJ638" s="794" t="str">
        <f t="shared" ref="AJ638:AK638" si="1273">C638</f>
        <v>G42600</v>
      </c>
      <c r="AK638" s="794" t="str">
        <f t="shared" si="1273"/>
        <v>VTES-S-PICKUP/COLORADO</v>
      </c>
      <c r="AL638" s="794">
        <f t="array" ref="AL638">IFERROR(INDEX(G638:R638,1,MATCH(Parametres!$B$3,G$1:R$1,0)-1)*IF(OR(F638="L",F638="S",F638="I"),-1,1),"")</f>
        <v>-537227.49</v>
      </c>
      <c r="AM638" s="794">
        <f t="shared" si="4"/>
        <v>0</v>
      </c>
      <c r="AN638" s="794">
        <f t="array" ref="AN638">INDEX(G638:R638,1,MATCH(Parametres!$B$3,G$1:R$1,0))*IF(OR(F638="L",F638="S",F638="I"),-1,1)</f>
        <v>-537227.49</v>
      </c>
      <c r="AO638" s="853" t="str">
        <f>+VLOOKUP($AJ638,Data_Validation!$A:$D,1,0)</f>
        <v>G42600</v>
      </c>
      <c r="AP638" s="853" t="str">
        <f>+VLOOKUP($AJ638,Data_Validation!$A:$D,3,0)</f>
        <v>Véhicules neufs</v>
      </c>
      <c r="AQ638" s="853" t="str">
        <f>+VLOOKUP($AJ638,Data_Validation!$A:$D,4,0)</f>
        <v>Camions détail</v>
      </c>
      <c r="AR638" s="853" t="s">
        <v>728</v>
      </c>
      <c r="AS638" s="853" t="str">
        <f>+VLOOKUP($AJ638,Data_Validation!$A:$E,5,0)</f>
        <v>Oui</v>
      </c>
      <c r="AT638" s="794" t="str">
        <f t="shared" ref="AT638:AU638" si="1274">C638</f>
        <v>G42600</v>
      </c>
      <c r="AU638" s="854" t="str">
        <f t="shared" si="1274"/>
        <v>VTES-S-PICKUP/COLORADO</v>
      </c>
      <c r="AV638" s="794">
        <f t="array" ref="AV638">IFERROR(INDEX(V638:AG638,1,MATCH(Parametres!$B$3,V$1:AG$1,0)-1)*IF(OR(C638="L",C638="S",C638="I"),-1,1),"")</f>
        <v>9</v>
      </c>
      <c r="AW638" s="794">
        <f t="shared" si="6"/>
        <v>0</v>
      </c>
      <c r="AX638" s="794">
        <f t="array" ref="AX638">INDEX(V638:AG638,1,MATCH(Parametres!$B$3,V$1:AG$1,0))*IF(OR(C638="L",C638="S",C638="I"),-1,1)</f>
        <v>9</v>
      </c>
      <c r="AY638" s="853" t="s">
        <v>772</v>
      </c>
      <c r="AZ638" s="853" t="str">
        <f>+VLOOKUP($AJ638,Data_Validation!$A:$E,5,0)</f>
        <v>Oui</v>
      </c>
    </row>
    <row r="639" ht="15.0" customHeight="1">
      <c r="A639" s="849" t="s">
        <v>1239</v>
      </c>
      <c r="B639" s="849">
        <v>2026.0</v>
      </c>
      <c r="C639" s="849" t="s">
        <v>2505</v>
      </c>
      <c r="D639" s="849" t="s">
        <v>2506</v>
      </c>
      <c r="E639" s="849" t="s">
        <v>2426</v>
      </c>
      <c r="F639" s="849" t="s">
        <v>2426</v>
      </c>
      <c r="G639" s="849">
        <v>66630.85</v>
      </c>
      <c r="H639" s="849">
        <v>66630.85</v>
      </c>
      <c r="I639" s="849">
        <v>66630.85</v>
      </c>
      <c r="J639" s="849">
        <v>66630.85</v>
      </c>
      <c r="K639" s="849">
        <v>66630.85</v>
      </c>
      <c r="L639" s="849">
        <v>66630.85</v>
      </c>
      <c r="M639" s="849">
        <v>133454.27</v>
      </c>
      <c r="N639" s="849">
        <v>189477.27</v>
      </c>
      <c r="O639" s="849">
        <v>314040.14</v>
      </c>
      <c r="P639" s="849">
        <v>314040.14</v>
      </c>
      <c r="Q639" s="849">
        <v>0.0</v>
      </c>
      <c r="R639" s="849">
        <v>0.0</v>
      </c>
      <c r="S639" s="849">
        <v>34893.35</v>
      </c>
      <c r="T639" s="849">
        <v>34893.35</v>
      </c>
      <c r="U639" s="849">
        <v>0.0</v>
      </c>
      <c r="V639" s="849">
        <v>1.0</v>
      </c>
      <c r="W639" s="849">
        <v>1.0</v>
      </c>
      <c r="X639" s="849">
        <v>1.0</v>
      </c>
      <c r="Y639" s="849">
        <v>1.0</v>
      </c>
      <c r="Z639" s="849">
        <v>1.0</v>
      </c>
      <c r="AA639" s="849">
        <v>1.0</v>
      </c>
      <c r="AB639" s="849">
        <v>2.0</v>
      </c>
      <c r="AC639" s="849">
        <v>3.0</v>
      </c>
      <c r="AD639" s="849">
        <v>5.0</v>
      </c>
      <c r="AE639" s="849">
        <v>5.0</v>
      </c>
      <c r="AF639" s="849">
        <v>0.0</v>
      </c>
      <c r="AG639" s="849">
        <v>0.0</v>
      </c>
      <c r="AH639" s="849">
        <v>1.0</v>
      </c>
      <c r="AI639" s="849">
        <v>1.0</v>
      </c>
      <c r="AJ639" s="794" t="str">
        <f t="shared" ref="AJ639:AK639" si="1275">C639</f>
        <v>G42602</v>
      </c>
      <c r="AK639" s="794" t="str">
        <f t="shared" si="1275"/>
        <v>VENTES GMC CANYON</v>
      </c>
      <c r="AL639" s="794">
        <f t="array" ref="AL639">IFERROR(INDEX(G639:R639,1,MATCH(Parametres!$B$3,G$1:R$1,0)-1)*IF(OR(F639="L",F639="S",F639="I"),-1,1),"")</f>
        <v>-189477.27</v>
      </c>
      <c r="AM639" s="794">
        <f t="shared" si="4"/>
        <v>-124562.87</v>
      </c>
      <c r="AN639" s="794">
        <f t="array" ref="AN639">INDEX(G639:R639,1,MATCH(Parametres!$B$3,G$1:R$1,0))*IF(OR(F639="L",F639="S",F639="I"),-1,1)</f>
        <v>-314040.14</v>
      </c>
      <c r="AO639" s="853" t="str">
        <f>+VLOOKUP($AJ639,Data_Validation!$A:$D,1,0)</f>
        <v>G42602</v>
      </c>
      <c r="AP639" s="853" t="str">
        <f>+VLOOKUP($AJ639,Data_Validation!$A:$D,3,0)</f>
        <v>Véhicules neufs</v>
      </c>
      <c r="AQ639" s="853" t="str">
        <f>+VLOOKUP($AJ639,Data_Validation!$A:$D,4,0)</f>
        <v>Camions détail</v>
      </c>
      <c r="AR639" s="853" t="s">
        <v>728</v>
      </c>
      <c r="AS639" s="853" t="str">
        <f>+VLOOKUP($AJ639,Data_Validation!$A:$E,5,0)</f>
        <v>Oui</v>
      </c>
      <c r="AT639" s="794" t="str">
        <f t="shared" ref="AT639:AU639" si="1276">C639</f>
        <v>G42602</v>
      </c>
      <c r="AU639" s="854" t="str">
        <f t="shared" si="1276"/>
        <v>VENTES GMC CANYON</v>
      </c>
      <c r="AV639" s="794">
        <f t="array" ref="AV639">IFERROR(INDEX(V639:AG639,1,MATCH(Parametres!$B$3,V$1:AG$1,0)-1)*IF(OR(C639="L",C639="S",C639="I"),-1,1),"")</f>
        <v>3</v>
      </c>
      <c r="AW639" s="794">
        <f t="shared" si="6"/>
        <v>2</v>
      </c>
      <c r="AX639" s="794">
        <f t="array" ref="AX639">INDEX(V639:AG639,1,MATCH(Parametres!$B$3,V$1:AG$1,0))*IF(OR(C639="L",C639="S",C639="I"),-1,1)</f>
        <v>5</v>
      </c>
      <c r="AY639" s="853" t="s">
        <v>772</v>
      </c>
      <c r="AZ639" s="853" t="str">
        <f>+VLOOKUP($AJ639,Data_Validation!$A:$E,5,0)</f>
        <v>Oui</v>
      </c>
    </row>
    <row r="640" ht="15.0" customHeight="1">
      <c r="A640" s="849" t="s">
        <v>1239</v>
      </c>
      <c r="B640" s="849">
        <v>2026.0</v>
      </c>
      <c r="C640" s="849" t="s">
        <v>2507</v>
      </c>
      <c r="D640" s="849" t="s">
        <v>2508</v>
      </c>
      <c r="E640" s="849" t="s">
        <v>2426</v>
      </c>
      <c r="F640" s="849" t="s">
        <v>2426</v>
      </c>
      <c r="G640" s="849">
        <v>46340.0</v>
      </c>
      <c r="H640" s="849">
        <v>97633.0</v>
      </c>
      <c r="I640" s="849">
        <v>97633.0</v>
      </c>
      <c r="J640" s="849">
        <v>245035.39</v>
      </c>
      <c r="K640" s="849">
        <v>300989.39</v>
      </c>
      <c r="L640" s="849">
        <v>300989.39</v>
      </c>
      <c r="M640" s="849">
        <v>300989.39</v>
      </c>
      <c r="N640" s="849">
        <v>357986.39</v>
      </c>
      <c r="O640" s="849">
        <v>357986.39</v>
      </c>
      <c r="P640" s="849">
        <v>357986.39</v>
      </c>
      <c r="Q640" s="849">
        <v>0.0</v>
      </c>
      <c r="R640" s="849">
        <v>0.0</v>
      </c>
      <c r="S640" s="849">
        <v>39776.27</v>
      </c>
      <c r="T640" s="849">
        <v>39776.27</v>
      </c>
      <c r="U640" s="849">
        <v>0.0</v>
      </c>
      <c r="V640" s="849">
        <v>1.0</v>
      </c>
      <c r="W640" s="849">
        <v>2.0</v>
      </c>
      <c r="X640" s="849">
        <v>2.0</v>
      </c>
      <c r="Y640" s="849">
        <v>5.0</v>
      </c>
      <c r="Z640" s="849">
        <v>6.0</v>
      </c>
      <c r="AA640" s="849">
        <v>6.0</v>
      </c>
      <c r="AB640" s="849">
        <v>6.0</v>
      </c>
      <c r="AC640" s="849">
        <v>7.0</v>
      </c>
      <c r="AD640" s="849">
        <v>7.0</v>
      </c>
      <c r="AE640" s="849">
        <v>7.0</v>
      </c>
      <c r="AF640" s="849">
        <v>0.0</v>
      </c>
      <c r="AG640" s="849">
        <v>0.0</v>
      </c>
      <c r="AH640" s="849">
        <v>1.0</v>
      </c>
      <c r="AI640" s="849">
        <v>1.0</v>
      </c>
      <c r="AJ640" s="794" t="str">
        <f t="shared" ref="AJ640:AK640" si="1277">C640</f>
        <v>G42612</v>
      </c>
      <c r="AK640" s="794" t="str">
        <f t="shared" si="1277"/>
        <v>VTES-BUICK ENVISION</v>
      </c>
      <c r="AL640" s="794">
        <f t="array" ref="AL640">IFERROR(INDEX(G640:R640,1,MATCH(Parametres!$B$3,G$1:R$1,0)-1)*IF(OR(F640="L",F640="S",F640="I"),-1,1),"")</f>
        <v>-357986.39</v>
      </c>
      <c r="AM640" s="794">
        <f t="shared" si="4"/>
        <v>0</v>
      </c>
      <c r="AN640" s="794">
        <f t="array" ref="AN640">INDEX(G640:R640,1,MATCH(Parametres!$B$3,G$1:R$1,0))*IF(OR(F640="L",F640="S",F640="I"),-1,1)</f>
        <v>-357986.39</v>
      </c>
      <c r="AO640" s="853" t="str">
        <f>+VLOOKUP($AJ640,Data_Validation!$A:$D,1,0)</f>
        <v>G42612</v>
      </c>
      <c r="AP640" s="853" t="str">
        <f>+VLOOKUP($AJ640,Data_Validation!$A:$D,3,0)</f>
        <v>Véhicules neufs</v>
      </c>
      <c r="AQ640" s="853" t="str">
        <f>+VLOOKUP($AJ640,Data_Validation!$A:$D,4,0)</f>
        <v>Camions détail</v>
      </c>
      <c r="AR640" s="853" t="s">
        <v>728</v>
      </c>
      <c r="AS640" s="853" t="str">
        <f>+VLOOKUP($AJ640,Data_Validation!$A:$E,5,0)</f>
        <v>Oui</v>
      </c>
      <c r="AT640" s="794" t="str">
        <f t="shared" ref="AT640:AU640" si="1278">C640</f>
        <v>G42612</v>
      </c>
      <c r="AU640" s="854" t="str">
        <f t="shared" si="1278"/>
        <v>VTES-BUICK ENVISION</v>
      </c>
      <c r="AV640" s="794">
        <f t="array" ref="AV640">IFERROR(INDEX(V640:AG640,1,MATCH(Parametres!$B$3,V$1:AG$1,0)-1)*IF(OR(C640="L",C640="S",C640="I"),-1,1),"")</f>
        <v>7</v>
      </c>
      <c r="AW640" s="794">
        <f t="shared" si="6"/>
        <v>0</v>
      </c>
      <c r="AX640" s="794">
        <f t="array" ref="AX640">INDEX(V640:AG640,1,MATCH(Parametres!$B$3,V$1:AG$1,0))*IF(OR(C640="L",C640="S",C640="I"),-1,1)</f>
        <v>7</v>
      </c>
      <c r="AY640" s="853" t="s">
        <v>772</v>
      </c>
      <c r="AZ640" s="853" t="str">
        <f>+VLOOKUP($AJ640,Data_Validation!$A:$E,5,0)</f>
        <v>Oui</v>
      </c>
    </row>
    <row r="641" ht="15.0" customHeight="1">
      <c r="A641" s="849" t="s">
        <v>1239</v>
      </c>
      <c r="B641" s="849">
        <v>2026.0</v>
      </c>
      <c r="C641" s="849" t="s">
        <v>2509</v>
      </c>
      <c r="D641" s="849" t="s">
        <v>2510</v>
      </c>
      <c r="E641" s="849" t="s">
        <v>2426</v>
      </c>
      <c r="F641" s="849" t="s">
        <v>2426</v>
      </c>
      <c r="G641" s="849">
        <v>0.0</v>
      </c>
      <c r="H641" s="849">
        <v>0.0</v>
      </c>
      <c r="I641" s="849">
        <v>69622.98</v>
      </c>
      <c r="J641" s="849">
        <v>205199.02</v>
      </c>
      <c r="K641" s="849">
        <v>238124.56</v>
      </c>
      <c r="L641" s="849">
        <v>341374.39</v>
      </c>
      <c r="M641" s="849">
        <v>377507.42</v>
      </c>
      <c r="N641" s="849">
        <v>377507.42</v>
      </c>
      <c r="O641" s="849">
        <v>482435.27</v>
      </c>
      <c r="P641" s="849">
        <v>514765.89</v>
      </c>
      <c r="Q641" s="849">
        <v>0.0</v>
      </c>
      <c r="R641" s="849">
        <v>0.0</v>
      </c>
      <c r="S641" s="849">
        <v>53603.92</v>
      </c>
      <c r="T641" s="849">
        <v>53603.92</v>
      </c>
      <c r="U641" s="849">
        <v>0.0</v>
      </c>
      <c r="V641" s="849">
        <v>0.0</v>
      </c>
      <c r="W641" s="849">
        <v>0.0</v>
      </c>
      <c r="X641" s="849">
        <v>2.0</v>
      </c>
      <c r="Y641" s="849">
        <v>6.0</v>
      </c>
      <c r="Z641" s="849">
        <v>7.0</v>
      </c>
      <c r="AA641" s="849">
        <v>10.0</v>
      </c>
      <c r="AB641" s="849">
        <v>11.0</v>
      </c>
      <c r="AC641" s="849">
        <v>11.0</v>
      </c>
      <c r="AD641" s="849">
        <v>14.0</v>
      </c>
      <c r="AE641" s="849">
        <v>15.0</v>
      </c>
      <c r="AF641" s="849">
        <v>0.0</v>
      </c>
      <c r="AG641" s="849">
        <v>0.0</v>
      </c>
      <c r="AH641" s="849">
        <v>2.0</v>
      </c>
      <c r="AI641" s="849">
        <v>2.0</v>
      </c>
      <c r="AJ641" s="794" t="str">
        <f t="shared" ref="AJ641:AK641" si="1279">C641</f>
        <v>G42613</v>
      </c>
      <c r="AK641" s="794" t="str">
        <f t="shared" si="1279"/>
        <v>VTES-BUICK ENVISTA</v>
      </c>
      <c r="AL641" s="794">
        <f t="array" ref="AL641">IFERROR(INDEX(G641:R641,1,MATCH(Parametres!$B$3,G$1:R$1,0)-1)*IF(OR(F641="L",F641="S",F641="I"),-1,1),"")</f>
        <v>-377507.42</v>
      </c>
      <c r="AM641" s="794">
        <f t="shared" si="4"/>
        <v>-104927.85</v>
      </c>
      <c r="AN641" s="794">
        <f t="array" ref="AN641">INDEX(G641:R641,1,MATCH(Parametres!$B$3,G$1:R$1,0))*IF(OR(F641="L",F641="S",F641="I"),-1,1)</f>
        <v>-482435.27</v>
      </c>
      <c r="AO641" s="853" t="str">
        <f>+VLOOKUP($AJ641,Data_Validation!$A:$D,1,0)</f>
        <v>G42613</v>
      </c>
      <c r="AP641" s="853" t="str">
        <f>+VLOOKUP($AJ641,Data_Validation!$A:$D,3,0)</f>
        <v>Véhicules neufs</v>
      </c>
      <c r="AQ641" s="853" t="str">
        <f>+VLOOKUP($AJ641,Data_Validation!$A:$D,4,0)</f>
        <v>Camions détail</v>
      </c>
      <c r="AR641" s="853" t="s">
        <v>728</v>
      </c>
      <c r="AS641" s="853" t="str">
        <f>+VLOOKUP($AJ641,Data_Validation!$A:$E,5,0)</f>
        <v>Oui</v>
      </c>
      <c r="AT641" s="794" t="str">
        <f t="shared" ref="AT641:AU641" si="1280">C641</f>
        <v>G42613</v>
      </c>
      <c r="AU641" s="854" t="str">
        <f t="shared" si="1280"/>
        <v>VTES-BUICK ENVISTA</v>
      </c>
      <c r="AV641" s="794">
        <f t="array" ref="AV641">IFERROR(INDEX(V641:AG641,1,MATCH(Parametres!$B$3,V$1:AG$1,0)-1)*IF(OR(C641="L",C641="S",C641="I"),-1,1),"")</f>
        <v>11</v>
      </c>
      <c r="AW641" s="794">
        <f t="shared" si="6"/>
        <v>3</v>
      </c>
      <c r="AX641" s="794">
        <f t="array" ref="AX641">INDEX(V641:AG641,1,MATCH(Parametres!$B$3,V$1:AG$1,0))*IF(OR(C641="L",C641="S",C641="I"),-1,1)</f>
        <v>14</v>
      </c>
      <c r="AY641" s="853" t="s">
        <v>772</v>
      </c>
      <c r="AZ641" s="853" t="str">
        <f>+VLOOKUP($AJ641,Data_Validation!$A:$E,5,0)</f>
        <v>Oui</v>
      </c>
    </row>
    <row r="642" ht="15.0" customHeight="1">
      <c r="A642" s="849" t="s">
        <v>1239</v>
      </c>
      <c r="B642" s="849">
        <v>2026.0</v>
      </c>
      <c r="C642" s="849" t="s">
        <v>2511</v>
      </c>
      <c r="D642" s="849" t="s">
        <v>2512</v>
      </c>
      <c r="E642" s="849" t="s">
        <v>2426</v>
      </c>
      <c r="F642" s="849" t="s">
        <v>2426</v>
      </c>
      <c r="G642" s="849">
        <v>0.0</v>
      </c>
      <c r="H642" s="849">
        <v>0.0</v>
      </c>
      <c r="I642" s="849">
        <v>0.0</v>
      </c>
      <c r="J642" s="849">
        <v>0.0</v>
      </c>
      <c r="K642" s="849">
        <v>0.0</v>
      </c>
      <c r="L642" s="849">
        <v>0.0</v>
      </c>
      <c r="M642" s="849">
        <v>0.0</v>
      </c>
      <c r="N642" s="849">
        <v>0.0</v>
      </c>
      <c r="O642" s="849">
        <v>0.0</v>
      </c>
      <c r="P642" s="849">
        <v>0.0</v>
      </c>
      <c r="Q642" s="849">
        <v>0.0</v>
      </c>
      <c r="R642" s="849">
        <v>0.0</v>
      </c>
      <c r="S642" s="849">
        <v>0.0</v>
      </c>
      <c r="T642" s="849">
        <v>0.0</v>
      </c>
      <c r="U642" s="849">
        <v>0.0</v>
      </c>
      <c r="V642" s="849">
        <v>0.0</v>
      </c>
      <c r="W642" s="849">
        <v>0.0</v>
      </c>
      <c r="X642" s="849">
        <v>0.0</v>
      </c>
      <c r="Y642" s="849">
        <v>0.0</v>
      </c>
      <c r="Z642" s="849">
        <v>0.0</v>
      </c>
      <c r="AA642" s="849">
        <v>0.0</v>
      </c>
      <c r="AB642" s="849">
        <v>0.0</v>
      </c>
      <c r="AC642" s="849">
        <v>0.0</v>
      </c>
      <c r="AD642" s="849">
        <v>0.0</v>
      </c>
      <c r="AE642" s="849">
        <v>0.0</v>
      </c>
      <c r="AF642" s="849">
        <v>0.0</v>
      </c>
      <c r="AG642" s="849">
        <v>0.0</v>
      </c>
      <c r="AH642" s="849">
        <v>0.0</v>
      </c>
      <c r="AI642" s="849">
        <v>0.0</v>
      </c>
      <c r="AJ642" s="794" t="str">
        <f t="shared" ref="AJ642:AK642" si="1281">C642</f>
        <v>G42620</v>
      </c>
      <c r="AK642" s="794" t="str">
        <f t="shared" si="1281"/>
        <v>VTES-SPICK/COLORDO   -LOC</v>
      </c>
      <c r="AL642" s="794">
        <f t="array" ref="AL642">IFERROR(INDEX(G642:R642,1,MATCH(Parametres!$B$3,G$1:R$1,0)-1)*IF(OR(F642="L",F642="S",F642="I"),-1,1),"")</f>
        <v>0</v>
      </c>
      <c r="AM642" s="794">
        <f t="shared" si="4"/>
        <v>0</v>
      </c>
      <c r="AN642" s="794">
        <f t="array" ref="AN642">INDEX(G642:R642,1,MATCH(Parametres!$B$3,G$1:R$1,0))*IF(OR(F642="L",F642="S",F642="I"),-1,1)</f>
        <v>0</v>
      </c>
      <c r="AO642" s="853" t="str">
        <f>+VLOOKUP($AJ642,Data_Validation!$A:$D,1,0)</f>
        <v>#N/A</v>
      </c>
      <c r="AP642" s="853" t="str">
        <f>+VLOOKUP($AJ642,Data_Validation!$A:$D,3,0)</f>
        <v>#N/A</v>
      </c>
      <c r="AQ642" s="853" t="str">
        <f>+VLOOKUP($AJ642,Data_Validation!$A:$D,4,0)</f>
        <v>#N/A</v>
      </c>
      <c r="AR642" s="853" t="s">
        <v>728</v>
      </c>
      <c r="AS642" s="853" t="str">
        <f>+VLOOKUP($AJ642,Data_Validation!$A:$E,5,0)</f>
        <v>#N/A</v>
      </c>
      <c r="AT642" s="794" t="str">
        <f t="shared" ref="AT642:AU642" si="1282">C642</f>
        <v>G42620</v>
      </c>
      <c r="AU642" s="854" t="str">
        <f t="shared" si="1282"/>
        <v>VTES-SPICK/COLORDO   -LOC</v>
      </c>
      <c r="AV642" s="794">
        <f t="array" ref="AV642">IFERROR(INDEX(V642:AG642,1,MATCH(Parametres!$B$3,V$1:AG$1,0)-1)*IF(OR(C642="L",C642="S",C642="I"),-1,1),"")</f>
        <v>0</v>
      </c>
      <c r="AW642" s="794">
        <f t="shared" si="6"/>
        <v>0</v>
      </c>
      <c r="AX642" s="794">
        <f t="array" ref="AX642">INDEX(V642:AG642,1,MATCH(Parametres!$B$3,V$1:AG$1,0))*IF(OR(C642="L",C642="S",C642="I"),-1,1)</f>
        <v>0</v>
      </c>
      <c r="AY642" s="853" t="s">
        <v>772</v>
      </c>
      <c r="AZ642" s="853" t="str">
        <f>+VLOOKUP($AJ642,Data_Validation!$A:$E,5,0)</f>
        <v>#N/A</v>
      </c>
    </row>
    <row r="643" ht="15.0" customHeight="1">
      <c r="A643" s="849" t="s">
        <v>1239</v>
      </c>
      <c r="B643" s="849">
        <v>2026.0</v>
      </c>
      <c r="C643" s="849" t="s">
        <v>2513</v>
      </c>
      <c r="D643" s="849" t="s">
        <v>2514</v>
      </c>
      <c r="E643" s="849" t="s">
        <v>2426</v>
      </c>
      <c r="F643" s="849" t="s">
        <v>2426</v>
      </c>
      <c r="G643" s="849">
        <v>62388.0</v>
      </c>
      <c r="H643" s="849">
        <v>120522.54</v>
      </c>
      <c r="I643" s="849">
        <v>120522.54</v>
      </c>
      <c r="J643" s="849">
        <v>182683.54</v>
      </c>
      <c r="K643" s="849">
        <v>252626.54</v>
      </c>
      <c r="L643" s="849">
        <v>311964.54</v>
      </c>
      <c r="M643" s="849">
        <v>516521.54</v>
      </c>
      <c r="N643" s="849">
        <v>516521.54</v>
      </c>
      <c r="O643" s="849">
        <v>708350.83</v>
      </c>
      <c r="P643" s="849">
        <v>708350.83</v>
      </c>
      <c r="Q643" s="849">
        <v>0.0</v>
      </c>
      <c r="R643" s="849">
        <v>0.0</v>
      </c>
      <c r="S643" s="849">
        <v>78705.65</v>
      </c>
      <c r="T643" s="849">
        <v>78705.65</v>
      </c>
      <c r="U643" s="849">
        <v>0.0</v>
      </c>
      <c r="V643" s="849">
        <v>1.0</v>
      </c>
      <c r="W643" s="849">
        <v>2.0</v>
      </c>
      <c r="X643" s="849">
        <v>2.0</v>
      </c>
      <c r="Y643" s="849">
        <v>3.0</v>
      </c>
      <c r="Z643" s="849">
        <v>4.0</v>
      </c>
      <c r="AA643" s="849">
        <v>5.0</v>
      </c>
      <c r="AB643" s="849">
        <v>8.0</v>
      </c>
      <c r="AC643" s="849">
        <v>8.0</v>
      </c>
      <c r="AD643" s="849">
        <v>11.0</v>
      </c>
      <c r="AE643" s="849">
        <v>11.0</v>
      </c>
      <c r="AF643" s="849">
        <v>0.0</v>
      </c>
      <c r="AG643" s="849">
        <v>0.0</v>
      </c>
      <c r="AH643" s="849">
        <v>1.0</v>
      </c>
      <c r="AI643" s="849">
        <v>1.0</v>
      </c>
      <c r="AJ643" s="794" t="str">
        <f t="shared" ref="AJ643:AK643" si="1283">C643</f>
        <v>G42700</v>
      </c>
      <c r="AK643" s="794" t="str">
        <f t="shared" si="1283"/>
        <v>VTES-TRAVERSE</v>
      </c>
      <c r="AL643" s="794">
        <f t="array" ref="AL643">IFERROR(INDEX(G643:R643,1,MATCH(Parametres!$B$3,G$1:R$1,0)-1)*IF(OR(F643="L",F643="S",F643="I"),-1,1),"")</f>
        <v>-516521.54</v>
      </c>
      <c r="AM643" s="794">
        <f t="shared" si="4"/>
        <v>-191829.29</v>
      </c>
      <c r="AN643" s="794">
        <f t="array" ref="AN643">INDEX(G643:R643,1,MATCH(Parametres!$B$3,G$1:R$1,0))*IF(OR(F643="L",F643="S",F643="I"),-1,1)</f>
        <v>-708350.83</v>
      </c>
      <c r="AO643" s="853" t="str">
        <f>+VLOOKUP($AJ643,Data_Validation!$A:$D,1,0)</f>
        <v>G42700</v>
      </c>
      <c r="AP643" s="853" t="str">
        <f>+VLOOKUP($AJ643,Data_Validation!$A:$D,3,0)</f>
        <v>Véhicules neufs</v>
      </c>
      <c r="AQ643" s="853" t="str">
        <f>+VLOOKUP($AJ643,Data_Validation!$A:$D,4,0)</f>
        <v>Camions détail</v>
      </c>
      <c r="AR643" s="853" t="s">
        <v>728</v>
      </c>
      <c r="AS643" s="853" t="str">
        <f>+VLOOKUP($AJ643,Data_Validation!$A:$E,5,0)</f>
        <v>Oui</v>
      </c>
      <c r="AT643" s="794" t="str">
        <f t="shared" ref="AT643:AU643" si="1284">C643</f>
        <v>G42700</v>
      </c>
      <c r="AU643" s="854" t="str">
        <f t="shared" si="1284"/>
        <v>VTES-TRAVERSE</v>
      </c>
      <c r="AV643" s="794">
        <f t="array" ref="AV643">IFERROR(INDEX(V643:AG643,1,MATCH(Parametres!$B$3,V$1:AG$1,0)-1)*IF(OR(C643="L",C643="S",C643="I"),-1,1),"")</f>
        <v>8</v>
      </c>
      <c r="AW643" s="794">
        <f t="shared" si="6"/>
        <v>3</v>
      </c>
      <c r="AX643" s="794">
        <f t="array" ref="AX643">INDEX(V643:AG643,1,MATCH(Parametres!$B$3,V$1:AG$1,0))*IF(OR(C643="L",C643="S",C643="I"),-1,1)</f>
        <v>11</v>
      </c>
      <c r="AY643" s="853" t="s">
        <v>772</v>
      </c>
      <c r="AZ643" s="853" t="str">
        <f>+VLOOKUP($AJ643,Data_Validation!$A:$E,5,0)</f>
        <v>Oui</v>
      </c>
    </row>
    <row r="644" ht="15.0" customHeight="1">
      <c r="A644" s="849" t="s">
        <v>1239</v>
      </c>
      <c r="B644" s="849">
        <v>2026.0</v>
      </c>
      <c r="C644" s="849" t="s">
        <v>2515</v>
      </c>
      <c r="D644" s="849" t="s">
        <v>2516</v>
      </c>
      <c r="E644" s="849" t="s">
        <v>2426</v>
      </c>
      <c r="F644" s="849" t="s">
        <v>2426</v>
      </c>
      <c r="G644" s="849">
        <v>0.0</v>
      </c>
      <c r="H644" s="849">
        <v>0.0</v>
      </c>
      <c r="I644" s="849">
        <v>0.0</v>
      </c>
      <c r="J644" s="849">
        <v>78598.5</v>
      </c>
      <c r="K644" s="849">
        <v>144076.42</v>
      </c>
      <c r="L644" s="849">
        <v>144076.42</v>
      </c>
      <c r="M644" s="849">
        <v>144076.42</v>
      </c>
      <c r="N644" s="849">
        <v>144076.42</v>
      </c>
      <c r="O644" s="849">
        <v>144076.42</v>
      </c>
      <c r="P644" s="849">
        <v>144076.42</v>
      </c>
      <c r="Q644" s="849">
        <v>0.0</v>
      </c>
      <c r="R644" s="849">
        <v>0.0</v>
      </c>
      <c r="S644" s="849">
        <v>16008.49</v>
      </c>
      <c r="T644" s="849">
        <v>16008.49</v>
      </c>
      <c r="U644" s="849">
        <v>0.0</v>
      </c>
      <c r="V644" s="849">
        <v>0.0</v>
      </c>
      <c r="W644" s="849">
        <v>0.0</v>
      </c>
      <c r="X644" s="849">
        <v>0.0</v>
      </c>
      <c r="Y644" s="849">
        <v>1.0</v>
      </c>
      <c r="Z644" s="849">
        <v>2.0</v>
      </c>
      <c r="AA644" s="849">
        <v>2.0</v>
      </c>
      <c r="AB644" s="849">
        <v>2.0</v>
      </c>
      <c r="AC644" s="849">
        <v>2.0</v>
      </c>
      <c r="AD644" s="849">
        <v>2.0</v>
      </c>
      <c r="AE644" s="849">
        <v>2.0</v>
      </c>
      <c r="AF644" s="849">
        <v>0.0</v>
      </c>
      <c r="AG644" s="849">
        <v>0.0</v>
      </c>
      <c r="AH644" s="849">
        <v>0.0</v>
      </c>
      <c r="AI644" s="849">
        <v>0.0</v>
      </c>
      <c r="AJ644" s="794" t="str">
        <f t="shared" ref="AJ644:AK644" si="1285">C644</f>
        <v>G42800</v>
      </c>
      <c r="AK644" s="794" t="str">
        <f t="shared" si="1285"/>
        <v>VENTES BUICK ENCLAVE</v>
      </c>
      <c r="AL644" s="794">
        <f t="array" ref="AL644">IFERROR(INDEX(G644:R644,1,MATCH(Parametres!$B$3,G$1:R$1,0)-1)*IF(OR(F644="L",F644="S",F644="I"),-1,1),"")</f>
        <v>-144076.42</v>
      </c>
      <c r="AM644" s="794">
        <f t="shared" si="4"/>
        <v>0</v>
      </c>
      <c r="AN644" s="794">
        <f t="array" ref="AN644">INDEX(G644:R644,1,MATCH(Parametres!$B$3,G$1:R$1,0))*IF(OR(F644="L",F644="S",F644="I"),-1,1)</f>
        <v>-144076.42</v>
      </c>
      <c r="AO644" s="853" t="str">
        <f>+VLOOKUP($AJ644,Data_Validation!$A:$D,1,0)</f>
        <v>G42800</v>
      </c>
      <c r="AP644" s="853" t="str">
        <f>+VLOOKUP($AJ644,Data_Validation!$A:$D,3,0)</f>
        <v>Véhicules neufs</v>
      </c>
      <c r="AQ644" s="853" t="str">
        <f>+VLOOKUP($AJ644,Data_Validation!$A:$D,4,0)</f>
        <v>Camions détail</v>
      </c>
      <c r="AR644" s="853" t="s">
        <v>728</v>
      </c>
      <c r="AS644" s="853" t="str">
        <f>+VLOOKUP($AJ644,Data_Validation!$A:$E,5,0)</f>
        <v>Oui</v>
      </c>
      <c r="AT644" s="794" t="str">
        <f t="shared" ref="AT644:AU644" si="1286">C644</f>
        <v>G42800</v>
      </c>
      <c r="AU644" s="854" t="str">
        <f t="shared" si="1286"/>
        <v>VENTES BUICK ENCLAVE</v>
      </c>
      <c r="AV644" s="794">
        <f t="array" ref="AV644">IFERROR(INDEX(V644:AG644,1,MATCH(Parametres!$B$3,V$1:AG$1,0)-1)*IF(OR(C644="L",C644="S",C644="I"),-1,1),"")</f>
        <v>2</v>
      </c>
      <c r="AW644" s="794">
        <f t="shared" si="6"/>
        <v>0</v>
      </c>
      <c r="AX644" s="794">
        <f t="array" ref="AX644">INDEX(V644:AG644,1,MATCH(Parametres!$B$3,V$1:AG$1,0))*IF(OR(C644="L",C644="S",C644="I"),-1,1)</f>
        <v>2</v>
      </c>
      <c r="AY644" s="853" t="s">
        <v>772</v>
      </c>
      <c r="AZ644" s="853" t="str">
        <f>+VLOOKUP($AJ644,Data_Validation!$A:$E,5,0)</f>
        <v>Oui</v>
      </c>
    </row>
    <row r="645" ht="15.0" customHeight="1">
      <c r="A645" s="849" t="s">
        <v>1239</v>
      </c>
      <c r="B645" s="849">
        <v>2026.0</v>
      </c>
      <c r="C645" s="849" t="s">
        <v>2517</v>
      </c>
      <c r="D645" s="849" t="s">
        <v>2518</v>
      </c>
      <c r="E645" s="849" t="s">
        <v>2426</v>
      </c>
      <c r="F645" s="849" t="s">
        <v>2426</v>
      </c>
      <c r="G645" s="849">
        <v>39888.67</v>
      </c>
      <c r="H645" s="849">
        <v>73703.41</v>
      </c>
      <c r="I645" s="849">
        <v>73703.41</v>
      </c>
      <c r="J645" s="849">
        <v>112838.66</v>
      </c>
      <c r="K645" s="849">
        <v>112838.66</v>
      </c>
      <c r="L645" s="849">
        <v>186623.41</v>
      </c>
      <c r="M645" s="849">
        <v>186623.41</v>
      </c>
      <c r="N645" s="849">
        <v>224877.41</v>
      </c>
      <c r="O645" s="849">
        <v>336743.91</v>
      </c>
      <c r="P645" s="849">
        <v>336743.91</v>
      </c>
      <c r="Q645" s="849">
        <v>0.0</v>
      </c>
      <c r="R645" s="849">
        <v>0.0</v>
      </c>
      <c r="S645" s="849">
        <v>37415.99</v>
      </c>
      <c r="T645" s="849">
        <v>37415.99</v>
      </c>
      <c r="U645" s="849">
        <v>0.0</v>
      </c>
      <c r="V645" s="849">
        <v>1.0</v>
      </c>
      <c r="W645" s="849">
        <v>2.0</v>
      </c>
      <c r="X645" s="849">
        <v>2.0</v>
      </c>
      <c r="Y645" s="849">
        <v>3.0</v>
      </c>
      <c r="Z645" s="849">
        <v>3.0</v>
      </c>
      <c r="AA645" s="849">
        <v>5.0</v>
      </c>
      <c r="AB645" s="849">
        <v>5.0</v>
      </c>
      <c r="AC645" s="849">
        <v>6.0</v>
      </c>
      <c r="AD645" s="849">
        <v>9.0</v>
      </c>
      <c r="AE645" s="849">
        <v>9.0</v>
      </c>
      <c r="AF645" s="849">
        <v>0.0</v>
      </c>
      <c r="AG645" s="849">
        <v>0.0</v>
      </c>
      <c r="AH645" s="849">
        <v>1.0</v>
      </c>
      <c r="AI645" s="849">
        <v>1.0</v>
      </c>
      <c r="AJ645" s="794" t="str">
        <f t="shared" ref="AJ645:AK645" si="1287">C645</f>
        <v>G42804</v>
      </c>
      <c r="AK645" s="794" t="str">
        <f t="shared" si="1287"/>
        <v>VENTE BUICK ENCORE</v>
      </c>
      <c r="AL645" s="794">
        <f t="array" ref="AL645">IFERROR(INDEX(G645:R645,1,MATCH(Parametres!$B$3,G$1:R$1,0)-1)*IF(OR(F645="L",F645="S",F645="I"),-1,1),"")</f>
        <v>-224877.41</v>
      </c>
      <c r="AM645" s="794">
        <f t="shared" si="4"/>
        <v>-111866.5</v>
      </c>
      <c r="AN645" s="794">
        <f t="array" ref="AN645">INDEX(G645:R645,1,MATCH(Parametres!$B$3,G$1:R$1,0))*IF(OR(F645="L",F645="S",F645="I"),-1,1)</f>
        <v>-336743.91</v>
      </c>
      <c r="AO645" s="853" t="str">
        <f>+VLOOKUP($AJ645,Data_Validation!$A:$D,1,0)</f>
        <v>G42804</v>
      </c>
      <c r="AP645" s="853" t="str">
        <f>+VLOOKUP($AJ645,Data_Validation!$A:$D,3,0)</f>
        <v>Véhicules neufs</v>
      </c>
      <c r="AQ645" s="853" t="str">
        <f>+VLOOKUP($AJ645,Data_Validation!$A:$D,4,0)</f>
        <v>Camions détail</v>
      </c>
      <c r="AR645" s="853" t="s">
        <v>728</v>
      </c>
      <c r="AS645" s="853" t="str">
        <f>+VLOOKUP($AJ645,Data_Validation!$A:$E,5,0)</f>
        <v>Oui</v>
      </c>
      <c r="AT645" s="794" t="str">
        <f t="shared" ref="AT645:AU645" si="1288">C645</f>
        <v>G42804</v>
      </c>
      <c r="AU645" s="854" t="str">
        <f t="shared" si="1288"/>
        <v>VENTE BUICK ENCORE</v>
      </c>
      <c r="AV645" s="794">
        <f t="array" ref="AV645">IFERROR(INDEX(V645:AG645,1,MATCH(Parametres!$B$3,V$1:AG$1,0)-1)*IF(OR(C645="L",C645="S",C645="I"),-1,1),"")</f>
        <v>6</v>
      </c>
      <c r="AW645" s="794">
        <f t="shared" si="6"/>
        <v>3</v>
      </c>
      <c r="AX645" s="794">
        <f t="array" ref="AX645">INDEX(V645:AG645,1,MATCH(Parametres!$B$3,V$1:AG$1,0))*IF(OR(C645="L",C645="S",C645="I"),-1,1)</f>
        <v>9</v>
      </c>
      <c r="AY645" s="853" t="s">
        <v>772</v>
      </c>
      <c r="AZ645" s="853" t="str">
        <f>+VLOOKUP($AJ645,Data_Validation!$A:$E,5,0)</f>
        <v>Oui</v>
      </c>
    </row>
    <row r="646" ht="15.0" customHeight="1">
      <c r="A646" s="849" t="s">
        <v>1239</v>
      </c>
      <c r="B646" s="849">
        <v>2026.0</v>
      </c>
      <c r="C646" s="849" t="s">
        <v>2519</v>
      </c>
      <c r="D646" s="849" t="s">
        <v>2520</v>
      </c>
      <c r="E646" s="849" t="s">
        <v>2426</v>
      </c>
      <c r="F646" s="849" t="s">
        <v>2426</v>
      </c>
      <c r="G646" s="849">
        <v>0.0</v>
      </c>
      <c r="H646" s="849">
        <v>0.0</v>
      </c>
      <c r="I646" s="849">
        <v>0.0</v>
      </c>
      <c r="J646" s="849">
        <v>0.0</v>
      </c>
      <c r="K646" s="849">
        <v>0.0</v>
      </c>
      <c r="L646" s="849">
        <v>0.0</v>
      </c>
      <c r="M646" s="849">
        <v>0.0</v>
      </c>
      <c r="N646" s="849">
        <v>0.0</v>
      </c>
      <c r="O646" s="849">
        <v>0.0</v>
      </c>
      <c r="P646" s="849">
        <v>0.0</v>
      </c>
      <c r="Q646" s="849">
        <v>0.0</v>
      </c>
      <c r="R646" s="849">
        <v>0.0</v>
      </c>
      <c r="S646" s="849">
        <v>0.0</v>
      </c>
      <c r="T646" s="849">
        <v>0.0</v>
      </c>
      <c r="U646" s="849">
        <v>0.0</v>
      </c>
      <c r="V646" s="849">
        <v>0.0</v>
      </c>
      <c r="W646" s="849">
        <v>0.0</v>
      </c>
      <c r="X646" s="849">
        <v>0.0</v>
      </c>
      <c r="Y646" s="849">
        <v>0.0</v>
      </c>
      <c r="Z646" s="849">
        <v>0.0</v>
      </c>
      <c r="AA646" s="849">
        <v>0.0</v>
      </c>
      <c r="AB646" s="849">
        <v>0.0</v>
      </c>
      <c r="AC646" s="849">
        <v>0.0</v>
      </c>
      <c r="AD646" s="849">
        <v>0.0</v>
      </c>
      <c r="AE646" s="849">
        <v>0.0</v>
      </c>
      <c r="AF646" s="849">
        <v>0.0</v>
      </c>
      <c r="AG646" s="849">
        <v>0.0</v>
      </c>
      <c r="AH646" s="849">
        <v>0.0</v>
      </c>
      <c r="AI646" s="849">
        <v>0.0</v>
      </c>
      <c r="AJ646" s="794" t="str">
        <f t="shared" ref="AJ646:AK646" si="1289">C646</f>
        <v>G42820</v>
      </c>
      <c r="AK646" s="794" t="str">
        <f t="shared" si="1289"/>
        <v>VTES-TRAIL BALSER/EXT-LOC</v>
      </c>
      <c r="AL646" s="794">
        <f t="array" ref="AL646">IFERROR(INDEX(G646:R646,1,MATCH(Parametres!$B$3,G$1:R$1,0)-1)*IF(OR(F646="L",F646="S",F646="I"),-1,1),"")</f>
        <v>0</v>
      </c>
      <c r="AM646" s="794">
        <f t="shared" si="4"/>
        <v>0</v>
      </c>
      <c r="AN646" s="794">
        <f t="array" ref="AN646">INDEX(G646:R646,1,MATCH(Parametres!$B$3,G$1:R$1,0))*IF(OR(F646="L",F646="S",F646="I"),-1,1)</f>
        <v>0</v>
      </c>
      <c r="AO646" s="853" t="str">
        <f>+VLOOKUP($AJ646,Data_Validation!$A:$D,1,0)</f>
        <v>#N/A</v>
      </c>
      <c r="AP646" s="853" t="str">
        <f>+VLOOKUP($AJ646,Data_Validation!$A:$D,3,0)</f>
        <v>#N/A</v>
      </c>
      <c r="AQ646" s="853" t="str">
        <f>+VLOOKUP($AJ646,Data_Validation!$A:$D,4,0)</f>
        <v>#N/A</v>
      </c>
      <c r="AR646" s="853" t="s">
        <v>728</v>
      </c>
      <c r="AS646" s="853" t="str">
        <f>+VLOOKUP($AJ646,Data_Validation!$A:$E,5,0)</f>
        <v>#N/A</v>
      </c>
      <c r="AT646" s="794" t="str">
        <f t="shared" ref="AT646:AU646" si="1290">C646</f>
        <v>G42820</v>
      </c>
      <c r="AU646" s="854" t="str">
        <f t="shared" si="1290"/>
        <v>VTES-TRAIL BALSER/EXT-LOC</v>
      </c>
      <c r="AV646" s="794">
        <f t="array" ref="AV646">IFERROR(INDEX(V646:AG646,1,MATCH(Parametres!$B$3,V$1:AG$1,0)-1)*IF(OR(C646="L",C646="S",C646="I"),-1,1),"")</f>
        <v>0</v>
      </c>
      <c r="AW646" s="794">
        <f t="shared" si="6"/>
        <v>0</v>
      </c>
      <c r="AX646" s="794">
        <f t="array" ref="AX646">INDEX(V646:AG646,1,MATCH(Parametres!$B$3,V$1:AG$1,0))*IF(OR(C646="L",C646="S",C646="I"),-1,1)</f>
        <v>0</v>
      </c>
      <c r="AY646" s="853" t="s">
        <v>772</v>
      </c>
      <c r="AZ646" s="853" t="str">
        <f>+VLOOKUP($AJ646,Data_Validation!$A:$E,5,0)</f>
        <v>#N/A</v>
      </c>
    </row>
    <row r="647" ht="15.0" customHeight="1">
      <c r="A647" s="849" t="s">
        <v>1239</v>
      </c>
      <c r="B647" s="849">
        <v>2026.0</v>
      </c>
      <c r="C647" s="849" t="s">
        <v>2521</v>
      </c>
      <c r="D647" s="849" t="s">
        <v>2522</v>
      </c>
      <c r="E647" s="849" t="s">
        <v>2426</v>
      </c>
      <c r="F647" s="849" t="s">
        <v>2426</v>
      </c>
      <c r="G647" s="849">
        <v>168379.09</v>
      </c>
      <c r="H647" s="849">
        <v>262448.33</v>
      </c>
      <c r="I647" s="849">
        <v>360576.65</v>
      </c>
      <c r="J647" s="849">
        <v>483517.66</v>
      </c>
      <c r="K647" s="849">
        <v>549168.63</v>
      </c>
      <c r="L647" s="849">
        <v>579311.63</v>
      </c>
      <c r="M647" s="849">
        <v>739326.38</v>
      </c>
      <c r="N647" s="849">
        <v>828032.88</v>
      </c>
      <c r="O647" s="849">
        <v>958767.88</v>
      </c>
      <c r="P647" s="849">
        <v>1028403.38</v>
      </c>
      <c r="Q647" s="849">
        <v>0.0</v>
      </c>
      <c r="R647" s="849">
        <v>0.0</v>
      </c>
      <c r="S647" s="849">
        <v>106529.76</v>
      </c>
      <c r="T647" s="849">
        <v>106529.76</v>
      </c>
      <c r="U647" s="849">
        <v>0.0</v>
      </c>
      <c r="V647" s="849">
        <v>5.0</v>
      </c>
      <c r="W647" s="849">
        <v>8.0</v>
      </c>
      <c r="X647" s="849">
        <v>11.0</v>
      </c>
      <c r="Y647" s="849">
        <v>15.0</v>
      </c>
      <c r="Z647" s="849">
        <v>17.0</v>
      </c>
      <c r="AA647" s="849">
        <v>18.0</v>
      </c>
      <c r="AB647" s="849">
        <v>23.0</v>
      </c>
      <c r="AC647" s="849">
        <v>26.0</v>
      </c>
      <c r="AD647" s="849">
        <v>30.0</v>
      </c>
      <c r="AE647" s="849">
        <v>32.0</v>
      </c>
      <c r="AF647" s="849">
        <v>0.0</v>
      </c>
      <c r="AG647" s="849">
        <v>0.0</v>
      </c>
      <c r="AH647" s="849">
        <v>3.0</v>
      </c>
      <c r="AI647" s="849">
        <v>3.0</v>
      </c>
      <c r="AJ647" s="794" t="str">
        <f t="shared" ref="AJ647:AK647" si="1291">C647</f>
        <v>G42850</v>
      </c>
      <c r="AK647" s="794" t="str">
        <f t="shared" si="1291"/>
        <v>VENTES CHEVROLET TRAX</v>
      </c>
      <c r="AL647" s="794">
        <f t="array" ref="AL647">IFERROR(INDEX(G647:R647,1,MATCH(Parametres!$B$3,G$1:R$1,0)-1)*IF(OR(F647="L",F647="S",F647="I"),-1,1),"")</f>
        <v>-828032.88</v>
      </c>
      <c r="AM647" s="794">
        <f t="shared" si="4"/>
        <v>-130735</v>
      </c>
      <c r="AN647" s="794">
        <f t="array" ref="AN647">INDEX(G647:R647,1,MATCH(Parametres!$B$3,G$1:R$1,0))*IF(OR(F647="L",F647="S",F647="I"),-1,1)</f>
        <v>-958767.88</v>
      </c>
      <c r="AO647" s="853" t="str">
        <f>+VLOOKUP($AJ647,Data_Validation!$A:$D,1,0)</f>
        <v>G42850</v>
      </c>
      <c r="AP647" s="853" t="str">
        <f>+VLOOKUP($AJ647,Data_Validation!$A:$D,3,0)</f>
        <v>Véhicules neufs</v>
      </c>
      <c r="AQ647" s="853" t="str">
        <f>+VLOOKUP($AJ647,Data_Validation!$A:$D,4,0)</f>
        <v>Camions détail</v>
      </c>
      <c r="AR647" s="853" t="s">
        <v>728</v>
      </c>
      <c r="AS647" s="853" t="str">
        <f>+VLOOKUP($AJ647,Data_Validation!$A:$E,5,0)</f>
        <v>Oui</v>
      </c>
      <c r="AT647" s="794" t="str">
        <f t="shared" ref="AT647:AU647" si="1292">C647</f>
        <v>G42850</v>
      </c>
      <c r="AU647" s="854" t="str">
        <f t="shared" si="1292"/>
        <v>VENTES CHEVROLET TRAX</v>
      </c>
      <c r="AV647" s="794">
        <f t="array" ref="AV647">IFERROR(INDEX(V647:AG647,1,MATCH(Parametres!$B$3,V$1:AG$1,0)-1)*IF(OR(C647="L",C647="S",C647="I"),-1,1),"")</f>
        <v>26</v>
      </c>
      <c r="AW647" s="794">
        <f t="shared" si="6"/>
        <v>4</v>
      </c>
      <c r="AX647" s="794">
        <f t="array" ref="AX647">INDEX(V647:AG647,1,MATCH(Parametres!$B$3,V$1:AG$1,0))*IF(OR(C647="L",C647="S",C647="I"),-1,1)</f>
        <v>30</v>
      </c>
      <c r="AY647" s="853" t="s">
        <v>772</v>
      </c>
      <c r="AZ647" s="853" t="str">
        <f>+VLOOKUP($AJ647,Data_Validation!$A:$E,5,0)</f>
        <v>Oui</v>
      </c>
    </row>
    <row r="648" ht="15.0" customHeight="1">
      <c r="A648" s="849" t="s">
        <v>1239</v>
      </c>
      <c r="B648" s="849">
        <v>2026.0</v>
      </c>
      <c r="C648" s="849" t="s">
        <v>2523</v>
      </c>
      <c r="D648" s="849" t="s">
        <v>2524</v>
      </c>
      <c r="E648" s="849" t="s">
        <v>2426</v>
      </c>
      <c r="F648" s="849" t="s">
        <v>2426</v>
      </c>
      <c r="G648" s="849">
        <v>287291.72</v>
      </c>
      <c r="H648" s="849">
        <v>383345.72</v>
      </c>
      <c r="I648" s="849">
        <v>648665.23</v>
      </c>
      <c r="J648" s="849">
        <v>648665.23</v>
      </c>
      <c r="K648" s="849">
        <v>719273.23</v>
      </c>
      <c r="L648" s="849">
        <v>908769.62</v>
      </c>
      <c r="M648" s="849">
        <v>908769.62</v>
      </c>
      <c r="N648" s="849">
        <v>1007730.36</v>
      </c>
      <c r="O648" s="849">
        <v>1007730.36</v>
      </c>
      <c r="P648" s="849">
        <v>1007730.36</v>
      </c>
      <c r="Q648" s="849">
        <v>0.0</v>
      </c>
      <c r="R648" s="849">
        <v>0.0</v>
      </c>
      <c r="S648" s="849">
        <v>111970.04</v>
      </c>
      <c r="T648" s="849">
        <v>111970.04</v>
      </c>
      <c r="U648" s="849">
        <v>0.0</v>
      </c>
      <c r="V648" s="849">
        <v>3.0</v>
      </c>
      <c r="W648" s="849">
        <v>4.0</v>
      </c>
      <c r="X648" s="849">
        <v>7.0</v>
      </c>
      <c r="Y648" s="849">
        <v>7.0</v>
      </c>
      <c r="Z648" s="849">
        <v>8.0</v>
      </c>
      <c r="AA648" s="849">
        <v>10.0</v>
      </c>
      <c r="AB648" s="849">
        <v>10.0</v>
      </c>
      <c r="AC648" s="849">
        <v>11.0</v>
      </c>
      <c r="AD648" s="849">
        <v>11.0</v>
      </c>
      <c r="AE648" s="849">
        <v>11.0</v>
      </c>
      <c r="AF648" s="849">
        <v>0.0</v>
      </c>
      <c r="AG648" s="849">
        <v>0.0</v>
      </c>
      <c r="AH648" s="849">
        <v>1.0</v>
      </c>
      <c r="AI648" s="849">
        <v>1.0</v>
      </c>
      <c r="AJ648" s="794" t="str">
        <f t="shared" ref="AJ648:AK648" si="1293">C648</f>
        <v>G42900</v>
      </c>
      <c r="AK648" s="794" t="str">
        <f t="shared" si="1293"/>
        <v>VTES-TAHOE/SUBURBAN</v>
      </c>
      <c r="AL648" s="794">
        <f t="array" ref="AL648">IFERROR(INDEX(G648:R648,1,MATCH(Parametres!$B$3,G$1:R$1,0)-1)*IF(OR(F648="L",F648="S",F648="I"),-1,1),"")</f>
        <v>-1007730.36</v>
      </c>
      <c r="AM648" s="794">
        <f t="shared" si="4"/>
        <v>0</v>
      </c>
      <c r="AN648" s="794">
        <f t="array" ref="AN648">INDEX(G648:R648,1,MATCH(Parametres!$B$3,G$1:R$1,0))*IF(OR(F648="L",F648="S",F648="I"),-1,1)</f>
        <v>-1007730.36</v>
      </c>
      <c r="AO648" s="853" t="str">
        <f>+VLOOKUP($AJ648,Data_Validation!$A:$D,1,0)</f>
        <v>G42900</v>
      </c>
      <c r="AP648" s="853" t="str">
        <f>+VLOOKUP($AJ648,Data_Validation!$A:$D,3,0)</f>
        <v>Véhicules neufs</v>
      </c>
      <c r="AQ648" s="853" t="str">
        <f>+VLOOKUP($AJ648,Data_Validation!$A:$D,4,0)</f>
        <v>Camions détail</v>
      </c>
      <c r="AR648" s="853" t="s">
        <v>728</v>
      </c>
      <c r="AS648" s="853" t="str">
        <f>+VLOOKUP($AJ648,Data_Validation!$A:$E,5,0)</f>
        <v>Oui</v>
      </c>
      <c r="AT648" s="794" t="str">
        <f t="shared" ref="AT648:AU648" si="1294">C648</f>
        <v>G42900</v>
      </c>
      <c r="AU648" s="854" t="str">
        <f t="shared" si="1294"/>
        <v>VTES-TAHOE/SUBURBAN</v>
      </c>
      <c r="AV648" s="794">
        <f t="array" ref="AV648">IFERROR(INDEX(V648:AG648,1,MATCH(Parametres!$B$3,V$1:AG$1,0)-1)*IF(OR(C648="L",C648="S",C648="I"),-1,1),"")</f>
        <v>11</v>
      </c>
      <c r="AW648" s="794">
        <f t="shared" si="6"/>
        <v>0</v>
      </c>
      <c r="AX648" s="794">
        <f t="array" ref="AX648">INDEX(V648:AG648,1,MATCH(Parametres!$B$3,V$1:AG$1,0))*IF(OR(C648="L",C648="S",C648="I"),-1,1)</f>
        <v>11</v>
      </c>
      <c r="AY648" s="853" t="s">
        <v>772</v>
      </c>
      <c r="AZ648" s="853" t="str">
        <f>+VLOOKUP($AJ648,Data_Validation!$A:$E,5,0)</f>
        <v>Oui</v>
      </c>
    </row>
    <row r="649" ht="15.0" customHeight="1">
      <c r="A649" s="849" t="s">
        <v>1239</v>
      </c>
      <c r="B649" s="849">
        <v>2026.0</v>
      </c>
      <c r="C649" s="849" t="s">
        <v>2525</v>
      </c>
      <c r="D649" s="849" t="s">
        <v>2526</v>
      </c>
      <c r="E649" s="849" t="s">
        <v>2426</v>
      </c>
      <c r="F649" s="849" t="s">
        <v>2426</v>
      </c>
      <c r="G649" s="849">
        <v>289436.22</v>
      </c>
      <c r="H649" s="849">
        <v>585097.44</v>
      </c>
      <c r="I649" s="849">
        <v>1072442.84</v>
      </c>
      <c r="J649" s="849">
        <v>1373843.79</v>
      </c>
      <c r="K649" s="849">
        <v>1836796.65</v>
      </c>
      <c r="L649" s="849">
        <v>2376096.32</v>
      </c>
      <c r="M649" s="849">
        <v>2681788.81</v>
      </c>
      <c r="N649" s="849">
        <v>2823888.81</v>
      </c>
      <c r="O649" s="849">
        <v>3249186.56</v>
      </c>
      <c r="P649" s="849">
        <v>3609638.47</v>
      </c>
      <c r="Q649" s="849">
        <v>0.0</v>
      </c>
      <c r="R649" s="849">
        <v>0.0</v>
      </c>
      <c r="S649" s="849">
        <v>361020.73</v>
      </c>
      <c r="T649" s="849">
        <v>361020.73</v>
      </c>
      <c r="U649" s="849">
        <v>0.0</v>
      </c>
      <c r="V649" s="849">
        <v>4.0</v>
      </c>
      <c r="W649" s="849">
        <v>8.0</v>
      </c>
      <c r="X649" s="849">
        <v>14.0</v>
      </c>
      <c r="Y649" s="849">
        <v>18.0</v>
      </c>
      <c r="Z649" s="849">
        <v>24.0</v>
      </c>
      <c r="AA649" s="849">
        <v>31.0</v>
      </c>
      <c r="AB649" s="849">
        <v>35.0</v>
      </c>
      <c r="AC649" s="849">
        <v>37.0</v>
      </c>
      <c r="AD649" s="849">
        <v>43.0</v>
      </c>
      <c r="AE649" s="849">
        <v>48.0</v>
      </c>
      <c r="AF649" s="849">
        <v>0.0</v>
      </c>
      <c r="AG649" s="849">
        <v>0.0</v>
      </c>
      <c r="AH649" s="849">
        <v>5.0</v>
      </c>
      <c r="AI649" s="849">
        <v>5.0</v>
      </c>
      <c r="AJ649" s="794" t="str">
        <f t="shared" ref="AJ649:AK649" si="1295">C649</f>
        <v>G43000</v>
      </c>
      <c r="AK649" s="794" t="str">
        <f t="shared" si="1295"/>
        <v>VTES-CL 1500 SILVERADO</v>
      </c>
      <c r="AL649" s="794">
        <f t="array" ref="AL649">IFERROR(INDEX(G649:R649,1,MATCH(Parametres!$B$3,G$1:R$1,0)-1)*IF(OR(F649="L",F649="S",F649="I"),-1,1),"")</f>
        <v>-2823888.81</v>
      </c>
      <c r="AM649" s="794">
        <f t="shared" si="4"/>
        <v>-425297.75</v>
      </c>
      <c r="AN649" s="794">
        <f t="array" ref="AN649">INDEX(G649:R649,1,MATCH(Parametres!$B$3,G$1:R$1,0))*IF(OR(F649="L",F649="S",F649="I"),-1,1)</f>
        <v>-3249186.56</v>
      </c>
      <c r="AO649" s="853" t="str">
        <f>+VLOOKUP($AJ649,Data_Validation!$A:$D,1,0)</f>
        <v>G43000</v>
      </c>
      <c r="AP649" s="853" t="str">
        <f>+VLOOKUP($AJ649,Data_Validation!$A:$D,3,0)</f>
        <v>Véhicules neufs</v>
      </c>
      <c r="AQ649" s="853" t="str">
        <f>+VLOOKUP($AJ649,Data_Validation!$A:$D,4,0)</f>
        <v>Camions détail</v>
      </c>
      <c r="AR649" s="853" t="s">
        <v>728</v>
      </c>
      <c r="AS649" s="853" t="str">
        <f>+VLOOKUP($AJ649,Data_Validation!$A:$E,5,0)</f>
        <v>Oui</v>
      </c>
      <c r="AT649" s="794" t="str">
        <f t="shared" ref="AT649:AU649" si="1296">C649</f>
        <v>G43000</v>
      </c>
      <c r="AU649" s="854" t="str">
        <f t="shared" si="1296"/>
        <v>VTES-CL 1500 SILVERADO</v>
      </c>
      <c r="AV649" s="794">
        <f t="array" ref="AV649">IFERROR(INDEX(V649:AG649,1,MATCH(Parametres!$B$3,V$1:AG$1,0)-1)*IF(OR(C649="L",C649="S",C649="I"),-1,1),"")</f>
        <v>37</v>
      </c>
      <c r="AW649" s="794">
        <f t="shared" si="6"/>
        <v>6</v>
      </c>
      <c r="AX649" s="794">
        <f t="array" ref="AX649">INDEX(V649:AG649,1,MATCH(Parametres!$B$3,V$1:AG$1,0))*IF(OR(C649="L",C649="S",C649="I"),-1,1)</f>
        <v>43</v>
      </c>
      <c r="AY649" s="853" t="s">
        <v>772</v>
      </c>
      <c r="AZ649" s="853" t="str">
        <f>+VLOOKUP($AJ649,Data_Validation!$A:$E,5,0)</f>
        <v>Oui</v>
      </c>
    </row>
    <row r="650" ht="15.0" customHeight="1">
      <c r="A650" s="849" t="s">
        <v>1239</v>
      </c>
      <c r="B650" s="849">
        <v>2026.0</v>
      </c>
      <c r="C650" s="849" t="s">
        <v>2527</v>
      </c>
      <c r="D650" s="849" t="s">
        <v>2528</v>
      </c>
      <c r="E650" s="849" t="s">
        <v>2426</v>
      </c>
      <c r="F650" s="849" t="s">
        <v>2426</v>
      </c>
      <c r="G650" s="849">
        <v>0.0</v>
      </c>
      <c r="H650" s="849">
        <v>0.0</v>
      </c>
      <c r="I650" s="849">
        <v>0.0</v>
      </c>
      <c r="J650" s="849">
        <v>223630.12</v>
      </c>
      <c r="K650" s="849">
        <v>223630.12</v>
      </c>
      <c r="L650" s="849">
        <v>223630.12</v>
      </c>
      <c r="M650" s="849">
        <v>337598.12</v>
      </c>
      <c r="N650" s="849">
        <v>337598.12</v>
      </c>
      <c r="O650" s="849">
        <v>431610.67</v>
      </c>
      <c r="P650" s="849">
        <v>431610.67</v>
      </c>
      <c r="Q650" s="849">
        <v>0.0</v>
      </c>
      <c r="R650" s="849">
        <v>0.0</v>
      </c>
      <c r="S650" s="849">
        <v>47956.74</v>
      </c>
      <c r="T650" s="849">
        <v>47956.74</v>
      </c>
      <c r="U650" s="849">
        <v>0.0</v>
      </c>
      <c r="V650" s="849">
        <v>0.0</v>
      </c>
      <c r="W650" s="849">
        <v>0.0</v>
      </c>
      <c r="X650" s="849">
        <v>0.0</v>
      </c>
      <c r="Y650" s="849">
        <v>2.0</v>
      </c>
      <c r="Z650" s="849">
        <v>2.0</v>
      </c>
      <c r="AA650" s="849">
        <v>2.0</v>
      </c>
      <c r="AB650" s="849">
        <v>3.0</v>
      </c>
      <c r="AC650" s="849">
        <v>3.0</v>
      </c>
      <c r="AD650" s="849">
        <v>4.0</v>
      </c>
      <c r="AE650" s="849">
        <v>4.0</v>
      </c>
      <c r="AF650" s="849">
        <v>0.0</v>
      </c>
      <c r="AG650" s="849">
        <v>0.0</v>
      </c>
      <c r="AH650" s="849">
        <v>0.0</v>
      </c>
      <c r="AI650" s="849">
        <v>0.0</v>
      </c>
      <c r="AJ650" s="794" t="str">
        <f t="shared" ref="AJ650:AK650" si="1297">C650</f>
        <v>G43001</v>
      </c>
      <c r="AK650" s="794" t="str">
        <f t="shared" si="1297"/>
        <v>VTES - SILVERADO EV</v>
      </c>
      <c r="AL650" s="794">
        <f t="array" ref="AL650">IFERROR(INDEX(G650:R650,1,MATCH(Parametres!$B$3,G$1:R$1,0)-1)*IF(OR(F650="L",F650="S",F650="I"),-1,1),"")</f>
        <v>-337598.12</v>
      </c>
      <c r="AM650" s="794">
        <f t="shared" si="4"/>
        <v>-94012.55</v>
      </c>
      <c r="AN650" s="794">
        <f t="array" ref="AN650">INDEX(G650:R650,1,MATCH(Parametres!$B$3,G$1:R$1,0))*IF(OR(F650="L",F650="S",F650="I"),-1,1)</f>
        <v>-431610.67</v>
      </c>
      <c r="AO650" s="853" t="str">
        <f>+VLOOKUP($AJ650,Data_Validation!$A:$D,1,0)</f>
        <v>G43001</v>
      </c>
      <c r="AP650" s="853" t="str">
        <f>+VLOOKUP($AJ650,Data_Validation!$A:$D,3,0)</f>
        <v>Véhicules neufs</v>
      </c>
      <c r="AQ650" s="853" t="str">
        <f>+VLOOKUP($AJ650,Data_Validation!$A:$D,4,0)</f>
        <v>Camions electriques</v>
      </c>
      <c r="AR650" s="853" t="s">
        <v>728</v>
      </c>
      <c r="AS650" s="853" t="str">
        <f>+VLOOKUP($AJ650,Data_Validation!$A:$E,5,0)</f>
        <v>Oui</v>
      </c>
      <c r="AT650" s="794" t="str">
        <f t="shared" ref="AT650:AU650" si="1298">C650</f>
        <v>G43001</v>
      </c>
      <c r="AU650" s="854" t="str">
        <f t="shared" si="1298"/>
        <v>VTES - SILVERADO EV</v>
      </c>
      <c r="AV650" s="794">
        <f t="array" ref="AV650">IFERROR(INDEX(V650:AG650,1,MATCH(Parametres!$B$3,V$1:AG$1,0)-1)*IF(OR(C650="L",C650="S",C650="I"),-1,1),"")</f>
        <v>3</v>
      </c>
      <c r="AW650" s="794">
        <f t="shared" si="6"/>
        <v>1</v>
      </c>
      <c r="AX650" s="794">
        <f t="array" ref="AX650">INDEX(V650:AG650,1,MATCH(Parametres!$B$3,V$1:AG$1,0))*IF(OR(C650="L",C650="S",C650="I"),-1,1)</f>
        <v>4</v>
      </c>
      <c r="AY650" s="853" t="s">
        <v>772</v>
      </c>
      <c r="AZ650" s="853" t="str">
        <f>+VLOOKUP($AJ650,Data_Validation!$A:$E,5,0)</f>
        <v>Oui</v>
      </c>
    </row>
    <row r="651" ht="15.0" customHeight="1">
      <c r="A651" s="849" t="s">
        <v>1239</v>
      </c>
      <c r="B651" s="849">
        <v>2026.0</v>
      </c>
      <c r="C651" s="849" t="s">
        <v>2529</v>
      </c>
      <c r="D651" s="849" t="s">
        <v>2530</v>
      </c>
      <c r="E651" s="849" t="s">
        <v>2426</v>
      </c>
      <c r="F651" s="849" t="s">
        <v>2426</v>
      </c>
      <c r="G651" s="849">
        <v>98800.0</v>
      </c>
      <c r="H651" s="849">
        <v>416993.4</v>
      </c>
      <c r="I651" s="849">
        <v>761414.4</v>
      </c>
      <c r="J651" s="849">
        <v>761414.4</v>
      </c>
      <c r="K651" s="849">
        <v>1002240.95</v>
      </c>
      <c r="L651" s="849">
        <v>1426646.45</v>
      </c>
      <c r="M651" s="849">
        <v>1687018.95</v>
      </c>
      <c r="N651" s="849">
        <v>1778089.07</v>
      </c>
      <c r="O651" s="849">
        <v>1893949.61</v>
      </c>
      <c r="P651" s="849">
        <v>1893949.61</v>
      </c>
      <c r="Q651" s="849">
        <v>0.0</v>
      </c>
      <c r="R651" s="849">
        <v>0.0</v>
      </c>
      <c r="S651" s="849">
        <v>210438.85</v>
      </c>
      <c r="T651" s="849">
        <v>210438.85</v>
      </c>
      <c r="U651" s="849">
        <v>0.0</v>
      </c>
      <c r="V651" s="849">
        <v>1.0</v>
      </c>
      <c r="W651" s="849">
        <v>4.0</v>
      </c>
      <c r="X651" s="849">
        <v>7.0</v>
      </c>
      <c r="Y651" s="849">
        <v>7.0</v>
      </c>
      <c r="Z651" s="849">
        <v>9.0</v>
      </c>
      <c r="AA651" s="849">
        <v>13.0</v>
      </c>
      <c r="AB651" s="849">
        <v>15.0</v>
      </c>
      <c r="AC651" s="849">
        <v>16.0</v>
      </c>
      <c r="AD651" s="849">
        <v>17.0</v>
      </c>
      <c r="AE651" s="849">
        <v>17.0</v>
      </c>
      <c r="AF651" s="849">
        <v>0.0</v>
      </c>
      <c r="AG651" s="849">
        <v>0.0</v>
      </c>
      <c r="AH651" s="849">
        <v>2.0</v>
      </c>
      <c r="AI651" s="849">
        <v>2.0</v>
      </c>
      <c r="AJ651" s="794" t="str">
        <f t="shared" ref="AJ651:AK651" si="1299">C651</f>
        <v>G43002</v>
      </c>
      <c r="AK651" s="794" t="str">
        <f t="shared" si="1299"/>
        <v>VENTES - YUKON</v>
      </c>
      <c r="AL651" s="794">
        <f t="array" ref="AL651">IFERROR(INDEX(G651:R651,1,MATCH(Parametres!$B$3,G$1:R$1,0)-1)*IF(OR(F651="L",F651="S",F651="I"),-1,1),"")</f>
        <v>-1778089.07</v>
      </c>
      <c r="AM651" s="794">
        <f t="shared" si="4"/>
        <v>-115860.54</v>
      </c>
      <c r="AN651" s="794">
        <f t="array" ref="AN651">INDEX(G651:R651,1,MATCH(Parametres!$B$3,G$1:R$1,0))*IF(OR(F651="L",F651="S",F651="I"),-1,1)</f>
        <v>-1893949.61</v>
      </c>
      <c r="AO651" s="853" t="str">
        <f>+VLOOKUP($AJ651,Data_Validation!$A:$D,1,0)</f>
        <v>G43002</v>
      </c>
      <c r="AP651" s="853" t="str">
        <f>+VLOOKUP($AJ651,Data_Validation!$A:$D,3,0)</f>
        <v>Véhicules neufs</v>
      </c>
      <c r="AQ651" s="853" t="str">
        <f>+VLOOKUP($AJ651,Data_Validation!$A:$D,4,0)</f>
        <v>Camions détail</v>
      </c>
      <c r="AR651" s="853" t="s">
        <v>728</v>
      </c>
      <c r="AS651" s="853" t="str">
        <f>+VLOOKUP($AJ651,Data_Validation!$A:$E,5,0)</f>
        <v>Oui</v>
      </c>
      <c r="AT651" s="794" t="str">
        <f t="shared" ref="AT651:AU651" si="1300">C651</f>
        <v>G43002</v>
      </c>
      <c r="AU651" s="854" t="str">
        <f t="shared" si="1300"/>
        <v>VENTES - YUKON</v>
      </c>
      <c r="AV651" s="794">
        <f t="array" ref="AV651">IFERROR(INDEX(V651:AG651,1,MATCH(Parametres!$B$3,V$1:AG$1,0)-1)*IF(OR(C651="L",C651="S",C651="I"),-1,1),"")</f>
        <v>16</v>
      </c>
      <c r="AW651" s="794">
        <f t="shared" si="6"/>
        <v>1</v>
      </c>
      <c r="AX651" s="794">
        <f t="array" ref="AX651">INDEX(V651:AG651,1,MATCH(Parametres!$B$3,V$1:AG$1,0))*IF(OR(C651="L",C651="S",C651="I"),-1,1)</f>
        <v>17</v>
      </c>
      <c r="AY651" s="853" t="s">
        <v>772</v>
      </c>
      <c r="AZ651" s="853" t="str">
        <f>+VLOOKUP($AJ651,Data_Validation!$A:$E,5,0)</f>
        <v>Oui</v>
      </c>
    </row>
    <row r="652" ht="15.0" customHeight="1">
      <c r="A652" s="849" t="s">
        <v>1239</v>
      </c>
      <c r="B652" s="849">
        <v>2026.0</v>
      </c>
      <c r="C652" s="849" t="s">
        <v>2531</v>
      </c>
      <c r="D652" s="849" t="s">
        <v>2532</v>
      </c>
      <c r="E652" s="849" t="s">
        <v>2426</v>
      </c>
      <c r="F652" s="849" t="s">
        <v>2426</v>
      </c>
      <c r="G652" s="849">
        <v>0.0</v>
      </c>
      <c r="H652" s="849">
        <v>0.0</v>
      </c>
      <c r="I652" s="849">
        <v>0.0</v>
      </c>
      <c r="J652" s="849">
        <v>0.0</v>
      </c>
      <c r="K652" s="849">
        <v>0.0</v>
      </c>
      <c r="L652" s="849">
        <v>0.0</v>
      </c>
      <c r="M652" s="849">
        <v>0.0</v>
      </c>
      <c r="N652" s="849">
        <v>0.0</v>
      </c>
      <c r="O652" s="849">
        <v>0.0</v>
      </c>
      <c r="P652" s="849">
        <v>0.0</v>
      </c>
      <c r="Q652" s="849">
        <v>0.0</v>
      </c>
      <c r="R652" s="849">
        <v>0.0</v>
      </c>
      <c r="S652" s="849">
        <v>0.0</v>
      </c>
      <c r="T652" s="849">
        <v>0.0</v>
      </c>
      <c r="U652" s="849">
        <v>0.0</v>
      </c>
      <c r="V652" s="849">
        <v>0.0</v>
      </c>
      <c r="W652" s="849">
        <v>0.0</v>
      </c>
      <c r="X652" s="849">
        <v>0.0</v>
      </c>
      <c r="Y652" s="849">
        <v>0.0</v>
      </c>
      <c r="Z652" s="849">
        <v>0.0</v>
      </c>
      <c r="AA652" s="849">
        <v>0.0</v>
      </c>
      <c r="AB652" s="849">
        <v>0.0</v>
      </c>
      <c r="AC652" s="849">
        <v>0.0</v>
      </c>
      <c r="AD652" s="849">
        <v>0.0</v>
      </c>
      <c r="AE652" s="849">
        <v>0.0</v>
      </c>
      <c r="AF652" s="849">
        <v>0.0</v>
      </c>
      <c r="AG652" s="849">
        <v>0.0</v>
      </c>
      <c r="AH652" s="849">
        <v>0.0</v>
      </c>
      <c r="AI652" s="849">
        <v>0.0</v>
      </c>
      <c r="AJ652" s="794" t="str">
        <f t="shared" ref="AJ652:AK652" si="1301">C652</f>
        <v>G43020</v>
      </c>
      <c r="AK652" s="794" t="str">
        <f t="shared" si="1301"/>
        <v>CL 1500 SILVERADO    -LOC</v>
      </c>
      <c r="AL652" s="794">
        <f t="array" ref="AL652">IFERROR(INDEX(G652:R652,1,MATCH(Parametres!$B$3,G$1:R$1,0)-1)*IF(OR(F652="L",F652="S",F652="I"),-1,1),"")</f>
        <v>0</v>
      </c>
      <c r="AM652" s="794">
        <f t="shared" si="4"/>
        <v>0</v>
      </c>
      <c r="AN652" s="794">
        <f t="array" ref="AN652">INDEX(G652:R652,1,MATCH(Parametres!$B$3,G$1:R$1,0))*IF(OR(F652="L",F652="S",F652="I"),-1,1)</f>
        <v>0</v>
      </c>
      <c r="AO652" s="853" t="str">
        <f>+VLOOKUP($AJ652,Data_Validation!$A:$D,1,0)</f>
        <v>#N/A</v>
      </c>
      <c r="AP652" s="853" t="str">
        <f>+VLOOKUP($AJ652,Data_Validation!$A:$D,3,0)</f>
        <v>#N/A</v>
      </c>
      <c r="AQ652" s="853" t="str">
        <f>+VLOOKUP($AJ652,Data_Validation!$A:$D,4,0)</f>
        <v>#N/A</v>
      </c>
      <c r="AR652" s="853" t="s">
        <v>728</v>
      </c>
      <c r="AS652" s="853" t="str">
        <f>+VLOOKUP($AJ652,Data_Validation!$A:$E,5,0)</f>
        <v>#N/A</v>
      </c>
      <c r="AT652" s="794" t="str">
        <f t="shared" ref="AT652:AU652" si="1302">C652</f>
        <v>G43020</v>
      </c>
      <c r="AU652" s="854" t="str">
        <f t="shared" si="1302"/>
        <v>CL 1500 SILVERADO    -LOC</v>
      </c>
      <c r="AV652" s="794">
        <f t="array" ref="AV652">IFERROR(INDEX(V652:AG652,1,MATCH(Parametres!$B$3,V$1:AG$1,0)-1)*IF(OR(C652="L",C652="S",C652="I"),-1,1),"")</f>
        <v>0</v>
      </c>
      <c r="AW652" s="794">
        <f t="shared" si="6"/>
        <v>0</v>
      </c>
      <c r="AX652" s="794">
        <f t="array" ref="AX652">INDEX(V652:AG652,1,MATCH(Parametres!$B$3,V$1:AG$1,0))*IF(OR(C652="L",C652="S",C652="I"),-1,1)</f>
        <v>0</v>
      </c>
      <c r="AY652" s="853" t="s">
        <v>772</v>
      </c>
      <c r="AZ652" s="853" t="str">
        <f>+VLOOKUP($AJ652,Data_Validation!$A:$E,5,0)</f>
        <v>#N/A</v>
      </c>
    </row>
    <row r="653" ht="15.0" customHeight="1">
      <c r="A653" s="849" t="s">
        <v>1239</v>
      </c>
      <c r="B653" s="849">
        <v>2026.0</v>
      </c>
      <c r="C653" s="849" t="s">
        <v>2533</v>
      </c>
      <c r="D653" s="849" t="s">
        <v>2534</v>
      </c>
      <c r="E653" s="849" t="s">
        <v>2426</v>
      </c>
      <c r="F653" s="849" t="s">
        <v>2426</v>
      </c>
      <c r="G653" s="849">
        <v>99462.5</v>
      </c>
      <c r="H653" s="849">
        <v>300736.38</v>
      </c>
      <c r="I653" s="849">
        <v>699613.48</v>
      </c>
      <c r="J653" s="849">
        <v>699613.48</v>
      </c>
      <c r="K653" s="849">
        <v>797713.35</v>
      </c>
      <c r="L653" s="849">
        <v>900846.35</v>
      </c>
      <c r="M653" s="849">
        <v>982505.35</v>
      </c>
      <c r="N653" s="849">
        <v>1183426.69</v>
      </c>
      <c r="O653" s="849">
        <v>1183426.69</v>
      </c>
      <c r="P653" s="849">
        <v>1183426.69</v>
      </c>
      <c r="Q653" s="849">
        <v>0.0</v>
      </c>
      <c r="R653" s="849">
        <v>0.0</v>
      </c>
      <c r="S653" s="849">
        <v>131491.85</v>
      </c>
      <c r="T653" s="849">
        <v>131491.85</v>
      </c>
      <c r="U653" s="849">
        <v>0.0</v>
      </c>
      <c r="V653" s="849">
        <v>1.0</v>
      </c>
      <c r="W653" s="849">
        <v>3.0</v>
      </c>
      <c r="X653" s="849">
        <v>7.0</v>
      </c>
      <c r="Y653" s="849">
        <v>7.0</v>
      </c>
      <c r="Z653" s="849">
        <v>8.0</v>
      </c>
      <c r="AA653" s="849">
        <v>9.0</v>
      </c>
      <c r="AB653" s="849">
        <v>10.0</v>
      </c>
      <c r="AC653" s="849">
        <v>12.0</v>
      </c>
      <c r="AD653" s="849">
        <v>12.0</v>
      </c>
      <c r="AE653" s="849">
        <v>12.0</v>
      </c>
      <c r="AF653" s="849">
        <v>0.0</v>
      </c>
      <c r="AG653" s="849">
        <v>0.0</v>
      </c>
      <c r="AH653" s="849">
        <v>1.0</v>
      </c>
      <c r="AI653" s="849">
        <v>1.0</v>
      </c>
      <c r="AJ653" s="794" t="str">
        <f t="shared" ref="AJ653:AK653" si="1303">C653</f>
        <v>G43100</v>
      </c>
      <c r="AK653" s="794" t="str">
        <f t="shared" si="1303"/>
        <v>VTES-CL 2500 SILVERADO</v>
      </c>
      <c r="AL653" s="794">
        <f t="array" ref="AL653">IFERROR(INDEX(G653:R653,1,MATCH(Parametres!$B$3,G$1:R$1,0)-1)*IF(OR(F653="L",F653="S",F653="I"),-1,1),"")</f>
        <v>-1183426.69</v>
      </c>
      <c r="AM653" s="794">
        <f t="shared" si="4"/>
        <v>0</v>
      </c>
      <c r="AN653" s="794">
        <f t="array" ref="AN653">INDEX(G653:R653,1,MATCH(Parametres!$B$3,G$1:R$1,0))*IF(OR(F653="L",F653="S",F653="I"),-1,1)</f>
        <v>-1183426.69</v>
      </c>
      <c r="AO653" s="853" t="str">
        <f>+VLOOKUP($AJ653,Data_Validation!$A:$D,1,0)</f>
        <v>G43100</v>
      </c>
      <c r="AP653" s="853" t="str">
        <f>+VLOOKUP($AJ653,Data_Validation!$A:$D,3,0)</f>
        <v>Véhicules neufs</v>
      </c>
      <c r="AQ653" s="853" t="str">
        <f>+VLOOKUP($AJ653,Data_Validation!$A:$D,4,0)</f>
        <v>Camions détail</v>
      </c>
      <c r="AR653" s="853" t="s">
        <v>728</v>
      </c>
      <c r="AS653" s="853" t="str">
        <f>+VLOOKUP($AJ653,Data_Validation!$A:$E,5,0)</f>
        <v>Oui</v>
      </c>
      <c r="AT653" s="794" t="str">
        <f t="shared" ref="AT653:AU653" si="1304">C653</f>
        <v>G43100</v>
      </c>
      <c r="AU653" s="854" t="str">
        <f t="shared" si="1304"/>
        <v>VTES-CL 2500 SILVERADO</v>
      </c>
      <c r="AV653" s="794">
        <f t="array" ref="AV653">IFERROR(INDEX(V653:AG653,1,MATCH(Parametres!$B$3,V$1:AG$1,0)-1)*IF(OR(C653="L",C653="S",C653="I"),-1,1),"")</f>
        <v>12</v>
      </c>
      <c r="AW653" s="794">
        <f t="shared" si="6"/>
        <v>0</v>
      </c>
      <c r="AX653" s="794">
        <f t="array" ref="AX653">INDEX(V653:AG653,1,MATCH(Parametres!$B$3,V$1:AG$1,0))*IF(OR(C653="L",C653="S",C653="I"),-1,1)</f>
        <v>12</v>
      </c>
      <c r="AY653" s="853" t="s">
        <v>772</v>
      </c>
      <c r="AZ653" s="853" t="str">
        <f>+VLOOKUP($AJ653,Data_Validation!$A:$E,5,0)</f>
        <v>Oui</v>
      </c>
    </row>
    <row r="654" ht="15.0" customHeight="1">
      <c r="A654" s="849" t="s">
        <v>1239</v>
      </c>
      <c r="B654" s="849">
        <v>2026.0</v>
      </c>
      <c r="C654" s="849" t="s">
        <v>2535</v>
      </c>
      <c r="D654" s="849" t="s">
        <v>2536</v>
      </c>
      <c r="E654" s="849" t="s">
        <v>2426</v>
      </c>
      <c r="F654" s="849" t="s">
        <v>2426</v>
      </c>
      <c r="G654" s="849">
        <v>151109.81</v>
      </c>
      <c r="H654" s="849">
        <v>552459.31</v>
      </c>
      <c r="I654" s="849">
        <v>877349.59</v>
      </c>
      <c r="J654" s="849">
        <v>1661761.38</v>
      </c>
      <c r="K654" s="849">
        <v>2046401.16</v>
      </c>
      <c r="L654" s="849">
        <v>2212712.61</v>
      </c>
      <c r="M654" s="849">
        <v>2761064.06</v>
      </c>
      <c r="N654" s="849">
        <v>3369328.95</v>
      </c>
      <c r="O654" s="849">
        <v>3756249.95</v>
      </c>
      <c r="P654" s="849">
        <v>3902647.15</v>
      </c>
      <c r="Q654" s="849">
        <v>0.0</v>
      </c>
      <c r="R654" s="849">
        <v>0.0</v>
      </c>
      <c r="S654" s="849">
        <v>417361.11</v>
      </c>
      <c r="T654" s="849">
        <v>417361.11</v>
      </c>
      <c r="U654" s="849">
        <v>0.0</v>
      </c>
      <c r="V654" s="849">
        <v>2.0</v>
      </c>
      <c r="W654" s="849">
        <v>7.0</v>
      </c>
      <c r="X654" s="849">
        <v>11.0</v>
      </c>
      <c r="Y654" s="849">
        <v>21.0</v>
      </c>
      <c r="Z654" s="849">
        <v>26.0</v>
      </c>
      <c r="AA654" s="849">
        <v>28.0</v>
      </c>
      <c r="AB654" s="849">
        <v>35.0</v>
      </c>
      <c r="AC654" s="849">
        <v>43.0</v>
      </c>
      <c r="AD654" s="849">
        <v>48.0</v>
      </c>
      <c r="AE654" s="849">
        <v>50.0</v>
      </c>
      <c r="AF654" s="849">
        <v>0.0</v>
      </c>
      <c r="AG654" s="849">
        <v>0.0</v>
      </c>
      <c r="AH654" s="849">
        <v>5.0</v>
      </c>
      <c r="AI654" s="849">
        <v>5.0</v>
      </c>
      <c r="AJ654" s="794" t="str">
        <f t="shared" ref="AJ654:AK654" si="1305">C654</f>
        <v>G43102</v>
      </c>
      <c r="AK654" s="794" t="str">
        <f t="shared" si="1305"/>
        <v>VENTE CL 1500 SIERRA</v>
      </c>
      <c r="AL654" s="794">
        <f t="array" ref="AL654">IFERROR(INDEX(G654:R654,1,MATCH(Parametres!$B$3,G$1:R$1,0)-1)*IF(OR(F654="L",F654="S",F654="I"),-1,1),"")</f>
        <v>-3369328.95</v>
      </c>
      <c r="AM654" s="794">
        <f t="shared" si="4"/>
        <v>-386921</v>
      </c>
      <c r="AN654" s="794">
        <f t="array" ref="AN654">INDEX(G654:R654,1,MATCH(Parametres!$B$3,G$1:R$1,0))*IF(OR(F654="L",F654="S",F654="I"),-1,1)</f>
        <v>-3756249.95</v>
      </c>
      <c r="AO654" s="853" t="str">
        <f>+VLOOKUP($AJ654,Data_Validation!$A:$D,1,0)</f>
        <v>G43102</v>
      </c>
      <c r="AP654" s="853" t="str">
        <f>+VLOOKUP($AJ654,Data_Validation!$A:$D,3,0)</f>
        <v>Véhicules neufs</v>
      </c>
      <c r="AQ654" s="853" t="str">
        <f>+VLOOKUP($AJ654,Data_Validation!$A:$D,4,0)</f>
        <v>Camions détail</v>
      </c>
      <c r="AR654" s="853" t="s">
        <v>728</v>
      </c>
      <c r="AS654" s="853" t="str">
        <f>+VLOOKUP($AJ654,Data_Validation!$A:$E,5,0)</f>
        <v>Oui</v>
      </c>
      <c r="AT654" s="794" t="str">
        <f t="shared" ref="AT654:AU654" si="1306">C654</f>
        <v>G43102</v>
      </c>
      <c r="AU654" s="854" t="str">
        <f t="shared" si="1306"/>
        <v>VENTE CL 1500 SIERRA</v>
      </c>
      <c r="AV654" s="794">
        <f t="array" ref="AV654">IFERROR(INDEX(V654:AG654,1,MATCH(Parametres!$B$3,V$1:AG$1,0)-1)*IF(OR(C654="L",C654="S",C654="I"),-1,1),"")</f>
        <v>43</v>
      </c>
      <c r="AW654" s="794">
        <f t="shared" si="6"/>
        <v>5</v>
      </c>
      <c r="AX654" s="794">
        <f t="array" ref="AX654">INDEX(V654:AG654,1,MATCH(Parametres!$B$3,V$1:AG$1,0))*IF(OR(C654="L",C654="S",C654="I"),-1,1)</f>
        <v>48</v>
      </c>
      <c r="AY654" s="853" t="s">
        <v>772</v>
      </c>
      <c r="AZ654" s="853" t="str">
        <f>+VLOOKUP($AJ654,Data_Validation!$A:$E,5,0)</f>
        <v>Oui</v>
      </c>
    </row>
    <row r="655" ht="15.0" customHeight="1">
      <c r="A655" s="849" t="s">
        <v>1239</v>
      </c>
      <c r="B655" s="849">
        <v>2026.0</v>
      </c>
      <c r="C655" s="849" t="s">
        <v>2537</v>
      </c>
      <c r="D655" s="849" t="s">
        <v>2538</v>
      </c>
      <c r="E655" s="849" t="s">
        <v>2426</v>
      </c>
      <c r="F655" s="849" t="s">
        <v>2426</v>
      </c>
      <c r="G655" s="849">
        <v>112099.0</v>
      </c>
      <c r="H655" s="849">
        <v>220097.0</v>
      </c>
      <c r="I655" s="849">
        <v>220097.0</v>
      </c>
      <c r="J655" s="849">
        <v>332280.54</v>
      </c>
      <c r="K655" s="849">
        <v>332280.54</v>
      </c>
      <c r="L655" s="849">
        <v>427949.66</v>
      </c>
      <c r="M655" s="849">
        <v>427949.66</v>
      </c>
      <c r="N655" s="849">
        <v>427949.66</v>
      </c>
      <c r="O655" s="849">
        <v>427949.66</v>
      </c>
      <c r="P655" s="849">
        <v>427949.66</v>
      </c>
      <c r="Q655" s="849">
        <v>0.0</v>
      </c>
      <c r="R655" s="849">
        <v>0.0</v>
      </c>
      <c r="S655" s="849">
        <v>47549.96</v>
      </c>
      <c r="T655" s="849">
        <v>47549.96</v>
      </c>
      <c r="U655" s="849">
        <v>0.0</v>
      </c>
      <c r="V655" s="849">
        <v>1.0</v>
      </c>
      <c r="W655" s="849">
        <v>2.0</v>
      </c>
      <c r="X655" s="849">
        <v>2.0</v>
      </c>
      <c r="Y655" s="849">
        <v>3.0</v>
      </c>
      <c r="Z655" s="849">
        <v>3.0</v>
      </c>
      <c r="AA655" s="849">
        <v>4.0</v>
      </c>
      <c r="AB655" s="849">
        <v>4.0</v>
      </c>
      <c r="AC655" s="849">
        <v>4.0</v>
      </c>
      <c r="AD655" s="849">
        <v>4.0</v>
      </c>
      <c r="AE655" s="849">
        <v>4.0</v>
      </c>
      <c r="AF655" s="849">
        <v>0.0</v>
      </c>
      <c r="AG655" s="849">
        <v>0.0</v>
      </c>
      <c r="AH655" s="849">
        <v>0.0</v>
      </c>
      <c r="AI655" s="849">
        <v>0.0</v>
      </c>
      <c r="AJ655" s="794" t="str">
        <f t="shared" ref="AJ655:AK655" si="1307">C655</f>
        <v>G43103</v>
      </c>
      <c r="AK655" s="794" t="str">
        <f t="shared" si="1307"/>
        <v>VENTE - SIERRA EV</v>
      </c>
      <c r="AL655" s="794">
        <f t="array" ref="AL655">IFERROR(INDEX(G655:R655,1,MATCH(Parametres!$B$3,G$1:R$1,0)-1)*IF(OR(F655="L",F655="S",F655="I"),-1,1),"")</f>
        <v>-427949.66</v>
      </c>
      <c r="AM655" s="794">
        <f t="shared" si="4"/>
        <v>0</v>
      </c>
      <c r="AN655" s="794">
        <f t="array" ref="AN655">INDEX(G655:R655,1,MATCH(Parametres!$B$3,G$1:R$1,0))*IF(OR(F655="L",F655="S",F655="I"),-1,1)</f>
        <v>-427949.66</v>
      </c>
      <c r="AO655" s="853" t="str">
        <f>+VLOOKUP($AJ655,Data_Validation!$A:$D,1,0)</f>
        <v>G43103</v>
      </c>
      <c r="AP655" s="853" t="str">
        <f>+VLOOKUP($AJ655,Data_Validation!$A:$D,3,0)</f>
        <v>Véhicules neufs</v>
      </c>
      <c r="AQ655" s="853" t="str">
        <f>+VLOOKUP($AJ655,Data_Validation!$A:$D,4,0)</f>
        <v>Camions electriques</v>
      </c>
      <c r="AR655" s="853" t="s">
        <v>728</v>
      </c>
      <c r="AS655" s="853" t="str">
        <f>+VLOOKUP($AJ655,Data_Validation!$A:$E,5,0)</f>
        <v>Oui</v>
      </c>
      <c r="AT655" s="794" t="str">
        <f t="shared" ref="AT655:AU655" si="1308">C655</f>
        <v>G43103</v>
      </c>
      <c r="AU655" s="854" t="str">
        <f t="shared" si="1308"/>
        <v>VENTE - SIERRA EV</v>
      </c>
      <c r="AV655" s="794">
        <f t="array" ref="AV655">IFERROR(INDEX(V655:AG655,1,MATCH(Parametres!$B$3,V$1:AG$1,0)-1)*IF(OR(C655="L",C655="S",C655="I"),-1,1),"")</f>
        <v>4</v>
      </c>
      <c r="AW655" s="794">
        <f t="shared" si="6"/>
        <v>0</v>
      </c>
      <c r="AX655" s="794">
        <f t="array" ref="AX655">INDEX(V655:AG655,1,MATCH(Parametres!$B$3,V$1:AG$1,0))*IF(OR(C655="L",C655="S",C655="I"),-1,1)</f>
        <v>4</v>
      </c>
      <c r="AY655" s="853" t="s">
        <v>772</v>
      </c>
      <c r="AZ655" s="853" t="str">
        <f>+VLOOKUP($AJ655,Data_Validation!$A:$E,5,0)</f>
        <v>Oui</v>
      </c>
    </row>
    <row r="656" ht="15.0" customHeight="1">
      <c r="A656" s="849" t="s">
        <v>1239</v>
      </c>
      <c r="B656" s="849">
        <v>2026.0</v>
      </c>
      <c r="C656" s="849" t="s">
        <v>2539</v>
      </c>
      <c r="D656" s="849" t="s">
        <v>2540</v>
      </c>
      <c r="E656" s="849" t="s">
        <v>2426</v>
      </c>
      <c r="F656" s="849" t="s">
        <v>2426</v>
      </c>
      <c r="G656" s="849">
        <v>0.0</v>
      </c>
      <c r="H656" s="849">
        <v>0.0</v>
      </c>
      <c r="I656" s="849">
        <v>0.0</v>
      </c>
      <c r="J656" s="849">
        <v>0.0</v>
      </c>
      <c r="K656" s="849">
        <v>0.0</v>
      </c>
      <c r="L656" s="849">
        <v>0.0</v>
      </c>
      <c r="M656" s="849">
        <v>0.0</v>
      </c>
      <c r="N656" s="849">
        <v>0.0</v>
      </c>
      <c r="O656" s="849">
        <v>0.0</v>
      </c>
      <c r="P656" s="849">
        <v>0.0</v>
      </c>
      <c r="Q656" s="849">
        <v>0.0</v>
      </c>
      <c r="R656" s="849">
        <v>0.0</v>
      </c>
      <c r="S656" s="849">
        <v>0.0</v>
      </c>
      <c r="T656" s="849">
        <v>0.0</v>
      </c>
      <c r="U656" s="849">
        <v>0.0</v>
      </c>
      <c r="V656" s="849">
        <v>0.0</v>
      </c>
      <c r="W656" s="849">
        <v>0.0</v>
      </c>
      <c r="X656" s="849">
        <v>0.0</v>
      </c>
      <c r="Y656" s="849">
        <v>0.0</v>
      </c>
      <c r="Z656" s="849">
        <v>0.0</v>
      </c>
      <c r="AA656" s="849">
        <v>0.0</v>
      </c>
      <c r="AB656" s="849">
        <v>0.0</v>
      </c>
      <c r="AC656" s="849">
        <v>0.0</v>
      </c>
      <c r="AD656" s="849">
        <v>0.0</v>
      </c>
      <c r="AE656" s="849">
        <v>0.0</v>
      </c>
      <c r="AF656" s="849">
        <v>0.0</v>
      </c>
      <c r="AG656" s="849">
        <v>0.0</v>
      </c>
      <c r="AH656" s="849">
        <v>0.0</v>
      </c>
      <c r="AI656" s="849">
        <v>0.0</v>
      </c>
      <c r="AJ656" s="794" t="str">
        <f t="shared" ref="AJ656:AK656" si="1309">C656</f>
        <v>G43120</v>
      </c>
      <c r="AK656" s="794" t="str">
        <f t="shared" si="1309"/>
        <v>VTES-CL 2500 SILVERAD-LOC</v>
      </c>
      <c r="AL656" s="794">
        <f t="array" ref="AL656">IFERROR(INDEX(G656:R656,1,MATCH(Parametres!$B$3,G$1:R$1,0)-1)*IF(OR(F656="L",F656="S",F656="I"),-1,1),"")</f>
        <v>0</v>
      </c>
      <c r="AM656" s="794">
        <f t="shared" si="4"/>
        <v>0</v>
      </c>
      <c r="AN656" s="794">
        <f t="array" ref="AN656">INDEX(G656:R656,1,MATCH(Parametres!$B$3,G$1:R$1,0))*IF(OR(F656="L",F656="S",F656="I"),-1,1)</f>
        <v>0</v>
      </c>
      <c r="AO656" s="853" t="str">
        <f>+VLOOKUP($AJ656,Data_Validation!$A:$D,1,0)</f>
        <v>#N/A</v>
      </c>
      <c r="AP656" s="853" t="str">
        <f>+VLOOKUP($AJ656,Data_Validation!$A:$D,3,0)</f>
        <v>#N/A</v>
      </c>
      <c r="AQ656" s="853" t="str">
        <f>+VLOOKUP($AJ656,Data_Validation!$A:$D,4,0)</f>
        <v>#N/A</v>
      </c>
      <c r="AR656" s="853" t="s">
        <v>728</v>
      </c>
      <c r="AS656" s="853" t="str">
        <f>+VLOOKUP($AJ656,Data_Validation!$A:$E,5,0)</f>
        <v>#N/A</v>
      </c>
      <c r="AT656" s="794" t="str">
        <f t="shared" ref="AT656:AU656" si="1310">C656</f>
        <v>G43120</v>
      </c>
      <c r="AU656" s="854" t="str">
        <f t="shared" si="1310"/>
        <v>VTES-CL 2500 SILVERAD-LOC</v>
      </c>
      <c r="AV656" s="794">
        <f t="array" ref="AV656">IFERROR(INDEX(V656:AG656,1,MATCH(Parametres!$B$3,V$1:AG$1,0)-1)*IF(OR(C656="L",C656="S",C656="I"),-1,1),"")</f>
        <v>0</v>
      </c>
      <c r="AW656" s="794">
        <f t="shared" si="6"/>
        <v>0</v>
      </c>
      <c r="AX656" s="794">
        <f t="array" ref="AX656">INDEX(V656:AG656,1,MATCH(Parametres!$B$3,V$1:AG$1,0))*IF(OR(C656="L",C656="S",C656="I"),-1,1)</f>
        <v>0</v>
      </c>
      <c r="AY656" s="853" t="s">
        <v>772</v>
      </c>
      <c r="AZ656" s="853" t="str">
        <f>+VLOOKUP($AJ656,Data_Validation!$A:$E,5,0)</f>
        <v>#N/A</v>
      </c>
    </row>
    <row r="657" ht="15.0" customHeight="1">
      <c r="A657" s="849" t="s">
        <v>1239</v>
      </c>
      <c r="B657" s="849">
        <v>2026.0</v>
      </c>
      <c r="C657" s="849" t="s">
        <v>2541</v>
      </c>
      <c r="D657" s="849" t="s">
        <v>2542</v>
      </c>
      <c r="E657" s="849" t="s">
        <v>2426</v>
      </c>
      <c r="F657" s="849" t="s">
        <v>2426</v>
      </c>
      <c r="G657" s="849">
        <v>0.0</v>
      </c>
      <c r="H657" s="849">
        <v>0.0</v>
      </c>
      <c r="I657" s="849">
        <v>0.0</v>
      </c>
      <c r="J657" s="849">
        <v>0.0</v>
      </c>
      <c r="K657" s="849">
        <v>0.0</v>
      </c>
      <c r="L657" s="849">
        <v>0.0</v>
      </c>
      <c r="M657" s="849">
        <v>0.0</v>
      </c>
      <c r="N657" s="849">
        <v>0.0</v>
      </c>
      <c r="O657" s="849">
        <v>0.0</v>
      </c>
      <c r="P657" s="849">
        <v>0.0</v>
      </c>
      <c r="Q657" s="849">
        <v>0.0</v>
      </c>
      <c r="R657" s="849">
        <v>0.0</v>
      </c>
      <c r="S657" s="849">
        <v>0.0</v>
      </c>
      <c r="T657" s="849">
        <v>0.0</v>
      </c>
      <c r="U657" s="849">
        <v>0.0</v>
      </c>
      <c r="V657" s="849">
        <v>0.0</v>
      </c>
      <c r="W657" s="849">
        <v>0.0</v>
      </c>
      <c r="X657" s="849">
        <v>0.0</v>
      </c>
      <c r="Y657" s="849">
        <v>0.0</v>
      </c>
      <c r="Z657" s="849">
        <v>0.0</v>
      </c>
      <c r="AA657" s="849">
        <v>0.0</v>
      </c>
      <c r="AB657" s="849">
        <v>0.0</v>
      </c>
      <c r="AC657" s="849">
        <v>0.0</v>
      </c>
      <c r="AD657" s="849">
        <v>0.0</v>
      </c>
      <c r="AE657" s="849">
        <v>0.0</v>
      </c>
      <c r="AF657" s="849">
        <v>0.0</v>
      </c>
      <c r="AG657" s="849">
        <v>0.0</v>
      </c>
      <c r="AH657" s="849">
        <v>0.0</v>
      </c>
      <c r="AI657" s="849">
        <v>0.0</v>
      </c>
      <c r="AJ657" s="794" t="str">
        <f t="shared" ref="AJ657:AK657" si="1311">C657</f>
        <v>G43200</v>
      </c>
      <c r="AK657" s="794" t="str">
        <f t="shared" si="1311"/>
        <v>VTES-CL 3500 SILVERADO</v>
      </c>
      <c r="AL657" s="794">
        <f t="array" ref="AL657">IFERROR(INDEX(G657:R657,1,MATCH(Parametres!$B$3,G$1:R$1,0)-1)*IF(OR(F657="L",F657="S",F657="I"),-1,1),"")</f>
        <v>0</v>
      </c>
      <c r="AM657" s="794">
        <f t="shared" si="4"/>
        <v>0</v>
      </c>
      <c r="AN657" s="794">
        <f t="array" ref="AN657">INDEX(G657:R657,1,MATCH(Parametres!$B$3,G$1:R$1,0))*IF(OR(F657="L",F657="S",F657="I"),-1,1)</f>
        <v>0</v>
      </c>
      <c r="AO657" s="853" t="str">
        <f>+VLOOKUP($AJ657,Data_Validation!$A:$D,1,0)</f>
        <v>G43200</v>
      </c>
      <c r="AP657" s="853" t="str">
        <f>+VLOOKUP($AJ657,Data_Validation!$A:$D,3,0)</f>
        <v>Véhicules neufs</v>
      </c>
      <c r="AQ657" s="853" t="str">
        <f>+VLOOKUP($AJ657,Data_Validation!$A:$D,4,0)</f>
        <v>Camions détail</v>
      </c>
      <c r="AR657" s="853" t="s">
        <v>728</v>
      </c>
      <c r="AS657" s="853" t="str">
        <f>+VLOOKUP($AJ657,Data_Validation!$A:$E,5,0)</f>
        <v>Oui</v>
      </c>
      <c r="AT657" s="794" t="str">
        <f t="shared" ref="AT657:AU657" si="1312">C657</f>
        <v>G43200</v>
      </c>
      <c r="AU657" s="854" t="str">
        <f t="shared" si="1312"/>
        <v>VTES-CL 3500 SILVERADO</v>
      </c>
      <c r="AV657" s="794">
        <f t="array" ref="AV657">IFERROR(INDEX(V657:AG657,1,MATCH(Parametres!$B$3,V$1:AG$1,0)-1)*IF(OR(C657="L",C657="S",C657="I"),-1,1),"")</f>
        <v>0</v>
      </c>
      <c r="AW657" s="794">
        <f t="shared" si="6"/>
        <v>0</v>
      </c>
      <c r="AX657" s="794">
        <f t="array" ref="AX657">INDEX(V657:AG657,1,MATCH(Parametres!$B$3,V$1:AG$1,0))*IF(OR(C657="L",C657="S",C657="I"),-1,1)</f>
        <v>0</v>
      </c>
      <c r="AY657" s="853" t="s">
        <v>772</v>
      </c>
      <c r="AZ657" s="853" t="str">
        <f>+VLOOKUP($AJ657,Data_Validation!$A:$E,5,0)</f>
        <v>Oui</v>
      </c>
    </row>
    <row r="658" ht="15.0" customHeight="1">
      <c r="A658" s="849" t="s">
        <v>1239</v>
      </c>
      <c r="B658" s="849">
        <v>2026.0</v>
      </c>
      <c r="C658" s="849" t="s">
        <v>2543</v>
      </c>
      <c r="D658" s="849" t="s">
        <v>2544</v>
      </c>
      <c r="E658" s="849" t="s">
        <v>2426</v>
      </c>
      <c r="F658" s="849" t="s">
        <v>2426</v>
      </c>
      <c r="G658" s="849">
        <v>335187.62</v>
      </c>
      <c r="H658" s="849">
        <v>335187.62</v>
      </c>
      <c r="I658" s="849">
        <v>550751.96</v>
      </c>
      <c r="J658" s="849">
        <v>988047.33</v>
      </c>
      <c r="K658" s="849">
        <v>1385656.33</v>
      </c>
      <c r="L658" s="849">
        <v>1507893.33</v>
      </c>
      <c r="M658" s="849">
        <v>1736558.83</v>
      </c>
      <c r="N658" s="849">
        <v>1844697.83</v>
      </c>
      <c r="O658" s="849">
        <v>1844697.83</v>
      </c>
      <c r="P658" s="849">
        <v>1844697.83</v>
      </c>
      <c r="Q658" s="849">
        <v>0.0</v>
      </c>
      <c r="R658" s="849">
        <v>0.0</v>
      </c>
      <c r="S658" s="849">
        <v>204966.43</v>
      </c>
      <c r="T658" s="849">
        <v>204966.43</v>
      </c>
      <c r="U658" s="849">
        <v>0.0</v>
      </c>
      <c r="V658" s="849">
        <v>3.0</v>
      </c>
      <c r="W658" s="849">
        <v>3.0</v>
      </c>
      <c r="X658" s="849">
        <v>5.0</v>
      </c>
      <c r="Y658" s="849">
        <v>9.0</v>
      </c>
      <c r="Z658" s="849">
        <v>13.0</v>
      </c>
      <c r="AA658" s="849">
        <v>14.0</v>
      </c>
      <c r="AB658" s="849">
        <v>16.0</v>
      </c>
      <c r="AC658" s="849">
        <v>17.0</v>
      </c>
      <c r="AD658" s="849">
        <v>17.0</v>
      </c>
      <c r="AE658" s="849">
        <v>17.0</v>
      </c>
      <c r="AF658" s="849">
        <v>0.0</v>
      </c>
      <c r="AG658" s="849">
        <v>0.0</v>
      </c>
      <c r="AH658" s="849">
        <v>2.0</v>
      </c>
      <c r="AI658" s="849">
        <v>2.0</v>
      </c>
      <c r="AJ658" s="794" t="str">
        <f t="shared" ref="AJ658:AK658" si="1313">C658</f>
        <v>G43202</v>
      </c>
      <c r="AK658" s="794" t="str">
        <f t="shared" si="1313"/>
        <v>VENTES - CL2500 SIERRA</v>
      </c>
      <c r="AL658" s="794">
        <f t="array" ref="AL658">IFERROR(INDEX(G658:R658,1,MATCH(Parametres!$B$3,G$1:R$1,0)-1)*IF(OR(F658="L",F658="S",F658="I"),-1,1),"")</f>
        <v>-1844697.83</v>
      </c>
      <c r="AM658" s="794">
        <f t="shared" si="4"/>
        <v>0</v>
      </c>
      <c r="AN658" s="794">
        <f t="array" ref="AN658">INDEX(G658:R658,1,MATCH(Parametres!$B$3,G$1:R$1,0))*IF(OR(F658="L",F658="S",F658="I"),-1,1)</f>
        <v>-1844697.83</v>
      </c>
      <c r="AO658" s="853" t="str">
        <f>+VLOOKUP($AJ658,Data_Validation!$A:$D,1,0)</f>
        <v>G43202</v>
      </c>
      <c r="AP658" s="853" t="str">
        <f>+VLOOKUP($AJ658,Data_Validation!$A:$D,3,0)</f>
        <v>Véhicules neufs</v>
      </c>
      <c r="AQ658" s="853" t="str">
        <f>+VLOOKUP($AJ658,Data_Validation!$A:$D,4,0)</f>
        <v>Camions détail</v>
      </c>
      <c r="AR658" s="853" t="s">
        <v>728</v>
      </c>
      <c r="AS658" s="853" t="str">
        <f>+VLOOKUP($AJ658,Data_Validation!$A:$E,5,0)</f>
        <v>Oui</v>
      </c>
      <c r="AT658" s="794" t="str">
        <f t="shared" ref="AT658:AU658" si="1314">C658</f>
        <v>G43202</v>
      </c>
      <c r="AU658" s="854" t="str">
        <f t="shared" si="1314"/>
        <v>VENTES - CL2500 SIERRA</v>
      </c>
      <c r="AV658" s="794">
        <f t="array" ref="AV658">IFERROR(INDEX(V658:AG658,1,MATCH(Parametres!$B$3,V$1:AG$1,0)-1)*IF(OR(C658="L",C658="S",C658="I"),-1,1),"")</f>
        <v>17</v>
      </c>
      <c r="AW658" s="794">
        <f t="shared" si="6"/>
        <v>0</v>
      </c>
      <c r="AX658" s="794">
        <f t="array" ref="AX658">INDEX(V658:AG658,1,MATCH(Parametres!$B$3,V$1:AG$1,0))*IF(OR(C658="L",C658="S",C658="I"),-1,1)</f>
        <v>17</v>
      </c>
      <c r="AY658" s="853" t="s">
        <v>772</v>
      </c>
      <c r="AZ658" s="853" t="str">
        <f>+VLOOKUP($AJ658,Data_Validation!$A:$E,5,0)</f>
        <v>Oui</v>
      </c>
    </row>
    <row r="659" ht="15.0" customHeight="1">
      <c r="A659" s="849" t="s">
        <v>1239</v>
      </c>
      <c r="B659" s="849">
        <v>2026.0</v>
      </c>
      <c r="C659" s="849" t="s">
        <v>2545</v>
      </c>
      <c r="D659" s="849" t="s">
        <v>2546</v>
      </c>
      <c r="E659" s="849" t="s">
        <v>2426</v>
      </c>
      <c r="F659" s="849" t="s">
        <v>2426</v>
      </c>
      <c r="G659" s="849">
        <v>234777.15</v>
      </c>
      <c r="H659" s="849">
        <v>234777.15</v>
      </c>
      <c r="I659" s="849">
        <v>351065.15</v>
      </c>
      <c r="J659" s="849">
        <v>351065.15</v>
      </c>
      <c r="K659" s="849">
        <v>351065.15</v>
      </c>
      <c r="L659" s="849">
        <v>351065.15</v>
      </c>
      <c r="M659" s="849">
        <v>351065.15</v>
      </c>
      <c r="N659" s="849">
        <v>351065.15</v>
      </c>
      <c r="O659" s="849">
        <v>351065.15</v>
      </c>
      <c r="P659" s="849">
        <v>351065.15</v>
      </c>
      <c r="Q659" s="849">
        <v>0.0</v>
      </c>
      <c r="R659" s="849">
        <v>0.0</v>
      </c>
      <c r="S659" s="849">
        <v>39007.24</v>
      </c>
      <c r="T659" s="849">
        <v>39007.24</v>
      </c>
      <c r="U659" s="849">
        <v>0.0</v>
      </c>
      <c r="V659" s="849">
        <v>2.0</v>
      </c>
      <c r="W659" s="849">
        <v>2.0</v>
      </c>
      <c r="X659" s="849">
        <v>3.0</v>
      </c>
      <c r="Y659" s="849">
        <v>3.0</v>
      </c>
      <c r="Z659" s="849">
        <v>3.0</v>
      </c>
      <c r="AA659" s="849">
        <v>3.0</v>
      </c>
      <c r="AB659" s="849">
        <v>3.0</v>
      </c>
      <c r="AC659" s="849">
        <v>3.0</v>
      </c>
      <c r="AD659" s="849">
        <v>3.0</v>
      </c>
      <c r="AE659" s="849">
        <v>3.0</v>
      </c>
      <c r="AF659" s="849">
        <v>0.0</v>
      </c>
      <c r="AG659" s="849">
        <v>0.0</v>
      </c>
      <c r="AH659" s="849">
        <v>0.0</v>
      </c>
      <c r="AI659" s="849">
        <v>0.0</v>
      </c>
      <c r="AJ659" s="794" t="str">
        <f t="shared" ref="AJ659:AK659" si="1315">C659</f>
        <v>G43203</v>
      </c>
      <c r="AK659" s="794" t="str">
        <f t="shared" si="1315"/>
        <v>VENTES - SIERRA 3500</v>
      </c>
      <c r="AL659" s="794">
        <f t="array" ref="AL659">IFERROR(INDEX(G659:R659,1,MATCH(Parametres!$B$3,G$1:R$1,0)-1)*IF(OR(F659="L",F659="S",F659="I"),-1,1),"")</f>
        <v>-351065.15</v>
      </c>
      <c r="AM659" s="794">
        <f t="shared" si="4"/>
        <v>0</v>
      </c>
      <c r="AN659" s="794">
        <f t="array" ref="AN659">INDEX(G659:R659,1,MATCH(Parametres!$B$3,G$1:R$1,0))*IF(OR(F659="L",F659="S",F659="I"),-1,1)</f>
        <v>-351065.15</v>
      </c>
      <c r="AO659" s="853" t="str">
        <f>+VLOOKUP($AJ659,Data_Validation!$A:$D,1,0)</f>
        <v>G43203</v>
      </c>
      <c r="AP659" s="853" t="str">
        <f>+VLOOKUP($AJ659,Data_Validation!$A:$D,3,0)</f>
        <v>Véhicules neufs</v>
      </c>
      <c r="AQ659" s="853" t="str">
        <f>+VLOOKUP($AJ659,Data_Validation!$A:$D,4,0)</f>
        <v>Camions détail</v>
      </c>
      <c r="AR659" s="853" t="s">
        <v>728</v>
      </c>
      <c r="AS659" s="853" t="str">
        <f>+VLOOKUP($AJ659,Data_Validation!$A:$E,5,0)</f>
        <v>Oui</v>
      </c>
      <c r="AT659" s="794" t="str">
        <f t="shared" ref="AT659:AU659" si="1316">C659</f>
        <v>G43203</v>
      </c>
      <c r="AU659" s="854" t="str">
        <f t="shared" si="1316"/>
        <v>VENTES - SIERRA 3500</v>
      </c>
      <c r="AV659" s="794">
        <f t="array" ref="AV659">IFERROR(INDEX(V659:AG659,1,MATCH(Parametres!$B$3,V$1:AG$1,0)-1)*IF(OR(C659="L",C659="S",C659="I"),-1,1),"")</f>
        <v>3</v>
      </c>
      <c r="AW659" s="794">
        <f t="shared" si="6"/>
        <v>0</v>
      </c>
      <c r="AX659" s="794">
        <f t="array" ref="AX659">INDEX(V659:AG659,1,MATCH(Parametres!$B$3,V$1:AG$1,0))*IF(OR(C659="L",C659="S",C659="I"),-1,1)</f>
        <v>3</v>
      </c>
      <c r="AY659" s="853" t="s">
        <v>772</v>
      </c>
      <c r="AZ659" s="853" t="str">
        <f>+VLOOKUP($AJ659,Data_Validation!$A:$E,5,0)</f>
        <v>Oui</v>
      </c>
    </row>
    <row r="660" ht="15.0" customHeight="1">
      <c r="A660" s="849" t="s">
        <v>1239</v>
      </c>
      <c r="B660" s="849">
        <v>2026.0</v>
      </c>
      <c r="C660" s="849" t="s">
        <v>2547</v>
      </c>
      <c r="D660" s="849" t="s">
        <v>2548</v>
      </c>
      <c r="E660" s="849" t="s">
        <v>2426</v>
      </c>
      <c r="F660" s="849" t="s">
        <v>2426</v>
      </c>
      <c r="G660" s="849">
        <v>0.0</v>
      </c>
      <c r="H660" s="849">
        <v>0.0</v>
      </c>
      <c r="I660" s="849">
        <v>0.0</v>
      </c>
      <c r="J660" s="849">
        <v>0.0</v>
      </c>
      <c r="K660" s="849">
        <v>0.0</v>
      </c>
      <c r="L660" s="849">
        <v>38693.0</v>
      </c>
      <c r="M660" s="849">
        <v>38693.0</v>
      </c>
      <c r="N660" s="849">
        <v>38693.0</v>
      </c>
      <c r="O660" s="849">
        <v>38693.0</v>
      </c>
      <c r="P660" s="849">
        <v>38693.0</v>
      </c>
      <c r="Q660" s="849">
        <v>0.0</v>
      </c>
      <c r="R660" s="849">
        <v>0.0</v>
      </c>
      <c r="S660" s="849">
        <v>4299.22</v>
      </c>
      <c r="T660" s="849">
        <v>4299.22</v>
      </c>
      <c r="U660" s="849">
        <v>0.0</v>
      </c>
      <c r="V660" s="849">
        <v>0.0</v>
      </c>
      <c r="W660" s="849">
        <v>0.0</v>
      </c>
      <c r="X660" s="849">
        <v>0.0</v>
      </c>
      <c r="Y660" s="849">
        <v>0.0</v>
      </c>
      <c r="Z660" s="849">
        <v>0.0</v>
      </c>
      <c r="AA660" s="849">
        <v>1.0</v>
      </c>
      <c r="AB660" s="849">
        <v>1.0</v>
      </c>
      <c r="AC660" s="849">
        <v>1.0</v>
      </c>
      <c r="AD660" s="849">
        <v>1.0</v>
      </c>
      <c r="AE660" s="849">
        <v>1.0</v>
      </c>
      <c r="AF660" s="849">
        <v>0.0</v>
      </c>
      <c r="AG660" s="849">
        <v>0.0</v>
      </c>
      <c r="AH660" s="849">
        <v>0.0</v>
      </c>
      <c r="AI660" s="849">
        <v>0.0</v>
      </c>
      <c r="AJ660" s="794" t="str">
        <f t="shared" ref="AJ660:AK660" si="1317">C660</f>
        <v>G43300</v>
      </c>
      <c r="AK660" s="794" t="str">
        <f t="shared" si="1317"/>
        <v>VENTES BLAZER</v>
      </c>
      <c r="AL660" s="794">
        <f t="array" ref="AL660">IFERROR(INDEX(G660:R660,1,MATCH(Parametres!$B$3,G$1:R$1,0)-1)*IF(OR(F660="L",F660="S",F660="I"),-1,1),"")</f>
        <v>-38693</v>
      </c>
      <c r="AM660" s="794">
        <f t="shared" si="4"/>
        <v>0</v>
      </c>
      <c r="AN660" s="794">
        <f t="array" ref="AN660">INDEX(G660:R660,1,MATCH(Parametres!$B$3,G$1:R$1,0))*IF(OR(F660="L",F660="S",F660="I"),-1,1)</f>
        <v>-38693</v>
      </c>
      <c r="AO660" s="853" t="str">
        <f>+VLOOKUP($AJ660,Data_Validation!$A:$D,1,0)</f>
        <v>G43300</v>
      </c>
      <c r="AP660" s="853" t="str">
        <f>+VLOOKUP($AJ660,Data_Validation!$A:$D,3,0)</f>
        <v>Véhicules neufs</v>
      </c>
      <c r="AQ660" s="853" t="str">
        <f>+VLOOKUP($AJ660,Data_Validation!$A:$D,4,0)</f>
        <v>Camions détail</v>
      </c>
      <c r="AR660" s="853" t="s">
        <v>728</v>
      </c>
      <c r="AS660" s="853" t="str">
        <f>+VLOOKUP($AJ660,Data_Validation!$A:$E,5,0)</f>
        <v>Oui</v>
      </c>
      <c r="AT660" s="794" t="str">
        <f t="shared" ref="AT660:AU660" si="1318">C660</f>
        <v>G43300</v>
      </c>
      <c r="AU660" s="854" t="str">
        <f t="shared" si="1318"/>
        <v>VENTES BLAZER</v>
      </c>
      <c r="AV660" s="794">
        <f t="array" ref="AV660">IFERROR(INDEX(V660:AG660,1,MATCH(Parametres!$B$3,V$1:AG$1,0)-1)*IF(OR(C660="L",C660="S",C660="I"),-1,1),"")</f>
        <v>1</v>
      </c>
      <c r="AW660" s="794">
        <f t="shared" si="6"/>
        <v>0</v>
      </c>
      <c r="AX660" s="794">
        <f t="array" ref="AX660">INDEX(V660:AG660,1,MATCH(Parametres!$B$3,V$1:AG$1,0))*IF(OR(C660="L",C660="S",C660="I"),-1,1)</f>
        <v>1</v>
      </c>
      <c r="AY660" s="853" t="s">
        <v>772</v>
      </c>
      <c r="AZ660" s="853" t="str">
        <f>+VLOOKUP($AJ660,Data_Validation!$A:$E,5,0)</f>
        <v>Oui</v>
      </c>
    </row>
    <row r="661" ht="15.0" customHeight="1">
      <c r="A661" s="849" t="s">
        <v>1239</v>
      </c>
      <c r="B661" s="849">
        <v>2026.0</v>
      </c>
      <c r="C661" s="849" t="s">
        <v>2549</v>
      </c>
      <c r="D661" s="849" t="s">
        <v>2550</v>
      </c>
      <c r="E661" s="849" t="s">
        <v>2426</v>
      </c>
      <c r="F661" s="849" t="s">
        <v>2426</v>
      </c>
      <c r="G661" s="849">
        <v>0.0</v>
      </c>
      <c r="H661" s="849">
        <v>0.0</v>
      </c>
      <c r="I661" s="849">
        <v>178425.14</v>
      </c>
      <c r="J661" s="849">
        <v>340072.14</v>
      </c>
      <c r="K661" s="849">
        <v>458380.64</v>
      </c>
      <c r="L661" s="849">
        <v>458380.64</v>
      </c>
      <c r="M661" s="849">
        <v>458380.64</v>
      </c>
      <c r="N661" s="849">
        <v>458380.64</v>
      </c>
      <c r="O661" s="849">
        <v>519902.64</v>
      </c>
      <c r="P661" s="849">
        <v>519902.64</v>
      </c>
      <c r="Q661" s="849">
        <v>0.0</v>
      </c>
      <c r="R661" s="849">
        <v>0.0</v>
      </c>
      <c r="S661" s="849">
        <v>57766.96</v>
      </c>
      <c r="T661" s="849">
        <v>57766.96</v>
      </c>
      <c r="U661" s="849">
        <v>0.0</v>
      </c>
      <c r="V661" s="849">
        <v>0.0</v>
      </c>
      <c r="W661" s="849">
        <v>0.0</v>
      </c>
      <c r="X661" s="849">
        <v>3.0</v>
      </c>
      <c r="Y661" s="849">
        <v>6.0</v>
      </c>
      <c r="Z661" s="849">
        <v>8.0</v>
      </c>
      <c r="AA661" s="849">
        <v>8.0</v>
      </c>
      <c r="AB661" s="849">
        <v>8.0</v>
      </c>
      <c r="AC661" s="849">
        <v>8.0</v>
      </c>
      <c r="AD661" s="849">
        <v>9.0</v>
      </c>
      <c r="AE661" s="849">
        <v>9.0</v>
      </c>
      <c r="AF661" s="849">
        <v>0.0</v>
      </c>
      <c r="AG661" s="849">
        <v>0.0</v>
      </c>
      <c r="AH661" s="849">
        <v>1.0</v>
      </c>
      <c r="AI661" s="849">
        <v>1.0</v>
      </c>
      <c r="AJ661" s="794" t="str">
        <f t="shared" ref="AJ661:AK661" si="1319">C661</f>
        <v>G43301</v>
      </c>
      <c r="AK661" s="794" t="str">
        <f t="shared" si="1319"/>
        <v>VENTES BLAZER EV</v>
      </c>
      <c r="AL661" s="794">
        <f t="array" ref="AL661">IFERROR(INDEX(G661:R661,1,MATCH(Parametres!$B$3,G$1:R$1,0)-1)*IF(OR(F661="L",F661="S",F661="I"),-1,1),"")</f>
        <v>-458380.64</v>
      </c>
      <c r="AM661" s="794">
        <f t="shared" si="4"/>
        <v>-61522</v>
      </c>
      <c r="AN661" s="794">
        <f t="array" ref="AN661">INDEX(G661:R661,1,MATCH(Parametres!$B$3,G$1:R$1,0))*IF(OR(F661="L",F661="S",F661="I"),-1,1)</f>
        <v>-519902.64</v>
      </c>
      <c r="AO661" s="853" t="str">
        <f>+VLOOKUP($AJ661,Data_Validation!$A:$D,1,0)</f>
        <v>G43301</v>
      </c>
      <c r="AP661" s="853" t="str">
        <f>+VLOOKUP($AJ661,Data_Validation!$A:$D,3,0)</f>
        <v>Véhicules neufs</v>
      </c>
      <c r="AQ661" s="853" t="str">
        <f>+VLOOKUP($AJ661,Data_Validation!$A:$D,4,0)</f>
        <v>Camions electriques</v>
      </c>
      <c r="AR661" s="853" t="s">
        <v>728</v>
      </c>
      <c r="AS661" s="853" t="str">
        <f>+VLOOKUP($AJ661,Data_Validation!$A:$E,5,0)</f>
        <v>Oui</v>
      </c>
      <c r="AT661" s="794" t="str">
        <f t="shared" ref="AT661:AU661" si="1320">C661</f>
        <v>G43301</v>
      </c>
      <c r="AU661" s="854" t="str">
        <f t="shared" si="1320"/>
        <v>VENTES BLAZER EV</v>
      </c>
      <c r="AV661" s="794">
        <f t="array" ref="AV661">IFERROR(INDEX(V661:AG661,1,MATCH(Parametres!$B$3,V$1:AG$1,0)-1)*IF(OR(C661="L",C661="S",C661="I"),-1,1),"")</f>
        <v>8</v>
      </c>
      <c r="AW661" s="794">
        <f t="shared" si="6"/>
        <v>1</v>
      </c>
      <c r="AX661" s="794">
        <f t="array" ref="AX661">INDEX(V661:AG661,1,MATCH(Parametres!$B$3,V$1:AG$1,0))*IF(OR(C661="L",C661="S",C661="I"),-1,1)</f>
        <v>9</v>
      </c>
      <c r="AY661" s="853" t="s">
        <v>772</v>
      </c>
      <c r="AZ661" s="853" t="str">
        <f>+VLOOKUP($AJ661,Data_Validation!$A:$E,5,0)</f>
        <v>Oui</v>
      </c>
    </row>
    <row r="662" ht="15.0" customHeight="1">
      <c r="A662" s="849" t="s">
        <v>1239</v>
      </c>
      <c r="B662" s="849">
        <v>2026.0</v>
      </c>
      <c r="C662" s="849" t="s">
        <v>2551</v>
      </c>
      <c r="D662" s="849" t="s">
        <v>2552</v>
      </c>
      <c r="E662" s="849" t="s">
        <v>2426</v>
      </c>
      <c r="F662" s="849" t="s">
        <v>2426</v>
      </c>
      <c r="G662" s="849">
        <v>0.0</v>
      </c>
      <c r="H662" s="849">
        <v>0.0</v>
      </c>
      <c r="I662" s="849">
        <v>0.0</v>
      </c>
      <c r="J662" s="849">
        <v>0.0</v>
      </c>
      <c r="K662" s="849">
        <v>0.0</v>
      </c>
      <c r="L662" s="849">
        <v>0.0</v>
      </c>
      <c r="M662" s="849">
        <v>0.0</v>
      </c>
      <c r="N662" s="849">
        <v>0.0</v>
      </c>
      <c r="O662" s="849">
        <v>0.0</v>
      </c>
      <c r="P662" s="849">
        <v>0.0</v>
      </c>
      <c r="Q662" s="849">
        <v>0.0</v>
      </c>
      <c r="R662" s="849">
        <v>0.0</v>
      </c>
      <c r="S662" s="849">
        <v>0.0</v>
      </c>
      <c r="T662" s="849">
        <v>0.0</v>
      </c>
      <c r="U662" s="849">
        <v>0.0</v>
      </c>
      <c r="V662" s="849">
        <v>0.0</v>
      </c>
      <c r="W662" s="849">
        <v>0.0</v>
      </c>
      <c r="X662" s="849">
        <v>0.0</v>
      </c>
      <c r="Y662" s="849">
        <v>0.0</v>
      </c>
      <c r="Z662" s="849">
        <v>0.0</v>
      </c>
      <c r="AA662" s="849">
        <v>0.0</v>
      </c>
      <c r="AB662" s="849">
        <v>0.0</v>
      </c>
      <c r="AC662" s="849">
        <v>0.0</v>
      </c>
      <c r="AD662" s="849">
        <v>0.0</v>
      </c>
      <c r="AE662" s="849">
        <v>0.0</v>
      </c>
      <c r="AF662" s="849">
        <v>0.0</v>
      </c>
      <c r="AG662" s="849">
        <v>0.0</v>
      </c>
      <c r="AH662" s="849">
        <v>0.0</v>
      </c>
      <c r="AI662" s="849">
        <v>0.0</v>
      </c>
      <c r="AJ662" s="794" t="str">
        <f t="shared" ref="AJ662:AK662" si="1321">C662</f>
        <v>G43320</v>
      </c>
      <c r="AK662" s="794" t="str">
        <f t="shared" si="1321"/>
        <v>VTES-AVALANCHE       -LOC</v>
      </c>
      <c r="AL662" s="794">
        <f t="array" ref="AL662">IFERROR(INDEX(G662:R662,1,MATCH(Parametres!$B$3,G$1:R$1,0)-1)*IF(OR(F662="L",F662="S",F662="I"),-1,1),"")</f>
        <v>0</v>
      </c>
      <c r="AM662" s="794">
        <f t="shared" si="4"/>
        <v>0</v>
      </c>
      <c r="AN662" s="794">
        <f t="array" ref="AN662">INDEX(G662:R662,1,MATCH(Parametres!$B$3,G$1:R$1,0))*IF(OR(F662="L",F662="S",F662="I"),-1,1)</f>
        <v>0</v>
      </c>
      <c r="AO662" s="853" t="str">
        <f>+VLOOKUP($AJ662,Data_Validation!$A:$D,1,0)</f>
        <v>#N/A</v>
      </c>
      <c r="AP662" s="853" t="str">
        <f>+VLOOKUP($AJ662,Data_Validation!$A:$D,3,0)</f>
        <v>#N/A</v>
      </c>
      <c r="AQ662" s="853" t="str">
        <f>+VLOOKUP($AJ662,Data_Validation!$A:$D,4,0)</f>
        <v>#N/A</v>
      </c>
      <c r="AR662" s="853" t="s">
        <v>728</v>
      </c>
      <c r="AS662" s="853" t="str">
        <f>+VLOOKUP($AJ662,Data_Validation!$A:$E,5,0)</f>
        <v>#N/A</v>
      </c>
      <c r="AT662" s="794" t="str">
        <f t="shared" ref="AT662:AU662" si="1322">C662</f>
        <v>G43320</v>
      </c>
      <c r="AU662" s="854" t="str">
        <f t="shared" si="1322"/>
        <v>VTES-AVALANCHE       -LOC</v>
      </c>
      <c r="AV662" s="794">
        <f t="array" ref="AV662">IFERROR(INDEX(V662:AG662,1,MATCH(Parametres!$B$3,V$1:AG$1,0)-1)*IF(OR(C662="L",C662="S",C662="I"),-1,1),"")</f>
        <v>0</v>
      </c>
      <c r="AW662" s="794">
        <f t="shared" si="6"/>
        <v>0</v>
      </c>
      <c r="AX662" s="794">
        <f t="array" ref="AX662">INDEX(V662:AG662,1,MATCH(Parametres!$B$3,V$1:AG$1,0))*IF(OR(C662="L",C662="S",C662="I"),-1,1)</f>
        <v>0</v>
      </c>
      <c r="AY662" s="853" t="s">
        <v>772</v>
      </c>
      <c r="AZ662" s="853" t="str">
        <f>+VLOOKUP($AJ662,Data_Validation!$A:$E,5,0)</f>
        <v>#N/A</v>
      </c>
    </row>
    <row r="663" ht="15.0" customHeight="1">
      <c r="A663" s="849" t="s">
        <v>1239</v>
      </c>
      <c r="B663" s="849">
        <v>2026.0</v>
      </c>
      <c r="C663" s="849" t="s">
        <v>2553</v>
      </c>
      <c r="D663" s="849" t="s">
        <v>2554</v>
      </c>
      <c r="E663" s="849" t="s">
        <v>2426</v>
      </c>
      <c r="F663" s="849" t="s">
        <v>2426</v>
      </c>
      <c r="G663" s="849">
        <v>84235.0</v>
      </c>
      <c r="H663" s="849">
        <v>173987.78</v>
      </c>
      <c r="I663" s="849">
        <v>221362.43</v>
      </c>
      <c r="J663" s="849">
        <v>262011.43</v>
      </c>
      <c r="K663" s="849">
        <v>309659.93</v>
      </c>
      <c r="L663" s="849">
        <v>353920.93</v>
      </c>
      <c r="M663" s="849">
        <v>391398.43</v>
      </c>
      <c r="N663" s="849">
        <v>391398.43</v>
      </c>
      <c r="O663" s="849">
        <v>391398.43</v>
      </c>
      <c r="P663" s="849">
        <v>391398.43</v>
      </c>
      <c r="Q663" s="849">
        <v>0.0</v>
      </c>
      <c r="R663" s="849">
        <v>0.0</v>
      </c>
      <c r="S663" s="849">
        <v>43488.71</v>
      </c>
      <c r="T663" s="849">
        <v>43488.71</v>
      </c>
      <c r="U663" s="849">
        <v>0.0</v>
      </c>
      <c r="V663" s="849">
        <v>2.0</v>
      </c>
      <c r="W663" s="849">
        <v>4.0</v>
      </c>
      <c r="X663" s="849">
        <v>5.0</v>
      </c>
      <c r="Y663" s="849">
        <v>6.0</v>
      </c>
      <c r="Z663" s="849">
        <v>7.0</v>
      </c>
      <c r="AA663" s="849">
        <v>8.0</v>
      </c>
      <c r="AB663" s="849">
        <v>9.0</v>
      </c>
      <c r="AC663" s="849">
        <v>9.0</v>
      </c>
      <c r="AD663" s="849">
        <v>9.0</v>
      </c>
      <c r="AE663" s="849">
        <v>9.0</v>
      </c>
      <c r="AF663" s="849">
        <v>0.0</v>
      </c>
      <c r="AG663" s="849">
        <v>0.0</v>
      </c>
      <c r="AH663" s="849">
        <v>1.0</v>
      </c>
      <c r="AI663" s="849">
        <v>1.0</v>
      </c>
      <c r="AJ663" s="794" t="str">
        <f t="shared" ref="AJ663:AK663" si="1323">C663</f>
        <v>G43400</v>
      </c>
      <c r="AK663" s="794" t="str">
        <f t="shared" si="1323"/>
        <v>VENTES EQUINOX</v>
      </c>
      <c r="AL663" s="794">
        <f t="array" ref="AL663">IFERROR(INDEX(G663:R663,1,MATCH(Parametres!$B$3,G$1:R$1,0)-1)*IF(OR(F663="L",F663="S",F663="I"),-1,1),"")</f>
        <v>-391398.43</v>
      </c>
      <c r="AM663" s="794">
        <f t="shared" si="4"/>
        <v>0</v>
      </c>
      <c r="AN663" s="794">
        <f t="array" ref="AN663">INDEX(G663:R663,1,MATCH(Parametres!$B$3,G$1:R$1,0))*IF(OR(F663="L",F663="S",F663="I"),-1,1)</f>
        <v>-391398.43</v>
      </c>
      <c r="AO663" s="853" t="str">
        <f>+VLOOKUP($AJ663,Data_Validation!$A:$D,1,0)</f>
        <v>G43400</v>
      </c>
      <c r="AP663" s="853" t="str">
        <f>+VLOOKUP($AJ663,Data_Validation!$A:$D,3,0)</f>
        <v>Véhicules neufs</v>
      </c>
      <c r="AQ663" s="853" t="str">
        <f>+VLOOKUP($AJ663,Data_Validation!$A:$D,4,0)</f>
        <v>Camions détail</v>
      </c>
      <c r="AR663" s="853" t="s">
        <v>728</v>
      </c>
      <c r="AS663" s="853" t="str">
        <f>+VLOOKUP($AJ663,Data_Validation!$A:$E,5,0)</f>
        <v>Oui</v>
      </c>
      <c r="AT663" s="794" t="str">
        <f t="shared" ref="AT663:AU663" si="1324">C663</f>
        <v>G43400</v>
      </c>
      <c r="AU663" s="854" t="str">
        <f t="shared" si="1324"/>
        <v>VENTES EQUINOX</v>
      </c>
      <c r="AV663" s="794">
        <f t="array" ref="AV663">IFERROR(INDEX(V663:AG663,1,MATCH(Parametres!$B$3,V$1:AG$1,0)-1)*IF(OR(C663="L",C663="S",C663="I"),-1,1),"")</f>
        <v>9</v>
      </c>
      <c r="AW663" s="794">
        <f t="shared" si="6"/>
        <v>0</v>
      </c>
      <c r="AX663" s="794">
        <f t="array" ref="AX663">INDEX(V663:AG663,1,MATCH(Parametres!$B$3,V$1:AG$1,0))*IF(OR(C663="L",C663="S",C663="I"),-1,1)</f>
        <v>9</v>
      </c>
      <c r="AY663" s="853" t="s">
        <v>772</v>
      </c>
      <c r="AZ663" s="853" t="str">
        <f>+VLOOKUP($AJ663,Data_Validation!$A:$E,5,0)</f>
        <v>Oui</v>
      </c>
    </row>
    <row r="664" ht="15.0" customHeight="1">
      <c r="A664" s="849" t="s">
        <v>1239</v>
      </c>
      <c r="B664" s="849">
        <v>2026.0</v>
      </c>
      <c r="C664" s="849" t="s">
        <v>2555</v>
      </c>
      <c r="D664" s="849" t="s">
        <v>2556</v>
      </c>
      <c r="E664" s="849" t="s">
        <v>2426</v>
      </c>
      <c r="F664" s="849" t="s">
        <v>2426</v>
      </c>
      <c r="G664" s="849">
        <v>0.0</v>
      </c>
      <c r="H664" s="849">
        <v>110438.28</v>
      </c>
      <c r="I664" s="849">
        <v>348535.12</v>
      </c>
      <c r="J664" s="849">
        <v>1423503.96</v>
      </c>
      <c r="K664" s="849">
        <v>1573976.96</v>
      </c>
      <c r="L664" s="849">
        <v>1622869.96</v>
      </c>
      <c r="M664" s="849">
        <v>1949739.22</v>
      </c>
      <c r="N664" s="849">
        <v>2432205.88</v>
      </c>
      <c r="O664" s="849">
        <v>2943116.38</v>
      </c>
      <c r="P664" s="849">
        <v>2990007.97</v>
      </c>
      <c r="Q664" s="849">
        <v>0.0</v>
      </c>
      <c r="R664" s="849">
        <v>0.0</v>
      </c>
      <c r="S664" s="849">
        <v>327012.93</v>
      </c>
      <c r="T664" s="849">
        <v>327012.93</v>
      </c>
      <c r="U664" s="849">
        <v>0.0</v>
      </c>
      <c r="V664" s="849">
        <v>0.0</v>
      </c>
      <c r="W664" s="849">
        <v>2.0</v>
      </c>
      <c r="X664" s="849">
        <v>7.0</v>
      </c>
      <c r="Y664" s="849">
        <v>29.0</v>
      </c>
      <c r="Z664" s="849">
        <v>32.0</v>
      </c>
      <c r="AA664" s="849">
        <v>33.0</v>
      </c>
      <c r="AB664" s="849">
        <v>40.0</v>
      </c>
      <c r="AC664" s="849">
        <v>50.0</v>
      </c>
      <c r="AD664" s="849">
        <v>60.0</v>
      </c>
      <c r="AE664" s="849">
        <v>61.0</v>
      </c>
      <c r="AF664" s="849">
        <v>0.0</v>
      </c>
      <c r="AG664" s="849">
        <v>0.0</v>
      </c>
      <c r="AH664" s="849">
        <v>7.0</v>
      </c>
      <c r="AI664" s="849">
        <v>7.0</v>
      </c>
      <c r="AJ664" s="794" t="str">
        <f t="shared" ref="AJ664:AK664" si="1325">C664</f>
        <v>G43401</v>
      </c>
      <c r="AK664" s="794" t="str">
        <f t="shared" si="1325"/>
        <v>VTES - EQUINOX EV</v>
      </c>
      <c r="AL664" s="794">
        <f t="array" ref="AL664">IFERROR(INDEX(G664:R664,1,MATCH(Parametres!$B$3,G$1:R$1,0)-1)*IF(OR(F664="L",F664="S",F664="I"),-1,1),"")</f>
        <v>-2432205.88</v>
      </c>
      <c r="AM664" s="794">
        <f t="shared" si="4"/>
        <v>-510910.5</v>
      </c>
      <c r="AN664" s="794">
        <f t="array" ref="AN664">INDEX(G664:R664,1,MATCH(Parametres!$B$3,G$1:R$1,0))*IF(OR(F664="L",F664="S",F664="I"),-1,1)</f>
        <v>-2943116.38</v>
      </c>
      <c r="AO664" s="853" t="str">
        <f>+VLOOKUP($AJ664,Data_Validation!$A:$D,1,0)</f>
        <v>G43401</v>
      </c>
      <c r="AP664" s="853" t="str">
        <f>+VLOOKUP($AJ664,Data_Validation!$A:$D,3,0)</f>
        <v>Véhicules neufs</v>
      </c>
      <c r="AQ664" s="853" t="str">
        <f>+VLOOKUP($AJ664,Data_Validation!$A:$D,4,0)</f>
        <v>Camions electriques</v>
      </c>
      <c r="AR664" s="853" t="s">
        <v>728</v>
      </c>
      <c r="AS664" s="853" t="str">
        <f>+VLOOKUP($AJ664,Data_Validation!$A:$E,5,0)</f>
        <v>Oui</v>
      </c>
      <c r="AT664" s="794" t="str">
        <f t="shared" ref="AT664:AU664" si="1326">C664</f>
        <v>G43401</v>
      </c>
      <c r="AU664" s="854" t="str">
        <f t="shared" si="1326"/>
        <v>VTES - EQUINOX EV</v>
      </c>
      <c r="AV664" s="794">
        <f t="array" ref="AV664">IFERROR(INDEX(V664:AG664,1,MATCH(Parametres!$B$3,V$1:AG$1,0)-1)*IF(OR(C664="L",C664="S",C664="I"),-1,1),"")</f>
        <v>50</v>
      </c>
      <c r="AW664" s="794">
        <f t="shared" si="6"/>
        <v>10</v>
      </c>
      <c r="AX664" s="794">
        <f t="array" ref="AX664">INDEX(V664:AG664,1,MATCH(Parametres!$B$3,V$1:AG$1,0))*IF(OR(C664="L",C664="S",C664="I"),-1,1)</f>
        <v>60</v>
      </c>
      <c r="AY664" s="853" t="s">
        <v>772</v>
      </c>
      <c r="AZ664" s="853" t="str">
        <f>+VLOOKUP($AJ664,Data_Validation!$A:$E,5,0)</f>
        <v>Oui</v>
      </c>
    </row>
    <row r="665" ht="15.0" customHeight="1">
      <c r="A665" s="849" t="s">
        <v>1239</v>
      </c>
      <c r="B665" s="849">
        <v>2026.0</v>
      </c>
      <c r="C665" s="849" t="s">
        <v>2557</v>
      </c>
      <c r="D665" s="849" t="s">
        <v>2558</v>
      </c>
      <c r="E665" s="849" t="s">
        <v>2426</v>
      </c>
      <c r="F665" s="849" t="s">
        <v>2426</v>
      </c>
      <c r="G665" s="849">
        <v>0.0</v>
      </c>
      <c r="H665" s="849">
        <v>0.0</v>
      </c>
      <c r="I665" s="849">
        <v>0.0</v>
      </c>
      <c r="J665" s="849">
        <v>0.0</v>
      </c>
      <c r="K665" s="849">
        <v>0.0</v>
      </c>
      <c r="L665" s="849">
        <v>0.0</v>
      </c>
      <c r="M665" s="849">
        <v>0.0</v>
      </c>
      <c r="N665" s="849">
        <v>0.0</v>
      </c>
      <c r="O665" s="849">
        <v>0.0</v>
      </c>
      <c r="P665" s="849">
        <v>0.0</v>
      </c>
      <c r="Q665" s="849">
        <v>0.0</v>
      </c>
      <c r="R665" s="849">
        <v>0.0</v>
      </c>
      <c r="S665" s="849">
        <v>0.0</v>
      </c>
      <c r="T665" s="849">
        <v>0.0</v>
      </c>
      <c r="U665" s="849">
        <v>0.0</v>
      </c>
      <c r="V665" s="849">
        <v>0.0</v>
      </c>
      <c r="W665" s="849">
        <v>0.0</v>
      </c>
      <c r="X665" s="849">
        <v>0.0</v>
      </c>
      <c r="Y665" s="849">
        <v>0.0</v>
      </c>
      <c r="Z665" s="849">
        <v>0.0</v>
      </c>
      <c r="AA665" s="849">
        <v>0.0</v>
      </c>
      <c r="AB665" s="849">
        <v>0.0</v>
      </c>
      <c r="AC665" s="849">
        <v>0.0</v>
      </c>
      <c r="AD665" s="849">
        <v>0.0</v>
      </c>
      <c r="AE665" s="849">
        <v>0.0</v>
      </c>
      <c r="AF665" s="849">
        <v>0.0</v>
      </c>
      <c r="AG665" s="849">
        <v>0.0</v>
      </c>
      <c r="AH665" s="849">
        <v>0.0</v>
      </c>
      <c r="AI665" s="849">
        <v>0.0</v>
      </c>
      <c r="AJ665" s="794" t="str">
        <f t="shared" ref="AJ665:AK665" si="1327">C665</f>
        <v>G43420</v>
      </c>
      <c r="AK665" s="794" t="str">
        <f t="shared" si="1327"/>
        <v>VTES-TRACKER         -LOC</v>
      </c>
      <c r="AL665" s="794">
        <f t="array" ref="AL665">IFERROR(INDEX(G665:R665,1,MATCH(Parametres!$B$3,G$1:R$1,0)-1)*IF(OR(F665="L",F665="S",F665="I"),-1,1),"")</f>
        <v>0</v>
      </c>
      <c r="AM665" s="794">
        <f t="shared" si="4"/>
        <v>0</v>
      </c>
      <c r="AN665" s="794">
        <f t="array" ref="AN665">INDEX(G665:R665,1,MATCH(Parametres!$B$3,G$1:R$1,0))*IF(OR(F665="L",F665="S",F665="I"),-1,1)</f>
        <v>0</v>
      </c>
      <c r="AO665" s="853" t="str">
        <f>+VLOOKUP($AJ665,Data_Validation!$A:$D,1,0)</f>
        <v>#N/A</v>
      </c>
      <c r="AP665" s="853" t="str">
        <f>+VLOOKUP($AJ665,Data_Validation!$A:$D,3,0)</f>
        <v>#N/A</v>
      </c>
      <c r="AQ665" s="853" t="str">
        <f>+VLOOKUP($AJ665,Data_Validation!$A:$D,4,0)</f>
        <v>#N/A</v>
      </c>
      <c r="AR665" s="853" t="s">
        <v>728</v>
      </c>
      <c r="AS665" s="853" t="str">
        <f>+VLOOKUP($AJ665,Data_Validation!$A:$E,5,0)</f>
        <v>#N/A</v>
      </c>
      <c r="AT665" s="794" t="str">
        <f t="shared" ref="AT665:AU665" si="1328">C665</f>
        <v>G43420</v>
      </c>
      <c r="AU665" s="854" t="str">
        <f t="shared" si="1328"/>
        <v>VTES-TRACKER         -LOC</v>
      </c>
      <c r="AV665" s="794">
        <f t="array" ref="AV665">IFERROR(INDEX(V665:AG665,1,MATCH(Parametres!$B$3,V$1:AG$1,0)-1)*IF(OR(C665="L",C665="S",C665="I"),-1,1),"")</f>
        <v>0</v>
      </c>
      <c r="AW665" s="794">
        <f t="shared" si="6"/>
        <v>0</v>
      </c>
      <c r="AX665" s="794">
        <f t="array" ref="AX665">INDEX(V665:AG665,1,MATCH(Parametres!$B$3,V$1:AG$1,0))*IF(OR(C665="L",C665="S",C665="I"),-1,1)</f>
        <v>0</v>
      </c>
      <c r="AY665" s="853" t="s">
        <v>772</v>
      </c>
      <c r="AZ665" s="853" t="str">
        <f>+VLOOKUP($AJ665,Data_Validation!$A:$E,5,0)</f>
        <v>#N/A</v>
      </c>
    </row>
    <row r="666" ht="15.0" customHeight="1">
      <c r="A666" s="849" t="s">
        <v>1239</v>
      </c>
      <c r="B666" s="849">
        <v>2026.0</v>
      </c>
      <c r="C666" s="849" t="s">
        <v>2559</v>
      </c>
      <c r="D666" s="849" t="s">
        <v>2560</v>
      </c>
      <c r="E666" s="849" t="s">
        <v>2426</v>
      </c>
      <c r="F666" s="849" t="s">
        <v>2426</v>
      </c>
      <c r="G666" s="849">
        <v>0.0</v>
      </c>
      <c r="H666" s="849">
        <v>0.0</v>
      </c>
      <c r="I666" s="849">
        <v>0.0</v>
      </c>
      <c r="J666" s="849">
        <v>0.0</v>
      </c>
      <c r="K666" s="849">
        <v>0.0</v>
      </c>
      <c r="L666" s="849">
        <v>0.0</v>
      </c>
      <c r="M666" s="849">
        <v>0.0</v>
      </c>
      <c r="N666" s="849">
        <v>0.0</v>
      </c>
      <c r="O666" s="849">
        <v>0.0</v>
      </c>
      <c r="P666" s="849">
        <v>0.0</v>
      </c>
      <c r="Q666" s="849">
        <v>0.0</v>
      </c>
      <c r="R666" s="849">
        <v>0.0</v>
      </c>
      <c r="S666" s="849">
        <v>0.0</v>
      </c>
      <c r="T666" s="849">
        <v>0.0</v>
      </c>
      <c r="U666" s="849">
        <v>0.0</v>
      </c>
      <c r="V666" s="849">
        <v>0.0</v>
      </c>
      <c r="W666" s="849">
        <v>0.0</v>
      </c>
      <c r="X666" s="849">
        <v>0.0</v>
      </c>
      <c r="Y666" s="849">
        <v>0.0</v>
      </c>
      <c r="Z666" s="849">
        <v>0.0</v>
      </c>
      <c r="AA666" s="849">
        <v>0.0</v>
      </c>
      <c r="AB666" s="849">
        <v>0.0</v>
      </c>
      <c r="AC666" s="849">
        <v>0.0</v>
      </c>
      <c r="AD666" s="849">
        <v>0.0</v>
      </c>
      <c r="AE666" s="849">
        <v>0.0</v>
      </c>
      <c r="AF666" s="849">
        <v>0.0</v>
      </c>
      <c r="AG666" s="849">
        <v>0.0</v>
      </c>
      <c r="AH666" s="849">
        <v>0.0</v>
      </c>
      <c r="AI666" s="849">
        <v>0.0</v>
      </c>
      <c r="AJ666" s="794" t="str">
        <f t="shared" ref="AJ666:AK666" si="1329">C666</f>
        <v>G43500</v>
      </c>
      <c r="AK666" s="794" t="str">
        <f t="shared" si="1329"/>
        <v>VENTES CHEV CITY</v>
      </c>
      <c r="AL666" s="794">
        <f t="array" ref="AL666">IFERROR(INDEX(G666:R666,1,MATCH(Parametres!$B$3,G$1:R$1,0)-1)*IF(OR(F666="L",F666="S",F666="I"),-1,1),"")</f>
        <v>0</v>
      </c>
      <c r="AM666" s="794">
        <f t="shared" si="4"/>
        <v>0</v>
      </c>
      <c r="AN666" s="794">
        <f t="array" ref="AN666">INDEX(G666:R666,1,MATCH(Parametres!$B$3,G$1:R$1,0))*IF(OR(F666="L",F666="S",F666="I"),-1,1)</f>
        <v>0</v>
      </c>
      <c r="AO666" s="853" t="str">
        <f>+VLOOKUP($AJ666,Data_Validation!$A:$D,1,0)</f>
        <v>G43500</v>
      </c>
      <c r="AP666" s="853" t="str">
        <f>+VLOOKUP($AJ666,Data_Validation!$A:$D,3,0)</f>
        <v>Véhicules neufs</v>
      </c>
      <c r="AQ666" s="853" t="str">
        <f>+VLOOKUP($AJ666,Data_Validation!$A:$D,4,0)</f>
        <v>Camions détail</v>
      </c>
      <c r="AR666" s="853" t="s">
        <v>728</v>
      </c>
      <c r="AS666" s="853" t="str">
        <f>+VLOOKUP($AJ666,Data_Validation!$A:$E,5,0)</f>
        <v>Oui</v>
      </c>
      <c r="AT666" s="794" t="str">
        <f t="shared" ref="AT666:AU666" si="1330">C666</f>
        <v>G43500</v>
      </c>
      <c r="AU666" s="854" t="str">
        <f t="shared" si="1330"/>
        <v>VENTES CHEV CITY</v>
      </c>
      <c r="AV666" s="794">
        <f t="array" ref="AV666">IFERROR(INDEX(V666:AG666,1,MATCH(Parametres!$B$3,V$1:AG$1,0)-1)*IF(OR(C666="L",C666="S",C666="I"),-1,1),"")</f>
        <v>0</v>
      </c>
      <c r="AW666" s="794">
        <f t="shared" si="6"/>
        <v>0</v>
      </c>
      <c r="AX666" s="794">
        <f t="array" ref="AX666">INDEX(V666:AG666,1,MATCH(Parametres!$B$3,V$1:AG$1,0))*IF(OR(C666="L",C666="S",C666="I"),-1,1)</f>
        <v>0</v>
      </c>
      <c r="AY666" s="853" t="s">
        <v>772</v>
      </c>
      <c r="AZ666" s="853" t="str">
        <f>+VLOOKUP($AJ666,Data_Validation!$A:$E,5,0)</f>
        <v>Oui</v>
      </c>
    </row>
    <row r="667" ht="15.0" customHeight="1">
      <c r="A667" s="849" t="s">
        <v>1239</v>
      </c>
      <c r="B667" s="849">
        <v>2026.0</v>
      </c>
      <c r="C667" s="849" t="s">
        <v>2561</v>
      </c>
      <c r="D667" s="849" t="s">
        <v>2562</v>
      </c>
      <c r="E667" s="849" t="s">
        <v>2426</v>
      </c>
      <c r="F667" s="849" t="s">
        <v>2426</v>
      </c>
      <c r="G667" s="849">
        <v>0.0</v>
      </c>
      <c r="H667" s="849">
        <v>0.0</v>
      </c>
      <c r="I667" s="849">
        <v>0.0</v>
      </c>
      <c r="J667" s="849">
        <v>0.0</v>
      </c>
      <c r="K667" s="849">
        <v>0.0</v>
      </c>
      <c r="L667" s="849">
        <v>0.0</v>
      </c>
      <c r="M667" s="849">
        <v>127470.08</v>
      </c>
      <c r="N667" s="849">
        <v>127470.08</v>
      </c>
      <c r="O667" s="849">
        <v>248515.58</v>
      </c>
      <c r="P667" s="849">
        <v>248515.58</v>
      </c>
      <c r="Q667" s="849">
        <v>0.0</v>
      </c>
      <c r="R667" s="849">
        <v>0.0</v>
      </c>
      <c r="S667" s="849">
        <v>27612.84</v>
      </c>
      <c r="T667" s="849">
        <v>27612.84</v>
      </c>
      <c r="U667" s="849">
        <v>0.0</v>
      </c>
      <c r="V667" s="849">
        <v>0.0</v>
      </c>
      <c r="W667" s="849">
        <v>0.0</v>
      </c>
      <c r="X667" s="849">
        <v>0.0</v>
      </c>
      <c r="Y667" s="849">
        <v>0.0</v>
      </c>
      <c r="Z667" s="849">
        <v>0.0</v>
      </c>
      <c r="AA667" s="849">
        <v>0.0</v>
      </c>
      <c r="AB667" s="849">
        <v>1.0</v>
      </c>
      <c r="AC667" s="849">
        <v>1.0</v>
      </c>
      <c r="AD667" s="849">
        <v>2.0</v>
      </c>
      <c r="AE667" s="849">
        <v>2.0</v>
      </c>
      <c r="AF667" s="849">
        <v>0.0</v>
      </c>
      <c r="AG667" s="849">
        <v>0.0</v>
      </c>
      <c r="AH667" s="849">
        <v>0.0</v>
      </c>
      <c r="AI667" s="849">
        <v>0.0</v>
      </c>
      <c r="AJ667" s="794" t="str">
        <f t="shared" ref="AJ667:AK667" si="1331">C667</f>
        <v>G43501</v>
      </c>
      <c r="AK667" s="794" t="str">
        <f t="shared" si="1331"/>
        <v>VTES - HUMMER EV SUV</v>
      </c>
      <c r="AL667" s="794">
        <f t="array" ref="AL667">IFERROR(INDEX(G667:R667,1,MATCH(Parametres!$B$3,G$1:R$1,0)-1)*IF(OR(F667="L",F667="S",F667="I"),-1,1),"")</f>
        <v>-127470.08</v>
      </c>
      <c r="AM667" s="794">
        <f t="shared" si="4"/>
        <v>-121045.5</v>
      </c>
      <c r="AN667" s="794">
        <f t="array" ref="AN667">INDEX(G667:R667,1,MATCH(Parametres!$B$3,G$1:R$1,0))*IF(OR(F667="L",F667="S",F667="I"),-1,1)</f>
        <v>-248515.58</v>
      </c>
      <c r="AO667" s="853" t="str">
        <f>+VLOOKUP($AJ667,Data_Validation!$A:$D,1,0)</f>
        <v>G43501</v>
      </c>
      <c r="AP667" s="853" t="str">
        <f>+VLOOKUP($AJ667,Data_Validation!$A:$D,3,0)</f>
        <v>Véhicules neufs</v>
      </c>
      <c r="AQ667" s="853" t="str">
        <f>+VLOOKUP($AJ667,Data_Validation!$A:$D,4,0)</f>
        <v>Camions electriques</v>
      </c>
      <c r="AR667" s="853" t="s">
        <v>728</v>
      </c>
      <c r="AS667" s="853" t="str">
        <f>+VLOOKUP($AJ667,Data_Validation!$A:$E,5,0)</f>
        <v>Oui</v>
      </c>
      <c r="AT667" s="794" t="str">
        <f t="shared" ref="AT667:AU667" si="1332">C667</f>
        <v>G43501</v>
      </c>
      <c r="AU667" s="854" t="str">
        <f t="shared" si="1332"/>
        <v>VTES - HUMMER EV SUV</v>
      </c>
      <c r="AV667" s="794">
        <f t="array" ref="AV667">IFERROR(INDEX(V667:AG667,1,MATCH(Parametres!$B$3,V$1:AG$1,0)-1)*IF(OR(C667="L",C667="S",C667="I"),-1,1),"")</f>
        <v>1</v>
      </c>
      <c r="AW667" s="794">
        <f t="shared" si="6"/>
        <v>1</v>
      </c>
      <c r="AX667" s="794">
        <f t="array" ref="AX667">INDEX(V667:AG667,1,MATCH(Parametres!$B$3,V$1:AG$1,0))*IF(OR(C667="L",C667="S",C667="I"),-1,1)</f>
        <v>2</v>
      </c>
      <c r="AY667" s="853" t="s">
        <v>772</v>
      </c>
      <c r="AZ667" s="853" t="str">
        <f>+VLOOKUP($AJ667,Data_Validation!$A:$E,5,0)</f>
        <v>Oui</v>
      </c>
    </row>
    <row r="668" ht="15.0" customHeight="1">
      <c r="A668" s="849" t="s">
        <v>1239</v>
      </c>
      <c r="B668" s="849">
        <v>2026.0</v>
      </c>
      <c r="C668" s="849" t="s">
        <v>2563</v>
      </c>
      <c r="D668" s="849" t="s">
        <v>2564</v>
      </c>
      <c r="E668" s="849" t="s">
        <v>2426</v>
      </c>
      <c r="F668" s="849" t="s">
        <v>2426</v>
      </c>
      <c r="G668" s="849">
        <v>0.0</v>
      </c>
      <c r="H668" s="849">
        <v>0.0</v>
      </c>
      <c r="I668" s="849">
        <v>0.0</v>
      </c>
      <c r="J668" s="849">
        <v>0.0</v>
      </c>
      <c r="K668" s="849">
        <v>0.0</v>
      </c>
      <c r="L668" s="849">
        <v>0.0</v>
      </c>
      <c r="M668" s="849">
        <v>0.0</v>
      </c>
      <c r="N668" s="849">
        <v>0.0</v>
      </c>
      <c r="O668" s="849">
        <v>0.0</v>
      </c>
      <c r="P668" s="849">
        <v>0.0</v>
      </c>
      <c r="Q668" s="849">
        <v>0.0</v>
      </c>
      <c r="R668" s="849">
        <v>0.0</v>
      </c>
      <c r="S668" s="849">
        <v>0.0</v>
      </c>
      <c r="T668" s="849">
        <v>0.0</v>
      </c>
      <c r="U668" s="849">
        <v>0.0</v>
      </c>
      <c r="V668" s="849">
        <v>0.0</v>
      </c>
      <c r="W668" s="849">
        <v>0.0</v>
      </c>
      <c r="X668" s="849">
        <v>0.0</v>
      </c>
      <c r="Y668" s="849">
        <v>0.0</v>
      </c>
      <c r="Z668" s="849">
        <v>0.0</v>
      </c>
      <c r="AA668" s="849">
        <v>0.0</v>
      </c>
      <c r="AB668" s="849">
        <v>0.0</v>
      </c>
      <c r="AC668" s="849">
        <v>0.0</v>
      </c>
      <c r="AD668" s="849">
        <v>0.0</v>
      </c>
      <c r="AE668" s="849">
        <v>0.0</v>
      </c>
      <c r="AF668" s="849">
        <v>0.0</v>
      </c>
      <c r="AG668" s="849">
        <v>0.0</v>
      </c>
      <c r="AH668" s="849">
        <v>0.0</v>
      </c>
      <c r="AI668" s="849">
        <v>0.0</v>
      </c>
      <c r="AJ668" s="794" t="str">
        <f t="shared" ref="AJ668:AK668" si="1333">C668</f>
        <v>G43520</v>
      </c>
      <c r="AK668" s="794" t="str">
        <f t="shared" si="1333"/>
        <v>VTES-SSR             -LOC</v>
      </c>
      <c r="AL668" s="794">
        <f t="array" ref="AL668">IFERROR(INDEX(G668:R668,1,MATCH(Parametres!$B$3,G$1:R$1,0)-1)*IF(OR(F668="L",F668="S",F668="I"),-1,1),"")</f>
        <v>0</v>
      </c>
      <c r="AM668" s="794">
        <f t="shared" si="4"/>
        <v>0</v>
      </c>
      <c r="AN668" s="794">
        <f t="array" ref="AN668">INDEX(G668:R668,1,MATCH(Parametres!$B$3,G$1:R$1,0))*IF(OR(F668="L",F668="S",F668="I"),-1,1)</f>
        <v>0</v>
      </c>
      <c r="AO668" s="853" t="str">
        <f>+VLOOKUP($AJ668,Data_Validation!$A:$D,1,0)</f>
        <v>#N/A</v>
      </c>
      <c r="AP668" s="853" t="str">
        <f>+VLOOKUP($AJ668,Data_Validation!$A:$D,3,0)</f>
        <v>#N/A</v>
      </c>
      <c r="AQ668" s="853" t="str">
        <f>+VLOOKUP($AJ668,Data_Validation!$A:$D,4,0)</f>
        <v>#N/A</v>
      </c>
      <c r="AR668" s="853" t="s">
        <v>728</v>
      </c>
      <c r="AS668" s="853" t="str">
        <f>+VLOOKUP($AJ668,Data_Validation!$A:$E,5,0)</f>
        <v>#N/A</v>
      </c>
      <c r="AT668" s="794" t="str">
        <f t="shared" ref="AT668:AU668" si="1334">C668</f>
        <v>G43520</v>
      </c>
      <c r="AU668" s="854" t="str">
        <f t="shared" si="1334"/>
        <v>VTES-SSR             -LOC</v>
      </c>
      <c r="AV668" s="794">
        <f t="array" ref="AV668">IFERROR(INDEX(V668:AG668,1,MATCH(Parametres!$B$3,V$1:AG$1,0)-1)*IF(OR(C668="L",C668="S",C668="I"),-1,1),"")</f>
        <v>0</v>
      </c>
      <c r="AW668" s="794">
        <f t="shared" si="6"/>
        <v>0</v>
      </c>
      <c r="AX668" s="794">
        <f t="array" ref="AX668">INDEX(V668:AG668,1,MATCH(Parametres!$B$3,V$1:AG$1,0))*IF(OR(C668="L",C668="S",C668="I"),-1,1)</f>
        <v>0</v>
      </c>
      <c r="AY668" s="853" t="s">
        <v>772</v>
      </c>
      <c r="AZ668" s="853" t="str">
        <f>+VLOOKUP($AJ668,Data_Validation!$A:$E,5,0)</f>
        <v>#N/A</v>
      </c>
    </row>
    <row r="669" ht="15.0" customHeight="1">
      <c r="A669" s="849" t="s">
        <v>1239</v>
      </c>
      <c r="B669" s="849">
        <v>2026.0</v>
      </c>
      <c r="C669" s="849" t="s">
        <v>2565</v>
      </c>
      <c r="D669" s="849" t="s">
        <v>2566</v>
      </c>
      <c r="E669" s="849" t="s">
        <v>2426</v>
      </c>
      <c r="F669" s="849" t="s">
        <v>2426</v>
      </c>
      <c r="G669" s="849">
        <v>40000.0</v>
      </c>
      <c r="H669" s="849">
        <v>72235.0</v>
      </c>
      <c r="I669" s="849">
        <v>72235.0</v>
      </c>
      <c r="J669" s="849">
        <v>72235.0</v>
      </c>
      <c r="K669" s="849">
        <v>109605.5</v>
      </c>
      <c r="L669" s="849">
        <v>109605.5</v>
      </c>
      <c r="M669" s="849">
        <v>109605.5</v>
      </c>
      <c r="N669" s="849">
        <v>143925.5</v>
      </c>
      <c r="O669" s="849">
        <v>225882.9</v>
      </c>
      <c r="P669" s="849">
        <v>225882.9</v>
      </c>
      <c r="Q669" s="849">
        <v>0.0</v>
      </c>
      <c r="R669" s="849">
        <v>0.0</v>
      </c>
      <c r="S669" s="849">
        <v>25098.1</v>
      </c>
      <c r="T669" s="849">
        <v>25098.1</v>
      </c>
      <c r="U669" s="849">
        <v>0.0</v>
      </c>
      <c r="V669" s="849">
        <v>1.0</v>
      </c>
      <c r="W669" s="849">
        <v>2.0</v>
      </c>
      <c r="X669" s="849">
        <v>2.0</v>
      </c>
      <c r="Y669" s="849">
        <v>2.0</v>
      </c>
      <c r="Z669" s="849">
        <v>3.0</v>
      </c>
      <c r="AA669" s="849">
        <v>3.0</v>
      </c>
      <c r="AB669" s="849">
        <v>3.0</v>
      </c>
      <c r="AC669" s="849">
        <v>4.0</v>
      </c>
      <c r="AD669" s="849">
        <v>6.0</v>
      </c>
      <c r="AE669" s="849">
        <v>6.0</v>
      </c>
      <c r="AF669" s="849">
        <v>0.0</v>
      </c>
      <c r="AG669" s="849">
        <v>0.0</v>
      </c>
      <c r="AH669" s="849">
        <v>1.0</v>
      </c>
      <c r="AI669" s="849">
        <v>1.0</v>
      </c>
      <c r="AJ669" s="794" t="str">
        <f t="shared" ref="AJ669:AK669" si="1335">C669</f>
        <v>G43600</v>
      </c>
      <c r="AK669" s="794" t="str">
        <f t="shared" si="1335"/>
        <v>VTES-TRAIL BLAZER</v>
      </c>
      <c r="AL669" s="794">
        <f t="array" ref="AL669">IFERROR(INDEX(G669:R669,1,MATCH(Parametres!$B$3,G$1:R$1,0)-1)*IF(OR(F669="L",F669="S",F669="I"),-1,1),"")</f>
        <v>-143925.5</v>
      </c>
      <c r="AM669" s="794">
        <f t="shared" si="4"/>
        <v>-81957.4</v>
      </c>
      <c r="AN669" s="794">
        <f t="array" ref="AN669">INDEX(G669:R669,1,MATCH(Parametres!$B$3,G$1:R$1,0))*IF(OR(F669="L",F669="S",F669="I"),-1,1)</f>
        <v>-225882.9</v>
      </c>
      <c r="AO669" s="853" t="str">
        <f>+VLOOKUP($AJ669,Data_Validation!$A:$D,1,0)</f>
        <v>G43600</v>
      </c>
      <c r="AP669" s="853" t="str">
        <f>+VLOOKUP($AJ669,Data_Validation!$A:$D,3,0)</f>
        <v>Véhicules neufs</v>
      </c>
      <c r="AQ669" s="853" t="str">
        <f>+VLOOKUP($AJ669,Data_Validation!$A:$D,4,0)</f>
        <v>Camions détail</v>
      </c>
      <c r="AR669" s="853" t="s">
        <v>728</v>
      </c>
      <c r="AS669" s="853" t="str">
        <f>+VLOOKUP($AJ669,Data_Validation!$A:$E,5,0)</f>
        <v>Oui</v>
      </c>
      <c r="AT669" s="794" t="str">
        <f t="shared" ref="AT669:AU669" si="1336">C669</f>
        <v>G43600</v>
      </c>
      <c r="AU669" s="854" t="str">
        <f t="shared" si="1336"/>
        <v>VTES-TRAIL BLAZER</v>
      </c>
      <c r="AV669" s="794">
        <f t="array" ref="AV669">IFERROR(INDEX(V669:AG669,1,MATCH(Parametres!$B$3,V$1:AG$1,0)-1)*IF(OR(C669="L",C669="S",C669="I"),-1,1),"")</f>
        <v>4</v>
      </c>
      <c r="AW669" s="794">
        <f t="shared" si="6"/>
        <v>2</v>
      </c>
      <c r="AX669" s="794">
        <f t="array" ref="AX669">INDEX(V669:AG669,1,MATCH(Parametres!$B$3,V$1:AG$1,0))*IF(OR(C669="L",C669="S",C669="I"),-1,1)</f>
        <v>6</v>
      </c>
      <c r="AY669" s="853" t="s">
        <v>772</v>
      </c>
      <c r="AZ669" s="853" t="str">
        <f>+VLOOKUP($AJ669,Data_Validation!$A:$E,5,0)</f>
        <v>Oui</v>
      </c>
    </row>
    <row r="670" ht="15.0" customHeight="1">
      <c r="A670" s="849" t="s">
        <v>1239</v>
      </c>
      <c r="B670" s="849">
        <v>2026.0</v>
      </c>
      <c r="C670" s="849" t="s">
        <v>2567</v>
      </c>
      <c r="D670" s="849" t="s">
        <v>2568</v>
      </c>
      <c r="E670" s="849" t="s">
        <v>2426</v>
      </c>
      <c r="F670" s="849" t="s">
        <v>2426</v>
      </c>
      <c r="G670" s="849">
        <v>0.0</v>
      </c>
      <c r="H670" s="849">
        <v>0.0</v>
      </c>
      <c r="I670" s="849">
        <v>67438.0</v>
      </c>
      <c r="J670" s="849">
        <v>133438.0</v>
      </c>
      <c r="K670" s="849">
        <v>199872.0</v>
      </c>
      <c r="L670" s="849">
        <v>199872.0</v>
      </c>
      <c r="M670" s="849">
        <v>199872.0</v>
      </c>
      <c r="N670" s="849">
        <v>199872.0</v>
      </c>
      <c r="O670" s="849">
        <v>270224.29</v>
      </c>
      <c r="P670" s="849">
        <v>270224.29</v>
      </c>
      <c r="Q670" s="849">
        <v>0.0</v>
      </c>
      <c r="R670" s="849">
        <v>0.0</v>
      </c>
      <c r="S670" s="849">
        <v>30024.92</v>
      </c>
      <c r="T670" s="849">
        <v>30024.92</v>
      </c>
      <c r="U670" s="849">
        <v>0.0</v>
      </c>
      <c r="V670" s="849">
        <v>0.0</v>
      </c>
      <c r="W670" s="849">
        <v>0.0</v>
      </c>
      <c r="X670" s="849">
        <v>1.0</v>
      </c>
      <c r="Y670" s="849">
        <v>2.0</v>
      </c>
      <c r="Z670" s="849">
        <v>3.0</v>
      </c>
      <c r="AA670" s="849">
        <v>3.0</v>
      </c>
      <c r="AB670" s="849">
        <v>3.0</v>
      </c>
      <c r="AC670" s="849">
        <v>3.0</v>
      </c>
      <c r="AD670" s="849">
        <v>4.0</v>
      </c>
      <c r="AE670" s="849">
        <v>4.0</v>
      </c>
      <c r="AF670" s="849">
        <v>0.0</v>
      </c>
      <c r="AG670" s="849">
        <v>0.0</v>
      </c>
      <c r="AH670" s="849">
        <v>0.0</v>
      </c>
      <c r="AI670" s="849">
        <v>0.0</v>
      </c>
      <c r="AJ670" s="794" t="str">
        <f t="shared" ref="AJ670:AK670" si="1337">C670</f>
        <v>G43602</v>
      </c>
      <c r="AK670" s="794" t="str">
        <f t="shared" si="1337"/>
        <v>VENTES GMC ACADIA</v>
      </c>
      <c r="AL670" s="794">
        <f t="array" ref="AL670">IFERROR(INDEX(G670:R670,1,MATCH(Parametres!$B$3,G$1:R$1,0)-1)*IF(OR(F670="L",F670="S",F670="I"),-1,1),"")</f>
        <v>-199872</v>
      </c>
      <c r="AM670" s="794">
        <f t="shared" si="4"/>
        <v>-70352.29</v>
      </c>
      <c r="AN670" s="794">
        <f t="array" ref="AN670">INDEX(G670:R670,1,MATCH(Parametres!$B$3,G$1:R$1,0))*IF(OR(F670="L",F670="S",F670="I"),-1,1)</f>
        <v>-270224.29</v>
      </c>
      <c r="AO670" s="853" t="str">
        <f>+VLOOKUP($AJ670,Data_Validation!$A:$D,1,0)</f>
        <v>G43602</v>
      </c>
      <c r="AP670" s="853" t="str">
        <f>+VLOOKUP($AJ670,Data_Validation!$A:$D,3,0)</f>
        <v>Véhicules neufs</v>
      </c>
      <c r="AQ670" s="853" t="str">
        <f>+VLOOKUP($AJ670,Data_Validation!$A:$D,4,0)</f>
        <v>Camions détail</v>
      </c>
      <c r="AR670" s="853" t="s">
        <v>728</v>
      </c>
      <c r="AS670" s="853" t="str">
        <f>+VLOOKUP($AJ670,Data_Validation!$A:$E,5,0)</f>
        <v>Oui</v>
      </c>
      <c r="AT670" s="794" t="str">
        <f t="shared" ref="AT670:AU670" si="1338">C670</f>
        <v>G43602</v>
      </c>
      <c r="AU670" s="854" t="str">
        <f t="shared" si="1338"/>
        <v>VENTES GMC ACADIA</v>
      </c>
      <c r="AV670" s="794">
        <f t="array" ref="AV670">IFERROR(INDEX(V670:AG670,1,MATCH(Parametres!$B$3,V$1:AG$1,0)-1)*IF(OR(C670="L",C670="S",C670="I"),-1,1),"")</f>
        <v>3</v>
      </c>
      <c r="AW670" s="794">
        <f t="shared" si="6"/>
        <v>1</v>
      </c>
      <c r="AX670" s="794">
        <f t="array" ref="AX670">INDEX(V670:AG670,1,MATCH(Parametres!$B$3,V$1:AG$1,0))*IF(OR(C670="L",C670="S",C670="I"),-1,1)</f>
        <v>4</v>
      </c>
      <c r="AY670" s="853" t="s">
        <v>772</v>
      </c>
      <c r="AZ670" s="853" t="str">
        <f>+VLOOKUP($AJ670,Data_Validation!$A:$E,5,0)</f>
        <v>Oui</v>
      </c>
    </row>
    <row r="671" ht="15.0" customHeight="1">
      <c r="A671" s="849" t="s">
        <v>1239</v>
      </c>
      <c r="B671" s="849">
        <v>2026.0</v>
      </c>
      <c r="C671" s="849" t="s">
        <v>2569</v>
      </c>
      <c r="D671" s="849" t="s">
        <v>2570</v>
      </c>
      <c r="E671" s="849" t="s">
        <v>2426</v>
      </c>
      <c r="F671" s="849" t="s">
        <v>2426</v>
      </c>
      <c r="G671" s="849">
        <v>0.0</v>
      </c>
      <c r="H671" s="849">
        <v>0.0</v>
      </c>
      <c r="I671" s="849">
        <v>0.0</v>
      </c>
      <c r="J671" s="849">
        <v>0.0</v>
      </c>
      <c r="K671" s="849">
        <v>0.0</v>
      </c>
      <c r="L671" s="849">
        <v>0.0</v>
      </c>
      <c r="M671" s="849">
        <v>0.0</v>
      </c>
      <c r="N671" s="849">
        <v>0.0</v>
      </c>
      <c r="O671" s="849">
        <v>0.0</v>
      </c>
      <c r="P671" s="849">
        <v>0.0</v>
      </c>
      <c r="Q671" s="849">
        <v>0.0</v>
      </c>
      <c r="R671" s="849">
        <v>0.0</v>
      </c>
      <c r="S671" s="849">
        <v>0.0</v>
      </c>
      <c r="T671" s="849">
        <v>0.0</v>
      </c>
      <c r="U671" s="849">
        <v>0.0</v>
      </c>
      <c r="V671" s="849">
        <v>0.0</v>
      </c>
      <c r="W671" s="849">
        <v>0.0</v>
      </c>
      <c r="X671" s="849">
        <v>0.0</v>
      </c>
      <c r="Y671" s="849">
        <v>0.0</v>
      </c>
      <c r="Z671" s="849">
        <v>0.0</v>
      </c>
      <c r="AA671" s="849">
        <v>0.0</v>
      </c>
      <c r="AB671" s="849">
        <v>0.0</v>
      </c>
      <c r="AC671" s="849">
        <v>0.0</v>
      </c>
      <c r="AD671" s="849">
        <v>0.0</v>
      </c>
      <c r="AE671" s="849">
        <v>0.0</v>
      </c>
      <c r="AF671" s="849">
        <v>0.0</v>
      </c>
      <c r="AG671" s="849">
        <v>0.0</v>
      </c>
      <c r="AH671" s="849">
        <v>0.0</v>
      </c>
      <c r="AI671" s="849">
        <v>0.0</v>
      </c>
      <c r="AJ671" s="794" t="str">
        <f t="shared" ref="AJ671:AK671" si="1339">C671</f>
        <v>G43800</v>
      </c>
      <c r="AK671" s="794" t="str">
        <f t="shared" si="1339"/>
        <v>VTES-CHEV CAMION AUTRES</v>
      </c>
      <c r="AL671" s="794">
        <f t="array" ref="AL671">IFERROR(INDEX(G671:R671,1,MATCH(Parametres!$B$3,G$1:R$1,0)-1)*IF(OR(F671="L",F671="S",F671="I"),-1,1),"")</f>
        <v>0</v>
      </c>
      <c r="AM671" s="794">
        <f t="shared" si="4"/>
        <v>0</v>
      </c>
      <c r="AN671" s="794">
        <f t="array" ref="AN671">INDEX(G671:R671,1,MATCH(Parametres!$B$3,G$1:R$1,0))*IF(OR(F671="L",F671="S",F671="I"),-1,1)</f>
        <v>0</v>
      </c>
      <c r="AO671" s="853" t="str">
        <f>+VLOOKUP($AJ671,Data_Validation!$A:$D,1,0)</f>
        <v>#N/A</v>
      </c>
      <c r="AP671" s="853" t="str">
        <f>+VLOOKUP($AJ671,Data_Validation!$A:$D,3,0)</f>
        <v>#N/A</v>
      </c>
      <c r="AQ671" s="853" t="str">
        <f>+VLOOKUP($AJ671,Data_Validation!$A:$D,4,0)</f>
        <v>#N/A</v>
      </c>
      <c r="AR671" s="853" t="s">
        <v>728</v>
      </c>
      <c r="AS671" s="853" t="str">
        <f>+VLOOKUP($AJ671,Data_Validation!$A:$E,5,0)</f>
        <v>#N/A</v>
      </c>
      <c r="AT671" s="794" t="str">
        <f t="shared" ref="AT671:AU671" si="1340">C671</f>
        <v>G43800</v>
      </c>
      <c r="AU671" s="854" t="str">
        <f t="shared" si="1340"/>
        <v>VTES-CHEV CAMION AUTRES</v>
      </c>
      <c r="AV671" s="794">
        <f t="array" ref="AV671">IFERROR(INDEX(V671:AG671,1,MATCH(Parametres!$B$3,V$1:AG$1,0)-1)*IF(OR(C671="L",C671="S",C671="I"),-1,1),"")</f>
        <v>0</v>
      </c>
      <c r="AW671" s="794">
        <f t="shared" si="6"/>
        <v>0</v>
      </c>
      <c r="AX671" s="794">
        <f t="array" ref="AX671">INDEX(V671:AG671,1,MATCH(Parametres!$B$3,V$1:AG$1,0))*IF(OR(C671="L",C671="S",C671="I"),-1,1)</f>
        <v>0</v>
      </c>
      <c r="AY671" s="853" t="s">
        <v>772</v>
      </c>
      <c r="AZ671" s="853" t="str">
        <f>+VLOOKUP($AJ671,Data_Validation!$A:$E,5,0)</f>
        <v>#N/A</v>
      </c>
    </row>
    <row r="672" ht="15.0" customHeight="1">
      <c r="A672" s="849" t="s">
        <v>1239</v>
      </c>
      <c r="B672" s="849">
        <v>2026.0</v>
      </c>
      <c r="C672" s="849" t="s">
        <v>2571</v>
      </c>
      <c r="D672" s="849" t="s">
        <v>2572</v>
      </c>
      <c r="E672" s="849" t="s">
        <v>2426</v>
      </c>
      <c r="F672" s="849" t="s">
        <v>2426</v>
      </c>
      <c r="G672" s="849">
        <v>0.0</v>
      </c>
      <c r="H672" s="849">
        <v>0.0</v>
      </c>
      <c r="I672" s="849">
        <v>0.0</v>
      </c>
      <c r="J672" s="849">
        <v>0.0</v>
      </c>
      <c r="K672" s="849">
        <v>0.0</v>
      </c>
      <c r="L672" s="849">
        <v>0.0</v>
      </c>
      <c r="M672" s="849">
        <v>0.0</v>
      </c>
      <c r="N672" s="849">
        <v>0.0</v>
      </c>
      <c r="O672" s="849">
        <v>0.0</v>
      </c>
      <c r="P672" s="849">
        <v>0.0</v>
      </c>
      <c r="Q672" s="849">
        <v>0.0</v>
      </c>
      <c r="R672" s="849">
        <v>0.0</v>
      </c>
      <c r="S672" s="849">
        <v>0.0</v>
      </c>
      <c r="T672" s="849">
        <v>0.0</v>
      </c>
      <c r="U672" s="849">
        <v>0.0</v>
      </c>
      <c r="V672" s="849">
        <v>0.0</v>
      </c>
      <c r="W672" s="849">
        <v>0.0</v>
      </c>
      <c r="X672" s="849">
        <v>0.0</v>
      </c>
      <c r="Y672" s="849">
        <v>0.0</v>
      </c>
      <c r="Z672" s="849">
        <v>0.0</v>
      </c>
      <c r="AA672" s="849">
        <v>0.0</v>
      </c>
      <c r="AB672" s="849">
        <v>0.0</v>
      </c>
      <c r="AC672" s="849">
        <v>0.0</v>
      </c>
      <c r="AD672" s="849">
        <v>0.0</v>
      </c>
      <c r="AE672" s="849">
        <v>0.0</v>
      </c>
      <c r="AF672" s="849">
        <v>0.0</v>
      </c>
      <c r="AG672" s="849">
        <v>0.0</v>
      </c>
      <c r="AH672" s="849">
        <v>0.0</v>
      </c>
      <c r="AI672" s="849">
        <v>0.0</v>
      </c>
      <c r="AJ672" s="794" t="str">
        <f t="shared" ref="AJ672:AK672" si="1341">C672</f>
        <v>G43820</v>
      </c>
      <c r="AK672" s="794" t="str">
        <f t="shared" si="1341"/>
        <v>VTES-CHEV CAM AUTRE  -LOC</v>
      </c>
      <c r="AL672" s="794">
        <f t="array" ref="AL672">IFERROR(INDEX(G672:R672,1,MATCH(Parametres!$B$3,G$1:R$1,0)-1)*IF(OR(F672="L",F672="S",F672="I"),-1,1),"")</f>
        <v>0</v>
      </c>
      <c r="AM672" s="794">
        <f t="shared" si="4"/>
        <v>0</v>
      </c>
      <c r="AN672" s="794">
        <f t="array" ref="AN672">INDEX(G672:R672,1,MATCH(Parametres!$B$3,G$1:R$1,0))*IF(OR(F672="L",F672="S",F672="I"),-1,1)</f>
        <v>0</v>
      </c>
      <c r="AO672" s="853" t="str">
        <f>+VLOOKUP($AJ672,Data_Validation!$A:$D,1,0)</f>
        <v>#N/A</v>
      </c>
      <c r="AP672" s="853" t="str">
        <f>+VLOOKUP($AJ672,Data_Validation!$A:$D,3,0)</f>
        <v>#N/A</v>
      </c>
      <c r="AQ672" s="853" t="str">
        <f>+VLOOKUP($AJ672,Data_Validation!$A:$D,4,0)</f>
        <v>#N/A</v>
      </c>
      <c r="AR672" s="853" t="s">
        <v>728</v>
      </c>
      <c r="AS672" s="853" t="str">
        <f>+VLOOKUP($AJ672,Data_Validation!$A:$E,5,0)</f>
        <v>#N/A</v>
      </c>
      <c r="AT672" s="794" t="str">
        <f t="shared" ref="AT672:AU672" si="1342">C672</f>
        <v>G43820</v>
      </c>
      <c r="AU672" s="854" t="str">
        <f t="shared" si="1342"/>
        <v>VTES-CHEV CAM AUTRE  -LOC</v>
      </c>
      <c r="AV672" s="794">
        <f t="array" ref="AV672">IFERROR(INDEX(V672:AG672,1,MATCH(Parametres!$B$3,V$1:AG$1,0)-1)*IF(OR(C672="L",C672="S",C672="I"),-1,1),"")</f>
        <v>0</v>
      </c>
      <c r="AW672" s="794">
        <f t="shared" si="6"/>
        <v>0</v>
      </c>
      <c r="AX672" s="794">
        <f t="array" ref="AX672">INDEX(V672:AG672,1,MATCH(Parametres!$B$3,V$1:AG$1,0))*IF(OR(C672="L",C672="S",C672="I"),-1,1)</f>
        <v>0</v>
      </c>
      <c r="AY672" s="853" t="s">
        <v>772</v>
      </c>
      <c r="AZ672" s="853" t="str">
        <f>+VLOOKUP($AJ672,Data_Validation!$A:$E,5,0)</f>
        <v>#N/A</v>
      </c>
    </row>
    <row r="673" ht="15.0" customHeight="1">
      <c r="A673" s="849" t="s">
        <v>1239</v>
      </c>
      <c r="B673" s="849">
        <v>2026.0</v>
      </c>
      <c r="C673" s="849" t="s">
        <v>2573</v>
      </c>
      <c r="D673" s="849" t="s">
        <v>2574</v>
      </c>
      <c r="E673" s="849" t="s">
        <v>2426</v>
      </c>
      <c r="F673" s="849" t="s">
        <v>2426</v>
      </c>
      <c r="G673" s="849">
        <v>7341393.87</v>
      </c>
      <c r="H673" s="849">
        <v>1.618870573E7</v>
      </c>
      <c r="I673" s="849">
        <v>2.405764395E7</v>
      </c>
      <c r="J673" s="849">
        <v>3.521537739E7</v>
      </c>
      <c r="K673" s="849">
        <v>4.66981979E7</v>
      </c>
      <c r="L673" s="849">
        <v>5.547014874E7</v>
      </c>
      <c r="M673" s="849">
        <v>5.956077478E7</v>
      </c>
      <c r="N673" s="849">
        <v>6.20839718E7</v>
      </c>
      <c r="O673" s="849">
        <v>6.521239956E7</v>
      </c>
      <c r="P673" s="849">
        <v>6.521239956E7</v>
      </c>
      <c r="Q673" s="849">
        <v>0.0</v>
      </c>
      <c r="R673" s="849">
        <v>0.0</v>
      </c>
      <c r="S673" s="849">
        <v>7245822.17</v>
      </c>
      <c r="T673" s="849">
        <v>7245822.17</v>
      </c>
      <c r="U673" s="849">
        <v>0.0</v>
      </c>
      <c r="V673" s="849">
        <v>113.0</v>
      </c>
      <c r="W673" s="849">
        <v>259.0</v>
      </c>
      <c r="X673" s="849">
        <v>393.0</v>
      </c>
      <c r="Y673" s="849">
        <v>551.0</v>
      </c>
      <c r="Z673" s="849">
        <v>725.0</v>
      </c>
      <c r="AA673" s="849">
        <v>846.0</v>
      </c>
      <c r="AB673" s="849">
        <v>904.0</v>
      </c>
      <c r="AC673" s="849">
        <v>938.0</v>
      </c>
      <c r="AD673" s="849">
        <v>989.0</v>
      </c>
      <c r="AE673" s="849">
        <v>989.0</v>
      </c>
      <c r="AF673" s="849">
        <v>0.0</v>
      </c>
      <c r="AG673" s="849">
        <v>0.0</v>
      </c>
      <c r="AH673" s="849">
        <v>110.0</v>
      </c>
      <c r="AI673" s="849">
        <v>110.0</v>
      </c>
      <c r="AJ673" s="794" t="str">
        <f t="shared" ref="AJ673:AK673" si="1343">C673</f>
        <v>G44000</v>
      </c>
      <c r="AK673" s="794" t="str">
        <f t="shared" si="1343"/>
        <v>VENTES PARCS CAMIONS</v>
      </c>
      <c r="AL673" s="794">
        <f t="array" ref="AL673">IFERROR(INDEX(G673:R673,1,MATCH(Parametres!$B$3,G$1:R$1,0)-1)*IF(OR(F673="L",F673="S",F673="I"),-1,1),"")</f>
        <v>-62083971.8</v>
      </c>
      <c r="AM673" s="794">
        <f t="shared" si="4"/>
        <v>-3128427.76</v>
      </c>
      <c r="AN673" s="794">
        <f t="array" ref="AN673">INDEX(G673:R673,1,MATCH(Parametres!$B$3,G$1:R$1,0))*IF(OR(F673="L",F673="S",F673="I"),-1,1)</f>
        <v>-65212399.56</v>
      </c>
      <c r="AO673" s="853" t="str">
        <f>+VLOOKUP($AJ673,Data_Validation!$A:$D,1,0)</f>
        <v>G44000</v>
      </c>
      <c r="AP673" s="853" t="str">
        <f>+VLOOKUP($AJ673,Data_Validation!$A:$D,3,0)</f>
        <v>Véhicules neufs</v>
      </c>
      <c r="AQ673" s="853" t="str">
        <f>+VLOOKUP($AJ673,Data_Validation!$A:$D,4,0)</f>
        <v>Flottes</v>
      </c>
      <c r="AR673" s="853" t="s">
        <v>728</v>
      </c>
      <c r="AS673" s="853" t="str">
        <f>+VLOOKUP($AJ673,Data_Validation!$A:$E,5,0)</f>
        <v>Oui</v>
      </c>
      <c r="AT673" s="794" t="str">
        <f t="shared" ref="AT673:AU673" si="1344">C673</f>
        <v>G44000</v>
      </c>
      <c r="AU673" s="854" t="str">
        <f t="shared" si="1344"/>
        <v>VENTES PARCS CAMIONS</v>
      </c>
      <c r="AV673" s="794">
        <f t="array" ref="AV673">IFERROR(INDEX(V673:AG673,1,MATCH(Parametres!$B$3,V$1:AG$1,0)-1)*IF(OR(C673="L",C673="S",C673="I"),-1,1),"")</f>
        <v>938</v>
      </c>
      <c r="AW673" s="794">
        <f t="shared" si="6"/>
        <v>51</v>
      </c>
      <c r="AX673" s="794">
        <f t="array" ref="AX673">INDEX(V673:AG673,1,MATCH(Parametres!$B$3,V$1:AG$1,0))*IF(OR(C673="L",C673="S",C673="I"),-1,1)</f>
        <v>989</v>
      </c>
      <c r="AY673" s="853" t="s">
        <v>772</v>
      </c>
      <c r="AZ673" s="853" t="str">
        <f>+VLOOKUP($AJ673,Data_Validation!$A:$E,5,0)</f>
        <v>Oui</v>
      </c>
    </row>
    <row r="674" ht="15.0" customHeight="1">
      <c r="A674" s="849" t="s">
        <v>1239</v>
      </c>
      <c r="B674" s="849">
        <v>2026.0</v>
      </c>
      <c r="C674" s="849" t="s">
        <v>2575</v>
      </c>
      <c r="D674" s="849" t="s">
        <v>2576</v>
      </c>
      <c r="E674" s="849" t="s">
        <v>2426</v>
      </c>
      <c r="F674" s="849" t="s">
        <v>2426</v>
      </c>
      <c r="G674" s="849">
        <v>0.0</v>
      </c>
      <c r="H674" s="849">
        <v>0.0</v>
      </c>
      <c r="I674" s="849">
        <v>0.0</v>
      </c>
      <c r="J674" s="849">
        <v>0.0</v>
      </c>
      <c r="K674" s="849">
        <v>0.0</v>
      </c>
      <c r="L674" s="849">
        <v>0.0</v>
      </c>
      <c r="M674" s="849">
        <v>0.0</v>
      </c>
      <c r="N674" s="849">
        <v>0.0</v>
      </c>
      <c r="O674" s="849">
        <v>0.0</v>
      </c>
      <c r="P674" s="849">
        <v>0.0</v>
      </c>
      <c r="Q674" s="849">
        <v>0.0</v>
      </c>
      <c r="R674" s="849">
        <v>0.0</v>
      </c>
      <c r="S674" s="849">
        <v>0.0</v>
      </c>
      <c r="T674" s="849">
        <v>0.0</v>
      </c>
      <c r="U674" s="849">
        <v>0.0</v>
      </c>
      <c r="V674" s="849">
        <v>0.0</v>
      </c>
      <c r="W674" s="849">
        <v>0.0</v>
      </c>
      <c r="X674" s="849">
        <v>0.0</v>
      </c>
      <c r="Y674" s="849">
        <v>0.0</v>
      </c>
      <c r="Z674" s="849">
        <v>0.0</v>
      </c>
      <c r="AA674" s="849">
        <v>0.0</v>
      </c>
      <c r="AB674" s="849">
        <v>0.0</v>
      </c>
      <c r="AC674" s="849">
        <v>0.0</v>
      </c>
      <c r="AD674" s="849">
        <v>0.0</v>
      </c>
      <c r="AE674" s="849">
        <v>0.0</v>
      </c>
      <c r="AF674" s="849">
        <v>0.0</v>
      </c>
      <c r="AG674" s="849">
        <v>0.0</v>
      </c>
      <c r="AH674" s="849">
        <v>0.0</v>
      </c>
      <c r="AI674" s="849">
        <v>0.0</v>
      </c>
      <c r="AJ674" s="794" t="str">
        <f t="shared" ref="AJ674:AK674" si="1345">C674</f>
        <v>G44100</v>
      </c>
      <c r="AK674" s="794" t="str">
        <f t="shared" si="1345"/>
        <v>VTES-INTERNE CAMIONS</v>
      </c>
      <c r="AL674" s="794">
        <f t="array" ref="AL674">IFERROR(INDEX(G674:R674,1,MATCH(Parametres!$B$3,G$1:R$1,0)-1)*IF(OR(F674="L",F674="S",F674="I"),-1,1),"")</f>
        <v>0</v>
      </c>
      <c r="AM674" s="794">
        <f t="shared" si="4"/>
        <v>0</v>
      </c>
      <c r="AN674" s="794">
        <f t="array" ref="AN674">INDEX(G674:R674,1,MATCH(Parametres!$B$3,G$1:R$1,0))*IF(OR(F674="L",F674="S",F674="I"),-1,1)</f>
        <v>0</v>
      </c>
      <c r="AO674" s="853" t="str">
        <f>+VLOOKUP($AJ674,Data_Validation!$A:$D,1,0)</f>
        <v>G44100</v>
      </c>
      <c r="AP674" s="853" t="str">
        <f>+VLOOKUP($AJ674,Data_Validation!$A:$D,3,0)</f>
        <v>Véhicules neufs</v>
      </c>
      <c r="AQ674" s="853" t="str">
        <f>+VLOOKUP($AJ674,Data_Validation!$A:$D,4,0)</f>
        <v>Flottes</v>
      </c>
      <c r="AR674" s="853" t="s">
        <v>728</v>
      </c>
      <c r="AS674" s="853" t="str">
        <f>+VLOOKUP($AJ674,Data_Validation!$A:$E,5,0)</f>
        <v>Oui</v>
      </c>
      <c r="AT674" s="794" t="str">
        <f t="shared" ref="AT674:AU674" si="1346">C674</f>
        <v>G44100</v>
      </c>
      <c r="AU674" s="854" t="str">
        <f t="shared" si="1346"/>
        <v>VTES-INTERNE CAMIONS</v>
      </c>
      <c r="AV674" s="794">
        <f t="array" ref="AV674">IFERROR(INDEX(V674:AG674,1,MATCH(Parametres!$B$3,V$1:AG$1,0)-1)*IF(OR(C674="L",C674="S",C674="I"),-1,1),"")</f>
        <v>0</v>
      </c>
      <c r="AW674" s="794">
        <f t="shared" si="6"/>
        <v>0</v>
      </c>
      <c r="AX674" s="794">
        <f t="array" ref="AX674">INDEX(V674:AG674,1,MATCH(Parametres!$B$3,V$1:AG$1,0))*IF(OR(C674="L",C674="S",C674="I"),-1,1)</f>
        <v>0</v>
      </c>
      <c r="AY674" s="853" t="s">
        <v>772</v>
      </c>
      <c r="AZ674" s="853" t="str">
        <f>+VLOOKUP($AJ674,Data_Validation!$A:$E,5,0)</f>
        <v>Oui</v>
      </c>
    </row>
    <row r="675" ht="15.0" customHeight="1">
      <c r="A675" s="849" t="s">
        <v>1239</v>
      </c>
      <c r="B675" s="849">
        <v>2026.0</v>
      </c>
      <c r="C675" s="849" t="s">
        <v>2577</v>
      </c>
      <c r="D675" s="849" t="s">
        <v>2578</v>
      </c>
      <c r="E675" s="849" t="s">
        <v>768</v>
      </c>
      <c r="F675" s="849" t="s">
        <v>2426</v>
      </c>
      <c r="G675" s="849">
        <v>61922.46</v>
      </c>
      <c r="H675" s="849">
        <v>99457.46</v>
      </c>
      <c r="I675" s="849">
        <v>156410.91</v>
      </c>
      <c r="J675" s="849">
        <v>273816.55</v>
      </c>
      <c r="K675" s="849">
        <v>330493.25</v>
      </c>
      <c r="L675" s="849">
        <v>384528.25</v>
      </c>
      <c r="M675" s="849">
        <v>449564.25</v>
      </c>
      <c r="N675" s="849">
        <v>506031.05</v>
      </c>
      <c r="O675" s="849">
        <v>596450.45</v>
      </c>
      <c r="P675" s="849">
        <v>620690.45</v>
      </c>
      <c r="Q675" s="849">
        <v>0.0</v>
      </c>
      <c r="R675" s="849">
        <v>0.0</v>
      </c>
      <c r="S675" s="849">
        <v>66272.27</v>
      </c>
      <c r="T675" s="849">
        <v>66272.27</v>
      </c>
      <c r="U675" s="849">
        <v>0.0</v>
      </c>
      <c r="V675" s="849">
        <v>13.0</v>
      </c>
      <c r="W675" s="849">
        <v>24.0</v>
      </c>
      <c r="X675" s="849">
        <v>42.0</v>
      </c>
      <c r="Y675" s="849">
        <v>75.0</v>
      </c>
      <c r="Z675" s="849">
        <v>90.0</v>
      </c>
      <c r="AA675" s="849">
        <v>104.0</v>
      </c>
      <c r="AB675" s="849">
        <v>119.0</v>
      </c>
      <c r="AC675" s="849">
        <v>140.0</v>
      </c>
      <c r="AD675" s="849">
        <v>177.0</v>
      </c>
      <c r="AE675" s="849">
        <v>184.0</v>
      </c>
      <c r="AF675" s="849">
        <v>0.0</v>
      </c>
      <c r="AG675" s="849">
        <v>0.0</v>
      </c>
      <c r="AH675" s="849">
        <v>20.0</v>
      </c>
      <c r="AI675" s="849">
        <v>20.0</v>
      </c>
      <c r="AJ675" s="794" t="str">
        <f t="shared" ref="AJ675:AK675" si="1347">C675</f>
        <v>G44300</v>
      </c>
      <c r="AK675" s="794" t="str">
        <f t="shared" si="1347"/>
        <v>VTES-PLAN PROTECTION -NF</v>
      </c>
      <c r="AL675" s="794">
        <f t="array" ref="AL675">IFERROR(INDEX(G675:R675,1,MATCH(Parametres!$B$3,G$1:R$1,0)-1)*IF(OR(F675="L",F675="S",F675="I"),-1,1),"")</f>
        <v>-506031.05</v>
      </c>
      <c r="AM675" s="794">
        <f t="shared" si="4"/>
        <v>-90419.4</v>
      </c>
      <c r="AN675" s="794">
        <f t="array" ref="AN675">INDEX(G675:R675,1,MATCH(Parametres!$B$3,G$1:R$1,0))*IF(OR(F675="L",F675="S",F675="I"),-1,1)</f>
        <v>-596450.45</v>
      </c>
      <c r="AO675" s="853" t="str">
        <f>+VLOOKUP($AJ675,Data_Validation!$A:$D,1,0)</f>
        <v>G44300</v>
      </c>
      <c r="AP675" s="853" t="str">
        <f>+VLOOKUP($AJ675,Data_Validation!$A:$D,3,0)</f>
        <v>Véhicules neufs</v>
      </c>
      <c r="AQ675" s="853" t="str">
        <f>+VLOOKUP($AJ675,Data_Validation!$A:$D,4,0)</f>
        <v>Rev. Protections</v>
      </c>
      <c r="AR675" s="853" t="s">
        <v>728</v>
      </c>
      <c r="AS675" s="853" t="str">
        <f>+VLOOKUP($AJ675,Data_Validation!$A:$E,5,0)</f>
        <v>Oui</v>
      </c>
      <c r="AT675" s="794" t="str">
        <f t="shared" ref="AT675:AU675" si="1348">C675</f>
        <v>G44300</v>
      </c>
      <c r="AU675" s="854" t="str">
        <f t="shared" si="1348"/>
        <v>VTES-PLAN PROTECTION -NF</v>
      </c>
      <c r="AV675" s="794">
        <f t="array" ref="AV675">IFERROR(INDEX(V675:AG675,1,MATCH(Parametres!$B$3,V$1:AG$1,0)-1)*IF(OR(C675="L",C675="S",C675="I"),-1,1),"")</f>
        <v>140</v>
      </c>
      <c r="AW675" s="794">
        <f t="shared" si="6"/>
        <v>37</v>
      </c>
      <c r="AX675" s="794">
        <f t="array" ref="AX675">INDEX(V675:AG675,1,MATCH(Parametres!$B$3,V$1:AG$1,0))*IF(OR(C675="L",C675="S",C675="I"),-1,1)</f>
        <v>177</v>
      </c>
      <c r="AY675" s="853" t="s">
        <v>772</v>
      </c>
      <c r="AZ675" s="853" t="str">
        <f>+VLOOKUP($AJ675,Data_Validation!$A:$E,5,0)</f>
        <v>Oui</v>
      </c>
    </row>
    <row r="676" ht="15.0" customHeight="1">
      <c r="A676" s="849" t="s">
        <v>1239</v>
      </c>
      <c r="B676" s="849">
        <v>2026.0</v>
      </c>
      <c r="C676" s="849" t="s">
        <v>2579</v>
      </c>
      <c r="D676" s="849" t="s">
        <v>2580</v>
      </c>
      <c r="E676" s="849" t="s">
        <v>768</v>
      </c>
      <c r="F676" s="849" t="s">
        <v>2426</v>
      </c>
      <c r="G676" s="849">
        <v>0.0</v>
      </c>
      <c r="H676" s="849">
        <v>0.0</v>
      </c>
      <c r="I676" s="849">
        <v>0.0</v>
      </c>
      <c r="J676" s="849">
        <v>0.0</v>
      </c>
      <c r="K676" s="849">
        <v>0.0</v>
      </c>
      <c r="L676" s="849">
        <v>0.0</v>
      </c>
      <c r="M676" s="849">
        <v>0.0</v>
      </c>
      <c r="N676" s="849">
        <v>0.0</v>
      </c>
      <c r="O676" s="849">
        <v>0.0</v>
      </c>
      <c r="P676" s="849">
        <v>0.0</v>
      </c>
      <c r="Q676" s="849">
        <v>0.0</v>
      </c>
      <c r="R676" s="849">
        <v>0.0</v>
      </c>
      <c r="S676" s="849">
        <v>0.0</v>
      </c>
      <c r="T676" s="849">
        <v>0.0</v>
      </c>
      <c r="U676" s="849">
        <v>0.0</v>
      </c>
      <c r="V676" s="849">
        <v>0.0</v>
      </c>
      <c r="W676" s="849">
        <v>0.0</v>
      </c>
      <c r="X676" s="849">
        <v>0.0</v>
      </c>
      <c r="Y676" s="849">
        <v>0.0</v>
      </c>
      <c r="Z676" s="849">
        <v>0.0</v>
      </c>
      <c r="AA676" s="849">
        <v>0.0</v>
      </c>
      <c r="AB676" s="849">
        <v>0.0</v>
      </c>
      <c r="AC676" s="849">
        <v>0.0</v>
      </c>
      <c r="AD676" s="849">
        <v>0.0</v>
      </c>
      <c r="AE676" s="849">
        <v>0.0</v>
      </c>
      <c r="AF676" s="849">
        <v>0.0</v>
      </c>
      <c r="AG676" s="849">
        <v>0.0</v>
      </c>
      <c r="AH676" s="849">
        <v>0.0</v>
      </c>
      <c r="AI676" s="849">
        <v>0.0</v>
      </c>
      <c r="AJ676" s="794" t="str">
        <f t="shared" ref="AJ676:AK676" si="1349">C676</f>
        <v>G44301</v>
      </c>
      <c r="AK676" s="794" t="str">
        <f t="shared" si="1349"/>
        <v>VTE -PRT NOMAD NEUF</v>
      </c>
      <c r="AL676" s="794">
        <f t="array" ref="AL676">IFERROR(INDEX(G676:R676,1,MATCH(Parametres!$B$3,G$1:R$1,0)-1)*IF(OR(F676="L",F676="S",F676="I"),-1,1),"")</f>
        <v>0</v>
      </c>
      <c r="AM676" s="794">
        <f t="shared" si="4"/>
        <v>0</v>
      </c>
      <c r="AN676" s="794">
        <f t="array" ref="AN676">INDEX(G676:R676,1,MATCH(Parametres!$B$3,G$1:R$1,0))*IF(OR(F676="L",F676="S",F676="I"),-1,1)</f>
        <v>0</v>
      </c>
      <c r="AO676" s="853" t="str">
        <f>+VLOOKUP($AJ676,Data_Validation!$A:$D,1,0)</f>
        <v>#N/A</v>
      </c>
      <c r="AP676" s="853" t="str">
        <f>+VLOOKUP($AJ676,Data_Validation!$A:$D,3,0)</f>
        <v>#N/A</v>
      </c>
      <c r="AQ676" s="853" t="str">
        <f>+VLOOKUP($AJ676,Data_Validation!$A:$D,4,0)</f>
        <v>#N/A</v>
      </c>
      <c r="AR676" s="853" t="s">
        <v>728</v>
      </c>
      <c r="AS676" s="853" t="str">
        <f>+VLOOKUP($AJ676,Data_Validation!$A:$E,5,0)</f>
        <v>#N/A</v>
      </c>
      <c r="AT676" s="794" t="str">
        <f t="shared" ref="AT676:AU676" si="1350">C676</f>
        <v>G44301</v>
      </c>
      <c r="AU676" s="854" t="str">
        <f t="shared" si="1350"/>
        <v>VTE -PRT NOMAD NEUF</v>
      </c>
      <c r="AV676" s="794">
        <f t="array" ref="AV676">IFERROR(INDEX(V676:AG676,1,MATCH(Parametres!$B$3,V$1:AG$1,0)-1)*IF(OR(C676="L",C676="S",C676="I"),-1,1),"")</f>
        <v>0</v>
      </c>
      <c r="AW676" s="794">
        <f t="shared" si="6"/>
        <v>0</v>
      </c>
      <c r="AX676" s="794">
        <f t="array" ref="AX676">INDEX(V676:AG676,1,MATCH(Parametres!$B$3,V$1:AG$1,0))*IF(OR(C676="L",C676="S",C676="I"),-1,1)</f>
        <v>0</v>
      </c>
      <c r="AY676" s="853" t="s">
        <v>772</v>
      </c>
      <c r="AZ676" s="853" t="str">
        <f>+VLOOKUP($AJ676,Data_Validation!$A:$E,5,0)</f>
        <v>#N/A</v>
      </c>
    </row>
    <row r="677" ht="15.0" customHeight="1">
      <c r="A677" s="849" t="s">
        <v>1239</v>
      </c>
      <c r="B677" s="849">
        <v>2026.0</v>
      </c>
      <c r="C677" s="849" t="s">
        <v>2581</v>
      </c>
      <c r="D677" s="849" t="s">
        <v>2582</v>
      </c>
      <c r="E677" s="849" t="s">
        <v>768</v>
      </c>
      <c r="F677" s="849" t="s">
        <v>2426</v>
      </c>
      <c r="G677" s="849">
        <v>0.0</v>
      </c>
      <c r="H677" s="849">
        <v>0.0</v>
      </c>
      <c r="I677" s="849">
        <v>0.0</v>
      </c>
      <c r="J677" s="849">
        <v>0.0</v>
      </c>
      <c r="K677" s="849">
        <v>0.0</v>
      </c>
      <c r="L677" s="849">
        <v>0.0</v>
      </c>
      <c r="M677" s="849">
        <v>0.0</v>
      </c>
      <c r="N677" s="849">
        <v>0.0</v>
      </c>
      <c r="O677" s="849">
        <v>0.0</v>
      </c>
      <c r="P677" s="849">
        <v>0.0</v>
      </c>
      <c r="Q677" s="849">
        <v>0.0</v>
      </c>
      <c r="R677" s="849">
        <v>0.0</v>
      </c>
      <c r="S677" s="849">
        <v>0.0</v>
      </c>
      <c r="T677" s="849">
        <v>0.0</v>
      </c>
      <c r="U677" s="849">
        <v>0.0</v>
      </c>
      <c r="V677" s="849">
        <v>0.0</v>
      </c>
      <c r="W677" s="849">
        <v>0.0</v>
      </c>
      <c r="X677" s="849">
        <v>0.0</v>
      </c>
      <c r="Y677" s="849">
        <v>0.0</v>
      </c>
      <c r="Z677" s="849">
        <v>0.0</v>
      </c>
      <c r="AA677" s="849">
        <v>0.0</v>
      </c>
      <c r="AB677" s="849">
        <v>0.0</v>
      </c>
      <c r="AC677" s="849">
        <v>0.0</v>
      </c>
      <c r="AD677" s="849">
        <v>0.0</v>
      </c>
      <c r="AE677" s="849">
        <v>0.0</v>
      </c>
      <c r="AF677" s="849">
        <v>0.0</v>
      </c>
      <c r="AG677" s="849">
        <v>0.0</v>
      </c>
      <c r="AH677" s="849">
        <v>0.0</v>
      </c>
      <c r="AI677" s="849">
        <v>0.0</v>
      </c>
      <c r="AJ677" s="794" t="str">
        <f t="shared" ref="AJ677:AK677" si="1351">C677</f>
        <v>G44310</v>
      </c>
      <c r="AK677" s="794" t="str">
        <f t="shared" si="1351"/>
        <v>VTES - PL PROTECT GM NEUF</v>
      </c>
      <c r="AL677" s="794">
        <f t="array" ref="AL677">IFERROR(INDEX(G677:R677,1,MATCH(Parametres!$B$3,G$1:R$1,0)-1)*IF(OR(F677="L",F677="S",F677="I"),-1,1),"")</f>
        <v>0</v>
      </c>
      <c r="AM677" s="794">
        <f t="shared" si="4"/>
        <v>0</v>
      </c>
      <c r="AN677" s="794">
        <f t="array" ref="AN677">INDEX(G677:R677,1,MATCH(Parametres!$B$3,G$1:R$1,0))*IF(OR(F677="L",F677="S",F677="I"),-1,1)</f>
        <v>0</v>
      </c>
      <c r="AO677" s="853" t="str">
        <f>+VLOOKUP($AJ677,Data_Validation!$A:$D,1,0)</f>
        <v>#N/A</v>
      </c>
      <c r="AP677" s="853" t="str">
        <f>+VLOOKUP($AJ677,Data_Validation!$A:$D,3,0)</f>
        <v>#N/A</v>
      </c>
      <c r="AQ677" s="853" t="str">
        <f>+VLOOKUP($AJ677,Data_Validation!$A:$D,4,0)</f>
        <v>#N/A</v>
      </c>
      <c r="AR677" s="853" t="s">
        <v>728</v>
      </c>
      <c r="AS677" s="853" t="str">
        <f>+VLOOKUP($AJ677,Data_Validation!$A:$E,5,0)</f>
        <v>#N/A</v>
      </c>
      <c r="AT677" s="794" t="str">
        <f t="shared" ref="AT677:AU677" si="1352">C677</f>
        <v>G44310</v>
      </c>
      <c r="AU677" s="854" t="str">
        <f t="shared" si="1352"/>
        <v>VTES - PL PROTECT GM NEUF</v>
      </c>
      <c r="AV677" s="794">
        <f t="array" ref="AV677">IFERROR(INDEX(V677:AG677,1,MATCH(Parametres!$B$3,V$1:AG$1,0)-1)*IF(OR(C677="L",C677="S",C677="I"),-1,1),"")</f>
        <v>0</v>
      </c>
      <c r="AW677" s="794">
        <f t="shared" si="6"/>
        <v>0</v>
      </c>
      <c r="AX677" s="794">
        <f t="array" ref="AX677">INDEX(V677:AG677,1,MATCH(Parametres!$B$3,V$1:AG$1,0))*IF(OR(C677="L",C677="S",C677="I"),-1,1)</f>
        <v>0</v>
      </c>
      <c r="AY677" s="853" t="s">
        <v>772</v>
      </c>
      <c r="AZ677" s="853" t="str">
        <f>+VLOOKUP($AJ677,Data_Validation!$A:$E,5,0)</f>
        <v>#N/A</v>
      </c>
    </row>
    <row r="678" ht="15.0" customHeight="1">
      <c r="A678" s="849" t="s">
        <v>1239</v>
      </c>
      <c r="B678" s="849">
        <v>2026.0</v>
      </c>
      <c r="C678" s="849" t="s">
        <v>2583</v>
      </c>
      <c r="D678" s="849" t="s">
        <v>2584</v>
      </c>
      <c r="E678" s="849" t="s">
        <v>768</v>
      </c>
      <c r="F678" s="849" t="s">
        <v>2426</v>
      </c>
      <c r="G678" s="849">
        <v>0.0</v>
      </c>
      <c r="H678" s="849">
        <v>0.0</v>
      </c>
      <c r="I678" s="849">
        <v>0.0</v>
      </c>
      <c r="J678" s="849">
        <v>0.0</v>
      </c>
      <c r="K678" s="849">
        <v>0.0</v>
      </c>
      <c r="L678" s="849">
        <v>0.0</v>
      </c>
      <c r="M678" s="849">
        <v>0.0</v>
      </c>
      <c r="N678" s="849">
        <v>0.0</v>
      </c>
      <c r="O678" s="849">
        <v>0.0</v>
      </c>
      <c r="P678" s="849">
        <v>0.0</v>
      </c>
      <c r="Q678" s="849">
        <v>0.0</v>
      </c>
      <c r="R678" s="849">
        <v>0.0</v>
      </c>
      <c r="S678" s="849">
        <v>0.0</v>
      </c>
      <c r="T678" s="849">
        <v>0.0</v>
      </c>
      <c r="U678" s="849">
        <v>0.0</v>
      </c>
      <c r="V678" s="849">
        <v>0.0</v>
      </c>
      <c r="W678" s="849">
        <v>0.0</v>
      </c>
      <c r="X678" s="849">
        <v>0.0</v>
      </c>
      <c r="Y678" s="849">
        <v>0.0</v>
      </c>
      <c r="Z678" s="849">
        <v>0.0</v>
      </c>
      <c r="AA678" s="849">
        <v>0.0</v>
      </c>
      <c r="AB678" s="849">
        <v>0.0</v>
      </c>
      <c r="AC678" s="849">
        <v>0.0</v>
      </c>
      <c r="AD678" s="849">
        <v>0.0</v>
      </c>
      <c r="AE678" s="849">
        <v>0.0</v>
      </c>
      <c r="AF678" s="849">
        <v>0.0</v>
      </c>
      <c r="AG678" s="849">
        <v>0.0</v>
      </c>
      <c r="AH678" s="849">
        <v>0.0</v>
      </c>
      <c r="AI678" s="849">
        <v>0.0</v>
      </c>
      <c r="AJ678" s="794" t="str">
        <f t="shared" ref="AJ678:AK678" si="1353">C678</f>
        <v>G44311</v>
      </c>
      <c r="AK678" s="794" t="str">
        <f t="shared" si="1353"/>
        <v>VTE -PR PNEUS-JANTE NEUF</v>
      </c>
      <c r="AL678" s="794">
        <f t="array" ref="AL678">IFERROR(INDEX(G678:R678,1,MATCH(Parametres!$B$3,G$1:R$1,0)-1)*IF(OR(F678="L",F678="S",F678="I"),-1,1),"")</f>
        <v>0</v>
      </c>
      <c r="AM678" s="794">
        <f t="shared" si="4"/>
        <v>0</v>
      </c>
      <c r="AN678" s="794">
        <f t="array" ref="AN678">INDEX(G678:R678,1,MATCH(Parametres!$B$3,G$1:R$1,0))*IF(OR(F678="L",F678="S",F678="I"),-1,1)</f>
        <v>0</v>
      </c>
      <c r="AO678" s="853" t="str">
        <f>+VLOOKUP($AJ678,Data_Validation!$A:$D,1,0)</f>
        <v>#N/A</v>
      </c>
      <c r="AP678" s="853" t="str">
        <f>+VLOOKUP($AJ678,Data_Validation!$A:$D,3,0)</f>
        <v>#N/A</v>
      </c>
      <c r="AQ678" s="853" t="str">
        <f>+VLOOKUP($AJ678,Data_Validation!$A:$D,4,0)</f>
        <v>#N/A</v>
      </c>
      <c r="AR678" s="853" t="s">
        <v>728</v>
      </c>
      <c r="AS678" s="853" t="str">
        <f>+VLOOKUP($AJ678,Data_Validation!$A:$E,5,0)</f>
        <v>#N/A</v>
      </c>
      <c r="AT678" s="794" t="str">
        <f t="shared" ref="AT678:AU678" si="1354">C678</f>
        <v>G44311</v>
      </c>
      <c r="AU678" s="854" t="str">
        <f t="shared" si="1354"/>
        <v>VTE -PR PNEUS-JANTE NEUF</v>
      </c>
      <c r="AV678" s="794">
        <f t="array" ref="AV678">IFERROR(INDEX(V678:AG678,1,MATCH(Parametres!$B$3,V$1:AG$1,0)-1)*IF(OR(C678="L",C678="S",C678="I"),-1,1),"")</f>
        <v>0</v>
      </c>
      <c r="AW678" s="794">
        <f t="shared" si="6"/>
        <v>0</v>
      </c>
      <c r="AX678" s="794">
        <f t="array" ref="AX678">INDEX(V678:AG678,1,MATCH(Parametres!$B$3,V$1:AG$1,0))*IF(OR(C678="L",C678="S",C678="I"),-1,1)</f>
        <v>0</v>
      </c>
      <c r="AY678" s="853" t="s">
        <v>772</v>
      </c>
      <c r="AZ678" s="853" t="str">
        <f>+VLOOKUP($AJ678,Data_Validation!$A:$E,5,0)</f>
        <v>#N/A</v>
      </c>
    </row>
    <row r="679" ht="15.0" customHeight="1">
      <c r="A679" s="849" t="s">
        <v>1239</v>
      </c>
      <c r="B679" s="849">
        <v>2026.0</v>
      </c>
      <c r="C679" s="849" t="s">
        <v>2585</v>
      </c>
      <c r="D679" s="849" t="s">
        <v>2586</v>
      </c>
      <c r="E679" s="849" t="s">
        <v>768</v>
      </c>
      <c r="F679" s="849" t="s">
        <v>2426</v>
      </c>
      <c r="G679" s="849">
        <v>0.0</v>
      </c>
      <c r="H679" s="849">
        <v>0.0</v>
      </c>
      <c r="I679" s="849">
        <v>0.0</v>
      </c>
      <c r="J679" s="849">
        <v>0.0</v>
      </c>
      <c r="K679" s="849">
        <v>0.0</v>
      </c>
      <c r="L679" s="849">
        <v>0.0</v>
      </c>
      <c r="M679" s="849">
        <v>0.0</v>
      </c>
      <c r="N679" s="849">
        <v>0.0</v>
      </c>
      <c r="O679" s="849">
        <v>0.0</v>
      </c>
      <c r="P679" s="849">
        <v>0.0</v>
      </c>
      <c r="Q679" s="849">
        <v>0.0</v>
      </c>
      <c r="R679" s="849">
        <v>0.0</v>
      </c>
      <c r="S679" s="849">
        <v>0.0</v>
      </c>
      <c r="T679" s="849">
        <v>0.0</v>
      </c>
      <c r="U679" s="849">
        <v>0.0</v>
      </c>
      <c r="V679" s="849">
        <v>0.0</v>
      </c>
      <c r="W679" s="849">
        <v>0.0</v>
      </c>
      <c r="X679" s="849">
        <v>0.0</v>
      </c>
      <c r="Y679" s="849">
        <v>0.0</v>
      </c>
      <c r="Z679" s="849">
        <v>0.0</v>
      </c>
      <c r="AA679" s="849">
        <v>0.0</v>
      </c>
      <c r="AB679" s="849">
        <v>0.0</v>
      </c>
      <c r="AC679" s="849">
        <v>0.0</v>
      </c>
      <c r="AD679" s="849">
        <v>0.0</v>
      </c>
      <c r="AE679" s="849">
        <v>0.0</v>
      </c>
      <c r="AF679" s="849">
        <v>0.0</v>
      </c>
      <c r="AG679" s="849">
        <v>0.0</v>
      </c>
      <c r="AH679" s="849">
        <v>0.0</v>
      </c>
      <c r="AI679" s="849">
        <v>0.0</v>
      </c>
      <c r="AJ679" s="794" t="str">
        <f t="shared" ref="AJ679:AK679" si="1355">C679</f>
        <v>G44312</v>
      </c>
      <c r="AK679" s="794" t="str">
        <f t="shared" si="1355"/>
        <v>VTE -PROT A L'ECART NEUF</v>
      </c>
      <c r="AL679" s="794">
        <f t="array" ref="AL679">IFERROR(INDEX(G679:R679,1,MATCH(Parametres!$B$3,G$1:R$1,0)-1)*IF(OR(F679="L",F679="S",F679="I"),-1,1),"")</f>
        <v>0</v>
      </c>
      <c r="AM679" s="794">
        <f t="shared" si="4"/>
        <v>0</v>
      </c>
      <c r="AN679" s="794">
        <f t="array" ref="AN679">INDEX(G679:R679,1,MATCH(Parametres!$B$3,G$1:R$1,0))*IF(OR(F679="L",F679="S",F679="I"),-1,1)</f>
        <v>0</v>
      </c>
      <c r="AO679" s="853" t="str">
        <f>+VLOOKUP($AJ679,Data_Validation!$A:$D,1,0)</f>
        <v>#N/A</v>
      </c>
      <c r="AP679" s="853" t="str">
        <f>+VLOOKUP($AJ679,Data_Validation!$A:$D,3,0)</f>
        <v>#N/A</v>
      </c>
      <c r="AQ679" s="853" t="str">
        <f>+VLOOKUP($AJ679,Data_Validation!$A:$D,4,0)</f>
        <v>#N/A</v>
      </c>
      <c r="AR679" s="853" t="s">
        <v>728</v>
      </c>
      <c r="AS679" s="853" t="str">
        <f>+VLOOKUP($AJ679,Data_Validation!$A:$E,5,0)</f>
        <v>#N/A</v>
      </c>
      <c r="AT679" s="794" t="str">
        <f t="shared" ref="AT679:AU679" si="1356">C679</f>
        <v>G44312</v>
      </c>
      <c r="AU679" s="854" t="str">
        <f t="shared" si="1356"/>
        <v>VTE -PROT A L'ECART NEUF</v>
      </c>
      <c r="AV679" s="794">
        <f t="array" ref="AV679">IFERROR(INDEX(V679:AG679,1,MATCH(Parametres!$B$3,V$1:AG$1,0)-1)*IF(OR(C679="L",C679="S",C679="I"),-1,1),"")</f>
        <v>0</v>
      </c>
      <c r="AW679" s="794">
        <f t="shared" si="6"/>
        <v>0</v>
      </c>
      <c r="AX679" s="794">
        <f t="array" ref="AX679">INDEX(V679:AG679,1,MATCH(Parametres!$B$3,V$1:AG$1,0))*IF(OR(C679="L",C679="S",C679="I"),-1,1)</f>
        <v>0</v>
      </c>
      <c r="AY679" s="853" t="s">
        <v>772</v>
      </c>
      <c r="AZ679" s="853" t="str">
        <f>+VLOOKUP($AJ679,Data_Validation!$A:$E,5,0)</f>
        <v>#N/A</v>
      </c>
    </row>
    <row r="680" ht="15.0" customHeight="1">
      <c r="A680" s="849" t="s">
        <v>1239</v>
      </c>
      <c r="B680" s="849">
        <v>2026.0</v>
      </c>
      <c r="C680" s="849" t="s">
        <v>2587</v>
      </c>
      <c r="D680" s="849" t="s">
        <v>2588</v>
      </c>
      <c r="E680" s="849" t="s">
        <v>768</v>
      </c>
      <c r="F680" s="849" t="s">
        <v>2426</v>
      </c>
      <c r="G680" s="849">
        <v>0.0</v>
      </c>
      <c r="H680" s="849">
        <v>0.0</v>
      </c>
      <c r="I680" s="849">
        <v>0.0</v>
      </c>
      <c r="J680" s="849">
        <v>0.0</v>
      </c>
      <c r="K680" s="849">
        <v>0.0</v>
      </c>
      <c r="L680" s="849">
        <v>0.0</v>
      </c>
      <c r="M680" s="849">
        <v>0.0</v>
      </c>
      <c r="N680" s="849">
        <v>0.0</v>
      </c>
      <c r="O680" s="849">
        <v>0.0</v>
      </c>
      <c r="P680" s="849">
        <v>0.0</v>
      </c>
      <c r="Q680" s="849">
        <v>0.0</v>
      </c>
      <c r="R680" s="849">
        <v>0.0</v>
      </c>
      <c r="S680" s="849">
        <v>0.0</v>
      </c>
      <c r="T680" s="849">
        <v>0.0</v>
      </c>
      <c r="U680" s="849">
        <v>0.0</v>
      </c>
      <c r="V680" s="849">
        <v>0.0</v>
      </c>
      <c r="W680" s="849">
        <v>0.0</v>
      </c>
      <c r="X680" s="849">
        <v>0.0</v>
      </c>
      <c r="Y680" s="849">
        <v>0.0</v>
      </c>
      <c r="Z680" s="849">
        <v>0.0</v>
      </c>
      <c r="AA680" s="849">
        <v>0.0</v>
      </c>
      <c r="AB680" s="849">
        <v>0.0</v>
      </c>
      <c r="AC680" s="849">
        <v>0.0</v>
      </c>
      <c r="AD680" s="849">
        <v>0.0</v>
      </c>
      <c r="AE680" s="849">
        <v>0.0</v>
      </c>
      <c r="AF680" s="849">
        <v>0.0</v>
      </c>
      <c r="AG680" s="849">
        <v>0.0</v>
      </c>
      <c r="AH680" s="849">
        <v>0.0</v>
      </c>
      <c r="AI680" s="849">
        <v>0.0</v>
      </c>
      <c r="AJ680" s="794" t="str">
        <f t="shared" ref="AJ680:AK680" si="1357">C680</f>
        <v>G44313</v>
      </c>
      <c r="AK680" s="794" t="str">
        <f t="shared" si="1357"/>
        <v>VTE -MULTI PROTECT NEUFS</v>
      </c>
      <c r="AL680" s="794">
        <f t="array" ref="AL680">IFERROR(INDEX(G680:R680,1,MATCH(Parametres!$B$3,G$1:R$1,0)-1)*IF(OR(F680="L",F680="S",F680="I"),-1,1),"")</f>
        <v>0</v>
      </c>
      <c r="AM680" s="794">
        <f t="shared" si="4"/>
        <v>0</v>
      </c>
      <c r="AN680" s="794">
        <f t="array" ref="AN680">INDEX(G680:R680,1,MATCH(Parametres!$B$3,G$1:R$1,0))*IF(OR(F680="L",F680="S",F680="I"),-1,1)</f>
        <v>0</v>
      </c>
      <c r="AO680" s="853" t="str">
        <f>+VLOOKUP($AJ680,Data_Validation!$A:$D,1,0)</f>
        <v>#N/A</v>
      </c>
      <c r="AP680" s="853" t="str">
        <f>+VLOOKUP($AJ680,Data_Validation!$A:$D,3,0)</f>
        <v>#N/A</v>
      </c>
      <c r="AQ680" s="853" t="str">
        <f>+VLOOKUP($AJ680,Data_Validation!$A:$D,4,0)</f>
        <v>#N/A</v>
      </c>
      <c r="AR680" s="853" t="s">
        <v>728</v>
      </c>
      <c r="AS680" s="853" t="str">
        <f>+VLOOKUP($AJ680,Data_Validation!$A:$E,5,0)</f>
        <v>#N/A</v>
      </c>
      <c r="AT680" s="794" t="str">
        <f t="shared" ref="AT680:AU680" si="1358">C680</f>
        <v>G44313</v>
      </c>
      <c r="AU680" s="854" t="str">
        <f t="shared" si="1358"/>
        <v>VTE -MULTI PROTECT NEUFS</v>
      </c>
      <c r="AV680" s="794">
        <f t="array" ref="AV680">IFERROR(INDEX(V680:AG680,1,MATCH(Parametres!$B$3,V$1:AG$1,0)-1)*IF(OR(C680="L",C680="S",C680="I"),-1,1),"")</f>
        <v>0</v>
      </c>
      <c r="AW680" s="794">
        <f t="shared" si="6"/>
        <v>0</v>
      </c>
      <c r="AX680" s="794">
        <f t="array" ref="AX680">INDEX(V680:AG680,1,MATCH(Parametres!$B$3,V$1:AG$1,0))*IF(OR(C680="L",C680="S",C680="I"),-1,1)</f>
        <v>0</v>
      </c>
      <c r="AY680" s="853" t="s">
        <v>772</v>
      </c>
      <c r="AZ680" s="853" t="str">
        <f>+VLOOKUP($AJ680,Data_Validation!$A:$E,5,0)</f>
        <v>#N/A</v>
      </c>
    </row>
    <row r="681" ht="15.0" customHeight="1">
      <c r="A681" s="849" t="s">
        <v>1239</v>
      </c>
      <c r="B681" s="849">
        <v>2026.0</v>
      </c>
      <c r="C681" s="849" t="s">
        <v>2589</v>
      </c>
      <c r="D681" s="849" t="s">
        <v>2590</v>
      </c>
      <c r="E681" s="849" t="s">
        <v>768</v>
      </c>
      <c r="F681" s="849" t="s">
        <v>2426</v>
      </c>
      <c r="G681" s="849">
        <v>0.0</v>
      </c>
      <c r="H681" s="849">
        <v>0.0</v>
      </c>
      <c r="I681" s="849">
        <v>0.0</v>
      </c>
      <c r="J681" s="849">
        <v>0.0</v>
      </c>
      <c r="K681" s="849">
        <v>0.0</v>
      </c>
      <c r="L681" s="849">
        <v>0.0</v>
      </c>
      <c r="M681" s="849">
        <v>0.0</v>
      </c>
      <c r="N681" s="849">
        <v>0.0</v>
      </c>
      <c r="O681" s="849">
        <v>0.0</v>
      </c>
      <c r="P681" s="849">
        <v>1100.0</v>
      </c>
      <c r="Q681" s="849">
        <v>0.0</v>
      </c>
      <c r="R681" s="849">
        <v>0.0</v>
      </c>
      <c r="S681" s="849">
        <v>0.0</v>
      </c>
      <c r="T681" s="849">
        <v>0.0</v>
      </c>
      <c r="U681" s="849">
        <v>0.0</v>
      </c>
      <c r="V681" s="849">
        <v>0.0</v>
      </c>
      <c r="W681" s="849">
        <v>0.0</v>
      </c>
      <c r="X681" s="849">
        <v>0.0</v>
      </c>
      <c r="Y681" s="849">
        <v>0.0</v>
      </c>
      <c r="Z681" s="849">
        <v>0.0</v>
      </c>
      <c r="AA681" s="849">
        <v>0.0</v>
      </c>
      <c r="AB681" s="849">
        <v>0.0</v>
      </c>
      <c r="AC681" s="849">
        <v>0.0</v>
      </c>
      <c r="AD681" s="849">
        <v>0.0</v>
      </c>
      <c r="AE681" s="849">
        <v>1.0</v>
      </c>
      <c r="AF681" s="849">
        <v>0.0</v>
      </c>
      <c r="AG681" s="849">
        <v>0.0</v>
      </c>
      <c r="AH681" s="849">
        <v>0.0</v>
      </c>
      <c r="AI681" s="849">
        <v>0.0</v>
      </c>
      <c r="AJ681" s="794" t="str">
        <f t="shared" ref="AJ681:AK681" si="1359">C681</f>
        <v>G44314</v>
      </c>
      <c r="AK681" s="794" t="str">
        <f t="shared" si="1359"/>
        <v>VTE -PRT USURE NEUFS</v>
      </c>
      <c r="AL681" s="794">
        <f t="array" ref="AL681">IFERROR(INDEX(G681:R681,1,MATCH(Parametres!$B$3,G$1:R$1,0)-1)*IF(OR(F681="L",F681="S",F681="I"),-1,1),"")</f>
        <v>0</v>
      </c>
      <c r="AM681" s="794">
        <f t="shared" si="4"/>
        <v>0</v>
      </c>
      <c r="AN681" s="794">
        <f t="array" ref="AN681">INDEX(G681:R681,1,MATCH(Parametres!$B$3,G$1:R$1,0))*IF(OR(F681="L",F681="S",F681="I"),-1,1)</f>
        <v>0</v>
      </c>
      <c r="AO681" s="853" t="str">
        <f>+VLOOKUP($AJ681,Data_Validation!$A:$D,1,0)</f>
        <v>#N/A</v>
      </c>
      <c r="AP681" s="853" t="str">
        <f>+VLOOKUP($AJ681,Data_Validation!$A:$D,3,0)</f>
        <v>#N/A</v>
      </c>
      <c r="AQ681" s="853" t="str">
        <f>+VLOOKUP($AJ681,Data_Validation!$A:$D,4,0)</f>
        <v>#N/A</v>
      </c>
      <c r="AR681" s="853" t="s">
        <v>728</v>
      </c>
      <c r="AS681" s="853" t="str">
        <f>+VLOOKUP($AJ681,Data_Validation!$A:$E,5,0)</f>
        <v>#N/A</v>
      </c>
      <c r="AT681" s="794" t="str">
        <f t="shared" ref="AT681:AU681" si="1360">C681</f>
        <v>G44314</v>
      </c>
      <c r="AU681" s="854" t="str">
        <f t="shared" si="1360"/>
        <v>VTE -PRT USURE NEUFS</v>
      </c>
      <c r="AV681" s="794">
        <f t="array" ref="AV681">IFERROR(INDEX(V681:AG681,1,MATCH(Parametres!$B$3,V$1:AG$1,0)-1)*IF(OR(C681="L",C681="S",C681="I"),-1,1),"")</f>
        <v>0</v>
      </c>
      <c r="AW681" s="794">
        <f t="shared" si="6"/>
        <v>0</v>
      </c>
      <c r="AX681" s="794">
        <f t="array" ref="AX681">INDEX(V681:AG681,1,MATCH(Parametres!$B$3,V$1:AG$1,0))*IF(OR(C681="L",C681="S",C681="I"),-1,1)</f>
        <v>0</v>
      </c>
      <c r="AY681" s="853" t="s">
        <v>772</v>
      </c>
      <c r="AZ681" s="853" t="str">
        <f>+VLOOKUP($AJ681,Data_Validation!$A:$E,5,0)</f>
        <v>#N/A</v>
      </c>
    </row>
    <row r="682" ht="15.0" customHeight="1">
      <c r="A682" s="849" t="s">
        <v>1239</v>
      </c>
      <c r="B682" s="849">
        <v>2026.0</v>
      </c>
      <c r="C682" s="849" t="s">
        <v>2591</v>
      </c>
      <c r="D682" s="849" t="s">
        <v>2592</v>
      </c>
      <c r="E682" s="849" t="s">
        <v>768</v>
      </c>
      <c r="F682" s="849" t="s">
        <v>2426</v>
      </c>
      <c r="G682" s="849">
        <v>0.0</v>
      </c>
      <c r="H682" s="849">
        <v>0.0</v>
      </c>
      <c r="I682" s="849">
        <v>0.0</v>
      </c>
      <c r="J682" s="849">
        <v>0.0</v>
      </c>
      <c r="K682" s="849">
        <v>0.0</v>
      </c>
      <c r="L682" s="849">
        <v>0.0</v>
      </c>
      <c r="M682" s="849">
        <v>0.0</v>
      </c>
      <c r="N682" s="849">
        <v>0.0</v>
      </c>
      <c r="O682" s="849">
        <v>0.0</v>
      </c>
      <c r="P682" s="849">
        <v>0.0</v>
      </c>
      <c r="Q682" s="849">
        <v>0.0</v>
      </c>
      <c r="R682" s="849">
        <v>0.0</v>
      </c>
      <c r="S682" s="849">
        <v>0.0</v>
      </c>
      <c r="T682" s="849">
        <v>0.0</v>
      </c>
      <c r="U682" s="849">
        <v>0.0</v>
      </c>
      <c r="V682" s="849">
        <v>0.0</v>
      </c>
      <c r="W682" s="849">
        <v>0.0</v>
      </c>
      <c r="X682" s="849">
        <v>0.0</v>
      </c>
      <c r="Y682" s="849">
        <v>0.0</v>
      </c>
      <c r="Z682" s="849">
        <v>0.0</v>
      </c>
      <c r="AA682" s="849">
        <v>0.0</v>
      </c>
      <c r="AB682" s="849">
        <v>0.0</v>
      </c>
      <c r="AC682" s="849">
        <v>0.0</v>
      </c>
      <c r="AD682" s="849">
        <v>0.0</v>
      </c>
      <c r="AE682" s="849">
        <v>0.0</v>
      </c>
      <c r="AF682" s="849">
        <v>0.0</v>
      </c>
      <c r="AG682" s="849">
        <v>0.0</v>
      </c>
      <c r="AH682" s="849">
        <v>0.0</v>
      </c>
      <c r="AI682" s="849">
        <v>0.0</v>
      </c>
      <c r="AJ682" s="794" t="str">
        <f t="shared" ref="AJ682:AK682" si="1361">C682</f>
        <v>G44400</v>
      </c>
      <c r="AK682" s="794" t="str">
        <f t="shared" si="1361"/>
        <v>VENTE PROTECTION PLUS</v>
      </c>
      <c r="AL682" s="794">
        <f t="array" ref="AL682">IFERROR(INDEX(G682:R682,1,MATCH(Parametres!$B$3,G$1:R$1,0)-1)*IF(OR(F682="L",F682="S",F682="I"),-1,1),"")</f>
        <v>0</v>
      </c>
      <c r="AM682" s="794">
        <f t="shared" si="4"/>
        <v>0</v>
      </c>
      <c r="AN682" s="794">
        <f t="array" ref="AN682">INDEX(G682:R682,1,MATCH(Parametres!$B$3,G$1:R$1,0))*IF(OR(F682="L",F682="S",F682="I"),-1,1)</f>
        <v>0</v>
      </c>
      <c r="AO682" s="853" t="str">
        <f>+VLOOKUP($AJ682,Data_Validation!$A:$D,1,0)</f>
        <v>G44400</v>
      </c>
      <c r="AP682" s="853" t="str">
        <f>+VLOOKUP($AJ682,Data_Validation!$A:$D,3,0)</f>
        <v>Véhicules neufs</v>
      </c>
      <c r="AQ682" s="853" t="str">
        <f>+VLOOKUP($AJ682,Data_Validation!$A:$D,4,0)</f>
        <v>Rev. Protections</v>
      </c>
      <c r="AR682" s="853" t="s">
        <v>728</v>
      </c>
      <c r="AS682" s="853" t="str">
        <f>+VLOOKUP($AJ682,Data_Validation!$A:$E,5,0)</f>
        <v>Oui</v>
      </c>
      <c r="AT682" s="794" t="str">
        <f t="shared" ref="AT682:AU682" si="1362">C682</f>
        <v>G44400</v>
      </c>
      <c r="AU682" s="854" t="str">
        <f t="shared" si="1362"/>
        <v>VENTE PROTECTION PLUS</v>
      </c>
      <c r="AV682" s="794">
        <f t="array" ref="AV682">IFERROR(INDEX(V682:AG682,1,MATCH(Parametres!$B$3,V$1:AG$1,0)-1)*IF(OR(C682="L",C682="S",C682="I"),-1,1),"")</f>
        <v>0</v>
      </c>
      <c r="AW682" s="794">
        <f t="shared" si="6"/>
        <v>0</v>
      </c>
      <c r="AX682" s="794">
        <f t="array" ref="AX682">INDEX(V682:AG682,1,MATCH(Parametres!$B$3,V$1:AG$1,0))*IF(OR(C682="L",C682="S",C682="I"),-1,1)</f>
        <v>0</v>
      </c>
      <c r="AY682" s="853" t="s">
        <v>772</v>
      </c>
      <c r="AZ682" s="853" t="str">
        <f>+VLOOKUP($AJ682,Data_Validation!$A:$E,5,0)</f>
        <v>Oui</v>
      </c>
    </row>
    <row r="683" ht="15.0" customHeight="1">
      <c r="A683" s="849" t="s">
        <v>1239</v>
      </c>
      <c r="B683" s="849">
        <v>2026.0</v>
      </c>
      <c r="C683" s="849" t="s">
        <v>2593</v>
      </c>
      <c r="D683" s="849" t="s">
        <v>2594</v>
      </c>
      <c r="E683" s="849" t="s">
        <v>768</v>
      </c>
      <c r="F683" s="849" t="s">
        <v>2426</v>
      </c>
      <c r="G683" s="849">
        <v>0.0</v>
      </c>
      <c r="H683" s="849">
        <v>0.0</v>
      </c>
      <c r="I683" s="849">
        <v>0.0</v>
      </c>
      <c r="J683" s="849">
        <v>0.0</v>
      </c>
      <c r="K683" s="849">
        <v>0.0</v>
      </c>
      <c r="L683" s="849">
        <v>0.0</v>
      </c>
      <c r="M683" s="849">
        <v>0.0</v>
      </c>
      <c r="N683" s="849">
        <v>0.0</v>
      </c>
      <c r="O683" s="849">
        <v>0.0</v>
      </c>
      <c r="P683" s="849">
        <v>0.0</v>
      </c>
      <c r="Q683" s="849">
        <v>0.0</v>
      </c>
      <c r="R683" s="849">
        <v>0.0</v>
      </c>
      <c r="S683" s="849">
        <v>0.0</v>
      </c>
      <c r="T683" s="849">
        <v>0.0</v>
      </c>
      <c r="U683" s="849">
        <v>0.0</v>
      </c>
      <c r="V683" s="849">
        <v>0.0</v>
      </c>
      <c r="W683" s="849">
        <v>0.0</v>
      </c>
      <c r="X683" s="849">
        <v>0.0</v>
      </c>
      <c r="Y683" s="849">
        <v>0.0</v>
      </c>
      <c r="Z683" s="849">
        <v>0.0</v>
      </c>
      <c r="AA683" s="849">
        <v>0.0</v>
      </c>
      <c r="AB683" s="849">
        <v>0.0</v>
      </c>
      <c r="AC683" s="849">
        <v>0.0</v>
      </c>
      <c r="AD683" s="849">
        <v>0.0</v>
      </c>
      <c r="AE683" s="849">
        <v>0.0</v>
      </c>
      <c r="AF683" s="849">
        <v>0.0</v>
      </c>
      <c r="AG683" s="849">
        <v>0.0</v>
      </c>
      <c r="AH683" s="849">
        <v>0.0</v>
      </c>
      <c r="AI683" s="849">
        <v>0.0</v>
      </c>
      <c r="AJ683" s="794" t="str">
        <f t="shared" ref="AJ683:AK683" si="1363">C683</f>
        <v>G44410</v>
      </c>
      <c r="AK683" s="794" t="str">
        <f t="shared" si="1363"/>
        <v>VTE -PRT SERV VEH NEUFS</v>
      </c>
      <c r="AL683" s="794">
        <f t="array" ref="AL683">IFERROR(INDEX(G683:R683,1,MATCH(Parametres!$B$3,G$1:R$1,0)-1)*IF(OR(F683="L",F683="S",F683="I"),-1,1),"")</f>
        <v>0</v>
      </c>
      <c r="AM683" s="794">
        <f t="shared" si="4"/>
        <v>0</v>
      </c>
      <c r="AN683" s="794">
        <f t="array" ref="AN683">INDEX(G683:R683,1,MATCH(Parametres!$B$3,G$1:R$1,0))*IF(OR(F683="L",F683="S",F683="I"),-1,1)</f>
        <v>0</v>
      </c>
      <c r="AO683" s="853" t="str">
        <f>+VLOOKUP($AJ683,Data_Validation!$A:$D,1,0)</f>
        <v>#N/A</v>
      </c>
      <c r="AP683" s="853" t="str">
        <f>+VLOOKUP($AJ683,Data_Validation!$A:$D,3,0)</f>
        <v>#N/A</v>
      </c>
      <c r="AQ683" s="853" t="str">
        <f>+VLOOKUP($AJ683,Data_Validation!$A:$D,4,0)</f>
        <v>#N/A</v>
      </c>
      <c r="AR683" s="853" t="s">
        <v>728</v>
      </c>
      <c r="AS683" s="853" t="str">
        <f>+VLOOKUP($AJ683,Data_Validation!$A:$E,5,0)</f>
        <v>#N/A</v>
      </c>
      <c r="AT683" s="794" t="str">
        <f t="shared" ref="AT683:AU683" si="1364">C683</f>
        <v>G44410</v>
      </c>
      <c r="AU683" s="854" t="str">
        <f t="shared" si="1364"/>
        <v>VTE -PRT SERV VEH NEUFS</v>
      </c>
      <c r="AV683" s="794">
        <f t="array" ref="AV683">IFERROR(INDEX(V683:AG683,1,MATCH(Parametres!$B$3,V$1:AG$1,0)-1)*IF(OR(C683="L",C683="S",C683="I"),-1,1),"")</f>
        <v>0</v>
      </c>
      <c r="AW683" s="794">
        <f t="shared" si="6"/>
        <v>0</v>
      </c>
      <c r="AX683" s="794">
        <f t="array" ref="AX683">INDEX(V683:AG683,1,MATCH(Parametres!$B$3,V$1:AG$1,0))*IF(OR(C683="L",C683="S",C683="I"),-1,1)</f>
        <v>0</v>
      </c>
      <c r="AY683" s="853" t="s">
        <v>772</v>
      </c>
      <c r="AZ683" s="853" t="str">
        <f>+VLOOKUP($AJ683,Data_Validation!$A:$E,5,0)</f>
        <v>#N/A</v>
      </c>
    </row>
    <row r="684" ht="15.0" customHeight="1">
      <c r="A684" s="849" t="s">
        <v>1239</v>
      </c>
      <c r="B684" s="849">
        <v>2026.0</v>
      </c>
      <c r="C684" s="849" t="s">
        <v>2595</v>
      </c>
      <c r="D684" s="849" t="s">
        <v>2596</v>
      </c>
      <c r="E684" s="849" t="s">
        <v>768</v>
      </c>
      <c r="F684" s="849" t="s">
        <v>2426</v>
      </c>
      <c r="G684" s="849">
        <v>0.0</v>
      </c>
      <c r="H684" s="849">
        <v>0.0</v>
      </c>
      <c r="I684" s="849">
        <v>0.0</v>
      </c>
      <c r="J684" s="849">
        <v>0.0</v>
      </c>
      <c r="K684" s="849">
        <v>0.0</v>
      </c>
      <c r="L684" s="849">
        <v>0.0</v>
      </c>
      <c r="M684" s="849">
        <v>0.0</v>
      </c>
      <c r="N684" s="849">
        <v>0.0</v>
      </c>
      <c r="O684" s="849">
        <v>0.0</v>
      </c>
      <c r="P684" s="849">
        <v>0.0</v>
      </c>
      <c r="Q684" s="849">
        <v>0.0</v>
      </c>
      <c r="R684" s="849">
        <v>0.0</v>
      </c>
      <c r="S684" s="849">
        <v>0.0</v>
      </c>
      <c r="T684" s="849">
        <v>0.0</v>
      </c>
      <c r="U684" s="849">
        <v>0.0</v>
      </c>
      <c r="V684" s="849">
        <v>0.0</v>
      </c>
      <c r="W684" s="849">
        <v>0.0</v>
      </c>
      <c r="X684" s="849">
        <v>0.0</v>
      </c>
      <c r="Y684" s="849">
        <v>0.0</v>
      </c>
      <c r="Z684" s="849">
        <v>0.0</v>
      </c>
      <c r="AA684" s="849">
        <v>0.0</v>
      </c>
      <c r="AB684" s="849">
        <v>0.0</v>
      </c>
      <c r="AC684" s="849">
        <v>0.0</v>
      </c>
      <c r="AD684" s="849">
        <v>0.0</v>
      </c>
      <c r="AE684" s="849">
        <v>0.0</v>
      </c>
      <c r="AF684" s="849">
        <v>0.0</v>
      </c>
      <c r="AG684" s="849">
        <v>0.0</v>
      </c>
      <c r="AH684" s="849">
        <v>0.0</v>
      </c>
      <c r="AI684" s="849">
        <v>0.0</v>
      </c>
      <c r="AJ684" s="794" t="str">
        <f t="shared" ref="AJ684:AK684" si="1365">C684</f>
        <v>G44411</v>
      </c>
      <c r="AK684" s="794" t="str">
        <f t="shared" si="1365"/>
        <v>VTE -PRT PNEUS -JAN NEUFS</v>
      </c>
      <c r="AL684" s="794">
        <f t="array" ref="AL684">IFERROR(INDEX(G684:R684,1,MATCH(Parametres!$B$3,G$1:R$1,0)-1)*IF(OR(F684="L",F684="S",F684="I"),-1,1),"")</f>
        <v>0</v>
      </c>
      <c r="AM684" s="794">
        <f t="shared" si="4"/>
        <v>0</v>
      </c>
      <c r="AN684" s="794">
        <f t="array" ref="AN684">INDEX(G684:R684,1,MATCH(Parametres!$B$3,G$1:R$1,0))*IF(OR(F684="L",F684="S",F684="I"),-1,1)</f>
        <v>0</v>
      </c>
      <c r="AO684" s="853" t="str">
        <f>+VLOOKUP($AJ684,Data_Validation!$A:$D,1,0)</f>
        <v>#N/A</v>
      </c>
      <c r="AP684" s="853" t="str">
        <f>+VLOOKUP($AJ684,Data_Validation!$A:$D,3,0)</f>
        <v>#N/A</v>
      </c>
      <c r="AQ684" s="853" t="str">
        <f>+VLOOKUP($AJ684,Data_Validation!$A:$D,4,0)</f>
        <v>#N/A</v>
      </c>
      <c r="AR684" s="853" t="s">
        <v>728</v>
      </c>
      <c r="AS684" s="853" t="str">
        <f>+VLOOKUP($AJ684,Data_Validation!$A:$E,5,0)</f>
        <v>#N/A</v>
      </c>
      <c r="AT684" s="794" t="str">
        <f t="shared" ref="AT684:AU684" si="1366">C684</f>
        <v>G44411</v>
      </c>
      <c r="AU684" s="854" t="str">
        <f t="shared" si="1366"/>
        <v>VTE -PRT PNEUS -JAN NEUFS</v>
      </c>
      <c r="AV684" s="794">
        <f t="array" ref="AV684">IFERROR(INDEX(V684:AG684,1,MATCH(Parametres!$B$3,V$1:AG$1,0)-1)*IF(OR(C684="L",C684="S",C684="I"),-1,1),"")</f>
        <v>0</v>
      </c>
      <c r="AW684" s="794">
        <f t="shared" si="6"/>
        <v>0</v>
      </c>
      <c r="AX684" s="794">
        <f t="array" ref="AX684">INDEX(V684:AG684,1,MATCH(Parametres!$B$3,V$1:AG$1,0))*IF(OR(C684="L",C684="S",C684="I"),-1,1)</f>
        <v>0</v>
      </c>
      <c r="AY684" s="853" t="s">
        <v>772</v>
      </c>
      <c r="AZ684" s="853" t="str">
        <f>+VLOOKUP($AJ684,Data_Validation!$A:$E,5,0)</f>
        <v>#N/A</v>
      </c>
    </row>
    <row r="685" ht="15.0" customHeight="1">
      <c r="A685" s="849" t="s">
        <v>1239</v>
      </c>
      <c r="B685" s="849">
        <v>2026.0</v>
      </c>
      <c r="C685" s="849" t="s">
        <v>2597</v>
      </c>
      <c r="D685" s="849" t="s">
        <v>2598</v>
      </c>
      <c r="E685" s="849" t="s">
        <v>768</v>
      </c>
      <c r="F685" s="849" t="s">
        <v>2426</v>
      </c>
      <c r="G685" s="849">
        <v>0.0</v>
      </c>
      <c r="H685" s="849">
        <v>0.0</v>
      </c>
      <c r="I685" s="849">
        <v>0.0</v>
      </c>
      <c r="J685" s="849">
        <v>0.0</v>
      </c>
      <c r="K685" s="849">
        <v>0.0</v>
      </c>
      <c r="L685" s="849">
        <v>0.0</v>
      </c>
      <c r="M685" s="849">
        <v>0.0</v>
      </c>
      <c r="N685" s="849">
        <v>0.0</v>
      </c>
      <c r="O685" s="849">
        <v>0.0</v>
      </c>
      <c r="P685" s="849">
        <v>0.0</v>
      </c>
      <c r="Q685" s="849">
        <v>0.0</v>
      </c>
      <c r="R685" s="849">
        <v>0.0</v>
      </c>
      <c r="S685" s="849">
        <v>0.0</v>
      </c>
      <c r="T685" s="849">
        <v>0.0</v>
      </c>
      <c r="U685" s="849">
        <v>0.0</v>
      </c>
      <c r="V685" s="849">
        <v>0.0</v>
      </c>
      <c r="W685" s="849">
        <v>0.0</v>
      </c>
      <c r="X685" s="849">
        <v>0.0</v>
      </c>
      <c r="Y685" s="849">
        <v>0.0</v>
      </c>
      <c r="Z685" s="849">
        <v>0.0</v>
      </c>
      <c r="AA685" s="849">
        <v>0.0</v>
      </c>
      <c r="AB685" s="849">
        <v>0.0</v>
      </c>
      <c r="AC685" s="849">
        <v>0.0</v>
      </c>
      <c r="AD685" s="849">
        <v>0.0</v>
      </c>
      <c r="AE685" s="849">
        <v>0.0</v>
      </c>
      <c r="AF685" s="849">
        <v>0.0</v>
      </c>
      <c r="AG685" s="849">
        <v>0.0</v>
      </c>
      <c r="AH685" s="849">
        <v>0.0</v>
      </c>
      <c r="AI685" s="849">
        <v>0.0</v>
      </c>
      <c r="AJ685" s="794" t="str">
        <f t="shared" ref="AJ685:AK685" si="1367">C685</f>
        <v>G44412</v>
      </c>
      <c r="AK685" s="794" t="str">
        <f t="shared" si="1367"/>
        <v>VTE -PRT PERTE TOT NEUFS</v>
      </c>
      <c r="AL685" s="794">
        <f t="array" ref="AL685">IFERROR(INDEX(G685:R685,1,MATCH(Parametres!$B$3,G$1:R$1,0)-1)*IF(OR(F685="L",F685="S",F685="I"),-1,1),"")</f>
        <v>0</v>
      </c>
      <c r="AM685" s="794">
        <f t="shared" si="4"/>
        <v>0</v>
      </c>
      <c r="AN685" s="794">
        <f t="array" ref="AN685">INDEX(G685:R685,1,MATCH(Parametres!$B$3,G$1:R$1,0))*IF(OR(F685="L",F685="S",F685="I"),-1,1)</f>
        <v>0</v>
      </c>
      <c r="AO685" s="853" t="str">
        <f>+VLOOKUP($AJ685,Data_Validation!$A:$D,1,0)</f>
        <v>#N/A</v>
      </c>
      <c r="AP685" s="853" t="str">
        <f>+VLOOKUP($AJ685,Data_Validation!$A:$D,3,0)</f>
        <v>#N/A</v>
      </c>
      <c r="AQ685" s="853" t="str">
        <f>+VLOOKUP($AJ685,Data_Validation!$A:$D,4,0)</f>
        <v>#N/A</v>
      </c>
      <c r="AR685" s="853" t="s">
        <v>728</v>
      </c>
      <c r="AS685" s="853" t="str">
        <f>+VLOOKUP($AJ685,Data_Validation!$A:$E,5,0)</f>
        <v>#N/A</v>
      </c>
      <c r="AT685" s="794" t="str">
        <f t="shared" ref="AT685:AU685" si="1368">C685</f>
        <v>G44412</v>
      </c>
      <c r="AU685" s="854" t="str">
        <f t="shared" si="1368"/>
        <v>VTE -PRT PERTE TOT NEUFS</v>
      </c>
      <c r="AV685" s="794">
        <f t="array" ref="AV685">IFERROR(INDEX(V685:AG685,1,MATCH(Parametres!$B$3,V$1:AG$1,0)-1)*IF(OR(C685="L",C685="S",C685="I"),-1,1),"")</f>
        <v>0</v>
      </c>
      <c r="AW685" s="794">
        <f t="shared" si="6"/>
        <v>0</v>
      </c>
      <c r="AX685" s="794">
        <f t="array" ref="AX685">INDEX(V685:AG685,1,MATCH(Parametres!$B$3,V$1:AG$1,0))*IF(OR(C685="L",C685="S",C685="I"),-1,1)</f>
        <v>0</v>
      </c>
      <c r="AY685" s="853" t="s">
        <v>772</v>
      </c>
      <c r="AZ685" s="853" t="str">
        <f>+VLOOKUP($AJ685,Data_Validation!$A:$E,5,0)</f>
        <v>#N/A</v>
      </c>
    </row>
    <row r="686" ht="15.0" customHeight="1">
      <c r="A686" s="849" t="s">
        <v>1239</v>
      </c>
      <c r="B686" s="849">
        <v>2026.0</v>
      </c>
      <c r="C686" s="849" t="s">
        <v>2599</v>
      </c>
      <c r="D686" s="849" t="s">
        <v>2600</v>
      </c>
      <c r="E686" s="849" t="s">
        <v>768</v>
      </c>
      <c r="F686" s="849" t="s">
        <v>2426</v>
      </c>
      <c r="G686" s="849">
        <v>0.0</v>
      </c>
      <c r="H686" s="849">
        <v>0.0</v>
      </c>
      <c r="I686" s="849">
        <v>0.0</v>
      </c>
      <c r="J686" s="849">
        <v>0.0</v>
      </c>
      <c r="K686" s="849">
        <v>0.0</v>
      </c>
      <c r="L686" s="849">
        <v>0.0</v>
      </c>
      <c r="M686" s="849">
        <v>0.0</v>
      </c>
      <c r="N686" s="849">
        <v>0.0</v>
      </c>
      <c r="O686" s="849">
        <v>0.0</v>
      </c>
      <c r="P686" s="849">
        <v>0.0</v>
      </c>
      <c r="Q686" s="849">
        <v>0.0</v>
      </c>
      <c r="R686" s="849">
        <v>0.0</v>
      </c>
      <c r="S686" s="849">
        <v>0.0</v>
      </c>
      <c r="T686" s="849">
        <v>0.0</v>
      </c>
      <c r="U686" s="849">
        <v>0.0</v>
      </c>
      <c r="V686" s="849">
        <v>0.0</v>
      </c>
      <c r="W686" s="849">
        <v>0.0</v>
      </c>
      <c r="X686" s="849">
        <v>0.0</v>
      </c>
      <c r="Y686" s="849">
        <v>0.0</v>
      </c>
      <c r="Z686" s="849">
        <v>0.0</v>
      </c>
      <c r="AA686" s="849">
        <v>0.0</v>
      </c>
      <c r="AB686" s="849">
        <v>0.0</v>
      </c>
      <c r="AC686" s="849">
        <v>0.0</v>
      </c>
      <c r="AD686" s="849">
        <v>0.0</v>
      </c>
      <c r="AE686" s="849">
        <v>0.0</v>
      </c>
      <c r="AF686" s="849">
        <v>0.0</v>
      </c>
      <c r="AG686" s="849">
        <v>0.0</v>
      </c>
      <c r="AH686" s="849">
        <v>0.0</v>
      </c>
      <c r="AI686" s="849">
        <v>0.0</v>
      </c>
      <c r="AJ686" s="794" t="str">
        <f t="shared" ref="AJ686:AK686" si="1369">C686</f>
        <v>G44413</v>
      </c>
      <c r="AK686" s="794" t="str">
        <f t="shared" si="1369"/>
        <v>VTE -PRT REMPL CLE-NEUFS</v>
      </c>
      <c r="AL686" s="794">
        <f t="array" ref="AL686">IFERROR(INDEX(G686:R686,1,MATCH(Parametres!$B$3,G$1:R$1,0)-1)*IF(OR(F686="L",F686="S",F686="I"),-1,1),"")</f>
        <v>0</v>
      </c>
      <c r="AM686" s="794">
        <f t="shared" si="4"/>
        <v>0</v>
      </c>
      <c r="AN686" s="794">
        <f t="array" ref="AN686">INDEX(G686:R686,1,MATCH(Parametres!$B$3,G$1:R$1,0))*IF(OR(F686="L",F686="S",F686="I"),-1,1)</f>
        <v>0</v>
      </c>
      <c r="AO686" s="853" t="str">
        <f>+VLOOKUP($AJ686,Data_Validation!$A:$D,1,0)</f>
        <v>#N/A</v>
      </c>
      <c r="AP686" s="853" t="str">
        <f>+VLOOKUP($AJ686,Data_Validation!$A:$D,3,0)</f>
        <v>#N/A</v>
      </c>
      <c r="AQ686" s="853" t="str">
        <f>+VLOOKUP($AJ686,Data_Validation!$A:$D,4,0)</f>
        <v>#N/A</v>
      </c>
      <c r="AR686" s="853" t="s">
        <v>728</v>
      </c>
      <c r="AS686" s="853" t="str">
        <f>+VLOOKUP($AJ686,Data_Validation!$A:$E,5,0)</f>
        <v>#N/A</v>
      </c>
      <c r="AT686" s="794" t="str">
        <f t="shared" ref="AT686:AU686" si="1370">C686</f>
        <v>G44413</v>
      </c>
      <c r="AU686" s="854" t="str">
        <f t="shared" si="1370"/>
        <v>VTE -PRT REMPL CLE-NEUFS</v>
      </c>
      <c r="AV686" s="794">
        <f t="array" ref="AV686">IFERROR(INDEX(V686:AG686,1,MATCH(Parametres!$B$3,V$1:AG$1,0)-1)*IF(OR(C686="L",C686="S",C686="I"),-1,1),"")</f>
        <v>0</v>
      </c>
      <c r="AW686" s="794">
        <f t="shared" si="6"/>
        <v>0</v>
      </c>
      <c r="AX686" s="794">
        <f t="array" ref="AX686">INDEX(V686:AG686,1,MATCH(Parametres!$B$3,V$1:AG$1,0))*IF(OR(C686="L",C686="S",C686="I"),-1,1)</f>
        <v>0</v>
      </c>
      <c r="AY686" s="853" t="s">
        <v>772</v>
      </c>
      <c r="AZ686" s="853" t="str">
        <f>+VLOOKUP($AJ686,Data_Validation!$A:$E,5,0)</f>
        <v>#N/A</v>
      </c>
    </row>
    <row r="687" ht="15.0" customHeight="1">
      <c r="A687" s="849" t="s">
        <v>1239</v>
      </c>
      <c r="B687" s="849">
        <v>2026.0</v>
      </c>
      <c r="C687" s="849" t="s">
        <v>2601</v>
      </c>
      <c r="D687" s="849" t="s">
        <v>2602</v>
      </c>
      <c r="E687" s="849" t="s">
        <v>768</v>
      </c>
      <c r="F687" s="849" t="s">
        <v>2426</v>
      </c>
      <c r="G687" s="849">
        <v>0.0</v>
      </c>
      <c r="H687" s="849">
        <v>0.0</v>
      </c>
      <c r="I687" s="849">
        <v>0.0</v>
      </c>
      <c r="J687" s="849">
        <v>0.0</v>
      </c>
      <c r="K687" s="849">
        <v>0.0</v>
      </c>
      <c r="L687" s="849">
        <v>0.0</v>
      </c>
      <c r="M687" s="849">
        <v>0.0</v>
      </c>
      <c r="N687" s="849">
        <v>0.0</v>
      </c>
      <c r="O687" s="849">
        <v>0.0</v>
      </c>
      <c r="P687" s="849">
        <v>0.0</v>
      </c>
      <c r="Q687" s="849">
        <v>0.0</v>
      </c>
      <c r="R687" s="849">
        <v>0.0</v>
      </c>
      <c r="S687" s="849">
        <v>0.0</v>
      </c>
      <c r="T687" s="849">
        <v>0.0</v>
      </c>
      <c r="U687" s="849">
        <v>0.0</v>
      </c>
      <c r="V687" s="849">
        <v>0.0</v>
      </c>
      <c r="W687" s="849">
        <v>0.0</v>
      </c>
      <c r="X687" s="849">
        <v>0.0</v>
      </c>
      <c r="Y687" s="849">
        <v>0.0</v>
      </c>
      <c r="Z687" s="849">
        <v>0.0</v>
      </c>
      <c r="AA687" s="849">
        <v>0.0</v>
      </c>
      <c r="AB687" s="849">
        <v>0.0</v>
      </c>
      <c r="AC687" s="849">
        <v>0.0</v>
      </c>
      <c r="AD687" s="849">
        <v>0.0</v>
      </c>
      <c r="AE687" s="849">
        <v>0.0</v>
      </c>
      <c r="AF687" s="849">
        <v>0.0</v>
      </c>
      <c r="AG687" s="849">
        <v>0.0</v>
      </c>
      <c r="AH687" s="849">
        <v>0.0</v>
      </c>
      <c r="AI687" s="849">
        <v>0.0</v>
      </c>
      <c r="AJ687" s="794" t="str">
        <f t="shared" ref="AJ687:AK687" si="1371">C687</f>
        <v>G44500</v>
      </c>
      <c r="AK687" s="794" t="str">
        <f t="shared" si="1371"/>
        <v>VTES- AUTRES PROT NEUFS</v>
      </c>
      <c r="AL687" s="794">
        <f t="array" ref="AL687">IFERROR(INDEX(G687:R687,1,MATCH(Parametres!$B$3,G$1:R$1,0)-1)*IF(OR(F687="L",F687="S",F687="I"),-1,1),"")</f>
        <v>0</v>
      </c>
      <c r="AM687" s="794">
        <f t="shared" si="4"/>
        <v>0</v>
      </c>
      <c r="AN687" s="794">
        <f t="array" ref="AN687">INDEX(G687:R687,1,MATCH(Parametres!$B$3,G$1:R$1,0))*IF(OR(F687="L",F687="S",F687="I"),-1,1)</f>
        <v>0</v>
      </c>
      <c r="AO687" s="853" t="str">
        <f>+VLOOKUP($AJ687,Data_Validation!$A:$D,1,0)</f>
        <v>#N/A</v>
      </c>
      <c r="AP687" s="853" t="str">
        <f>+VLOOKUP($AJ687,Data_Validation!$A:$D,3,0)</f>
        <v>#N/A</v>
      </c>
      <c r="AQ687" s="853" t="str">
        <f>+VLOOKUP($AJ687,Data_Validation!$A:$D,4,0)</f>
        <v>#N/A</v>
      </c>
      <c r="AR687" s="853" t="s">
        <v>728</v>
      </c>
      <c r="AS687" s="853" t="str">
        <f>+VLOOKUP($AJ687,Data_Validation!$A:$E,5,0)</f>
        <v>#N/A</v>
      </c>
      <c r="AT687" s="794" t="str">
        <f t="shared" ref="AT687:AU687" si="1372">C687</f>
        <v>G44500</v>
      </c>
      <c r="AU687" s="854" t="str">
        <f t="shared" si="1372"/>
        <v>VTES- AUTRES PROT NEUFS</v>
      </c>
      <c r="AV687" s="794">
        <f t="array" ref="AV687">IFERROR(INDEX(V687:AG687,1,MATCH(Parametres!$B$3,V$1:AG$1,0)-1)*IF(OR(C687="L",C687="S",C687="I"),-1,1),"")</f>
        <v>0</v>
      </c>
      <c r="AW687" s="794">
        <f t="shared" si="6"/>
        <v>0</v>
      </c>
      <c r="AX687" s="794">
        <f t="array" ref="AX687">INDEX(V687:AG687,1,MATCH(Parametres!$B$3,V$1:AG$1,0))*IF(OR(C687="L",C687="S",C687="I"),-1,1)</f>
        <v>0</v>
      </c>
      <c r="AY687" s="853" t="s">
        <v>772</v>
      </c>
      <c r="AZ687" s="853" t="str">
        <f>+VLOOKUP($AJ687,Data_Validation!$A:$E,5,0)</f>
        <v>#N/A</v>
      </c>
    </row>
    <row r="688" ht="15.0" customHeight="1">
      <c r="A688" s="849" t="s">
        <v>1239</v>
      </c>
      <c r="B688" s="849">
        <v>2026.0</v>
      </c>
      <c r="C688" s="849" t="s">
        <v>2603</v>
      </c>
      <c r="D688" s="849" t="s">
        <v>2604</v>
      </c>
      <c r="E688" s="849" t="s">
        <v>768</v>
      </c>
      <c r="F688" s="849" t="s">
        <v>2426</v>
      </c>
      <c r="G688" s="849">
        <v>2298.0</v>
      </c>
      <c r="H688" s="849">
        <v>4623.0</v>
      </c>
      <c r="I688" s="849">
        <v>6521.0</v>
      </c>
      <c r="J688" s="849">
        <v>13070.0</v>
      </c>
      <c r="K688" s="849">
        <v>17998.0</v>
      </c>
      <c r="L688" s="849">
        <v>24187.0</v>
      </c>
      <c r="M688" s="849">
        <v>30936.0</v>
      </c>
      <c r="N688" s="849">
        <v>30936.0</v>
      </c>
      <c r="O688" s="849">
        <v>31386.0</v>
      </c>
      <c r="P688" s="849">
        <v>31386.0</v>
      </c>
      <c r="Q688" s="849">
        <v>0.0</v>
      </c>
      <c r="R688" s="849">
        <v>0.0</v>
      </c>
      <c r="S688" s="849">
        <v>3487.33</v>
      </c>
      <c r="T688" s="849">
        <v>3487.33</v>
      </c>
      <c r="U688" s="849">
        <v>0.0</v>
      </c>
      <c r="V688" s="849">
        <v>2.0</v>
      </c>
      <c r="W688" s="849">
        <v>4.0</v>
      </c>
      <c r="X688" s="849">
        <v>6.0</v>
      </c>
      <c r="Y688" s="849">
        <v>12.0</v>
      </c>
      <c r="Z688" s="849">
        <v>16.0</v>
      </c>
      <c r="AA688" s="849">
        <v>21.0</v>
      </c>
      <c r="AB688" s="849">
        <v>27.0</v>
      </c>
      <c r="AC688" s="849">
        <v>27.0</v>
      </c>
      <c r="AD688" s="849">
        <v>28.0</v>
      </c>
      <c r="AE688" s="849">
        <v>28.0</v>
      </c>
      <c r="AF688" s="849">
        <v>0.0</v>
      </c>
      <c r="AG688" s="849">
        <v>0.0</v>
      </c>
      <c r="AH688" s="849">
        <v>3.0</v>
      </c>
      <c r="AI688" s="849">
        <v>3.0</v>
      </c>
      <c r="AJ688" s="794" t="str">
        <f t="shared" ref="AJ688:AK688" si="1373">C688</f>
        <v>G44501</v>
      </c>
      <c r="AK688" s="794" t="str">
        <f t="shared" si="1373"/>
        <v>VTES-ANTIROUILLE</v>
      </c>
      <c r="AL688" s="794">
        <f t="array" ref="AL688">IFERROR(INDEX(G688:R688,1,MATCH(Parametres!$B$3,G$1:R$1,0)-1)*IF(OR(F688="L",F688="S",F688="I"),-1,1),"")</f>
        <v>-30936</v>
      </c>
      <c r="AM688" s="794">
        <f t="shared" si="4"/>
        <v>-450</v>
      </c>
      <c r="AN688" s="794">
        <f t="array" ref="AN688">INDEX(G688:R688,1,MATCH(Parametres!$B$3,G$1:R$1,0))*IF(OR(F688="L",F688="S",F688="I"),-1,1)</f>
        <v>-31386</v>
      </c>
      <c r="AO688" s="853" t="str">
        <f>+VLOOKUP($AJ688,Data_Validation!$A:$D,1,0)</f>
        <v>G44501</v>
      </c>
      <c r="AP688" s="853" t="str">
        <f>+VLOOKUP($AJ688,Data_Validation!$A:$D,3,0)</f>
        <v>Véhicules neufs</v>
      </c>
      <c r="AQ688" s="853" t="str">
        <f>+VLOOKUP($AJ688,Data_Validation!$A:$D,4,0)</f>
        <v>Rev. Autres</v>
      </c>
      <c r="AR688" s="853" t="s">
        <v>728</v>
      </c>
      <c r="AS688" s="853" t="str">
        <f>+VLOOKUP($AJ688,Data_Validation!$A:$E,5,0)</f>
        <v>Oui</v>
      </c>
      <c r="AT688" s="794" t="str">
        <f t="shared" ref="AT688:AU688" si="1374">C688</f>
        <v>G44501</v>
      </c>
      <c r="AU688" s="854" t="str">
        <f t="shared" si="1374"/>
        <v>VTES-ANTIROUILLE</v>
      </c>
      <c r="AV688" s="794">
        <f t="array" ref="AV688">IFERROR(INDEX(V688:AG688,1,MATCH(Parametres!$B$3,V$1:AG$1,0)-1)*IF(OR(C688="L",C688="S",C688="I"),-1,1),"")</f>
        <v>27</v>
      </c>
      <c r="AW688" s="794">
        <f t="shared" si="6"/>
        <v>1</v>
      </c>
      <c r="AX688" s="794">
        <f t="array" ref="AX688">INDEX(V688:AG688,1,MATCH(Parametres!$B$3,V$1:AG$1,0))*IF(OR(C688="L",C688="S",C688="I"),-1,1)</f>
        <v>28</v>
      </c>
      <c r="AY688" s="853" t="s">
        <v>772</v>
      </c>
      <c r="AZ688" s="853" t="str">
        <f>+VLOOKUP($AJ688,Data_Validation!$A:$E,5,0)</f>
        <v>Oui</v>
      </c>
    </row>
    <row r="689" ht="15.0" customHeight="1">
      <c r="A689" s="849" t="s">
        <v>1239</v>
      </c>
      <c r="B689" s="849">
        <v>2026.0</v>
      </c>
      <c r="C689" s="849" t="s">
        <v>2605</v>
      </c>
      <c r="D689" s="849" t="s">
        <v>2606</v>
      </c>
      <c r="E689" s="849" t="s">
        <v>768</v>
      </c>
      <c r="F689" s="849" t="s">
        <v>2426</v>
      </c>
      <c r="G689" s="849">
        <v>0.0</v>
      </c>
      <c r="H689" s="849">
        <v>1249.0</v>
      </c>
      <c r="I689" s="849">
        <v>3403.0</v>
      </c>
      <c r="J689" s="849">
        <v>8652.0</v>
      </c>
      <c r="K689" s="849">
        <v>11822.0</v>
      </c>
      <c r="L689" s="849">
        <v>13092.0</v>
      </c>
      <c r="M689" s="849">
        <v>18403.0</v>
      </c>
      <c r="N689" s="849">
        <v>21121.0</v>
      </c>
      <c r="O689" s="849">
        <v>26311.0</v>
      </c>
      <c r="P689" s="849">
        <v>26311.0</v>
      </c>
      <c r="Q689" s="849">
        <v>0.0</v>
      </c>
      <c r="R689" s="849">
        <v>0.0</v>
      </c>
      <c r="S689" s="849">
        <v>2923.44</v>
      </c>
      <c r="T689" s="849">
        <v>2923.44</v>
      </c>
      <c r="U689" s="849">
        <v>0.0</v>
      </c>
      <c r="V689" s="849">
        <v>0.0</v>
      </c>
      <c r="W689" s="849">
        <v>2.0</v>
      </c>
      <c r="X689" s="849">
        <v>7.0</v>
      </c>
      <c r="Y689" s="849">
        <v>16.0</v>
      </c>
      <c r="Z689" s="849">
        <v>21.0</v>
      </c>
      <c r="AA689" s="849">
        <v>23.0</v>
      </c>
      <c r="AB689" s="849">
        <v>29.0</v>
      </c>
      <c r="AC689" s="849">
        <v>33.0</v>
      </c>
      <c r="AD689" s="849">
        <v>43.0</v>
      </c>
      <c r="AE689" s="849">
        <v>43.0</v>
      </c>
      <c r="AF689" s="849">
        <v>0.0</v>
      </c>
      <c r="AG689" s="849">
        <v>0.0</v>
      </c>
      <c r="AH689" s="849">
        <v>5.0</v>
      </c>
      <c r="AI689" s="849">
        <v>5.0</v>
      </c>
      <c r="AJ689" s="794" t="str">
        <f t="shared" ref="AJ689:AK689" si="1375">C689</f>
        <v>G44503</v>
      </c>
      <c r="AK689" s="794" t="str">
        <f t="shared" si="1375"/>
        <v>V.TEINTÉE-PEINTURE-TISSUS</v>
      </c>
      <c r="AL689" s="794">
        <f t="array" ref="AL689">IFERROR(INDEX(G689:R689,1,MATCH(Parametres!$B$3,G$1:R$1,0)-1)*IF(OR(F689="L",F689="S",F689="I"),-1,1),"")</f>
        <v>-21121</v>
      </c>
      <c r="AM689" s="794">
        <f t="shared" si="4"/>
        <v>-5190</v>
      </c>
      <c r="AN689" s="794">
        <f t="array" ref="AN689">INDEX(G689:R689,1,MATCH(Parametres!$B$3,G$1:R$1,0))*IF(OR(F689="L",F689="S",F689="I"),-1,1)</f>
        <v>-26311</v>
      </c>
      <c r="AO689" s="853" t="str">
        <f>+VLOOKUP($AJ689,Data_Validation!$A:$D,1,0)</f>
        <v>G44503</v>
      </c>
      <c r="AP689" s="853" t="str">
        <f>+VLOOKUP($AJ689,Data_Validation!$A:$D,3,0)</f>
        <v>Véhicules neufs</v>
      </c>
      <c r="AQ689" s="853" t="str">
        <f>+VLOOKUP($AJ689,Data_Validation!$A:$D,4,0)</f>
        <v>Rev. Autres</v>
      </c>
      <c r="AR689" s="853" t="s">
        <v>728</v>
      </c>
      <c r="AS689" s="853" t="str">
        <f>+VLOOKUP($AJ689,Data_Validation!$A:$E,5,0)</f>
        <v>Oui</v>
      </c>
      <c r="AT689" s="794" t="str">
        <f t="shared" ref="AT689:AU689" si="1376">C689</f>
        <v>G44503</v>
      </c>
      <c r="AU689" s="854" t="str">
        <f t="shared" si="1376"/>
        <v>V.TEINTÉE-PEINTURE-TISSUS</v>
      </c>
      <c r="AV689" s="794">
        <f t="array" ref="AV689">IFERROR(INDEX(V689:AG689,1,MATCH(Parametres!$B$3,V$1:AG$1,0)-1)*IF(OR(C689="L",C689="S",C689="I"),-1,1),"")</f>
        <v>33</v>
      </c>
      <c r="AW689" s="794">
        <f t="shared" si="6"/>
        <v>10</v>
      </c>
      <c r="AX689" s="794">
        <f t="array" ref="AX689">INDEX(V689:AG689,1,MATCH(Parametres!$B$3,V$1:AG$1,0))*IF(OR(C689="L",C689="S",C689="I"),-1,1)</f>
        <v>43</v>
      </c>
      <c r="AY689" s="853" t="s">
        <v>772</v>
      </c>
      <c r="AZ689" s="853" t="str">
        <f>+VLOOKUP($AJ689,Data_Validation!$A:$E,5,0)</f>
        <v>Oui</v>
      </c>
    </row>
    <row r="690" ht="15.0" customHeight="1">
      <c r="A690" s="849" t="s">
        <v>1239</v>
      </c>
      <c r="B690" s="849">
        <v>2026.0</v>
      </c>
      <c r="C690" s="849" t="s">
        <v>2607</v>
      </c>
      <c r="D690" s="849" t="s">
        <v>2608</v>
      </c>
      <c r="E690" s="849" t="s">
        <v>768</v>
      </c>
      <c r="F690" s="849" t="s">
        <v>2426</v>
      </c>
      <c r="G690" s="849">
        <v>0.0</v>
      </c>
      <c r="H690" s="849">
        <v>4605.0</v>
      </c>
      <c r="I690" s="849">
        <v>7706.34</v>
      </c>
      <c r="J690" s="849">
        <v>10823.34</v>
      </c>
      <c r="K690" s="849">
        <v>10823.34</v>
      </c>
      <c r="L690" s="849">
        <v>10823.34</v>
      </c>
      <c r="M690" s="849">
        <v>14163.34</v>
      </c>
      <c r="N690" s="849">
        <v>14163.34</v>
      </c>
      <c r="O690" s="849">
        <v>16074.34</v>
      </c>
      <c r="P690" s="849">
        <v>16074.34</v>
      </c>
      <c r="Q690" s="849">
        <v>0.0</v>
      </c>
      <c r="R690" s="849">
        <v>0.0</v>
      </c>
      <c r="S690" s="849">
        <v>1786.04</v>
      </c>
      <c r="T690" s="849">
        <v>1786.04</v>
      </c>
      <c r="U690" s="849">
        <v>0.0</v>
      </c>
      <c r="V690" s="849">
        <v>0.0</v>
      </c>
      <c r="W690" s="849">
        <v>2.0</v>
      </c>
      <c r="X690" s="849">
        <v>4.0</v>
      </c>
      <c r="Y690" s="849">
        <v>5.0</v>
      </c>
      <c r="Z690" s="849">
        <v>5.0</v>
      </c>
      <c r="AA690" s="849">
        <v>5.0</v>
      </c>
      <c r="AB690" s="849">
        <v>6.0</v>
      </c>
      <c r="AC690" s="849">
        <v>6.0</v>
      </c>
      <c r="AD690" s="849">
        <v>7.0</v>
      </c>
      <c r="AE690" s="849">
        <v>7.0</v>
      </c>
      <c r="AF690" s="849">
        <v>0.0</v>
      </c>
      <c r="AG690" s="849">
        <v>0.0</v>
      </c>
      <c r="AH690" s="849">
        <v>1.0</v>
      </c>
      <c r="AI690" s="849">
        <v>1.0</v>
      </c>
      <c r="AJ690" s="794" t="str">
        <f t="shared" ref="AJ690:AK690" si="1377">C690</f>
        <v>G44504</v>
      </c>
      <c r="AK690" s="794" t="str">
        <f t="shared" si="1377"/>
        <v>VTES-ASS. VALEUR REMPL</v>
      </c>
      <c r="AL690" s="794">
        <f t="array" ref="AL690">IFERROR(INDEX(G690:R690,1,MATCH(Parametres!$B$3,G$1:R$1,0)-1)*IF(OR(F690="L",F690="S",F690="I"),-1,1),"")</f>
        <v>-14163.34</v>
      </c>
      <c r="AM690" s="794">
        <f t="shared" si="4"/>
        <v>-1911</v>
      </c>
      <c r="AN690" s="794">
        <f t="array" ref="AN690">INDEX(G690:R690,1,MATCH(Parametres!$B$3,G$1:R$1,0))*IF(OR(F690="L",F690="S",F690="I"),-1,1)</f>
        <v>-16074.34</v>
      </c>
      <c r="AO690" s="853" t="str">
        <f>+VLOOKUP($AJ690,Data_Validation!$A:$D,1,0)</f>
        <v>G44504</v>
      </c>
      <c r="AP690" s="853" t="str">
        <f>+VLOOKUP($AJ690,Data_Validation!$A:$D,3,0)</f>
        <v>Véhicules neufs</v>
      </c>
      <c r="AQ690" s="853" t="str">
        <f>+VLOOKUP($AJ690,Data_Validation!$A:$D,4,0)</f>
        <v>Rev. Protections</v>
      </c>
      <c r="AR690" s="853" t="s">
        <v>728</v>
      </c>
      <c r="AS690" s="853" t="str">
        <f>+VLOOKUP($AJ690,Data_Validation!$A:$E,5,0)</f>
        <v>Oui</v>
      </c>
      <c r="AT690" s="794" t="str">
        <f t="shared" ref="AT690:AU690" si="1378">C690</f>
        <v>G44504</v>
      </c>
      <c r="AU690" s="854" t="str">
        <f t="shared" si="1378"/>
        <v>VTES-ASS. VALEUR REMPL</v>
      </c>
      <c r="AV690" s="794">
        <f t="array" ref="AV690">IFERROR(INDEX(V690:AG690,1,MATCH(Parametres!$B$3,V$1:AG$1,0)-1)*IF(OR(C690="L",C690="S",C690="I"),-1,1),"")</f>
        <v>6</v>
      </c>
      <c r="AW690" s="794">
        <f t="shared" si="6"/>
        <v>1</v>
      </c>
      <c r="AX690" s="794">
        <f t="array" ref="AX690">INDEX(V690:AG690,1,MATCH(Parametres!$B$3,V$1:AG$1,0))*IF(OR(C690="L",C690="S",C690="I"),-1,1)</f>
        <v>7</v>
      </c>
      <c r="AY690" s="853" t="s">
        <v>772</v>
      </c>
      <c r="AZ690" s="853" t="str">
        <f>+VLOOKUP($AJ690,Data_Validation!$A:$E,5,0)</f>
        <v>Oui</v>
      </c>
    </row>
    <row r="691" ht="15.0" customHeight="1">
      <c r="A691" s="849" t="s">
        <v>1239</v>
      </c>
      <c r="B691" s="849">
        <v>2026.0</v>
      </c>
      <c r="C691" s="849" t="s">
        <v>2609</v>
      </c>
      <c r="D691" s="849" t="s">
        <v>2610</v>
      </c>
      <c r="E691" s="849" t="s">
        <v>768</v>
      </c>
      <c r="F691" s="849" t="s">
        <v>2426</v>
      </c>
      <c r="G691" s="849">
        <v>3025.0</v>
      </c>
      <c r="H691" s="849">
        <v>6180.0</v>
      </c>
      <c r="I691" s="849">
        <v>10433.0</v>
      </c>
      <c r="J691" s="849">
        <v>14488.0</v>
      </c>
      <c r="K691" s="849">
        <v>16883.0</v>
      </c>
      <c r="L691" s="849">
        <v>18779.0</v>
      </c>
      <c r="M691" s="849">
        <v>23769.0</v>
      </c>
      <c r="N691" s="849">
        <v>27761.0</v>
      </c>
      <c r="O691" s="849">
        <v>28019.0</v>
      </c>
      <c r="P691" s="849">
        <v>28019.0</v>
      </c>
      <c r="Q691" s="849">
        <v>0.0</v>
      </c>
      <c r="R691" s="849">
        <v>0.0</v>
      </c>
      <c r="S691" s="849">
        <v>3113.22</v>
      </c>
      <c r="T691" s="849">
        <v>3113.22</v>
      </c>
      <c r="U691" s="849">
        <v>0.0</v>
      </c>
      <c r="V691" s="849">
        <v>6.0</v>
      </c>
      <c r="W691" s="849">
        <v>13.0</v>
      </c>
      <c r="X691" s="849">
        <v>22.0</v>
      </c>
      <c r="Y691" s="849">
        <v>29.0</v>
      </c>
      <c r="Z691" s="849">
        <v>34.0</v>
      </c>
      <c r="AA691" s="849">
        <v>38.0</v>
      </c>
      <c r="AB691" s="849">
        <v>48.0</v>
      </c>
      <c r="AC691" s="849">
        <v>56.0</v>
      </c>
      <c r="AD691" s="849">
        <v>57.0</v>
      </c>
      <c r="AE691" s="849">
        <v>57.0</v>
      </c>
      <c r="AF691" s="849">
        <v>0.0</v>
      </c>
      <c r="AG691" s="849">
        <v>0.0</v>
      </c>
      <c r="AH691" s="849">
        <v>6.0</v>
      </c>
      <c r="AI691" s="849">
        <v>6.0</v>
      </c>
      <c r="AJ691" s="794" t="str">
        <f t="shared" ref="AJ691:AK691" si="1379">C691</f>
        <v>G44505</v>
      </c>
      <c r="AK691" s="794" t="str">
        <f t="shared" si="1379"/>
        <v>VENTES-ANTIVOL &amp; TAG</v>
      </c>
      <c r="AL691" s="794">
        <f t="array" ref="AL691">IFERROR(INDEX(G691:R691,1,MATCH(Parametres!$B$3,G$1:R$1,0)-1)*IF(OR(F691="L",F691="S",F691="I"),-1,1),"")</f>
        <v>-27761</v>
      </c>
      <c r="AM691" s="794">
        <f t="shared" si="4"/>
        <v>-258</v>
      </c>
      <c r="AN691" s="794">
        <f t="array" ref="AN691">INDEX(G691:R691,1,MATCH(Parametres!$B$3,G$1:R$1,0))*IF(OR(F691="L",F691="S",F691="I"),-1,1)</f>
        <v>-28019</v>
      </c>
      <c r="AO691" s="853" t="str">
        <f>+VLOOKUP($AJ691,Data_Validation!$A:$D,1,0)</f>
        <v>G44505</v>
      </c>
      <c r="AP691" s="853" t="str">
        <f>+VLOOKUP($AJ691,Data_Validation!$A:$D,3,0)</f>
        <v>Véhicules neufs</v>
      </c>
      <c r="AQ691" s="853" t="str">
        <f>+VLOOKUP($AJ691,Data_Validation!$A:$D,4,0)</f>
        <v>Rev. Autres</v>
      </c>
      <c r="AR691" s="853" t="s">
        <v>728</v>
      </c>
      <c r="AS691" s="853" t="str">
        <f>+VLOOKUP($AJ691,Data_Validation!$A:$E,5,0)</f>
        <v>Oui</v>
      </c>
      <c r="AT691" s="794" t="str">
        <f t="shared" ref="AT691:AU691" si="1380">C691</f>
        <v>G44505</v>
      </c>
      <c r="AU691" s="854" t="str">
        <f t="shared" si="1380"/>
        <v>VENTES-ANTIVOL &amp; TAG</v>
      </c>
      <c r="AV691" s="794">
        <f t="array" ref="AV691">IFERROR(INDEX(V691:AG691,1,MATCH(Parametres!$B$3,V$1:AG$1,0)-1)*IF(OR(C691="L",C691="S",C691="I"),-1,1),"")</f>
        <v>56</v>
      </c>
      <c r="AW691" s="794">
        <f t="shared" si="6"/>
        <v>1</v>
      </c>
      <c r="AX691" s="794">
        <f t="array" ref="AX691">INDEX(V691:AG691,1,MATCH(Parametres!$B$3,V$1:AG$1,0))*IF(OR(C691="L",C691="S",C691="I"),-1,1)</f>
        <v>57</v>
      </c>
      <c r="AY691" s="853" t="s">
        <v>772</v>
      </c>
      <c r="AZ691" s="853" t="str">
        <f>+VLOOKUP($AJ691,Data_Validation!$A:$E,5,0)</f>
        <v>Oui</v>
      </c>
    </row>
    <row r="692" ht="15.0" customHeight="1">
      <c r="A692" s="849" t="s">
        <v>1239</v>
      </c>
      <c r="B692" s="849">
        <v>2026.0</v>
      </c>
      <c r="C692" s="849" t="s">
        <v>2611</v>
      </c>
      <c r="D692" s="849" t="s">
        <v>2612</v>
      </c>
      <c r="E692" s="849" t="s">
        <v>2426</v>
      </c>
      <c r="F692" s="849" t="s">
        <v>2426</v>
      </c>
      <c r="G692" s="849">
        <v>0.0</v>
      </c>
      <c r="H692" s="849">
        <v>0.0</v>
      </c>
      <c r="I692" s="849">
        <v>0.0</v>
      </c>
      <c r="J692" s="849">
        <v>0.0</v>
      </c>
      <c r="K692" s="849">
        <v>0.0</v>
      </c>
      <c r="L692" s="849">
        <v>0.0</v>
      </c>
      <c r="M692" s="849">
        <v>0.0</v>
      </c>
      <c r="N692" s="849">
        <v>0.0</v>
      </c>
      <c r="O692" s="849">
        <v>0.0</v>
      </c>
      <c r="P692" s="849">
        <v>0.0</v>
      </c>
      <c r="Q692" s="849">
        <v>0.0</v>
      </c>
      <c r="R692" s="849">
        <v>0.0</v>
      </c>
      <c r="S692" s="849">
        <v>0.0</v>
      </c>
      <c r="T692" s="849">
        <v>0.0</v>
      </c>
      <c r="U692" s="849">
        <v>0.0</v>
      </c>
      <c r="V692" s="849">
        <v>0.0</v>
      </c>
      <c r="W692" s="849">
        <v>0.0</v>
      </c>
      <c r="X692" s="849">
        <v>0.0</v>
      </c>
      <c r="Y692" s="849">
        <v>0.0</v>
      </c>
      <c r="Z692" s="849">
        <v>0.0</v>
      </c>
      <c r="AA692" s="849">
        <v>0.0</v>
      </c>
      <c r="AB692" s="849">
        <v>0.0</v>
      </c>
      <c r="AC692" s="849">
        <v>0.0</v>
      </c>
      <c r="AD692" s="849">
        <v>0.0</v>
      </c>
      <c r="AE692" s="849">
        <v>0.0</v>
      </c>
      <c r="AF692" s="849">
        <v>0.0</v>
      </c>
      <c r="AG692" s="849">
        <v>0.0</v>
      </c>
      <c r="AH692" s="849">
        <v>0.0</v>
      </c>
      <c r="AI692" s="849">
        <v>0.0</v>
      </c>
      <c r="AJ692" s="794" t="str">
        <f t="shared" ref="AJ692:AK692" si="1381">C692</f>
        <v>G44600</v>
      </c>
      <c r="AK692" s="794" t="str">
        <f t="shared" si="1381"/>
        <v>VTES-AUTOS OCC. DET.OPT.</v>
      </c>
      <c r="AL692" s="794">
        <f t="array" ref="AL692">IFERROR(INDEX(G692:R692,1,MATCH(Parametres!$B$3,G$1:R$1,0)-1)*IF(OR(F692="L",F692="S",F692="I"),-1,1),"")</f>
        <v>0</v>
      </c>
      <c r="AM692" s="794">
        <f t="shared" si="4"/>
        <v>0</v>
      </c>
      <c r="AN692" s="794">
        <f t="array" ref="AN692">INDEX(G692:R692,1,MATCH(Parametres!$B$3,G$1:R$1,0))*IF(OR(F692="L",F692="S",F692="I"),-1,1)</f>
        <v>0</v>
      </c>
      <c r="AO692" s="853" t="str">
        <f>+VLOOKUP($AJ692,Data_Validation!$A:$D,1,0)</f>
        <v>G44600</v>
      </c>
      <c r="AP692" s="853" t="str">
        <f>+VLOOKUP($AJ692,Data_Validation!$A:$D,3,0)</f>
        <v>Véhicules usagés</v>
      </c>
      <c r="AQ692" s="853" t="str">
        <f>+VLOOKUP($AJ692,Data_Validation!$A:$D,4,0)</f>
        <v>Certifié</v>
      </c>
      <c r="AR692" s="853" t="s">
        <v>728</v>
      </c>
      <c r="AS692" s="853" t="str">
        <f>+VLOOKUP($AJ692,Data_Validation!$A:$E,5,0)</f>
        <v>Oui</v>
      </c>
      <c r="AT692" s="794" t="str">
        <f t="shared" ref="AT692:AU692" si="1382">C692</f>
        <v>G44600</v>
      </c>
      <c r="AU692" s="854" t="str">
        <f t="shared" si="1382"/>
        <v>VTES-AUTOS OCC. DET.OPT.</v>
      </c>
      <c r="AV692" s="794">
        <f t="array" ref="AV692">IFERROR(INDEX(V692:AG692,1,MATCH(Parametres!$B$3,V$1:AG$1,0)-1)*IF(OR(C692="L",C692="S",C692="I"),-1,1),"")</f>
        <v>0</v>
      </c>
      <c r="AW692" s="794">
        <f t="shared" si="6"/>
        <v>0</v>
      </c>
      <c r="AX692" s="794">
        <f t="array" ref="AX692">INDEX(V692:AG692,1,MATCH(Parametres!$B$3,V$1:AG$1,0))*IF(OR(C692="L",C692="S",C692="I"),-1,1)</f>
        <v>0</v>
      </c>
      <c r="AY692" s="853" t="s">
        <v>772</v>
      </c>
      <c r="AZ692" s="853" t="str">
        <f>+VLOOKUP($AJ692,Data_Validation!$A:$E,5,0)</f>
        <v>Oui</v>
      </c>
    </row>
    <row r="693" ht="15.0" customHeight="1">
      <c r="A693" s="849" t="s">
        <v>1239</v>
      </c>
      <c r="B693" s="849">
        <v>2026.0</v>
      </c>
      <c r="C693" s="849" t="s">
        <v>2613</v>
      </c>
      <c r="D693" s="849" t="s">
        <v>2614</v>
      </c>
      <c r="E693" s="849" t="s">
        <v>2426</v>
      </c>
      <c r="F693" s="849" t="s">
        <v>2426</v>
      </c>
      <c r="G693" s="849">
        <v>94496.0</v>
      </c>
      <c r="H693" s="849">
        <v>154194.0</v>
      </c>
      <c r="I693" s="849">
        <v>200681.0</v>
      </c>
      <c r="J693" s="849">
        <v>304926.0</v>
      </c>
      <c r="K693" s="849">
        <v>408239.48</v>
      </c>
      <c r="L693" s="849">
        <v>495214.48</v>
      </c>
      <c r="M693" s="849">
        <v>643307.48</v>
      </c>
      <c r="N693" s="849">
        <v>657154.48</v>
      </c>
      <c r="O693" s="849">
        <v>734897.48</v>
      </c>
      <c r="P693" s="849">
        <v>734897.48</v>
      </c>
      <c r="Q693" s="849">
        <v>0.0</v>
      </c>
      <c r="R693" s="849">
        <v>0.0</v>
      </c>
      <c r="S693" s="849">
        <v>81655.28</v>
      </c>
      <c r="T693" s="849">
        <v>81655.28</v>
      </c>
      <c r="U693" s="849">
        <v>0.0</v>
      </c>
      <c r="V693" s="849">
        <v>2.0</v>
      </c>
      <c r="W693" s="849">
        <v>4.0</v>
      </c>
      <c r="X693" s="849">
        <v>6.0</v>
      </c>
      <c r="Y693" s="849">
        <v>8.0</v>
      </c>
      <c r="Z693" s="849">
        <v>14.0</v>
      </c>
      <c r="AA693" s="849">
        <v>15.0</v>
      </c>
      <c r="AB693" s="849">
        <v>20.0</v>
      </c>
      <c r="AC693" s="849">
        <v>21.0</v>
      </c>
      <c r="AD693" s="849">
        <v>27.0</v>
      </c>
      <c r="AE693" s="849">
        <v>27.0</v>
      </c>
      <c r="AF693" s="849">
        <v>0.0</v>
      </c>
      <c r="AG693" s="849">
        <v>0.0</v>
      </c>
      <c r="AH693" s="849">
        <v>3.0</v>
      </c>
      <c r="AI693" s="849">
        <v>3.0</v>
      </c>
      <c r="AJ693" s="794" t="str">
        <f t="shared" ref="AJ693:AK693" si="1383">C693</f>
        <v>G44601</v>
      </c>
      <c r="AK693" s="794" t="str">
        <f t="shared" si="1383"/>
        <v>VTES-VOIT.OCC.GM N-CERT</v>
      </c>
      <c r="AL693" s="794">
        <f t="array" ref="AL693">IFERROR(INDEX(G693:R693,1,MATCH(Parametres!$B$3,G$1:R$1,0)-1)*IF(OR(F693="L",F693="S",F693="I"),-1,1),"")</f>
        <v>-657154.48</v>
      </c>
      <c r="AM693" s="794">
        <f t="shared" si="4"/>
        <v>-77743</v>
      </c>
      <c r="AN693" s="794">
        <f t="array" ref="AN693">INDEX(G693:R693,1,MATCH(Parametres!$B$3,G$1:R$1,0))*IF(OR(F693="L",F693="S",F693="I"),-1,1)</f>
        <v>-734897.48</v>
      </c>
      <c r="AO693" s="853" t="str">
        <f>+VLOOKUP($AJ693,Data_Validation!$A:$D,1,0)</f>
        <v>G44601</v>
      </c>
      <c r="AP693" s="853" t="str">
        <f>+VLOOKUP($AJ693,Data_Validation!$A:$D,3,0)</f>
        <v>Véhicules usagés</v>
      </c>
      <c r="AQ693" s="853" t="str">
        <f>+VLOOKUP($AJ693,Data_Validation!$A:$D,4,0)</f>
        <v>Non Certifié</v>
      </c>
      <c r="AR693" s="853" t="s">
        <v>728</v>
      </c>
      <c r="AS693" s="853" t="str">
        <f>+VLOOKUP($AJ693,Data_Validation!$A:$E,5,0)</f>
        <v>Oui</v>
      </c>
      <c r="AT693" s="794" t="str">
        <f t="shared" ref="AT693:AU693" si="1384">C693</f>
        <v>G44601</v>
      </c>
      <c r="AU693" s="854" t="str">
        <f t="shared" si="1384"/>
        <v>VTES-VOIT.OCC.GM N-CERT</v>
      </c>
      <c r="AV693" s="794">
        <f t="array" ref="AV693">IFERROR(INDEX(V693:AG693,1,MATCH(Parametres!$B$3,V$1:AG$1,0)-1)*IF(OR(C693="L",C693="S",C693="I"),-1,1),"")</f>
        <v>21</v>
      </c>
      <c r="AW693" s="794">
        <f t="shared" si="6"/>
        <v>6</v>
      </c>
      <c r="AX693" s="794">
        <f t="array" ref="AX693">INDEX(V693:AG693,1,MATCH(Parametres!$B$3,V$1:AG$1,0))*IF(OR(C693="L",C693="S",C693="I"),-1,1)</f>
        <v>27</v>
      </c>
      <c r="AY693" s="853" t="s">
        <v>772</v>
      </c>
      <c r="AZ693" s="853" t="str">
        <f>+VLOOKUP($AJ693,Data_Validation!$A:$E,5,0)</f>
        <v>Oui</v>
      </c>
    </row>
    <row r="694" ht="15.0" customHeight="1">
      <c r="A694" s="849" t="s">
        <v>1239</v>
      </c>
      <c r="B694" s="849">
        <v>2026.0</v>
      </c>
      <c r="C694" s="849" t="s">
        <v>2615</v>
      </c>
      <c r="D694" s="849" t="s">
        <v>2616</v>
      </c>
      <c r="E694" s="849" t="s">
        <v>2426</v>
      </c>
      <c r="F694" s="849" t="s">
        <v>2426</v>
      </c>
      <c r="G694" s="849">
        <v>0.0</v>
      </c>
      <c r="H694" s="849">
        <v>0.0</v>
      </c>
      <c r="I694" s="849">
        <v>0.0</v>
      </c>
      <c r="J694" s="849">
        <v>0.0</v>
      </c>
      <c r="K694" s="849">
        <v>0.0</v>
      </c>
      <c r="L694" s="849">
        <v>0.0</v>
      </c>
      <c r="M694" s="849">
        <v>0.0</v>
      </c>
      <c r="N694" s="849">
        <v>0.0</v>
      </c>
      <c r="O694" s="849">
        <v>0.0</v>
      </c>
      <c r="P694" s="849">
        <v>0.0</v>
      </c>
      <c r="Q694" s="849">
        <v>0.0</v>
      </c>
      <c r="R694" s="849">
        <v>0.0</v>
      </c>
      <c r="S694" s="849">
        <v>0.0</v>
      </c>
      <c r="T694" s="849">
        <v>0.0</v>
      </c>
      <c r="U694" s="849">
        <v>0.0</v>
      </c>
      <c r="V694" s="849">
        <v>0.0</v>
      </c>
      <c r="W694" s="849">
        <v>0.0</v>
      </c>
      <c r="X694" s="849">
        <v>0.0</v>
      </c>
      <c r="Y694" s="849">
        <v>0.0</v>
      </c>
      <c r="Z694" s="849">
        <v>0.0</v>
      </c>
      <c r="AA694" s="849">
        <v>0.0</v>
      </c>
      <c r="AB694" s="849">
        <v>0.0</v>
      </c>
      <c r="AC694" s="849">
        <v>0.0</v>
      </c>
      <c r="AD694" s="849">
        <v>0.0</v>
      </c>
      <c r="AE694" s="849">
        <v>0.0</v>
      </c>
      <c r="AF694" s="849">
        <v>0.0</v>
      </c>
      <c r="AG694" s="849">
        <v>0.0</v>
      </c>
      <c r="AH694" s="849">
        <v>0.0</v>
      </c>
      <c r="AI694" s="849">
        <v>0.0</v>
      </c>
      <c r="AJ694" s="794" t="str">
        <f t="shared" ref="AJ694:AK694" si="1385">C694</f>
        <v>G44602</v>
      </c>
      <c r="AK694" s="794" t="str">
        <f t="shared" si="1385"/>
        <v>VTES-AUTO AUTRE MARQ</v>
      </c>
      <c r="AL694" s="794">
        <f t="array" ref="AL694">IFERROR(INDEX(G694:R694,1,MATCH(Parametres!$B$3,G$1:R$1,0)-1)*IF(OR(F694="L",F694="S",F694="I"),-1,1),"")</f>
        <v>0</v>
      </c>
      <c r="AM694" s="794">
        <f t="shared" si="4"/>
        <v>0</v>
      </c>
      <c r="AN694" s="794">
        <f t="array" ref="AN694">INDEX(G694:R694,1,MATCH(Parametres!$B$3,G$1:R$1,0))*IF(OR(F694="L",F694="S",F694="I"),-1,1)</f>
        <v>0</v>
      </c>
      <c r="AO694" s="853" t="str">
        <f>+VLOOKUP($AJ694,Data_Validation!$A:$D,1,0)</f>
        <v>G44602</v>
      </c>
      <c r="AP694" s="853" t="str">
        <f>+VLOOKUP($AJ694,Data_Validation!$A:$D,3,0)</f>
        <v>Véhicules usagés</v>
      </c>
      <c r="AQ694" s="853" t="str">
        <f>+VLOOKUP($AJ694,Data_Validation!$A:$D,4,0)</f>
        <v>Autres Marques</v>
      </c>
      <c r="AR694" s="853" t="s">
        <v>728</v>
      </c>
      <c r="AS694" s="853" t="str">
        <f>+VLOOKUP($AJ694,Data_Validation!$A:$E,5,0)</f>
        <v/>
      </c>
      <c r="AT694" s="794" t="str">
        <f t="shared" ref="AT694:AU694" si="1386">C694</f>
        <v>G44602</v>
      </c>
      <c r="AU694" s="854" t="str">
        <f t="shared" si="1386"/>
        <v>VTES-AUTO AUTRE MARQ</v>
      </c>
      <c r="AV694" s="794">
        <f t="array" ref="AV694">IFERROR(INDEX(V694:AG694,1,MATCH(Parametres!$B$3,V$1:AG$1,0)-1)*IF(OR(C694="L",C694="S",C694="I"),-1,1),"")</f>
        <v>0</v>
      </c>
      <c r="AW694" s="794">
        <f t="shared" si="6"/>
        <v>0</v>
      </c>
      <c r="AX694" s="794">
        <f t="array" ref="AX694">INDEX(V694:AG694,1,MATCH(Parametres!$B$3,V$1:AG$1,0))*IF(OR(C694="L",C694="S",C694="I"),-1,1)</f>
        <v>0</v>
      </c>
      <c r="AY694" s="853" t="s">
        <v>772</v>
      </c>
      <c r="AZ694" s="853" t="str">
        <f>+VLOOKUP($AJ694,Data_Validation!$A:$E,5,0)</f>
        <v/>
      </c>
    </row>
    <row r="695" ht="15.0" customHeight="1">
      <c r="A695" s="849" t="s">
        <v>1239</v>
      </c>
      <c r="B695" s="849">
        <v>2026.0</v>
      </c>
      <c r="C695" s="849" t="s">
        <v>2617</v>
      </c>
      <c r="D695" s="849" t="s">
        <v>2618</v>
      </c>
      <c r="E695" s="849" t="s">
        <v>2426</v>
      </c>
      <c r="F695" s="849" t="s">
        <v>2426</v>
      </c>
      <c r="G695" s="849">
        <v>0.0</v>
      </c>
      <c r="H695" s="849">
        <v>0.0</v>
      </c>
      <c r="I695" s="849">
        <v>0.0</v>
      </c>
      <c r="J695" s="849">
        <v>0.0</v>
      </c>
      <c r="K695" s="849">
        <v>0.0</v>
      </c>
      <c r="L695" s="849">
        <v>7217.34</v>
      </c>
      <c r="M695" s="849">
        <v>7217.34</v>
      </c>
      <c r="N695" s="849">
        <v>7217.34</v>
      </c>
      <c r="O695" s="849">
        <v>7217.34</v>
      </c>
      <c r="P695" s="849">
        <v>7217.34</v>
      </c>
      <c r="Q695" s="849">
        <v>0.0</v>
      </c>
      <c r="R695" s="849">
        <v>0.0</v>
      </c>
      <c r="S695" s="849">
        <v>801.93</v>
      </c>
      <c r="T695" s="849">
        <v>801.93</v>
      </c>
      <c r="U695" s="849">
        <v>0.0</v>
      </c>
      <c r="V695" s="849">
        <v>0.0</v>
      </c>
      <c r="W695" s="849">
        <v>0.0</v>
      </c>
      <c r="X695" s="849">
        <v>0.0</v>
      </c>
      <c r="Y695" s="849">
        <v>0.0</v>
      </c>
      <c r="Z695" s="849">
        <v>0.0</v>
      </c>
      <c r="AA695" s="849">
        <v>1.0</v>
      </c>
      <c r="AB695" s="849">
        <v>1.0</v>
      </c>
      <c r="AC695" s="849">
        <v>1.0</v>
      </c>
      <c r="AD695" s="849">
        <v>1.0</v>
      </c>
      <c r="AE695" s="849">
        <v>1.0</v>
      </c>
      <c r="AF695" s="849">
        <v>0.0</v>
      </c>
      <c r="AG695" s="849">
        <v>0.0</v>
      </c>
      <c r="AH695" s="849">
        <v>0.0</v>
      </c>
      <c r="AI695" s="849">
        <v>0.0</v>
      </c>
      <c r="AJ695" s="794" t="str">
        <f t="shared" ref="AJ695:AK695" si="1387">C695</f>
        <v>G44603</v>
      </c>
      <c r="AK695" s="794" t="str">
        <f t="shared" si="1387"/>
        <v>VTES-RACHAT BAIL AUTO</v>
      </c>
      <c r="AL695" s="794">
        <f t="array" ref="AL695">IFERROR(INDEX(G695:R695,1,MATCH(Parametres!$B$3,G$1:R$1,0)-1)*IF(OR(F695="L",F695="S",F695="I"),-1,1),"")</f>
        <v>-7217.34</v>
      </c>
      <c r="AM695" s="794">
        <f t="shared" si="4"/>
        <v>0</v>
      </c>
      <c r="AN695" s="794">
        <f t="array" ref="AN695">INDEX(G695:R695,1,MATCH(Parametres!$B$3,G$1:R$1,0))*IF(OR(F695="L",F695="S",F695="I"),-1,1)</f>
        <v>-7217.34</v>
      </c>
      <c r="AO695" s="853" t="str">
        <f>+VLOOKUP($AJ695,Data_Validation!$A:$D,1,0)</f>
        <v>G44603</v>
      </c>
      <c r="AP695" s="853" t="str">
        <f>+VLOOKUP($AJ695,Data_Validation!$A:$D,3,0)</f>
        <v/>
      </c>
      <c r="AQ695" s="853" t="str">
        <f>+VLOOKUP($AJ695,Data_Validation!$A:$D,4,0)</f>
        <v/>
      </c>
      <c r="AR695" s="853" t="s">
        <v>728</v>
      </c>
      <c r="AS695" s="853" t="str">
        <f>+VLOOKUP($AJ695,Data_Validation!$A:$E,5,0)</f>
        <v/>
      </c>
      <c r="AT695" s="794" t="str">
        <f t="shared" ref="AT695:AU695" si="1388">C695</f>
        <v>G44603</v>
      </c>
      <c r="AU695" s="854" t="str">
        <f t="shared" si="1388"/>
        <v>VTES-RACHAT BAIL AUTO</v>
      </c>
      <c r="AV695" s="794">
        <f t="array" ref="AV695">IFERROR(INDEX(V695:AG695,1,MATCH(Parametres!$B$3,V$1:AG$1,0)-1)*IF(OR(C695="L",C695="S",C695="I"),-1,1),"")</f>
        <v>1</v>
      </c>
      <c r="AW695" s="794">
        <f t="shared" si="6"/>
        <v>0</v>
      </c>
      <c r="AX695" s="794">
        <f t="array" ref="AX695">INDEX(V695:AG695,1,MATCH(Parametres!$B$3,V$1:AG$1,0))*IF(OR(C695="L",C695="S",C695="I"),-1,1)</f>
        <v>1</v>
      </c>
      <c r="AY695" s="853" t="s">
        <v>772</v>
      </c>
      <c r="AZ695" s="853" t="str">
        <f>+VLOOKUP($AJ695,Data_Validation!$A:$E,5,0)</f>
        <v/>
      </c>
    </row>
    <row r="696" ht="15.0" customHeight="1">
      <c r="A696" s="849" t="s">
        <v>1239</v>
      </c>
      <c r="B696" s="849">
        <v>2026.0</v>
      </c>
      <c r="C696" s="849" t="s">
        <v>2619</v>
      </c>
      <c r="D696" s="849" t="s">
        <v>2620</v>
      </c>
      <c r="E696" s="849" t="s">
        <v>2426</v>
      </c>
      <c r="F696" s="849" t="s">
        <v>2426</v>
      </c>
      <c r="G696" s="849">
        <v>0.0</v>
      </c>
      <c r="H696" s="849">
        <v>0.0</v>
      </c>
      <c r="I696" s="849">
        <v>0.0</v>
      </c>
      <c r="J696" s="849">
        <v>0.0</v>
      </c>
      <c r="K696" s="849">
        <v>0.0</v>
      </c>
      <c r="L696" s="849">
        <v>0.0</v>
      </c>
      <c r="M696" s="849">
        <v>0.0</v>
      </c>
      <c r="N696" s="849">
        <v>0.0</v>
      </c>
      <c r="O696" s="849">
        <v>0.0</v>
      </c>
      <c r="P696" s="849">
        <v>0.0</v>
      </c>
      <c r="Q696" s="849">
        <v>0.0</v>
      </c>
      <c r="R696" s="849">
        <v>0.0</v>
      </c>
      <c r="S696" s="849">
        <v>0.0</v>
      </c>
      <c r="T696" s="849">
        <v>0.0</v>
      </c>
      <c r="U696" s="849">
        <v>0.0</v>
      </c>
      <c r="V696" s="849">
        <v>0.0</v>
      </c>
      <c r="W696" s="849">
        <v>0.0</v>
      </c>
      <c r="X696" s="849">
        <v>0.0</v>
      </c>
      <c r="Y696" s="849">
        <v>0.0</v>
      </c>
      <c r="Z696" s="849">
        <v>0.0</v>
      </c>
      <c r="AA696" s="849">
        <v>0.0</v>
      </c>
      <c r="AB696" s="849">
        <v>0.0</v>
      </c>
      <c r="AC696" s="849">
        <v>0.0</v>
      </c>
      <c r="AD696" s="849">
        <v>0.0</v>
      </c>
      <c r="AE696" s="849">
        <v>0.0</v>
      </c>
      <c r="AF696" s="849">
        <v>0.0</v>
      </c>
      <c r="AG696" s="849">
        <v>0.0</v>
      </c>
      <c r="AH696" s="849">
        <v>0.0</v>
      </c>
      <c r="AI696" s="849">
        <v>0.0</v>
      </c>
      <c r="AJ696" s="794" t="str">
        <f t="shared" ref="AJ696:AK696" si="1389">C696</f>
        <v>G44620</v>
      </c>
      <c r="AK696" s="794" t="str">
        <f t="shared" si="1389"/>
        <v>VTES-LOC AUTOS USAGE OPT.</v>
      </c>
      <c r="AL696" s="794">
        <f t="array" ref="AL696">IFERROR(INDEX(G696:R696,1,MATCH(Parametres!$B$3,G$1:R$1,0)-1)*IF(OR(F696="L",F696="S",F696="I"),-1,1),"")</f>
        <v>0</v>
      </c>
      <c r="AM696" s="794">
        <f t="shared" si="4"/>
        <v>0</v>
      </c>
      <c r="AN696" s="794">
        <f t="array" ref="AN696">INDEX(G696:R696,1,MATCH(Parametres!$B$3,G$1:R$1,0))*IF(OR(F696="L",F696="S",F696="I"),-1,1)</f>
        <v>0</v>
      </c>
      <c r="AO696" s="853" t="str">
        <f>+VLOOKUP($AJ696,Data_Validation!$A:$D,1,0)</f>
        <v>#N/A</v>
      </c>
      <c r="AP696" s="853" t="str">
        <f>+VLOOKUP($AJ696,Data_Validation!$A:$D,3,0)</f>
        <v>#N/A</v>
      </c>
      <c r="AQ696" s="853" t="str">
        <f>+VLOOKUP($AJ696,Data_Validation!$A:$D,4,0)</f>
        <v>#N/A</v>
      </c>
      <c r="AR696" s="853" t="s">
        <v>728</v>
      </c>
      <c r="AS696" s="853" t="str">
        <f>+VLOOKUP($AJ696,Data_Validation!$A:$E,5,0)</f>
        <v>#N/A</v>
      </c>
      <c r="AT696" s="794" t="str">
        <f t="shared" ref="AT696:AU696" si="1390">C696</f>
        <v>G44620</v>
      </c>
      <c r="AU696" s="854" t="str">
        <f t="shared" si="1390"/>
        <v>VTES-LOC AUTOS USAGE OPT.</v>
      </c>
      <c r="AV696" s="794">
        <f t="array" ref="AV696">IFERROR(INDEX(V696:AG696,1,MATCH(Parametres!$B$3,V$1:AG$1,0)-1)*IF(OR(C696="L",C696="S",C696="I"),-1,1),"")</f>
        <v>0</v>
      </c>
      <c r="AW696" s="794">
        <f t="shared" si="6"/>
        <v>0</v>
      </c>
      <c r="AX696" s="794">
        <f t="array" ref="AX696">INDEX(V696:AG696,1,MATCH(Parametres!$B$3,V$1:AG$1,0))*IF(OR(C696="L",C696="S",C696="I"),-1,1)</f>
        <v>0</v>
      </c>
      <c r="AY696" s="853" t="s">
        <v>772</v>
      </c>
      <c r="AZ696" s="853" t="str">
        <f>+VLOOKUP($AJ696,Data_Validation!$A:$E,5,0)</f>
        <v>#N/A</v>
      </c>
    </row>
    <row r="697" ht="15.0" customHeight="1">
      <c r="A697" s="849" t="s">
        <v>1239</v>
      </c>
      <c r="B697" s="849">
        <v>2026.0</v>
      </c>
      <c r="C697" s="849" t="s">
        <v>2621</v>
      </c>
      <c r="D697" s="849" t="s">
        <v>2622</v>
      </c>
      <c r="E697" s="849" t="s">
        <v>768</v>
      </c>
      <c r="F697" s="849" t="s">
        <v>2426</v>
      </c>
      <c r="G697" s="849">
        <v>0.0</v>
      </c>
      <c r="H697" s="849">
        <v>0.0</v>
      </c>
      <c r="I697" s="849">
        <v>0.0</v>
      </c>
      <c r="J697" s="849">
        <v>0.0</v>
      </c>
      <c r="K697" s="849">
        <v>0.0</v>
      </c>
      <c r="L697" s="849">
        <v>0.0</v>
      </c>
      <c r="M697" s="849">
        <v>0.0</v>
      </c>
      <c r="N697" s="849">
        <v>0.0</v>
      </c>
      <c r="O697" s="849">
        <v>0.0</v>
      </c>
      <c r="P697" s="849">
        <v>0.0</v>
      </c>
      <c r="Q697" s="849">
        <v>0.0</v>
      </c>
      <c r="R697" s="849">
        <v>0.0</v>
      </c>
      <c r="S697" s="849">
        <v>0.0</v>
      </c>
      <c r="T697" s="849">
        <v>0.0</v>
      </c>
      <c r="U697" s="849">
        <v>0.0</v>
      </c>
      <c r="V697" s="849">
        <v>0.0</v>
      </c>
      <c r="W697" s="849">
        <v>0.0</v>
      </c>
      <c r="X697" s="849">
        <v>0.0</v>
      </c>
      <c r="Y697" s="849">
        <v>0.0</v>
      </c>
      <c r="Z697" s="849">
        <v>0.0</v>
      </c>
      <c r="AA697" s="849">
        <v>0.0</v>
      </c>
      <c r="AB697" s="849">
        <v>0.0</v>
      </c>
      <c r="AC697" s="849">
        <v>0.0</v>
      </c>
      <c r="AD697" s="849">
        <v>0.0</v>
      </c>
      <c r="AE697" s="849">
        <v>0.0</v>
      </c>
      <c r="AF697" s="849">
        <v>0.0</v>
      </c>
      <c r="AG697" s="849">
        <v>0.0</v>
      </c>
      <c r="AH697" s="849">
        <v>0.0</v>
      </c>
      <c r="AI697" s="849">
        <v>0.0</v>
      </c>
      <c r="AJ697" s="794" t="str">
        <f t="shared" ref="AJ697:AK697" si="1391">C697</f>
        <v>G44700</v>
      </c>
      <c r="AK697" s="794" t="str">
        <f t="shared" si="1391"/>
        <v>*REM.NEUF VOITURE DET.OPT</v>
      </c>
      <c r="AL697" s="794">
        <f t="array" ref="AL697">IFERROR(INDEX(G697:R697,1,MATCH(Parametres!$B$3,G$1:R$1,0)-1)*IF(OR(F697="L",F697="S",F697="I"),-1,1),"")</f>
        <v>0</v>
      </c>
      <c r="AM697" s="794">
        <f t="shared" si="4"/>
        <v>0</v>
      </c>
      <c r="AN697" s="794">
        <f t="array" ref="AN697">INDEX(G697:R697,1,MATCH(Parametres!$B$3,G$1:R$1,0))*IF(OR(F697="L",F697="S",F697="I"),-1,1)</f>
        <v>0</v>
      </c>
      <c r="AO697" s="853" t="str">
        <f>+VLOOKUP($AJ697,Data_Validation!$A:$D,1,0)</f>
        <v>G44700</v>
      </c>
      <c r="AP697" s="853" t="str">
        <f>+VLOOKUP($AJ697,Data_Validation!$A:$D,3,0)</f>
        <v/>
      </c>
      <c r="AQ697" s="853" t="str">
        <f>+VLOOKUP($AJ697,Data_Validation!$A:$D,4,0)</f>
        <v/>
      </c>
      <c r="AR697" s="853" t="s">
        <v>728</v>
      </c>
      <c r="AS697" s="853" t="str">
        <f>+VLOOKUP($AJ697,Data_Validation!$A:$E,5,0)</f>
        <v/>
      </c>
      <c r="AT697" s="794" t="str">
        <f t="shared" ref="AT697:AU697" si="1392">C697</f>
        <v>G44700</v>
      </c>
      <c r="AU697" s="854" t="str">
        <f t="shared" si="1392"/>
        <v>*REM.NEUF VOITURE DET.OPT</v>
      </c>
      <c r="AV697" s="794">
        <f t="array" ref="AV697">IFERROR(INDEX(V697:AG697,1,MATCH(Parametres!$B$3,V$1:AG$1,0)-1)*IF(OR(C697="L",C697="S",C697="I"),-1,1),"")</f>
        <v>0</v>
      </c>
      <c r="AW697" s="794">
        <f t="shared" si="6"/>
        <v>0</v>
      </c>
      <c r="AX697" s="794">
        <f t="array" ref="AX697">INDEX(V697:AG697,1,MATCH(Parametres!$B$3,V$1:AG$1,0))*IF(OR(C697="L",C697="S",C697="I"),-1,1)</f>
        <v>0</v>
      </c>
      <c r="AY697" s="853" t="s">
        <v>772</v>
      </c>
      <c r="AZ697" s="853" t="str">
        <f>+VLOOKUP($AJ697,Data_Validation!$A:$E,5,0)</f>
        <v/>
      </c>
    </row>
    <row r="698" ht="15.0" customHeight="1">
      <c r="A698" s="849" t="s">
        <v>1239</v>
      </c>
      <c r="B698" s="849">
        <v>2026.0</v>
      </c>
      <c r="C698" s="849" t="s">
        <v>2623</v>
      </c>
      <c r="D698" s="849" t="s">
        <v>2624</v>
      </c>
      <c r="E698" s="849" t="s">
        <v>768</v>
      </c>
      <c r="F698" s="849" t="s">
        <v>2426</v>
      </c>
      <c r="G698" s="849">
        <v>0.0</v>
      </c>
      <c r="H698" s="849">
        <v>0.0</v>
      </c>
      <c r="I698" s="849">
        <v>0.0</v>
      </c>
      <c r="J698" s="849">
        <v>0.0</v>
      </c>
      <c r="K698" s="849">
        <v>0.0</v>
      </c>
      <c r="L698" s="849">
        <v>0.0</v>
      </c>
      <c r="M698" s="849">
        <v>0.0</v>
      </c>
      <c r="N698" s="849">
        <v>0.0</v>
      </c>
      <c r="O698" s="849">
        <v>0.0</v>
      </c>
      <c r="P698" s="849">
        <v>0.0</v>
      </c>
      <c r="Q698" s="849">
        <v>0.0</v>
      </c>
      <c r="R698" s="849">
        <v>0.0</v>
      </c>
      <c r="S698" s="849">
        <v>0.0</v>
      </c>
      <c r="T698" s="849">
        <v>0.0</v>
      </c>
      <c r="U698" s="849">
        <v>0.0</v>
      </c>
      <c r="V698" s="849">
        <v>0.0</v>
      </c>
      <c r="W698" s="849">
        <v>0.0</v>
      </c>
      <c r="X698" s="849">
        <v>0.0</v>
      </c>
      <c r="Y698" s="849">
        <v>0.0</v>
      </c>
      <c r="Z698" s="849">
        <v>0.0</v>
      </c>
      <c r="AA698" s="849">
        <v>0.0</v>
      </c>
      <c r="AB698" s="849">
        <v>0.0</v>
      </c>
      <c r="AC698" s="849">
        <v>0.0</v>
      </c>
      <c r="AD698" s="849">
        <v>0.0</v>
      </c>
      <c r="AE698" s="849">
        <v>0.0</v>
      </c>
      <c r="AF698" s="849">
        <v>0.0</v>
      </c>
      <c r="AG698" s="849">
        <v>0.0</v>
      </c>
      <c r="AH698" s="849">
        <v>0.0</v>
      </c>
      <c r="AI698" s="849">
        <v>0.0</v>
      </c>
      <c r="AJ698" s="794" t="str">
        <f t="shared" ref="AJ698:AK698" si="1393">C698</f>
        <v>G44701</v>
      </c>
      <c r="AK698" s="794" t="str">
        <f t="shared" si="1393"/>
        <v>*REM.NEUF VOIT.DET.AUTRES</v>
      </c>
      <c r="AL698" s="794">
        <f t="array" ref="AL698">IFERROR(INDEX(G698:R698,1,MATCH(Parametres!$B$3,G$1:R$1,0)-1)*IF(OR(F698="L",F698="S",F698="I"),-1,1),"")</f>
        <v>0</v>
      </c>
      <c r="AM698" s="794">
        <f t="shared" si="4"/>
        <v>0</v>
      </c>
      <c r="AN698" s="794">
        <f t="array" ref="AN698">INDEX(G698:R698,1,MATCH(Parametres!$B$3,G$1:R$1,0))*IF(OR(F698="L",F698="S",F698="I"),-1,1)</f>
        <v>0</v>
      </c>
      <c r="AO698" s="853" t="str">
        <f>+VLOOKUP($AJ698,Data_Validation!$A:$D,1,0)</f>
        <v>G44701</v>
      </c>
      <c r="AP698" s="853" t="str">
        <f>+VLOOKUP($AJ698,Data_Validation!$A:$D,3,0)</f>
        <v/>
      </c>
      <c r="AQ698" s="853" t="str">
        <f>+VLOOKUP($AJ698,Data_Validation!$A:$D,4,0)</f>
        <v/>
      </c>
      <c r="AR698" s="853" t="s">
        <v>728</v>
      </c>
      <c r="AS698" s="853" t="str">
        <f>+VLOOKUP($AJ698,Data_Validation!$A:$E,5,0)</f>
        <v/>
      </c>
      <c r="AT698" s="794" t="str">
        <f t="shared" ref="AT698:AU698" si="1394">C698</f>
        <v>G44701</v>
      </c>
      <c r="AU698" s="854" t="str">
        <f t="shared" si="1394"/>
        <v>*REM.NEUF VOIT.DET.AUTRES</v>
      </c>
      <c r="AV698" s="794">
        <f t="array" ref="AV698">IFERROR(INDEX(V698:AG698,1,MATCH(Parametres!$B$3,V$1:AG$1,0)-1)*IF(OR(C698="L",C698="S",C698="I"),-1,1),"")</f>
        <v>0</v>
      </c>
      <c r="AW698" s="794">
        <f t="shared" si="6"/>
        <v>0</v>
      </c>
      <c r="AX698" s="794">
        <f t="array" ref="AX698">INDEX(V698:AG698,1,MATCH(Parametres!$B$3,V$1:AG$1,0))*IF(OR(C698="L",C698="S",C698="I"),-1,1)</f>
        <v>0</v>
      </c>
      <c r="AY698" s="853" t="s">
        <v>772</v>
      </c>
      <c r="AZ698" s="853" t="str">
        <f>+VLOOKUP($AJ698,Data_Validation!$A:$E,5,0)</f>
        <v/>
      </c>
    </row>
    <row r="699" ht="15.0" customHeight="1">
      <c r="A699" s="849" t="s">
        <v>1239</v>
      </c>
      <c r="B699" s="849">
        <v>2026.0</v>
      </c>
      <c r="C699" s="849" t="s">
        <v>2625</v>
      </c>
      <c r="D699" s="849" t="s">
        <v>2626</v>
      </c>
      <c r="E699" s="849" t="s">
        <v>768</v>
      </c>
      <c r="F699" s="849" t="s">
        <v>2426</v>
      </c>
      <c r="G699" s="849">
        <v>0.0</v>
      </c>
      <c r="H699" s="849">
        <v>0.0</v>
      </c>
      <c r="I699" s="849">
        <v>0.0</v>
      </c>
      <c r="J699" s="849">
        <v>0.0</v>
      </c>
      <c r="K699" s="849">
        <v>0.0</v>
      </c>
      <c r="L699" s="849">
        <v>0.0</v>
      </c>
      <c r="M699" s="849">
        <v>0.0</v>
      </c>
      <c r="N699" s="849">
        <v>0.0</v>
      </c>
      <c r="O699" s="849">
        <v>0.0</v>
      </c>
      <c r="P699" s="849">
        <v>0.0</v>
      </c>
      <c r="Q699" s="849">
        <v>0.0</v>
      </c>
      <c r="R699" s="849">
        <v>0.0</v>
      </c>
      <c r="S699" s="849">
        <v>0.0</v>
      </c>
      <c r="T699" s="849">
        <v>0.0</v>
      </c>
      <c r="U699" s="849">
        <v>0.0</v>
      </c>
      <c r="V699" s="849">
        <v>0.0</v>
      </c>
      <c r="W699" s="849">
        <v>0.0</v>
      </c>
      <c r="X699" s="849">
        <v>0.0</v>
      </c>
      <c r="Y699" s="849">
        <v>0.0</v>
      </c>
      <c r="Z699" s="849">
        <v>0.0</v>
      </c>
      <c r="AA699" s="849">
        <v>0.0</v>
      </c>
      <c r="AB699" s="849">
        <v>0.0</v>
      </c>
      <c r="AC699" s="849">
        <v>0.0</v>
      </c>
      <c r="AD699" s="849">
        <v>0.0</v>
      </c>
      <c r="AE699" s="849">
        <v>0.0</v>
      </c>
      <c r="AF699" s="849">
        <v>0.0</v>
      </c>
      <c r="AG699" s="849">
        <v>0.0</v>
      </c>
      <c r="AH699" s="849">
        <v>0.0</v>
      </c>
      <c r="AI699" s="849">
        <v>0.0</v>
      </c>
      <c r="AJ699" s="794" t="str">
        <f t="shared" ref="AJ699:AK699" si="1395">C699</f>
        <v>G44720</v>
      </c>
      <c r="AK699" s="794" t="str">
        <f t="shared" si="1395"/>
        <v>*REM.NEUF LOC.AUTO DET.OP</v>
      </c>
      <c r="AL699" s="794">
        <f t="array" ref="AL699">IFERROR(INDEX(G699:R699,1,MATCH(Parametres!$B$3,G$1:R$1,0)-1)*IF(OR(F699="L",F699="S",F699="I"),-1,1),"")</f>
        <v>0</v>
      </c>
      <c r="AM699" s="794">
        <f t="shared" si="4"/>
        <v>0</v>
      </c>
      <c r="AN699" s="794">
        <f t="array" ref="AN699">INDEX(G699:R699,1,MATCH(Parametres!$B$3,G$1:R$1,0))*IF(OR(F699="L",F699="S",F699="I"),-1,1)</f>
        <v>0</v>
      </c>
      <c r="AO699" s="853" t="str">
        <f>+VLOOKUP($AJ699,Data_Validation!$A:$D,1,0)</f>
        <v>G44720</v>
      </c>
      <c r="AP699" s="853" t="str">
        <f>+VLOOKUP($AJ699,Data_Validation!$A:$D,3,0)</f>
        <v/>
      </c>
      <c r="AQ699" s="853" t="str">
        <f>+VLOOKUP($AJ699,Data_Validation!$A:$D,4,0)</f>
        <v/>
      </c>
      <c r="AR699" s="853" t="s">
        <v>728</v>
      </c>
      <c r="AS699" s="853" t="str">
        <f>+VLOOKUP($AJ699,Data_Validation!$A:$E,5,0)</f>
        <v/>
      </c>
      <c r="AT699" s="794" t="str">
        <f t="shared" ref="AT699:AU699" si="1396">C699</f>
        <v>G44720</v>
      </c>
      <c r="AU699" s="854" t="str">
        <f t="shared" si="1396"/>
        <v>*REM.NEUF LOC.AUTO DET.OP</v>
      </c>
      <c r="AV699" s="794">
        <f t="array" ref="AV699">IFERROR(INDEX(V699:AG699,1,MATCH(Parametres!$B$3,V$1:AG$1,0)-1)*IF(OR(C699="L",C699="S",C699="I"),-1,1),"")</f>
        <v>0</v>
      </c>
      <c r="AW699" s="794">
        <f t="shared" si="6"/>
        <v>0</v>
      </c>
      <c r="AX699" s="794">
        <f t="array" ref="AX699">INDEX(V699:AG699,1,MATCH(Parametres!$B$3,V$1:AG$1,0))*IF(OR(C699="L",C699="S",C699="I"),-1,1)</f>
        <v>0</v>
      </c>
      <c r="AY699" s="853" t="s">
        <v>772</v>
      </c>
      <c r="AZ699" s="853" t="str">
        <f>+VLOOKUP($AJ699,Data_Validation!$A:$E,5,0)</f>
        <v/>
      </c>
    </row>
    <row r="700" ht="15.0" customHeight="1">
      <c r="A700" s="849" t="s">
        <v>1239</v>
      </c>
      <c r="B700" s="849">
        <v>2026.0</v>
      </c>
      <c r="C700" s="849" t="s">
        <v>2627</v>
      </c>
      <c r="D700" s="849" t="s">
        <v>2628</v>
      </c>
      <c r="E700" s="849" t="s">
        <v>2426</v>
      </c>
      <c r="F700" s="849" t="s">
        <v>2426</v>
      </c>
      <c r="G700" s="849">
        <v>7950.0</v>
      </c>
      <c r="H700" s="849">
        <v>123560.0</v>
      </c>
      <c r="I700" s="849">
        <v>323591.0</v>
      </c>
      <c r="J700" s="849">
        <v>421541.0</v>
      </c>
      <c r="K700" s="849">
        <v>370508.0</v>
      </c>
      <c r="L700" s="849">
        <v>464008.0</v>
      </c>
      <c r="M700" s="849">
        <v>505648.0</v>
      </c>
      <c r="N700" s="849">
        <v>599699.0</v>
      </c>
      <c r="O700" s="849">
        <v>767899.0</v>
      </c>
      <c r="P700" s="849">
        <v>767899.0</v>
      </c>
      <c r="Q700" s="849">
        <v>0.0</v>
      </c>
      <c r="R700" s="849">
        <v>0.0</v>
      </c>
      <c r="S700" s="849">
        <v>85322.11</v>
      </c>
      <c r="T700" s="849">
        <v>85322.11</v>
      </c>
      <c r="U700" s="849">
        <v>0.0</v>
      </c>
      <c r="V700" s="849">
        <v>2.0</v>
      </c>
      <c r="W700" s="849">
        <v>9.0</v>
      </c>
      <c r="X700" s="849">
        <v>19.0</v>
      </c>
      <c r="Y700" s="849">
        <v>30.0</v>
      </c>
      <c r="Z700" s="849">
        <v>27.0</v>
      </c>
      <c r="AA700" s="849">
        <v>33.0</v>
      </c>
      <c r="AB700" s="849">
        <v>39.0</v>
      </c>
      <c r="AC700" s="849">
        <v>47.0</v>
      </c>
      <c r="AD700" s="849">
        <v>52.0</v>
      </c>
      <c r="AE700" s="849">
        <v>52.0</v>
      </c>
      <c r="AF700" s="849">
        <v>0.0</v>
      </c>
      <c r="AG700" s="849">
        <v>0.0</v>
      </c>
      <c r="AH700" s="849">
        <v>6.0</v>
      </c>
      <c r="AI700" s="849">
        <v>6.0</v>
      </c>
      <c r="AJ700" s="794" t="str">
        <f t="shared" ref="AJ700:AK700" si="1397">C700</f>
        <v>G44800</v>
      </c>
      <c r="AK700" s="794" t="str">
        <f t="shared" si="1397"/>
        <v>VTES-VOIT.OCC.EN GROS-DET</v>
      </c>
      <c r="AL700" s="794">
        <f t="array" ref="AL700">IFERROR(INDEX(G700:R700,1,MATCH(Parametres!$B$3,G$1:R$1,0)-1)*IF(OR(F700="L",F700="S",F700="I"),-1,1),"")</f>
        <v>-599699</v>
      </c>
      <c r="AM700" s="794">
        <f t="shared" si="4"/>
        <v>-168200</v>
      </c>
      <c r="AN700" s="794">
        <f t="array" ref="AN700">INDEX(G700:R700,1,MATCH(Parametres!$B$3,G$1:R$1,0))*IF(OR(F700="L",F700="S",F700="I"),-1,1)</f>
        <v>-767899</v>
      </c>
      <c r="AO700" s="853" t="str">
        <f>+VLOOKUP($AJ700,Data_Validation!$A:$D,1,0)</f>
        <v>G44800</v>
      </c>
      <c r="AP700" s="853" t="str">
        <f>+VLOOKUP($AJ700,Data_Validation!$A:$D,3,0)</f>
        <v>Véhicules usagés</v>
      </c>
      <c r="AQ700" s="853" t="str">
        <f>+VLOOKUP($AJ700,Data_Validation!$A:$D,4,0)</f>
        <v>Ventes au Gros</v>
      </c>
      <c r="AR700" s="853" t="s">
        <v>728</v>
      </c>
      <c r="AS700" s="853" t="str">
        <f>+VLOOKUP($AJ700,Data_Validation!$A:$E,5,0)</f>
        <v>Oui</v>
      </c>
      <c r="AT700" s="794" t="str">
        <f t="shared" ref="AT700:AU700" si="1398">C700</f>
        <v>G44800</v>
      </c>
      <c r="AU700" s="854" t="str">
        <f t="shared" si="1398"/>
        <v>VTES-VOIT.OCC.EN GROS-DET</v>
      </c>
      <c r="AV700" s="794">
        <f t="array" ref="AV700">IFERROR(INDEX(V700:AG700,1,MATCH(Parametres!$B$3,V$1:AG$1,0)-1)*IF(OR(C700="L",C700="S",C700="I"),-1,1),"")</f>
        <v>47</v>
      </c>
      <c r="AW700" s="794">
        <f t="shared" si="6"/>
        <v>5</v>
      </c>
      <c r="AX700" s="794">
        <f t="array" ref="AX700">INDEX(V700:AG700,1,MATCH(Parametres!$B$3,V$1:AG$1,0))*IF(OR(C700="L",C700="S",C700="I"),-1,1)</f>
        <v>52</v>
      </c>
      <c r="AY700" s="853" t="s">
        <v>772</v>
      </c>
      <c r="AZ700" s="853" t="str">
        <f>+VLOOKUP($AJ700,Data_Validation!$A:$E,5,0)</f>
        <v>Oui</v>
      </c>
    </row>
    <row r="701" ht="15.0" customHeight="1">
      <c r="A701" s="849" t="s">
        <v>1239</v>
      </c>
      <c r="B701" s="849">
        <v>2026.0</v>
      </c>
      <c r="C701" s="849" t="s">
        <v>2629</v>
      </c>
      <c r="D701" s="849" t="s">
        <v>2630</v>
      </c>
      <c r="E701" s="849" t="s">
        <v>768</v>
      </c>
      <c r="F701" s="849" t="s">
        <v>2426</v>
      </c>
      <c r="G701" s="849">
        <v>0.0</v>
      </c>
      <c r="H701" s="849">
        <v>0.0</v>
      </c>
      <c r="I701" s="849">
        <v>0.0</v>
      </c>
      <c r="J701" s="849">
        <v>0.0</v>
      </c>
      <c r="K701" s="849">
        <v>0.0</v>
      </c>
      <c r="L701" s="849">
        <v>0.0</v>
      </c>
      <c r="M701" s="849">
        <v>0.0</v>
      </c>
      <c r="N701" s="849">
        <v>0.0</v>
      </c>
      <c r="O701" s="849">
        <v>0.0</v>
      </c>
      <c r="P701" s="849">
        <v>0.0</v>
      </c>
      <c r="Q701" s="849">
        <v>0.0</v>
      </c>
      <c r="R701" s="849">
        <v>0.0</v>
      </c>
      <c r="S701" s="849">
        <v>0.0</v>
      </c>
      <c r="T701" s="849">
        <v>0.0</v>
      </c>
      <c r="U701" s="849">
        <v>0.0</v>
      </c>
      <c r="V701" s="849">
        <v>0.0</v>
      </c>
      <c r="W701" s="849">
        <v>0.0</v>
      </c>
      <c r="X701" s="849">
        <v>0.0</v>
      </c>
      <c r="Y701" s="849">
        <v>0.0</v>
      </c>
      <c r="Z701" s="849">
        <v>0.0</v>
      </c>
      <c r="AA701" s="849">
        <v>0.0</v>
      </c>
      <c r="AB701" s="849">
        <v>0.0</v>
      </c>
      <c r="AC701" s="849">
        <v>0.0</v>
      </c>
      <c r="AD701" s="849">
        <v>0.0</v>
      </c>
      <c r="AE701" s="849">
        <v>0.0</v>
      </c>
      <c r="AF701" s="849">
        <v>0.0</v>
      </c>
      <c r="AG701" s="849">
        <v>0.0</v>
      </c>
      <c r="AH701" s="849">
        <v>0.0</v>
      </c>
      <c r="AI701" s="849">
        <v>0.0</v>
      </c>
      <c r="AJ701" s="794" t="str">
        <f t="shared" ref="AJ701:AK701" si="1399">C701</f>
        <v>G44900</v>
      </c>
      <c r="AK701" s="794" t="str">
        <f t="shared" si="1399"/>
        <v>*RECTIFICATION STOCK AUTO</v>
      </c>
      <c r="AL701" s="794">
        <f t="array" ref="AL701">IFERROR(INDEX(G701:R701,1,MATCH(Parametres!$B$3,G$1:R$1,0)-1)*IF(OR(F701="L",F701="S",F701="I"),-1,1),"")</f>
        <v>0</v>
      </c>
      <c r="AM701" s="794">
        <f t="shared" si="4"/>
        <v>0</v>
      </c>
      <c r="AN701" s="794">
        <f t="array" ref="AN701">INDEX(G701:R701,1,MATCH(Parametres!$B$3,G$1:R$1,0))*IF(OR(F701="L",F701="S",F701="I"),-1,1)</f>
        <v>0</v>
      </c>
      <c r="AO701" s="853" t="str">
        <f>+VLOOKUP($AJ701,Data_Validation!$A:$D,1,0)</f>
        <v>G44900</v>
      </c>
      <c r="AP701" s="853" t="str">
        <f>+VLOOKUP($AJ701,Data_Validation!$A:$D,3,0)</f>
        <v/>
      </c>
      <c r="AQ701" s="853" t="str">
        <f>+VLOOKUP($AJ701,Data_Validation!$A:$D,4,0)</f>
        <v/>
      </c>
      <c r="AR701" s="853" t="s">
        <v>728</v>
      </c>
      <c r="AS701" s="853" t="str">
        <f>+VLOOKUP($AJ701,Data_Validation!$A:$E,5,0)</f>
        <v/>
      </c>
      <c r="AT701" s="794" t="str">
        <f t="shared" ref="AT701:AU701" si="1400">C701</f>
        <v>G44900</v>
      </c>
      <c r="AU701" s="854" t="str">
        <f t="shared" si="1400"/>
        <v>*RECTIFICATION STOCK AUTO</v>
      </c>
      <c r="AV701" s="794">
        <f t="array" ref="AV701">IFERROR(INDEX(V701:AG701,1,MATCH(Parametres!$B$3,V$1:AG$1,0)-1)*IF(OR(C701="L",C701="S",C701="I"),-1,1),"")</f>
        <v>0</v>
      </c>
      <c r="AW701" s="794">
        <f t="shared" si="6"/>
        <v>0</v>
      </c>
      <c r="AX701" s="794">
        <f t="array" ref="AX701">INDEX(V701:AG701,1,MATCH(Parametres!$B$3,V$1:AG$1,0))*IF(OR(C701="L",C701="S",C701="I"),-1,1)</f>
        <v>0</v>
      </c>
      <c r="AY701" s="853" t="s">
        <v>772</v>
      </c>
      <c r="AZ701" s="853" t="str">
        <f>+VLOOKUP($AJ701,Data_Validation!$A:$E,5,0)</f>
        <v/>
      </c>
    </row>
    <row r="702" ht="15.0" customHeight="1">
      <c r="A702" s="849" t="s">
        <v>1239</v>
      </c>
      <c r="B702" s="849">
        <v>2026.0</v>
      </c>
      <c r="C702" s="849" t="s">
        <v>2631</v>
      </c>
      <c r="D702" s="849" t="s">
        <v>2632</v>
      </c>
      <c r="E702" s="849" t="s">
        <v>2426</v>
      </c>
      <c r="F702" s="849" t="s">
        <v>2426</v>
      </c>
      <c r="G702" s="849">
        <v>41059.6</v>
      </c>
      <c r="H702" s="849">
        <v>355959.6</v>
      </c>
      <c r="I702" s="849">
        <v>1255785.6</v>
      </c>
      <c r="J702" s="849">
        <v>2107096.6</v>
      </c>
      <c r="K702" s="849">
        <v>0.0</v>
      </c>
      <c r="L702" s="849">
        <v>0.0</v>
      </c>
      <c r="M702" s="849">
        <v>0.0</v>
      </c>
      <c r="N702" s="849">
        <v>0.0</v>
      </c>
      <c r="O702" s="849">
        <v>0.0</v>
      </c>
      <c r="P702" s="849">
        <v>0.0</v>
      </c>
      <c r="Q702" s="849">
        <v>0.0</v>
      </c>
      <c r="R702" s="849">
        <v>0.0</v>
      </c>
      <c r="S702" s="849">
        <v>0.0</v>
      </c>
      <c r="T702" s="849">
        <v>0.0</v>
      </c>
      <c r="U702" s="849">
        <v>0.0</v>
      </c>
      <c r="V702" s="849">
        <v>1.0</v>
      </c>
      <c r="W702" s="849">
        <v>8.0</v>
      </c>
      <c r="X702" s="849">
        <v>30.0</v>
      </c>
      <c r="Y702" s="849">
        <v>47.0</v>
      </c>
      <c r="Z702" s="849">
        <v>0.0</v>
      </c>
      <c r="AA702" s="849">
        <v>0.0</v>
      </c>
      <c r="AB702" s="849">
        <v>0.0</v>
      </c>
      <c r="AC702" s="849">
        <v>0.0</v>
      </c>
      <c r="AD702" s="849">
        <v>0.0</v>
      </c>
      <c r="AE702" s="849">
        <v>0.0</v>
      </c>
      <c r="AF702" s="849">
        <v>0.0</v>
      </c>
      <c r="AG702" s="849">
        <v>0.0</v>
      </c>
      <c r="AH702" s="849">
        <v>0.0</v>
      </c>
      <c r="AI702" s="849">
        <v>0.0</v>
      </c>
      <c r="AJ702" s="794" t="str">
        <f t="shared" ref="AJ702:AK702" si="1401">C702</f>
        <v>G45000</v>
      </c>
      <c r="AK702" s="794" t="str">
        <f t="shared" si="1401"/>
        <v>VTES - CAMION DET CERTIFI</v>
      </c>
      <c r="AL702" s="794">
        <f t="array" ref="AL702">IFERROR(INDEX(G702:R702,1,MATCH(Parametres!$B$3,G$1:R$1,0)-1)*IF(OR(F702="L",F702="S",F702="I"),-1,1),"")</f>
        <v>0</v>
      </c>
      <c r="AM702" s="794">
        <f t="shared" si="4"/>
        <v>0</v>
      </c>
      <c r="AN702" s="794">
        <f t="array" ref="AN702">INDEX(G702:R702,1,MATCH(Parametres!$B$3,G$1:R$1,0))*IF(OR(F702="L",F702="S",F702="I"),-1,1)</f>
        <v>0</v>
      </c>
      <c r="AO702" s="853" t="str">
        <f>+VLOOKUP($AJ702,Data_Validation!$A:$D,1,0)</f>
        <v>G45000</v>
      </c>
      <c r="AP702" s="853" t="str">
        <f>+VLOOKUP($AJ702,Data_Validation!$A:$D,3,0)</f>
        <v>Véhicules usagés</v>
      </c>
      <c r="AQ702" s="853" t="str">
        <f>+VLOOKUP($AJ702,Data_Validation!$A:$D,4,0)</f>
        <v>Ventes au Gros</v>
      </c>
      <c r="AR702" s="853" t="s">
        <v>728</v>
      </c>
      <c r="AS702" s="853" t="str">
        <f>+VLOOKUP($AJ702,Data_Validation!$A:$E,5,0)</f>
        <v>Oui</v>
      </c>
      <c r="AT702" s="794" t="str">
        <f t="shared" ref="AT702:AU702" si="1402">C702</f>
        <v>G45000</v>
      </c>
      <c r="AU702" s="854" t="str">
        <f t="shared" si="1402"/>
        <v>VTES - CAMION DET CERTIFI</v>
      </c>
      <c r="AV702" s="794">
        <f t="array" ref="AV702">IFERROR(INDEX(V702:AG702,1,MATCH(Parametres!$B$3,V$1:AG$1,0)-1)*IF(OR(C702="L",C702="S",C702="I"),-1,1),"")</f>
        <v>0</v>
      </c>
      <c r="AW702" s="794">
        <f t="shared" si="6"/>
        <v>0</v>
      </c>
      <c r="AX702" s="794">
        <f t="array" ref="AX702">INDEX(V702:AG702,1,MATCH(Parametres!$B$3,V$1:AG$1,0))*IF(OR(C702="L",C702="S",C702="I"),-1,1)</f>
        <v>0</v>
      </c>
      <c r="AY702" s="853" t="s">
        <v>772</v>
      </c>
      <c r="AZ702" s="853" t="str">
        <f>+VLOOKUP($AJ702,Data_Validation!$A:$E,5,0)</f>
        <v>Oui</v>
      </c>
    </row>
    <row r="703" ht="15.0" customHeight="1">
      <c r="A703" s="849" t="s">
        <v>1239</v>
      </c>
      <c r="B703" s="849">
        <v>2026.0</v>
      </c>
      <c r="C703" s="849" t="s">
        <v>2633</v>
      </c>
      <c r="D703" s="849" t="s">
        <v>2634</v>
      </c>
      <c r="E703" s="849" t="s">
        <v>2426</v>
      </c>
      <c r="F703" s="849" t="s">
        <v>2426</v>
      </c>
      <c r="G703" s="849">
        <v>464168.65</v>
      </c>
      <c r="H703" s="849">
        <v>724146.28</v>
      </c>
      <c r="I703" s="849">
        <v>1278286.09</v>
      </c>
      <c r="J703" s="849">
        <v>2169663.97</v>
      </c>
      <c r="K703" s="849">
        <v>3106730.33</v>
      </c>
      <c r="L703" s="849">
        <v>3751111.74</v>
      </c>
      <c r="M703" s="849">
        <v>4464265.65</v>
      </c>
      <c r="N703" s="849">
        <v>5254550.86</v>
      </c>
      <c r="O703" s="849">
        <v>5778769.71</v>
      </c>
      <c r="P703" s="849">
        <v>5873635.71</v>
      </c>
      <c r="Q703" s="849">
        <v>0.0</v>
      </c>
      <c r="R703" s="849">
        <v>0.0</v>
      </c>
      <c r="S703" s="849">
        <v>642085.52</v>
      </c>
      <c r="T703" s="849">
        <v>642085.52</v>
      </c>
      <c r="U703" s="849">
        <v>0.0</v>
      </c>
      <c r="V703" s="849">
        <v>15.0</v>
      </c>
      <c r="W703" s="849">
        <v>22.0</v>
      </c>
      <c r="X703" s="849">
        <v>40.0</v>
      </c>
      <c r="Y703" s="849">
        <v>63.0</v>
      </c>
      <c r="Z703" s="849">
        <v>91.0</v>
      </c>
      <c r="AA703" s="849">
        <v>109.0</v>
      </c>
      <c r="AB703" s="849">
        <v>127.0</v>
      </c>
      <c r="AC703" s="849">
        <v>150.0</v>
      </c>
      <c r="AD703" s="849">
        <v>166.0</v>
      </c>
      <c r="AE703" s="849">
        <v>168.0</v>
      </c>
      <c r="AF703" s="849">
        <v>0.0</v>
      </c>
      <c r="AG703" s="849">
        <v>0.0</v>
      </c>
      <c r="AH703" s="849">
        <v>18.0</v>
      </c>
      <c r="AI703" s="849">
        <v>18.0</v>
      </c>
      <c r="AJ703" s="794" t="str">
        <f t="shared" ref="AJ703:AK703" si="1403">C703</f>
        <v>G45001</v>
      </c>
      <c r="AK703" s="794" t="str">
        <f t="shared" si="1403"/>
        <v>VTES-CAM OCC. GM N-CERT</v>
      </c>
      <c r="AL703" s="794">
        <f t="array" ref="AL703">IFERROR(INDEX(G703:R703,1,MATCH(Parametres!$B$3,G$1:R$1,0)-1)*IF(OR(F703="L",F703="S",F703="I"),-1,1),"")</f>
        <v>-5254550.86</v>
      </c>
      <c r="AM703" s="794">
        <f t="shared" si="4"/>
        <v>-524218.85</v>
      </c>
      <c r="AN703" s="794">
        <f t="array" ref="AN703">INDEX(G703:R703,1,MATCH(Parametres!$B$3,G$1:R$1,0))*IF(OR(F703="L",F703="S",F703="I"),-1,1)</f>
        <v>-5778769.71</v>
      </c>
      <c r="AO703" s="853" t="str">
        <f>+VLOOKUP($AJ703,Data_Validation!$A:$D,1,0)</f>
        <v>G45001</v>
      </c>
      <c r="AP703" s="853" t="str">
        <f>+VLOOKUP($AJ703,Data_Validation!$A:$D,3,0)</f>
        <v>Véhicules usagés</v>
      </c>
      <c r="AQ703" s="853" t="str">
        <f>+VLOOKUP($AJ703,Data_Validation!$A:$D,4,0)</f>
        <v>Non Certifié</v>
      </c>
      <c r="AR703" s="853" t="s">
        <v>728</v>
      </c>
      <c r="AS703" s="853" t="str">
        <f>+VLOOKUP($AJ703,Data_Validation!$A:$E,5,0)</f>
        <v>Oui</v>
      </c>
      <c r="AT703" s="794" t="str">
        <f t="shared" ref="AT703:AU703" si="1404">C703</f>
        <v>G45001</v>
      </c>
      <c r="AU703" s="854" t="str">
        <f t="shared" si="1404"/>
        <v>VTES-CAM OCC. GM N-CERT</v>
      </c>
      <c r="AV703" s="794">
        <f t="array" ref="AV703">IFERROR(INDEX(V703:AG703,1,MATCH(Parametres!$B$3,V$1:AG$1,0)-1)*IF(OR(C703="L",C703="S",C703="I"),-1,1),"")</f>
        <v>150</v>
      </c>
      <c r="AW703" s="794">
        <f t="shared" si="6"/>
        <v>16</v>
      </c>
      <c r="AX703" s="794">
        <f t="array" ref="AX703">INDEX(V703:AG703,1,MATCH(Parametres!$B$3,V$1:AG$1,0))*IF(OR(C703="L",C703="S",C703="I"),-1,1)</f>
        <v>166</v>
      </c>
      <c r="AY703" s="853" t="s">
        <v>772</v>
      </c>
      <c r="AZ703" s="853" t="str">
        <f>+VLOOKUP($AJ703,Data_Validation!$A:$E,5,0)</f>
        <v>Oui</v>
      </c>
    </row>
    <row r="704" ht="15.0" customHeight="1">
      <c r="A704" s="849" t="s">
        <v>1239</v>
      </c>
      <c r="B704" s="849">
        <v>2026.0</v>
      </c>
      <c r="C704" s="849" t="s">
        <v>2635</v>
      </c>
      <c r="D704" s="849" t="s">
        <v>2636</v>
      </c>
      <c r="E704" s="849" t="s">
        <v>2426</v>
      </c>
      <c r="F704" s="849" t="s">
        <v>2426</v>
      </c>
      <c r="G704" s="849">
        <v>0.0</v>
      </c>
      <c r="H704" s="849">
        <v>0.0</v>
      </c>
      <c r="I704" s="849">
        <v>0.0</v>
      </c>
      <c r="J704" s="849">
        <v>0.0</v>
      </c>
      <c r="K704" s="849">
        <v>0.0</v>
      </c>
      <c r="L704" s="849">
        <v>0.0</v>
      </c>
      <c r="M704" s="849">
        <v>0.0</v>
      </c>
      <c r="N704" s="849">
        <v>0.0</v>
      </c>
      <c r="O704" s="849">
        <v>0.0</v>
      </c>
      <c r="P704" s="849">
        <v>0.0</v>
      </c>
      <c r="Q704" s="849">
        <v>0.0</v>
      </c>
      <c r="R704" s="849">
        <v>0.0</v>
      </c>
      <c r="S704" s="849">
        <v>0.0</v>
      </c>
      <c r="T704" s="849">
        <v>0.0</v>
      </c>
      <c r="U704" s="849">
        <v>0.0</v>
      </c>
      <c r="V704" s="849">
        <v>0.0</v>
      </c>
      <c r="W704" s="849">
        <v>0.0</v>
      </c>
      <c r="X704" s="849">
        <v>0.0</v>
      </c>
      <c r="Y704" s="849">
        <v>0.0</v>
      </c>
      <c r="Z704" s="849">
        <v>0.0</v>
      </c>
      <c r="AA704" s="849">
        <v>0.0</v>
      </c>
      <c r="AB704" s="849">
        <v>0.0</v>
      </c>
      <c r="AC704" s="849">
        <v>0.0</v>
      </c>
      <c r="AD704" s="849">
        <v>0.0</v>
      </c>
      <c r="AE704" s="849">
        <v>0.0</v>
      </c>
      <c r="AF704" s="849">
        <v>0.0</v>
      </c>
      <c r="AG704" s="849">
        <v>0.0</v>
      </c>
      <c r="AH704" s="849">
        <v>0.0</v>
      </c>
      <c r="AI704" s="849">
        <v>0.0</v>
      </c>
      <c r="AJ704" s="794" t="str">
        <f t="shared" ref="AJ704:AK704" si="1405">C704</f>
        <v>G45002</v>
      </c>
      <c r="AK704" s="794" t="str">
        <f t="shared" si="1405"/>
        <v>VTES- CAMION AUTRE MARQ</v>
      </c>
      <c r="AL704" s="794">
        <f t="array" ref="AL704">IFERROR(INDEX(G704:R704,1,MATCH(Parametres!$B$3,G$1:R$1,0)-1)*IF(OR(F704="L",F704="S",F704="I"),-1,1),"")</f>
        <v>0</v>
      </c>
      <c r="AM704" s="794">
        <f t="shared" si="4"/>
        <v>0</v>
      </c>
      <c r="AN704" s="794">
        <f t="array" ref="AN704">INDEX(G704:R704,1,MATCH(Parametres!$B$3,G$1:R$1,0))*IF(OR(F704="L",F704="S",F704="I"),-1,1)</f>
        <v>0</v>
      </c>
      <c r="AO704" s="853" t="str">
        <f>+VLOOKUP($AJ704,Data_Validation!$A:$D,1,0)</f>
        <v>G45002</v>
      </c>
      <c r="AP704" s="853" t="str">
        <f>+VLOOKUP($AJ704,Data_Validation!$A:$D,3,0)</f>
        <v>Véhicules usagés</v>
      </c>
      <c r="AQ704" s="853" t="str">
        <f>+VLOOKUP($AJ704,Data_Validation!$A:$D,4,0)</f>
        <v>Autres Marques</v>
      </c>
      <c r="AR704" s="853" t="s">
        <v>728</v>
      </c>
      <c r="AS704" s="853" t="str">
        <f>+VLOOKUP($AJ704,Data_Validation!$A:$E,5,0)</f>
        <v/>
      </c>
      <c r="AT704" s="794" t="str">
        <f t="shared" ref="AT704:AU704" si="1406">C704</f>
        <v>G45002</v>
      </c>
      <c r="AU704" s="854" t="str">
        <f t="shared" si="1406"/>
        <v>VTES- CAMION AUTRE MARQ</v>
      </c>
      <c r="AV704" s="794">
        <f t="array" ref="AV704">IFERROR(INDEX(V704:AG704,1,MATCH(Parametres!$B$3,V$1:AG$1,0)-1)*IF(OR(C704="L",C704="S",C704="I"),-1,1),"")</f>
        <v>0</v>
      </c>
      <c r="AW704" s="794">
        <f t="shared" si="6"/>
        <v>0</v>
      </c>
      <c r="AX704" s="794">
        <f t="array" ref="AX704">INDEX(V704:AG704,1,MATCH(Parametres!$B$3,V$1:AG$1,0))*IF(OR(C704="L",C704="S",C704="I"),-1,1)</f>
        <v>0</v>
      </c>
      <c r="AY704" s="853" t="s">
        <v>772</v>
      </c>
      <c r="AZ704" s="853" t="str">
        <f>+VLOOKUP($AJ704,Data_Validation!$A:$E,5,0)</f>
        <v/>
      </c>
    </row>
    <row r="705" ht="15.0" customHeight="1">
      <c r="A705" s="849" t="s">
        <v>1239</v>
      </c>
      <c r="B705" s="849">
        <v>2026.0</v>
      </c>
      <c r="C705" s="849" t="s">
        <v>2637</v>
      </c>
      <c r="D705" s="849" t="s">
        <v>2638</v>
      </c>
      <c r="E705" s="849" t="s">
        <v>2426</v>
      </c>
      <c r="F705" s="849" t="s">
        <v>2426</v>
      </c>
      <c r="G705" s="849">
        <v>0.0</v>
      </c>
      <c r="H705" s="849">
        <v>0.0</v>
      </c>
      <c r="I705" s="849">
        <v>0.0</v>
      </c>
      <c r="J705" s="849">
        <v>0.0</v>
      </c>
      <c r="K705" s="849">
        <v>0.0</v>
      </c>
      <c r="L705" s="849">
        <v>0.0</v>
      </c>
      <c r="M705" s="849">
        <v>163049.32</v>
      </c>
      <c r="N705" s="849">
        <v>336173.43</v>
      </c>
      <c r="O705" s="849">
        <v>336173.43</v>
      </c>
      <c r="P705" s="849">
        <v>336173.43</v>
      </c>
      <c r="Q705" s="849">
        <v>0.0</v>
      </c>
      <c r="R705" s="849">
        <v>0.0</v>
      </c>
      <c r="S705" s="849">
        <v>37352.6</v>
      </c>
      <c r="T705" s="849">
        <v>37352.6</v>
      </c>
      <c r="U705" s="849">
        <v>0.0</v>
      </c>
      <c r="V705" s="849">
        <v>0.0</v>
      </c>
      <c r="W705" s="849">
        <v>0.0</v>
      </c>
      <c r="X705" s="849">
        <v>0.0</v>
      </c>
      <c r="Y705" s="849">
        <v>0.0</v>
      </c>
      <c r="Z705" s="849">
        <v>0.0</v>
      </c>
      <c r="AA705" s="849">
        <v>0.0</v>
      </c>
      <c r="AB705" s="849">
        <v>4.0</v>
      </c>
      <c r="AC705" s="849">
        <v>9.0</v>
      </c>
      <c r="AD705" s="849">
        <v>9.0</v>
      </c>
      <c r="AE705" s="849">
        <v>9.0</v>
      </c>
      <c r="AF705" s="849">
        <v>0.0</v>
      </c>
      <c r="AG705" s="849">
        <v>0.0</v>
      </c>
      <c r="AH705" s="849">
        <v>1.0</v>
      </c>
      <c r="AI705" s="849">
        <v>1.0</v>
      </c>
      <c r="AJ705" s="794" t="str">
        <f t="shared" ref="AJ705:AK705" si="1407">C705</f>
        <v>G45003</v>
      </c>
      <c r="AK705" s="794" t="str">
        <f t="shared" si="1407"/>
        <v>VTES-RACHAT BAIL CAMION</v>
      </c>
      <c r="AL705" s="794">
        <f t="array" ref="AL705">IFERROR(INDEX(G705:R705,1,MATCH(Parametres!$B$3,G$1:R$1,0)-1)*IF(OR(F705="L",F705="S",F705="I"),-1,1),"")</f>
        <v>-336173.43</v>
      </c>
      <c r="AM705" s="794">
        <f t="shared" si="4"/>
        <v>0</v>
      </c>
      <c r="AN705" s="794">
        <f t="array" ref="AN705">INDEX(G705:R705,1,MATCH(Parametres!$B$3,G$1:R$1,0))*IF(OR(F705="L",F705="S",F705="I"),-1,1)</f>
        <v>-336173.43</v>
      </c>
      <c r="AO705" s="853" t="str">
        <f>+VLOOKUP($AJ705,Data_Validation!$A:$D,1,0)</f>
        <v>G45003</v>
      </c>
      <c r="AP705" s="853" t="str">
        <f>+VLOOKUP($AJ705,Data_Validation!$A:$D,3,0)</f>
        <v>Véhicules usagés</v>
      </c>
      <c r="AQ705" s="853" t="str">
        <f>+VLOOKUP($AJ705,Data_Validation!$A:$D,4,0)</f>
        <v>Rachat bail</v>
      </c>
      <c r="AR705" s="853" t="s">
        <v>728</v>
      </c>
      <c r="AS705" s="853" t="str">
        <f>+VLOOKUP($AJ705,Data_Validation!$A:$E,5,0)</f>
        <v>OUI</v>
      </c>
      <c r="AT705" s="794" t="str">
        <f t="shared" ref="AT705:AU705" si="1408">C705</f>
        <v>G45003</v>
      </c>
      <c r="AU705" s="854" t="str">
        <f t="shared" si="1408"/>
        <v>VTES-RACHAT BAIL CAMION</v>
      </c>
      <c r="AV705" s="794">
        <f t="array" ref="AV705">IFERROR(INDEX(V705:AG705,1,MATCH(Parametres!$B$3,V$1:AG$1,0)-1)*IF(OR(C705="L",C705="S",C705="I"),-1,1),"")</f>
        <v>9</v>
      </c>
      <c r="AW705" s="794">
        <f t="shared" si="6"/>
        <v>0</v>
      </c>
      <c r="AX705" s="794">
        <f t="array" ref="AX705">INDEX(V705:AG705,1,MATCH(Parametres!$B$3,V$1:AG$1,0))*IF(OR(C705="L",C705="S",C705="I"),-1,1)</f>
        <v>9</v>
      </c>
      <c r="AY705" s="853" t="s">
        <v>772</v>
      </c>
      <c r="AZ705" s="853" t="str">
        <f>+VLOOKUP($AJ705,Data_Validation!$A:$E,5,0)</f>
        <v>OUI</v>
      </c>
    </row>
    <row r="706" ht="15.0" customHeight="1">
      <c r="A706" s="849" t="s">
        <v>1239</v>
      </c>
      <c r="B706" s="849">
        <v>2026.0</v>
      </c>
      <c r="C706" s="849" t="s">
        <v>2639</v>
      </c>
      <c r="D706" s="849" t="s">
        <v>2640</v>
      </c>
      <c r="E706" s="849" t="s">
        <v>2426</v>
      </c>
      <c r="F706" s="849" t="s">
        <v>2426</v>
      </c>
      <c r="G706" s="849">
        <v>0.0</v>
      </c>
      <c r="H706" s="849">
        <v>0.0</v>
      </c>
      <c r="I706" s="849">
        <v>0.0</v>
      </c>
      <c r="J706" s="849">
        <v>0.0</v>
      </c>
      <c r="K706" s="849">
        <v>0.0</v>
      </c>
      <c r="L706" s="849">
        <v>0.0</v>
      </c>
      <c r="M706" s="849">
        <v>0.0</v>
      </c>
      <c r="N706" s="849">
        <v>0.0</v>
      </c>
      <c r="O706" s="849">
        <v>0.0</v>
      </c>
      <c r="P706" s="849">
        <v>0.0</v>
      </c>
      <c r="Q706" s="849">
        <v>0.0</v>
      </c>
      <c r="R706" s="849">
        <v>0.0</v>
      </c>
      <c r="S706" s="849">
        <v>0.0</v>
      </c>
      <c r="T706" s="849">
        <v>0.0</v>
      </c>
      <c r="U706" s="849">
        <v>0.0</v>
      </c>
      <c r="V706" s="849">
        <v>0.0</v>
      </c>
      <c r="W706" s="849">
        <v>0.0</v>
      </c>
      <c r="X706" s="849">
        <v>0.0</v>
      </c>
      <c r="Y706" s="849">
        <v>0.0</v>
      </c>
      <c r="Z706" s="849">
        <v>0.0</v>
      </c>
      <c r="AA706" s="849">
        <v>0.0</v>
      </c>
      <c r="AB706" s="849">
        <v>0.0</v>
      </c>
      <c r="AC706" s="849">
        <v>0.0</v>
      </c>
      <c r="AD706" s="849">
        <v>0.0</v>
      </c>
      <c r="AE706" s="849">
        <v>0.0</v>
      </c>
      <c r="AF706" s="849">
        <v>0.0</v>
      </c>
      <c r="AG706" s="849">
        <v>0.0</v>
      </c>
      <c r="AH706" s="849">
        <v>0.0</v>
      </c>
      <c r="AI706" s="849">
        <v>0.0</v>
      </c>
      <c r="AJ706" s="794" t="str">
        <f t="shared" ref="AJ706:AK706" si="1409">C706</f>
        <v>G45020</v>
      </c>
      <c r="AK706" s="794" t="str">
        <f t="shared" si="1409"/>
        <v>VTES-CAM USAGE OPT. -LOC.</v>
      </c>
      <c r="AL706" s="794">
        <f t="array" ref="AL706">IFERROR(INDEX(G706:R706,1,MATCH(Parametres!$B$3,G$1:R$1,0)-1)*IF(OR(F706="L",F706="S",F706="I"),-1,1),"")</f>
        <v>0</v>
      </c>
      <c r="AM706" s="794">
        <f t="shared" si="4"/>
        <v>0</v>
      </c>
      <c r="AN706" s="794">
        <f t="array" ref="AN706">INDEX(G706:R706,1,MATCH(Parametres!$B$3,G$1:R$1,0))*IF(OR(F706="L",F706="S",F706="I"),-1,1)</f>
        <v>0</v>
      </c>
      <c r="AO706" s="853" t="str">
        <f>+VLOOKUP($AJ706,Data_Validation!$A:$D,1,0)</f>
        <v>#N/A</v>
      </c>
      <c r="AP706" s="853" t="str">
        <f>+VLOOKUP($AJ706,Data_Validation!$A:$D,3,0)</f>
        <v>#N/A</v>
      </c>
      <c r="AQ706" s="853" t="str">
        <f>+VLOOKUP($AJ706,Data_Validation!$A:$D,4,0)</f>
        <v>#N/A</v>
      </c>
      <c r="AR706" s="853" t="s">
        <v>728</v>
      </c>
      <c r="AS706" s="853" t="str">
        <f>+VLOOKUP($AJ706,Data_Validation!$A:$E,5,0)</f>
        <v>#N/A</v>
      </c>
      <c r="AT706" s="794" t="str">
        <f t="shared" ref="AT706:AU706" si="1410">C706</f>
        <v>G45020</v>
      </c>
      <c r="AU706" s="854" t="str">
        <f t="shared" si="1410"/>
        <v>VTES-CAM USAGE OPT. -LOC.</v>
      </c>
      <c r="AV706" s="794">
        <f t="array" ref="AV706">IFERROR(INDEX(V706:AG706,1,MATCH(Parametres!$B$3,V$1:AG$1,0)-1)*IF(OR(C706="L",C706="S",C706="I"),-1,1),"")</f>
        <v>0</v>
      </c>
      <c r="AW706" s="794">
        <f t="shared" si="6"/>
        <v>0</v>
      </c>
      <c r="AX706" s="794">
        <f t="array" ref="AX706">INDEX(V706:AG706,1,MATCH(Parametres!$B$3,V$1:AG$1,0))*IF(OR(C706="L",C706="S",C706="I"),-1,1)</f>
        <v>0</v>
      </c>
      <c r="AY706" s="853" t="s">
        <v>772</v>
      </c>
      <c r="AZ706" s="853" t="str">
        <f>+VLOOKUP($AJ706,Data_Validation!$A:$E,5,0)</f>
        <v>#N/A</v>
      </c>
    </row>
    <row r="707" ht="15.0" customHeight="1">
      <c r="A707" s="849" t="s">
        <v>1239</v>
      </c>
      <c r="B707" s="849">
        <v>2026.0</v>
      </c>
      <c r="C707" s="849" t="s">
        <v>2641</v>
      </c>
      <c r="D707" s="849" t="s">
        <v>2642</v>
      </c>
      <c r="E707" s="849" t="s">
        <v>768</v>
      </c>
      <c r="F707" s="849" t="s">
        <v>2426</v>
      </c>
      <c r="G707" s="849">
        <v>0.0</v>
      </c>
      <c r="H707" s="849">
        <v>0.0</v>
      </c>
      <c r="I707" s="849">
        <v>0.0</v>
      </c>
      <c r="J707" s="849">
        <v>0.0</v>
      </c>
      <c r="K707" s="849">
        <v>0.0</v>
      </c>
      <c r="L707" s="849">
        <v>0.0</v>
      </c>
      <c r="M707" s="849">
        <v>0.0</v>
      </c>
      <c r="N707" s="849">
        <v>0.0</v>
      </c>
      <c r="O707" s="849">
        <v>0.0</v>
      </c>
      <c r="P707" s="849">
        <v>0.0</v>
      </c>
      <c r="Q707" s="849">
        <v>0.0</v>
      </c>
      <c r="R707" s="849">
        <v>0.0</v>
      </c>
      <c r="S707" s="849">
        <v>0.0</v>
      </c>
      <c r="T707" s="849">
        <v>0.0</v>
      </c>
      <c r="U707" s="849">
        <v>0.0</v>
      </c>
      <c r="V707" s="849">
        <v>0.0</v>
      </c>
      <c r="W707" s="849">
        <v>0.0</v>
      </c>
      <c r="X707" s="849">
        <v>0.0</v>
      </c>
      <c r="Y707" s="849">
        <v>0.0</v>
      </c>
      <c r="Z707" s="849">
        <v>0.0</v>
      </c>
      <c r="AA707" s="849">
        <v>0.0</v>
      </c>
      <c r="AB707" s="849">
        <v>0.0</v>
      </c>
      <c r="AC707" s="849">
        <v>0.0</v>
      </c>
      <c r="AD707" s="849">
        <v>0.0</v>
      </c>
      <c r="AE707" s="849">
        <v>0.0</v>
      </c>
      <c r="AF707" s="849">
        <v>0.0</v>
      </c>
      <c r="AG707" s="849">
        <v>0.0</v>
      </c>
      <c r="AH707" s="849">
        <v>0.0</v>
      </c>
      <c r="AI707" s="849">
        <v>0.0</v>
      </c>
      <c r="AJ707" s="794" t="str">
        <f t="shared" ref="AJ707:AK707" si="1411">C707</f>
        <v>G45100</v>
      </c>
      <c r="AK707" s="794" t="str">
        <f t="shared" si="1411"/>
        <v>*REM.NEUF CAM DET. OPT.</v>
      </c>
      <c r="AL707" s="794">
        <f t="array" ref="AL707">IFERROR(INDEX(G707:R707,1,MATCH(Parametres!$B$3,G$1:R$1,0)-1)*IF(OR(F707="L",F707="S",F707="I"),-1,1),"")</f>
        <v>0</v>
      </c>
      <c r="AM707" s="794">
        <f t="shared" si="4"/>
        <v>0</v>
      </c>
      <c r="AN707" s="794">
        <f t="array" ref="AN707">INDEX(G707:R707,1,MATCH(Parametres!$B$3,G$1:R$1,0))*IF(OR(F707="L",F707="S",F707="I"),-1,1)</f>
        <v>0</v>
      </c>
      <c r="AO707" s="853" t="str">
        <f>+VLOOKUP($AJ707,Data_Validation!$A:$D,1,0)</f>
        <v>G45100</v>
      </c>
      <c r="AP707" s="853" t="str">
        <f>+VLOOKUP($AJ707,Data_Validation!$A:$D,3,0)</f>
        <v/>
      </c>
      <c r="AQ707" s="853" t="str">
        <f>+VLOOKUP($AJ707,Data_Validation!$A:$D,4,0)</f>
        <v/>
      </c>
      <c r="AR707" s="853" t="s">
        <v>728</v>
      </c>
      <c r="AS707" s="853" t="str">
        <f>+VLOOKUP($AJ707,Data_Validation!$A:$E,5,0)</f>
        <v/>
      </c>
      <c r="AT707" s="794" t="str">
        <f t="shared" ref="AT707:AU707" si="1412">C707</f>
        <v>G45100</v>
      </c>
      <c r="AU707" s="854" t="str">
        <f t="shared" si="1412"/>
        <v>*REM.NEUF CAM DET. OPT.</v>
      </c>
      <c r="AV707" s="794">
        <f t="array" ref="AV707">IFERROR(INDEX(V707:AG707,1,MATCH(Parametres!$B$3,V$1:AG$1,0)-1)*IF(OR(C707="L",C707="S",C707="I"),-1,1),"")</f>
        <v>0</v>
      </c>
      <c r="AW707" s="794">
        <f t="shared" si="6"/>
        <v>0</v>
      </c>
      <c r="AX707" s="794">
        <f t="array" ref="AX707">INDEX(V707:AG707,1,MATCH(Parametres!$B$3,V$1:AG$1,0))*IF(OR(C707="L",C707="S",C707="I"),-1,1)</f>
        <v>0</v>
      </c>
      <c r="AY707" s="853" t="s">
        <v>772</v>
      </c>
      <c r="AZ707" s="853" t="str">
        <f>+VLOOKUP($AJ707,Data_Validation!$A:$E,5,0)</f>
        <v/>
      </c>
    </row>
    <row r="708" ht="15.0" customHeight="1">
      <c r="A708" s="849" t="s">
        <v>1239</v>
      </c>
      <c r="B708" s="849">
        <v>2026.0</v>
      </c>
      <c r="C708" s="849" t="s">
        <v>2643</v>
      </c>
      <c r="D708" s="849" t="s">
        <v>2644</v>
      </c>
      <c r="E708" s="849" t="s">
        <v>768</v>
      </c>
      <c r="F708" s="849" t="s">
        <v>2426</v>
      </c>
      <c r="G708" s="849">
        <v>0.0</v>
      </c>
      <c r="H708" s="849">
        <v>0.0</v>
      </c>
      <c r="I708" s="849">
        <v>0.0</v>
      </c>
      <c r="J708" s="849">
        <v>0.0</v>
      </c>
      <c r="K708" s="849">
        <v>0.0</v>
      </c>
      <c r="L708" s="849">
        <v>0.0</v>
      </c>
      <c r="M708" s="849">
        <v>0.0</v>
      </c>
      <c r="N708" s="849">
        <v>0.0</v>
      </c>
      <c r="O708" s="849">
        <v>0.0</v>
      </c>
      <c r="P708" s="849">
        <v>0.0</v>
      </c>
      <c r="Q708" s="849">
        <v>0.0</v>
      </c>
      <c r="R708" s="849">
        <v>0.0</v>
      </c>
      <c r="S708" s="849">
        <v>0.0</v>
      </c>
      <c r="T708" s="849">
        <v>0.0</v>
      </c>
      <c r="U708" s="849">
        <v>0.0</v>
      </c>
      <c r="V708" s="849">
        <v>0.0</v>
      </c>
      <c r="W708" s="849">
        <v>0.0</v>
      </c>
      <c r="X708" s="849">
        <v>0.0</v>
      </c>
      <c r="Y708" s="849">
        <v>0.0</v>
      </c>
      <c r="Z708" s="849">
        <v>0.0</v>
      </c>
      <c r="AA708" s="849">
        <v>0.0</v>
      </c>
      <c r="AB708" s="849">
        <v>0.0</v>
      </c>
      <c r="AC708" s="849">
        <v>0.0</v>
      </c>
      <c r="AD708" s="849">
        <v>0.0</v>
      </c>
      <c r="AE708" s="849">
        <v>0.0</v>
      </c>
      <c r="AF708" s="849">
        <v>0.0</v>
      </c>
      <c r="AG708" s="849">
        <v>0.0</v>
      </c>
      <c r="AH708" s="849">
        <v>0.0</v>
      </c>
      <c r="AI708" s="849">
        <v>0.0</v>
      </c>
      <c r="AJ708" s="794" t="str">
        <f t="shared" ref="AJ708:AK708" si="1413">C708</f>
        <v>G45101</v>
      </c>
      <c r="AK708" s="794" t="str">
        <f t="shared" si="1413"/>
        <v>*REM.NEUF CAM DET.AUTRES</v>
      </c>
      <c r="AL708" s="794">
        <f t="array" ref="AL708">IFERROR(INDEX(G708:R708,1,MATCH(Parametres!$B$3,G$1:R$1,0)-1)*IF(OR(F708="L",F708="S",F708="I"),-1,1),"")</f>
        <v>0</v>
      </c>
      <c r="AM708" s="794">
        <f t="shared" si="4"/>
        <v>0</v>
      </c>
      <c r="AN708" s="794">
        <f t="array" ref="AN708">INDEX(G708:R708,1,MATCH(Parametres!$B$3,G$1:R$1,0))*IF(OR(F708="L",F708="S",F708="I"),-1,1)</f>
        <v>0</v>
      </c>
      <c r="AO708" s="853" t="str">
        <f>+VLOOKUP($AJ708,Data_Validation!$A:$D,1,0)</f>
        <v>G45101</v>
      </c>
      <c r="AP708" s="853" t="str">
        <f>+VLOOKUP($AJ708,Data_Validation!$A:$D,3,0)</f>
        <v/>
      </c>
      <c r="AQ708" s="853" t="str">
        <f>+VLOOKUP($AJ708,Data_Validation!$A:$D,4,0)</f>
        <v/>
      </c>
      <c r="AR708" s="853" t="s">
        <v>728</v>
      </c>
      <c r="AS708" s="853" t="str">
        <f>+VLOOKUP($AJ708,Data_Validation!$A:$E,5,0)</f>
        <v/>
      </c>
      <c r="AT708" s="794" t="str">
        <f t="shared" ref="AT708:AU708" si="1414">C708</f>
        <v>G45101</v>
      </c>
      <c r="AU708" s="854" t="str">
        <f t="shared" si="1414"/>
        <v>*REM.NEUF CAM DET.AUTRES</v>
      </c>
      <c r="AV708" s="794">
        <f t="array" ref="AV708">IFERROR(INDEX(V708:AG708,1,MATCH(Parametres!$B$3,V$1:AG$1,0)-1)*IF(OR(C708="L",C708="S",C708="I"),-1,1),"")</f>
        <v>0</v>
      </c>
      <c r="AW708" s="794">
        <f t="shared" si="6"/>
        <v>0</v>
      </c>
      <c r="AX708" s="794">
        <f t="array" ref="AX708">INDEX(V708:AG708,1,MATCH(Parametres!$B$3,V$1:AG$1,0))*IF(OR(C708="L",C708="S",C708="I"),-1,1)</f>
        <v>0</v>
      </c>
      <c r="AY708" s="853" t="s">
        <v>772</v>
      </c>
      <c r="AZ708" s="853" t="str">
        <f>+VLOOKUP($AJ708,Data_Validation!$A:$E,5,0)</f>
        <v/>
      </c>
    </row>
    <row r="709" ht="15.0" customHeight="1">
      <c r="A709" s="849" t="s">
        <v>1239</v>
      </c>
      <c r="B709" s="849">
        <v>2026.0</v>
      </c>
      <c r="C709" s="849" t="s">
        <v>2645</v>
      </c>
      <c r="D709" s="849" t="s">
        <v>2646</v>
      </c>
      <c r="E709" s="849" t="s">
        <v>768</v>
      </c>
      <c r="F709" s="849" t="s">
        <v>2426</v>
      </c>
      <c r="G709" s="849">
        <v>0.0</v>
      </c>
      <c r="H709" s="849">
        <v>0.0</v>
      </c>
      <c r="I709" s="849">
        <v>0.0</v>
      </c>
      <c r="J709" s="849">
        <v>0.0</v>
      </c>
      <c r="K709" s="849">
        <v>0.0</v>
      </c>
      <c r="L709" s="849">
        <v>0.0</v>
      </c>
      <c r="M709" s="849">
        <v>0.0</v>
      </c>
      <c r="N709" s="849">
        <v>0.0</v>
      </c>
      <c r="O709" s="849">
        <v>0.0</v>
      </c>
      <c r="P709" s="849">
        <v>0.0</v>
      </c>
      <c r="Q709" s="849">
        <v>0.0</v>
      </c>
      <c r="R709" s="849">
        <v>0.0</v>
      </c>
      <c r="S709" s="849">
        <v>0.0</v>
      </c>
      <c r="T709" s="849">
        <v>0.0</v>
      </c>
      <c r="U709" s="849">
        <v>0.0</v>
      </c>
      <c r="V709" s="849">
        <v>0.0</v>
      </c>
      <c r="W709" s="849">
        <v>0.0</v>
      </c>
      <c r="X709" s="849">
        <v>0.0</v>
      </c>
      <c r="Y709" s="849">
        <v>0.0</v>
      </c>
      <c r="Z709" s="849">
        <v>0.0</v>
      </c>
      <c r="AA709" s="849">
        <v>0.0</v>
      </c>
      <c r="AB709" s="849">
        <v>0.0</v>
      </c>
      <c r="AC709" s="849">
        <v>0.0</v>
      </c>
      <c r="AD709" s="849">
        <v>0.0</v>
      </c>
      <c r="AE709" s="849">
        <v>0.0</v>
      </c>
      <c r="AF709" s="849">
        <v>0.0</v>
      </c>
      <c r="AG709" s="849">
        <v>0.0</v>
      </c>
      <c r="AH709" s="849">
        <v>0.0</v>
      </c>
      <c r="AI709" s="849">
        <v>0.0</v>
      </c>
      <c r="AJ709" s="794" t="str">
        <f t="shared" ref="AJ709:AK709" si="1415">C709</f>
        <v>G45120</v>
      </c>
      <c r="AK709" s="794" t="str">
        <f t="shared" si="1415"/>
        <v>*REM.NEUF LOC.CAM.DET.OPT</v>
      </c>
      <c r="AL709" s="794">
        <f t="array" ref="AL709">IFERROR(INDEX(G709:R709,1,MATCH(Parametres!$B$3,G$1:R$1,0)-1)*IF(OR(F709="L",F709="S",F709="I"),-1,1),"")</f>
        <v>0</v>
      </c>
      <c r="AM709" s="794">
        <f t="shared" si="4"/>
        <v>0</v>
      </c>
      <c r="AN709" s="794">
        <f t="array" ref="AN709">INDEX(G709:R709,1,MATCH(Parametres!$B$3,G$1:R$1,0))*IF(OR(F709="L",F709="S",F709="I"),-1,1)</f>
        <v>0</v>
      </c>
      <c r="AO709" s="853" t="str">
        <f>+VLOOKUP($AJ709,Data_Validation!$A:$D,1,0)</f>
        <v>G45120</v>
      </c>
      <c r="AP709" s="853" t="str">
        <f>+VLOOKUP($AJ709,Data_Validation!$A:$D,3,0)</f>
        <v/>
      </c>
      <c r="AQ709" s="853" t="str">
        <f>+VLOOKUP($AJ709,Data_Validation!$A:$D,4,0)</f>
        <v/>
      </c>
      <c r="AR709" s="853" t="s">
        <v>728</v>
      </c>
      <c r="AS709" s="853" t="str">
        <f>+VLOOKUP($AJ709,Data_Validation!$A:$E,5,0)</f>
        <v/>
      </c>
      <c r="AT709" s="794" t="str">
        <f t="shared" ref="AT709:AU709" si="1416">C709</f>
        <v>G45120</v>
      </c>
      <c r="AU709" s="854" t="str">
        <f t="shared" si="1416"/>
        <v>*REM.NEUF LOC.CAM.DET.OPT</v>
      </c>
      <c r="AV709" s="794">
        <f t="array" ref="AV709">IFERROR(INDEX(V709:AG709,1,MATCH(Parametres!$B$3,V$1:AG$1,0)-1)*IF(OR(C709="L",C709="S",C709="I"),-1,1),"")</f>
        <v>0</v>
      </c>
      <c r="AW709" s="794">
        <f t="shared" si="6"/>
        <v>0</v>
      </c>
      <c r="AX709" s="794">
        <f t="array" ref="AX709">INDEX(V709:AG709,1,MATCH(Parametres!$B$3,V$1:AG$1,0))*IF(OR(C709="L",C709="S",C709="I"),-1,1)</f>
        <v>0</v>
      </c>
      <c r="AY709" s="853" t="s">
        <v>772</v>
      </c>
      <c r="AZ709" s="853" t="str">
        <f>+VLOOKUP($AJ709,Data_Validation!$A:$E,5,0)</f>
        <v/>
      </c>
    </row>
    <row r="710" ht="15.0" customHeight="1">
      <c r="A710" s="849" t="s">
        <v>1239</v>
      </c>
      <c r="B710" s="849">
        <v>2026.0</v>
      </c>
      <c r="C710" s="849" t="s">
        <v>2647</v>
      </c>
      <c r="D710" s="849" t="s">
        <v>2648</v>
      </c>
      <c r="E710" s="849" t="s">
        <v>2426</v>
      </c>
      <c r="F710" s="849" t="s">
        <v>2426</v>
      </c>
      <c r="G710" s="849">
        <v>2100379.82</v>
      </c>
      <c r="H710" s="849">
        <v>3762756.44</v>
      </c>
      <c r="I710" s="849">
        <v>6990224.51</v>
      </c>
      <c r="J710" s="849">
        <v>9896233.29</v>
      </c>
      <c r="K710" s="849">
        <v>4745727.26</v>
      </c>
      <c r="L710" s="849">
        <v>5406103.94</v>
      </c>
      <c r="M710" s="849">
        <v>5947334.94</v>
      </c>
      <c r="N710" s="849">
        <v>6873627.27</v>
      </c>
      <c r="O710" s="849">
        <v>7500740.01</v>
      </c>
      <c r="P710" s="849">
        <v>7763770.76</v>
      </c>
      <c r="Q710" s="849">
        <v>0.0</v>
      </c>
      <c r="R710" s="849">
        <v>0.0</v>
      </c>
      <c r="S710" s="849">
        <v>833415.56</v>
      </c>
      <c r="T710" s="849">
        <v>833415.56</v>
      </c>
      <c r="U710" s="849">
        <v>0.0</v>
      </c>
      <c r="V710" s="849">
        <v>58.0</v>
      </c>
      <c r="W710" s="849">
        <v>107.0</v>
      </c>
      <c r="X710" s="849">
        <v>197.0</v>
      </c>
      <c r="Y710" s="849">
        <v>277.0</v>
      </c>
      <c r="Z710" s="849">
        <v>116.0</v>
      </c>
      <c r="AA710" s="849">
        <v>140.0</v>
      </c>
      <c r="AB710" s="849">
        <v>155.0</v>
      </c>
      <c r="AC710" s="849">
        <v>182.0</v>
      </c>
      <c r="AD710" s="849">
        <v>200.0</v>
      </c>
      <c r="AE710" s="849">
        <v>218.0</v>
      </c>
      <c r="AF710" s="849">
        <v>0.0</v>
      </c>
      <c r="AG710" s="849">
        <v>0.0</v>
      </c>
      <c r="AH710" s="849">
        <v>22.0</v>
      </c>
      <c r="AI710" s="849">
        <v>22.0</v>
      </c>
      <c r="AJ710" s="794" t="str">
        <f t="shared" ref="AJ710:AK710" si="1417">C710</f>
        <v>G45200</v>
      </c>
      <c r="AK710" s="794" t="str">
        <f t="shared" si="1417"/>
        <v>VTES-CAMIONS OCC EN GROS</v>
      </c>
      <c r="AL710" s="794">
        <f t="array" ref="AL710">IFERROR(INDEX(G710:R710,1,MATCH(Parametres!$B$3,G$1:R$1,0)-1)*IF(OR(F710="L",F710="S",F710="I"),-1,1),"")</f>
        <v>-6873627.27</v>
      </c>
      <c r="AM710" s="794">
        <f t="shared" si="4"/>
        <v>-627112.74</v>
      </c>
      <c r="AN710" s="794">
        <f t="array" ref="AN710">INDEX(G710:R710,1,MATCH(Parametres!$B$3,G$1:R$1,0))*IF(OR(F710="L",F710="S",F710="I"),-1,1)</f>
        <v>-7500740.01</v>
      </c>
      <c r="AO710" s="853" t="str">
        <f>+VLOOKUP($AJ710,Data_Validation!$A:$D,1,0)</f>
        <v>G45200</v>
      </c>
      <c r="AP710" s="853" t="str">
        <f>+VLOOKUP($AJ710,Data_Validation!$A:$D,3,0)</f>
        <v>Véhicules usagés</v>
      </c>
      <c r="AQ710" s="853" t="str">
        <f>+VLOOKUP($AJ710,Data_Validation!$A:$D,4,0)</f>
        <v>Ventes au Gros</v>
      </c>
      <c r="AR710" s="853" t="s">
        <v>728</v>
      </c>
      <c r="AS710" s="853" t="str">
        <f>+VLOOKUP($AJ710,Data_Validation!$A:$E,5,0)</f>
        <v>Oui</v>
      </c>
      <c r="AT710" s="794" t="str">
        <f t="shared" ref="AT710:AU710" si="1418">C710</f>
        <v>G45200</v>
      </c>
      <c r="AU710" s="854" t="str">
        <f t="shared" si="1418"/>
        <v>VTES-CAMIONS OCC EN GROS</v>
      </c>
      <c r="AV710" s="794">
        <f t="array" ref="AV710">IFERROR(INDEX(V710:AG710,1,MATCH(Parametres!$B$3,V$1:AG$1,0)-1)*IF(OR(C710="L",C710="S",C710="I"),-1,1),"")</f>
        <v>182</v>
      </c>
      <c r="AW710" s="794">
        <f t="shared" si="6"/>
        <v>18</v>
      </c>
      <c r="AX710" s="794">
        <f t="array" ref="AX710">INDEX(V710:AG710,1,MATCH(Parametres!$B$3,V$1:AG$1,0))*IF(OR(C710="L",C710="S",C710="I"),-1,1)</f>
        <v>200</v>
      </c>
      <c r="AY710" s="853" t="s">
        <v>772</v>
      </c>
      <c r="AZ710" s="853" t="str">
        <f>+VLOOKUP($AJ710,Data_Validation!$A:$E,5,0)</f>
        <v>Oui</v>
      </c>
    </row>
    <row r="711" ht="15.0" customHeight="1">
      <c r="A711" s="849" t="s">
        <v>1239</v>
      </c>
      <c r="B711" s="849">
        <v>2026.0</v>
      </c>
      <c r="C711" s="849" t="s">
        <v>2649</v>
      </c>
      <c r="D711" s="849" t="s">
        <v>2650</v>
      </c>
      <c r="E711" s="849" t="s">
        <v>2426</v>
      </c>
      <c r="F711" s="849" t="s">
        <v>2426</v>
      </c>
      <c r="G711" s="849">
        <v>6844500.0</v>
      </c>
      <c r="H711" s="849">
        <v>7395000.0</v>
      </c>
      <c r="I711" s="849">
        <v>1.038395E7</v>
      </c>
      <c r="J711" s="849">
        <v>1.629615E7</v>
      </c>
      <c r="K711" s="849">
        <v>1.824345E7</v>
      </c>
      <c r="L711" s="849">
        <v>2.002835E7</v>
      </c>
      <c r="M711" s="849">
        <v>2.180045E7</v>
      </c>
      <c r="N711" s="849">
        <v>2.295145E7</v>
      </c>
      <c r="O711" s="849">
        <v>2.332995E7</v>
      </c>
      <c r="P711" s="849">
        <v>2.412995E7</v>
      </c>
      <c r="Q711" s="849">
        <v>0.0</v>
      </c>
      <c r="R711" s="849">
        <v>0.0</v>
      </c>
      <c r="S711" s="849">
        <v>2592216.67</v>
      </c>
      <c r="T711" s="849">
        <v>2592216.67</v>
      </c>
      <c r="U711" s="849">
        <v>0.0</v>
      </c>
      <c r="V711" s="849">
        <v>41.0</v>
      </c>
      <c r="W711" s="849">
        <v>44.0</v>
      </c>
      <c r="X711" s="849">
        <v>76.0</v>
      </c>
      <c r="Y711" s="849">
        <v>139.0</v>
      </c>
      <c r="Z711" s="849">
        <v>157.0</v>
      </c>
      <c r="AA711" s="849">
        <v>177.0</v>
      </c>
      <c r="AB711" s="849">
        <v>188.0</v>
      </c>
      <c r="AC711" s="849">
        <v>196.0</v>
      </c>
      <c r="AD711" s="849">
        <v>197.0</v>
      </c>
      <c r="AE711" s="849">
        <v>199.0</v>
      </c>
      <c r="AF711" s="849">
        <v>0.0</v>
      </c>
      <c r="AG711" s="849">
        <v>0.0</v>
      </c>
      <c r="AH711" s="849">
        <v>22.0</v>
      </c>
      <c r="AI711" s="849">
        <v>22.0</v>
      </c>
      <c r="AJ711" s="794" t="str">
        <f t="shared" ref="AJ711:AK711" si="1419">C711</f>
        <v>G45201</v>
      </c>
      <c r="AK711" s="794" t="str">
        <f t="shared" si="1419"/>
        <v>VTES - WHOLESALE W</v>
      </c>
      <c r="AL711" s="794">
        <f t="array" ref="AL711">IFERROR(INDEX(G711:R711,1,MATCH(Parametres!$B$3,G$1:R$1,0)-1)*IF(OR(F711="L",F711="S",F711="I"),-1,1),"")</f>
        <v>-22951450</v>
      </c>
      <c r="AM711" s="794">
        <f t="shared" si="4"/>
        <v>-378500</v>
      </c>
      <c r="AN711" s="794">
        <f t="array" ref="AN711">INDEX(G711:R711,1,MATCH(Parametres!$B$3,G$1:R$1,0))*IF(OR(F711="L",F711="S",F711="I"),-1,1)</f>
        <v>-23329950</v>
      </c>
      <c r="AO711" s="853" t="str">
        <f>+VLOOKUP($AJ711,Data_Validation!$A:$D,1,0)</f>
        <v>G45201</v>
      </c>
      <c r="AP711" s="853" t="str">
        <f>+VLOOKUP($AJ711,Data_Validation!$A:$D,3,0)</f>
        <v>Wholesale autres</v>
      </c>
      <c r="AQ711" s="853" t="str">
        <f>+VLOOKUP($AJ711,Data_Validation!$A:$D,4,0)</f>
        <v>Wholesale Luxueux</v>
      </c>
      <c r="AR711" s="853" t="s">
        <v>728</v>
      </c>
      <c r="AS711" s="853" t="str">
        <f>+VLOOKUP($AJ711,Data_Validation!$A:$E,5,0)</f>
        <v>Oui</v>
      </c>
      <c r="AT711" s="794" t="str">
        <f t="shared" ref="AT711:AU711" si="1420">C711</f>
        <v>G45201</v>
      </c>
      <c r="AU711" s="854" t="str">
        <f t="shared" si="1420"/>
        <v>VTES - WHOLESALE W</v>
      </c>
      <c r="AV711" s="794">
        <f t="array" ref="AV711">IFERROR(INDEX(V711:AG711,1,MATCH(Parametres!$B$3,V$1:AG$1,0)-1)*IF(OR(C711="L",C711="S",C711="I"),-1,1),"")</f>
        <v>196</v>
      </c>
      <c r="AW711" s="794">
        <f t="shared" si="6"/>
        <v>1</v>
      </c>
      <c r="AX711" s="794">
        <f t="array" ref="AX711">INDEX(V711:AG711,1,MATCH(Parametres!$B$3,V$1:AG$1,0))*IF(OR(C711="L",C711="S",C711="I"),-1,1)</f>
        <v>197</v>
      </c>
      <c r="AY711" s="853" t="s">
        <v>772</v>
      </c>
      <c r="AZ711" s="853" t="str">
        <f>+VLOOKUP($AJ711,Data_Validation!$A:$E,5,0)</f>
        <v>Oui</v>
      </c>
    </row>
    <row r="712" ht="15.0" customHeight="1">
      <c r="A712" s="849" t="s">
        <v>1239</v>
      </c>
      <c r="B712" s="849">
        <v>2026.0</v>
      </c>
      <c r="C712" s="849" t="s">
        <v>2651</v>
      </c>
      <c r="D712" s="849" t="s">
        <v>2652</v>
      </c>
      <c r="E712" s="849" t="s">
        <v>2426</v>
      </c>
      <c r="F712" s="849" t="s">
        <v>2426</v>
      </c>
      <c r="G712" s="849">
        <v>0.0</v>
      </c>
      <c r="H712" s="849">
        <v>0.0</v>
      </c>
      <c r="I712" s="849">
        <v>0.0</v>
      </c>
      <c r="J712" s="849">
        <v>0.0</v>
      </c>
      <c r="K712" s="849">
        <v>1503300.0</v>
      </c>
      <c r="L712" s="849">
        <v>2100300.0</v>
      </c>
      <c r="M712" s="849">
        <v>2100300.0</v>
      </c>
      <c r="N712" s="849">
        <v>2100300.0</v>
      </c>
      <c r="O712" s="849">
        <v>2100300.0</v>
      </c>
      <c r="P712" s="849">
        <v>2100300.0</v>
      </c>
      <c r="Q712" s="849">
        <v>0.0</v>
      </c>
      <c r="R712" s="849">
        <v>0.0</v>
      </c>
      <c r="S712" s="849">
        <v>233366.67</v>
      </c>
      <c r="T712" s="849">
        <v>233366.67</v>
      </c>
      <c r="U712" s="849">
        <v>0.0</v>
      </c>
      <c r="V712" s="849">
        <v>0.0</v>
      </c>
      <c r="W712" s="849">
        <v>0.0</v>
      </c>
      <c r="X712" s="849">
        <v>0.0</v>
      </c>
      <c r="Y712" s="849">
        <v>0.0</v>
      </c>
      <c r="Z712" s="849">
        <v>4.0</v>
      </c>
      <c r="AA712" s="849">
        <v>5.0</v>
      </c>
      <c r="AB712" s="849">
        <v>5.0</v>
      </c>
      <c r="AC712" s="849">
        <v>5.0</v>
      </c>
      <c r="AD712" s="849">
        <v>5.0</v>
      </c>
      <c r="AE712" s="849">
        <v>5.0</v>
      </c>
      <c r="AF712" s="849">
        <v>0.0</v>
      </c>
      <c r="AG712" s="849">
        <v>0.0</v>
      </c>
      <c r="AH712" s="849">
        <v>1.0</v>
      </c>
      <c r="AI712" s="849">
        <v>1.0</v>
      </c>
      <c r="AJ712" s="794" t="str">
        <f t="shared" ref="AJ712:AK712" si="1421">C712</f>
        <v>G45202</v>
      </c>
      <c r="AK712" s="794" t="str">
        <f t="shared" si="1421"/>
        <v>VTES- WHOLESALES M</v>
      </c>
      <c r="AL712" s="794">
        <f t="array" ref="AL712">IFERROR(INDEX(G712:R712,1,MATCH(Parametres!$B$3,G$1:R$1,0)-1)*IF(OR(F712="L",F712="S",F712="I"),-1,1),"")</f>
        <v>-2100300</v>
      </c>
      <c r="AM712" s="794">
        <f t="shared" si="4"/>
        <v>0</v>
      </c>
      <c r="AN712" s="794">
        <f t="array" ref="AN712">INDEX(G712:R712,1,MATCH(Parametres!$B$3,G$1:R$1,0))*IF(OR(F712="L",F712="S",F712="I"),-1,1)</f>
        <v>-2100300</v>
      </c>
      <c r="AO712" s="853" t="str">
        <f>+VLOOKUP($AJ712,Data_Validation!$A:$D,1,0)</f>
        <v>G45202</v>
      </c>
      <c r="AP712" s="853" t="str">
        <f>+VLOOKUP($AJ712,Data_Validation!$A:$D,3,0)</f>
        <v>Wholesale autres</v>
      </c>
      <c r="AQ712" s="853" t="str">
        <f>+VLOOKUP($AJ712,Data_Validation!$A:$D,4,0)</f>
        <v>Wholesale Luxueux</v>
      </c>
      <c r="AR712" s="853" t="s">
        <v>728</v>
      </c>
      <c r="AS712" s="853" t="str">
        <f>+VLOOKUP($AJ712,Data_Validation!$A:$E,5,0)</f>
        <v>Oui</v>
      </c>
      <c r="AT712" s="794" t="str">
        <f t="shared" ref="AT712:AU712" si="1422">C712</f>
        <v>G45202</v>
      </c>
      <c r="AU712" s="854" t="str">
        <f t="shared" si="1422"/>
        <v>VTES- WHOLESALES M</v>
      </c>
      <c r="AV712" s="794">
        <f t="array" ref="AV712">IFERROR(INDEX(V712:AG712,1,MATCH(Parametres!$B$3,V$1:AG$1,0)-1)*IF(OR(C712="L",C712="S",C712="I"),-1,1),"")</f>
        <v>5</v>
      </c>
      <c r="AW712" s="794">
        <f t="shared" si="6"/>
        <v>0</v>
      </c>
      <c r="AX712" s="794">
        <f t="array" ref="AX712">INDEX(V712:AG712,1,MATCH(Parametres!$B$3,V$1:AG$1,0))*IF(OR(C712="L",C712="S",C712="I"),-1,1)</f>
        <v>5</v>
      </c>
      <c r="AY712" s="853" t="s">
        <v>772</v>
      </c>
      <c r="AZ712" s="853" t="str">
        <f>+VLOOKUP($AJ712,Data_Validation!$A:$E,5,0)</f>
        <v>Oui</v>
      </c>
    </row>
    <row r="713" ht="15.0" customHeight="1">
      <c r="A713" s="849" t="s">
        <v>1239</v>
      </c>
      <c r="B713" s="849">
        <v>2026.0</v>
      </c>
      <c r="C713" s="849" t="s">
        <v>2653</v>
      </c>
      <c r="D713" s="849" t="s">
        <v>2654</v>
      </c>
      <c r="E713" s="849" t="s">
        <v>768</v>
      </c>
      <c r="F713" s="849" t="s">
        <v>2426</v>
      </c>
      <c r="G713" s="849">
        <v>0.0</v>
      </c>
      <c r="H713" s="849">
        <v>0.0</v>
      </c>
      <c r="I713" s="849">
        <v>0.0</v>
      </c>
      <c r="J713" s="849">
        <v>0.0</v>
      </c>
      <c r="K713" s="849">
        <v>0.0</v>
      </c>
      <c r="L713" s="849">
        <v>0.0</v>
      </c>
      <c r="M713" s="849">
        <v>0.0</v>
      </c>
      <c r="N713" s="849">
        <v>0.0</v>
      </c>
      <c r="O713" s="849">
        <v>0.0</v>
      </c>
      <c r="P713" s="849">
        <v>0.0</v>
      </c>
      <c r="Q713" s="849">
        <v>0.0</v>
      </c>
      <c r="R713" s="849">
        <v>0.0</v>
      </c>
      <c r="S713" s="849">
        <v>0.0</v>
      </c>
      <c r="T713" s="849">
        <v>0.0</v>
      </c>
      <c r="U713" s="849">
        <v>0.0</v>
      </c>
      <c r="V713" s="849">
        <v>0.0</v>
      </c>
      <c r="W713" s="849">
        <v>0.0</v>
      </c>
      <c r="X713" s="849">
        <v>0.0</v>
      </c>
      <c r="Y713" s="849">
        <v>0.0</v>
      </c>
      <c r="Z713" s="849">
        <v>0.0</v>
      </c>
      <c r="AA713" s="849">
        <v>0.0</v>
      </c>
      <c r="AB713" s="849">
        <v>0.0</v>
      </c>
      <c r="AC713" s="849">
        <v>0.0</v>
      </c>
      <c r="AD713" s="849">
        <v>0.0</v>
      </c>
      <c r="AE713" s="849">
        <v>0.0</v>
      </c>
      <c r="AF713" s="849">
        <v>0.0</v>
      </c>
      <c r="AG713" s="849">
        <v>0.0</v>
      </c>
      <c r="AH713" s="849">
        <v>0.0</v>
      </c>
      <c r="AI713" s="849">
        <v>0.0</v>
      </c>
      <c r="AJ713" s="794" t="str">
        <f t="shared" ref="AJ713:AK713" si="1423">C713</f>
        <v>G45300</v>
      </c>
      <c r="AK713" s="794" t="str">
        <f t="shared" si="1423"/>
        <v>*RECTIFICATION/STOK/TRUCK</v>
      </c>
      <c r="AL713" s="794">
        <f t="array" ref="AL713">IFERROR(INDEX(G713:R713,1,MATCH(Parametres!$B$3,G$1:R$1,0)-1)*IF(OR(F713="L",F713="S",F713="I"),-1,1),"")</f>
        <v>0</v>
      </c>
      <c r="AM713" s="794">
        <f t="shared" si="4"/>
        <v>0</v>
      </c>
      <c r="AN713" s="794">
        <f t="array" ref="AN713">INDEX(G713:R713,1,MATCH(Parametres!$B$3,G$1:R$1,0))*IF(OR(F713="L",F713="S",F713="I"),-1,1)</f>
        <v>0</v>
      </c>
      <c r="AO713" s="853" t="str">
        <f>+VLOOKUP($AJ713,Data_Validation!$A:$D,1,0)</f>
        <v>G45300</v>
      </c>
      <c r="AP713" s="853" t="str">
        <f>+VLOOKUP($AJ713,Data_Validation!$A:$D,3,0)</f>
        <v/>
      </c>
      <c r="AQ713" s="853" t="str">
        <f>+VLOOKUP($AJ713,Data_Validation!$A:$D,4,0)</f>
        <v/>
      </c>
      <c r="AR713" s="853" t="s">
        <v>728</v>
      </c>
      <c r="AS713" s="853" t="str">
        <f>+VLOOKUP($AJ713,Data_Validation!$A:$E,5,0)</f>
        <v/>
      </c>
      <c r="AT713" s="794" t="str">
        <f t="shared" ref="AT713:AU713" si="1424">C713</f>
        <v>G45300</v>
      </c>
      <c r="AU713" s="854" t="str">
        <f t="shared" si="1424"/>
        <v>*RECTIFICATION/STOK/TRUCK</v>
      </c>
      <c r="AV713" s="794">
        <f t="array" ref="AV713">IFERROR(INDEX(V713:AG713,1,MATCH(Parametres!$B$3,V$1:AG$1,0)-1)*IF(OR(C713="L",C713="S",C713="I"),-1,1),"")</f>
        <v>0</v>
      </c>
      <c r="AW713" s="794">
        <f t="shared" si="6"/>
        <v>0</v>
      </c>
      <c r="AX713" s="794">
        <f t="array" ref="AX713">INDEX(V713:AG713,1,MATCH(Parametres!$B$3,V$1:AG$1,0))*IF(OR(C713="L",C713="S",C713="I"),-1,1)</f>
        <v>0</v>
      </c>
      <c r="AY713" s="853" t="s">
        <v>772</v>
      </c>
      <c r="AZ713" s="853" t="str">
        <f>+VLOOKUP($AJ713,Data_Validation!$A:$E,5,0)</f>
        <v/>
      </c>
    </row>
    <row r="714" ht="15.0" customHeight="1">
      <c r="A714" s="849" t="s">
        <v>1239</v>
      </c>
      <c r="B714" s="849">
        <v>2026.0</v>
      </c>
      <c r="C714" s="849" t="s">
        <v>2655</v>
      </c>
      <c r="D714" s="849" t="s">
        <v>2656</v>
      </c>
      <c r="E714" s="849" t="s">
        <v>768</v>
      </c>
      <c r="F714" s="849" t="s">
        <v>2426</v>
      </c>
      <c r="G714" s="849">
        <v>0.0</v>
      </c>
      <c r="H714" s="849">
        <v>0.0</v>
      </c>
      <c r="I714" s="849">
        <v>0.0</v>
      </c>
      <c r="J714" s="849">
        <v>0.0</v>
      </c>
      <c r="K714" s="849">
        <v>0.0</v>
      </c>
      <c r="L714" s="849">
        <v>0.0</v>
      </c>
      <c r="M714" s="849">
        <v>0.0</v>
      </c>
      <c r="N714" s="849">
        <v>0.0</v>
      </c>
      <c r="O714" s="849">
        <v>0.0</v>
      </c>
      <c r="P714" s="849">
        <v>0.0</v>
      </c>
      <c r="Q714" s="849">
        <v>0.0</v>
      </c>
      <c r="R714" s="849">
        <v>0.0</v>
      </c>
      <c r="S714" s="849">
        <v>0.0</v>
      </c>
      <c r="T714" s="849">
        <v>0.0</v>
      </c>
      <c r="U714" s="849">
        <v>0.0</v>
      </c>
      <c r="V714" s="849">
        <v>0.0</v>
      </c>
      <c r="W714" s="849">
        <v>0.0</v>
      </c>
      <c r="X714" s="849">
        <v>0.0</v>
      </c>
      <c r="Y714" s="849">
        <v>0.0</v>
      </c>
      <c r="Z714" s="849">
        <v>0.0</v>
      </c>
      <c r="AA714" s="849">
        <v>0.0</v>
      </c>
      <c r="AB714" s="849">
        <v>0.0</v>
      </c>
      <c r="AC714" s="849">
        <v>0.0</v>
      </c>
      <c r="AD714" s="849">
        <v>0.0</v>
      </c>
      <c r="AE714" s="849">
        <v>0.0</v>
      </c>
      <c r="AF714" s="849">
        <v>0.0</v>
      </c>
      <c r="AG714" s="849">
        <v>0.0</v>
      </c>
      <c r="AH714" s="849">
        <v>0.0</v>
      </c>
      <c r="AI714" s="849">
        <v>0.0</v>
      </c>
      <c r="AJ714" s="794" t="str">
        <f t="shared" ref="AJ714:AK714" si="1425">C714</f>
        <v>G45301</v>
      </c>
      <c r="AK714" s="794" t="str">
        <f t="shared" si="1425"/>
        <v>VTES- PRT ANTIROUILLE US</v>
      </c>
      <c r="AL714" s="794">
        <f t="array" ref="AL714">IFERROR(INDEX(G714:R714,1,MATCH(Parametres!$B$3,G$1:R$1,0)-1)*IF(OR(F714="L",F714="S",F714="I"),-1,1),"")</f>
        <v>0</v>
      </c>
      <c r="AM714" s="794">
        <f t="shared" si="4"/>
        <v>0</v>
      </c>
      <c r="AN714" s="794">
        <f t="array" ref="AN714">INDEX(G714:R714,1,MATCH(Parametres!$B$3,G$1:R$1,0))*IF(OR(F714="L",F714="S",F714="I"),-1,1)</f>
        <v>0</v>
      </c>
      <c r="AO714" s="853" t="str">
        <f>+VLOOKUP($AJ714,Data_Validation!$A:$D,1,0)</f>
        <v>#N/A</v>
      </c>
      <c r="AP714" s="853" t="str">
        <f>+VLOOKUP($AJ714,Data_Validation!$A:$D,3,0)</f>
        <v>#N/A</v>
      </c>
      <c r="AQ714" s="853" t="str">
        <f>+VLOOKUP($AJ714,Data_Validation!$A:$D,4,0)</f>
        <v>#N/A</v>
      </c>
      <c r="AR714" s="853" t="s">
        <v>728</v>
      </c>
      <c r="AS714" s="853" t="str">
        <f>+VLOOKUP($AJ714,Data_Validation!$A:$E,5,0)</f>
        <v>#N/A</v>
      </c>
      <c r="AT714" s="794" t="str">
        <f t="shared" ref="AT714:AU714" si="1426">C714</f>
        <v>G45301</v>
      </c>
      <c r="AU714" s="854" t="str">
        <f t="shared" si="1426"/>
        <v>VTES- PRT ANTIROUILLE US</v>
      </c>
      <c r="AV714" s="794">
        <f t="array" ref="AV714">IFERROR(INDEX(V714:AG714,1,MATCH(Parametres!$B$3,V$1:AG$1,0)-1)*IF(OR(C714="L",C714="S",C714="I"),-1,1),"")</f>
        <v>0</v>
      </c>
      <c r="AW714" s="794">
        <f t="shared" si="6"/>
        <v>0</v>
      </c>
      <c r="AX714" s="794">
        <f t="array" ref="AX714">INDEX(V714:AG714,1,MATCH(Parametres!$B$3,V$1:AG$1,0))*IF(OR(C714="L",C714="S",C714="I"),-1,1)</f>
        <v>0</v>
      </c>
      <c r="AY714" s="853" t="s">
        <v>772</v>
      </c>
      <c r="AZ714" s="853" t="str">
        <f>+VLOOKUP($AJ714,Data_Validation!$A:$E,5,0)</f>
        <v>#N/A</v>
      </c>
    </row>
    <row r="715" ht="15.0" customHeight="1">
      <c r="A715" s="849" t="s">
        <v>1239</v>
      </c>
      <c r="B715" s="849">
        <v>2026.0</v>
      </c>
      <c r="C715" s="849" t="s">
        <v>2657</v>
      </c>
      <c r="D715" s="849" t="s">
        <v>2658</v>
      </c>
      <c r="E715" s="849" t="s">
        <v>768</v>
      </c>
      <c r="F715" s="849" t="s">
        <v>2426</v>
      </c>
      <c r="G715" s="849">
        <v>0.0</v>
      </c>
      <c r="H715" s="849">
        <v>0.0</v>
      </c>
      <c r="I715" s="849">
        <v>0.0</v>
      </c>
      <c r="J715" s="849">
        <v>0.0</v>
      </c>
      <c r="K715" s="849">
        <v>0.0</v>
      </c>
      <c r="L715" s="849">
        <v>0.0</v>
      </c>
      <c r="M715" s="849">
        <v>0.0</v>
      </c>
      <c r="N715" s="849">
        <v>0.0</v>
      </c>
      <c r="O715" s="849">
        <v>0.0</v>
      </c>
      <c r="P715" s="849">
        <v>0.0</v>
      </c>
      <c r="Q715" s="849">
        <v>0.0</v>
      </c>
      <c r="R715" s="849">
        <v>0.0</v>
      </c>
      <c r="S715" s="849">
        <v>0.0</v>
      </c>
      <c r="T715" s="849">
        <v>0.0</v>
      </c>
      <c r="U715" s="849">
        <v>0.0</v>
      </c>
      <c r="V715" s="849">
        <v>0.0</v>
      </c>
      <c r="W715" s="849">
        <v>0.0</v>
      </c>
      <c r="X715" s="849">
        <v>0.0</v>
      </c>
      <c r="Y715" s="849">
        <v>0.0</v>
      </c>
      <c r="Z715" s="849">
        <v>0.0</v>
      </c>
      <c r="AA715" s="849">
        <v>0.0</v>
      </c>
      <c r="AB715" s="849">
        <v>0.0</v>
      </c>
      <c r="AC715" s="849">
        <v>0.0</v>
      </c>
      <c r="AD715" s="849">
        <v>0.0</v>
      </c>
      <c r="AE715" s="849">
        <v>0.0</v>
      </c>
      <c r="AF715" s="849">
        <v>0.0</v>
      </c>
      <c r="AG715" s="849">
        <v>0.0</v>
      </c>
      <c r="AH715" s="849">
        <v>0.0</v>
      </c>
      <c r="AI715" s="849">
        <v>0.0</v>
      </c>
      <c r="AJ715" s="794" t="str">
        <f t="shared" ref="AJ715:AK715" si="1427">C715</f>
        <v>G45305</v>
      </c>
      <c r="AK715" s="794" t="str">
        <f t="shared" si="1427"/>
        <v>VTE-PRT DOMINO-TAG USAGE</v>
      </c>
      <c r="AL715" s="794">
        <f t="array" ref="AL715">IFERROR(INDEX(G715:R715,1,MATCH(Parametres!$B$3,G$1:R$1,0)-1)*IF(OR(F715="L",F715="S",F715="I"),-1,1),"")</f>
        <v>0</v>
      </c>
      <c r="AM715" s="794">
        <f t="shared" si="4"/>
        <v>0</v>
      </c>
      <c r="AN715" s="794">
        <f t="array" ref="AN715">INDEX(G715:R715,1,MATCH(Parametres!$B$3,G$1:R$1,0))*IF(OR(F715="L",F715="S",F715="I"),-1,1)</f>
        <v>0</v>
      </c>
      <c r="AO715" s="853" t="str">
        <f>+VLOOKUP($AJ715,Data_Validation!$A:$D,1,0)</f>
        <v>#N/A</v>
      </c>
      <c r="AP715" s="853" t="str">
        <f>+VLOOKUP($AJ715,Data_Validation!$A:$D,3,0)</f>
        <v>#N/A</v>
      </c>
      <c r="AQ715" s="853" t="str">
        <f>+VLOOKUP($AJ715,Data_Validation!$A:$D,4,0)</f>
        <v>#N/A</v>
      </c>
      <c r="AR715" s="853" t="s">
        <v>728</v>
      </c>
      <c r="AS715" s="853" t="str">
        <f>+VLOOKUP($AJ715,Data_Validation!$A:$E,5,0)</f>
        <v>#N/A</v>
      </c>
      <c r="AT715" s="794" t="str">
        <f t="shared" ref="AT715:AU715" si="1428">C715</f>
        <v>G45305</v>
      </c>
      <c r="AU715" s="854" t="str">
        <f t="shared" si="1428"/>
        <v>VTE-PRT DOMINO-TAG USAGE</v>
      </c>
      <c r="AV715" s="794">
        <f t="array" ref="AV715">IFERROR(INDEX(V715:AG715,1,MATCH(Parametres!$B$3,V$1:AG$1,0)-1)*IF(OR(C715="L",C715="S",C715="I"),-1,1),"")</f>
        <v>0</v>
      </c>
      <c r="AW715" s="794">
        <f t="shared" si="6"/>
        <v>0</v>
      </c>
      <c r="AX715" s="794">
        <f t="array" ref="AX715">INDEX(V715:AG715,1,MATCH(Parametres!$B$3,V$1:AG$1,0))*IF(OR(C715="L",C715="S",C715="I"),-1,1)</f>
        <v>0</v>
      </c>
      <c r="AY715" s="853" t="s">
        <v>772</v>
      </c>
      <c r="AZ715" s="853" t="str">
        <f>+VLOOKUP($AJ715,Data_Validation!$A:$E,5,0)</f>
        <v>#N/A</v>
      </c>
    </row>
    <row r="716" ht="15.0" customHeight="1">
      <c r="A716" s="849" t="s">
        <v>1239</v>
      </c>
      <c r="B716" s="849">
        <v>2026.0</v>
      </c>
      <c r="C716" s="849" t="s">
        <v>2659</v>
      </c>
      <c r="D716" s="849" t="s">
        <v>2660</v>
      </c>
      <c r="E716" s="849" t="s">
        <v>768</v>
      </c>
      <c r="F716" s="849" t="s">
        <v>2426</v>
      </c>
      <c r="G716" s="849">
        <v>32386.73</v>
      </c>
      <c r="H716" s="849">
        <v>41911.73</v>
      </c>
      <c r="I716" s="849">
        <v>60622.73</v>
      </c>
      <c r="J716" s="849">
        <v>95459.73</v>
      </c>
      <c r="K716" s="849">
        <v>126732.73</v>
      </c>
      <c r="L716" s="849">
        <v>155831.73</v>
      </c>
      <c r="M716" s="849">
        <v>155831.73</v>
      </c>
      <c r="N716" s="849">
        <v>173727.73</v>
      </c>
      <c r="O716" s="849">
        <v>176686.73</v>
      </c>
      <c r="P716" s="849">
        <v>176686.73</v>
      </c>
      <c r="Q716" s="849">
        <v>0.0</v>
      </c>
      <c r="R716" s="849">
        <v>0.0</v>
      </c>
      <c r="S716" s="849">
        <v>19631.86</v>
      </c>
      <c r="T716" s="849">
        <v>19631.86</v>
      </c>
      <c r="U716" s="849">
        <v>0.0</v>
      </c>
      <c r="V716" s="849">
        <v>9.0</v>
      </c>
      <c r="W716" s="849">
        <v>12.0</v>
      </c>
      <c r="X716" s="849">
        <v>17.0</v>
      </c>
      <c r="Y716" s="849">
        <v>26.0</v>
      </c>
      <c r="Z716" s="849">
        <v>35.0</v>
      </c>
      <c r="AA716" s="849">
        <v>43.0</v>
      </c>
      <c r="AB716" s="849">
        <v>43.0</v>
      </c>
      <c r="AC716" s="849">
        <v>48.0</v>
      </c>
      <c r="AD716" s="849">
        <v>49.0</v>
      </c>
      <c r="AE716" s="849">
        <v>49.0</v>
      </c>
      <c r="AF716" s="849">
        <v>0.0</v>
      </c>
      <c r="AG716" s="849">
        <v>0.0</v>
      </c>
      <c r="AH716" s="849">
        <v>5.0</v>
      </c>
      <c r="AI716" s="849">
        <v>5.0</v>
      </c>
      <c r="AJ716" s="794" t="str">
        <f t="shared" ref="AJ716:AK716" si="1429">C716</f>
        <v>G45400</v>
      </c>
      <c r="AK716" s="794" t="str">
        <f t="shared" si="1429"/>
        <v>VTES-PLAN PROTECTION USAG</v>
      </c>
      <c r="AL716" s="794">
        <f t="array" ref="AL716">IFERROR(INDEX(G716:R716,1,MATCH(Parametres!$B$3,G$1:R$1,0)-1)*IF(OR(F716="L",F716="S",F716="I"),-1,1),"")</f>
        <v>-173727.73</v>
      </c>
      <c r="AM716" s="794">
        <f t="shared" si="4"/>
        <v>-2959</v>
      </c>
      <c r="AN716" s="794">
        <f t="array" ref="AN716">INDEX(G716:R716,1,MATCH(Parametres!$B$3,G$1:R$1,0))*IF(OR(F716="L",F716="S",F716="I"),-1,1)</f>
        <v>-176686.73</v>
      </c>
      <c r="AO716" s="853" t="str">
        <f>+VLOOKUP($AJ716,Data_Validation!$A:$D,1,0)</f>
        <v>G45400</v>
      </c>
      <c r="AP716" s="853" t="str">
        <f>+VLOOKUP($AJ716,Data_Validation!$A:$D,3,0)</f>
        <v>Véhicules usagés</v>
      </c>
      <c r="AQ716" s="853" t="str">
        <f>+VLOOKUP($AJ716,Data_Validation!$A:$D,4,0)</f>
        <v>Rev. Protections</v>
      </c>
      <c r="AR716" s="853" t="s">
        <v>728</v>
      </c>
      <c r="AS716" s="853" t="str">
        <f>+VLOOKUP($AJ716,Data_Validation!$A:$E,5,0)</f>
        <v>Oui</v>
      </c>
      <c r="AT716" s="794" t="str">
        <f t="shared" ref="AT716:AU716" si="1430">C716</f>
        <v>G45400</v>
      </c>
      <c r="AU716" s="854" t="str">
        <f t="shared" si="1430"/>
        <v>VTES-PLAN PROTECTION USAG</v>
      </c>
      <c r="AV716" s="794">
        <f t="array" ref="AV716">IFERROR(INDEX(V716:AG716,1,MATCH(Parametres!$B$3,V$1:AG$1,0)-1)*IF(OR(C716="L",C716="S",C716="I"),-1,1),"")</f>
        <v>48</v>
      </c>
      <c r="AW716" s="794">
        <f t="shared" si="6"/>
        <v>1</v>
      </c>
      <c r="AX716" s="794">
        <f t="array" ref="AX716">INDEX(V716:AG716,1,MATCH(Parametres!$B$3,V$1:AG$1,0))*IF(OR(C716="L",C716="S",C716="I"),-1,1)</f>
        <v>49</v>
      </c>
      <c r="AY716" s="853" t="s">
        <v>772</v>
      </c>
      <c r="AZ716" s="853" t="str">
        <f>+VLOOKUP($AJ716,Data_Validation!$A:$E,5,0)</f>
        <v>Oui</v>
      </c>
    </row>
    <row r="717" ht="15.0" customHeight="1">
      <c r="A717" s="849" t="s">
        <v>1239</v>
      </c>
      <c r="B717" s="849">
        <v>2026.0</v>
      </c>
      <c r="C717" s="849" t="s">
        <v>2661</v>
      </c>
      <c r="D717" s="849" t="s">
        <v>2662</v>
      </c>
      <c r="E717" s="849" t="s">
        <v>768</v>
      </c>
      <c r="F717" s="849" t="s">
        <v>2426</v>
      </c>
      <c r="G717" s="849">
        <v>0.0</v>
      </c>
      <c r="H717" s="849">
        <v>0.0</v>
      </c>
      <c r="I717" s="849">
        <v>0.0</v>
      </c>
      <c r="J717" s="849">
        <v>0.0</v>
      </c>
      <c r="K717" s="849">
        <v>0.0</v>
      </c>
      <c r="L717" s="849">
        <v>0.0</v>
      </c>
      <c r="M717" s="849">
        <v>8535.0</v>
      </c>
      <c r="N717" s="849">
        <v>8535.0</v>
      </c>
      <c r="O717" s="849">
        <v>8535.0</v>
      </c>
      <c r="P717" s="849">
        <v>8535.0</v>
      </c>
      <c r="Q717" s="849">
        <v>0.0</v>
      </c>
      <c r="R717" s="849">
        <v>0.0</v>
      </c>
      <c r="S717" s="849">
        <v>948.33</v>
      </c>
      <c r="T717" s="849">
        <v>948.33</v>
      </c>
      <c r="U717" s="849">
        <v>0.0</v>
      </c>
      <c r="V717" s="849">
        <v>0.0</v>
      </c>
      <c r="W717" s="849">
        <v>0.0</v>
      </c>
      <c r="X717" s="849">
        <v>0.0</v>
      </c>
      <c r="Y717" s="849">
        <v>0.0</v>
      </c>
      <c r="Z717" s="849">
        <v>0.0</v>
      </c>
      <c r="AA717" s="849">
        <v>0.0</v>
      </c>
      <c r="AB717" s="849">
        <v>3.0</v>
      </c>
      <c r="AC717" s="849">
        <v>3.0</v>
      </c>
      <c r="AD717" s="849">
        <v>3.0</v>
      </c>
      <c r="AE717" s="849">
        <v>3.0</v>
      </c>
      <c r="AF717" s="849">
        <v>0.0</v>
      </c>
      <c r="AG717" s="849">
        <v>0.0</v>
      </c>
      <c r="AH717" s="849">
        <v>0.0</v>
      </c>
      <c r="AI717" s="849">
        <v>0.0</v>
      </c>
      <c r="AJ717" s="794" t="str">
        <f t="shared" ref="AJ717:AK717" si="1431">C717</f>
        <v>G45401</v>
      </c>
      <c r="AK717" s="794" t="str">
        <f t="shared" si="1431"/>
        <v>VTES ANTIROUILLE USAGE</v>
      </c>
      <c r="AL717" s="794">
        <f t="array" ref="AL717">IFERROR(INDEX(G717:R717,1,MATCH(Parametres!$B$3,G$1:R$1,0)-1)*IF(OR(F717="L",F717="S",F717="I"),-1,1),"")</f>
        <v>-8535</v>
      </c>
      <c r="AM717" s="794">
        <f t="shared" si="4"/>
        <v>0</v>
      </c>
      <c r="AN717" s="794">
        <f t="array" ref="AN717">INDEX(G717:R717,1,MATCH(Parametres!$B$3,G$1:R$1,0))*IF(OR(F717="L",F717="S",F717="I"),-1,1)</f>
        <v>-8535</v>
      </c>
      <c r="AO717" s="853" t="str">
        <f>+VLOOKUP($AJ717,Data_Validation!$A:$D,1,0)</f>
        <v>G45401</v>
      </c>
      <c r="AP717" s="853" t="str">
        <f>+VLOOKUP($AJ717,Data_Validation!$A:$D,3,0)</f>
        <v>Véhicules usagés</v>
      </c>
      <c r="AQ717" s="853" t="str">
        <f>+VLOOKUP($AJ717,Data_Validation!$A:$D,4,0)</f>
        <v>Rev. Protections</v>
      </c>
      <c r="AR717" s="853" t="s">
        <v>728</v>
      </c>
      <c r="AS717" s="853" t="str">
        <f>+VLOOKUP($AJ717,Data_Validation!$A:$E,5,0)</f>
        <v>Oui</v>
      </c>
      <c r="AT717" s="794" t="str">
        <f t="shared" ref="AT717:AU717" si="1432">C717</f>
        <v>G45401</v>
      </c>
      <c r="AU717" s="854" t="str">
        <f t="shared" si="1432"/>
        <v>VTES ANTIROUILLE USAGE</v>
      </c>
      <c r="AV717" s="794">
        <f t="array" ref="AV717">IFERROR(INDEX(V717:AG717,1,MATCH(Parametres!$B$3,V$1:AG$1,0)-1)*IF(OR(C717="L",C717="S",C717="I"),-1,1),"")</f>
        <v>3</v>
      </c>
      <c r="AW717" s="794">
        <f t="shared" si="6"/>
        <v>0</v>
      </c>
      <c r="AX717" s="794">
        <f t="array" ref="AX717">INDEX(V717:AG717,1,MATCH(Parametres!$B$3,V$1:AG$1,0))*IF(OR(C717="L",C717="S",C717="I"),-1,1)</f>
        <v>3</v>
      </c>
      <c r="AY717" s="853" t="s">
        <v>772</v>
      </c>
      <c r="AZ717" s="853" t="str">
        <f>+VLOOKUP($AJ717,Data_Validation!$A:$E,5,0)</f>
        <v>Oui</v>
      </c>
    </row>
    <row r="718" ht="15.0" customHeight="1">
      <c r="A718" s="849" t="s">
        <v>1239</v>
      </c>
      <c r="B718" s="849">
        <v>2026.0</v>
      </c>
      <c r="C718" s="849" t="s">
        <v>2663</v>
      </c>
      <c r="D718" s="849" t="s">
        <v>2664</v>
      </c>
      <c r="E718" s="849" t="s">
        <v>768</v>
      </c>
      <c r="F718" s="849" t="s">
        <v>2426</v>
      </c>
      <c r="G718" s="849">
        <v>0.0</v>
      </c>
      <c r="H718" s="849">
        <v>0.0</v>
      </c>
      <c r="I718" s="849">
        <v>0.0</v>
      </c>
      <c r="J718" s="849">
        <v>0.0</v>
      </c>
      <c r="K718" s="849">
        <v>0.0</v>
      </c>
      <c r="L718" s="849">
        <v>0.0</v>
      </c>
      <c r="M718" s="849">
        <v>0.0</v>
      </c>
      <c r="N718" s="849">
        <v>0.0</v>
      </c>
      <c r="O718" s="849">
        <v>0.0</v>
      </c>
      <c r="P718" s="849">
        <v>0.0</v>
      </c>
      <c r="Q718" s="849">
        <v>0.0</v>
      </c>
      <c r="R718" s="849">
        <v>0.0</v>
      </c>
      <c r="S718" s="849">
        <v>0.0</v>
      </c>
      <c r="T718" s="849">
        <v>0.0</v>
      </c>
      <c r="U718" s="849">
        <v>0.0</v>
      </c>
      <c r="V718" s="849">
        <v>0.0</v>
      </c>
      <c r="W718" s="849">
        <v>0.0</v>
      </c>
      <c r="X718" s="849">
        <v>0.0</v>
      </c>
      <c r="Y718" s="849">
        <v>0.0</v>
      </c>
      <c r="Z718" s="849">
        <v>0.0</v>
      </c>
      <c r="AA718" s="849">
        <v>0.0</v>
      </c>
      <c r="AB718" s="849">
        <v>0.0</v>
      </c>
      <c r="AC718" s="849">
        <v>0.0</v>
      </c>
      <c r="AD718" s="849">
        <v>0.0</v>
      </c>
      <c r="AE718" s="849">
        <v>0.0</v>
      </c>
      <c r="AF718" s="849">
        <v>0.0</v>
      </c>
      <c r="AG718" s="849">
        <v>0.0</v>
      </c>
      <c r="AH718" s="849">
        <v>0.0</v>
      </c>
      <c r="AI718" s="849">
        <v>0.0</v>
      </c>
      <c r="AJ718" s="794" t="str">
        <f t="shared" ref="AJ718:AK718" si="1433">C718</f>
        <v>G45403</v>
      </c>
      <c r="AK718" s="794" t="str">
        <f t="shared" si="1433"/>
        <v>VTE VITRE-PEINT-TISS- US</v>
      </c>
      <c r="AL718" s="794">
        <f t="array" ref="AL718">IFERROR(INDEX(G718:R718,1,MATCH(Parametres!$B$3,G$1:R$1,0)-1)*IF(OR(F718="L",F718="S",F718="I"),-1,1),"")</f>
        <v>0</v>
      </c>
      <c r="AM718" s="794">
        <f t="shared" si="4"/>
        <v>0</v>
      </c>
      <c r="AN718" s="794">
        <f t="array" ref="AN718">INDEX(G718:R718,1,MATCH(Parametres!$B$3,G$1:R$1,0))*IF(OR(F718="L",F718="S",F718="I"),-1,1)</f>
        <v>0</v>
      </c>
      <c r="AO718" s="853" t="str">
        <f>+VLOOKUP($AJ718,Data_Validation!$A:$D,1,0)</f>
        <v>#N/A</v>
      </c>
      <c r="AP718" s="853" t="str">
        <f>+VLOOKUP($AJ718,Data_Validation!$A:$D,3,0)</f>
        <v>#N/A</v>
      </c>
      <c r="AQ718" s="853" t="str">
        <f>+VLOOKUP($AJ718,Data_Validation!$A:$D,4,0)</f>
        <v>#N/A</v>
      </c>
      <c r="AR718" s="853" t="s">
        <v>728</v>
      </c>
      <c r="AS718" s="853" t="str">
        <f>+VLOOKUP($AJ718,Data_Validation!$A:$E,5,0)</f>
        <v>#N/A</v>
      </c>
      <c r="AT718" s="794" t="str">
        <f t="shared" ref="AT718:AU718" si="1434">C718</f>
        <v>G45403</v>
      </c>
      <c r="AU718" s="854" t="str">
        <f t="shared" si="1434"/>
        <v>VTE VITRE-PEINT-TISS- US</v>
      </c>
      <c r="AV718" s="794">
        <f t="array" ref="AV718">IFERROR(INDEX(V718:AG718,1,MATCH(Parametres!$B$3,V$1:AG$1,0)-1)*IF(OR(C718="L",C718="S",C718="I"),-1,1),"")</f>
        <v>0</v>
      </c>
      <c r="AW718" s="794">
        <f t="shared" si="6"/>
        <v>0</v>
      </c>
      <c r="AX718" s="794">
        <f t="array" ref="AX718">INDEX(V718:AG718,1,MATCH(Parametres!$B$3,V$1:AG$1,0))*IF(OR(C718="L",C718="S",C718="I"),-1,1)</f>
        <v>0</v>
      </c>
      <c r="AY718" s="853" t="s">
        <v>772</v>
      </c>
      <c r="AZ718" s="853" t="str">
        <f>+VLOOKUP($AJ718,Data_Validation!$A:$E,5,0)</f>
        <v>#N/A</v>
      </c>
    </row>
    <row r="719" ht="15.0" customHeight="1">
      <c r="A719" s="849" t="s">
        <v>1239</v>
      </c>
      <c r="B719" s="849">
        <v>2026.0</v>
      </c>
      <c r="C719" s="849" t="s">
        <v>2665</v>
      </c>
      <c r="D719" s="849" t="s">
        <v>2666</v>
      </c>
      <c r="E719" s="849" t="s">
        <v>768</v>
      </c>
      <c r="F719" s="849" t="s">
        <v>2426</v>
      </c>
      <c r="G719" s="849">
        <v>0.0</v>
      </c>
      <c r="H719" s="849">
        <v>0.0</v>
      </c>
      <c r="I719" s="849">
        <v>0.0</v>
      </c>
      <c r="J719" s="849">
        <v>0.0</v>
      </c>
      <c r="K719" s="849">
        <v>0.0</v>
      </c>
      <c r="L719" s="849">
        <v>0.0</v>
      </c>
      <c r="M719" s="849">
        <v>998.0</v>
      </c>
      <c r="N719" s="849">
        <v>998.0</v>
      </c>
      <c r="O719" s="849">
        <v>998.0</v>
      </c>
      <c r="P719" s="849">
        <v>998.0</v>
      </c>
      <c r="Q719" s="849">
        <v>0.0</v>
      </c>
      <c r="R719" s="849">
        <v>0.0</v>
      </c>
      <c r="S719" s="849">
        <v>110.89</v>
      </c>
      <c r="T719" s="849">
        <v>110.89</v>
      </c>
      <c r="U719" s="849">
        <v>0.0</v>
      </c>
      <c r="V719" s="849">
        <v>0.0</v>
      </c>
      <c r="W719" s="849">
        <v>0.0</v>
      </c>
      <c r="X719" s="849">
        <v>0.0</v>
      </c>
      <c r="Y719" s="849">
        <v>0.0</v>
      </c>
      <c r="Z719" s="849">
        <v>0.0</v>
      </c>
      <c r="AA719" s="849">
        <v>0.0</v>
      </c>
      <c r="AB719" s="849">
        <v>2.0</v>
      </c>
      <c r="AC719" s="849">
        <v>2.0</v>
      </c>
      <c r="AD719" s="849">
        <v>2.0</v>
      </c>
      <c r="AE719" s="849">
        <v>2.0</v>
      </c>
      <c r="AF719" s="849">
        <v>0.0</v>
      </c>
      <c r="AG719" s="849">
        <v>0.0</v>
      </c>
      <c r="AH719" s="849">
        <v>0.0</v>
      </c>
      <c r="AI719" s="849">
        <v>0.0</v>
      </c>
      <c r="AJ719" s="794" t="str">
        <f t="shared" ref="AJ719:AK719" si="1435">C719</f>
        <v>G45405</v>
      </c>
      <c r="AK719" s="794" t="str">
        <f t="shared" si="1435"/>
        <v>VTES ANTIVOL-TAG -OCC</v>
      </c>
      <c r="AL719" s="794">
        <f t="array" ref="AL719">IFERROR(INDEX(G719:R719,1,MATCH(Parametres!$B$3,G$1:R$1,0)-1)*IF(OR(F719="L",F719="S",F719="I"),-1,1),"")</f>
        <v>-998</v>
      </c>
      <c r="AM719" s="794">
        <f t="shared" si="4"/>
        <v>0</v>
      </c>
      <c r="AN719" s="794">
        <f t="array" ref="AN719">INDEX(G719:R719,1,MATCH(Parametres!$B$3,G$1:R$1,0))*IF(OR(F719="L",F719="S",F719="I"),-1,1)</f>
        <v>-998</v>
      </c>
      <c r="AO719" s="853" t="str">
        <f>+VLOOKUP($AJ719,Data_Validation!$A:$D,1,0)</f>
        <v>G45405</v>
      </c>
      <c r="AP719" s="853" t="str">
        <f>+VLOOKUP($AJ719,Data_Validation!$A:$D,3,0)</f>
        <v>Véhicules usagés</v>
      </c>
      <c r="AQ719" s="853" t="str">
        <f>+VLOOKUP($AJ719,Data_Validation!$A:$D,4,0)</f>
        <v>Rev. Protections</v>
      </c>
      <c r="AR719" s="853" t="s">
        <v>728</v>
      </c>
      <c r="AS719" s="853" t="str">
        <f>+VLOOKUP($AJ719,Data_Validation!$A:$E,5,0)</f>
        <v>Oui</v>
      </c>
      <c r="AT719" s="794" t="str">
        <f t="shared" ref="AT719:AU719" si="1436">C719</f>
        <v>G45405</v>
      </c>
      <c r="AU719" s="854" t="str">
        <f t="shared" si="1436"/>
        <v>VTES ANTIVOL-TAG -OCC</v>
      </c>
      <c r="AV719" s="794">
        <f t="array" ref="AV719">IFERROR(INDEX(V719:AG719,1,MATCH(Parametres!$B$3,V$1:AG$1,0)-1)*IF(OR(C719="L",C719="S",C719="I"),-1,1),"")</f>
        <v>2</v>
      </c>
      <c r="AW719" s="794">
        <f t="shared" si="6"/>
        <v>0</v>
      </c>
      <c r="AX719" s="794">
        <f t="array" ref="AX719">INDEX(V719:AG719,1,MATCH(Parametres!$B$3,V$1:AG$1,0))*IF(OR(C719="L",C719="S",C719="I"),-1,1)</f>
        <v>2</v>
      </c>
      <c r="AY719" s="853" t="s">
        <v>772</v>
      </c>
      <c r="AZ719" s="853" t="str">
        <f>+VLOOKUP($AJ719,Data_Validation!$A:$E,5,0)</f>
        <v>Oui</v>
      </c>
    </row>
    <row r="720" ht="15.0" customHeight="1">
      <c r="A720" s="849" t="s">
        <v>1239</v>
      </c>
      <c r="B720" s="849">
        <v>2026.0</v>
      </c>
      <c r="C720" s="849" t="s">
        <v>2667</v>
      </c>
      <c r="D720" s="849" t="s">
        <v>2668</v>
      </c>
      <c r="E720" s="849" t="s">
        <v>768</v>
      </c>
      <c r="F720" s="849" t="s">
        <v>2426</v>
      </c>
      <c r="G720" s="849">
        <v>0.0</v>
      </c>
      <c r="H720" s="849">
        <v>0.0</v>
      </c>
      <c r="I720" s="849">
        <v>0.0</v>
      </c>
      <c r="J720" s="849">
        <v>0.0</v>
      </c>
      <c r="K720" s="849">
        <v>0.0</v>
      </c>
      <c r="L720" s="849">
        <v>0.0</v>
      </c>
      <c r="M720" s="849">
        <v>0.0</v>
      </c>
      <c r="N720" s="849">
        <v>0.0</v>
      </c>
      <c r="O720" s="849">
        <v>0.0</v>
      </c>
      <c r="P720" s="849">
        <v>0.0</v>
      </c>
      <c r="Q720" s="849">
        <v>0.0</v>
      </c>
      <c r="R720" s="849">
        <v>0.0</v>
      </c>
      <c r="S720" s="849">
        <v>0.0</v>
      </c>
      <c r="T720" s="849">
        <v>0.0</v>
      </c>
      <c r="U720" s="849">
        <v>0.0</v>
      </c>
      <c r="V720" s="849">
        <v>0.0</v>
      </c>
      <c r="W720" s="849">
        <v>0.0</v>
      </c>
      <c r="X720" s="849">
        <v>0.0</v>
      </c>
      <c r="Y720" s="849">
        <v>0.0</v>
      </c>
      <c r="Z720" s="849">
        <v>0.0</v>
      </c>
      <c r="AA720" s="849">
        <v>0.0</v>
      </c>
      <c r="AB720" s="849">
        <v>0.0</v>
      </c>
      <c r="AC720" s="849">
        <v>0.0</v>
      </c>
      <c r="AD720" s="849">
        <v>0.0</v>
      </c>
      <c r="AE720" s="849">
        <v>0.0</v>
      </c>
      <c r="AF720" s="849">
        <v>0.0</v>
      </c>
      <c r="AG720" s="849">
        <v>0.0</v>
      </c>
      <c r="AH720" s="849">
        <v>0.0</v>
      </c>
      <c r="AI720" s="849">
        <v>0.0</v>
      </c>
      <c r="AJ720" s="794" t="str">
        <f t="shared" ref="AJ720:AK720" si="1437">C720</f>
        <v>G45410</v>
      </c>
      <c r="AK720" s="794" t="str">
        <f t="shared" si="1437"/>
        <v>VTE - PL PROTECT GM USAGE</v>
      </c>
      <c r="AL720" s="794">
        <f t="array" ref="AL720">IFERROR(INDEX(G720:R720,1,MATCH(Parametres!$B$3,G$1:R$1,0)-1)*IF(OR(F720="L",F720="S",F720="I"),-1,1),"")</f>
        <v>0</v>
      </c>
      <c r="AM720" s="794">
        <f t="shared" si="4"/>
        <v>0</v>
      </c>
      <c r="AN720" s="794">
        <f t="array" ref="AN720">INDEX(G720:R720,1,MATCH(Parametres!$B$3,G$1:R$1,0))*IF(OR(F720="L",F720="S",F720="I"),-1,1)</f>
        <v>0</v>
      </c>
      <c r="AO720" s="853" t="str">
        <f>+VLOOKUP($AJ720,Data_Validation!$A:$D,1,0)</f>
        <v>#N/A</v>
      </c>
      <c r="AP720" s="853" t="str">
        <f>+VLOOKUP($AJ720,Data_Validation!$A:$D,3,0)</f>
        <v>#N/A</v>
      </c>
      <c r="AQ720" s="853" t="str">
        <f>+VLOOKUP($AJ720,Data_Validation!$A:$D,4,0)</f>
        <v>#N/A</v>
      </c>
      <c r="AR720" s="853" t="s">
        <v>728</v>
      </c>
      <c r="AS720" s="853" t="str">
        <f>+VLOOKUP($AJ720,Data_Validation!$A:$E,5,0)</f>
        <v>#N/A</v>
      </c>
      <c r="AT720" s="794" t="str">
        <f t="shared" ref="AT720:AU720" si="1438">C720</f>
        <v>G45410</v>
      </c>
      <c r="AU720" s="854" t="str">
        <f t="shared" si="1438"/>
        <v>VTE - PL PROTECT GM USAGE</v>
      </c>
      <c r="AV720" s="794">
        <f t="array" ref="AV720">IFERROR(INDEX(V720:AG720,1,MATCH(Parametres!$B$3,V$1:AG$1,0)-1)*IF(OR(C720="L",C720="S",C720="I"),-1,1),"")</f>
        <v>0</v>
      </c>
      <c r="AW720" s="794">
        <f t="shared" si="6"/>
        <v>0</v>
      </c>
      <c r="AX720" s="794">
        <f t="array" ref="AX720">INDEX(V720:AG720,1,MATCH(Parametres!$B$3,V$1:AG$1,0))*IF(OR(C720="L",C720="S",C720="I"),-1,1)</f>
        <v>0</v>
      </c>
      <c r="AY720" s="853" t="s">
        <v>772</v>
      </c>
      <c r="AZ720" s="853" t="str">
        <f>+VLOOKUP($AJ720,Data_Validation!$A:$E,5,0)</f>
        <v>#N/A</v>
      </c>
    </row>
    <row r="721" ht="15.0" customHeight="1">
      <c r="A721" s="849" t="s">
        <v>1239</v>
      </c>
      <c r="B721" s="849">
        <v>2026.0</v>
      </c>
      <c r="C721" s="849" t="s">
        <v>2669</v>
      </c>
      <c r="D721" s="849" t="s">
        <v>2670</v>
      </c>
      <c r="E721" s="849" t="s">
        <v>768</v>
      </c>
      <c r="F721" s="849" t="s">
        <v>2426</v>
      </c>
      <c r="G721" s="849">
        <v>0.0</v>
      </c>
      <c r="H721" s="849">
        <v>0.0</v>
      </c>
      <c r="I721" s="849">
        <v>0.0</v>
      </c>
      <c r="J721" s="849">
        <v>0.0</v>
      </c>
      <c r="K721" s="849">
        <v>0.0</v>
      </c>
      <c r="L721" s="849">
        <v>0.0</v>
      </c>
      <c r="M721" s="849">
        <v>0.0</v>
      </c>
      <c r="N721" s="849">
        <v>0.0</v>
      </c>
      <c r="O721" s="849">
        <v>0.0</v>
      </c>
      <c r="P721" s="849">
        <v>0.0</v>
      </c>
      <c r="Q721" s="849">
        <v>0.0</v>
      </c>
      <c r="R721" s="849">
        <v>0.0</v>
      </c>
      <c r="S721" s="849">
        <v>0.0</v>
      </c>
      <c r="T721" s="849">
        <v>0.0</v>
      </c>
      <c r="U721" s="849">
        <v>0.0</v>
      </c>
      <c r="V721" s="849">
        <v>0.0</v>
      </c>
      <c r="W721" s="849">
        <v>0.0</v>
      </c>
      <c r="X721" s="849">
        <v>0.0</v>
      </c>
      <c r="Y721" s="849">
        <v>0.0</v>
      </c>
      <c r="Z721" s="849">
        <v>0.0</v>
      </c>
      <c r="AA721" s="849">
        <v>0.0</v>
      </c>
      <c r="AB721" s="849">
        <v>0.0</v>
      </c>
      <c r="AC721" s="849">
        <v>0.0</v>
      </c>
      <c r="AD721" s="849">
        <v>0.0</v>
      </c>
      <c r="AE721" s="849">
        <v>0.0</v>
      </c>
      <c r="AF721" s="849">
        <v>0.0</v>
      </c>
      <c r="AG721" s="849">
        <v>0.0</v>
      </c>
      <c r="AH721" s="849">
        <v>0.0</v>
      </c>
      <c r="AI721" s="849">
        <v>0.0</v>
      </c>
      <c r="AJ721" s="794" t="str">
        <f t="shared" ref="AJ721:AK721" si="1439">C721</f>
        <v>G45411</v>
      </c>
      <c r="AK721" s="794" t="str">
        <f t="shared" si="1439"/>
        <v>VTE -PR PNEUS-JANTE USAGE</v>
      </c>
      <c r="AL721" s="794">
        <f t="array" ref="AL721">IFERROR(INDEX(G721:R721,1,MATCH(Parametres!$B$3,G$1:R$1,0)-1)*IF(OR(F721="L",F721="S",F721="I"),-1,1),"")</f>
        <v>0</v>
      </c>
      <c r="AM721" s="794">
        <f t="shared" si="4"/>
        <v>0</v>
      </c>
      <c r="AN721" s="794">
        <f t="array" ref="AN721">INDEX(G721:R721,1,MATCH(Parametres!$B$3,G$1:R$1,0))*IF(OR(F721="L",F721="S",F721="I"),-1,1)</f>
        <v>0</v>
      </c>
      <c r="AO721" s="853" t="str">
        <f>+VLOOKUP($AJ721,Data_Validation!$A:$D,1,0)</f>
        <v>#N/A</v>
      </c>
      <c r="AP721" s="853" t="str">
        <f>+VLOOKUP($AJ721,Data_Validation!$A:$D,3,0)</f>
        <v>#N/A</v>
      </c>
      <c r="AQ721" s="853" t="str">
        <f>+VLOOKUP($AJ721,Data_Validation!$A:$D,4,0)</f>
        <v>#N/A</v>
      </c>
      <c r="AR721" s="853" t="s">
        <v>728</v>
      </c>
      <c r="AS721" s="853" t="str">
        <f>+VLOOKUP($AJ721,Data_Validation!$A:$E,5,0)</f>
        <v>#N/A</v>
      </c>
      <c r="AT721" s="794" t="str">
        <f t="shared" ref="AT721:AU721" si="1440">C721</f>
        <v>G45411</v>
      </c>
      <c r="AU721" s="854" t="str">
        <f t="shared" si="1440"/>
        <v>VTE -PR PNEUS-JANTE USAGE</v>
      </c>
      <c r="AV721" s="794">
        <f t="array" ref="AV721">IFERROR(INDEX(V721:AG721,1,MATCH(Parametres!$B$3,V$1:AG$1,0)-1)*IF(OR(C721="L",C721="S",C721="I"),-1,1),"")</f>
        <v>0</v>
      </c>
      <c r="AW721" s="794">
        <f t="shared" si="6"/>
        <v>0</v>
      </c>
      <c r="AX721" s="794">
        <f t="array" ref="AX721">INDEX(V721:AG721,1,MATCH(Parametres!$B$3,V$1:AG$1,0))*IF(OR(C721="L",C721="S",C721="I"),-1,1)</f>
        <v>0</v>
      </c>
      <c r="AY721" s="853" t="s">
        <v>772</v>
      </c>
      <c r="AZ721" s="853" t="str">
        <f>+VLOOKUP($AJ721,Data_Validation!$A:$E,5,0)</f>
        <v>#N/A</v>
      </c>
    </row>
    <row r="722" ht="15.0" customHeight="1">
      <c r="A722" s="849" t="s">
        <v>1239</v>
      </c>
      <c r="B722" s="849">
        <v>2026.0</v>
      </c>
      <c r="C722" s="849" t="s">
        <v>2671</v>
      </c>
      <c r="D722" s="849" t="s">
        <v>2672</v>
      </c>
      <c r="E722" s="849" t="s">
        <v>768</v>
      </c>
      <c r="F722" s="849" t="s">
        <v>2426</v>
      </c>
      <c r="G722" s="849">
        <v>0.0</v>
      </c>
      <c r="H722" s="849">
        <v>0.0</v>
      </c>
      <c r="I722" s="849">
        <v>0.0</v>
      </c>
      <c r="J722" s="849">
        <v>0.0</v>
      </c>
      <c r="K722" s="849">
        <v>0.0</v>
      </c>
      <c r="L722" s="849">
        <v>0.0</v>
      </c>
      <c r="M722" s="849">
        <v>0.0</v>
      </c>
      <c r="N722" s="849">
        <v>0.0</v>
      </c>
      <c r="O722" s="849">
        <v>0.0</v>
      </c>
      <c r="P722" s="849">
        <v>0.0</v>
      </c>
      <c r="Q722" s="849">
        <v>0.0</v>
      </c>
      <c r="R722" s="849">
        <v>0.0</v>
      </c>
      <c r="S722" s="849">
        <v>0.0</v>
      </c>
      <c r="T722" s="849">
        <v>0.0</v>
      </c>
      <c r="U722" s="849">
        <v>0.0</v>
      </c>
      <c r="V722" s="849">
        <v>0.0</v>
      </c>
      <c r="W722" s="849">
        <v>0.0</v>
      </c>
      <c r="X722" s="849">
        <v>0.0</v>
      </c>
      <c r="Y722" s="849">
        <v>0.0</v>
      </c>
      <c r="Z722" s="849">
        <v>0.0</v>
      </c>
      <c r="AA722" s="849">
        <v>0.0</v>
      </c>
      <c r="AB722" s="849">
        <v>0.0</v>
      </c>
      <c r="AC722" s="849">
        <v>0.0</v>
      </c>
      <c r="AD722" s="849">
        <v>0.0</v>
      </c>
      <c r="AE722" s="849">
        <v>0.0</v>
      </c>
      <c r="AF722" s="849">
        <v>0.0</v>
      </c>
      <c r="AG722" s="849">
        <v>0.0</v>
      </c>
      <c r="AH722" s="849">
        <v>0.0</v>
      </c>
      <c r="AI722" s="849">
        <v>0.0</v>
      </c>
      <c r="AJ722" s="794" t="str">
        <f t="shared" ref="AJ722:AK722" si="1441">C722</f>
        <v>G45412</v>
      </c>
      <c r="AK722" s="794" t="str">
        <f t="shared" si="1441"/>
        <v>VTE -PROT A L'ECART USAG</v>
      </c>
      <c r="AL722" s="794">
        <f t="array" ref="AL722">IFERROR(INDEX(G722:R722,1,MATCH(Parametres!$B$3,G$1:R$1,0)-1)*IF(OR(F722="L",F722="S",F722="I"),-1,1),"")</f>
        <v>0</v>
      </c>
      <c r="AM722" s="794">
        <f t="shared" si="4"/>
        <v>0</v>
      </c>
      <c r="AN722" s="794">
        <f t="array" ref="AN722">INDEX(G722:R722,1,MATCH(Parametres!$B$3,G$1:R$1,0))*IF(OR(F722="L",F722="S",F722="I"),-1,1)</f>
        <v>0</v>
      </c>
      <c r="AO722" s="853" t="str">
        <f>+VLOOKUP($AJ722,Data_Validation!$A:$D,1,0)</f>
        <v>#N/A</v>
      </c>
      <c r="AP722" s="853" t="str">
        <f>+VLOOKUP($AJ722,Data_Validation!$A:$D,3,0)</f>
        <v>#N/A</v>
      </c>
      <c r="AQ722" s="853" t="str">
        <f>+VLOOKUP($AJ722,Data_Validation!$A:$D,4,0)</f>
        <v>#N/A</v>
      </c>
      <c r="AR722" s="853" t="s">
        <v>728</v>
      </c>
      <c r="AS722" s="853" t="str">
        <f>+VLOOKUP($AJ722,Data_Validation!$A:$E,5,0)</f>
        <v>#N/A</v>
      </c>
      <c r="AT722" s="794" t="str">
        <f t="shared" ref="AT722:AU722" si="1442">C722</f>
        <v>G45412</v>
      </c>
      <c r="AU722" s="854" t="str">
        <f t="shared" si="1442"/>
        <v>VTE -PROT A L'ECART USAG</v>
      </c>
      <c r="AV722" s="794">
        <f t="array" ref="AV722">IFERROR(INDEX(V722:AG722,1,MATCH(Parametres!$B$3,V$1:AG$1,0)-1)*IF(OR(C722="L",C722="S",C722="I"),-1,1),"")</f>
        <v>0</v>
      </c>
      <c r="AW722" s="794">
        <f t="shared" si="6"/>
        <v>0</v>
      </c>
      <c r="AX722" s="794">
        <f t="array" ref="AX722">INDEX(V722:AG722,1,MATCH(Parametres!$B$3,V$1:AG$1,0))*IF(OR(C722="L",C722="S",C722="I"),-1,1)</f>
        <v>0</v>
      </c>
      <c r="AY722" s="853" t="s">
        <v>772</v>
      </c>
      <c r="AZ722" s="853" t="str">
        <f>+VLOOKUP($AJ722,Data_Validation!$A:$E,5,0)</f>
        <v>#N/A</v>
      </c>
    </row>
    <row r="723" ht="15.0" customHeight="1">
      <c r="A723" s="849" t="s">
        <v>1239</v>
      </c>
      <c r="B723" s="849">
        <v>2026.0</v>
      </c>
      <c r="C723" s="849" t="s">
        <v>2673</v>
      </c>
      <c r="D723" s="849" t="s">
        <v>2674</v>
      </c>
      <c r="E723" s="849" t="s">
        <v>768</v>
      </c>
      <c r="F723" s="849" t="s">
        <v>2426</v>
      </c>
      <c r="G723" s="849">
        <v>0.0</v>
      </c>
      <c r="H723" s="849">
        <v>0.0</v>
      </c>
      <c r="I723" s="849">
        <v>0.0</v>
      </c>
      <c r="J723" s="849">
        <v>0.0</v>
      </c>
      <c r="K723" s="849">
        <v>0.0</v>
      </c>
      <c r="L723" s="849">
        <v>0.0</v>
      </c>
      <c r="M723" s="849">
        <v>0.0</v>
      </c>
      <c r="N723" s="849">
        <v>0.0</v>
      </c>
      <c r="O723" s="849">
        <v>0.0</v>
      </c>
      <c r="P723" s="849">
        <v>0.0</v>
      </c>
      <c r="Q723" s="849">
        <v>0.0</v>
      </c>
      <c r="R723" s="849">
        <v>0.0</v>
      </c>
      <c r="S723" s="849">
        <v>0.0</v>
      </c>
      <c r="T723" s="849">
        <v>0.0</v>
      </c>
      <c r="U723" s="849">
        <v>0.0</v>
      </c>
      <c r="V723" s="849">
        <v>0.0</v>
      </c>
      <c r="W723" s="849">
        <v>0.0</v>
      </c>
      <c r="X723" s="849">
        <v>0.0</v>
      </c>
      <c r="Y723" s="849">
        <v>0.0</v>
      </c>
      <c r="Z723" s="849">
        <v>0.0</v>
      </c>
      <c r="AA723" s="849">
        <v>0.0</v>
      </c>
      <c r="AB723" s="849">
        <v>0.0</v>
      </c>
      <c r="AC723" s="849">
        <v>0.0</v>
      </c>
      <c r="AD723" s="849">
        <v>0.0</v>
      </c>
      <c r="AE723" s="849">
        <v>0.0</v>
      </c>
      <c r="AF723" s="849">
        <v>0.0</v>
      </c>
      <c r="AG723" s="849">
        <v>0.0</v>
      </c>
      <c r="AH723" s="849">
        <v>0.0</v>
      </c>
      <c r="AI723" s="849">
        <v>0.0</v>
      </c>
      <c r="AJ723" s="794" t="str">
        <f t="shared" ref="AJ723:AK723" si="1443">C723</f>
        <v>G45413</v>
      </c>
      <c r="AK723" s="794" t="str">
        <f t="shared" si="1443"/>
        <v>VTE -MULTI PROTECT USAGE</v>
      </c>
      <c r="AL723" s="794">
        <f t="array" ref="AL723">IFERROR(INDEX(G723:R723,1,MATCH(Parametres!$B$3,G$1:R$1,0)-1)*IF(OR(F723="L",F723="S",F723="I"),-1,1),"")</f>
        <v>0</v>
      </c>
      <c r="AM723" s="794">
        <f t="shared" si="4"/>
        <v>0</v>
      </c>
      <c r="AN723" s="794">
        <f t="array" ref="AN723">INDEX(G723:R723,1,MATCH(Parametres!$B$3,G$1:R$1,0))*IF(OR(F723="L",F723="S",F723="I"),-1,1)</f>
        <v>0</v>
      </c>
      <c r="AO723" s="853" t="str">
        <f>+VLOOKUP($AJ723,Data_Validation!$A:$D,1,0)</f>
        <v>#N/A</v>
      </c>
      <c r="AP723" s="853" t="str">
        <f>+VLOOKUP($AJ723,Data_Validation!$A:$D,3,0)</f>
        <v>#N/A</v>
      </c>
      <c r="AQ723" s="853" t="str">
        <f>+VLOOKUP($AJ723,Data_Validation!$A:$D,4,0)</f>
        <v>#N/A</v>
      </c>
      <c r="AR723" s="853" t="s">
        <v>728</v>
      </c>
      <c r="AS723" s="853" t="str">
        <f>+VLOOKUP($AJ723,Data_Validation!$A:$E,5,0)</f>
        <v>#N/A</v>
      </c>
      <c r="AT723" s="794" t="str">
        <f t="shared" ref="AT723:AU723" si="1444">C723</f>
        <v>G45413</v>
      </c>
      <c r="AU723" s="854" t="str">
        <f t="shared" si="1444"/>
        <v>VTE -MULTI PROTECT USAGE</v>
      </c>
      <c r="AV723" s="794">
        <f t="array" ref="AV723">IFERROR(INDEX(V723:AG723,1,MATCH(Parametres!$B$3,V$1:AG$1,0)-1)*IF(OR(C723="L",C723="S",C723="I"),-1,1),"")</f>
        <v>0</v>
      </c>
      <c r="AW723" s="794">
        <f t="shared" si="6"/>
        <v>0</v>
      </c>
      <c r="AX723" s="794">
        <f t="array" ref="AX723">INDEX(V723:AG723,1,MATCH(Parametres!$B$3,V$1:AG$1,0))*IF(OR(C723="L",C723="S",C723="I"),-1,1)</f>
        <v>0</v>
      </c>
      <c r="AY723" s="853" t="s">
        <v>772</v>
      </c>
      <c r="AZ723" s="853" t="str">
        <f>+VLOOKUP($AJ723,Data_Validation!$A:$E,5,0)</f>
        <v>#N/A</v>
      </c>
    </row>
    <row r="724" ht="15.0" customHeight="1">
      <c r="A724" s="849" t="s">
        <v>1239</v>
      </c>
      <c r="B724" s="849">
        <v>2026.0</v>
      </c>
      <c r="C724" s="849" t="s">
        <v>2675</v>
      </c>
      <c r="D724" s="849" t="s">
        <v>2676</v>
      </c>
      <c r="E724" s="849" t="s">
        <v>768</v>
      </c>
      <c r="F724" s="849" t="s">
        <v>2426</v>
      </c>
      <c r="G724" s="849">
        <v>0.0</v>
      </c>
      <c r="H724" s="849">
        <v>0.0</v>
      </c>
      <c r="I724" s="849">
        <v>0.0</v>
      </c>
      <c r="J724" s="849">
        <v>0.0</v>
      </c>
      <c r="K724" s="849">
        <v>0.0</v>
      </c>
      <c r="L724" s="849">
        <v>0.0</v>
      </c>
      <c r="M724" s="849">
        <v>0.0</v>
      </c>
      <c r="N724" s="849">
        <v>0.0</v>
      </c>
      <c r="O724" s="849">
        <v>0.0</v>
      </c>
      <c r="P724" s="849">
        <v>0.0</v>
      </c>
      <c r="Q724" s="849">
        <v>0.0</v>
      </c>
      <c r="R724" s="849">
        <v>0.0</v>
      </c>
      <c r="S724" s="849">
        <v>0.0</v>
      </c>
      <c r="T724" s="849">
        <v>0.0</v>
      </c>
      <c r="U724" s="849">
        <v>0.0</v>
      </c>
      <c r="V724" s="849">
        <v>0.0</v>
      </c>
      <c r="W724" s="849">
        <v>0.0</v>
      </c>
      <c r="X724" s="849">
        <v>0.0</v>
      </c>
      <c r="Y724" s="849">
        <v>0.0</v>
      </c>
      <c r="Z724" s="849">
        <v>0.0</v>
      </c>
      <c r="AA724" s="849">
        <v>0.0</v>
      </c>
      <c r="AB724" s="849">
        <v>0.0</v>
      </c>
      <c r="AC724" s="849">
        <v>0.0</v>
      </c>
      <c r="AD724" s="849">
        <v>0.0</v>
      </c>
      <c r="AE724" s="849">
        <v>0.0</v>
      </c>
      <c r="AF724" s="849">
        <v>0.0</v>
      </c>
      <c r="AG724" s="849">
        <v>0.0</v>
      </c>
      <c r="AH724" s="849">
        <v>0.0</v>
      </c>
      <c r="AI724" s="849">
        <v>0.0</v>
      </c>
      <c r="AJ724" s="794" t="str">
        <f t="shared" ref="AJ724:AK724" si="1445">C724</f>
        <v>G45414</v>
      </c>
      <c r="AK724" s="794" t="str">
        <f t="shared" si="1445"/>
        <v>VTE -PRT USURE USAGE</v>
      </c>
      <c r="AL724" s="794">
        <f t="array" ref="AL724">IFERROR(INDEX(G724:R724,1,MATCH(Parametres!$B$3,G$1:R$1,0)-1)*IF(OR(F724="L",F724="S",F724="I"),-1,1),"")</f>
        <v>0</v>
      </c>
      <c r="AM724" s="794">
        <f t="shared" si="4"/>
        <v>0</v>
      </c>
      <c r="AN724" s="794">
        <f t="array" ref="AN724">INDEX(G724:R724,1,MATCH(Parametres!$B$3,G$1:R$1,0))*IF(OR(F724="L",F724="S",F724="I"),-1,1)</f>
        <v>0</v>
      </c>
      <c r="AO724" s="853" t="str">
        <f>+VLOOKUP($AJ724,Data_Validation!$A:$D,1,0)</f>
        <v>#N/A</v>
      </c>
      <c r="AP724" s="853" t="str">
        <f>+VLOOKUP($AJ724,Data_Validation!$A:$D,3,0)</f>
        <v>#N/A</v>
      </c>
      <c r="AQ724" s="853" t="str">
        <f>+VLOOKUP($AJ724,Data_Validation!$A:$D,4,0)</f>
        <v>#N/A</v>
      </c>
      <c r="AR724" s="853" t="s">
        <v>728</v>
      </c>
      <c r="AS724" s="853" t="str">
        <f>+VLOOKUP($AJ724,Data_Validation!$A:$E,5,0)</f>
        <v>#N/A</v>
      </c>
      <c r="AT724" s="794" t="str">
        <f t="shared" ref="AT724:AU724" si="1446">C724</f>
        <v>G45414</v>
      </c>
      <c r="AU724" s="854" t="str">
        <f t="shared" si="1446"/>
        <v>VTE -PRT USURE USAGE</v>
      </c>
      <c r="AV724" s="794">
        <f t="array" ref="AV724">IFERROR(INDEX(V724:AG724,1,MATCH(Parametres!$B$3,V$1:AG$1,0)-1)*IF(OR(C724="L",C724="S",C724="I"),-1,1),"")</f>
        <v>0</v>
      </c>
      <c r="AW724" s="794">
        <f t="shared" si="6"/>
        <v>0</v>
      </c>
      <c r="AX724" s="794">
        <f t="array" ref="AX724">INDEX(V724:AG724,1,MATCH(Parametres!$B$3,V$1:AG$1,0))*IF(OR(C724="L",C724="S",C724="I"),-1,1)</f>
        <v>0</v>
      </c>
      <c r="AY724" s="853" t="s">
        <v>772</v>
      </c>
      <c r="AZ724" s="853" t="str">
        <f>+VLOOKUP($AJ724,Data_Validation!$A:$E,5,0)</f>
        <v>#N/A</v>
      </c>
    </row>
    <row r="725" ht="15.0" customHeight="1">
      <c r="A725" s="849" t="s">
        <v>1239</v>
      </c>
      <c r="B725" s="849">
        <v>2026.0</v>
      </c>
      <c r="C725" s="849" t="s">
        <v>2677</v>
      </c>
      <c r="D725" s="849" t="s">
        <v>2678</v>
      </c>
      <c r="E725" s="849" t="s">
        <v>2426</v>
      </c>
      <c r="F725" s="849" t="s">
        <v>2426</v>
      </c>
      <c r="G725" s="849">
        <v>0.0</v>
      </c>
      <c r="H725" s="849">
        <v>0.0</v>
      </c>
      <c r="I725" s="849">
        <v>0.0</v>
      </c>
      <c r="J725" s="849">
        <v>0.0</v>
      </c>
      <c r="K725" s="849">
        <v>0.0</v>
      </c>
      <c r="L725" s="849">
        <v>0.0</v>
      </c>
      <c r="M725" s="849">
        <v>0.0</v>
      </c>
      <c r="N725" s="849">
        <v>0.0</v>
      </c>
      <c r="O725" s="849">
        <v>0.0</v>
      </c>
      <c r="P725" s="849">
        <v>0.0</v>
      </c>
      <c r="Q725" s="849">
        <v>0.0</v>
      </c>
      <c r="R725" s="849">
        <v>0.0</v>
      </c>
      <c r="S725" s="849">
        <v>0.0</v>
      </c>
      <c r="T725" s="849">
        <v>0.0</v>
      </c>
      <c r="U725" s="849">
        <v>0.0</v>
      </c>
      <c r="V725" s="849">
        <v>0.0</v>
      </c>
      <c r="W725" s="849">
        <v>0.0</v>
      </c>
      <c r="X725" s="849">
        <v>0.0</v>
      </c>
      <c r="Y725" s="849">
        <v>0.0</v>
      </c>
      <c r="Z725" s="849">
        <v>0.0</v>
      </c>
      <c r="AA725" s="849">
        <v>0.0</v>
      </c>
      <c r="AB725" s="849">
        <v>0.0</v>
      </c>
      <c r="AC725" s="849">
        <v>0.0</v>
      </c>
      <c r="AD725" s="849">
        <v>0.0</v>
      </c>
      <c r="AE725" s="849">
        <v>0.0</v>
      </c>
      <c r="AF725" s="849">
        <v>0.0</v>
      </c>
      <c r="AG725" s="849">
        <v>0.0</v>
      </c>
      <c r="AH725" s="849">
        <v>0.0</v>
      </c>
      <c r="AI725" s="849">
        <v>0.0</v>
      </c>
      <c r="AJ725" s="794" t="str">
        <f t="shared" ref="AJ725:AK725" si="1447">C725</f>
        <v>G45500</v>
      </c>
      <c r="AK725" s="794" t="str">
        <f t="shared" si="1447"/>
        <v>RETOUR DE LOCATION-VENTE</v>
      </c>
      <c r="AL725" s="794">
        <f t="array" ref="AL725">IFERROR(INDEX(G725:R725,1,MATCH(Parametres!$B$3,G$1:R$1,0)-1)*IF(OR(F725="L",F725="S",F725="I"),-1,1),"")</f>
        <v>0</v>
      </c>
      <c r="AM725" s="794">
        <f t="shared" si="4"/>
        <v>0</v>
      </c>
      <c r="AN725" s="794">
        <f t="array" ref="AN725">INDEX(G725:R725,1,MATCH(Parametres!$B$3,G$1:R$1,0))*IF(OR(F725="L",F725="S",F725="I"),-1,1)</f>
        <v>0</v>
      </c>
      <c r="AO725" s="853" t="str">
        <f>+VLOOKUP($AJ725,Data_Validation!$A:$D,1,0)</f>
        <v>G45500</v>
      </c>
      <c r="AP725" s="853" t="str">
        <f>+VLOOKUP($AJ725,Data_Validation!$A:$D,3,0)</f>
        <v>Véhicules usagés</v>
      </c>
      <c r="AQ725" s="853" t="str">
        <f>+VLOOKUP($AJ725,Data_Validation!$A:$D,4,0)</f>
        <v>Rev. Protections</v>
      </c>
      <c r="AR725" s="853" t="s">
        <v>728</v>
      </c>
      <c r="AS725" s="853" t="str">
        <f>+VLOOKUP($AJ725,Data_Validation!$A:$E,5,0)</f>
        <v>Oui</v>
      </c>
      <c r="AT725" s="794" t="str">
        <f t="shared" ref="AT725:AU725" si="1448">C725</f>
        <v>G45500</v>
      </c>
      <c r="AU725" s="854" t="str">
        <f t="shared" si="1448"/>
        <v>RETOUR DE LOCATION-VENTE</v>
      </c>
      <c r="AV725" s="794">
        <f t="array" ref="AV725">IFERROR(INDEX(V725:AG725,1,MATCH(Parametres!$B$3,V$1:AG$1,0)-1)*IF(OR(C725="L",C725="S",C725="I"),-1,1),"")</f>
        <v>0</v>
      </c>
      <c r="AW725" s="794">
        <f t="shared" si="6"/>
        <v>0</v>
      </c>
      <c r="AX725" s="794">
        <f t="array" ref="AX725">INDEX(V725:AG725,1,MATCH(Parametres!$B$3,V$1:AG$1,0))*IF(OR(C725="L",C725="S",C725="I"),-1,1)</f>
        <v>0</v>
      </c>
      <c r="AY725" s="853" t="s">
        <v>772</v>
      </c>
      <c r="AZ725" s="853" t="str">
        <f>+VLOOKUP($AJ725,Data_Validation!$A:$E,5,0)</f>
        <v>Oui</v>
      </c>
    </row>
    <row r="726" ht="15.0" customHeight="1">
      <c r="A726" s="849" t="s">
        <v>1239</v>
      </c>
      <c r="B726" s="849">
        <v>2026.0</v>
      </c>
      <c r="C726" s="849" t="s">
        <v>2679</v>
      </c>
      <c r="D726" s="849" t="s">
        <v>2680</v>
      </c>
      <c r="E726" s="849" t="s">
        <v>768</v>
      </c>
      <c r="F726" s="849" t="s">
        <v>2426</v>
      </c>
      <c r="G726" s="849">
        <v>0.0</v>
      </c>
      <c r="H726" s="849">
        <v>0.0</v>
      </c>
      <c r="I726" s="849">
        <v>0.0</v>
      </c>
      <c r="J726" s="849">
        <v>0.0</v>
      </c>
      <c r="K726" s="849">
        <v>0.0</v>
      </c>
      <c r="L726" s="849">
        <v>0.0</v>
      </c>
      <c r="M726" s="849">
        <v>0.0</v>
      </c>
      <c r="N726" s="849">
        <v>0.0</v>
      </c>
      <c r="O726" s="849">
        <v>0.0</v>
      </c>
      <c r="P726" s="849">
        <v>0.0</v>
      </c>
      <c r="Q726" s="849">
        <v>0.0</v>
      </c>
      <c r="R726" s="849">
        <v>0.0</v>
      </c>
      <c r="S726" s="849">
        <v>0.0</v>
      </c>
      <c r="T726" s="849">
        <v>0.0</v>
      </c>
      <c r="U726" s="849">
        <v>0.0</v>
      </c>
      <c r="V726" s="849">
        <v>0.0</v>
      </c>
      <c r="W726" s="849">
        <v>0.0</v>
      </c>
      <c r="X726" s="849">
        <v>0.0</v>
      </c>
      <c r="Y726" s="849">
        <v>0.0</v>
      </c>
      <c r="Z726" s="849">
        <v>0.0</v>
      </c>
      <c r="AA726" s="849">
        <v>0.0</v>
      </c>
      <c r="AB726" s="849">
        <v>0.0</v>
      </c>
      <c r="AC726" s="849">
        <v>0.0</v>
      </c>
      <c r="AD726" s="849">
        <v>0.0</v>
      </c>
      <c r="AE726" s="849">
        <v>0.0</v>
      </c>
      <c r="AF726" s="849">
        <v>0.0</v>
      </c>
      <c r="AG726" s="849">
        <v>0.0</v>
      </c>
      <c r="AH726" s="849">
        <v>0.0</v>
      </c>
      <c r="AI726" s="849">
        <v>0.0</v>
      </c>
      <c r="AJ726" s="794" t="str">
        <f t="shared" ref="AJ726:AK726" si="1449">C726</f>
        <v>G45510</v>
      </c>
      <c r="AK726" s="794" t="str">
        <f t="shared" si="1449"/>
        <v>VTE -PRT SERV VEH USAGE</v>
      </c>
      <c r="AL726" s="794">
        <f t="array" ref="AL726">IFERROR(INDEX(G726:R726,1,MATCH(Parametres!$B$3,G$1:R$1,0)-1)*IF(OR(F726="L",F726="S",F726="I"),-1,1),"")</f>
        <v>0</v>
      </c>
      <c r="AM726" s="794">
        <f t="shared" si="4"/>
        <v>0</v>
      </c>
      <c r="AN726" s="794">
        <f t="array" ref="AN726">INDEX(G726:R726,1,MATCH(Parametres!$B$3,G$1:R$1,0))*IF(OR(F726="L",F726="S",F726="I"),-1,1)</f>
        <v>0</v>
      </c>
      <c r="AO726" s="853" t="str">
        <f>+VLOOKUP($AJ726,Data_Validation!$A:$D,1,0)</f>
        <v>#N/A</v>
      </c>
      <c r="AP726" s="853" t="str">
        <f>+VLOOKUP($AJ726,Data_Validation!$A:$D,3,0)</f>
        <v>#N/A</v>
      </c>
      <c r="AQ726" s="853" t="str">
        <f>+VLOOKUP($AJ726,Data_Validation!$A:$D,4,0)</f>
        <v>#N/A</v>
      </c>
      <c r="AR726" s="853" t="s">
        <v>728</v>
      </c>
      <c r="AS726" s="853" t="str">
        <f>+VLOOKUP($AJ726,Data_Validation!$A:$E,5,0)</f>
        <v>#N/A</v>
      </c>
      <c r="AT726" s="794" t="str">
        <f t="shared" ref="AT726:AU726" si="1450">C726</f>
        <v>G45510</v>
      </c>
      <c r="AU726" s="854" t="str">
        <f t="shared" si="1450"/>
        <v>VTE -PRT SERV VEH USAGE</v>
      </c>
      <c r="AV726" s="794">
        <f t="array" ref="AV726">IFERROR(INDEX(V726:AG726,1,MATCH(Parametres!$B$3,V$1:AG$1,0)-1)*IF(OR(C726="L",C726="S",C726="I"),-1,1),"")</f>
        <v>0</v>
      </c>
      <c r="AW726" s="794">
        <f t="shared" si="6"/>
        <v>0</v>
      </c>
      <c r="AX726" s="794">
        <f t="array" ref="AX726">INDEX(V726:AG726,1,MATCH(Parametres!$B$3,V$1:AG$1,0))*IF(OR(C726="L",C726="S",C726="I"),-1,1)</f>
        <v>0</v>
      </c>
      <c r="AY726" s="853" t="s">
        <v>772</v>
      </c>
      <c r="AZ726" s="853" t="str">
        <f>+VLOOKUP($AJ726,Data_Validation!$A:$E,5,0)</f>
        <v>#N/A</v>
      </c>
    </row>
    <row r="727" ht="15.0" customHeight="1">
      <c r="A727" s="849" t="s">
        <v>1239</v>
      </c>
      <c r="B727" s="849">
        <v>2026.0</v>
      </c>
      <c r="C727" s="849" t="s">
        <v>2681</v>
      </c>
      <c r="D727" s="849" t="s">
        <v>2682</v>
      </c>
      <c r="E727" s="849" t="s">
        <v>768</v>
      </c>
      <c r="F727" s="849" t="s">
        <v>2426</v>
      </c>
      <c r="G727" s="849">
        <v>0.0</v>
      </c>
      <c r="H727" s="849">
        <v>0.0</v>
      </c>
      <c r="I727" s="849">
        <v>0.0</v>
      </c>
      <c r="J727" s="849">
        <v>0.0</v>
      </c>
      <c r="K727" s="849">
        <v>0.0</v>
      </c>
      <c r="L727" s="849">
        <v>0.0</v>
      </c>
      <c r="M727" s="849">
        <v>0.0</v>
      </c>
      <c r="N727" s="849">
        <v>0.0</v>
      </c>
      <c r="O727" s="849">
        <v>0.0</v>
      </c>
      <c r="P727" s="849">
        <v>0.0</v>
      </c>
      <c r="Q727" s="849">
        <v>0.0</v>
      </c>
      <c r="R727" s="849">
        <v>0.0</v>
      </c>
      <c r="S727" s="849">
        <v>0.0</v>
      </c>
      <c r="T727" s="849">
        <v>0.0</v>
      </c>
      <c r="U727" s="849">
        <v>0.0</v>
      </c>
      <c r="V727" s="849">
        <v>0.0</v>
      </c>
      <c r="W727" s="849">
        <v>0.0</v>
      </c>
      <c r="X727" s="849">
        <v>0.0</v>
      </c>
      <c r="Y727" s="849">
        <v>0.0</v>
      </c>
      <c r="Z727" s="849">
        <v>0.0</v>
      </c>
      <c r="AA727" s="849">
        <v>0.0</v>
      </c>
      <c r="AB727" s="849">
        <v>0.0</v>
      </c>
      <c r="AC727" s="849">
        <v>0.0</v>
      </c>
      <c r="AD727" s="849">
        <v>0.0</v>
      </c>
      <c r="AE727" s="849">
        <v>0.0</v>
      </c>
      <c r="AF727" s="849">
        <v>0.0</v>
      </c>
      <c r="AG727" s="849">
        <v>0.0</v>
      </c>
      <c r="AH727" s="849">
        <v>0.0</v>
      </c>
      <c r="AI727" s="849">
        <v>0.0</v>
      </c>
      <c r="AJ727" s="794" t="str">
        <f t="shared" ref="AJ727:AK727" si="1451">C727</f>
        <v>G45511</v>
      </c>
      <c r="AK727" s="794" t="str">
        <f t="shared" si="1451"/>
        <v>VTE -PRT PNEUS -JA USAGE</v>
      </c>
      <c r="AL727" s="794">
        <f t="array" ref="AL727">IFERROR(INDEX(G727:R727,1,MATCH(Parametres!$B$3,G$1:R$1,0)-1)*IF(OR(F727="L",F727="S",F727="I"),-1,1),"")</f>
        <v>0</v>
      </c>
      <c r="AM727" s="794">
        <f t="shared" si="4"/>
        <v>0</v>
      </c>
      <c r="AN727" s="794">
        <f t="array" ref="AN727">INDEX(G727:R727,1,MATCH(Parametres!$B$3,G$1:R$1,0))*IF(OR(F727="L",F727="S",F727="I"),-1,1)</f>
        <v>0</v>
      </c>
      <c r="AO727" s="853" t="str">
        <f>+VLOOKUP($AJ727,Data_Validation!$A:$D,1,0)</f>
        <v>#N/A</v>
      </c>
      <c r="AP727" s="853" t="str">
        <f>+VLOOKUP($AJ727,Data_Validation!$A:$D,3,0)</f>
        <v>#N/A</v>
      </c>
      <c r="AQ727" s="853" t="str">
        <f>+VLOOKUP($AJ727,Data_Validation!$A:$D,4,0)</f>
        <v>#N/A</v>
      </c>
      <c r="AR727" s="853" t="s">
        <v>728</v>
      </c>
      <c r="AS727" s="853" t="str">
        <f>+VLOOKUP($AJ727,Data_Validation!$A:$E,5,0)</f>
        <v>#N/A</v>
      </c>
      <c r="AT727" s="794" t="str">
        <f t="shared" ref="AT727:AU727" si="1452">C727</f>
        <v>G45511</v>
      </c>
      <c r="AU727" s="854" t="str">
        <f t="shared" si="1452"/>
        <v>VTE -PRT PNEUS -JA USAGE</v>
      </c>
      <c r="AV727" s="794">
        <f t="array" ref="AV727">IFERROR(INDEX(V727:AG727,1,MATCH(Parametres!$B$3,V$1:AG$1,0)-1)*IF(OR(C727="L",C727="S",C727="I"),-1,1),"")</f>
        <v>0</v>
      </c>
      <c r="AW727" s="794">
        <f t="shared" si="6"/>
        <v>0</v>
      </c>
      <c r="AX727" s="794">
        <f t="array" ref="AX727">INDEX(V727:AG727,1,MATCH(Parametres!$B$3,V$1:AG$1,0))*IF(OR(C727="L",C727="S",C727="I"),-1,1)</f>
        <v>0</v>
      </c>
      <c r="AY727" s="853" t="s">
        <v>772</v>
      </c>
      <c r="AZ727" s="853" t="str">
        <f>+VLOOKUP($AJ727,Data_Validation!$A:$E,5,0)</f>
        <v>#N/A</v>
      </c>
    </row>
    <row r="728" ht="15.0" customHeight="1">
      <c r="A728" s="849" t="s">
        <v>1239</v>
      </c>
      <c r="B728" s="849">
        <v>2026.0</v>
      </c>
      <c r="C728" s="849" t="s">
        <v>2683</v>
      </c>
      <c r="D728" s="849" t="s">
        <v>2684</v>
      </c>
      <c r="E728" s="849" t="s">
        <v>768</v>
      </c>
      <c r="F728" s="849" t="s">
        <v>2426</v>
      </c>
      <c r="G728" s="849">
        <v>0.0</v>
      </c>
      <c r="H728" s="849">
        <v>0.0</v>
      </c>
      <c r="I728" s="849">
        <v>0.0</v>
      </c>
      <c r="J728" s="849">
        <v>0.0</v>
      </c>
      <c r="K728" s="849">
        <v>0.0</v>
      </c>
      <c r="L728" s="849">
        <v>0.0</v>
      </c>
      <c r="M728" s="849">
        <v>0.0</v>
      </c>
      <c r="N728" s="849">
        <v>0.0</v>
      </c>
      <c r="O728" s="849">
        <v>0.0</v>
      </c>
      <c r="P728" s="849">
        <v>0.0</v>
      </c>
      <c r="Q728" s="849">
        <v>0.0</v>
      </c>
      <c r="R728" s="849">
        <v>0.0</v>
      </c>
      <c r="S728" s="849">
        <v>0.0</v>
      </c>
      <c r="T728" s="849">
        <v>0.0</v>
      </c>
      <c r="U728" s="849">
        <v>0.0</v>
      </c>
      <c r="V728" s="849">
        <v>0.0</v>
      </c>
      <c r="W728" s="849">
        <v>0.0</v>
      </c>
      <c r="X728" s="849">
        <v>0.0</v>
      </c>
      <c r="Y728" s="849">
        <v>0.0</v>
      </c>
      <c r="Z728" s="849">
        <v>0.0</v>
      </c>
      <c r="AA728" s="849">
        <v>0.0</v>
      </c>
      <c r="AB728" s="849">
        <v>0.0</v>
      </c>
      <c r="AC728" s="849">
        <v>0.0</v>
      </c>
      <c r="AD728" s="849">
        <v>0.0</v>
      </c>
      <c r="AE728" s="849">
        <v>0.0</v>
      </c>
      <c r="AF728" s="849">
        <v>0.0</v>
      </c>
      <c r="AG728" s="849">
        <v>0.0</v>
      </c>
      <c r="AH728" s="849">
        <v>0.0</v>
      </c>
      <c r="AI728" s="849">
        <v>0.0</v>
      </c>
      <c r="AJ728" s="794" t="str">
        <f t="shared" ref="AJ728:AK728" si="1453">C728</f>
        <v>G45512</v>
      </c>
      <c r="AK728" s="794" t="str">
        <f t="shared" si="1453"/>
        <v>VTE -PRT PERTE TOT USAGE</v>
      </c>
      <c r="AL728" s="794">
        <f t="array" ref="AL728">IFERROR(INDEX(G728:R728,1,MATCH(Parametres!$B$3,G$1:R$1,0)-1)*IF(OR(F728="L",F728="S",F728="I"),-1,1),"")</f>
        <v>0</v>
      </c>
      <c r="AM728" s="794">
        <f t="shared" si="4"/>
        <v>0</v>
      </c>
      <c r="AN728" s="794">
        <f t="array" ref="AN728">INDEX(G728:R728,1,MATCH(Parametres!$B$3,G$1:R$1,0))*IF(OR(F728="L",F728="S",F728="I"),-1,1)</f>
        <v>0</v>
      </c>
      <c r="AO728" s="853" t="str">
        <f>+VLOOKUP($AJ728,Data_Validation!$A:$D,1,0)</f>
        <v>#N/A</v>
      </c>
      <c r="AP728" s="853" t="str">
        <f>+VLOOKUP($AJ728,Data_Validation!$A:$D,3,0)</f>
        <v>#N/A</v>
      </c>
      <c r="AQ728" s="853" t="str">
        <f>+VLOOKUP($AJ728,Data_Validation!$A:$D,4,0)</f>
        <v>#N/A</v>
      </c>
      <c r="AR728" s="853" t="s">
        <v>728</v>
      </c>
      <c r="AS728" s="853" t="str">
        <f>+VLOOKUP($AJ728,Data_Validation!$A:$E,5,0)</f>
        <v>#N/A</v>
      </c>
      <c r="AT728" s="794" t="str">
        <f t="shared" ref="AT728:AU728" si="1454">C728</f>
        <v>G45512</v>
      </c>
      <c r="AU728" s="854" t="str">
        <f t="shared" si="1454"/>
        <v>VTE -PRT PERTE TOT USAGE</v>
      </c>
      <c r="AV728" s="794">
        <f t="array" ref="AV728">IFERROR(INDEX(V728:AG728,1,MATCH(Parametres!$B$3,V$1:AG$1,0)-1)*IF(OR(C728="L",C728="S",C728="I"),-1,1),"")</f>
        <v>0</v>
      </c>
      <c r="AW728" s="794">
        <f t="shared" si="6"/>
        <v>0</v>
      </c>
      <c r="AX728" s="794">
        <f t="array" ref="AX728">INDEX(V728:AG728,1,MATCH(Parametres!$B$3,V$1:AG$1,0))*IF(OR(C728="L",C728="S",C728="I"),-1,1)</f>
        <v>0</v>
      </c>
      <c r="AY728" s="853" t="s">
        <v>772</v>
      </c>
      <c r="AZ728" s="853" t="str">
        <f>+VLOOKUP($AJ728,Data_Validation!$A:$E,5,0)</f>
        <v>#N/A</v>
      </c>
    </row>
    <row r="729" ht="15.0" customHeight="1">
      <c r="A729" s="849" t="s">
        <v>1239</v>
      </c>
      <c r="B729" s="849">
        <v>2026.0</v>
      </c>
      <c r="C729" s="849" t="s">
        <v>2685</v>
      </c>
      <c r="D729" s="849" t="s">
        <v>2686</v>
      </c>
      <c r="E729" s="849" t="s">
        <v>768</v>
      </c>
      <c r="F729" s="849" t="s">
        <v>2426</v>
      </c>
      <c r="G729" s="849">
        <v>0.0</v>
      </c>
      <c r="H729" s="849">
        <v>0.0</v>
      </c>
      <c r="I729" s="849">
        <v>0.0</v>
      </c>
      <c r="J729" s="849">
        <v>0.0</v>
      </c>
      <c r="K729" s="849">
        <v>0.0</v>
      </c>
      <c r="L729" s="849">
        <v>0.0</v>
      </c>
      <c r="M729" s="849">
        <v>0.0</v>
      </c>
      <c r="N729" s="849">
        <v>0.0</v>
      </c>
      <c r="O729" s="849">
        <v>0.0</v>
      </c>
      <c r="P729" s="849">
        <v>0.0</v>
      </c>
      <c r="Q729" s="849">
        <v>0.0</v>
      </c>
      <c r="R729" s="849">
        <v>0.0</v>
      </c>
      <c r="S729" s="849">
        <v>0.0</v>
      </c>
      <c r="T729" s="849">
        <v>0.0</v>
      </c>
      <c r="U729" s="849">
        <v>0.0</v>
      </c>
      <c r="V729" s="849">
        <v>0.0</v>
      </c>
      <c r="W729" s="849">
        <v>0.0</v>
      </c>
      <c r="X729" s="849">
        <v>0.0</v>
      </c>
      <c r="Y729" s="849">
        <v>0.0</v>
      </c>
      <c r="Z729" s="849">
        <v>0.0</v>
      </c>
      <c r="AA729" s="849">
        <v>0.0</v>
      </c>
      <c r="AB729" s="849">
        <v>0.0</v>
      </c>
      <c r="AC729" s="849">
        <v>0.0</v>
      </c>
      <c r="AD729" s="849">
        <v>0.0</v>
      </c>
      <c r="AE729" s="849">
        <v>0.0</v>
      </c>
      <c r="AF729" s="849">
        <v>0.0</v>
      </c>
      <c r="AG729" s="849">
        <v>0.0</v>
      </c>
      <c r="AH729" s="849">
        <v>0.0</v>
      </c>
      <c r="AI729" s="849">
        <v>0.0</v>
      </c>
      <c r="AJ729" s="794" t="str">
        <f t="shared" ref="AJ729:AK729" si="1455">C729</f>
        <v>G45513</v>
      </c>
      <c r="AK729" s="794" t="str">
        <f t="shared" si="1455"/>
        <v>VTE -PRT REMPL CLE-USAGE</v>
      </c>
      <c r="AL729" s="794">
        <f t="array" ref="AL729">IFERROR(INDEX(G729:R729,1,MATCH(Parametres!$B$3,G$1:R$1,0)-1)*IF(OR(F729="L",F729="S",F729="I"),-1,1),"")</f>
        <v>0</v>
      </c>
      <c r="AM729" s="794">
        <f t="shared" si="4"/>
        <v>0</v>
      </c>
      <c r="AN729" s="794">
        <f t="array" ref="AN729">INDEX(G729:R729,1,MATCH(Parametres!$B$3,G$1:R$1,0))*IF(OR(F729="L",F729="S",F729="I"),-1,1)</f>
        <v>0</v>
      </c>
      <c r="AO729" s="853" t="str">
        <f>+VLOOKUP($AJ729,Data_Validation!$A:$D,1,0)</f>
        <v>#N/A</v>
      </c>
      <c r="AP729" s="853" t="str">
        <f>+VLOOKUP($AJ729,Data_Validation!$A:$D,3,0)</f>
        <v>#N/A</v>
      </c>
      <c r="AQ729" s="853" t="str">
        <f>+VLOOKUP($AJ729,Data_Validation!$A:$D,4,0)</f>
        <v>#N/A</v>
      </c>
      <c r="AR729" s="853" t="s">
        <v>728</v>
      </c>
      <c r="AS729" s="853" t="str">
        <f>+VLOOKUP($AJ729,Data_Validation!$A:$E,5,0)</f>
        <v>#N/A</v>
      </c>
      <c r="AT729" s="794" t="str">
        <f t="shared" ref="AT729:AU729" si="1456">C729</f>
        <v>G45513</v>
      </c>
      <c r="AU729" s="854" t="str">
        <f t="shared" si="1456"/>
        <v>VTE -PRT REMPL CLE-USAGE</v>
      </c>
      <c r="AV729" s="794">
        <f t="array" ref="AV729">IFERROR(INDEX(V729:AG729,1,MATCH(Parametres!$B$3,V$1:AG$1,0)-1)*IF(OR(C729="L",C729="S",C729="I"),-1,1),"")</f>
        <v>0</v>
      </c>
      <c r="AW729" s="794">
        <f t="shared" si="6"/>
        <v>0</v>
      </c>
      <c r="AX729" s="794">
        <f t="array" ref="AX729">INDEX(V729:AG729,1,MATCH(Parametres!$B$3,V$1:AG$1,0))*IF(OR(C729="L",C729="S",C729="I"),-1,1)</f>
        <v>0</v>
      </c>
      <c r="AY729" s="853" t="s">
        <v>772</v>
      </c>
      <c r="AZ729" s="853" t="str">
        <f>+VLOOKUP($AJ729,Data_Validation!$A:$E,5,0)</f>
        <v>#N/A</v>
      </c>
    </row>
    <row r="730" ht="15.0" customHeight="1">
      <c r="A730" s="849" t="s">
        <v>1239</v>
      </c>
      <c r="B730" s="849">
        <v>2026.0</v>
      </c>
      <c r="C730" s="849" t="s">
        <v>2687</v>
      </c>
      <c r="D730" s="849" t="s">
        <v>2688</v>
      </c>
      <c r="E730" s="849" t="s">
        <v>768</v>
      </c>
      <c r="F730" s="849" t="s">
        <v>2426</v>
      </c>
      <c r="G730" s="849">
        <v>2177.0</v>
      </c>
      <c r="H730" s="849">
        <v>2177.0</v>
      </c>
      <c r="I730" s="849">
        <v>3534.0</v>
      </c>
      <c r="J730" s="849">
        <v>3534.0</v>
      </c>
      <c r="K730" s="849">
        <v>3534.0</v>
      </c>
      <c r="L730" s="849">
        <v>3534.0</v>
      </c>
      <c r="M730" s="849">
        <v>3534.0</v>
      </c>
      <c r="N730" s="849">
        <v>11188.0</v>
      </c>
      <c r="O730" s="849">
        <v>11188.0</v>
      </c>
      <c r="P730" s="849">
        <v>11188.0</v>
      </c>
      <c r="Q730" s="849">
        <v>0.0</v>
      </c>
      <c r="R730" s="849">
        <v>0.0</v>
      </c>
      <c r="S730" s="849">
        <v>1243.11</v>
      </c>
      <c r="T730" s="849">
        <v>1243.11</v>
      </c>
      <c r="U730" s="849">
        <v>0.0</v>
      </c>
      <c r="V730" s="849">
        <v>1.0</v>
      </c>
      <c r="W730" s="849">
        <v>1.0</v>
      </c>
      <c r="X730" s="849">
        <v>2.0</v>
      </c>
      <c r="Y730" s="849">
        <v>2.0</v>
      </c>
      <c r="Z730" s="849">
        <v>2.0</v>
      </c>
      <c r="AA730" s="849">
        <v>2.0</v>
      </c>
      <c r="AB730" s="849">
        <v>2.0</v>
      </c>
      <c r="AC730" s="849">
        <v>4.0</v>
      </c>
      <c r="AD730" s="849">
        <v>4.0</v>
      </c>
      <c r="AE730" s="849">
        <v>4.0</v>
      </c>
      <c r="AF730" s="849">
        <v>0.0</v>
      </c>
      <c r="AG730" s="849">
        <v>0.0</v>
      </c>
      <c r="AH730" s="849">
        <v>0.0</v>
      </c>
      <c r="AI730" s="849">
        <v>0.0</v>
      </c>
      <c r="AJ730" s="794" t="str">
        <f t="shared" ref="AJ730:AK730" si="1457">C730</f>
        <v>G45600</v>
      </c>
      <c r="AK730" s="794" t="str">
        <f t="shared" si="1457"/>
        <v>VALEUR REMPL. USAGES</v>
      </c>
      <c r="AL730" s="794">
        <f t="array" ref="AL730">IFERROR(INDEX(G730:R730,1,MATCH(Parametres!$B$3,G$1:R$1,0)-1)*IF(OR(F730="L",F730="S",F730="I"),-1,1),"")</f>
        <v>-11188</v>
      </c>
      <c r="AM730" s="794">
        <f t="shared" si="4"/>
        <v>0</v>
      </c>
      <c r="AN730" s="794">
        <f t="array" ref="AN730">INDEX(G730:R730,1,MATCH(Parametres!$B$3,G$1:R$1,0))*IF(OR(F730="L",F730="S",F730="I"),-1,1)</f>
        <v>-11188</v>
      </c>
      <c r="AO730" s="853" t="str">
        <f>+VLOOKUP($AJ730,Data_Validation!$A:$D,1,0)</f>
        <v>G45600</v>
      </c>
      <c r="AP730" s="853" t="str">
        <f>+VLOOKUP($AJ730,Data_Validation!$A:$D,3,0)</f>
        <v>Véhicules usagés</v>
      </c>
      <c r="AQ730" s="853" t="str">
        <f>+VLOOKUP($AJ730,Data_Validation!$A:$D,4,0)</f>
        <v>Rev. Protections</v>
      </c>
      <c r="AR730" s="853" t="s">
        <v>728</v>
      </c>
      <c r="AS730" s="853" t="str">
        <f>+VLOOKUP($AJ730,Data_Validation!$A:$E,5,0)</f>
        <v>Oui</v>
      </c>
      <c r="AT730" s="794" t="str">
        <f t="shared" ref="AT730:AU730" si="1458">C730</f>
        <v>G45600</v>
      </c>
      <c r="AU730" s="854" t="str">
        <f t="shared" si="1458"/>
        <v>VALEUR REMPL. USAGES</v>
      </c>
      <c r="AV730" s="794">
        <f t="array" ref="AV730">IFERROR(INDEX(V730:AG730,1,MATCH(Parametres!$B$3,V$1:AG$1,0)-1)*IF(OR(C730="L",C730="S",C730="I"),-1,1),"")</f>
        <v>4</v>
      </c>
      <c r="AW730" s="794">
        <f t="shared" si="6"/>
        <v>0</v>
      </c>
      <c r="AX730" s="794">
        <f t="array" ref="AX730">INDEX(V730:AG730,1,MATCH(Parametres!$B$3,V$1:AG$1,0))*IF(OR(C730="L",C730="S",C730="I"),-1,1)</f>
        <v>4</v>
      </c>
      <c r="AY730" s="853" t="s">
        <v>772</v>
      </c>
      <c r="AZ730" s="853" t="str">
        <f>+VLOOKUP($AJ730,Data_Validation!$A:$E,5,0)</f>
        <v>Oui</v>
      </c>
    </row>
    <row r="731" ht="15.0" customHeight="1">
      <c r="A731" s="849" t="s">
        <v>1239</v>
      </c>
      <c r="B731" s="849">
        <v>2026.0</v>
      </c>
      <c r="C731" s="849" t="s">
        <v>2689</v>
      </c>
      <c r="D731" s="849" t="s">
        <v>2690</v>
      </c>
      <c r="E731" s="849" t="s">
        <v>2426</v>
      </c>
      <c r="F731" s="849" t="s">
        <v>2426</v>
      </c>
      <c r="G731" s="849">
        <v>0.0</v>
      </c>
      <c r="H731" s="849">
        <v>0.0</v>
      </c>
      <c r="I731" s="849">
        <v>0.0</v>
      </c>
      <c r="J731" s="849">
        <v>0.0</v>
      </c>
      <c r="K731" s="849">
        <v>0.0</v>
      </c>
      <c r="L731" s="849">
        <v>0.0</v>
      </c>
      <c r="M731" s="849">
        <v>0.0</v>
      </c>
      <c r="N731" s="849">
        <v>0.0</v>
      </c>
      <c r="O731" s="849">
        <v>0.0</v>
      </c>
      <c r="P731" s="849">
        <v>0.0</v>
      </c>
      <c r="Q731" s="849">
        <v>0.0</v>
      </c>
      <c r="R731" s="849">
        <v>0.0</v>
      </c>
      <c r="S731" s="849">
        <v>0.0</v>
      </c>
      <c r="T731" s="849">
        <v>0.0</v>
      </c>
      <c r="U731" s="849">
        <v>0.0</v>
      </c>
      <c r="V731" s="849">
        <v>0.0</v>
      </c>
      <c r="W731" s="849">
        <v>0.0</v>
      </c>
      <c r="X731" s="849">
        <v>0.0</v>
      </c>
      <c r="Y731" s="849">
        <v>0.0</v>
      </c>
      <c r="Z731" s="849">
        <v>0.0</v>
      </c>
      <c r="AA731" s="849">
        <v>0.0</v>
      </c>
      <c r="AB731" s="849">
        <v>0.0</v>
      </c>
      <c r="AC731" s="849">
        <v>0.0</v>
      </c>
      <c r="AD731" s="849">
        <v>0.0</v>
      </c>
      <c r="AE731" s="849">
        <v>0.0</v>
      </c>
      <c r="AF731" s="849">
        <v>0.0</v>
      </c>
      <c r="AG731" s="849">
        <v>0.0</v>
      </c>
      <c r="AH731" s="849">
        <v>0.0</v>
      </c>
      <c r="AI731" s="849">
        <v>0.0</v>
      </c>
      <c r="AJ731" s="794" t="str">
        <f t="shared" ref="AJ731:AK731" si="1459">C731</f>
        <v>G45601</v>
      </c>
      <c r="AK731" s="794" t="str">
        <f t="shared" si="1459"/>
        <v>REV VEHICULES U.S.A</v>
      </c>
      <c r="AL731" s="794">
        <f t="array" ref="AL731">IFERROR(INDEX(G731:R731,1,MATCH(Parametres!$B$3,G$1:R$1,0)-1)*IF(OR(F731="L",F731="S",F731="I"),-1,1),"")</f>
        <v>0</v>
      </c>
      <c r="AM731" s="794">
        <f t="shared" si="4"/>
        <v>0</v>
      </c>
      <c r="AN731" s="794">
        <f t="array" ref="AN731">INDEX(G731:R731,1,MATCH(Parametres!$B$3,G$1:R$1,0))*IF(OR(F731="L",F731="S",F731="I"),-1,1)</f>
        <v>0</v>
      </c>
      <c r="AO731" s="853" t="str">
        <f>+VLOOKUP($AJ731,Data_Validation!$A:$D,1,0)</f>
        <v>G45601</v>
      </c>
      <c r="AP731" s="853" t="str">
        <f>+VLOOKUP($AJ731,Data_Validation!$A:$D,3,0)</f>
        <v>Wholesale autres</v>
      </c>
      <c r="AQ731" s="853" t="str">
        <f>+VLOOKUP($AJ731,Data_Validation!$A:$D,4,0)</f>
        <v>Wholesale USA</v>
      </c>
      <c r="AR731" s="853" t="s">
        <v>728</v>
      </c>
      <c r="AS731" s="853" t="str">
        <f>+VLOOKUP($AJ731,Data_Validation!$A:$E,5,0)</f>
        <v>Oui</v>
      </c>
      <c r="AT731" s="794" t="str">
        <f t="shared" ref="AT731:AU731" si="1460">C731</f>
        <v>G45601</v>
      </c>
      <c r="AU731" s="854" t="str">
        <f t="shared" si="1460"/>
        <v>REV VEHICULES U.S.A</v>
      </c>
      <c r="AV731" s="794">
        <f t="array" ref="AV731">IFERROR(INDEX(V731:AG731,1,MATCH(Parametres!$B$3,V$1:AG$1,0)-1)*IF(OR(C731="L",C731="S",C731="I"),-1,1),"")</f>
        <v>0</v>
      </c>
      <c r="AW731" s="794">
        <f t="shared" si="6"/>
        <v>0</v>
      </c>
      <c r="AX731" s="794">
        <f t="array" ref="AX731">INDEX(V731:AG731,1,MATCH(Parametres!$B$3,V$1:AG$1,0))*IF(OR(C731="L",C731="S",C731="I"),-1,1)</f>
        <v>0</v>
      </c>
      <c r="AY731" s="853" t="s">
        <v>772</v>
      </c>
      <c r="AZ731" s="853" t="str">
        <f>+VLOOKUP($AJ731,Data_Validation!$A:$E,5,0)</f>
        <v>Oui</v>
      </c>
    </row>
    <row r="732" ht="15.0" customHeight="1">
      <c r="A732" s="849" t="s">
        <v>1239</v>
      </c>
      <c r="B732" s="849">
        <v>2026.0</v>
      </c>
      <c r="C732" s="849" t="s">
        <v>2691</v>
      </c>
      <c r="D732" s="849" t="s">
        <v>2692</v>
      </c>
      <c r="E732" s="849" t="s">
        <v>768</v>
      </c>
      <c r="F732" s="849" t="s">
        <v>2426</v>
      </c>
      <c r="G732" s="849">
        <v>0.0</v>
      </c>
      <c r="H732" s="849">
        <v>0.0</v>
      </c>
      <c r="I732" s="849">
        <v>0.0</v>
      </c>
      <c r="J732" s="849">
        <v>0.0</v>
      </c>
      <c r="K732" s="849">
        <v>0.0</v>
      </c>
      <c r="L732" s="849">
        <v>0.0</v>
      </c>
      <c r="M732" s="849">
        <v>0.0</v>
      </c>
      <c r="N732" s="849">
        <v>0.0</v>
      </c>
      <c r="O732" s="849">
        <v>0.0</v>
      </c>
      <c r="P732" s="849">
        <v>0.0</v>
      </c>
      <c r="Q732" s="849">
        <v>0.0</v>
      </c>
      <c r="R732" s="849">
        <v>0.0</v>
      </c>
      <c r="S732" s="849">
        <v>0.0</v>
      </c>
      <c r="T732" s="849">
        <v>0.0</v>
      </c>
      <c r="U732" s="849">
        <v>0.0</v>
      </c>
      <c r="V732" s="849">
        <v>0.0</v>
      </c>
      <c r="W732" s="849">
        <v>0.0</v>
      </c>
      <c r="X732" s="849">
        <v>0.0</v>
      </c>
      <c r="Y732" s="849">
        <v>0.0</v>
      </c>
      <c r="Z732" s="849">
        <v>0.0</v>
      </c>
      <c r="AA732" s="849">
        <v>0.0</v>
      </c>
      <c r="AB732" s="849">
        <v>0.0</v>
      </c>
      <c r="AC732" s="849">
        <v>0.0</v>
      </c>
      <c r="AD732" s="849">
        <v>0.0</v>
      </c>
      <c r="AE732" s="849">
        <v>0.0</v>
      </c>
      <c r="AF732" s="849">
        <v>0.0</v>
      </c>
      <c r="AG732" s="849">
        <v>0.0</v>
      </c>
      <c r="AH732" s="849">
        <v>0.0</v>
      </c>
      <c r="AI732" s="849">
        <v>0.0</v>
      </c>
      <c r="AJ732" s="794" t="str">
        <f t="shared" ref="AJ732:AK732" si="1461">C732</f>
        <v>G45602</v>
      </c>
      <c r="AK732" s="794" t="str">
        <f t="shared" si="1461"/>
        <v>VENTE USA -AJUSTMENT</v>
      </c>
      <c r="AL732" s="794">
        <f t="array" ref="AL732">IFERROR(INDEX(G732:R732,1,MATCH(Parametres!$B$3,G$1:R$1,0)-1)*IF(OR(F732="L",F732="S",F732="I"),-1,1),"")</f>
        <v>0</v>
      </c>
      <c r="AM732" s="794">
        <f t="shared" si="4"/>
        <v>0</v>
      </c>
      <c r="AN732" s="794">
        <f t="array" ref="AN732">INDEX(G732:R732,1,MATCH(Parametres!$B$3,G$1:R$1,0))*IF(OR(F732="L",F732="S",F732="I"),-1,1)</f>
        <v>0</v>
      </c>
      <c r="AO732" s="853" t="str">
        <f>+VLOOKUP($AJ732,Data_Validation!$A:$D,1,0)</f>
        <v>G45602</v>
      </c>
      <c r="AP732" s="853" t="str">
        <f>+VLOOKUP($AJ732,Data_Validation!$A:$D,3,0)</f>
        <v>Wholesale autres</v>
      </c>
      <c r="AQ732" s="853" t="str">
        <f>+VLOOKUP($AJ732,Data_Validation!$A:$D,4,0)</f>
        <v>Wholesale USA</v>
      </c>
      <c r="AR732" s="853" t="s">
        <v>728</v>
      </c>
      <c r="AS732" s="853" t="str">
        <f>+VLOOKUP($AJ732,Data_Validation!$A:$E,5,0)</f>
        <v>Oui</v>
      </c>
      <c r="AT732" s="794" t="str">
        <f t="shared" ref="AT732:AU732" si="1462">C732</f>
        <v>G45602</v>
      </c>
      <c r="AU732" s="854" t="str">
        <f t="shared" si="1462"/>
        <v>VENTE USA -AJUSTMENT</v>
      </c>
      <c r="AV732" s="794">
        <f t="array" ref="AV732">IFERROR(INDEX(V732:AG732,1,MATCH(Parametres!$B$3,V$1:AG$1,0)-1)*IF(OR(C732="L",C732="S",C732="I"),-1,1),"")</f>
        <v>0</v>
      </c>
      <c r="AW732" s="794">
        <f t="shared" si="6"/>
        <v>0</v>
      </c>
      <c r="AX732" s="794">
        <f t="array" ref="AX732">INDEX(V732:AG732,1,MATCH(Parametres!$B$3,V$1:AG$1,0))*IF(OR(C732="L",C732="S",C732="I"),-1,1)</f>
        <v>0</v>
      </c>
      <c r="AY732" s="853" t="s">
        <v>772</v>
      </c>
      <c r="AZ732" s="853" t="str">
        <f>+VLOOKUP($AJ732,Data_Validation!$A:$E,5,0)</f>
        <v>Oui</v>
      </c>
    </row>
    <row r="733" ht="15.0" customHeight="1">
      <c r="A733" s="849" t="s">
        <v>1239</v>
      </c>
      <c r="B733" s="849">
        <v>2026.0</v>
      </c>
      <c r="C733" s="849" t="s">
        <v>2693</v>
      </c>
      <c r="D733" s="849" t="s">
        <v>2694</v>
      </c>
      <c r="E733" s="849" t="s">
        <v>2426</v>
      </c>
      <c r="F733" s="849" t="s">
        <v>2426</v>
      </c>
      <c r="G733" s="849">
        <v>1865674.77</v>
      </c>
      <c r="H733" s="849">
        <v>3739642.83</v>
      </c>
      <c r="I733" s="849">
        <v>7577610.27</v>
      </c>
      <c r="J733" s="849">
        <v>1.197668121E7</v>
      </c>
      <c r="K733" s="849">
        <v>1.527772866E7</v>
      </c>
      <c r="L733" s="849">
        <v>1.828942858E7</v>
      </c>
      <c r="M733" s="849">
        <v>2.032892342E7</v>
      </c>
      <c r="N733" s="849">
        <v>2.387353711E7</v>
      </c>
      <c r="O733" s="849">
        <v>2.443597954E7</v>
      </c>
      <c r="P733" s="849">
        <v>2.443597954E7</v>
      </c>
      <c r="Q733" s="849">
        <v>0.0</v>
      </c>
      <c r="R733" s="849">
        <v>0.0</v>
      </c>
      <c r="S733" s="849">
        <v>2715108.84</v>
      </c>
      <c r="T733" s="849">
        <v>2715108.84</v>
      </c>
      <c r="U733" s="849">
        <v>0.0</v>
      </c>
      <c r="V733" s="849">
        <v>40.0</v>
      </c>
      <c r="W733" s="849">
        <v>82.0</v>
      </c>
      <c r="X733" s="849">
        <v>165.0</v>
      </c>
      <c r="Y733" s="849">
        <v>257.0</v>
      </c>
      <c r="Z733" s="849">
        <v>334.0</v>
      </c>
      <c r="AA733" s="849">
        <v>396.0</v>
      </c>
      <c r="AB733" s="849">
        <v>441.0</v>
      </c>
      <c r="AC733" s="849">
        <v>518.0</v>
      </c>
      <c r="AD733" s="849">
        <v>530.0</v>
      </c>
      <c r="AE733" s="849">
        <v>530.0</v>
      </c>
      <c r="AF733" s="849">
        <v>0.0</v>
      </c>
      <c r="AG733" s="849">
        <v>0.0</v>
      </c>
      <c r="AH733" s="849">
        <v>59.0</v>
      </c>
      <c r="AI733" s="849">
        <v>59.0</v>
      </c>
      <c r="AJ733" s="794" t="str">
        <f t="shared" ref="AJ733:AK733" si="1463">C733</f>
        <v>G45603</v>
      </c>
      <c r="AK733" s="794" t="str">
        <f t="shared" si="1463"/>
        <v>VENTES USA</v>
      </c>
      <c r="AL733" s="794">
        <f t="array" ref="AL733">IFERROR(INDEX(G733:R733,1,MATCH(Parametres!$B$3,G$1:R$1,0)-1)*IF(OR(F733="L",F733="S",F733="I"),-1,1),"")</f>
        <v>-23873537.11</v>
      </c>
      <c r="AM733" s="794">
        <f t="shared" si="4"/>
        <v>-562442.43</v>
      </c>
      <c r="AN733" s="794">
        <f t="array" ref="AN733">INDEX(G733:R733,1,MATCH(Parametres!$B$3,G$1:R$1,0))*IF(OR(F733="L",F733="S",F733="I"),-1,1)</f>
        <v>-24435979.54</v>
      </c>
      <c r="AO733" s="853" t="str">
        <f>+VLOOKUP($AJ733,Data_Validation!$A:$D,1,0)</f>
        <v>G45603</v>
      </c>
      <c r="AP733" s="853" t="str">
        <f>+VLOOKUP($AJ733,Data_Validation!$A:$D,3,0)</f>
        <v>Wholesale autres</v>
      </c>
      <c r="AQ733" s="853" t="str">
        <f>+VLOOKUP($AJ733,Data_Validation!$A:$D,4,0)</f>
        <v>Wholesale USA</v>
      </c>
      <c r="AR733" s="853" t="s">
        <v>728</v>
      </c>
      <c r="AS733" s="853" t="str">
        <f>+VLOOKUP($AJ733,Data_Validation!$A:$E,5,0)</f>
        <v>Oui</v>
      </c>
      <c r="AT733" s="794" t="str">
        <f t="shared" ref="AT733:AU733" si="1464">C733</f>
        <v>G45603</v>
      </c>
      <c r="AU733" s="854" t="str">
        <f t="shared" si="1464"/>
        <v>VENTES USA</v>
      </c>
      <c r="AV733" s="794">
        <f t="array" ref="AV733">IFERROR(INDEX(V733:AG733,1,MATCH(Parametres!$B$3,V$1:AG$1,0)-1)*IF(OR(C733="L",C733="S",C733="I"),-1,1),"")</f>
        <v>518</v>
      </c>
      <c r="AW733" s="794">
        <f t="shared" si="6"/>
        <v>12</v>
      </c>
      <c r="AX733" s="794">
        <f t="array" ref="AX733">INDEX(V733:AG733,1,MATCH(Parametres!$B$3,V$1:AG$1,0))*IF(OR(C733="L",C733="S",C733="I"),-1,1)</f>
        <v>530</v>
      </c>
      <c r="AY733" s="853" t="s">
        <v>772</v>
      </c>
      <c r="AZ733" s="853" t="str">
        <f>+VLOOKUP($AJ733,Data_Validation!$A:$E,5,0)</f>
        <v>Oui</v>
      </c>
    </row>
    <row r="734" ht="15.0" customHeight="1">
      <c r="A734" s="849" t="s">
        <v>1239</v>
      </c>
      <c r="B734" s="849">
        <v>2026.0</v>
      </c>
      <c r="C734" s="849" t="s">
        <v>2695</v>
      </c>
      <c r="D734" s="849" t="s">
        <v>2696</v>
      </c>
      <c r="E734" s="849" t="s">
        <v>2426</v>
      </c>
      <c r="F734" s="849" t="s">
        <v>2426</v>
      </c>
      <c r="G734" s="849">
        <v>0.0</v>
      </c>
      <c r="H734" s="849">
        <v>0.0</v>
      </c>
      <c r="I734" s="849">
        <v>0.0</v>
      </c>
      <c r="J734" s="849">
        <v>0.0</v>
      </c>
      <c r="K734" s="849">
        <v>3688515.75</v>
      </c>
      <c r="L734" s="849">
        <v>5629910.83</v>
      </c>
      <c r="M734" s="849">
        <v>7128148.58</v>
      </c>
      <c r="N734" s="849">
        <v>8932635.07</v>
      </c>
      <c r="O734" s="849">
        <v>1.029580307E7</v>
      </c>
      <c r="P734" s="849">
        <v>1.077690307E7</v>
      </c>
      <c r="Q734" s="849">
        <v>0.0</v>
      </c>
      <c r="R734" s="849">
        <v>0.0</v>
      </c>
      <c r="S734" s="849">
        <v>1143978.12</v>
      </c>
      <c r="T734" s="849">
        <v>1143978.12</v>
      </c>
      <c r="U734" s="849">
        <v>0.0</v>
      </c>
      <c r="V734" s="849">
        <v>0.0</v>
      </c>
      <c r="W734" s="849">
        <v>0.0</v>
      </c>
      <c r="X734" s="849">
        <v>0.0</v>
      </c>
      <c r="Y734" s="849">
        <v>0.0</v>
      </c>
      <c r="Z734" s="849">
        <v>66.0</v>
      </c>
      <c r="AA734" s="849">
        <v>102.0</v>
      </c>
      <c r="AB734" s="849">
        <v>127.0</v>
      </c>
      <c r="AC734" s="849">
        <v>158.0</v>
      </c>
      <c r="AD734" s="849">
        <v>180.0</v>
      </c>
      <c r="AE734" s="849">
        <v>188.0</v>
      </c>
      <c r="AF734" s="849">
        <v>0.0</v>
      </c>
      <c r="AG734" s="849">
        <v>0.0</v>
      </c>
      <c r="AH734" s="849">
        <v>20.0</v>
      </c>
      <c r="AI734" s="849">
        <v>20.0</v>
      </c>
      <c r="AJ734" s="794" t="str">
        <f t="shared" ref="AJ734:AK734" si="1465">C734</f>
        <v>G456031</v>
      </c>
      <c r="AK734" s="794" t="str">
        <f t="shared" si="1465"/>
        <v>VENTES INTERCO USA</v>
      </c>
      <c r="AL734" s="794">
        <f t="array" ref="AL734">IFERROR(INDEX(G734:R734,1,MATCH(Parametres!$B$3,G$1:R$1,0)-1)*IF(OR(F734="L",F734="S",F734="I"),-1,1),"")</f>
        <v>-8932635.07</v>
      </c>
      <c r="AM734" s="794">
        <f t="shared" si="4"/>
        <v>-1363168</v>
      </c>
      <c r="AN734" s="794">
        <f t="array" ref="AN734">INDEX(G734:R734,1,MATCH(Parametres!$B$3,G$1:R$1,0))*IF(OR(F734="L",F734="S",F734="I"),-1,1)</f>
        <v>-10295803.07</v>
      </c>
      <c r="AO734" s="853" t="str">
        <f>+VLOOKUP($AJ734,Data_Validation!$A:$D,1,0)</f>
        <v>G456031</v>
      </c>
      <c r="AP734" s="853" t="str">
        <f>+VLOOKUP($AJ734,Data_Validation!$A:$D,3,0)</f>
        <v/>
      </c>
      <c r="AQ734" s="853" t="str">
        <f>+VLOOKUP($AJ734,Data_Validation!$A:$D,4,0)</f>
        <v/>
      </c>
      <c r="AR734" s="853" t="s">
        <v>728</v>
      </c>
      <c r="AS734" s="853" t="str">
        <f>+VLOOKUP($AJ734,Data_Validation!$A:$E,5,0)</f>
        <v/>
      </c>
      <c r="AT734" s="794" t="str">
        <f t="shared" ref="AT734:AU734" si="1466">C734</f>
        <v>G456031</v>
      </c>
      <c r="AU734" s="854" t="str">
        <f t="shared" si="1466"/>
        <v>VENTES INTERCO USA</v>
      </c>
      <c r="AV734" s="794">
        <f t="array" ref="AV734">IFERROR(INDEX(V734:AG734,1,MATCH(Parametres!$B$3,V$1:AG$1,0)-1)*IF(OR(C734="L",C734="S",C734="I"),-1,1),"")</f>
        <v>158</v>
      </c>
      <c r="AW734" s="794">
        <f t="shared" si="6"/>
        <v>22</v>
      </c>
      <c r="AX734" s="794">
        <f t="array" ref="AX734">INDEX(V734:AG734,1,MATCH(Parametres!$B$3,V$1:AG$1,0))*IF(OR(C734="L",C734="S",C734="I"),-1,1)</f>
        <v>180</v>
      </c>
      <c r="AY734" s="853" t="s">
        <v>772</v>
      </c>
      <c r="AZ734" s="853" t="str">
        <f>+VLOOKUP($AJ734,Data_Validation!$A:$E,5,0)</f>
        <v/>
      </c>
    </row>
    <row r="735" ht="15.0" customHeight="1">
      <c r="A735" s="849" t="s">
        <v>1239</v>
      </c>
      <c r="B735" s="849">
        <v>2026.0</v>
      </c>
      <c r="C735" s="849" t="s">
        <v>2697</v>
      </c>
      <c r="D735" s="849" t="s">
        <v>2698</v>
      </c>
      <c r="E735" s="849" t="s">
        <v>2426</v>
      </c>
      <c r="F735" s="849" t="s">
        <v>2426</v>
      </c>
      <c r="G735" s="849">
        <v>0.0</v>
      </c>
      <c r="H735" s="849">
        <v>0.0</v>
      </c>
      <c r="I735" s="849">
        <v>0.0</v>
      </c>
      <c r="J735" s="849">
        <v>0.0</v>
      </c>
      <c r="K735" s="849">
        <v>7860774.26</v>
      </c>
      <c r="L735" s="849">
        <v>8498277.26</v>
      </c>
      <c r="M735" s="849">
        <v>9319339.26</v>
      </c>
      <c r="N735" s="849">
        <v>1.024153326E7</v>
      </c>
      <c r="O735" s="849">
        <v>1.080576526E7</v>
      </c>
      <c r="P735" s="849">
        <v>1.098078626E7</v>
      </c>
      <c r="Q735" s="849">
        <v>0.0</v>
      </c>
      <c r="R735" s="849">
        <v>0.0</v>
      </c>
      <c r="S735" s="849">
        <v>1200640.58</v>
      </c>
      <c r="T735" s="849">
        <v>1200640.58</v>
      </c>
      <c r="U735" s="849">
        <v>0.0</v>
      </c>
      <c r="V735" s="849">
        <v>0.0</v>
      </c>
      <c r="W735" s="849">
        <v>0.0</v>
      </c>
      <c r="X735" s="849">
        <v>0.0</v>
      </c>
      <c r="Y735" s="849">
        <v>0.0</v>
      </c>
      <c r="Z735" s="849">
        <v>246.0</v>
      </c>
      <c r="AA735" s="849">
        <v>262.0</v>
      </c>
      <c r="AB735" s="849">
        <v>283.0</v>
      </c>
      <c r="AC735" s="849">
        <v>310.0</v>
      </c>
      <c r="AD735" s="849">
        <v>328.0</v>
      </c>
      <c r="AE735" s="849">
        <v>332.0</v>
      </c>
      <c r="AF735" s="849">
        <v>0.0</v>
      </c>
      <c r="AG735" s="849">
        <v>0.0</v>
      </c>
      <c r="AH735" s="849">
        <v>36.0</v>
      </c>
      <c r="AI735" s="849">
        <v>36.0</v>
      </c>
      <c r="AJ735" s="794" t="str">
        <f t="shared" ref="AJ735:AK735" si="1467">C735</f>
        <v>G45605</v>
      </c>
      <c r="AK735" s="794" t="str">
        <f t="shared" si="1467"/>
        <v>VENTE WHL CANADA</v>
      </c>
      <c r="AL735" s="794">
        <f t="array" ref="AL735">IFERROR(INDEX(G735:R735,1,MATCH(Parametres!$B$3,G$1:R$1,0)-1)*IF(OR(F735="L",F735="S",F735="I"),-1,1),"")</f>
        <v>-10241533.26</v>
      </c>
      <c r="AM735" s="794">
        <f t="shared" si="4"/>
        <v>-564232</v>
      </c>
      <c r="AN735" s="794">
        <f t="array" ref="AN735">INDEX(G735:R735,1,MATCH(Parametres!$B$3,G$1:R$1,0))*IF(OR(F735="L",F735="S",F735="I"),-1,1)</f>
        <v>-10805765.26</v>
      </c>
      <c r="AO735" s="853" t="str">
        <f>+VLOOKUP($AJ735,Data_Validation!$A:$D,1,0)</f>
        <v>G45605</v>
      </c>
      <c r="AP735" s="853" t="str">
        <f>+VLOOKUP($AJ735,Data_Validation!$A:$D,3,0)</f>
        <v>Wholesale autres</v>
      </c>
      <c r="AQ735" s="853" t="str">
        <f>+VLOOKUP($AJ735,Data_Validation!$A:$D,4,0)</f>
        <v>Wholesale Canada</v>
      </c>
      <c r="AR735" s="853" t="s">
        <v>728</v>
      </c>
      <c r="AS735" s="853" t="str">
        <f>+VLOOKUP($AJ735,Data_Validation!$A:$E,5,0)</f>
        <v>Oui</v>
      </c>
      <c r="AT735" s="794" t="str">
        <f t="shared" ref="AT735:AU735" si="1468">C735</f>
        <v>G45605</v>
      </c>
      <c r="AU735" s="854" t="str">
        <f t="shared" si="1468"/>
        <v>VENTE WHL CANADA</v>
      </c>
      <c r="AV735" s="794">
        <f t="array" ref="AV735">IFERROR(INDEX(V735:AG735,1,MATCH(Parametres!$B$3,V$1:AG$1,0)-1)*IF(OR(C735="L",C735="S",C735="I"),-1,1),"")</f>
        <v>310</v>
      </c>
      <c r="AW735" s="794">
        <f t="shared" si="6"/>
        <v>18</v>
      </c>
      <c r="AX735" s="794">
        <f t="array" ref="AX735">INDEX(V735:AG735,1,MATCH(Parametres!$B$3,V$1:AG$1,0))*IF(OR(C735="L",C735="S",C735="I"),-1,1)</f>
        <v>328</v>
      </c>
      <c r="AY735" s="853" t="s">
        <v>772</v>
      </c>
      <c r="AZ735" s="853" t="str">
        <f>+VLOOKUP($AJ735,Data_Validation!$A:$E,5,0)</f>
        <v>Oui</v>
      </c>
    </row>
    <row r="736" ht="15.0" customHeight="1">
      <c r="A736" s="849" t="s">
        <v>1239</v>
      </c>
      <c r="B736" s="849">
        <v>2026.0</v>
      </c>
      <c r="C736" s="849" t="s">
        <v>2699</v>
      </c>
      <c r="D736" s="849" t="s">
        <v>2700</v>
      </c>
      <c r="E736" s="849" t="s">
        <v>2701</v>
      </c>
      <c r="F736" s="849" t="s">
        <v>2426</v>
      </c>
      <c r="G736" s="849">
        <v>57649.56</v>
      </c>
      <c r="H736" s="849">
        <v>133321.16</v>
      </c>
      <c r="I736" s="849">
        <v>208755.74</v>
      </c>
      <c r="J736" s="849">
        <v>280763.65</v>
      </c>
      <c r="K736" s="849">
        <v>315937.68</v>
      </c>
      <c r="L736" s="849">
        <v>370066.6</v>
      </c>
      <c r="M736" s="849">
        <v>423889.12</v>
      </c>
      <c r="N736" s="849">
        <v>466345.67</v>
      </c>
      <c r="O736" s="849">
        <v>520227.15</v>
      </c>
      <c r="P736" s="849">
        <v>542691.09</v>
      </c>
      <c r="Q736" s="849">
        <v>0.0</v>
      </c>
      <c r="R736" s="849">
        <v>0.0</v>
      </c>
      <c r="S736" s="849">
        <v>57803.02</v>
      </c>
      <c r="T736" s="849">
        <v>57803.02</v>
      </c>
      <c r="U736" s="849">
        <v>0.0</v>
      </c>
      <c r="V736" s="849">
        <v>157.0</v>
      </c>
      <c r="W736" s="849">
        <v>314.0</v>
      </c>
      <c r="X736" s="849">
        <v>529.0</v>
      </c>
      <c r="Y736" s="849">
        <v>844.0</v>
      </c>
      <c r="Z736" s="849">
        <v>1056.0</v>
      </c>
      <c r="AA736" s="849">
        <v>1280.0</v>
      </c>
      <c r="AB736" s="849">
        <v>1503.0</v>
      </c>
      <c r="AC736" s="849">
        <v>1699.0</v>
      </c>
      <c r="AD736" s="849">
        <v>1909.0</v>
      </c>
      <c r="AE736" s="849">
        <v>1975.0</v>
      </c>
      <c r="AF736" s="849">
        <v>0.0</v>
      </c>
      <c r="AG736" s="849">
        <v>0.0</v>
      </c>
      <c r="AH736" s="849">
        <v>212.0</v>
      </c>
      <c r="AI736" s="849">
        <v>212.0</v>
      </c>
      <c r="AJ736" s="794" t="str">
        <f t="shared" ref="AJ736:AK736" si="1469">C736</f>
        <v>G46010</v>
      </c>
      <c r="AK736" s="794" t="str">
        <f t="shared" si="1469"/>
        <v>M-D'O CLIENT VOIT-CAM.LEG</v>
      </c>
      <c r="AL736" s="794">
        <f t="array" ref="AL736">IFERROR(INDEX(G736:R736,1,MATCH(Parametres!$B$3,G$1:R$1,0)-1)*IF(OR(F736="L",F736="S",F736="I"),-1,1),"")</f>
        <v>-466345.67</v>
      </c>
      <c r="AM736" s="794">
        <f t="shared" si="4"/>
        <v>-53881.48</v>
      </c>
      <c r="AN736" s="794">
        <f t="array" ref="AN736">INDEX(G736:R736,1,MATCH(Parametres!$B$3,G$1:R$1,0))*IF(OR(F736="L",F736="S",F736="I"),-1,1)</f>
        <v>-520227.15</v>
      </c>
      <c r="AO736" s="853" t="str">
        <f>+VLOOKUP($AJ736,Data_Validation!$A:$D,1,0)</f>
        <v>G46010</v>
      </c>
      <c r="AP736" s="853" t="str">
        <f>+VLOOKUP($AJ736,Data_Validation!$A:$D,3,0)</f>
        <v>Service</v>
      </c>
      <c r="AQ736" s="853" t="str">
        <f>+VLOOKUP($AJ736,Data_Validation!$A:$D,4,0)</f>
        <v>M/O Client</v>
      </c>
      <c r="AR736" s="853" t="s">
        <v>728</v>
      </c>
      <c r="AS736" s="853" t="str">
        <f>+VLOOKUP($AJ736,Data_Validation!$A:$E,5,0)</f>
        <v>Oui</v>
      </c>
      <c r="AT736" s="794" t="str">
        <f t="shared" ref="AT736:AU736" si="1470">C736</f>
        <v>G46010</v>
      </c>
      <c r="AU736" s="854" t="str">
        <f t="shared" si="1470"/>
        <v>M-D'O CLIENT VOIT-CAM.LEG</v>
      </c>
      <c r="AV736" s="794">
        <f t="array" ref="AV736">IFERROR(INDEX(V736:AG736,1,MATCH(Parametres!$B$3,V$1:AG$1,0)-1)*IF(OR(C736="L",C736="S",C736="I"),-1,1),"")</f>
        <v>1699</v>
      </c>
      <c r="AW736" s="794">
        <f t="shared" si="6"/>
        <v>210</v>
      </c>
      <c r="AX736" s="794">
        <f t="array" ref="AX736">INDEX(V736:AG736,1,MATCH(Parametres!$B$3,V$1:AG$1,0))*IF(OR(C736="L",C736="S",C736="I"),-1,1)</f>
        <v>1909</v>
      </c>
      <c r="AY736" s="853" t="s">
        <v>772</v>
      </c>
      <c r="AZ736" s="853" t="str">
        <f>+VLOOKUP($AJ736,Data_Validation!$A:$E,5,0)</f>
        <v>Oui</v>
      </c>
    </row>
    <row r="737" ht="15.0" customHeight="1">
      <c r="A737" s="849" t="s">
        <v>1239</v>
      </c>
      <c r="B737" s="849">
        <v>2026.0</v>
      </c>
      <c r="C737" s="849" t="s">
        <v>2702</v>
      </c>
      <c r="D737" s="849" t="s">
        <v>2703</v>
      </c>
      <c r="E737" s="849" t="s">
        <v>2701</v>
      </c>
      <c r="F737" s="849" t="s">
        <v>2426</v>
      </c>
      <c r="G737" s="849">
        <v>0.0</v>
      </c>
      <c r="H737" s="849">
        <v>0.0</v>
      </c>
      <c r="I737" s="849">
        <v>0.0</v>
      </c>
      <c r="J737" s="849">
        <v>0.0</v>
      </c>
      <c r="K737" s="849">
        <v>0.0</v>
      </c>
      <c r="L737" s="849">
        <v>0.0</v>
      </c>
      <c r="M737" s="849">
        <v>0.0</v>
      </c>
      <c r="N737" s="849">
        <v>0.0</v>
      </c>
      <c r="O737" s="849">
        <v>0.0</v>
      </c>
      <c r="P737" s="849">
        <v>75.0</v>
      </c>
      <c r="Q737" s="849">
        <v>0.0</v>
      </c>
      <c r="R737" s="849">
        <v>0.0</v>
      </c>
      <c r="S737" s="849">
        <v>0.0</v>
      </c>
      <c r="T737" s="849">
        <v>0.0</v>
      </c>
      <c r="U737" s="849">
        <v>0.0</v>
      </c>
      <c r="V737" s="849">
        <v>0.0</v>
      </c>
      <c r="W737" s="849">
        <v>0.0</v>
      </c>
      <c r="X737" s="849">
        <v>0.0</v>
      </c>
      <c r="Y737" s="849">
        <v>0.0</v>
      </c>
      <c r="Z737" s="849">
        <v>0.0</v>
      </c>
      <c r="AA737" s="849">
        <v>0.0</v>
      </c>
      <c r="AB737" s="849">
        <v>0.0</v>
      </c>
      <c r="AC737" s="849">
        <v>0.0</v>
      </c>
      <c r="AD737" s="849">
        <v>0.0</v>
      </c>
      <c r="AE737" s="849">
        <v>1.0</v>
      </c>
      <c r="AF737" s="849">
        <v>0.0</v>
      </c>
      <c r="AG737" s="849">
        <v>0.0</v>
      </c>
      <c r="AH737" s="849">
        <v>0.0</v>
      </c>
      <c r="AI737" s="849">
        <v>0.0</v>
      </c>
      <c r="AJ737" s="794" t="str">
        <f t="shared" ref="AJ737:AK737" si="1471">C737</f>
        <v>G46015</v>
      </c>
      <c r="AK737" s="794" t="str">
        <f t="shared" si="1471"/>
        <v>VTE ESTHETIQUE CLIENT</v>
      </c>
      <c r="AL737" s="794">
        <f t="array" ref="AL737">IFERROR(INDEX(G737:R737,1,MATCH(Parametres!$B$3,G$1:R$1,0)-1)*IF(OR(F737="L",F737="S",F737="I"),-1,1),"")</f>
        <v>0</v>
      </c>
      <c r="AM737" s="794">
        <f t="shared" si="4"/>
        <v>0</v>
      </c>
      <c r="AN737" s="794">
        <f t="array" ref="AN737">INDEX(G737:R737,1,MATCH(Parametres!$B$3,G$1:R$1,0))*IF(OR(F737="L",F737="S",F737="I"),-1,1)</f>
        <v>0</v>
      </c>
      <c r="AO737" s="853" t="str">
        <f>+VLOOKUP($AJ737,Data_Validation!$A:$D,1,0)</f>
        <v>#N/A</v>
      </c>
      <c r="AP737" s="853" t="str">
        <f>+VLOOKUP($AJ737,Data_Validation!$A:$D,3,0)</f>
        <v>#N/A</v>
      </c>
      <c r="AQ737" s="853" t="str">
        <f>+VLOOKUP($AJ737,Data_Validation!$A:$D,4,0)</f>
        <v>#N/A</v>
      </c>
      <c r="AR737" s="853" t="s">
        <v>728</v>
      </c>
      <c r="AS737" s="853" t="str">
        <f>+VLOOKUP($AJ737,Data_Validation!$A:$E,5,0)</f>
        <v>#N/A</v>
      </c>
      <c r="AT737" s="794" t="str">
        <f t="shared" ref="AT737:AU737" si="1472">C737</f>
        <v>G46015</v>
      </c>
      <c r="AU737" s="854" t="str">
        <f t="shared" si="1472"/>
        <v>VTE ESTHETIQUE CLIENT</v>
      </c>
      <c r="AV737" s="794">
        <f t="array" ref="AV737">IFERROR(INDEX(V737:AG737,1,MATCH(Parametres!$B$3,V$1:AG$1,0)-1)*IF(OR(C737="L",C737="S",C737="I"),-1,1),"")</f>
        <v>0</v>
      </c>
      <c r="AW737" s="794">
        <f t="shared" si="6"/>
        <v>0</v>
      </c>
      <c r="AX737" s="794">
        <f t="array" ref="AX737">INDEX(V737:AG737,1,MATCH(Parametres!$B$3,V$1:AG$1,0))*IF(OR(C737="L",C737="S",C737="I"),-1,1)</f>
        <v>0</v>
      </c>
      <c r="AY737" s="853" t="s">
        <v>772</v>
      </c>
      <c r="AZ737" s="853" t="str">
        <f>+VLOOKUP($AJ737,Data_Validation!$A:$E,5,0)</f>
        <v>#N/A</v>
      </c>
    </row>
    <row r="738" ht="15.0" customHeight="1">
      <c r="A738" s="849" t="s">
        <v>1239</v>
      </c>
      <c r="B738" s="849">
        <v>2026.0</v>
      </c>
      <c r="C738" s="849" t="s">
        <v>2704</v>
      </c>
      <c r="D738" s="849" t="s">
        <v>2705</v>
      </c>
      <c r="E738" s="849" t="s">
        <v>2701</v>
      </c>
      <c r="F738" s="849" t="s">
        <v>2426</v>
      </c>
      <c r="G738" s="849">
        <v>0.0</v>
      </c>
      <c r="H738" s="849">
        <v>0.0</v>
      </c>
      <c r="I738" s="849">
        <v>0.0</v>
      </c>
      <c r="J738" s="849">
        <v>0.0</v>
      </c>
      <c r="K738" s="849">
        <v>0.0</v>
      </c>
      <c r="L738" s="849">
        <v>0.0</v>
      </c>
      <c r="M738" s="849">
        <v>0.0</v>
      </c>
      <c r="N738" s="849">
        <v>0.0</v>
      </c>
      <c r="O738" s="849">
        <v>0.0</v>
      </c>
      <c r="P738" s="849">
        <v>0.0</v>
      </c>
      <c r="Q738" s="849">
        <v>0.0</v>
      </c>
      <c r="R738" s="849">
        <v>0.0</v>
      </c>
      <c r="S738" s="849">
        <v>0.0</v>
      </c>
      <c r="T738" s="849">
        <v>0.0</v>
      </c>
      <c r="U738" s="849">
        <v>0.0</v>
      </c>
      <c r="V738" s="849">
        <v>0.0</v>
      </c>
      <c r="W738" s="849">
        <v>0.0</v>
      </c>
      <c r="X738" s="849">
        <v>0.0</v>
      </c>
      <c r="Y738" s="849">
        <v>0.0</v>
      </c>
      <c r="Z738" s="849">
        <v>1.0</v>
      </c>
      <c r="AA738" s="849">
        <v>1.0</v>
      </c>
      <c r="AB738" s="849">
        <v>1.0</v>
      </c>
      <c r="AC738" s="849">
        <v>1.0</v>
      </c>
      <c r="AD738" s="849">
        <v>1.0</v>
      </c>
      <c r="AE738" s="849">
        <v>1.0</v>
      </c>
      <c r="AF738" s="849">
        <v>0.0</v>
      </c>
      <c r="AG738" s="849">
        <v>0.0</v>
      </c>
      <c r="AH738" s="849">
        <v>0.0</v>
      </c>
      <c r="AI738" s="849">
        <v>0.0</v>
      </c>
      <c r="AJ738" s="794" t="str">
        <f t="shared" ref="AJ738:AK738" si="1473">C738</f>
        <v>G46020</v>
      </c>
      <c r="AK738" s="794" t="str">
        <f t="shared" si="1473"/>
        <v>CONT.SER-VOIT &amp; CAM.LEGER</v>
      </c>
      <c r="AL738" s="794">
        <f t="array" ref="AL738">IFERROR(INDEX(G738:R738,1,MATCH(Parametres!$B$3,G$1:R$1,0)-1)*IF(OR(F738="L",F738="S",F738="I"),-1,1),"")</f>
        <v>0</v>
      </c>
      <c r="AM738" s="794">
        <f t="shared" si="4"/>
        <v>0</v>
      </c>
      <c r="AN738" s="794">
        <f t="array" ref="AN738">INDEX(G738:R738,1,MATCH(Parametres!$B$3,G$1:R$1,0))*IF(OR(F738="L",F738="S",F738="I"),-1,1)</f>
        <v>0</v>
      </c>
      <c r="AO738" s="853" t="str">
        <f>+VLOOKUP($AJ738,Data_Validation!$A:$D,1,0)</f>
        <v>#N/A</v>
      </c>
      <c r="AP738" s="853" t="str">
        <f>+VLOOKUP($AJ738,Data_Validation!$A:$D,3,0)</f>
        <v>#N/A</v>
      </c>
      <c r="AQ738" s="853" t="str">
        <f>+VLOOKUP($AJ738,Data_Validation!$A:$D,4,0)</f>
        <v>#N/A</v>
      </c>
      <c r="AR738" s="853" t="s">
        <v>728</v>
      </c>
      <c r="AS738" s="853" t="str">
        <f>+VLOOKUP($AJ738,Data_Validation!$A:$E,5,0)</f>
        <v>#N/A</v>
      </c>
      <c r="AT738" s="794" t="str">
        <f t="shared" ref="AT738:AU738" si="1474">C738</f>
        <v>G46020</v>
      </c>
      <c r="AU738" s="854" t="str">
        <f t="shared" si="1474"/>
        <v>CONT.SER-VOIT &amp; CAM.LEGER</v>
      </c>
      <c r="AV738" s="794">
        <f t="array" ref="AV738">IFERROR(INDEX(V738:AG738,1,MATCH(Parametres!$B$3,V$1:AG$1,0)-1)*IF(OR(C738="L",C738="S",C738="I"),-1,1),"")</f>
        <v>1</v>
      </c>
      <c r="AW738" s="794">
        <f t="shared" si="6"/>
        <v>0</v>
      </c>
      <c r="AX738" s="794">
        <f t="array" ref="AX738">INDEX(V738:AG738,1,MATCH(Parametres!$B$3,V$1:AG$1,0))*IF(OR(C738="L",C738="S",C738="I"),-1,1)</f>
        <v>1</v>
      </c>
      <c r="AY738" s="853" t="s">
        <v>772</v>
      </c>
      <c r="AZ738" s="853" t="str">
        <f>+VLOOKUP($AJ738,Data_Validation!$A:$E,5,0)</f>
        <v>#N/A</v>
      </c>
    </row>
    <row r="739" ht="15.0" customHeight="1">
      <c r="A739" s="849" t="s">
        <v>1239</v>
      </c>
      <c r="B739" s="849">
        <v>2026.0</v>
      </c>
      <c r="C739" s="849" t="s">
        <v>2706</v>
      </c>
      <c r="D739" s="849" t="s">
        <v>2707</v>
      </c>
      <c r="E739" s="849" t="s">
        <v>2701</v>
      </c>
      <c r="F739" s="849" t="s">
        <v>2426</v>
      </c>
      <c r="G739" s="849">
        <v>0.0</v>
      </c>
      <c r="H739" s="849">
        <v>0.0</v>
      </c>
      <c r="I739" s="849">
        <v>0.0</v>
      </c>
      <c r="J739" s="849">
        <v>0.0</v>
      </c>
      <c r="K739" s="849">
        <v>0.0</v>
      </c>
      <c r="L739" s="849">
        <v>0.0</v>
      </c>
      <c r="M739" s="849">
        <v>0.0</v>
      </c>
      <c r="N739" s="849">
        <v>0.0</v>
      </c>
      <c r="O739" s="849">
        <v>0.0</v>
      </c>
      <c r="P739" s="849">
        <v>0.0</v>
      </c>
      <c r="Q739" s="849">
        <v>0.0</v>
      </c>
      <c r="R739" s="849">
        <v>0.0</v>
      </c>
      <c r="S739" s="849">
        <v>0.0</v>
      </c>
      <c r="T739" s="849">
        <v>0.0</v>
      </c>
      <c r="U739" s="849">
        <v>0.0</v>
      </c>
      <c r="V739" s="849">
        <v>0.0</v>
      </c>
      <c r="W739" s="849">
        <v>0.0</v>
      </c>
      <c r="X739" s="849">
        <v>0.0</v>
      </c>
      <c r="Y739" s="849">
        <v>0.0</v>
      </c>
      <c r="Z739" s="849">
        <v>0.0</v>
      </c>
      <c r="AA739" s="849">
        <v>0.0</v>
      </c>
      <c r="AB739" s="849">
        <v>0.0</v>
      </c>
      <c r="AC739" s="849">
        <v>0.0</v>
      </c>
      <c r="AD739" s="849">
        <v>0.0</v>
      </c>
      <c r="AE739" s="849">
        <v>0.0</v>
      </c>
      <c r="AF739" s="849">
        <v>0.0</v>
      </c>
      <c r="AG739" s="849">
        <v>0.0</v>
      </c>
      <c r="AH739" s="849">
        <v>0.0</v>
      </c>
      <c r="AI739" s="849">
        <v>0.0</v>
      </c>
      <c r="AJ739" s="794" t="str">
        <f t="shared" ref="AJ739:AK739" si="1475">C739</f>
        <v>G46030</v>
      </c>
      <c r="AK739" s="794" t="str">
        <f t="shared" si="1475"/>
        <v>VTES-M.D.PL.PROT.AUT.AUTO</v>
      </c>
      <c r="AL739" s="794">
        <f t="array" ref="AL739">IFERROR(INDEX(G739:R739,1,MATCH(Parametres!$B$3,G$1:R$1,0)-1)*IF(OR(F739="L",F739="S",F739="I"),-1,1),"")</f>
        <v>0</v>
      </c>
      <c r="AM739" s="794">
        <f t="shared" si="4"/>
        <v>0</v>
      </c>
      <c r="AN739" s="794">
        <f t="array" ref="AN739">INDEX(G739:R739,1,MATCH(Parametres!$B$3,G$1:R$1,0))*IF(OR(F739="L",F739="S",F739="I"),-1,1)</f>
        <v>0</v>
      </c>
      <c r="AO739" s="853" t="str">
        <f>+VLOOKUP($AJ739,Data_Validation!$A:$D,1,0)</f>
        <v>#N/A</v>
      </c>
      <c r="AP739" s="853" t="str">
        <f>+VLOOKUP($AJ739,Data_Validation!$A:$D,3,0)</f>
        <v>#N/A</v>
      </c>
      <c r="AQ739" s="853" t="str">
        <f>+VLOOKUP($AJ739,Data_Validation!$A:$D,4,0)</f>
        <v>#N/A</v>
      </c>
      <c r="AR739" s="853" t="s">
        <v>728</v>
      </c>
      <c r="AS739" s="853" t="str">
        <f>+VLOOKUP($AJ739,Data_Validation!$A:$E,5,0)</f>
        <v>#N/A</v>
      </c>
      <c r="AT739" s="794" t="str">
        <f t="shared" ref="AT739:AU739" si="1476">C739</f>
        <v>G46030</v>
      </c>
      <c r="AU739" s="854" t="str">
        <f t="shared" si="1476"/>
        <v>VTES-M.D.PL.PROT.AUT.AUTO</v>
      </c>
      <c r="AV739" s="794">
        <f t="array" ref="AV739">IFERROR(INDEX(V739:AG739,1,MATCH(Parametres!$B$3,V$1:AG$1,0)-1)*IF(OR(C739="L",C739="S",C739="I"),-1,1),"")</f>
        <v>0</v>
      </c>
      <c r="AW739" s="794">
        <f t="shared" si="6"/>
        <v>0</v>
      </c>
      <c r="AX739" s="794">
        <f t="array" ref="AX739">INDEX(V739:AG739,1,MATCH(Parametres!$B$3,V$1:AG$1,0))*IF(OR(C739="L",C739="S",C739="I"),-1,1)</f>
        <v>0</v>
      </c>
      <c r="AY739" s="853" t="s">
        <v>772</v>
      </c>
      <c r="AZ739" s="853" t="str">
        <f>+VLOOKUP($AJ739,Data_Validation!$A:$E,5,0)</f>
        <v>#N/A</v>
      </c>
    </row>
    <row r="740" ht="15.0" customHeight="1">
      <c r="A740" s="849" t="s">
        <v>1239</v>
      </c>
      <c r="B740" s="849">
        <v>2026.0</v>
      </c>
      <c r="C740" s="849" t="s">
        <v>2708</v>
      </c>
      <c r="D740" s="849" t="s">
        <v>2709</v>
      </c>
      <c r="E740" s="849" t="s">
        <v>2701</v>
      </c>
      <c r="F740" s="849" t="s">
        <v>2426</v>
      </c>
      <c r="G740" s="849">
        <v>3100.84</v>
      </c>
      <c r="H740" s="849">
        <v>4320.4</v>
      </c>
      <c r="I740" s="849">
        <v>4904.8</v>
      </c>
      <c r="J740" s="849">
        <v>6091.54</v>
      </c>
      <c r="K740" s="849">
        <v>10948.9</v>
      </c>
      <c r="L740" s="849">
        <v>13966.1</v>
      </c>
      <c r="M740" s="849">
        <v>15457.5</v>
      </c>
      <c r="N740" s="849">
        <v>16730.39</v>
      </c>
      <c r="O740" s="849">
        <v>18624.36</v>
      </c>
      <c r="P740" s="849">
        <v>19867.26</v>
      </c>
      <c r="Q740" s="849">
        <v>0.0</v>
      </c>
      <c r="R740" s="849">
        <v>0.0</v>
      </c>
      <c r="S740" s="849">
        <v>2069.37</v>
      </c>
      <c r="T740" s="849">
        <v>2069.37</v>
      </c>
      <c r="U740" s="849">
        <v>0.0</v>
      </c>
      <c r="V740" s="849">
        <v>12.0</v>
      </c>
      <c r="W740" s="849">
        <v>18.0</v>
      </c>
      <c r="X740" s="849">
        <v>21.0</v>
      </c>
      <c r="Y740" s="849">
        <v>38.0</v>
      </c>
      <c r="Z740" s="849">
        <v>79.0</v>
      </c>
      <c r="AA740" s="849">
        <v>103.0</v>
      </c>
      <c r="AB740" s="849">
        <v>115.0</v>
      </c>
      <c r="AC740" s="849">
        <v>126.0</v>
      </c>
      <c r="AD740" s="849">
        <v>147.0</v>
      </c>
      <c r="AE740" s="849">
        <v>155.0</v>
      </c>
      <c r="AF740" s="849">
        <v>0.0</v>
      </c>
      <c r="AG740" s="849">
        <v>0.0</v>
      </c>
      <c r="AH740" s="849">
        <v>16.0</v>
      </c>
      <c r="AI740" s="849">
        <v>16.0</v>
      </c>
      <c r="AJ740" s="794" t="str">
        <f t="shared" ref="AJ740:AK740" si="1477">C740</f>
        <v>G46040</v>
      </c>
      <c r="AK740" s="794" t="str">
        <f t="shared" si="1477"/>
        <v>SERV. RAPIDE VOIT CAM.LEG</v>
      </c>
      <c r="AL740" s="794">
        <f t="array" ref="AL740">IFERROR(INDEX(G740:R740,1,MATCH(Parametres!$B$3,G$1:R$1,0)-1)*IF(OR(F740="L",F740="S",F740="I"),-1,1),"")</f>
        <v>-16730.39</v>
      </c>
      <c r="AM740" s="794">
        <f t="shared" si="4"/>
        <v>-1893.97</v>
      </c>
      <c r="AN740" s="794">
        <f t="array" ref="AN740">INDEX(G740:R740,1,MATCH(Parametres!$B$3,G$1:R$1,0))*IF(OR(F740="L",F740="S",F740="I"),-1,1)</f>
        <v>-18624.36</v>
      </c>
      <c r="AO740" s="853" t="str">
        <f>+VLOOKUP($AJ740,Data_Validation!$A:$D,1,0)</f>
        <v>G46040</v>
      </c>
      <c r="AP740" s="853" t="str">
        <f>+VLOOKUP($AJ740,Data_Validation!$A:$D,3,0)</f>
        <v>Service</v>
      </c>
      <c r="AQ740" s="853" t="str">
        <f>+VLOOKUP($AJ740,Data_Validation!$A:$D,4,0)</f>
        <v>M/O Client</v>
      </c>
      <c r="AR740" s="853" t="s">
        <v>728</v>
      </c>
      <c r="AS740" s="853" t="str">
        <f>+VLOOKUP($AJ740,Data_Validation!$A:$E,5,0)</f>
        <v>Oui</v>
      </c>
      <c r="AT740" s="794" t="str">
        <f t="shared" ref="AT740:AU740" si="1478">C740</f>
        <v>G46040</v>
      </c>
      <c r="AU740" s="854" t="str">
        <f t="shared" si="1478"/>
        <v>SERV. RAPIDE VOIT CAM.LEG</v>
      </c>
      <c r="AV740" s="794">
        <f t="array" ref="AV740">IFERROR(INDEX(V740:AG740,1,MATCH(Parametres!$B$3,V$1:AG$1,0)-1)*IF(OR(C740="L",C740="S",C740="I"),-1,1),"")</f>
        <v>126</v>
      </c>
      <c r="AW740" s="794">
        <f t="shared" si="6"/>
        <v>21</v>
      </c>
      <c r="AX740" s="794">
        <f t="array" ref="AX740">INDEX(V740:AG740,1,MATCH(Parametres!$B$3,V$1:AG$1,0))*IF(OR(C740="L",C740="S",C740="I"),-1,1)</f>
        <v>147</v>
      </c>
      <c r="AY740" s="853" t="s">
        <v>772</v>
      </c>
      <c r="AZ740" s="853" t="str">
        <f>+VLOOKUP($AJ740,Data_Validation!$A:$E,5,0)</f>
        <v>Oui</v>
      </c>
    </row>
    <row r="741" ht="15.0" customHeight="1">
      <c r="A741" s="849" t="s">
        <v>1239</v>
      </c>
      <c r="B741" s="849">
        <v>2026.0</v>
      </c>
      <c r="C741" s="849" t="s">
        <v>2710</v>
      </c>
      <c r="D741" s="849" t="s">
        <v>2711</v>
      </c>
      <c r="E741" s="849" t="s">
        <v>2701</v>
      </c>
      <c r="F741" s="849" t="s">
        <v>2426</v>
      </c>
      <c r="G741" s="849">
        <v>0.0</v>
      </c>
      <c r="H741" s="849">
        <v>0.0</v>
      </c>
      <c r="I741" s="849">
        <v>0.0</v>
      </c>
      <c r="J741" s="849">
        <v>0.0</v>
      </c>
      <c r="K741" s="849">
        <v>0.0</v>
      </c>
      <c r="L741" s="849">
        <v>0.0</v>
      </c>
      <c r="M741" s="849">
        <v>0.0</v>
      </c>
      <c r="N741" s="849">
        <v>0.0</v>
      </c>
      <c r="O741" s="849">
        <v>0.0</v>
      </c>
      <c r="P741" s="849">
        <v>0.0</v>
      </c>
      <c r="Q741" s="849">
        <v>0.0</v>
      </c>
      <c r="R741" s="849">
        <v>0.0</v>
      </c>
      <c r="S741" s="849">
        <v>0.0</v>
      </c>
      <c r="T741" s="849">
        <v>0.0</v>
      </c>
      <c r="U741" s="849">
        <v>0.0</v>
      </c>
      <c r="V741" s="849">
        <v>0.0</v>
      </c>
      <c r="W741" s="849">
        <v>0.0</v>
      </c>
      <c r="X741" s="849">
        <v>0.0</v>
      </c>
      <c r="Y741" s="849">
        <v>0.0</v>
      </c>
      <c r="Z741" s="849">
        <v>0.0</v>
      </c>
      <c r="AA741" s="849">
        <v>0.0</v>
      </c>
      <c r="AB741" s="849">
        <v>0.0</v>
      </c>
      <c r="AC741" s="849">
        <v>0.0</v>
      </c>
      <c r="AD741" s="849">
        <v>0.0</v>
      </c>
      <c r="AE741" s="849">
        <v>0.0</v>
      </c>
      <c r="AF741" s="849">
        <v>0.0</v>
      </c>
      <c r="AG741" s="849">
        <v>0.0</v>
      </c>
      <c r="AH741" s="849">
        <v>0.0</v>
      </c>
      <c r="AI741" s="849">
        <v>0.0</v>
      </c>
      <c r="AJ741" s="794" t="str">
        <f t="shared" ref="AJ741:AK741" si="1479">C741</f>
        <v>G46050</v>
      </c>
      <c r="AK741" s="794" t="str">
        <f t="shared" si="1479"/>
        <v>VTE M-0 ELECTRIQUE   CLT</v>
      </c>
      <c r="AL741" s="794">
        <f t="array" ref="AL741">IFERROR(INDEX(G741:R741,1,MATCH(Parametres!$B$3,G$1:R$1,0)-1)*IF(OR(F741="L",F741="S",F741="I"),-1,1),"")</f>
        <v>0</v>
      </c>
      <c r="AM741" s="794">
        <f t="shared" si="4"/>
        <v>0</v>
      </c>
      <c r="AN741" s="794">
        <f t="array" ref="AN741">INDEX(G741:R741,1,MATCH(Parametres!$B$3,G$1:R$1,0))*IF(OR(F741="L",F741="S",F741="I"),-1,1)</f>
        <v>0</v>
      </c>
      <c r="AO741" s="853" t="str">
        <f>+VLOOKUP($AJ741,Data_Validation!$A:$D,1,0)</f>
        <v>#N/A</v>
      </c>
      <c r="AP741" s="853" t="str">
        <f>+VLOOKUP($AJ741,Data_Validation!$A:$D,3,0)</f>
        <v>#N/A</v>
      </c>
      <c r="AQ741" s="853" t="str">
        <f>+VLOOKUP($AJ741,Data_Validation!$A:$D,4,0)</f>
        <v>#N/A</v>
      </c>
      <c r="AR741" s="853" t="s">
        <v>728</v>
      </c>
      <c r="AS741" s="853" t="str">
        <f>+VLOOKUP($AJ741,Data_Validation!$A:$E,5,0)</f>
        <v>#N/A</v>
      </c>
      <c r="AT741" s="794" t="str">
        <f t="shared" ref="AT741:AU741" si="1480">C741</f>
        <v>G46050</v>
      </c>
      <c r="AU741" s="854" t="str">
        <f t="shared" si="1480"/>
        <v>VTE M-0 ELECTRIQUE   CLT</v>
      </c>
      <c r="AV741" s="794">
        <f t="array" ref="AV741">IFERROR(INDEX(V741:AG741,1,MATCH(Parametres!$B$3,V$1:AG$1,0)-1)*IF(OR(C741="L",C741="S",C741="I"),-1,1),"")</f>
        <v>0</v>
      </c>
      <c r="AW741" s="794">
        <f t="shared" si="6"/>
        <v>0</v>
      </c>
      <c r="AX741" s="794">
        <f t="array" ref="AX741">INDEX(V741:AG741,1,MATCH(Parametres!$B$3,V$1:AG$1,0))*IF(OR(C741="L",C741="S",C741="I"),-1,1)</f>
        <v>0</v>
      </c>
      <c r="AY741" s="853" t="s">
        <v>772</v>
      </c>
      <c r="AZ741" s="853" t="str">
        <f>+VLOOKUP($AJ741,Data_Validation!$A:$E,5,0)</f>
        <v>#N/A</v>
      </c>
    </row>
    <row r="742" ht="15.0" customHeight="1">
      <c r="A742" s="849" t="s">
        <v>1239</v>
      </c>
      <c r="B742" s="849">
        <v>2026.0</v>
      </c>
      <c r="C742" s="849" t="s">
        <v>2712</v>
      </c>
      <c r="D742" s="849" t="s">
        <v>2713</v>
      </c>
      <c r="E742" s="849" t="s">
        <v>2701</v>
      </c>
      <c r="F742" s="849" t="s">
        <v>2426</v>
      </c>
      <c r="G742" s="849">
        <v>81920.0</v>
      </c>
      <c r="H742" s="849">
        <v>163770.0</v>
      </c>
      <c r="I742" s="849">
        <v>272495.0</v>
      </c>
      <c r="J742" s="849">
        <v>382055.0</v>
      </c>
      <c r="K742" s="849">
        <v>452319.95</v>
      </c>
      <c r="L742" s="849">
        <v>471485.42</v>
      </c>
      <c r="M742" s="849">
        <v>495185.42</v>
      </c>
      <c r="N742" s="849">
        <v>512310.42</v>
      </c>
      <c r="O742" s="849">
        <v>533640.42</v>
      </c>
      <c r="P742" s="849">
        <v>540465.42</v>
      </c>
      <c r="Q742" s="849">
        <v>0.0</v>
      </c>
      <c r="R742" s="849">
        <v>0.0</v>
      </c>
      <c r="S742" s="849">
        <v>59293.38</v>
      </c>
      <c r="T742" s="849">
        <v>59293.38</v>
      </c>
      <c r="U742" s="849">
        <v>0.0</v>
      </c>
      <c r="V742" s="849">
        <v>497.0</v>
      </c>
      <c r="W742" s="849">
        <v>964.0</v>
      </c>
      <c r="X742" s="849">
        <v>1611.0</v>
      </c>
      <c r="Y742" s="849">
        <v>2272.0</v>
      </c>
      <c r="Z742" s="849">
        <v>2746.0</v>
      </c>
      <c r="AA742" s="849">
        <v>2898.0</v>
      </c>
      <c r="AB742" s="849">
        <v>3091.0</v>
      </c>
      <c r="AC742" s="849">
        <v>3230.0</v>
      </c>
      <c r="AD742" s="849">
        <v>3398.0</v>
      </c>
      <c r="AE742" s="849">
        <v>3455.0</v>
      </c>
      <c r="AF742" s="849">
        <v>0.0</v>
      </c>
      <c r="AG742" s="849">
        <v>0.0</v>
      </c>
      <c r="AH742" s="849">
        <v>378.0</v>
      </c>
      <c r="AI742" s="849">
        <v>378.0</v>
      </c>
      <c r="AJ742" s="794" t="str">
        <f t="shared" ref="AJ742:AK742" si="1481">C742</f>
        <v>G46110</v>
      </c>
      <c r="AK742" s="794" t="str">
        <f t="shared" si="1481"/>
        <v>M-D'O CLIENT S.A.A.Q</v>
      </c>
      <c r="AL742" s="794">
        <f t="array" ref="AL742">IFERROR(INDEX(G742:R742,1,MATCH(Parametres!$B$3,G$1:R$1,0)-1)*IF(OR(F742="L",F742="S",F742="I"),-1,1),"")</f>
        <v>-512310.42</v>
      </c>
      <c r="AM742" s="794">
        <f t="shared" si="4"/>
        <v>-21330</v>
      </c>
      <c r="AN742" s="794">
        <f t="array" ref="AN742">INDEX(G742:R742,1,MATCH(Parametres!$B$3,G$1:R$1,0))*IF(OR(F742="L",F742="S",F742="I"),-1,1)</f>
        <v>-533640.42</v>
      </c>
      <c r="AO742" s="853" t="str">
        <f>+VLOOKUP($AJ742,Data_Validation!$A:$D,1,0)</f>
        <v>G46110</v>
      </c>
      <c r="AP742" s="853" t="str">
        <f>+VLOOKUP($AJ742,Data_Validation!$A:$D,3,0)</f>
        <v>SAAQ</v>
      </c>
      <c r="AQ742" s="853" t="str">
        <f>+VLOOKUP($AJ742,Data_Validation!$A:$D,4,0)</f>
        <v>Inspection - Véhicules Légers</v>
      </c>
      <c r="AR742" s="853" t="s">
        <v>728</v>
      </c>
      <c r="AS742" s="853" t="str">
        <f>+VLOOKUP($AJ742,Data_Validation!$A:$E,5,0)</f>
        <v>Oui</v>
      </c>
      <c r="AT742" s="794" t="str">
        <f t="shared" ref="AT742:AU742" si="1482">C742</f>
        <v>G46110</v>
      </c>
      <c r="AU742" s="854" t="str">
        <f t="shared" si="1482"/>
        <v>M-D'O CLIENT S.A.A.Q</v>
      </c>
      <c r="AV742" s="794">
        <f t="array" ref="AV742">IFERROR(INDEX(V742:AG742,1,MATCH(Parametres!$B$3,V$1:AG$1,0)-1)*IF(OR(C742="L",C742="S",C742="I"),-1,1),"")</f>
        <v>3230</v>
      </c>
      <c r="AW742" s="794">
        <f t="shared" si="6"/>
        <v>168</v>
      </c>
      <c r="AX742" s="794">
        <f t="array" ref="AX742">INDEX(V742:AG742,1,MATCH(Parametres!$B$3,V$1:AG$1,0))*IF(OR(C742="L",C742="S",C742="I"),-1,1)</f>
        <v>3398</v>
      </c>
      <c r="AY742" s="853" t="s">
        <v>772</v>
      </c>
      <c r="AZ742" s="853" t="str">
        <f>+VLOOKUP($AJ742,Data_Validation!$A:$E,5,0)</f>
        <v>Oui</v>
      </c>
    </row>
    <row r="743" ht="15.0" customHeight="1">
      <c r="A743" s="849" t="s">
        <v>1239</v>
      </c>
      <c r="B743" s="849">
        <v>2026.0</v>
      </c>
      <c r="C743" s="849" t="s">
        <v>2714</v>
      </c>
      <c r="D743" s="849" t="s">
        <v>2715</v>
      </c>
      <c r="E743" s="849" t="s">
        <v>2701</v>
      </c>
      <c r="F743" s="849" t="s">
        <v>2426</v>
      </c>
      <c r="G743" s="849">
        <v>0.0</v>
      </c>
      <c r="H743" s="849">
        <v>0.0</v>
      </c>
      <c r="I743" s="849">
        <v>0.0</v>
      </c>
      <c r="J743" s="849">
        <v>0.0</v>
      </c>
      <c r="K743" s="849">
        <v>0.0</v>
      </c>
      <c r="L743" s="849">
        <v>0.0</v>
      </c>
      <c r="M743" s="849">
        <v>0.0</v>
      </c>
      <c r="N743" s="849">
        <v>0.0</v>
      </c>
      <c r="O743" s="849">
        <v>0.0</v>
      </c>
      <c r="P743" s="849">
        <v>0.0</v>
      </c>
      <c r="Q743" s="849">
        <v>0.0</v>
      </c>
      <c r="R743" s="849">
        <v>0.0</v>
      </c>
      <c r="S743" s="849">
        <v>0.0</v>
      </c>
      <c r="T743" s="849">
        <v>0.0</v>
      </c>
      <c r="U743" s="849">
        <v>0.0</v>
      </c>
      <c r="V743" s="849">
        <v>0.0</v>
      </c>
      <c r="W743" s="849">
        <v>0.0</v>
      </c>
      <c r="X743" s="849">
        <v>0.0</v>
      </c>
      <c r="Y743" s="849">
        <v>0.0</v>
      </c>
      <c r="Z743" s="849">
        <v>0.0</v>
      </c>
      <c r="AA743" s="849">
        <v>0.0</v>
      </c>
      <c r="AB743" s="849">
        <v>0.0</v>
      </c>
      <c r="AC743" s="849">
        <v>0.0</v>
      </c>
      <c r="AD743" s="849">
        <v>0.0</v>
      </c>
      <c r="AE743" s="849">
        <v>0.0</v>
      </c>
      <c r="AF743" s="849">
        <v>0.0</v>
      </c>
      <c r="AG743" s="849">
        <v>0.0</v>
      </c>
      <c r="AH743" s="849">
        <v>0.0</v>
      </c>
      <c r="AI743" s="849">
        <v>0.0</v>
      </c>
      <c r="AJ743" s="794" t="str">
        <f t="shared" ref="AJ743:AK743" si="1483">C743</f>
        <v>G46111</v>
      </c>
      <c r="AK743" s="794" t="str">
        <f t="shared" si="1483"/>
        <v>VTES M-O CLIENT FLOTTES</v>
      </c>
      <c r="AL743" s="794">
        <f t="array" ref="AL743">IFERROR(INDEX(G743:R743,1,MATCH(Parametres!$B$3,G$1:R$1,0)-1)*IF(OR(F743="L",F743="S",F743="I"),-1,1),"")</f>
        <v>0</v>
      </c>
      <c r="AM743" s="794">
        <f t="shared" si="4"/>
        <v>0</v>
      </c>
      <c r="AN743" s="794">
        <f t="array" ref="AN743">INDEX(G743:R743,1,MATCH(Parametres!$B$3,G$1:R$1,0))*IF(OR(F743="L",F743="S",F743="I"),-1,1)</f>
        <v>0</v>
      </c>
      <c r="AO743" s="853" t="str">
        <f>+VLOOKUP($AJ743,Data_Validation!$A:$D,1,0)</f>
        <v>#N/A</v>
      </c>
      <c r="AP743" s="853" t="str">
        <f>+VLOOKUP($AJ743,Data_Validation!$A:$D,3,0)</f>
        <v>#N/A</v>
      </c>
      <c r="AQ743" s="853" t="str">
        <f>+VLOOKUP($AJ743,Data_Validation!$A:$D,4,0)</f>
        <v>#N/A</v>
      </c>
      <c r="AR743" s="853" t="s">
        <v>728</v>
      </c>
      <c r="AS743" s="853" t="str">
        <f>+VLOOKUP($AJ743,Data_Validation!$A:$E,5,0)</f>
        <v>#N/A</v>
      </c>
      <c r="AT743" s="794" t="str">
        <f t="shared" ref="AT743:AU743" si="1484">C743</f>
        <v>G46111</v>
      </c>
      <c r="AU743" s="854" t="str">
        <f t="shared" si="1484"/>
        <v>VTES M-O CLIENT FLOTTES</v>
      </c>
      <c r="AV743" s="794">
        <f t="array" ref="AV743">IFERROR(INDEX(V743:AG743,1,MATCH(Parametres!$B$3,V$1:AG$1,0)-1)*IF(OR(C743="L",C743="S",C743="I"),-1,1),"")</f>
        <v>0</v>
      </c>
      <c r="AW743" s="794">
        <f t="shared" si="6"/>
        <v>0</v>
      </c>
      <c r="AX743" s="794">
        <f t="array" ref="AX743">INDEX(V743:AG743,1,MATCH(Parametres!$B$3,V$1:AG$1,0))*IF(OR(C743="L",C743="S",C743="I"),-1,1)</f>
        <v>0</v>
      </c>
      <c r="AY743" s="853" t="s">
        <v>772</v>
      </c>
      <c r="AZ743" s="853" t="str">
        <f>+VLOOKUP($AJ743,Data_Validation!$A:$E,5,0)</f>
        <v>#N/A</v>
      </c>
    </row>
    <row r="744" ht="15.0" customHeight="1">
      <c r="A744" s="849" t="s">
        <v>1239</v>
      </c>
      <c r="B744" s="849">
        <v>2026.0</v>
      </c>
      <c r="C744" s="849" t="s">
        <v>2716</v>
      </c>
      <c r="D744" s="849" t="s">
        <v>2717</v>
      </c>
      <c r="E744" s="849" t="s">
        <v>2701</v>
      </c>
      <c r="F744" s="849" t="s">
        <v>2426</v>
      </c>
      <c r="G744" s="849">
        <v>0.0</v>
      </c>
      <c r="H744" s="849">
        <v>0.0</v>
      </c>
      <c r="I744" s="849">
        <v>0.0</v>
      </c>
      <c r="J744" s="849">
        <v>0.0</v>
      </c>
      <c r="K744" s="849">
        <v>0.0</v>
      </c>
      <c r="L744" s="849">
        <v>0.0</v>
      </c>
      <c r="M744" s="849">
        <v>0.0</v>
      </c>
      <c r="N744" s="849">
        <v>0.0</v>
      </c>
      <c r="O744" s="849">
        <v>0.0</v>
      </c>
      <c r="P744" s="849">
        <v>0.0</v>
      </c>
      <c r="Q744" s="849">
        <v>0.0</v>
      </c>
      <c r="R744" s="849">
        <v>0.0</v>
      </c>
      <c r="S744" s="849">
        <v>0.0</v>
      </c>
      <c r="T744" s="849">
        <v>0.0</v>
      </c>
      <c r="U744" s="849">
        <v>0.0</v>
      </c>
      <c r="V744" s="849">
        <v>0.0</v>
      </c>
      <c r="W744" s="849">
        <v>0.0</v>
      </c>
      <c r="X744" s="849">
        <v>0.0</v>
      </c>
      <c r="Y744" s="849">
        <v>0.0</v>
      </c>
      <c r="Z744" s="849">
        <v>0.0</v>
      </c>
      <c r="AA744" s="849">
        <v>0.0</v>
      </c>
      <c r="AB744" s="849">
        <v>0.0</v>
      </c>
      <c r="AC744" s="849">
        <v>0.0</v>
      </c>
      <c r="AD744" s="849">
        <v>0.0</v>
      </c>
      <c r="AE744" s="849">
        <v>0.0</v>
      </c>
      <c r="AF744" s="849">
        <v>0.0</v>
      </c>
      <c r="AG744" s="849">
        <v>0.0</v>
      </c>
      <c r="AH744" s="849">
        <v>0.0</v>
      </c>
      <c r="AI744" s="849">
        <v>0.0</v>
      </c>
      <c r="AJ744" s="794" t="str">
        <f t="shared" ref="AJ744:AK744" si="1485">C744</f>
        <v>G46120</v>
      </c>
      <c r="AK744" s="794" t="str">
        <f t="shared" si="1485"/>
        <v>M-D'O.GARANTIE S.A.A.Q.</v>
      </c>
      <c r="AL744" s="794">
        <f t="array" ref="AL744">IFERROR(INDEX(G744:R744,1,MATCH(Parametres!$B$3,G$1:R$1,0)-1)*IF(OR(F744="L",F744="S",F744="I"),-1,1),"")</f>
        <v>0</v>
      </c>
      <c r="AM744" s="794">
        <f t="shared" si="4"/>
        <v>0</v>
      </c>
      <c r="AN744" s="794">
        <f t="array" ref="AN744">INDEX(G744:R744,1,MATCH(Parametres!$B$3,G$1:R$1,0))*IF(OR(F744="L",F744="S",F744="I"),-1,1)</f>
        <v>0</v>
      </c>
      <c r="AO744" s="853" t="str">
        <f>+VLOOKUP($AJ744,Data_Validation!$A:$D,1,0)</f>
        <v>G46120</v>
      </c>
      <c r="AP744" s="853" t="str">
        <f>+VLOOKUP($AJ744,Data_Validation!$A:$D,3,0)</f>
        <v>SAAQ</v>
      </c>
      <c r="AQ744" s="853" t="str">
        <f>+VLOOKUP($AJ744,Data_Validation!$A:$D,4,0)</f>
        <v>Inspection - Véhicules Interne</v>
      </c>
      <c r="AR744" s="853" t="s">
        <v>728</v>
      </c>
      <c r="AS744" s="853" t="str">
        <f>+VLOOKUP($AJ744,Data_Validation!$A:$E,5,0)</f>
        <v>Oui</v>
      </c>
      <c r="AT744" s="794" t="str">
        <f t="shared" ref="AT744:AU744" si="1486">C744</f>
        <v>G46120</v>
      </c>
      <c r="AU744" s="854" t="str">
        <f t="shared" si="1486"/>
        <v>M-D'O.GARANTIE S.A.A.Q.</v>
      </c>
      <c r="AV744" s="794">
        <f t="array" ref="AV744">IFERROR(INDEX(V744:AG744,1,MATCH(Parametres!$B$3,V$1:AG$1,0)-1)*IF(OR(C744="L",C744="S",C744="I"),-1,1),"")</f>
        <v>0</v>
      </c>
      <c r="AW744" s="794">
        <f t="shared" si="6"/>
        <v>0</v>
      </c>
      <c r="AX744" s="794">
        <f t="array" ref="AX744">INDEX(V744:AG744,1,MATCH(Parametres!$B$3,V$1:AG$1,0))*IF(OR(C744="L",C744="S",C744="I"),-1,1)</f>
        <v>0</v>
      </c>
      <c r="AY744" s="853" t="s">
        <v>772</v>
      </c>
      <c r="AZ744" s="853" t="str">
        <f>+VLOOKUP($AJ744,Data_Validation!$A:$E,5,0)</f>
        <v>Oui</v>
      </c>
    </row>
    <row r="745" ht="15.0" customHeight="1">
      <c r="A745" s="849" t="s">
        <v>1239</v>
      </c>
      <c r="B745" s="849">
        <v>2026.0</v>
      </c>
      <c r="C745" s="849" t="s">
        <v>2718</v>
      </c>
      <c r="D745" s="849" t="s">
        <v>2719</v>
      </c>
      <c r="E745" s="849" t="s">
        <v>2701</v>
      </c>
      <c r="F745" s="849" t="s">
        <v>2426</v>
      </c>
      <c r="G745" s="849">
        <v>0.0</v>
      </c>
      <c r="H745" s="849">
        <v>0.0</v>
      </c>
      <c r="I745" s="849">
        <v>0.0</v>
      </c>
      <c r="J745" s="849">
        <v>0.0</v>
      </c>
      <c r="K745" s="849">
        <v>26312.5</v>
      </c>
      <c r="L745" s="849">
        <v>97132.5</v>
      </c>
      <c r="M745" s="849">
        <v>166657.5</v>
      </c>
      <c r="N745" s="849">
        <v>220535.0</v>
      </c>
      <c r="O745" s="849">
        <v>288285.0</v>
      </c>
      <c r="P745" s="849">
        <v>313625.0</v>
      </c>
      <c r="Q745" s="849">
        <v>0.0</v>
      </c>
      <c r="R745" s="849">
        <v>0.0</v>
      </c>
      <c r="S745" s="849">
        <v>32031.67</v>
      </c>
      <c r="T745" s="849">
        <v>32031.67</v>
      </c>
      <c r="U745" s="849">
        <v>0.0</v>
      </c>
      <c r="V745" s="849">
        <v>0.0</v>
      </c>
      <c r="W745" s="849">
        <v>0.0</v>
      </c>
      <c r="X745" s="849">
        <v>0.0</v>
      </c>
      <c r="Y745" s="849">
        <v>0.0</v>
      </c>
      <c r="Z745" s="849">
        <v>158.0</v>
      </c>
      <c r="AA745" s="849">
        <v>595.0</v>
      </c>
      <c r="AB745" s="849">
        <v>988.0</v>
      </c>
      <c r="AC745" s="849">
        <v>1320.0</v>
      </c>
      <c r="AD745" s="849">
        <v>1681.0</v>
      </c>
      <c r="AE745" s="849">
        <v>1838.0</v>
      </c>
      <c r="AF745" s="849">
        <v>0.0</v>
      </c>
      <c r="AG745" s="849">
        <v>0.0</v>
      </c>
      <c r="AH745" s="849">
        <v>187.0</v>
      </c>
      <c r="AI745" s="849">
        <v>187.0</v>
      </c>
      <c r="AJ745" s="794" t="str">
        <f t="shared" ref="AJ745:AK745" si="1487">C745</f>
        <v>G46140</v>
      </c>
      <c r="AK745" s="794" t="str">
        <f t="shared" si="1487"/>
        <v>VTES - M.O LOURD -S.A,A.Q</v>
      </c>
      <c r="AL745" s="794">
        <f t="array" ref="AL745">IFERROR(INDEX(G745:R745,1,MATCH(Parametres!$B$3,G$1:R$1,0)-1)*IF(OR(F745="L",F745="S",F745="I"),-1,1),"")</f>
        <v>-220535</v>
      </c>
      <c r="AM745" s="794">
        <f t="shared" si="4"/>
        <v>-67750</v>
      </c>
      <c r="AN745" s="794">
        <f t="array" ref="AN745">INDEX(G745:R745,1,MATCH(Parametres!$B$3,G$1:R$1,0))*IF(OR(F745="L",F745="S",F745="I"),-1,1)</f>
        <v>-288285</v>
      </c>
      <c r="AO745" s="853" t="str">
        <f>+VLOOKUP($AJ745,Data_Validation!$A:$D,1,0)</f>
        <v>G46140</v>
      </c>
      <c r="AP745" s="853" t="str">
        <f>+VLOOKUP($AJ745,Data_Validation!$A:$D,3,0)</f>
        <v>SAAQ</v>
      </c>
      <c r="AQ745" s="853" t="str">
        <f>+VLOOKUP($AJ745,Data_Validation!$A:$D,4,0)</f>
        <v>Inspection - Véhicules Lourds</v>
      </c>
      <c r="AR745" s="853" t="s">
        <v>728</v>
      </c>
      <c r="AS745" s="853" t="str">
        <f>+VLOOKUP($AJ745,Data_Validation!$A:$E,5,0)</f>
        <v>Oui</v>
      </c>
      <c r="AT745" s="794" t="str">
        <f t="shared" ref="AT745:AU745" si="1488">C745</f>
        <v>G46140</v>
      </c>
      <c r="AU745" s="854" t="str">
        <f t="shared" si="1488"/>
        <v>VTES - M.O LOURD -S.A,A.Q</v>
      </c>
      <c r="AV745" s="794">
        <f t="array" ref="AV745">IFERROR(INDEX(V745:AG745,1,MATCH(Parametres!$B$3,V$1:AG$1,0)-1)*IF(OR(C745="L",C745="S",C745="I"),-1,1),"")</f>
        <v>1320</v>
      </c>
      <c r="AW745" s="794">
        <f t="shared" si="6"/>
        <v>361</v>
      </c>
      <c r="AX745" s="794">
        <f t="array" ref="AX745">INDEX(V745:AG745,1,MATCH(Parametres!$B$3,V$1:AG$1,0))*IF(OR(C745="L",C745="S",C745="I"),-1,1)</f>
        <v>1681</v>
      </c>
      <c r="AY745" s="853" t="s">
        <v>772</v>
      </c>
      <c r="AZ745" s="853" t="str">
        <f>+VLOOKUP($AJ745,Data_Validation!$A:$E,5,0)</f>
        <v>Oui</v>
      </c>
    </row>
    <row r="746" ht="15.0" customHeight="1">
      <c r="A746" s="849" t="s">
        <v>1239</v>
      </c>
      <c r="B746" s="849">
        <v>2026.0</v>
      </c>
      <c r="C746" s="849" t="s">
        <v>2720</v>
      </c>
      <c r="D746" s="849" t="s">
        <v>2721</v>
      </c>
      <c r="E746" s="849" t="s">
        <v>2701</v>
      </c>
      <c r="F746" s="849" t="s">
        <v>2426</v>
      </c>
      <c r="G746" s="849">
        <v>0.0</v>
      </c>
      <c r="H746" s="849">
        <v>0.0</v>
      </c>
      <c r="I746" s="849">
        <v>0.0</v>
      </c>
      <c r="J746" s="849">
        <v>0.0</v>
      </c>
      <c r="K746" s="849">
        <v>0.0</v>
      </c>
      <c r="L746" s="849">
        <v>0.0</v>
      </c>
      <c r="M746" s="849">
        <v>0.0</v>
      </c>
      <c r="N746" s="849">
        <v>0.0</v>
      </c>
      <c r="O746" s="849">
        <v>0.0</v>
      </c>
      <c r="P746" s="849">
        <v>0.0</v>
      </c>
      <c r="Q746" s="849">
        <v>0.0</v>
      </c>
      <c r="R746" s="849">
        <v>0.0</v>
      </c>
      <c r="S746" s="849">
        <v>0.0</v>
      </c>
      <c r="T746" s="849">
        <v>0.0</v>
      </c>
      <c r="U746" s="849">
        <v>0.0</v>
      </c>
      <c r="V746" s="849">
        <v>0.0</v>
      </c>
      <c r="W746" s="849">
        <v>0.0</v>
      </c>
      <c r="X746" s="849">
        <v>0.0</v>
      </c>
      <c r="Y746" s="849">
        <v>0.0</v>
      </c>
      <c r="Z746" s="849">
        <v>0.0</v>
      </c>
      <c r="AA746" s="849">
        <v>0.0</v>
      </c>
      <c r="AB746" s="849">
        <v>0.0</v>
      </c>
      <c r="AC746" s="849">
        <v>0.0</v>
      </c>
      <c r="AD746" s="849">
        <v>0.0</v>
      </c>
      <c r="AE746" s="849">
        <v>0.0</v>
      </c>
      <c r="AF746" s="849">
        <v>0.0</v>
      </c>
      <c r="AG746" s="849">
        <v>0.0</v>
      </c>
      <c r="AH746" s="849">
        <v>0.0</v>
      </c>
      <c r="AI746" s="849">
        <v>0.0</v>
      </c>
      <c r="AJ746" s="794" t="str">
        <f t="shared" ref="AJ746:AK746" si="1489">C746</f>
        <v>G46150</v>
      </c>
      <c r="AK746" s="794" t="str">
        <f t="shared" si="1489"/>
        <v>VTE M-O ELECTIQUE FLOTTE</v>
      </c>
      <c r="AL746" s="794">
        <f t="array" ref="AL746">IFERROR(INDEX(G746:R746,1,MATCH(Parametres!$B$3,G$1:R$1,0)-1)*IF(OR(F746="L",F746="S",F746="I"),-1,1),"")</f>
        <v>0</v>
      </c>
      <c r="AM746" s="794">
        <f t="shared" si="4"/>
        <v>0</v>
      </c>
      <c r="AN746" s="794">
        <f t="array" ref="AN746">INDEX(G746:R746,1,MATCH(Parametres!$B$3,G$1:R$1,0))*IF(OR(F746="L",F746="S",F746="I"),-1,1)</f>
        <v>0</v>
      </c>
      <c r="AO746" s="853" t="str">
        <f>+VLOOKUP($AJ746,Data_Validation!$A:$D,1,0)</f>
        <v>#N/A</v>
      </c>
      <c r="AP746" s="853" t="str">
        <f>+VLOOKUP($AJ746,Data_Validation!$A:$D,3,0)</f>
        <v>#N/A</v>
      </c>
      <c r="AQ746" s="853" t="str">
        <f>+VLOOKUP($AJ746,Data_Validation!$A:$D,4,0)</f>
        <v>#N/A</v>
      </c>
      <c r="AR746" s="853" t="s">
        <v>728</v>
      </c>
      <c r="AS746" s="853" t="str">
        <f>+VLOOKUP($AJ746,Data_Validation!$A:$E,5,0)</f>
        <v>#N/A</v>
      </c>
      <c r="AT746" s="794" t="str">
        <f t="shared" ref="AT746:AU746" si="1490">C746</f>
        <v>G46150</v>
      </c>
      <c r="AU746" s="854" t="str">
        <f t="shared" si="1490"/>
        <v>VTE M-O ELECTIQUE FLOTTE</v>
      </c>
      <c r="AV746" s="794">
        <f t="array" ref="AV746">IFERROR(INDEX(V746:AG746,1,MATCH(Parametres!$B$3,V$1:AG$1,0)-1)*IF(OR(C746="L",C746="S",C746="I"),-1,1),"")</f>
        <v>0</v>
      </c>
      <c r="AW746" s="794">
        <f t="shared" si="6"/>
        <v>0</v>
      </c>
      <c r="AX746" s="794">
        <f t="array" ref="AX746">INDEX(V746:AG746,1,MATCH(Parametres!$B$3,V$1:AG$1,0))*IF(OR(C746="L",C746="S",C746="I"),-1,1)</f>
        <v>0</v>
      </c>
      <c r="AY746" s="853" t="s">
        <v>772</v>
      </c>
      <c r="AZ746" s="853" t="str">
        <f>+VLOOKUP($AJ746,Data_Validation!$A:$E,5,0)</f>
        <v>#N/A</v>
      </c>
    </row>
    <row r="747" ht="15.0" customHeight="1">
      <c r="A747" s="849" t="s">
        <v>1239</v>
      </c>
      <c r="B747" s="849">
        <v>2026.0</v>
      </c>
      <c r="C747" s="849" t="s">
        <v>2722</v>
      </c>
      <c r="D747" s="849" t="s">
        <v>2723</v>
      </c>
      <c r="E747" s="849" t="s">
        <v>2701</v>
      </c>
      <c r="F747" s="849" t="s">
        <v>2426</v>
      </c>
      <c r="G747" s="849">
        <v>48069.68</v>
      </c>
      <c r="H747" s="849">
        <v>98097.58</v>
      </c>
      <c r="I747" s="849">
        <v>168097.15</v>
      </c>
      <c r="J747" s="849">
        <v>218322.78</v>
      </c>
      <c r="K747" s="849">
        <v>249913.78</v>
      </c>
      <c r="L747" s="849">
        <v>320092.03</v>
      </c>
      <c r="M747" s="849">
        <v>360350.33</v>
      </c>
      <c r="N747" s="849">
        <v>418498.88</v>
      </c>
      <c r="O747" s="849">
        <v>447973.74</v>
      </c>
      <c r="P747" s="849">
        <v>457986.71</v>
      </c>
      <c r="Q747" s="849">
        <v>0.0</v>
      </c>
      <c r="R747" s="849">
        <v>0.0</v>
      </c>
      <c r="S747" s="849">
        <v>49774.86</v>
      </c>
      <c r="T747" s="849">
        <v>49774.86</v>
      </c>
      <c r="U747" s="849">
        <v>0.0</v>
      </c>
      <c r="V747" s="849">
        <v>274.0</v>
      </c>
      <c r="W747" s="849">
        <v>556.0</v>
      </c>
      <c r="X747" s="849">
        <v>912.0</v>
      </c>
      <c r="Y747" s="849">
        <v>1210.0</v>
      </c>
      <c r="Z747" s="849">
        <v>1439.0</v>
      </c>
      <c r="AA747" s="849">
        <v>1820.0</v>
      </c>
      <c r="AB747" s="849">
        <v>2069.0</v>
      </c>
      <c r="AC747" s="849">
        <v>2428.0</v>
      </c>
      <c r="AD747" s="849">
        <v>2639.0</v>
      </c>
      <c r="AE747" s="849">
        <v>2714.0</v>
      </c>
      <c r="AF747" s="849">
        <v>0.0</v>
      </c>
      <c r="AG747" s="849">
        <v>0.0</v>
      </c>
      <c r="AH747" s="849">
        <v>293.0</v>
      </c>
      <c r="AI747" s="849">
        <v>293.0</v>
      </c>
      <c r="AJ747" s="794" t="str">
        <f t="shared" ref="AJ747:AK747" si="1491">C747</f>
        <v>G46200</v>
      </c>
      <c r="AK747" s="794" t="str">
        <f t="shared" si="1491"/>
        <v>VTES-M.D.RECL.GARANTIE</v>
      </c>
      <c r="AL747" s="794">
        <f t="array" ref="AL747">IFERROR(INDEX(G747:R747,1,MATCH(Parametres!$B$3,G$1:R$1,0)-1)*IF(OR(F747="L",F747="S",F747="I"),-1,1),"")</f>
        <v>-418498.88</v>
      </c>
      <c r="AM747" s="794">
        <f t="shared" si="4"/>
        <v>-29474.86</v>
      </c>
      <c r="AN747" s="794">
        <f t="array" ref="AN747">INDEX(G747:R747,1,MATCH(Parametres!$B$3,G$1:R$1,0))*IF(OR(F747="L",F747="S",F747="I"),-1,1)</f>
        <v>-447973.74</v>
      </c>
      <c r="AO747" s="853" t="str">
        <f>+VLOOKUP($AJ747,Data_Validation!$A:$D,1,0)</f>
        <v>G46200</v>
      </c>
      <c r="AP747" s="853" t="str">
        <f>+VLOOKUP($AJ747,Data_Validation!$A:$D,3,0)</f>
        <v>Service</v>
      </c>
      <c r="AQ747" s="853" t="str">
        <f>+VLOOKUP($AJ747,Data_Validation!$A:$D,4,0)</f>
        <v>M/O Garantie</v>
      </c>
      <c r="AR747" s="853" t="s">
        <v>728</v>
      </c>
      <c r="AS747" s="853" t="str">
        <f>+VLOOKUP($AJ747,Data_Validation!$A:$E,5,0)</f>
        <v>Oui</v>
      </c>
      <c r="AT747" s="794" t="str">
        <f t="shared" ref="AT747:AU747" si="1492">C747</f>
        <v>G46200</v>
      </c>
      <c r="AU747" s="854" t="str">
        <f t="shared" si="1492"/>
        <v>VTES-M.D.RECL.GARANTIE</v>
      </c>
      <c r="AV747" s="794">
        <f t="array" ref="AV747">IFERROR(INDEX(V747:AG747,1,MATCH(Parametres!$B$3,V$1:AG$1,0)-1)*IF(OR(C747="L",C747="S",C747="I"),-1,1),"")</f>
        <v>2428</v>
      </c>
      <c r="AW747" s="794">
        <f t="shared" si="6"/>
        <v>211</v>
      </c>
      <c r="AX747" s="794">
        <f t="array" ref="AX747">INDEX(V747:AG747,1,MATCH(Parametres!$B$3,V$1:AG$1,0))*IF(OR(C747="L",C747="S",C747="I"),-1,1)</f>
        <v>2639</v>
      </c>
      <c r="AY747" s="853" t="s">
        <v>772</v>
      </c>
      <c r="AZ747" s="853" t="str">
        <f>+VLOOKUP($AJ747,Data_Validation!$A:$E,5,0)</f>
        <v>Oui</v>
      </c>
    </row>
    <row r="748" ht="15.0" customHeight="1">
      <c r="A748" s="849" t="s">
        <v>1239</v>
      </c>
      <c r="B748" s="849">
        <v>2026.0</v>
      </c>
      <c r="C748" s="849" t="s">
        <v>2724</v>
      </c>
      <c r="D748" s="849" t="s">
        <v>2725</v>
      </c>
      <c r="E748" s="849" t="s">
        <v>2701</v>
      </c>
      <c r="F748" s="849" t="s">
        <v>2426</v>
      </c>
      <c r="G748" s="849">
        <v>39339.53</v>
      </c>
      <c r="H748" s="849">
        <v>87940.91</v>
      </c>
      <c r="I748" s="849">
        <v>137067.01</v>
      </c>
      <c r="J748" s="849">
        <v>196363.11</v>
      </c>
      <c r="K748" s="849">
        <v>251577.99</v>
      </c>
      <c r="L748" s="849">
        <v>308265.09</v>
      </c>
      <c r="M748" s="849">
        <v>355697.39</v>
      </c>
      <c r="N748" s="849">
        <v>402172.8</v>
      </c>
      <c r="O748" s="849">
        <v>448336.99</v>
      </c>
      <c r="P748" s="849">
        <v>460128.21</v>
      </c>
      <c r="Q748" s="849">
        <v>0.0</v>
      </c>
      <c r="R748" s="849">
        <v>0.0</v>
      </c>
      <c r="S748" s="849">
        <v>49815.22</v>
      </c>
      <c r="T748" s="849">
        <v>49815.22</v>
      </c>
      <c r="U748" s="849">
        <v>0.0</v>
      </c>
      <c r="V748" s="849">
        <v>257.0</v>
      </c>
      <c r="W748" s="849">
        <v>582.0</v>
      </c>
      <c r="X748" s="849">
        <v>990.0</v>
      </c>
      <c r="Y748" s="849">
        <v>1433.0</v>
      </c>
      <c r="Z748" s="849">
        <v>1742.0</v>
      </c>
      <c r="AA748" s="849">
        <v>2068.0</v>
      </c>
      <c r="AB748" s="849">
        <v>2346.0</v>
      </c>
      <c r="AC748" s="849">
        <v>2577.0</v>
      </c>
      <c r="AD748" s="849">
        <v>2877.0</v>
      </c>
      <c r="AE748" s="849">
        <v>2971.0</v>
      </c>
      <c r="AF748" s="849">
        <v>0.0</v>
      </c>
      <c r="AG748" s="849">
        <v>0.0</v>
      </c>
      <c r="AH748" s="849">
        <v>320.0</v>
      </c>
      <c r="AI748" s="849">
        <v>320.0</v>
      </c>
      <c r="AJ748" s="794" t="str">
        <f t="shared" ref="AJ748:AK748" si="1493">C748</f>
        <v>G46300</v>
      </c>
      <c r="AK748" s="794" t="str">
        <f t="shared" si="1493"/>
        <v>VTES-M.D. INTERNE SERV.</v>
      </c>
      <c r="AL748" s="794">
        <f t="array" ref="AL748">IFERROR(INDEX(G748:R748,1,MATCH(Parametres!$B$3,G$1:R$1,0)-1)*IF(OR(F748="L",F748="S",F748="I"),-1,1),"")</f>
        <v>-402172.8</v>
      </c>
      <c r="AM748" s="794">
        <f t="shared" si="4"/>
        <v>-46164.19</v>
      </c>
      <c r="AN748" s="794">
        <f t="array" ref="AN748">INDEX(G748:R748,1,MATCH(Parametres!$B$3,G$1:R$1,0))*IF(OR(F748="L",F748="S",F748="I"),-1,1)</f>
        <v>-448336.99</v>
      </c>
      <c r="AO748" s="853" t="str">
        <f>+VLOOKUP($AJ748,Data_Validation!$A:$D,1,0)</f>
        <v>G46300</v>
      </c>
      <c r="AP748" s="853" t="str">
        <f>+VLOOKUP($AJ748,Data_Validation!$A:$D,3,0)</f>
        <v>Service</v>
      </c>
      <c r="AQ748" s="853" t="str">
        <f>+VLOOKUP($AJ748,Data_Validation!$A:$D,4,0)</f>
        <v>M/O Interne</v>
      </c>
      <c r="AR748" s="853" t="s">
        <v>728</v>
      </c>
      <c r="AS748" s="853" t="str">
        <f>+VLOOKUP($AJ748,Data_Validation!$A:$E,5,0)</f>
        <v>Oui</v>
      </c>
      <c r="AT748" s="794" t="str">
        <f t="shared" ref="AT748:AU748" si="1494">C748</f>
        <v>G46300</v>
      </c>
      <c r="AU748" s="854" t="str">
        <f t="shared" si="1494"/>
        <v>VTES-M.D. INTERNE SERV.</v>
      </c>
      <c r="AV748" s="794">
        <f t="array" ref="AV748">IFERROR(INDEX(V748:AG748,1,MATCH(Parametres!$B$3,V$1:AG$1,0)-1)*IF(OR(C748="L",C748="S",C748="I"),-1,1),"")</f>
        <v>2577</v>
      </c>
      <c r="AW748" s="794">
        <f t="shared" si="6"/>
        <v>300</v>
      </c>
      <c r="AX748" s="794">
        <f t="array" ref="AX748">INDEX(V748:AG748,1,MATCH(Parametres!$B$3,V$1:AG$1,0))*IF(OR(C748="L",C748="S",C748="I"),-1,1)</f>
        <v>2877</v>
      </c>
      <c r="AY748" s="853" t="s">
        <v>772</v>
      </c>
      <c r="AZ748" s="853" t="str">
        <f>+VLOOKUP($AJ748,Data_Validation!$A:$E,5,0)</f>
        <v>Oui</v>
      </c>
    </row>
    <row r="749" ht="15.0" customHeight="1">
      <c r="A749" s="849" t="s">
        <v>1239</v>
      </c>
      <c r="B749" s="849">
        <v>2026.0</v>
      </c>
      <c r="C749" s="849" t="s">
        <v>2726</v>
      </c>
      <c r="D749" s="849" t="s">
        <v>2727</v>
      </c>
      <c r="E749" s="849" t="s">
        <v>2701</v>
      </c>
      <c r="F749" s="849" t="s">
        <v>2426</v>
      </c>
      <c r="G749" s="849">
        <v>0.0</v>
      </c>
      <c r="H749" s="849">
        <v>0.0</v>
      </c>
      <c r="I749" s="849">
        <v>0.0</v>
      </c>
      <c r="J749" s="849">
        <v>0.0</v>
      </c>
      <c r="K749" s="849">
        <v>0.0</v>
      </c>
      <c r="L749" s="849">
        <v>0.0</v>
      </c>
      <c r="M749" s="849">
        <v>0.0</v>
      </c>
      <c r="N749" s="849">
        <v>0.0</v>
      </c>
      <c r="O749" s="849">
        <v>0.0</v>
      </c>
      <c r="P749" s="849">
        <v>9163.0</v>
      </c>
      <c r="Q749" s="849">
        <v>0.0</v>
      </c>
      <c r="R749" s="849">
        <v>0.0</v>
      </c>
      <c r="S749" s="849">
        <v>0.0</v>
      </c>
      <c r="T749" s="849">
        <v>0.0</v>
      </c>
      <c r="U749" s="849">
        <v>0.0</v>
      </c>
      <c r="V749" s="849">
        <v>0.0</v>
      </c>
      <c r="W749" s="849">
        <v>0.0</v>
      </c>
      <c r="X749" s="849">
        <v>0.0</v>
      </c>
      <c r="Y749" s="849">
        <v>0.0</v>
      </c>
      <c r="Z749" s="849">
        <v>0.0</v>
      </c>
      <c r="AA749" s="849">
        <v>0.0</v>
      </c>
      <c r="AB749" s="849">
        <v>0.0</v>
      </c>
      <c r="AC749" s="849">
        <v>0.0</v>
      </c>
      <c r="AD749" s="849">
        <v>2.0</v>
      </c>
      <c r="AE749" s="849">
        <v>84.0</v>
      </c>
      <c r="AF749" s="849">
        <v>0.0</v>
      </c>
      <c r="AG749" s="849">
        <v>0.0</v>
      </c>
      <c r="AH749" s="849">
        <v>0.0</v>
      </c>
      <c r="AI749" s="849">
        <v>0.0</v>
      </c>
      <c r="AJ749" s="794" t="str">
        <f t="shared" ref="AJ749:AK749" si="1495">C749</f>
        <v>G46305</v>
      </c>
      <c r="AK749" s="794" t="str">
        <f t="shared" si="1495"/>
        <v>VTE ESTHETIQUE INTERNE</v>
      </c>
      <c r="AL749" s="794">
        <f t="array" ref="AL749">IFERROR(INDEX(G749:R749,1,MATCH(Parametres!$B$3,G$1:R$1,0)-1)*IF(OR(F749="L",F749="S",F749="I"),-1,1),"")</f>
        <v>0</v>
      </c>
      <c r="AM749" s="794">
        <f t="shared" si="4"/>
        <v>0</v>
      </c>
      <c r="AN749" s="794">
        <f t="array" ref="AN749">INDEX(G749:R749,1,MATCH(Parametres!$B$3,G$1:R$1,0))*IF(OR(F749="L",F749="S",F749="I"),-1,1)</f>
        <v>0</v>
      </c>
      <c r="AO749" s="853" t="str">
        <f>+VLOOKUP($AJ749,Data_Validation!$A:$D,1,0)</f>
        <v>#N/A</v>
      </c>
      <c r="AP749" s="853" t="str">
        <f>+VLOOKUP($AJ749,Data_Validation!$A:$D,3,0)</f>
        <v>#N/A</v>
      </c>
      <c r="AQ749" s="853" t="str">
        <f>+VLOOKUP($AJ749,Data_Validation!$A:$D,4,0)</f>
        <v>#N/A</v>
      </c>
      <c r="AR749" s="853" t="s">
        <v>728</v>
      </c>
      <c r="AS749" s="853" t="str">
        <f>+VLOOKUP($AJ749,Data_Validation!$A:$E,5,0)</f>
        <v>#N/A</v>
      </c>
      <c r="AT749" s="794" t="str">
        <f t="shared" ref="AT749:AU749" si="1496">C749</f>
        <v>G46305</v>
      </c>
      <c r="AU749" s="854" t="str">
        <f t="shared" si="1496"/>
        <v>VTE ESTHETIQUE INTERNE</v>
      </c>
      <c r="AV749" s="794">
        <f t="array" ref="AV749">IFERROR(INDEX(V749:AG749,1,MATCH(Parametres!$B$3,V$1:AG$1,0)-1)*IF(OR(C749="L",C749="S",C749="I"),-1,1),"")</f>
        <v>0</v>
      </c>
      <c r="AW749" s="794">
        <f t="shared" si="6"/>
        <v>2</v>
      </c>
      <c r="AX749" s="794">
        <f t="array" ref="AX749">INDEX(V749:AG749,1,MATCH(Parametres!$B$3,V$1:AG$1,0))*IF(OR(C749="L",C749="S",C749="I"),-1,1)</f>
        <v>2</v>
      </c>
      <c r="AY749" s="853" t="s">
        <v>772</v>
      </c>
      <c r="AZ749" s="853" t="str">
        <f>+VLOOKUP($AJ749,Data_Validation!$A:$E,5,0)</f>
        <v>#N/A</v>
      </c>
    </row>
    <row r="750" ht="15.0" customHeight="1">
      <c r="A750" s="849" t="s">
        <v>1239</v>
      </c>
      <c r="B750" s="849">
        <v>2026.0</v>
      </c>
      <c r="C750" s="849" t="s">
        <v>2728</v>
      </c>
      <c r="D750" s="849" t="s">
        <v>2729</v>
      </c>
      <c r="E750" s="849" t="s">
        <v>2701</v>
      </c>
      <c r="F750" s="849" t="s">
        <v>2426</v>
      </c>
      <c r="G750" s="849">
        <v>1950.0</v>
      </c>
      <c r="H750" s="849">
        <v>2250.0</v>
      </c>
      <c r="I750" s="849">
        <v>2550.0</v>
      </c>
      <c r="J750" s="849">
        <v>2700.0</v>
      </c>
      <c r="K750" s="849">
        <v>3090.0</v>
      </c>
      <c r="L750" s="849">
        <v>3090.0</v>
      </c>
      <c r="M750" s="849">
        <v>3720.5</v>
      </c>
      <c r="N750" s="849">
        <v>4470.5</v>
      </c>
      <c r="O750" s="849">
        <v>4470.5</v>
      </c>
      <c r="P750" s="849">
        <v>4470.5</v>
      </c>
      <c r="Q750" s="849">
        <v>0.0</v>
      </c>
      <c r="R750" s="849">
        <v>0.0</v>
      </c>
      <c r="S750" s="849">
        <v>496.72</v>
      </c>
      <c r="T750" s="849">
        <v>496.72</v>
      </c>
      <c r="U750" s="849">
        <v>0.0</v>
      </c>
      <c r="V750" s="849">
        <v>13.0</v>
      </c>
      <c r="W750" s="849">
        <v>15.0</v>
      </c>
      <c r="X750" s="849">
        <v>17.0</v>
      </c>
      <c r="Y750" s="849">
        <v>18.0</v>
      </c>
      <c r="Z750" s="849">
        <v>21.0</v>
      </c>
      <c r="AA750" s="849">
        <v>21.0</v>
      </c>
      <c r="AB750" s="849">
        <v>26.0</v>
      </c>
      <c r="AC750" s="849">
        <v>31.0</v>
      </c>
      <c r="AD750" s="849">
        <v>31.0</v>
      </c>
      <c r="AE750" s="849">
        <v>31.0</v>
      </c>
      <c r="AF750" s="849">
        <v>0.0</v>
      </c>
      <c r="AG750" s="849">
        <v>0.0</v>
      </c>
      <c r="AH750" s="849">
        <v>3.0</v>
      </c>
      <c r="AI750" s="849">
        <v>3.0</v>
      </c>
      <c r="AJ750" s="794" t="str">
        <f t="shared" ref="AJ750:AK750" si="1497">C750</f>
        <v>G46320</v>
      </c>
      <c r="AK750" s="794" t="str">
        <f t="shared" si="1497"/>
        <v>VTES-MO INTERN S.A.A.Q.</v>
      </c>
      <c r="AL750" s="794">
        <f t="array" ref="AL750">IFERROR(INDEX(G750:R750,1,MATCH(Parametres!$B$3,G$1:R$1,0)-1)*IF(OR(F750="L",F750="S",F750="I"),-1,1),"")</f>
        <v>-4470.5</v>
      </c>
      <c r="AM750" s="794">
        <f t="shared" si="4"/>
        <v>0</v>
      </c>
      <c r="AN750" s="794">
        <f t="array" ref="AN750">INDEX(G750:R750,1,MATCH(Parametres!$B$3,G$1:R$1,0))*IF(OR(F750="L",F750="S",F750="I"),-1,1)</f>
        <v>-4470.5</v>
      </c>
      <c r="AO750" s="853" t="str">
        <f>+VLOOKUP($AJ750,Data_Validation!$A:$D,1,0)</f>
        <v>G46320</v>
      </c>
      <c r="AP750" s="853" t="str">
        <f>+VLOOKUP($AJ750,Data_Validation!$A:$D,3,0)</f>
        <v>SAAQ</v>
      </c>
      <c r="AQ750" s="853" t="str">
        <f>+VLOOKUP($AJ750,Data_Validation!$A:$D,4,0)</f>
        <v>Inspection - Véhicules Interne</v>
      </c>
      <c r="AR750" s="853" t="s">
        <v>728</v>
      </c>
      <c r="AS750" s="853" t="str">
        <f>+VLOOKUP($AJ750,Data_Validation!$A:$E,5,0)</f>
        <v>Oui</v>
      </c>
      <c r="AT750" s="794" t="str">
        <f t="shared" ref="AT750:AU750" si="1498">C750</f>
        <v>G46320</v>
      </c>
      <c r="AU750" s="854" t="str">
        <f t="shared" si="1498"/>
        <v>VTES-MO INTERN S.A.A.Q.</v>
      </c>
      <c r="AV750" s="794">
        <f t="array" ref="AV750">IFERROR(INDEX(V750:AG750,1,MATCH(Parametres!$B$3,V$1:AG$1,0)-1)*IF(OR(C750="L",C750="S",C750="I"),-1,1),"")</f>
        <v>31</v>
      </c>
      <c r="AW750" s="794">
        <f t="shared" si="6"/>
        <v>0</v>
      </c>
      <c r="AX750" s="794">
        <f t="array" ref="AX750">INDEX(V750:AG750,1,MATCH(Parametres!$B$3,V$1:AG$1,0))*IF(OR(C750="L",C750="S",C750="I"),-1,1)</f>
        <v>31</v>
      </c>
      <c r="AY750" s="853" t="s">
        <v>772</v>
      </c>
      <c r="AZ750" s="853" t="str">
        <f>+VLOOKUP($AJ750,Data_Validation!$A:$E,5,0)</f>
        <v>Oui</v>
      </c>
    </row>
    <row r="751" ht="15.0" customHeight="1">
      <c r="A751" s="849" t="s">
        <v>1239</v>
      </c>
      <c r="B751" s="849">
        <v>2026.0</v>
      </c>
      <c r="C751" s="849" t="s">
        <v>2730</v>
      </c>
      <c r="D751" s="849" t="s">
        <v>2731</v>
      </c>
      <c r="E751" s="849" t="s">
        <v>2701</v>
      </c>
      <c r="F751" s="849" t="s">
        <v>2426</v>
      </c>
      <c r="G751" s="849">
        <v>22291.0</v>
      </c>
      <c r="H751" s="849">
        <v>51476.32</v>
      </c>
      <c r="I751" s="849">
        <v>93858.59</v>
      </c>
      <c r="J751" s="849">
        <v>115408.32</v>
      </c>
      <c r="K751" s="849">
        <v>135246.36</v>
      </c>
      <c r="L751" s="849">
        <v>156298.54</v>
      </c>
      <c r="M751" s="849">
        <v>171043.12</v>
      </c>
      <c r="N751" s="849">
        <v>190097.4</v>
      </c>
      <c r="O751" s="849">
        <v>210572.49</v>
      </c>
      <c r="P751" s="849">
        <v>216772.1</v>
      </c>
      <c r="Q751" s="849">
        <v>0.0</v>
      </c>
      <c r="R751" s="849">
        <v>0.0</v>
      </c>
      <c r="S751" s="849">
        <v>23396.94</v>
      </c>
      <c r="T751" s="849">
        <v>23396.94</v>
      </c>
      <c r="U751" s="849">
        <v>0.0</v>
      </c>
      <c r="V751" s="849">
        <v>149.0</v>
      </c>
      <c r="W751" s="849">
        <v>337.0</v>
      </c>
      <c r="X751" s="849">
        <v>620.0</v>
      </c>
      <c r="Y751" s="849">
        <v>762.0</v>
      </c>
      <c r="Z751" s="849">
        <v>894.0</v>
      </c>
      <c r="AA751" s="849">
        <v>1036.0</v>
      </c>
      <c r="AB751" s="849">
        <v>1136.0</v>
      </c>
      <c r="AC751" s="849">
        <v>1271.0</v>
      </c>
      <c r="AD751" s="849">
        <v>1401.0</v>
      </c>
      <c r="AE751" s="849">
        <v>1439.0</v>
      </c>
      <c r="AF751" s="849">
        <v>0.0</v>
      </c>
      <c r="AG751" s="849">
        <v>0.0</v>
      </c>
      <c r="AH751" s="849">
        <v>156.0</v>
      </c>
      <c r="AI751" s="849">
        <v>156.0</v>
      </c>
      <c r="AJ751" s="794" t="str">
        <f t="shared" ref="AJ751:AK751" si="1499">C751</f>
        <v>G46400</v>
      </c>
      <c r="AK751" s="794" t="str">
        <f t="shared" si="1499"/>
        <v>VTES-M.D. INSPECTION</v>
      </c>
      <c r="AL751" s="794">
        <f t="array" ref="AL751">IFERROR(INDEX(G751:R751,1,MATCH(Parametres!$B$3,G$1:R$1,0)-1)*IF(OR(F751="L",F751="S",F751="I"),-1,1),"")</f>
        <v>-190097.4</v>
      </c>
      <c r="AM751" s="794">
        <f t="shared" si="4"/>
        <v>-20475.09</v>
      </c>
      <c r="AN751" s="794">
        <f t="array" ref="AN751">INDEX(G751:R751,1,MATCH(Parametres!$B$3,G$1:R$1,0))*IF(OR(F751="L",F751="S",F751="I"),-1,1)</f>
        <v>-210572.49</v>
      </c>
      <c r="AO751" s="853" t="str">
        <f>+VLOOKUP($AJ751,Data_Validation!$A:$D,1,0)</f>
        <v>G46400</v>
      </c>
      <c r="AP751" s="853" t="str">
        <f>+VLOOKUP($AJ751,Data_Validation!$A:$D,3,0)</f>
        <v>Service</v>
      </c>
      <c r="AQ751" s="853" t="str">
        <f>+VLOOKUP($AJ751,Data_Validation!$A:$D,4,0)</f>
        <v>M/O Interne</v>
      </c>
      <c r="AR751" s="853" t="s">
        <v>728</v>
      </c>
      <c r="AS751" s="853" t="str">
        <f>+VLOOKUP($AJ751,Data_Validation!$A:$E,5,0)</f>
        <v>Oui</v>
      </c>
      <c r="AT751" s="794" t="str">
        <f t="shared" ref="AT751:AU751" si="1500">C751</f>
        <v>G46400</v>
      </c>
      <c r="AU751" s="854" t="str">
        <f t="shared" si="1500"/>
        <v>VTES-M.D. INSPECTION</v>
      </c>
      <c r="AV751" s="794">
        <f t="array" ref="AV751">IFERROR(INDEX(V751:AG751,1,MATCH(Parametres!$B$3,V$1:AG$1,0)-1)*IF(OR(C751="L",C751="S",C751="I"),-1,1),"")</f>
        <v>1271</v>
      </c>
      <c r="AW751" s="794">
        <f t="shared" si="6"/>
        <v>130</v>
      </c>
      <c r="AX751" s="794">
        <f t="array" ref="AX751">INDEX(V751:AG751,1,MATCH(Parametres!$B$3,V$1:AG$1,0))*IF(OR(C751="L",C751="S",C751="I"),-1,1)</f>
        <v>1401</v>
      </c>
      <c r="AY751" s="853" t="s">
        <v>772</v>
      </c>
      <c r="AZ751" s="853" t="str">
        <f>+VLOOKUP($AJ751,Data_Validation!$A:$E,5,0)</f>
        <v>Oui</v>
      </c>
    </row>
    <row r="752" ht="15.0" customHeight="1">
      <c r="A752" s="849" t="s">
        <v>1239</v>
      </c>
      <c r="B752" s="849">
        <v>2026.0</v>
      </c>
      <c r="C752" s="849" t="s">
        <v>2732</v>
      </c>
      <c r="D752" s="849" t="s">
        <v>2733</v>
      </c>
      <c r="E752" s="849" t="s">
        <v>2701</v>
      </c>
      <c r="F752" s="849" t="s">
        <v>2426</v>
      </c>
      <c r="G752" s="849">
        <v>0.0</v>
      </c>
      <c r="H752" s="849">
        <v>0.0</v>
      </c>
      <c r="I752" s="849">
        <v>0.0</v>
      </c>
      <c r="J752" s="849">
        <v>0.0</v>
      </c>
      <c r="K752" s="849">
        <v>0.0</v>
      </c>
      <c r="L752" s="849">
        <v>0.0</v>
      </c>
      <c r="M752" s="849">
        <v>0.0</v>
      </c>
      <c r="N752" s="849">
        <v>0.0</v>
      </c>
      <c r="O752" s="849">
        <v>0.0</v>
      </c>
      <c r="P752" s="849">
        <v>0.0</v>
      </c>
      <c r="Q752" s="849">
        <v>0.0</v>
      </c>
      <c r="R752" s="849">
        <v>0.0</v>
      </c>
      <c r="S752" s="849">
        <v>0.0</v>
      </c>
      <c r="T752" s="849">
        <v>0.0</v>
      </c>
      <c r="U752" s="849">
        <v>0.0</v>
      </c>
      <c r="V752" s="849">
        <v>0.0</v>
      </c>
      <c r="W752" s="849">
        <v>0.0</v>
      </c>
      <c r="X752" s="849">
        <v>0.0</v>
      </c>
      <c r="Y752" s="849">
        <v>0.0</v>
      </c>
      <c r="Z752" s="849">
        <v>0.0</v>
      </c>
      <c r="AA752" s="849">
        <v>0.0</v>
      </c>
      <c r="AB752" s="849">
        <v>0.0</v>
      </c>
      <c r="AC752" s="849">
        <v>0.0</v>
      </c>
      <c r="AD752" s="849">
        <v>0.0</v>
      </c>
      <c r="AE752" s="849">
        <v>0.0</v>
      </c>
      <c r="AF752" s="849">
        <v>0.0</v>
      </c>
      <c r="AG752" s="849">
        <v>0.0</v>
      </c>
      <c r="AH752" s="849">
        <v>0.0</v>
      </c>
      <c r="AI752" s="849">
        <v>0.0</v>
      </c>
      <c r="AJ752" s="794" t="str">
        <f t="shared" ref="AJ752:AK752" si="1501">C752</f>
        <v>G46420</v>
      </c>
      <c r="AK752" s="794" t="str">
        <f t="shared" si="1501"/>
        <v>VTES-MO PDI CAM MOYEN</v>
      </c>
      <c r="AL752" s="794">
        <f t="array" ref="AL752">IFERROR(INDEX(G752:R752,1,MATCH(Parametres!$B$3,G$1:R$1,0)-1)*IF(OR(F752="L",F752="S",F752="I"),-1,1),"")</f>
        <v>0</v>
      </c>
      <c r="AM752" s="794">
        <f t="shared" si="4"/>
        <v>0</v>
      </c>
      <c r="AN752" s="794">
        <f t="array" ref="AN752">INDEX(G752:R752,1,MATCH(Parametres!$B$3,G$1:R$1,0))*IF(OR(F752="L",F752="S",F752="I"),-1,1)</f>
        <v>0</v>
      </c>
      <c r="AO752" s="853" t="str">
        <f>+VLOOKUP($AJ752,Data_Validation!$A:$D,1,0)</f>
        <v>#N/A</v>
      </c>
      <c r="AP752" s="853" t="str">
        <f>+VLOOKUP($AJ752,Data_Validation!$A:$D,3,0)</f>
        <v>#N/A</v>
      </c>
      <c r="AQ752" s="853" t="str">
        <f>+VLOOKUP($AJ752,Data_Validation!$A:$D,4,0)</f>
        <v>#N/A</v>
      </c>
      <c r="AR752" s="853" t="s">
        <v>728</v>
      </c>
      <c r="AS752" s="853" t="str">
        <f>+VLOOKUP($AJ752,Data_Validation!$A:$E,5,0)</f>
        <v>#N/A</v>
      </c>
      <c r="AT752" s="794" t="str">
        <f t="shared" ref="AT752:AU752" si="1502">C752</f>
        <v>G46420</v>
      </c>
      <c r="AU752" s="854" t="str">
        <f t="shared" si="1502"/>
        <v>VTES-MO PDI CAM MOYEN</v>
      </c>
      <c r="AV752" s="794">
        <f t="array" ref="AV752">IFERROR(INDEX(V752:AG752,1,MATCH(Parametres!$B$3,V$1:AG$1,0)-1)*IF(OR(C752="L",C752="S",C752="I"),-1,1),"")</f>
        <v>0</v>
      </c>
      <c r="AW752" s="794">
        <f t="shared" si="6"/>
        <v>0</v>
      </c>
      <c r="AX752" s="794">
        <f t="array" ref="AX752">INDEX(V752:AG752,1,MATCH(Parametres!$B$3,V$1:AG$1,0))*IF(OR(C752="L",C752="S",C752="I"),-1,1)</f>
        <v>0</v>
      </c>
      <c r="AY752" s="853" t="s">
        <v>772</v>
      </c>
      <c r="AZ752" s="853" t="str">
        <f>+VLOOKUP($AJ752,Data_Validation!$A:$E,5,0)</f>
        <v>#N/A</v>
      </c>
    </row>
    <row r="753" ht="15.0" customHeight="1">
      <c r="A753" s="849" t="s">
        <v>1239</v>
      </c>
      <c r="B753" s="849">
        <v>2026.0</v>
      </c>
      <c r="C753" s="849" t="s">
        <v>2734</v>
      </c>
      <c r="D753" s="849" t="s">
        <v>2735</v>
      </c>
      <c r="E753" s="849" t="s">
        <v>768</v>
      </c>
      <c r="F753" s="849" t="s">
        <v>2426</v>
      </c>
      <c r="G753" s="849">
        <v>0.0</v>
      </c>
      <c r="H753" s="849">
        <v>0.0</v>
      </c>
      <c r="I753" s="849">
        <v>0.0</v>
      </c>
      <c r="J753" s="849">
        <v>0.0</v>
      </c>
      <c r="K753" s="849">
        <v>0.0</v>
      </c>
      <c r="L753" s="849">
        <v>0.0</v>
      </c>
      <c r="M753" s="849">
        <v>0.0</v>
      </c>
      <c r="N753" s="849">
        <v>0.0</v>
      </c>
      <c r="O753" s="849">
        <v>0.0</v>
      </c>
      <c r="P753" s="849">
        <v>0.0</v>
      </c>
      <c r="Q753" s="849">
        <v>0.0</v>
      </c>
      <c r="R753" s="849">
        <v>0.0</v>
      </c>
      <c r="S753" s="849">
        <v>0.0</v>
      </c>
      <c r="T753" s="849">
        <v>0.0</v>
      </c>
      <c r="U753" s="849">
        <v>0.0</v>
      </c>
      <c r="V753" s="849">
        <v>0.0</v>
      </c>
      <c r="W753" s="849">
        <v>0.0</v>
      </c>
      <c r="X753" s="849">
        <v>0.0</v>
      </c>
      <c r="Y753" s="849">
        <v>0.0</v>
      </c>
      <c r="Z753" s="849">
        <v>0.0</v>
      </c>
      <c r="AA753" s="849">
        <v>0.0</v>
      </c>
      <c r="AB753" s="849">
        <v>0.0</v>
      </c>
      <c r="AC753" s="849">
        <v>0.0</v>
      </c>
      <c r="AD753" s="849">
        <v>0.0</v>
      </c>
      <c r="AE753" s="849">
        <v>0.0</v>
      </c>
      <c r="AF753" s="849">
        <v>0.0</v>
      </c>
      <c r="AG753" s="849">
        <v>0.0</v>
      </c>
      <c r="AH753" s="849">
        <v>0.0</v>
      </c>
      <c r="AI753" s="849">
        <v>0.0</v>
      </c>
      <c r="AJ753" s="794" t="str">
        <f t="shared" ref="AJ753:AK753" si="1503">C753</f>
        <v>G46500</v>
      </c>
      <c r="AK753" s="794" t="str">
        <f t="shared" si="1503"/>
        <v>*TEMPS PERDU SERVICE</v>
      </c>
      <c r="AL753" s="794">
        <f t="array" ref="AL753">IFERROR(INDEX(G753:R753,1,MATCH(Parametres!$B$3,G$1:R$1,0)-1)*IF(OR(F753="L",F753="S",F753="I"),-1,1),"")</f>
        <v>0</v>
      </c>
      <c r="AM753" s="794">
        <f t="shared" si="4"/>
        <v>0</v>
      </c>
      <c r="AN753" s="794">
        <f t="array" ref="AN753">INDEX(G753:R753,1,MATCH(Parametres!$B$3,G$1:R$1,0))*IF(OR(F753="L",F753="S",F753="I"),-1,1)</f>
        <v>0</v>
      </c>
      <c r="AO753" s="853" t="str">
        <f>+VLOOKUP($AJ753,Data_Validation!$A:$D,1,0)</f>
        <v>G46500</v>
      </c>
      <c r="AP753" s="853" t="str">
        <f>+VLOOKUP($AJ753,Data_Validation!$A:$D,3,0)</f>
        <v/>
      </c>
      <c r="AQ753" s="853" t="str">
        <f>+VLOOKUP($AJ753,Data_Validation!$A:$D,4,0)</f>
        <v/>
      </c>
      <c r="AR753" s="853" t="s">
        <v>728</v>
      </c>
      <c r="AS753" s="853" t="str">
        <f>+VLOOKUP($AJ753,Data_Validation!$A:$E,5,0)</f>
        <v/>
      </c>
      <c r="AT753" s="794" t="str">
        <f t="shared" ref="AT753:AU753" si="1504">C753</f>
        <v>G46500</v>
      </c>
      <c r="AU753" s="854" t="str">
        <f t="shared" si="1504"/>
        <v>*TEMPS PERDU SERVICE</v>
      </c>
      <c r="AV753" s="794">
        <f t="array" ref="AV753">IFERROR(INDEX(V753:AG753,1,MATCH(Parametres!$B$3,V$1:AG$1,0)-1)*IF(OR(C753="L",C753="S",C753="I"),-1,1),"")</f>
        <v>0</v>
      </c>
      <c r="AW753" s="794">
        <f t="shared" si="6"/>
        <v>0</v>
      </c>
      <c r="AX753" s="794">
        <f t="array" ref="AX753">INDEX(V753:AG753,1,MATCH(Parametres!$B$3,V$1:AG$1,0))*IF(OR(C753="L",C753="S",C753="I"),-1,1)</f>
        <v>0</v>
      </c>
      <c r="AY753" s="853" t="s">
        <v>772</v>
      </c>
      <c r="AZ753" s="853" t="str">
        <f>+VLOOKUP($AJ753,Data_Validation!$A:$E,5,0)</f>
        <v/>
      </c>
    </row>
    <row r="754" ht="15.0" customHeight="1">
      <c r="A754" s="849" t="s">
        <v>1239</v>
      </c>
      <c r="B754" s="849">
        <v>2026.0</v>
      </c>
      <c r="C754" s="849" t="s">
        <v>2736</v>
      </c>
      <c r="D754" s="849" t="s">
        <v>2737</v>
      </c>
      <c r="E754" s="849" t="s">
        <v>768</v>
      </c>
      <c r="F754" s="849" t="s">
        <v>2426</v>
      </c>
      <c r="G754" s="849">
        <v>0.0</v>
      </c>
      <c r="H754" s="849">
        <v>0.0</v>
      </c>
      <c r="I754" s="849">
        <v>0.0</v>
      </c>
      <c r="J754" s="849">
        <v>0.0</v>
      </c>
      <c r="K754" s="849">
        <v>0.0</v>
      </c>
      <c r="L754" s="849">
        <v>0.0</v>
      </c>
      <c r="M754" s="849">
        <v>0.0</v>
      </c>
      <c r="N754" s="849">
        <v>0.0</v>
      </c>
      <c r="O754" s="849">
        <v>0.0</v>
      </c>
      <c r="P754" s="849">
        <v>0.0</v>
      </c>
      <c r="Q754" s="849">
        <v>0.0</v>
      </c>
      <c r="R754" s="849">
        <v>0.0</v>
      </c>
      <c r="S754" s="849">
        <v>0.0</v>
      </c>
      <c r="T754" s="849">
        <v>0.0</v>
      </c>
      <c r="U754" s="849">
        <v>0.0</v>
      </c>
      <c r="V754" s="849">
        <v>0.0</v>
      </c>
      <c r="W754" s="849">
        <v>0.0</v>
      </c>
      <c r="X754" s="849">
        <v>0.0</v>
      </c>
      <c r="Y754" s="849">
        <v>0.0</v>
      </c>
      <c r="Z754" s="849">
        <v>0.0</v>
      </c>
      <c r="AA754" s="849">
        <v>0.0</v>
      </c>
      <c r="AB754" s="849">
        <v>0.0</v>
      </c>
      <c r="AC754" s="849">
        <v>0.0</v>
      </c>
      <c r="AD754" s="849">
        <v>0.0</v>
      </c>
      <c r="AE754" s="849">
        <v>0.0</v>
      </c>
      <c r="AF754" s="849">
        <v>0.0</v>
      </c>
      <c r="AG754" s="849">
        <v>0.0</v>
      </c>
      <c r="AH754" s="849">
        <v>0.0</v>
      </c>
      <c r="AI754" s="849">
        <v>0.0</v>
      </c>
      <c r="AJ754" s="794" t="str">
        <f t="shared" ref="AJ754:AK754" si="1505">C754</f>
        <v>G46507</v>
      </c>
      <c r="AK754" s="794" t="str">
        <f t="shared" si="1505"/>
        <v>*TEMPS PERDU SAAQ</v>
      </c>
      <c r="AL754" s="794">
        <f t="array" ref="AL754">IFERROR(INDEX(G754:R754,1,MATCH(Parametres!$B$3,G$1:R$1,0)-1)*IF(OR(F754="L",F754="S",F754="I"),-1,1),"")</f>
        <v>0</v>
      </c>
      <c r="AM754" s="794">
        <f t="shared" si="4"/>
        <v>0</v>
      </c>
      <c r="AN754" s="794">
        <f t="array" ref="AN754">INDEX(G754:R754,1,MATCH(Parametres!$B$3,G$1:R$1,0))*IF(OR(F754="L",F754="S",F754="I"),-1,1)</f>
        <v>0</v>
      </c>
      <c r="AO754" s="853" t="str">
        <f>+VLOOKUP($AJ754,Data_Validation!$A:$D,1,0)</f>
        <v>#N/A</v>
      </c>
      <c r="AP754" s="853" t="str">
        <f>+VLOOKUP($AJ754,Data_Validation!$A:$D,3,0)</f>
        <v>#N/A</v>
      </c>
      <c r="AQ754" s="853" t="str">
        <f>+VLOOKUP($AJ754,Data_Validation!$A:$D,4,0)</f>
        <v>#N/A</v>
      </c>
      <c r="AR754" s="853" t="s">
        <v>728</v>
      </c>
      <c r="AS754" s="853" t="str">
        <f>+VLOOKUP($AJ754,Data_Validation!$A:$E,5,0)</f>
        <v>#N/A</v>
      </c>
      <c r="AT754" s="794" t="str">
        <f t="shared" ref="AT754:AU754" si="1506">C754</f>
        <v>G46507</v>
      </c>
      <c r="AU754" s="854" t="str">
        <f t="shared" si="1506"/>
        <v>*TEMPS PERDU SAAQ</v>
      </c>
      <c r="AV754" s="794">
        <f t="array" ref="AV754">IFERROR(INDEX(V754:AG754,1,MATCH(Parametres!$B$3,V$1:AG$1,0)-1)*IF(OR(C754="L",C754="S",C754="I"),-1,1),"")</f>
        <v>0</v>
      </c>
      <c r="AW754" s="794">
        <f t="shared" si="6"/>
        <v>0</v>
      </c>
      <c r="AX754" s="794">
        <f t="array" ref="AX754">INDEX(V754:AG754,1,MATCH(Parametres!$B$3,V$1:AG$1,0))*IF(OR(C754="L",C754="S",C754="I"),-1,1)</f>
        <v>0</v>
      </c>
      <c r="AY754" s="853" t="s">
        <v>772</v>
      </c>
      <c r="AZ754" s="853" t="str">
        <f>+VLOOKUP($AJ754,Data_Validation!$A:$E,5,0)</f>
        <v>#N/A</v>
      </c>
    </row>
    <row r="755" ht="15.0" customHeight="1">
      <c r="A755" s="849" t="s">
        <v>1239</v>
      </c>
      <c r="B755" s="849">
        <v>2026.0</v>
      </c>
      <c r="C755" s="849" t="s">
        <v>2738</v>
      </c>
      <c r="D755" s="849" t="s">
        <v>2739</v>
      </c>
      <c r="E755" s="849" t="s">
        <v>2701</v>
      </c>
      <c r="F755" s="849" t="s">
        <v>2426</v>
      </c>
      <c r="G755" s="849">
        <v>4849.09</v>
      </c>
      <c r="H755" s="849">
        <v>20619.18</v>
      </c>
      <c r="I755" s="849">
        <v>38598.06</v>
      </c>
      <c r="J755" s="849">
        <v>48780.08</v>
      </c>
      <c r="K755" s="849">
        <v>63022.97</v>
      </c>
      <c r="L755" s="849">
        <v>74558.77</v>
      </c>
      <c r="M755" s="849">
        <v>84699.56</v>
      </c>
      <c r="N755" s="849">
        <v>101547.02</v>
      </c>
      <c r="O755" s="849">
        <v>111933.48</v>
      </c>
      <c r="P755" s="849">
        <v>115084.73</v>
      </c>
      <c r="Q755" s="849">
        <v>0.0</v>
      </c>
      <c r="R755" s="849">
        <v>0.0</v>
      </c>
      <c r="S755" s="849">
        <v>12437.05</v>
      </c>
      <c r="T755" s="849">
        <v>12437.05</v>
      </c>
      <c r="U755" s="849">
        <v>0.0</v>
      </c>
      <c r="V755" s="849">
        <v>19.0</v>
      </c>
      <c r="W755" s="849">
        <v>56.0</v>
      </c>
      <c r="X755" s="849">
        <v>90.0</v>
      </c>
      <c r="Y755" s="849">
        <v>127.0</v>
      </c>
      <c r="Z755" s="849">
        <v>168.0</v>
      </c>
      <c r="AA755" s="849">
        <v>207.0</v>
      </c>
      <c r="AB755" s="849">
        <v>241.0</v>
      </c>
      <c r="AC755" s="849">
        <v>273.0</v>
      </c>
      <c r="AD755" s="849">
        <v>305.0</v>
      </c>
      <c r="AE755" s="849">
        <v>320.0</v>
      </c>
      <c r="AF755" s="849">
        <v>0.0</v>
      </c>
      <c r="AG755" s="849">
        <v>0.0</v>
      </c>
      <c r="AH755" s="849">
        <v>34.0</v>
      </c>
      <c r="AI755" s="849">
        <v>34.0</v>
      </c>
      <c r="AJ755" s="794" t="str">
        <f t="shared" ref="AJ755:AK755" si="1507">C755</f>
        <v>G46600</v>
      </c>
      <c r="AK755" s="794" t="str">
        <f t="shared" si="1507"/>
        <v>VTES-REPARAT.SOUS-TRAITES</v>
      </c>
      <c r="AL755" s="794">
        <f t="array" ref="AL755">IFERROR(INDEX(G755:R755,1,MATCH(Parametres!$B$3,G$1:R$1,0)-1)*IF(OR(F755="L",F755="S",F755="I"),-1,1),"")</f>
        <v>-101547.02</v>
      </c>
      <c r="AM755" s="794">
        <f t="shared" si="4"/>
        <v>-10386.46</v>
      </c>
      <c r="AN755" s="794">
        <f t="array" ref="AN755">INDEX(G755:R755,1,MATCH(Parametres!$B$3,G$1:R$1,0))*IF(OR(F755="L",F755="S",F755="I"),-1,1)</f>
        <v>-111933.48</v>
      </c>
      <c r="AO755" s="853" t="str">
        <f>+VLOOKUP($AJ755,Data_Validation!$A:$D,1,0)</f>
        <v>G46600</v>
      </c>
      <c r="AP755" s="853" t="str">
        <f>+VLOOKUP($AJ755,Data_Validation!$A:$D,3,0)</f>
        <v>Service</v>
      </c>
      <c r="AQ755" s="853" t="str">
        <f>+VLOOKUP($AJ755,Data_Validation!$A:$D,4,0)</f>
        <v>Sous-traitement</v>
      </c>
      <c r="AR755" s="853" t="s">
        <v>728</v>
      </c>
      <c r="AS755" s="853" t="str">
        <f>+VLOOKUP($AJ755,Data_Validation!$A:$E,5,0)</f>
        <v>Oui</v>
      </c>
      <c r="AT755" s="794" t="str">
        <f t="shared" ref="AT755:AU755" si="1508">C755</f>
        <v>G46600</v>
      </c>
      <c r="AU755" s="854" t="str">
        <f t="shared" si="1508"/>
        <v>VTES-REPARAT.SOUS-TRAITES</v>
      </c>
      <c r="AV755" s="794">
        <f t="array" ref="AV755">IFERROR(INDEX(V755:AG755,1,MATCH(Parametres!$B$3,V$1:AG$1,0)-1)*IF(OR(C755="L",C755="S",C755="I"),-1,1),"")</f>
        <v>273</v>
      </c>
      <c r="AW755" s="794">
        <f t="shared" si="6"/>
        <v>32</v>
      </c>
      <c r="AX755" s="794">
        <f t="array" ref="AX755">INDEX(V755:AG755,1,MATCH(Parametres!$B$3,V$1:AG$1,0))*IF(OR(C755="L",C755="S",C755="I"),-1,1)</f>
        <v>305</v>
      </c>
      <c r="AY755" s="853" t="s">
        <v>772</v>
      </c>
      <c r="AZ755" s="853" t="str">
        <f>+VLOOKUP($AJ755,Data_Validation!$A:$E,5,0)</f>
        <v>Oui</v>
      </c>
    </row>
    <row r="756" ht="15.0" customHeight="1">
      <c r="A756" s="849" t="s">
        <v>1239</v>
      </c>
      <c r="B756" s="849">
        <v>2026.0</v>
      </c>
      <c r="C756" s="849" t="s">
        <v>2740</v>
      </c>
      <c r="D756" s="849" t="s">
        <v>2741</v>
      </c>
      <c r="E756" s="849" t="s">
        <v>2701</v>
      </c>
      <c r="F756" s="849" t="s">
        <v>2426</v>
      </c>
      <c r="G756" s="849">
        <v>0.0</v>
      </c>
      <c r="H756" s="849">
        <v>0.0</v>
      </c>
      <c r="I756" s="849">
        <v>0.0</v>
      </c>
      <c r="J756" s="849">
        <v>0.0</v>
      </c>
      <c r="K756" s="849">
        <v>0.0</v>
      </c>
      <c r="L756" s="849">
        <v>0.0</v>
      </c>
      <c r="M756" s="849">
        <v>0.0</v>
      </c>
      <c r="N756" s="849">
        <v>0.0</v>
      </c>
      <c r="O756" s="849">
        <v>0.0</v>
      </c>
      <c r="P756" s="849">
        <v>0.0</v>
      </c>
      <c r="Q756" s="849">
        <v>0.0</v>
      </c>
      <c r="R756" s="849">
        <v>0.0</v>
      </c>
      <c r="S756" s="849">
        <v>0.0</v>
      </c>
      <c r="T756" s="849">
        <v>0.0</v>
      </c>
      <c r="U756" s="849">
        <v>0.0</v>
      </c>
      <c r="V756" s="849">
        <v>0.0</v>
      </c>
      <c r="W756" s="849">
        <v>0.0</v>
      </c>
      <c r="X756" s="849">
        <v>0.0</v>
      </c>
      <c r="Y756" s="849">
        <v>0.0</v>
      </c>
      <c r="Z756" s="849">
        <v>0.0</v>
      </c>
      <c r="AA756" s="849">
        <v>0.0</v>
      </c>
      <c r="AB756" s="849">
        <v>0.0</v>
      </c>
      <c r="AC756" s="849">
        <v>0.0</v>
      </c>
      <c r="AD756" s="849">
        <v>0.0</v>
      </c>
      <c r="AE756" s="849">
        <v>0.0</v>
      </c>
      <c r="AF756" s="849">
        <v>0.0</v>
      </c>
      <c r="AG756" s="849">
        <v>0.0</v>
      </c>
      <c r="AH756" s="849">
        <v>0.0</v>
      </c>
      <c r="AI756" s="849">
        <v>0.0</v>
      </c>
      <c r="AJ756" s="794" t="str">
        <f t="shared" ref="AJ756:AK756" si="1509">C756</f>
        <v>G46610</v>
      </c>
      <c r="AK756" s="794" t="str">
        <f t="shared" si="1509"/>
        <v>VTES-SOUS-TRAITANCE SAAQ</v>
      </c>
      <c r="AL756" s="794">
        <f t="array" ref="AL756">IFERROR(INDEX(G756:R756,1,MATCH(Parametres!$B$3,G$1:R$1,0)-1)*IF(OR(F756="L",F756="S",F756="I"),-1,1),"")</f>
        <v>0</v>
      </c>
      <c r="AM756" s="794">
        <f t="shared" si="4"/>
        <v>0</v>
      </c>
      <c r="AN756" s="794">
        <f t="array" ref="AN756">INDEX(G756:R756,1,MATCH(Parametres!$B$3,G$1:R$1,0))*IF(OR(F756="L",F756="S",F756="I"),-1,1)</f>
        <v>0</v>
      </c>
      <c r="AO756" s="853" t="str">
        <f>+VLOOKUP($AJ756,Data_Validation!$A:$D,1,0)</f>
        <v>G46610</v>
      </c>
      <c r="AP756" s="853" t="str">
        <f>+VLOOKUP($AJ756,Data_Validation!$A:$D,3,0)</f>
        <v>SAAQ</v>
      </c>
      <c r="AQ756" s="853" t="str">
        <f>+VLOOKUP($AJ756,Data_Validation!$A:$D,4,0)</f>
        <v>Inspection - Véhicules Interne</v>
      </c>
      <c r="AR756" s="853" t="s">
        <v>728</v>
      </c>
      <c r="AS756" s="853" t="str">
        <f>+VLOOKUP($AJ756,Data_Validation!$A:$E,5,0)</f>
        <v>Oui</v>
      </c>
      <c r="AT756" s="794" t="str">
        <f t="shared" ref="AT756:AU756" si="1510">C756</f>
        <v>G46610</v>
      </c>
      <c r="AU756" s="854" t="str">
        <f t="shared" si="1510"/>
        <v>VTES-SOUS-TRAITANCE SAAQ</v>
      </c>
      <c r="AV756" s="794">
        <f t="array" ref="AV756">IFERROR(INDEX(V756:AG756,1,MATCH(Parametres!$B$3,V$1:AG$1,0)-1)*IF(OR(C756="L",C756="S",C756="I"),-1,1),"")</f>
        <v>0</v>
      </c>
      <c r="AW756" s="794">
        <f t="shared" si="6"/>
        <v>0</v>
      </c>
      <c r="AX756" s="794">
        <f t="array" ref="AX756">INDEX(V756:AG756,1,MATCH(Parametres!$B$3,V$1:AG$1,0))*IF(OR(C756="L",C756="S",C756="I"),-1,1)</f>
        <v>0</v>
      </c>
      <c r="AY756" s="853" t="s">
        <v>772</v>
      </c>
      <c r="AZ756" s="853" t="str">
        <f>+VLOOKUP($AJ756,Data_Validation!$A:$E,5,0)</f>
        <v>Oui</v>
      </c>
    </row>
    <row r="757" ht="15.0" customHeight="1">
      <c r="A757" s="849" t="s">
        <v>1239</v>
      </c>
      <c r="B757" s="849">
        <v>2026.0</v>
      </c>
      <c r="C757" s="849" t="s">
        <v>2742</v>
      </c>
      <c r="D757" s="849" t="s">
        <v>2743</v>
      </c>
      <c r="E757" s="849" t="s">
        <v>2701</v>
      </c>
      <c r="F757" s="849" t="s">
        <v>2426</v>
      </c>
      <c r="G757" s="849">
        <v>0.0</v>
      </c>
      <c r="H757" s="849">
        <v>0.0</v>
      </c>
      <c r="I757" s="849">
        <v>0.0</v>
      </c>
      <c r="J757" s="849">
        <v>0.0</v>
      </c>
      <c r="K757" s="849">
        <v>0.0</v>
      </c>
      <c r="L757" s="849">
        <v>0.0</v>
      </c>
      <c r="M757" s="849">
        <v>0.0</v>
      </c>
      <c r="N757" s="849">
        <v>0.0</v>
      </c>
      <c r="O757" s="849">
        <v>0.0</v>
      </c>
      <c r="P757" s="849">
        <v>0.0</v>
      </c>
      <c r="Q757" s="849">
        <v>0.0</v>
      </c>
      <c r="R757" s="849">
        <v>0.0</v>
      </c>
      <c r="S757" s="849">
        <v>0.0</v>
      </c>
      <c r="T757" s="849">
        <v>0.0</v>
      </c>
      <c r="U757" s="849">
        <v>0.0</v>
      </c>
      <c r="V757" s="849">
        <v>0.0</v>
      </c>
      <c r="W757" s="849">
        <v>0.0</v>
      </c>
      <c r="X757" s="849">
        <v>0.0</v>
      </c>
      <c r="Y757" s="849">
        <v>0.0</v>
      </c>
      <c r="Z757" s="849">
        <v>0.0</v>
      </c>
      <c r="AA757" s="849">
        <v>0.0</v>
      </c>
      <c r="AB757" s="849">
        <v>0.0</v>
      </c>
      <c r="AC757" s="849">
        <v>0.0</v>
      </c>
      <c r="AD757" s="849">
        <v>0.0</v>
      </c>
      <c r="AE757" s="849">
        <v>0.0</v>
      </c>
      <c r="AF757" s="849">
        <v>0.0</v>
      </c>
      <c r="AG757" s="849">
        <v>0.0</v>
      </c>
      <c r="AH757" s="849">
        <v>0.0</v>
      </c>
      <c r="AI757" s="849">
        <v>0.0</v>
      </c>
      <c r="AJ757" s="794" t="str">
        <f t="shared" ref="AJ757:AK757" si="1511">C757</f>
        <v>G46611</v>
      </c>
      <c r="AK757" s="794" t="str">
        <f t="shared" si="1511"/>
        <v>SUPER VITRE VENTE SUBLET</v>
      </c>
      <c r="AL757" s="794">
        <f t="array" ref="AL757">IFERROR(INDEX(G757:R757,1,MATCH(Parametres!$B$3,G$1:R$1,0)-1)*IF(OR(F757="L",F757="S",F757="I"),-1,1),"")</f>
        <v>0</v>
      </c>
      <c r="AM757" s="794">
        <f t="shared" si="4"/>
        <v>0</v>
      </c>
      <c r="AN757" s="794">
        <f t="array" ref="AN757">INDEX(G757:R757,1,MATCH(Parametres!$B$3,G$1:R$1,0))*IF(OR(F757="L",F757="S",F757="I"),-1,1)</f>
        <v>0</v>
      </c>
      <c r="AO757" s="853" t="str">
        <f>+VLOOKUP($AJ757,Data_Validation!$A:$D,1,0)</f>
        <v>#N/A</v>
      </c>
      <c r="AP757" s="853" t="str">
        <f>+VLOOKUP($AJ757,Data_Validation!$A:$D,3,0)</f>
        <v>#N/A</v>
      </c>
      <c r="AQ757" s="853" t="str">
        <f>+VLOOKUP($AJ757,Data_Validation!$A:$D,4,0)</f>
        <v>#N/A</v>
      </c>
      <c r="AR757" s="853" t="s">
        <v>728</v>
      </c>
      <c r="AS757" s="853" t="str">
        <f>+VLOOKUP($AJ757,Data_Validation!$A:$E,5,0)</f>
        <v>#N/A</v>
      </c>
      <c r="AT757" s="794" t="str">
        <f t="shared" ref="AT757:AU757" si="1512">C757</f>
        <v>G46611</v>
      </c>
      <c r="AU757" s="854" t="str">
        <f t="shared" si="1512"/>
        <v>SUPER VITRE VENTE SUBLET</v>
      </c>
      <c r="AV757" s="794">
        <f t="array" ref="AV757">IFERROR(INDEX(V757:AG757,1,MATCH(Parametres!$B$3,V$1:AG$1,0)-1)*IF(OR(C757="L",C757="S",C757="I"),-1,1),"")</f>
        <v>0</v>
      </c>
      <c r="AW757" s="794">
        <f t="shared" si="6"/>
        <v>0</v>
      </c>
      <c r="AX757" s="794">
        <f t="array" ref="AX757">INDEX(V757:AG757,1,MATCH(Parametres!$B$3,V$1:AG$1,0))*IF(OR(C757="L",C757="S",C757="I"),-1,1)</f>
        <v>0</v>
      </c>
      <c r="AY757" s="853" t="s">
        <v>772</v>
      </c>
      <c r="AZ757" s="853" t="str">
        <f>+VLOOKUP($AJ757,Data_Validation!$A:$E,5,0)</f>
        <v>#N/A</v>
      </c>
    </row>
    <row r="758" ht="15.0" customHeight="1">
      <c r="A758" s="849" t="s">
        <v>1239</v>
      </c>
      <c r="B758" s="849">
        <v>2026.0</v>
      </c>
      <c r="C758" s="849" t="s">
        <v>2744</v>
      </c>
      <c r="D758" s="849" t="s">
        <v>2745</v>
      </c>
      <c r="E758" s="849" t="s">
        <v>2701</v>
      </c>
      <c r="F758" s="849" t="s">
        <v>2426</v>
      </c>
      <c r="G758" s="849">
        <v>41978.81</v>
      </c>
      <c r="H758" s="849">
        <v>103633.08</v>
      </c>
      <c r="I758" s="849">
        <v>149530.79</v>
      </c>
      <c r="J758" s="849">
        <v>192371.79</v>
      </c>
      <c r="K758" s="849">
        <v>220602.06</v>
      </c>
      <c r="L758" s="849">
        <v>281495.37</v>
      </c>
      <c r="M758" s="849">
        <v>333679.74</v>
      </c>
      <c r="N758" s="849">
        <v>383287.53</v>
      </c>
      <c r="O758" s="849">
        <v>443132.08</v>
      </c>
      <c r="P758" s="849">
        <v>460641.13</v>
      </c>
      <c r="Q758" s="849">
        <v>0.0</v>
      </c>
      <c r="R758" s="849">
        <v>0.0</v>
      </c>
      <c r="S758" s="849">
        <v>49236.9</v>
      </c>
      <c r="T758" s="849">
        <v>49236.9</v>
      </c>
      <c r="U758" s="849">
        <v>0.0</v>
      </c>
      <c r="V758" s="849">
        <v>130.0</v>
      </c>
      <c r="W758" s="849">
        <v>275.0</v>
      </c>
      <c r="X758" s="849">
        <v>447.0</v>
      </c>
      <c r="Y758" s="849">
        <v>646.0</v>
      </c>
      <c r="Z758" s="849">
        <v>805.0</v>
      </c>
      <c r="AA758" s="849">
        <v>971.0</v>
      </c>
      <c r="AB758" s="849">
        <v>1145.0</v>
      </c>
      <c r="AC758" s="849">
        <v>1283.0</v>
      </c>
      <c r="AD758" s="849">
        <v>1447.0</v>
      </c>
      <c r="AE758" s="849">
        <v>1501.0</v>
      </c>
      <c r="AF758" s="849">
        <v>0.0</v>
      </c>
      <c r="AG758" s="849">
        <v>0.0</v>
      </c>
      <c r="AH758" s="849">
        <v>161.0</v>
      </c>
      <c r="AI758" s="849">
        <v>161.0</v>
      </c>
      <c r="AJ758" s="794" t="str">
        <f t="shared" ref="AJ758:AK758" si="1513">C758</f>
        <v>G46710</v>
      </c>
      <c r="AK758" s="794" t="str">
        <f t="shared" si="1513"/>
        <v>VTES PI SERV.VOIT&amp;CAM LEG</v>
      </c>
      <c r="AL758" s="794">
        <f t="array" ref="AL758">IFERROR(INDEX(G758:R758,1,MATCH(Parametres!$B$3,G$1:R$1,0)-1)*IF(OR(F758="L",F758="S",F758="I"),-1,1),"")</f>
        <v>-383287.53</v>
      </c>
      <c r="AM758" s="794">
        <f t="shared" si="4"/>
        <v>-59844.55</v>
      </c>
      <c r="AN758" s="794">
        <f t="array" ref="AN758">INDEX(G758:R758,1,MATCH(Parametres!$B$3,G$1:R$1,0))*IF(OR(F758="L",F758="S",F758="I"),-1,1)</f>
        <v>-443132.08</v>
      </c>
      <c r="AO758" s="853" t="str">
        <f>+VLOOKUP($AJ758,Data_Validation!$A:$D,1,0)</f>
        <v>G46710</v>
      </c>
      <c r="AP758" s="853" t="str">
        <f>+VLOOKUP($AJ758,Data_Validation!$A:$D,3,0)</f>
        <v>Pièces</v>
      </c>
      <c r="AQ758" s="853" t="str">
        <f>+VLOOKUP($AJ758,Data_Validation!$A:$D,4,0)</f>
        <v>Pièces Ro Clients</v>
      </c>
      <c r="AR758" s="853" t="s">
        <v>728</v>
      </c>
      <c r="AS758" s="853" t="str">
        <f>+VLOOKUP($AJ758,Data_Validation!$A:$E,5,0)</f>
        <v>Oui</v>
      </c>
      <c r="AT758" s="794" t="str">
        <f t="shared" ref="AT758:AU758" si="1514">C758</f>
        <v>G46710</v>
      </c>
      <c r="AU758" s="854" t="str">
        <f t="shared" si="1514"/>
        <v>VTES PI SERV.VOIT&amp;CAM LEG</v>
      </c>
      <c r="AV758" s="794">
        <f t="array" ref="AV758">IFERROR(INDEX(V758:AG758,1,MATCH(Parametres!$B$3,V$1:AG$1,0)-1)*IF(OR(C758="L",C758="S",C758="I"),-1,1),"")</f>
        <v>1283</v>
      </c>
      <c r="AW758" s="794">
        <f t="shared" si="6"/>
        <v>164</v>
      </c>
      <c r="AX758" s="794">
        <f t="array" ref="AX758">INDEX(V758:AG758,1,MATCH(Parametres!$B$3,V$1:AG$1,0))*IF(OR(C758="L",C758="S",C758="I"),-1,1)</f>
        <v>1447</v>
      </c>
      <c r="AY758" s="853" t="s">
        <v>772</v>
      </c>
      <c r="AZ758" s="853" t="str">
        <f>+VLOOKUP($AJ758,Data_Validation!$A:$E,5,0)</f>
        <v>Oui</v>
      </c>
    </row>
    <row r="759" ht="15.0" customHeight="1">
      <c r="A759" s="849" t="s">
        <v>1239</v>
      </c>
      <c r="B759" s="849">
        <v>2026.0</v>
      </c>
      <c r="C759" s="849" t="s">
        <v>2746</v>
      </c>
      <c r="D759" s="849" t="s">
        <v>2747</v>
      </c>
      <c r="E759" s="849" t="s">
        <v>2701</v>
      </c>
      <c r="F759" s="849" t="s">
        <v>2426</v>
      </c>
      <c r="G759" s="849">
        <v>0.0</v>
      </c>
      <c r="H759" s="849">
        <v>0.0</v>
      </c>
      <c r="I759" s="849">
        <v>0.0</v>
      </c>
      <c r="J759" s="849">
        <v>0.0</v>
      </c>
      <c r="K759" s="849">
        <v>0.0</v>
      </c>
      <c r="L759" s="849">
        <v>0.0</v>
      </c>
      <c r="M759" s="849">
        <v>0.0</v>
      </c>
      <c r="N759" s="849">
        <v>0.0</v>
      </c>
      <c r="O759" s="849">
        <v>0.0</v>
      </c>
      <c r="P759" s="849">
        <v>0.0</v>
      </c>
      <c r="Q759" s="849">
        <v>0.0</v>
      </c>
      <c r="R759" s="849">
        <v>0.0</v>
      </c>
      <c r="S759" s="849">
        <v>0.0</v>
      </c>
      <c r="T759" s="849">
        <v>0.0</v>
      </c>
      <c r="U759" s="849">
        <v>0.0</v>
      </c>
      <c r="V759" s="849">
        <v>0.0</v>
      </c>
      <c r="W759" s="849">
        <v>0.0</v>
      </c>
      <c r="X759" s="849">
        <v>0.0</v>
      </c>
      <c r="Y759" s="849">
        <v>0.0</v>
      </c>
      <c r="Z759" s="849">
        <v>0.0</v>
      </c>
      <c r="AA759" s="849">
        <v>0.0</v>
      </c>
      <c r="AB759" s="849">
        <v>0.0</v>
      </c>
      <c r="AC759" s="849">
        <v>0.0</v>
      </c>
      <c r="AD759" s="849">
        <v>0.0</v>
      </c>
      <c r="AE759" s="849">
        <v>0.0</v>
      </c>
      <c r="AF759" s="849">
        <v>0.0</v>
      </c>
      <c r="AG759" s="849">
        <v>0.0</v>
      </c>
      <c r="AH759" s="849">
        <v>0.0</v>
      </c>
      <c r="AI759" s="849">
        <v>0.0</v>
      </c>
      <c r="AJ759" s="794" t="str">
        <f t="shared" ref="AJ759:AK759" si="1515">C759</f>
        <v>G46720</v>
      </c>
      <c r="AK759" s="794" t="str">
        <f t="shared" si="1515"/>
        <v>B.R PPC VOIT &amp; CAM LEG.</v>
      </c>
      <c r="AL759" s="794">
        <f t="array" ref="AL759">IFERROR(INDEX(G759:R759,1,MATCH(Parametres!$B$3,G$1:R$1,0)-1)*IF(OR(F759="L",F759="S",F759="I"),-1,1),"")</f>
        <v>0</v>
      </c>
      <c r="AM759" s="794">
        <f t="shared" si="4"/>
        <v>0</v>
      </c>
      <c r="AN759" s="794">
        <f t="array" ref="AN759">INDEX(G759:R759,1,MATCH(Parametres!$B$3,G$1:R$1,0))*IF(OR(F759="L",F759="S",F759="I"),-1,1)</f>
        <v>0</v>
      </c>
      <c r="AO759" s="853" t="str">
        <f>+VLOOKUP($AJ759,Data_Validation!$A:$D,1,0)</f>
        <v>G46720</v>
      </c>
      <c r="AP759" s="853" t="str">
        <f>+VLOOKUP($AJ759,Data_Validation!$A:$D,3,0)</f>
        <v>Pièces</v>
      </c>
      <c r="AQ759" s="853" t="str">
        <f>+VLOOKUP($AJ759,Data_Validation!$A:$D,4,0)</f>
        <v>Pièces Ro Clients</v>
      </c>
      <c r="AR759" s="853" t="s">
        <v>728</v>
      </c>
      <c r="AS759" s="853" t="str">
        <f>+VLOOKUP($AJ759,Data_Validation!$A:$E,5,0)</f>
        <v>Oui</v>
      </c>
      <c r="AT759" s="794" t="str">
        <f t="shared" ref="AT759:AU759" si="1516">C759</f>
        <v>G46720</v>
      </c>
      <c r="AU759" s="854" t="str">
        <f t="shared" si="1516"/>
        <v>B.R PPC VOIT &amp; CAM LEG.</v>
      </c>
      <c r="AV759" s="794">
        <f t="array" ref="AV759">IFERROR(INDEX(V759:AG759,1,MATCH(Parametres!$B$3,V$1:AG$1,0)-1)*IF(OR(C759="L",C759="S",C759="I"),-1,1),"")</f>
        <v>0</v>
      </c>
      <c r="AW759" s="794">
        <f t="shared" si="6"/>
        <v>0</v>
      </c>
      <c r="AX759" s="794">
        <f t="array" ref="AX759">INDEX(V759:AG759,1,MATCH(Parametres!$B$3,V$1:AG$1,0))*IF(OR(C759="L",C759="S",C759="I"),-1,1)</f>
        <v>0</v>
      </c>
      <c r="AY759" s="853" t="s">
        <v>772</v>
      </c>
      <c r="AZ759" s="853" t="str">
        <f>+VLOOKUP($AJ759,Data_Validation!$A:$E,5,0)</f>
        <v>Oui</v>
      </c>
    </row>
    <row r="760" ht="15.0" customHeight="1">
      <c r="A760" s="849" t="s">
        <v>1239</v>
      </c>
      <c r="B760" s="849">
        <v>2026.0</v>
      </c>
      <c r="C760" s="849" t="s">
        <v>2748</v>
      </c>
      <c r="D760" s="849" t="s">
        <v>2749</v>
      </c>
      <c r="E760" s="849" t="s">
        <v>2701</v>
      </c>
      <c r="F760" s="849" t="s">
        <v>2426</v>
      </c>
      <c r="G760" s="849">
        <v>0.0</v>
      </c>
      <c r="H760" s="849">
        <v>0.0</v>
      </c>
      <c r="I760" s="849">
        <v>0.0</v>
      </c>
      <c r="J760" s="849">
        <v>0.0</v>
      </c>
      <c r="K760" s="849">
        <v>0.0</v>
      </c>
      <c r="L760" s="849">
        <v>0.0</v>
      </c>
      <c r="M760" s="849">
        <v>0.0</v>
      </c>
      <c r="N760" s="849">
        <v>0.0</v>
      </c>
      <c r="O760" s="849">
        <v>0.0</v>
      </c>
      <c r="P760" s="849">
        <v>0.0</v>
      </c>
      <c r="Q760" s="849">
        <v>0.0</v>
      </c>
      <c r="R760" s="849">
        <v>0.0</v>
      </c>
      <c r="S760" s="849">
        <v>0.0</v>
      </c>
      <c r="T760" s="849">
        <v>0.0</v>
      </c>
      <c r="U760" s="849">
        <v>0.0</v>
      </c>
      <c r="V760" s="849">
        <v>0.0</v>
      </c>
      <c r="W760" s="849">
        <v>0.0</v>
      </c>
      <c r="X760" s="849">
        <v>0.0</v>
      </c>
      <c r="Y760" s="849">
        <v>0.0</v>
      </c>
      <c r="Z760" s="849">
        <v>0.0</v>
      </c>
      <c r="AA760" s="849">
        <v>0.0</v>
      </c>
      <c r="AB760" s="849">
        <v>0.0</v>
      </c>
      <c r="AC760" s="849">
        <v>0.0</v>
      </c>
      <c r="AD760" s="849">
        <v>0.0</v>
      </c>
      <c r="AE760" s="849">
        <v>0.0</v>
      </c>
      <c r="AF760" s="849">
        <v>0.0</v>
      </c>
      <c r="AG760" s="849">
        <v>0.0</v>
      </c>
      <c r="AH760" s="849">
        <v>0.0</v>
      </c>
      <c r="AI760" s="849">
        <v>0.0</v>
      </c>
      <c r="AJ760" s="794" t="str">
        <f t="shared" ref="AJ760:AK760" si="1517">C760</f>
        <v>G46740</v>
      </c>
      <c r="AK760" s="794" t="str">
        <f t="shared" si="1517"/>
        <v>SER.RAPIDE VOIT CAM LEG.</v>
      </c>
      <c r="AL760" s="794">
        <f t="array" ref="AL760">IFERROR(INDEX(G760:R760,1,MATCH(Parametres!$B$3,G$1:R$1,0)-1)*IF(OR(F760="L",F760="S",F760="I"),-1,1),"")</f>
        <v>0</v>
      </c>
      <c r="AM760" s="794">
        <f t="shared" si="4"/>
        <v>0</v>
      </c>
      <c r="AN760" s="794">
        <f t="array" ref="AN760">INDEX(G760:R760,1,MATCH(Parametres!$B$3,G$1:R$1,0))*IF(OR(F760="L",F760="S",F760="I"),-1,1)</f>
        <v>0</v>
      </c>
      <c r="AO760" s="853" t="str">
        <f>+VLOOKUP($AJ760,Data_Validation!$A:$D,1,0)</f>
        <v>G46740</v>
      </c>
      <c r="AP760" s="853" t="str">
        <f>+VLOOKUP($AJ760,Data_Validation!$A:$D,3,0)</f>
        <v/>
      </c>
      <c r="AQ760" s="853" t="str">
        <f>+VLOOKUP($AJ760,Data_Validation!$A:$D,4,0)</f>
        <v/>
      </c>
      <c r="AR760" s="853" t="s">
        <v>728</v>
      </c>
      <c r="AS760" s="853" t="str">
        <f>+VLOOKUP($AJ760,Data_Validation!$A:$E,5,0)</f>
        <v/>
      </c>
      <c r="AT760" s="794" t="str">
        <f t="shared" ref="AT760:AU760" si="1518">C760</f>
        <v>G46740</v>
      </c>
      <c r="AU760" s="854" t="str">
        <f t="shared" si="1518"/>
        <v>SER.RAPIDE VOIT CAM LEG.</v>
      </c>
      <c r="AV760" s="794">
        <f t="array" ref="AV760">IFERROR(INDEX(V760:AG760,1,MATCH(Parametres!$B$3,V$1:AG$1,0)-1)*IF(OR(C760="L",C760="S",C760="I"),-1,1),"")</f>
        <v>0</v>
      </c>
      <c r="AW760" s="794">
        <f t="shared" si="6"/>
        <v>0</v>
      </c>
      <c r="AX760" s="794">
        <f t="array" ref="AX760">INDEX(V760:AG760,1,MATCH(Parametres!$B$3,V$1:AG$1,0))*IF(OR(C760="L",C760="S",C760="I"),-1,1)</f>
        <v>0</v>
      </c>
      <c r="AY760" s="853" t="s">
        <v>772</v>
      </c>
      <c r="AZ760" s="853" t="str">
        <f>+VLOOKUP($AJ760,Data_Validation!$A:$E,5,0)</f>
        <v/>
      </c>
    </row>
    <row r="761" ht="15.0" customHeight="1">
      <c r="A761" s="849" t="s">
        <v>1239</v>
      </c>
      <c r="B761" s="849">
        <v>2026.0</v>
      </c>
      <c r="C761" s="849" t="s">
        <v>2750</v>
      </c>
      <c r="D761" s="849" t="s">
        <v>2751</v>
      </c>
      <c r="E761" s="849" t="s">
        <v>2701</v>
      </c>
      <c r="F761" s="849" t="s">
        <v>2426</v>
      </c>
      <c r="G761" s="849">
        <v>0.0</v>
      </c>
      <c r="H761" s="849">
        <v>0.0</v>
      </c>
      <c r="I761" s="849">
        <v>0.0</v>
      </c>
      <c r="J761" s="849">
        <v>0.0</v>
      </c>
      <c r="K761" s="849">
        <v>0.0</v>
      </c>
      <c r="L761" s="849">
        <v>0.0</v>
      </c>
      <c r="M761" s="849">
        <v>0.0</v>
      </c>
      <c r="N761" s="849">
        <v>0.0</v>
      </c>
      <c r="O761" s="849">
        <v>0.0</v>
      </c>
      <c r="P761" s="849">
        <v>0.0</v>
      </c>
      <c r="Q761" s="849">
        <v>0.0</v>
      </c>
      <c r="R761" s="849">
        <v>0.0</v>
      </c>
      <c r="S761" s="849">
        <v>0.0</v>
      </c>
      <c r="T761" s="849">
        <v>0.0</v>
      </c>
      <c r="U761" s="849">
        <v>0.0</v>
      </c>
      <c r="V761" s="849">
        <v>0.0</v>
      </c>
      <c r="W761" s="849">
        <v>0.0</v>
      </c>
      <c r="X761" s="849">
        <v>0.0</v>
      </c>
      <c r="Y761" s="849">
        <v>0.0</v>
      </c>
      <c r="Z761" s="849">
        <v>0.0</v>
      </c>
      <c r="AA761" s="849">
        <v>0.0</v>
      </c>
      <c r="AB761" s="849">
        <v>0.0</v>
      </c>
      <c r="AC761" s="849">
        <v>0.0</v>
      </c>
      <c r="AD761" s="849">
        <v>0.0</v>
      </c>
      <c r="AE761" s="849">
        <v>0.0</v>
      </c>
      <c r="AF761" s="849">
        <v>0.0</v>
      </c>
      <c r="AG761" s="849">
        <v>0.0</v>
      </c>
      <c r="AH761" s="849">
        <v>0.0</v>
      </c>
      <c r="AI761" s="849">
        <v>0.0</v>
      </c>
      <c r="AJ761" s="794" t="str">
        <f t="shared" ref="AJ761:AK761" si="1519">C761</f>
        <v>G46800</v>
      </c>
      <c r="AK761" s="794" t="str">
        <f t="shared" si="1519"/>
        <v>VTES-PCE CLIENT CAM MOYEN</v>
      </c>
      <c r="AL761" s="794">
        <f t="array" ref="AL761">IFERROR(INDEX(G761:R761,1,MATCH(Parametres!$B$3,G$1:R$1,0)-1)*IF(OR(F761="L",F761="S",F761="I"),-1,1),"")</f>
        <v>0</v>
      </c>
      <c r="AM761" s="794">
        <f t="shared" si="4"/>
        <v>0</v>
      </c>
      <c r="AN761" s="794">
        <f t="array" ref="AN761">INDEX(G761:R761,1,MATCH(Parametres!$B$3,G$1:R$1,0))*IF(OR(F761="L",F761="S",F761="I"),-1,1)</f>
        <v>0</v>
      </c>
      <c r="AO761" s="853" t="str">
        <f>+VLOOKUP($AJ761,Data_Validation!$A:$D,1,0)</f>
        <v>G46800</v>
      </c>
      <c r="AP761" s="853" t="str">
        <f>+VLOOKUP($AJ761,Data_Validation!$A:$D,3,0)</f>
        <v/>
      </c>
      <c r="AQ761" s="853" t="str">
        <f>+VLOOKUP($AJ761,Data_Validation!$A:$D,4,0)</f>
        <v/>
      </c>
      <c r="AR761" s="853" t="s">
        <v>728</v>
      </c>
      <c r="AS761" s="853" t="str">
        <f>+VLOOKUP($AJ761,Data_Validation!$A:$E,5,0)</f>
        <v/>
      </c>
      <c r="AT761" s="794" t="str">
        <f t="shared" ref="AT761:AU761" si="1520">C761</f>
        <v>G46800</v>
      </c>
      <c r="AU761" s="854" t="str">
        <f t="shared" si="1520"/>
        <v>VTES-PCE CLIENT CAM MOYEN</v>
      </c>
      <c r="AV761" s="794">
        <f t="array" ref="AV761">IFERROR(INDEX(V761:AG761,1,MATCH(Parametres!$B$3,V$1:AG$1,0)-1)*IF(OR(C761="L",C761="S",C761="I"),-1,1),"")</f>
        <v>0</v>
      </c>
      <c r="AW761" s="794">
        <f t="shared" si="6"/>
        <v>0</v>
      </c>
      <c r="AX761" s="794">
        <f t="array" ref="AX761">INDEX(V761:AG761,1,MATCH(Parametres!$B$3,V$1:AG$1,0))*IF(OR(C761="L",C761="S",C761="I"),-1,1)</f>
        <v>0</v>
      </c>
      <c r="AY761" s="853" t="s">
        <v>772</v>
      </c>
      <c r="AZ761" s="853" t="str">
        <f>+VLOOKUP($AJ761,Data_Validation!$A:$E,5,0)</f>
        <v/>
      </c>
    </row>
    <row r="762" ht="15.0" customHeight="1">
      <c r="A762" s="849" t="s">
        <v>1239</v>
      </c>
      <c r="B762" s="849">
        <v>2026.0</v>
      </c>
      <c r="C762" s="849" t="s">
        <v>2752</v>
      </c>
      <c r="D762" s="849" t="s">
        <v>2753</v>
      </c>
      <c r="E762" s="849" t="s">
        <v>2701</v>
      </c>
      <c r="F762" s="849" t="s">
        <v>2426</v>
      </c>
      <c r="G762" s="849">
        <v>0.0</v>
      </c>
      <c r="H762" s="849">
        <v>0.0</v>
      </c>
      <c r="I762" s="849">
        <v>0.0</v>
      </c>
      <c r="J762" s="849">
        <v>0.0</v>
      </c>
      <c r="K762" s="849">
        <v>0.0</v>
      </c>
      <c r="L762" s="849">
        <v>0.0</v>
      </c>
      <c r="M762" s="849">
        <v>0.0</v>
      </c>
      <c r="N762" s="849">
        <v>0.0</v>
      </c>
      <c r="O762" s="849">
        <v>0.0</v>
      </c>
      <c r="P762" s="849">
        <v>0.0</v>
      </c>
      <c r="Q762" s="849">
        <v>0.0</v>
      </c>
      <c r="R762" s="849">
        <v>0.0</v>
      </c>
      <c r="S762" s="849">
        <v>0.0</v>
      </c>
      <c r="T762" s="849">
        <v>0.0</v>
      </c>
      <c r="U762" s="849">
        <v>0.0</v>
      </c>
      <c r="V762" s="849">
        <v>0.0</v>
      </c>
      <c r="W762" s="849">
        <v>0.0</v>
      </c>
      <c r="X762" s="849">
        <v>0.0</v>
      </c>
      <c r="Y762" s="849">
        <v>0.0</v>
      </c>
      <c r="Z762" s="849">
        <v>0.0</v>
      </c>
      <c r="AA762" s="849">
        <v>0.0</v>
      </c>
      <c r="AB762" s="849">
        <v>0.0</v>
      </c>
      <c r="AC762" s="849">
        <v>0.0</v>
      </c>
      <c r="AD762" s="849">
        <v>0.0</v>
      </c>
      <c r="AE762" s="849">
        <v>0.0</v>
      </c>
      <c r="AF762" s="849">
        <v>0.0</v>
      </c>
      <c r="AG762" s="849">
        <v>0.0</v>
      </c>
      <c r="AH762" s="849">
        <v>0.0</v>
      </c>
      <c r="AI762" s="849">
        <v>0.0</v>
      </c>
      <c r="AJ762" s="794" t="str">
        <f t="shared" ref="AJ762:AK762" si="1521">C762</f>
        <v>G46810</v>
      </c>
      <c r="AK762" s="794" t="str">
        <f t="shared" si="1521"/>
        <v>VTES-PCE SERV.CLIENT CAM.</v>
      </c>
      <c r="AL762" s="794">
        <f t="array" ref="AL762">IFERROR(INDEX(G762:R762,1,MATCH(Parametres!$B$3,G$1:R$1,0)-1)*IF(OR(F762="L",F762="S",F762="I"),-1,1),"")</f>
        <v>0</v>
      </c>
      <c r="AM762" s="794">
        <f t="shared" si="4"/>
        <v>0</v>
      </c>
      <c r="AN762" s="794">
        <f t="array" ref="AN762">INDEX(G762:R762,1,MATCH(Parametres!$B$3,G$1:R$1,0))*IF(OR(F762="L",F762="S",F762="I"),-1,1)</f>
        <v>0</v>
      </c>
      <c r="AO762" s="853" t="str">
        <f>+VLOOKUP($AJ762,Data_Validation!$A:$D,1,0)</f>
        <v>G46810</v>
      </c>
      <c r="AP762" s="853" t="str">
        <f>+VLOOKUP($AJ762,Data_Validation!$A:$D,3,0)</f>
        <v/>
      </c>
      <c r="AQ762" s="853" t="str">
        <f>+VLOOKUP($AJ762,Data_Validation!$A:$D,4,0)</f>
        <v/>
      </c>
      <c r="AR762" s="853" t="s">
        <v>728</v>
      </c>
      <c r="AS762" s="853" t="str">
        <f>+VLOOKUP($AJ762,Data_Validation!$A:$E,5,0)</f>
        <v/>
      </c>
      <c r="AT762" s="794" t="str">
        <f t="shared" ref="AT762:AU762" si="1522">C762</f>
        <v>G46810</v>
      </c>
      <c r="AU762" s="854" t="str">
        <f t="shared" si="1522"/>
        <v>VTES-PCE SERV.CLIENT CAM.</v>
      </c>
      <c r="AV762" s="794">
        <f t="array" ref="AV762">IFERROR(INDEX(V762:AG762,1,MATCH(Parametres!$B$3,V$1:AG$1,0)-1)*IF(OR(C762="L",C762="S",C762="I"),-1,1),"")</f>
        <v>0</v>
      </c>
      <c r="AW762" s="794">
        <f t="shared" si="6"/>
        <v>0</v>
      </c>
      <c r="AX762" s="794">
        <f t="array" ref="AX762">INDEX(V762:AG762,1,MATCH(Parametres!$B$3,V$1:AG$1,0))*IF(OR(C762="L",C762="S",C762="I"),-1,1)</f>
        <v>0</v>
      </c>
      <c r="AY762" s="853" t="s">
        <v>772</v>
      </c>
      <c r="AZ762" s="853" t="str">
        <f>+VLOOKUP($AJ762,Data_Validation!$A:$E,5,0)</f>
        <v/>
      </c>
    </row>
    <row r="763" ht="15.0" customHeight="1">
      <c r="A763" s="849" t="s">
        <v>1239</v>
      </c>
      <c r="B763" s="849">
        <v>2026.0</v>
      </c>
      <c r="C763" s="849" t="s">
        <v>2754</v>
      </c>
      <c r="D763" s="849" t="s">
        <v>2755</v>
      </c>
      <c r="E763" s="849" t="s">
        <v>2701</v>
      </c>
      <c r="F763" s="849" t="s">
        <v>2426</v>
      </c>
      <c r="G763" s="849">
        <v>0.0</v>
      </c>
      <c r="H763" s="849">
        <v>0.0</v>
      </c>
      <c r="I763" s="849">
        <v>0.0</v>
      </c>
      <c r="J763" s="849">
        <v>0.0</v>
      </c>
      <c r="K763" s="849">
        <v>0.0</v>
      </c>
      <c r="L763" s="849">
        <v>0.0</v>
      </c>
      <c r="M763" s="849">
        <v>0.0</v>
      </c>
      <c r="N763" s="849">
        <v>0.0</v>
      </c>
      <c r="O763" s="849">
        <v>0.0</v>
      </c>
      <c r="P763" s="849">
        <v>0.0</v>
      </c>
      <c r="Q763" s="849">
        <v>0.0</v>
      </c>
      <c r="R763" s="849">
        <v>0.0</v>
      </c>
      <c r="S763" s="849">
        <v>0.0</v>
      </c>
      <c r="T763" s="849">
        <v>0.0</v>
      </c>
      <c r="U763" s="849">
        <v>0.0</v>
      </c>
      <c r="V763" s="849">
        <v>0.0</v>
      </c>
      <c r="W763" s="849">
        <v>0.0</v>
      </c>
      <c r="X763" s="849">
        <v>0.0</v>
      </c>
      <c r="Y763" s="849">
        <v>0.0</v>
      </c>
      <c r="Z763" s="849">
        <v>0.0</v>
      </c>
      <c r="AA763" s="849">
        <v>0.0</v>
      </c>
      <c r="AB763" s="849">
        <v>0.0</v>
      </c>
      <c r="AC763" s="849">
        <v>0.0</v>
      </c>
      <c r="AD763" s="849">
        <v>0.0</v>
      </c>
      <c r="AE763" s="849">
        <v>0.0</v>
      </c>
      <c r="AF763" s="849">
        <v>0.0</v>
      </c>
      <c r="AG763" s="849">
        <v>0.0</v>
      </c>
      <c r="AH763" s="849">
        <v>0.0</v>
      </c>
      <c r="AI763" s="849">
        <v>0.0</v>
      </c>
      <c r="AJ763" s="794" t="str">
        <f t="shared" ref="AJ763:AK763" si="1523">C763</f>
        <v>G46840</v>
      </c>
      <c r="AK763" s="794" t="str">
        <f t="shared" si="1523"/>
        <v>VTES-PCE GOODWRENCH CAMIO</v>
      </c>
      <c r="AL763" s="794">
        <f t="array" ref="AL763">IFERROR(INDEX(G763:R763,1,MATCH(Parametres!$B$3,G$1:R$1,0)-1)*IF(OR(F763="L",F763="S",F763="I"),-1,1),"")</f>
        <v>0</v>
      </c>
      <c r="AM763" s="794">
        <f t="shared" si="4"/>
        <v>0</v>
      </c>
      <c r="AN763" s="794">
        <f t="array" ref="AN763">INDEX(G763:R763,1,MATCH(Parametres!$B$3,G$1:R$1,0))*IF(OR(F763="L",F763="S",F763="I"),-1,1)</f>
        <v>0</v>
      </c>
      <c r="AO763" s="853" t="str">
        <f>+VLOOKUP($AJ763,Data_Validation!$A:$D,1,0)</f>
        <v>#N/A</v>
      </c>
      <c r="AP763" s="853" t="str">
        <f>+VLOOKUP($AJ763,Data_Validation!$A:$D,3,0)</f>
        <v>#N/A</v>
      </c>
      <c r="AQ763" s="853" t="str">
        <f>+VLOOKUP($AJ763,Data_Validation!$A:$D,4,0)</f>
        <v>#N/A</v>
      </c>
      <c r="AR763" s="853" t="s">
        <v>728</v>
      </c>
      <c r="AS763" s="853" t="str">
        <f>+VLOOKUP($AJ763,Data_Validation!$A:$E,5,0)</f>
        <v>#N/A</v>
      </c>
      <c r="AT763" s="794" t="str">
        <f t="shared" ref="AT763:AU763" si="1524">C763</f>
        <v>G46840</v>
      </c>
      <c r="AU763" s="854" t="str">
        <f t="shared" si="1524"/>
        <v>VTES-PCE GOODWRENCH CAMIO</v>
      </c>
      <c r="AV763" s="794">
        <f t="array" ref="AV763">IFERROR(INDEX(V763:AG763,1,MATCH(Parametres!$B$3,V$1:AG$1,0)-1)*IF(OR(C763="L",C763="S",C763="I"),-1,1),"")</f>
        <v>0</v>
      </c>
      <c r="AW763" s="794">
        <f t="shared" si="6"/>
        <v>0</v>
      </c>
      <c r="AX763" s="794">
        <f t="array" ref="AX763">INDEX(V763:AG763,1,MATCH(Parametres!$B$3,V$1:AG$1,0))*IF(OR(C763="L",C763="S",C763="I"),-1,1)</f>
        <v>0</v>
      </c>
      <c r="AY763" s="853" t="s">
        <v>772</v>
      </c>
      <c r="AZ763" s="853" t="str">
        <f>+VLOOKUP($AJ763,Data_Validation!$A:$E,5,0)</f>
        <v>#N/A</v>
      </c>
    </row>
    <row r="764" ht="15.0" customHeight="1">
      <c r="A764" s="849" t="s">
        <v>1239</v>
      </c>
      <c r="B764" s="849">
        <v>2026.0</v>
      </c>
      <c r="C764" s="849" t="s">
        <v>2756</v>
      </c>
      <c r="D764" s="849" t="s">
        <v>2757</v>
      </c>
      <c r="E764" s="849" t="s">
        <v>768</v>
      </c>
      <c r="F764" s="849" t="s">
        <v>2426</v>
      </c>
      <c r="G764" s="849">
        <v>2646.8</v>
      </c>
      <c r="H764" s="849">
        <v>5914.65</v>
      </c>
      <c r="I764" s="849">
        <v>9184.1</v>
      </c>
      <c r="J764" s="849">
        <v>13267.53</v>
      </c>
      <c r="K764" s="849">
        <v>17068.18</v>
      </c>
      <c r="L764" s="849">
        <v>20337.54</v>
      </c>
      <c r="M764" s="849">
        <v>22791.25</v>
      </c>
      <c r="N764" s="849">
        <v>25438.35</v>
      </c>
      <c r="O764" s="849">
        <v>28935.44</v>
      </c>
      <c r="P764" s="849">
        <v>31041.29</v>
      </c>
      <c r="Q764" s="849">
        <v>0.0</v>
      </c>
      <c r="R764" s="849">
        <v>0.0</v>
      </c>
      <c r="S764" s="849">
        <v>3215.05</v>
      </c>
      <c r="T764" s="849">
        <v>3215.05</v>
      </c>
      <c r="U764" s="849">
        <v>0.0</v>
      </c>
      <c r="V764" s="849">
        <v>232.0</v>
      </c>
      <c r="W764" s="849">
        <v>521.0</v>
      </c>
      <c r="X764" s="849">
        <v>812.0</v>
      </c>
      <c r="Y764" s="849">
        <v>1191.0</v>
      </c>
      <c r="Z764" s="849">
        <v>1531.0</v>
      </c>
      <c r="AA764" s="849">
        <v>1824.0</v>
      </c>
      <c r="AB764" s="849">
        <v>2059.0</v>
      </c>
      <c r="AC764" s="849">
        <v>2267.0</v>
      </c>
      <c r="AD764" s="849">
        <v>2568.0</v>
      </c>
      <c r="AE764" s="849">
        <v>2705.0</v>
      </c>
      <c r="AF764" s="849">
        <v>0.0</v>
      </c>
      <c r="AG764" s="849">
        <v>0.0</v>
      </c>
      <c r="AH764" s="849">
        <v>285.0</v>
      </c>
      <c r="AI764" s="849">
        <v>285.0</v>
      </c>
      <c r="AJ764" s="794" t="str">
        <f t="shared" ref="AJ764:AK764" si="1525">C764</f>
        <v>G46900</v>
      </c>
      <c r="AK764" s="794" t="str">
        <f t="shared" si="1525"/>
        <v>VTES FOURNITURE ATELIER</v>
      </c>
      <c r="AL764" s="794">
        <f t="array" ref="AL764">IFERROR(INDEX(G764:R764,1,MATCH(Parametres!$B$3,G$1:R$1,0)-1)*IF(OR(F764="L",F764="S",F764="I"),-1,1),"")</f>
        <v>-25438.35</v>
      </c>
      <c r="AM764" s="794">
        <f t="shared" si="4"/>
        <v>-3497.09</v>
      </c>
      <c r="AN764" s="794">
        <f t="array" ref="AN764">INDEX(G764:R764,1,MATCH(Parametres!$B$3,G$1:R$1,0))*IF(OR(F764="L",F764="S",F764="I"),-1,1)</f>
        <v>-28935.44</v>
      </c>
      <c r="AO764" s="853" t="str">
        <f>+VLOOKUP($AJ764,Data_Validation!$A:$D,1,0)</f>
        <v>G46900</v>
      </c>
      <c r="AP764" s="853" t="str">
        <f>+VLOOKUP($AJ764,Data_Validation!$A:$D,3,0)</f>
        <v>Service</v>
      </c>
      <c r="AQ764" s="853" t="str">
        <f>+VLOOKUP($AJ764,Data_Validation!$A:$D,4,0)</f>
        <v>Sous-traitement</v>
      </c>
      <c r="AR764" s="853" t="s">
        <v>728</v>
      </c>
      <c r="AS764" s="853" t="str">
        <f>+VLOOKUP($AJ764,Data_Validation!$A:$E,5,0)</f>
        <v>Oui</v>
      </c>
      <c r="AT764" s="794" t="str">
        <f t="shared" ref="AT764:AU764" si="1526">C764</f>
        <v>G46900</v>
      </c>
      <c r="AU764" s="854" t="str">
        <f t="shared" si="1526"/>
        <v>VTES FOURNITURE ATELIER</v>
      </c>
      <c r="AV764" s="794">
        <f t="array" ref="AV764">IFERROR(INDEX(V764:AG764,1,MATCH(Parametres!$B$3,V$1:AG$1,0)-1)*IF(OR(C764="L",C764="S",C764="I"),-1,1),"")</f>
        <v>2267</v>
      </c>
      <c r="AW764" s="794">
        <f t="shared" si="6"/>
        <v>301</v>
      </c>
      <c r="AX764" s="794">
        <f t="array" ref="AX764">INDEX(V764:AG764,1,MATCH(Parametres!$B$3,V$1:AG$1,0))*IF(OR(C764="L",C764="S",C764="I"),-1,1)</f>
        <v>2568</v>
      </c>
      <c r="AY764" s="853" t="s">
        <v>772</v>
      </c>
      <c r="AZ764" s="853" t="str">
        <f>+VLOOKUP($AJ764,Data_Validation!$A:$E,5,0)</f>
        <v>Oui</v>
      </c>
    </row>
    <row r="765" ht="15.0" customHeight="1">
      <c r="A765" s="849" t="s">
        <v>1239</v>
      </c>
      <c r="B765" s="849">
        <v>2026.0</v>
      </c>
      <c r="C765" s="849" t="s">
        <v>1124</v>
      </c>
      <c r="D765" s="849" t="s">
        <v>2758</v>
      </c>
      <c r="E765" s="849" t="s">
        <v>2701</v>
      </c>
      <c r="F765" s="849" t="s">
        <v>2426</v>
      </c>
      <c r="G765" s="849">
        <v>0.0</v>
      </c>
      <c r="H765" s="849">
        <v>0.0</v>
      </c>
      <c r="I765" s="849">
        <v>0.0</v>
      </c>
      <c r="J765" s="849">
        <v>0.0</v>
      </c>
      <c r="K765" s="849">
        <v>7647.4</v>
      </c>
      <c r="L765" s="849">
        <v>19811.75</v>
      </c>
      <c r="M765" s="849">
        <v>29506.6</v>
      </c>
      <c r="N765" s="849">
        <v>32925.63</v>
      </c>
      <c r="O765" s="849">
        <v>53409.53</v>
      </c>
      <c r="P765" s="849">
        <v>54692.13</v>
      </c>
      <c r="Q765" s="849">
        <v>0.0</v>
      </c>
      <c r="R765" s="849">
        <v>0.0</v>
      </c>
      <c r="S765" s="849">
        <v>5934.39</v>
      </c>
      <c r="T765" s="849">
        <v>5934.39</v>
      </c>
      <c r="U765" s="849">
        <v>0.0</v>
      </c>
      <c r="V765" s="849">
        <v>0.0</v>
      </c>
      <c r="W765" s="849">
        <v>0.0</v>
      </c>
      <c r="X765" s="849">
        <v>0.0</v>
      </c>
      <c r="Y765" s="849">
        <v>0.0</v>
      </c>
      <c r="Z765" s="849">
        <v>16.0</v>
      </c>
      <c r="AA765" s="849">
        <v>38.0</v>
      </c>
      <c r="AB765" s="849">
        <v>54.0</v>
      </c>
      <c r="AC765" s="849">
        <v>63.0</v>
      </c>
      <c r="AD765" s="849">
        <v>98.0</v>
      </c>
      <c r="AE765" s="849">
        <v>102.0</v>
      </c>
      <c r="AF765" s="849">
        <v>0.0</v>
      </c>
      <c r="AG765" s="849">
        <v>0.0</v>
      </c>
      <c r="AH765" s="849">
        <v>11.0</v>
      </c>
      <c r="AI765" s="849">
        <v>11.0</v>
      </c>
      <c r="AJ765" s="794" t="str">
        <f t="shared" ref="AJ765:AK765" si="1527">C765</f>
        <v>G47000</v>
      </c>
      <c r="AK765" s="794" t="str">
        <f t="shared" si="1527"/>
        <v>VTES -MO .CLIENT-PEINTURE</v>
      </c>
      <c r="AL765" s="794">
        <f t="array" ref="AL765">IFERROR(INDEX(G765:R765,1,MATCH(Parametres!$B$3,G$1:R$1,0)-1)*IF(OR(F765="L",F765="S",F765="I"),-1,1),"")</f>
        <v>-32925.63</v>
      </c>
      <c r="AM765" s="794">
        <f t="shared" si="4"/>
        <v>-20483.9</v>
      </c>
      <c r="AN765" s="794">
        <f t="array" ref="AN765">INDEX(G765:R765,1,MATCH(Parametres!$B$3,G$1:R$1,0))*IF(OR(F765="L",F765="S",F765="I"),-1,1)</f>
        <v>-53409.53</v>
      </c>
      <c r="AO765" s="853" t="str">
        <f>+VLOOKUP($AJ765,Data_Validation!$A:$D,1,0)</f>
        <v>G47000</v>
      </c>
      <c r="AP765" s="853" t="str">
        <f>+VLOOKUP($AJ765,Data_Validation!$A:$D,3,0)</f>
        <v>Carrosserie</v>
      </c>
      <c r="AQ765" s="853" t="str">
        <f>+VLOOKUP($AJ765,Data_Validation!$A:$D,4,0)</f>
        <v>Carrosserie Clients</v>
      </c>
      <c r="AR765" s="853" t="s">
        <v>728</v>
      </c>
      <c r="AS765" s="853" t="str">
        <f>+VLOOKUP($AJ765,Data_Validation!$A:$E,5,0)</f>
        <v>Oui</v>
      </c>
      <c r="AT765" s="794" t="str">
        <f t="shared" ref="AT765:AU765" si="1528">C765</f>
        <v>G47000</v>
      </c>
      <c r="AU765" s="854" t="str">
        <f t="shared" si="1528"/>
        <v>VTES -MO .CLIENT-PEINTURE</v>
      </c>
      <c r="AV765" s="794">
        <f t="array" ref="AV765">IFERROR(INDEX(V765:AG765,1,MATCH(Parametres!$B$3,V$1:AG$1,0)-1)*IF(OR(C765="L",C765="S",C765="I"),-1,1),"")</f>
        <v>63</v>
      </c>
      <c r="AW765" s="794">
        <f t="shared" si="6"/>
        <v>35</v>
      </c>
      <c r="AX765" s="794">
        <f t="array" ref="AX765">INDEX(V765:AG765,1,MATCH(Parametres!$B$3,V$1:AG$1,0))*IF(OR(C765="L",C765="S",C765="I"),-1,1)</f>
        <v>98</v>
      </c>
      <c r="AY765" s="853" t="s">
        <v>772</v>
      </c>
      <c r="AZ765" s="853" t="str">
        <f>+VLOOKUP($AJ765,Data_Validation!$A:$E,5,0)</f>
        <v>Oui</v>
      </c>
    </row>
    <row r="766" ht="15.0" customHeight="1">
      <c r="A766" s="849" t="s">
        <v>1239</v>
      </c>
      <c r="B766" s="849">
        <v>2026.0</v>
      </c>
      <c r="C766" s="849" t="s">
        <v>1174</v>
      </c>
      <c r="D766" s="849" t="s">
        <v>2759</v>
      </c>
      <c r="E766" s="849" t="s">
        <v>2701</v>
      </c>
      <c r="F766" s="849" t="s">
        <v>2426</v>
      </c>
      <c r="G766" s="849">
        <v>0.0</v>
      </c>
      <c r="H766" s="849">
        <v>0.0</v>
      </c>
      <c r="I766" s="849">
        <v>0.0</v>
      </c>
      <c r="J766" s="849">
        <v>0.0</v>
      </c>
      <c r="K766" s="849">
        <v>10270.44</v>
      </c>
      <c r="L766" s="849">
        <v>23929.94</v>
      </c>
      <c r="M766" s="849">
        <v>33592.98</v>
      </c>
      <c r="N766" s="849">
        <v>40487.51</v>
      </c>
      <c r="O766" s="849">
        <v>47171.64</v>
      </c>
      <c r="P766" s="849">
        <v>47559.64</v>
      </c>
      <c r="Q766" s="849">
        <v>0.0</v>
      </c>
      <c r="R766" s="849">
        <v>0.0</v>
      </c>
      <c r="S766" s="849">
        <v>5241.29</v>
      </c>
      <c r="T766" s="849">
        <v>5241.29</v>
      </c>
      <c r="U766" s="849">
        <v>0.0</v>
      </c>
      <c r="V766" s="849">
        <v>0.0</v>
      </c>
      <c r="W766" s="849">
        <v>0.0</v>
      </c>
      <c r="X766" s="849">
        <v>0.0</v>
      </c>
      <c r="Y766" s="849">
        <v>0.0</v>
      </c>
      <c r="Z766" s="849">
        <v>17.0</v>
      </c>
      <c r="AA766" s="849">
        <v>36.0</v>
      </c>
      <c r="AB766" s="849">
        <v>55.0</v>
      </c>
      <c r="AC766" s="849">
        <v>65.0</v>
      </c>
      <c r="AD766" s="849">
        <v>80.0</v>
      </c>
      <c r="AE766" s="849">
        <v>83.0</v>
      </c>
      <c r="AF766" s="849">
        <v>0.0</v>
      </c>
      <c r="AG766" s="849">
        <v>0.0</v>
      </c>
      <c r="AH766" s="849">
        <v>9.0</v>
      </c>
      <c r="AI766" s="849">
        <v>9.0</v>
      </c>
      <c r="AJ766" s="794" t="str">
        <f t="shared" ref="AJ766:AK766" si="1529">C766</f>
        <v>G47005</v>
      </c>
      <c r="AK766" s="794" t="str">
        <f t="shared" si="1529"/>
        <v>VTES -M.O CONCES. PEINTUR</v>
      </c>
      <c r="AL766" s="794">
        <f t="array" ref="AL766">IFERROR(INDEX(G766:R766,1,MATCH(Parametres!$B$3,G$1:R$1,0)-1)*IF(OR(F766="L",F766="S",F766="I"),-1,1),"")</f>
        <v>-40487.51</v>
      </c>
      <c r="AM766" s="794">
        <f t="shared" si="4"/>
        <v>-6684.13</v>
      </c>
      <c r="AN766" s="794">
        <f t="array" ref="AN766">INDEX(G766:R766,1,MATCH(Parametres!$B$3,G$1:R$1,0))*IF(OR(F766="L",F766="S",F766="I"),-1,1)</f>
        <v>-47171.64</v>
      </c>
      <c r="AO766" s="853" t="str">
        <f>+VLOOKUP($AJ766,Data_Validation!$A:$D,1,0)</f>
        <v>G47005</v>
      </c>
      <c r="AP766" s="853" t="str">
        <f>+VLOOKUP($AJ766,Data_Validation!$A:$D,3,0)</f>
        <v>Carrosserie</v>
      </c>
      <c r="AQ766" s="853" t="str">
        <f>+VLOOKUP($AJ766,Data_Validation!$A:$D,4,0)</f>
        <v>Carrosserie Concessions</v>
      </c>
      <c r="AR766" s="853" t="s">
        <v>728</v>
      </c>
      <c r="AS766" s="853" t="str">
        <f>+VLOOKUP($AJ766,Data_Validation!$A:$E,5,0)</f>
        <v>Oui</v>
      </c>
      <c r="AT766" s="794" t="str">
        <f t="shared" ref="AT766:AU766" si="1530">C766</f>
        <v>G47005</v>
      </c>
      <c r="AU766" s="854" t="str">
        <f t="shared" si="1530"/>
        <v>VTES -M.O CONCES. PEINTUR</v>
      </c>
      <c r="AV766" s="794">
        <f t="array" ref="AV766">IFERROR(INDEX(V766:AG766,1,MATCH(Parametres!$B$3,V$1:AG$1,0)-1)*IF(OR(C766="L",C766="S",C766="I"),-1,1),"")</f>
        <v>65</v>
      </c>
      <c r="AW766" s="794">
        <f t="shared" si="6"/>
        <v>15</v>
      </c>
      <c r="AX766" s="794">
        <f t="array" ref="AX766">INDEX(V766:AG766,1,MATCH(Parametres!$B$3,V$1:AG$1,0))*IF(OR(C766="L",C766="S",C766="I"),-1,1)</f>
        <v>80</v>
      </c>
      <c r="AY766" s="853" t="s">
        <v>772</v>
      </c>
      <c r="AZ766" s="853" t="str">
        <f>+VLOOKUP($AJ766,Data_Validation!$A:$E,5,0)</f>
        <v>Oui</v>
      </c>
    </row>
    <row r="767" ht="15.0" customHeight="1">
      <c r="A767" s="849" t="s">
        <v>1239</v>
      </c>
      <c r="B767" s="849">
        <v>2026.0</v>
      </c>
      <c r="C767" s="849" t="s">
        <v>1121</v>
      </c>
      <c r="D767" s="849" t="s">
        <v>2760</v>
      </c>
      <c r="E767" s="849" t="s">
        <v>2701</v>
      </c>
      <c r="F767" s="849" t="s">
        <v>2426</v>
      </c>
      <c r="G767" s="849">
        <v>56064.89</v>
      </c>
      <c r="H767" s="849">
        <v>121587.01</v>
      </c>
      <c r="I767" s="849">
        <v>174836.25</v>
      </c>
      <c r="J767" s="849">
        <v>279197.3</v>
      </c>
      <c r="K767" s="849">
        <v>298896.17</v>
      </c>
      <c r="L767" s="849">
        <v>317588.85</v>
      </c>
      <c r="M767" s="849">
        <v>340882.88</v>
      </c>
      <c r="N767" s="849">
        <v>374868.99</v>
      </c>
      <c r="O767" s="849">
        <v>416503.1</v>
      </c>
      <c r="P767" s="849">
        <v>424138.6</v>
      </c>
      <c r="Q767" s="849">
        <v>0.0</v>
      </c>
      <c r="R767" s="849">
        <v>0.0</v>
      </c>
      <c r="S767" s="849">
        <v>46278.12</v>
      </c>
      <c r="T767" s="849">
        <v>46278.12</v>
      </c>
      <c r="U767" s="849">
        <v>0.0</v>
      </c>
      <c r="V767" s="849">
        <v>45.0</v>
      </c>
      <c r="W767" s="849">
        <v>95.0</v>
      </c>
      <c r="X767" s="849">
        <v>146.0</v>
      </c>
      <c r="Y767" s="849">
        <v>210.0</v>
      </c>
      <c r="Z767" s="849">
        <v>237.0</v>
      </c>
      <c r="AA767" s="849">
        <v>266.0</v>
      </c>
      <c r="AB767" s="849">
        <v>293.0</v>
      </c>
      <c r="AC767" s="849">
        <v>315.0</v>
      </c>
      <c r="AD767" s="849">
        <v>363.0</v>
      </c>
      <c r="AE767" s="849">
        <v>370.0</v>
      </c>
      <c r="AF767" s="849">
        <v>0.0</v>
      </c>
      <c r="AG767" s="849">
        <v>0.0</v>
      </c>
      <c r="AH767" s="849">
        <v>40.0</v>
      </c>
      <c r="AI767" s="849">
        <v>40.0</v>
      </c>
      <c r="AJ767" s="794" t="str">
        <f t="shared" ref="AJ767:AK767" si="1531">C767</f>
        <v>G47100</v>
      </c>
      <c r="AK767" s="794" t="str">
        <f t="shared" si="1531"/>
        <v>VTES-M.D. CLIENT CARROSS.</v>
      </c>
      <c r="AL767" s="794">
        <f t="array" ref="AL767">IFERROR(INDEX(G767:R767,1,MATCH(Parametres!$B$3,G$1:R$1,0)-1)*IF(OR(F767="L",F767="S",F767="I"),-1,1),"")</f>
        <v>-374868.99</v>
      </c>
      <c r="AM767" s="794">
        <f t="shared" si="4"/>
        <v>-41634.11</v>
      </c>
      <c r="AN767" s="794">
        <f t="array" ref="AN767">INDEX(G767:R767,1,MATCH(Parametres!$B$3,G$1:R$1,0))*IF(OR(F767="L",F767="S",F767="I"),-1,1)</f>
        <v>-416503.1</v>
      </c>
      <c r="AO767" s="853" t="str">
        <f>+VLOOKUP($AJ767,Data_Validation!$A:$D,1,0)</f>
        <v>G47100</v>
      </c>
      <c r="AP767" s="853" t="str">
        <f>+VLOOKUP($AJ767,Data_Validation!$A:$D,3,0)</f>
        <v>Carrosserie</v>
      </c>
      <c r="AQ767" s="853" t="str">
        <f>+VLOOKUP($AJ767,Data_Validation!$A:$D,4,0)</f>
        <v>Carrosserie Clients</v>
      </c>
      <c r="AR767" s="853" t="s">
        <v>728</v>
      </c>
      <c r="AS767" s="853" t="str">
        <f>+VLOOKUP($AJ767,Data_Validation!$A:$E,5,0)</f>
        <v>Oui</v>
      </c>
      <c r="AT767" s="794" t="str">
        <f t="shared" ref="AT767:AU767" si="1532">C767</f>
        <v>G47100</v>
      </c>
      <c r="AU767" s="854" t="str">
        <f t="shared" si="1532"/>
        <v>VTES-M.D. CLIENT CARROSS.</v>
      </c>
      <c r="AV767" s="794">
        <f t="array" ref="AV767">IFERROR(INDEX(V767:AG767,1,MATCH(Parametres!$B$3,V$1:AG$1,0)-1)*IF(OR(C767="L",C767="S",C767="I"),-1,1),"")</f>
        <v>315</v>
      </c>
      <c r="AW767" s="794">
        <f t="shared" si="6"/>
        <v>48</v>
      </c>
      <c r="AX767" s="794">
        <f t="array" ref="AX767">INDEX(V767:AG767,1,MATCH(Parametres!$B$3,V$1:AG$1,0))*IF(OR(C767="L",C767="S",C767="I"),-1,1)</f>
        <v>363</v>
      </c>
      <c r="AY767" s="853" t="s">
        <v>772</v>
      </c>
      <c r="AZ767" s="853" t="str">
        <f>+VLOOKUP($AJ767,Data_Validation!$A:$E,5,0)</f>
        <v>Oui</v>
      </c>
    </row>
    <row r="768" ht="15.0" customHeight="1">
      <c r="A768" s="849" t="s">
        <v>1239</v>
      </c>
      <c r="B768" s="849">
        <v>2026.0</v>
      </c>
      <c r="C768" s="849" t="s">
        <v>1171</v>
      </c>
      <c r="D768" s="849" t="s">
        <v>2761</v>
      </c>
      <c r="E768" s="849" t="s">
        <v>2701</v>
      </c>
      <c r="F768" s="849" t="s">
        <v>2426</v>
      </c>
      <c r="G768" s="849">
        <v>0.0</v>
      </c>
      <c r="H768" s="849">
        <v>0.0</v>
      </c>
      <c r="I768" s="849">
        <v>0.0</v>
      </c>
      <c r="J768" s="849">
        <v>0.0</v>
      </c>
      <c r="K768" s="849">
        <v>20289.45</v>
      </c>
      <c r="L768" s="849">
        <v>50705.96</v>
      </c>
      <c r="M768" s="849">
        <v>74569.38</v>
      </c>
      <c r="N768" s="849">
        <v>92193.01</v>
      </c>
      <c r="O768" s="849">
        <v>107421.62</v>
      </c>
      <c r="P768" s="849">
        <v>109767.02</v>
      </c>
      <c r="Q768" s="849">
        <v>0.0</v>
      </c>
      <c r="R768" s="849">
        <v>0.0</v>
      </c>
      <c r="S768" s="849">
        <v>11935.74</v>
      </c>
      <c r="T768" s="849">
        <v>11935.74</v>
      </c>
      <c r="U768" s="849">
        <v>0.0</v>
      </c>
      <c r="V768" s="849">
        <v>0.0</v>
      </c>
      <c r="W768" s="849">
        <v>0.0</v>
      </c>
      <c r="X768" s="849">
        <v>0.0</v>
      </c>
      <c r="Y768" s="849">
        <v>0.0</v>
      </c>
      <c r="Z768" s="849">
        <v>19.0</v>
      </c>
      <c r="AA768" s="849">
        <v>43.0</v>
      </c>
      <c r="AB768" s="849">
        <v>64.0</v>
      </c>
      <c r="AC768" s="849">
        <v>77.0</v>
      </c>
      <c r="AD768" s="849">
        <v>90.0</v>
      </c>
      <c r="AE768" s="849">
        <v>94.0</v>
      </c>
      <c r="AF768" s="849">
        <v>0.0</v>
      </c>
      <c r="AG768" s="849">
        <v>0.0</v>
      </c>
      <c r="AH768" s="849">
        <v>10.0</v>
      </c>
      <c r="AI768" s="849">
        <v>10.0</v>
      </c>
      <c r="AJ768" s="794" t="str">
        <f t="shared" ref="AJ768:AK768" si="1533">C768</f>
        <v>G47105</v>
      </c>
      <c r="AK768" s="794" t="str">
        <f t="shared" si="1533"/>
        <v>VTES -M.O CONCES. -BODY</v>
      </c>
      <c r="AL768" s="794">
        <f t="array" ref="AL768">IFERROR(INDEX(G768:R768,1,MATCH(Parametres!$B$3,G$1:R$1,0)-1)*IF(OR(F768="L",F768="S",F768="I"),-1,1),"")</f>
        <v>-92193.01</v>
      </c>
      <c r="AM768" s="794">
        <f t="shared" si="4"/>
        <v>-15228.61</v>
      </c>
      <c r="AN768" s="794">
        <f t="array" ref="AN768">INDEX(G768:R768,1,MATCH(Parametres!$B$3,G$1:R$1,0))*IF(OR(F768="L",F768="S",F768="I"),-1,1)</f>
        <v>-107421.62</v>
      </c>
      <c r="AO768" s="853" t="str">
        <f>+VLOOKUP($AJ768,Data_Validation!$A:$D,1,0)</f>
        <v>G47105</v>
      </c>
      <c r="AP768" s="853" t="str">
        <f>+VLOOKUP($AJ768,Data_Validation!$A:$D,3,0)</f>
        <v>Carrosserie</v>
      </c>
      <c r="AQ768" s="853" t="str">
        <f>+VLOOKUP($AJ768,Data_Validation!$A:$D,4,0)</f>
        <v>Carrosserie Concessions</v>
      </c>
      <c r="AR768" s="853" t="s">
        <v>728</v>
      </c>
      <c r="AS768" s="853" t="str">
        <f>+VLOOKUP($AJ768,Data_Validation!$A:$E,5,0)</f>
        <v>Oui</v>
      </c>
      <c r="AT768" s="794" t="str">
        <f t="shared" ref="AT768:AU768" si="1534">C768</f>
        <v>G47105</v>
      </c>
      <c r="AU768" s="854" t="str">
        <f t="shared" si="1534"/>
        <v>VTES -M.O CONCES. -BODY</v>
      </c>
      <c r="AV768" s="794">
        <f t="array" ref="AV768">IFERROR(INDEX(V768:AG768,1,MATCH(Parametres!$B$3,V$1:AG$1,0)-1)*IF(OR(C768="L",C768="S",C768="I"),-1,1),"")</f>
        <v>77</v>
      </c>
      <c r="AW768" s="794">
        <f t="shared" si="6"/>
        <v>13</v>
      </c>
      <c r="AX768" s="794">
        <f t="array" ref="AX768">INDEX(V768:AG768,1,MATCH(Parametres!$B$3,V$1:AG$1,0))*IF(OR(C768="L",C768="S",C768="I"),-1,1)</f>
        <v>90</v>
      </c>
      <c r="AY768" s="853" t="s">
        <v>772</v>
      </c>
      <c r="AZ768" s="853" t="str">
        <f>+VLOOKUP($AJ768,Data_Validation!$A:$E,5,0)</f>
        <v>Oui</v>
      </c>
    </row>
    <row r="769" ht="15.0" customHeight="1">
      <c r="A769" s="849" t="s">
        <v>1239</v>
      </c>
      <c r="B769" s="849">
        <v>2026.0</v>
      </c>
      <c r="C769" s="849" t="s">
        <v>1127</v>
      </c>
      <c r="D769" s="849" t="s">
        <v>2762</v>
      </c>
      <c r="E769" s="849" t="s">
        <v>2701</v>
      </c>
      <c r="F769" s="849" t="s">
        <v>2426</v>
      </c>
      <c r="G769" s="849">
        <v>0.0</v>
      </c>
      <c r="H769" s="849">
        <v>0.0</v>
      </c>
      <c r="I769" s="849">
        <v>0.0</v>
      </c>
      <c r="J769" s="849">
        <v>0.0</v>
      </c>
      <c r="K769" s="849">
        <v>845.5</v>
      </c>
      <c r="L769" s="849">
        <v>4409.1</v>
      </c>
      <c r="M769" s="849">
        <v>7096.43</v>
      </c>
      <c r="N769" s="849">
        <v>7224.43</v>
      </c>
      <c r="O769" s="849">
        <v>8473.49</v>
      </c>
      <c r="P769" s="849">
        <v>8601.49</v>
      </c>
      <c r="Q769" s="849">
        <v>0.0</v>
      </c>
      <c r="R769" s="849">
        <v>0.0</v>
      </c>
      <c r="S769" s="849">
        <v>941.5</v>
      </c>
      <c r="T769" s="849">
        <v>941.5</v>
      </c>
      <c r="U769" s="849">
        <v>0.0</v>
      </c>
      <c r="V769" s="849">
        <v>0.0</v>
      </c>
      <c r="W769" s="849">
        <v>0.0</v>
      </c>
      <c r="X769" s="849">
        <v>0.0</v>
      </c>
      <c r="Y769" s="849">
        <v>0.0</v>
      </c>
      <c r="Z769" s="849">
        <v>5.0</v>
      </c>
      <c r="AA769" s="849">
        <v>24.0</v>
      </c>
      <c r="AB769" s="849">
        <v>42.0</v>
      </c>
      <c r="AC769" s="849">
        <v>43.0</v>
      </c>
      <c r="AD769" s="849">
        <v>51.0</v>
      </c>
      <c r="AE769" s="849">
        <v>52.0</v>
      </c>
      <c r="AF769" s="849">
        <v>0.0</v>
      </c>
      <c r="AG769" s="849">
        <v>0.0</v>
      </c>
      <c r="AH769" s="849">
        <v>6.0</v>
      </c>
      <c r="AI769" s="849">
        <v>6.0</v>
      </c>
      <c r="AJ769" s="794" t="str">
        <f t="shared" ref="AJ769:AK769" si="1535">C769</f>
        <v>G47110</v>
      </c>
      <c r="AK769" s="794" t="str">
        <f t="shared" si="1535"/>
        <v>VTES - M.O MEC CLT BODY</v>
      </c>
      <c r="AL769" s="794">
        <f t="array" ref="AL769">IFERROR(INDEX(G769:R769,1,MATCH(Parametres!$B$3,G$1:R$1,0)-1)*IF(OR(F769="L",F769="S",F769="I"),-1,1),"")</f>
        <v>-7224.43</v>
      </c>
      <c r="AM769" s="794">
        <f t="shared" si="4"/>
        <v>-1249.06</v>
      </c>
      <c r="AN769" s="794">
        <f t="array" ref="AN769">INDEX(G769:R769,1,MATCH(Parametres!$B$3,G$1:R$1,0))*IF(OR(F769="L",F769="S",F769="I"),-1,1)</f>
        <v>-8473.49</v>
      </c>
      <c r="AO769" s="853" t="str">
        <f>+VLOOKUP($AJ769,Data_Validation!$A:$D,1,0)</f>
        <v>G47110</v>
      </c>
      <c r="AP769" s="853" t="str">
        <f>+VLOOKUP($AJ769,Data_Validation!$A:$D,3,0)</f>
        <v>Carrosserie</v>
      </c>
      <c r="AQ769" s="853" t="str">
        <f>+VLOOKUP($AJ769,Data_Validation!$A:$D,4,0)</f>
        <v>Carrosserie Clients</v>
      </c>
      <c r="AR769" s="853" t="s">
        <v>728</v>
      </c>
      <c r="AS769" s="853" t="str">
        <f>+VLOOKUP($AJ769,Data_Validation!$A:$E,5,0)</f>
        <v>Oui</v>
      </c>
      <c r="AT769" s="794" t="str">
        <f t="shared" ref="AT769:AU769" si="1536">C769</f>
        <v>G47110</v>
      </c>
      <c r="AU769" s="854" t="str">
        <f t="shared" si="1536"/>
        <v>VTES - M.O MEC CLT BODY</v>
      </c>
      <c r="AV769" s="794">
        <f t="array" ref="AV769">IFERROR(INDEX(V769:AG769,1,MATCH(Parametres!$B$3,V$1:AG$1,0)-1)*IF(OR(C769="L",C769="S",C769="I"),-1,1),"")</f>
        <v>43</v>
      </c>
      <c r="AW769" s="794">
        <f t="shared" si="6"/>
        <v>8</v>
      </c>
      <c r="AX769" s="794">
        <f t="array" ref="AX769">INDEX(V769:AG769,1,MATCH(Parametres!$B$3,V$1:AG$1,0))*IF(OR(C769="L",C769="S",C769="I"),-1,1)</f>
        <v>51</v>
      </c>
      <c r="AY769" s="853" t="s">
        <v>772</v>
      </c>
      <c r="AZ769" s="853" t="str">
        <f>+VLOOKUP($AJ769,Data_Validation!$A:$E,5,0)</f>
        <v>Oui</v>
      </c>
    </row>
    <row r="770" ht="15.0" customHeight="1">
      <c r="A770" s="849" t="s">
        <v>1239</v>
      </c>
      <c r="B770" s="849">
        <v>2026.0</v>
      </c>
      <c r="C770" s="849" t="s">
        <v>1177</v>
      </c>
      <c r="D770" s="849" t="s">
        <v>2763</v>
      </c>
      <c r="E770" s="849" t="s">
        <v>2701</v>
      </c>
      <c r="F770" s="849" t="s">
        <v>2426</v>
      </c>
      <c r="G770" s="849">
        <v>0.0</v>
      </c>
      <c r="H770" s="849">
        <v>0.0</v>
      </c>
      <c r="I770" s="849">
        <v>0.0</v>
      </c>
      <c r="J770" s="849">
        <v>0.0</v>
      </c>
      <c r="K770" s="849">
        <v>386.0</v>
      </c>
      <c r="L770" s="849">
        <v>386.0</v>
      </c>
      <c r="M770" s="849">
        <v>386.0</v>
      </c>
      <c r="N770" s="849">
        <v>386.0</v>
      </c>
      <c r="O770" s="849">
        <v>386.0</v>
      </c>
      <c r="P770" s="849">
        <v>386.0</v>
      </c>
      <c r="Q770" s="849">
        <v>0.0</v>
      </c>
      <c r="R770" s="849">
        <v>0.0</v>
      </c>
      <c r="S770" s="849">
        <v>42.89</v>
      </c>
      <c r="T770" s="849">
        <v>42.89</v>
      </c>
      <c r="U770" s="849">
        <v>0.0</v>
      </c>
      <c r="V770" s="849">
        <v>0.0</v>
      </c>
      <c r="W770" s="849">
        <v>0.0</v>
      </c>
      <c r="X770" s="849">
        <v>0.0</v>
      </c>
      <c r="Y770" s="849">
        <v>0.0</v>
      </c>
      <c r="Z770" s="849">
        <v>1.0</v>
      </c>
      <c r="AA770" s="849">
        <v>1.0</v>
      </c>
      <c r="AB770" s="849">
        <v>1.0</v>
      </c>
      <c r="AC770" s="849">
        <v>1.0</v>
      </c>
      <c r="AD770" s="849">
        <v>1.0</v>
      </c>
      <c r="AE770" s="849">
        <v>1.0</v>
      </c>
      <c r="AF770" s="849">
        <v>0.0</v>
      </c>
      <c r="AG770" s="849">
        <v>0.0</v>
      </c>
      <c r="AH770" s="849">
        <v>0.0</v>
      </c>
      <c r="AI770" s="849">
        <v>0.0</v>
      </c>
      <c r="AJ770" s="794" t="str">
        <f t="shared" ref="AJ770:AK770" si="1537">C770</f>
        <v>G47115</v>
      </c>
      <c r="AK770" s="794" t="str">
        <f t="shared" si="1537"/>
        <v>VTES -M.O CONCES MEC-BODY</v>
      </c>
      <c r="AL770" s="794">
        <f t="array" ref="AL770">IFERROR(INDEX(G770:R770,1,MATCH(Parametres!$B$3,G$1:R$1,0)-1)*IF(OR(F770="L",F770="S",F770="I"),-1,1),"")</f>
        <v>-386</v>
      </c>
      <c r="AM770" s="794">
        <f t="shared" si="4"/>
        <v>0</v>
      </c>
      <c r="AN770" s="794">
        <f t="array" ref="AN770">INDEX(G770:R770,1,MATCH(Parametres!$B$3,G$1:R$1,0))*IF(OR(F770="L",F770="S",F770="I"),-1,1)</f>
        <v>-386</v>
      </c>
      <c r="AO770" s="853" t="str">
        <f>+VLOOKUP($AJ770,Data_Validation!$A:$D,1,0)</f>
        <v>G47115</v>
      </c>
      <c r="AP770" s="853" t="str">
        <f>+VLOOKUP($AJ770,Data_Validation!$A:$D,3,0)</f>
        <v>Carrosserie</v>
      </c>
      <c r="AQ770" s="853" t="str">
        <f>+VLOOKUP($AJ770,Data_Validation!$A:$D,4,0)</f>
        <v>Carrosserie Concessions</v>
      </c>
      <c r="AR770" s="853" t="s">
        <v>728</v>
      </c>
      <c r="AS770" s="853" t="str">
        <f>+VLOOKUP($AJ770,Data_Validation!$A:$E,5,0)</f>
        <v>Oui</v>
      </c>
      <c r="AT770" s="794" t="str">
        <f t="shared" ref="AT770:AU770" si="1538">C770</f>
        <v>G47115</v>
      </c>
      <c r="AU770" s="854" t="str">
        <f t="shared" si="1538"/>
        <v>VTES -M.O CONCES MEC-BODY</v>
      </c>
      <c r="AV770" s="794">
        <f t="array" ref="AV770">IFERROR(INDEX(V770:AG770,1,MATCH(Parametres!$B$3,V$1:AG$1,0)-1)*IF(OR(C770="L",C770="S",C770="I"),-1,1),"")</f>
        <v>1</v>
      </c>
      <c r="AW770" s="794">
        <f t="shared" si="6"/>
        <v>0</v>
      </c>
      <c r="AX770" s="794">
        <f t="array" ref="AX770">INDEX(V770:AG770,1,MATCH(Parametres!$B$3,V$1:AG$1,0))*IF(OR(C770="L",C770="S",C770="I"),-1,1)</f>
        <v>1</v>
      </c>
      <c r="AY770" s="853" t="s">
        <v>772</v>
      </c>
      <c r="AZ770" s="853" t="str">
        <f>+VLOOKUP($AJ770,Data_Validation!$A:$E,5,0)</f>
        <v>Oui</v>
      </c>
    </row>
    <row r="771" ht="15.0" customHeight="1">
      <c r="A771" s="849" t="s">
        <v>1239</v>
      </c>
      <c r="B771" s="849">
        <v>2026.0</v>
      </c>
      <c r="C771" s="849" t="s">
        <v>1194</v>
      </c>
      <c r="D771" s="849" t="s">
        <v>2764</v>
      </c>
      <c r="E771" s="849" t="s">
        <v>768</v>
      </c>
      <c r="F771" s="849" t="s">
        <v>2426</v>
      </c>
      <c r="G771" s="849">
        <v>0.0</v>
      </c>
      <c r="H771" s="849">
        <v>0.0</v>
      </c>
      <c r="I771" s="849">
        <v>0.0</v>
      </c>
      <c r="J771" s="849">
        <v>0.0</v>
      </c>
      <c r="K771" s="849">
        <v>0.0</v>
      </c>
      <c r="L771" s="849">
        <v>-4238.93</v>
      </c>
      <c r="M771" s="849">
        <v>-9167.43</v>
      </c>
      <c r="N771" s="849">
        <v>-13864.6</v>
      </c>
      <c r="O771" s="849">
        <v>-15846.2</v>
      </c>
      <c r="P771" s="849">
        <v>-15846.2</v>
      </c>
      <c r="Q771" s="849">
        <v>0.0</v>
      </c>
      <c r="R771" s="849">
        <v>0.0</v>
      </c>
      <c r="S771" s="849">
        <v>-1760.69</v>
      </c>
      <c r="T771" s="849">
        <v>-1760.69</v>
      </c>
      <c r="U771" s="849">
        <v>0.0</v>
      </c>
      <c r="V771" s="849">
        <v>0.0</v>
      </c>
      <c r="W771" s="849">
        <v>0.0</v>
      </c>
      <c r="X771" s="849">
        <v>0.0</v>
      </c>
      <c r="Y771" s="849">
        <v>0.0</v>
      </c>
      <c r="Z771" s="849">
        <v>0.0</v>
      </c>
      <c r="AA771" s="849">
        <v>-1.0</v>
      </c>
      <c r="AB771" s="849">
        <v>-2.0</v>
      </c>
      <c r="AC771" s="849">
        <v>-3.0</v>
      </c>
      <c r="AD771" s="849">
        <v>-4.0</v>
      </c>
      <c r="AE771" s="849">
        <v>-4.0</v>
      </c>
      <c r="AF771" s="849">
        <v>0.0</v>
      </c>
      <c r="AG771" s="849">
        <v>0.0</v>
      </c>
      <c r="AH771" s="849">
        <v>0.0</v>
      </c>
      <c r="AI771" s="849">
        <v>0.0</v>
      </c>
      <c r="AJ771" s="794" t="str">
        <f t="shared" ref="AJ771:AK771" si="1539">C771</f>
        <v>G47125</v>
      </c>
      <c r="AK771" s="794" t="str">
        <f t="shared" si="1539"/>
        <v>RISTOURNE M.O CONC.BODY</v>
      </c>
      <c r="AL771" s="794">
        <f t="array" ref="AL771">IFERROR(INDEX(G771:R771,1,MATCH(Parametres!$B$3,G$1:R$1,0)-1)*IF(OR(F771="L",F771="S",F771="I"),-1,1),"")</f>
        <v>13864.6</v>
      </c>
      <c r="AM771" s="794">
        <f t="shared" si="4"/>
        <v>1981.6</v>
      </c>
      <c r="AN771" s="794">
        <f t="array" ref="AN771">INDEX(G771:R771,1,MATCH(Parametres!$B$3,G$1:R$1,0))*IF(OR(F771="L",F771="S",F771="I"),-1,1)</f>
        <v>15846.2</v>
      </c>
      <c r="AO771" s="853" t="str">
        <f>+VLOOKUP($AJ771,Data_Validation!$A:$D,1,0)</f>
        <v>G47125</v>
      </c>
      <c r="AP771" s="853" t="str">
        <f>+VLOOKUP($AJ771,Data_Validation!$A:$D,3,0)</f>
        <v>Carrosserie</v>
      </c>
      <c r="AQ771" s="853" t="str">
        <f>+VLOOKUP($AJ771,Data_Validation!$A:$D,4,0)</f>
        <v>Carrosserie Concessions</v>
      </c>
      <c r="AR771" s="853" t="s">
        <v>728</v>
      </c>
      <c r="AS771" s="853" t="str">
        <f>+VLOOKUP($AJ771,Data_Validation!$A:$E,5,0)</f>
        <v>Oui</v>
      </c>
      <c r="AT771" s="794" t="str">
        <f t="shared" ref="AT771:AU771" si="1540">C771</f>
        <v>G47125</v>
      </c>
      <c r="AU771" s="854" t="str">
        <f t="shared" si="1540"/>
        <v>RISTOURNE M.O CONC.BODY</v>
      </c>
      <c r="AV771" s="794">
        <f t="array" ref="AV771">IFERROR(INDEX(V771:AG771,1,MATCH(Parametres!$B$3,V$1:AG$1,0)-1)*IF(OR(C771="L",C771="S",C771="I"),-1,1),"")</f>
        <v>-3</v>
      </c>
      <c r="AW771" s="794">
        <f t="shared" si="6"/>
        <v>-1</v>
      </c>
      <c r="AX771" s="794">
        <f t="array" ref="AX771">INDEX(V771:AG771,1,MATCH(Parametres!$B$3,V$1:AG$1,0))*IF(OR(C771="L",C771="S",C771="I"),-1,1)</f>
        <v>-4</v>
      </c>
      <c r="AY771" s="853" t="s">
        <v>772</v>
      </c>
      <c r="AZ771" s="853" t="str">
        <f>+VLOOKUP($AJ771,Data_Validation!$A:$E,5,0)</f>
        <v>Oui</v>
      </c>
    </row>
    <row r="772" ht="15.0" customHeight="1">
      <c r="A772" s="849" t="s">
        <v>1239</v>
      </c>
      <c r="B772" s="849">
        <v>2026.0</v>
      </c>
      <c r="C772" s="849" t="s">
        <v>1166</v>
      </c>
      <c r="D772" s="849" t="s">
        <v>2765</v>
      </c>
      <c r="E772" s="849" t="s">
        <v>2701</v>
      </c>
      <c r="F772" s="849" t="s">
        <v>2426</v>
      </c>
      <c r="G772" s="849">
        <v>176.85</v>
      </c>
      <c r="H772" s="849">
        <v>176.85</v>
      </c>
      <c r="I772" s="849">
        <v>176.85</v>
      </c>
      <c r="J772" s="849">
        <v>559.39</v>
      </c>
      <c r="K772" s="849">
        <v>559.39</v>
      </c>
      <c r="L772" s="849">
        <v>559.39</v>
      </c>
      <c r="M772" s="849">
        <v>559.39</v>
      </c>
      <c r="N772" s="849">
        <v>1598.72</v>
      </c>
      <c r="O772" s="849">
        <v>1598.72</v>
      </c>
      <c r="P772" s="849">
        <v>1941.92</v>
      </c>
      <c r="Q772" s="849">
        <v>0.0</v>
      </c>
      <c r="R772" s="849">
        <v>0.0</v>
      </c>
      <c r="S772" s="849">
        <v>177.64</v>
      </c>
      <c r="T772" s="849">
        <v>177.64</v>
      </c>
      <c r="U772" s="849">
        <v>0.0</v>
      </c>
      <c r="V772" s="849">
        <v>1.0</v>
      </c>
      <c r="W772" s="849">
        <v>1.0</v>
      </c>
      <c r="X772" s="849">
        <v>1.0</v>
      </c>
      <c r="Y772" s="849">
        <v>2.0</v>
      </c>
      <c r="Z772" s="849">
        <v>2.0</v>
      </c>
      <c r="AA772" s="849">
        <v>2.0</v>
      </c>
      <c r="AB772" s="849">
        <v>2.0</v>
      </c>
      <c r="AC772" s="849">
        <v>3.0</v>
      </c>
      <c r="AD772" s="849">
        <v>3.0</v>
      </c>
      <c r="AE772" s="849">
        <v>4.0</v>
      </c>
      <c r="AF772" s="849">
        <v>0.0</v>
      </c>
      <c r="AG772" s="849">
        <v>0.0</v>
      </c>
      <c r="AH772" s="849">
        <v>0.0</v>
      </c>
      <c r="AI772" s="849">
        <v>0.0</v>
      </c>
      <c r="AJ772" s="794" t="str">
        <f t="shared" ref="AJ772:AK772" si="1541">C772</f>
        <v>G47200</v>
      </c>
      <c r="AK772" s="794" t="str">
        <f t="shared" si="1541"/>
        <v>VTES-M.D. CARROS.GARANTIE</v>
      </c>
      <c r="AL772" s="794">
        <f t="array" ref="AL772">IFERROR(INDEX(G772:R772,1,MATCH(Parametres!$B$3,G$1:R$1,0)-1)*IF(OR(F772="L",F772="S",F772="I"),-1,1),"")</f>
        <v>-1598.72</v>
      </c>
      <c r="AM772" s="794">
        <f t="shared" si="4"/>
        <v>0</v>
      </c>
      <c r="AN772" s="794">
        <f t="array" ref="AN772">INDEX(G772:R772,1,MATCH(Parametres!$B$3,G$1:R$1,0))*IF(OR(F772="L",F772="S",F772="I"),-1,1)</f>
        <v>-1598.72</v>
      </c>
      <c r="AO772" s="853" t="str">
        <f>+VLOOKUP($AJ772,Data_Validation!$A:$D,1,0)</f>
        <v>G47200</v>
      </c>
      <c r="AP772" s="853" t="str">
        <f>+VLOOKUP($AJ772,Data_Validation!$A:$D,3,0)</f>
        <v>Carrosserie</v>
      </c>
      <c r="AQ772" s="853" t="str">
        <f>+VLOOKUP($AJ772,Data_Validation!$A:$D,4,0)</f>
        <v>Carrosserie Interne</v>
      </c>
      <c r="AR772" s="853" t="s">
        <v>728</v>
      </c>
      <c r="AS772" s="853" t="str">
        <f>+VLOOKUP($AJ772,Data_Validation!$A:$E,5,0)</f>
        <v>Oui</v>
      </c>
      <c r="AT772" s="794" t="str">
        <f t="shared" ref="AT772:AU772" si="1542">C772</f>
        <v>G47200</v>
      </c>
      <c r="AU772" s="854" t="str">
        <f t="shared" si="1542"/>
        <v>VTES-M.D. CARROS.GARANTIE</v>
      </c>
      <c r="AV772" s="794">
        <f t="array" ref="AV772">IFERROR(INDEX(V772:AG772,1,MATCH(Parametres!$B$3,V$1:AG$1,0)-1)*IF(OR(C772="L",C772="S",C772="I"),-1,1),"")</f>
        <v>3</v>
      </c>
      <c r="AW772" s="794">
        <f t="shared" si="6"/>
        <v>0</v>
      </c>
      <c r="AX772" s="794">
        <f t="array" ref="AX772">INDEX(V772:AG772,1,MATCH(Parametres!$B$3,V$1:AG$1,0))*IF(OR(C772="L",C772="S",C772="I"),-1,1)</f>
        <v>3</v>
      </c>
      <c r="AY772" s="853" t="s">
        <v>772</v>
      </c>
      <c r="AZ772" s="853" t="str">
        <f>+VLOOKUP($AJ772,Data_Validation!$A:$E,5,0)</f>
        <v>Oui</v>
      </c>
    </row>
    <row r="773" ht="15.0" customHeight="1">
      <c r="A773" s="849" t="s">
        <v>1239</v>
      </c>
      <c r="B773" s="849">
        <v>2026.0</v>
      </c>
      <c r="C773" s="849" t="s">
        <v>1145</v>
      </c>
      <c r="D773" s="849" t="s">
        <v>2766</v>
      </c>
      <c r="E773" s="849" t="s">
        <v>2701</v>
      </c>
      <c r="F773" s="849" t="s">
        <v>2426</v>
      </c>
      <c r="G773" s="849">
        <v>3884.0</v>
      </c>
      <c r="H773" s="849">
        <v>11349.2</v>
      </c>
      <c r="I773" s="849">
        <v>15516.7</v>
      </c>
      <c r="J773" s="849">
        <v>19788.2</v>
      </c>
      <c r="K773" s="849">
        <v>23844.5</v>
      </c>
      <c r="L773" s="849">
        <v>27952.25</v>
      </c>
      <c r="M773" s="849">
        <v>32587.84</v>
      </c>
      <c r="N773" s="849">
        <v>36754.84</v>
      </c>
      <c r="O773" s="849">
        <v>39247.84</v>
      </c>
      <c r="P773" s="849">
        <v>39472.84</v>
      </c>
      <c r="Q773" s="849">
        <v>0.0</v>
      </c>
      <c r="R773" s="849">
        <v>0.0</v>
      </c>
      <c r="S773" s="849">
        <v>4360.87</v>
      </c>
      <c r="T773" s="849">
        <v>4360.87</v>
      </c>
      <c r="U773" s="849">
        <v>0.0</v>
      </c>
      <c r="V773" s="849">
        <v>4.0</v>
      </c>
      <c r="W773" s="849">
        <v>15.0</v>
      </c>
      <c r="X773" s="849">
        <v>27.0</v>
      </c>
      <c r="Y773" s="849">
        <v>33.0</v>
      </c>
      <c r="Z773" s="849">
        <v>40.0</v>
      </c>
      <c r="AA773" s="849">
        <v>48.0</v>
      </c>
      <c r="AB773" s="849">
        <v>56.0</v>
      </c>
      <c r="AC773" s="849">
        <v>63.0</v>
      </c>
      <c r="AD773" s="849">
        <v>76.0</v>
      </c>
      <c r="AE773" s="849">
        <v>77.0</v>
      </c>
      <c r="AF773" s="849">
        <v>0.0</v>
      </c>
      <c r="AG773" s="849">
        <v>0.0</v>
      </c>
      <c r="AH773" s="849">
        <v>8.0</v>
      </c>
      <c r="AI773" s="849">
        <v>8.0</v>
      </c>
      <c r="AJ773" s="794" t="str">
        <f t="shared" ref="AJ773:AK773" si="1543">C773</f>
        <v>G47300</v>
      </c>
      <c r="AK773" s="794" t="str">
        <f t="shared" si="1543"/>
        <v>VTES -M.D. CARROS.INTERNE</v>
      </c>
      <c r="AL773" s="794">
        <f t="array" ref="AL773">IFERROR(INDEX(G773:R773,1,MATCH(Parametres!$B$3,G$1:R$1,0)-1)*IF(OR(F773="L",F773="S",F773="I"),-1,1),"")</f>
        <v>-36754.84</v>
      </c>
      <c r="AM773" s="794">
        <f t="shared" si="4"/>
        <v>-2493</v>
      </c>
      <c r="AN773" s="794">
        <f t="array" ref="AN773">INDEX(G773:R773,1,MATCH(Parametres!$B$3,G$1:R$1,0))*IF(OR(F773="L",F773="S",F773="I"),-1,1)</f>
        <v>-39247.84</v>
      </c>
      <c r="AO773" s="853" t="str">
        <f>+VLOOKUP($AJ773,Data_Validation!$A:$D,1,0)</f>
        <v>G47300</v>
      </c>
      <c r="AP773" s="853" t="str">
        <f>+VLOOKUP($AJ773,Data_Validation!$A:$D,3,0)</f>
        <v>Carrosserie</v>
      </c>
      <c r="AQ773" s="853" t="str">
        <f>+VLOOKUP($AJ773,Data_Validation!$A:$D,4,0)</f>
        <v>Carrosserie Interne</v>
      </c>
      <c r="AR773" s="853" t="s">
        <v>728</v>
      </c>
      <c r="AS773" s="853" t="str">
        <f>+VLOOKUP($AJ773,Data_Validation!$A:$E,5,0)</f>
        <v>Oui</v>
      </c>
      <c r="AT773" s="794" t="str">
        <f t="shared" ref="AT773:AU773" si="1544">C773</f>
        <v>G47300</v>
      </c>
      <c r="AU773" s="854" t="str">
        <f t="shared" si="1544"/>
        <v>VTES -M.D. CARROS.INTERNE</v>
      </c>
      <c r="AV773" s="794">
        <f t="array" ref="AV773">IFERROR(INDEX(V773:AG773,1,MATCH(Parametres!$B$3,V$1:AG$1,0)-1)*IF(OR(C773="L",C773="S",C773="I"),-1,1),"")</f>
        <v>63</v>
      </c>
      <c r="AW773" s="794">
        <f t="shared" si="6"/>
        <v>13</v>
      </c>
      <c r="AX773" s="794">
        <f t="array" ref="AX773">INDEX(V773:AG773,1,MATCH(Parametres!$B$3,V$1:AG$1,0))*IF(OR(C773="L",C773="S",C773="I"),-1,1)</f>
        <v>76</v>
      </c>
      <c r="AY773" s="853" t="s">
        <v>772</v>
      </c>
      <c r="AZ773" s="853" t="str">
        <f>+VLOOKUP($AJ773,Data_Validation!$A:$E,5,0)</f>
        <v>Oui</v>
      </c>
    </row>
    <row r="774" ht="15.0" customHeight="1">
      <c r="A774" s="849" t="s">
        <v>1239</v>
      </c>
      <c r="B774" s="849">
        <v>2026.0</v>
      </c>
      <c r="C774" s="849" t="s">
        <v>1148</v>
      </c>
      <c r="D774" s="849" t="s">
        <v>2767</v>
      </c>
      <c r="E774" s="849" t="s">
        <v>2701</v>
      </c>
      <c r="F774" s="849" t="s">
        <v>2426</v>
      </c>
      <c r="G774" s="849">
        <v>0.0</v>
      </c>
      <c r="H774" s="849">
        <v>0.0</v>
      </c>
      <c r="I774" s="849">
        <v>0.0</v>
      </c>
      <c r="J774" s="849">
        <v>0.0</v>
      </c>
      <c r="K774" s="849">
        <v>817.5</v>
      </c>
      <c r="L774" s="849">
        <v>1843.5</v>
      </c>
      <c r="M774" s="849">
        <v>2793.0</v>
      </c>
      <c r="N774" s="849">
        <v>3523.5</v>
      </c>
      <c r="O774" s="849">
        <v>4775.5</v>
      </c>
      <c r="P774" s="849">
        <v>4948.0</v>
      </c>
      <c r="Q774" s="849">
        <v>0.0</v>
      </c>
      <c r="R774" s="849">
        <v>0.0</v>
      </c>
      <c r="S774" s="849">
        <v>530.61</v>
      </c>
      <c r="T774" s="849">
        <v>530.61</v>
      </c>
      <c r="U774" s="849">
        <v>0.0</v>
      </c>
      <c r="V774" s="849">
        <v>0.0</v>
      </c>
      <c r="W774" s="849">
        <v>0.0</v>
      </c>
      <c r="X774" s="849">
        <v>0.0</v>
      </c>
      <c r="Y774" s="849">
        <v>0.0</v>
      </c>
      <c r="Z774" s="849">
        <v>4.0</v>
      </c>
      <c r="AA774" s="849">
        <v>10.0</v>
      </c>
      <c r="AB774" s="849">
        <v>14.0</v>
      </c>
      <c r="AC774" s="849">
        <v>17.0</v>
      </c>
      <c r="AD774" s="849">
        <v>23.0</v>
      </c>
      <c r="AE774" s="849">
        <v>24.0</v>
      </c>
      <c r="AF774" s="849">
        <v>0.0</v>
      </c>
      <c r="AG774" s="849">
        <v>0.0</v>
      </c>
      <c r="AH774" s="849">
        <v>3.0</v>
      </c>
      <c r="AI774" s="849">
        <v>3.0</v>
      </c>
      <c r="AJ774" s="794" t="str">
        <f t="shared" ref="AJ774:AK774" si="1545">C774</f>
        <v>G47303</v>
      </c>
      <c r="AK774" s="794" t="str">
        <f t="shared" si="1545"/>
        <v>VTES -M.D. PEINTURE INT</v>
      </c>
      <c r="AL774" s="794">
        <f t="array" ref="AL774">IFERROR(INDEX(G774:R774,1,MATCH(Parametres!$B$3,G$1:R$1,0)-1)*IF(OR(F774="L",F774="S",F774="I"),-1,1),"")</f>
        <v>-3523.5</v>
      </c>
      <c r="AM774" s="794">
        <f t="shared" si="4"/>
        <v>-1252</v>
      </c>
      <c r="AN774" s="794">
        <f t="array" ref="AN774">INDEX(G774:R774,1,MATCH(Parametres!$B$3,G$1:R$1,0))*IF(OR(F774="L",F774="S",F774="I"),-1,1)</f>
        <v>-4775.5</v>
      </c>
      <c r="AO774" s="853" t="str">
        <f>+VLOOKUP($AJ774,Data_Validation!$A:$D,1,0)</f>
        <v>G47303</v>
      </c>
      <c r="AP774" s="853" t="str">
        <f>+VLOOKUP($AJ774,Data_Validation!$A:$D,3,0)</f>
        <v>Carrosserie</v>
      </c>
      <c r="AQ774" s="853" t="str">
        <f>+VLOOKUP($AJ774,Data_Validation!$A:$D,4,0)</f>
        <v>Carrosserie Interne</v>
      </c>
      <c r="AR774" s="853" t="s">
        <v>728</v>
      </c>
      <c r="AS774" s="853" t="str">
        <f>+VLOOKUP($AJ774,Data_Validation!$A:$E,5,0)</f>
        <v>Oui</v>
      </c>
      <c r="AT774" s="794" t="str">
        <f t="shared" ref="AT774:AU774" si="1546">C774</f>
        <v>G47303</v>
      </c>
      <c r="AU774" s="854" t="str">
        <f t="shared" si="1546"/>
        <v>VTES -M.D. PEINTURE INT</v>
      </c>
      <c r="AV774" s="794">
        <f t="array" ref="AV774">IFERROR(INDEX(V774:AG774,1,MATCH(Parametres!$B$3,V$1:AG$1,0)-1)*IF(OR(C774="L",C774="S",C774="I"),-1,1),"")</f>
        <v>17</v>
      </c>
      <c r="AW774" s="794">
        <f t="shared" si="6"/>
        <v>6</v>
      </c>
      <c r="AX774" s="794">
        <f t="array" ref="AX774">INDEX(V774:AG774,1,MATCH(Parametres!$B$3,V$1:AG$1,0))*IF(OR(C774="L",C774="S",C774="I"),-1,1)</f>
        <v>23</v>
      </c>
      <c r="AY774" s="853" t="s">
        <v>772</v>
      </c>
      <c r="AZ774" s="853" t="str">
        <f>+VLOOKUP($AJ774,Data_Validation!$A:$E,5,0)</f>
        <v>Oui</v>
      </c>
    </row>
    <row r="775" ht="15.0" customHeight="1">
      <c r="A775" s="849" t="s">
        <v>1239</v>
      </c>
      <c r="B775" s="849">
        <v>2026.0</v>
      </c>
      <c r="C775" s="849" t="s">
        <v>1151</v>
      </c>
      <c r="D775" s="849" t="s">
        <v>2768</v>
      </c>
      <c r="E775" s="849" t="s">
        <v>2701</v>
      </c>
      <c r="F775" s="849" t="s">
        <v>2426</v>
      </c>
      <c r="G775" s="849">
        <v>0.0</v>
      </c>
      <c r="H775" s="849">
        <v>0.0</v>
      </c>
      <c r="I775" s="849">
        <v>0.0</v>
      </c>
      <c r="J775" s="849">
        <v>0.0</v>
      </c>
      <c r="K775" s="849">
        <v>0.0</v>
      </c>
      <c r="L775" s="849">
        <v>0.0</v>
      </c>
      <c r="M775" s="849">
        <v>0.0</v>
      </c>
      <c r="N775" s="849">
        <v>0.0</v>
      </c>
      <c r="O775" s="849">
        <v>792.0</v>
      </c>
      <c r="P775" s="849">
        <v>792.0</v>
      </c>
      <c r="Q775" s="849">
        <v>0.0</v>
      </c>
      <c r="R775" s="849">
        <v>0.0</v>
      </c>
      <c r="S775" s="849">
        <v>88.0</v>
      </c>
      <c r="T775" s="849">
        <v>88.0</v>
      </c>
      <c r="U775" s="849">
        <v>0.0</v>
      </c>
      <c r="V775" s="849">
        <v>0.0</v>
      </c>
      <c r="W775" s="849">
        <v>0.0</v>
      </c>
      <c r="X775" s="849">
        <v>0.0</v>
      </c>
      <c r="Y775" s="849">
        <v>0.0</v>
      </c>
      <c r="Z775" s="849">
        <v>0.0</v>
      </c>
      <c r="AA775" s="849">
        <v>0.0</v>
      </c>
      <c r="AB775" s="849">
        <v>0.0</v>
      </c>
      <c r="AC775" s="849">
        <v>0.0</v>
      </c>
      <c r="AD775" s="849">
        <v>1.0</v>
      </c>
      <c r="AE775" s="849">
        <v>1.0</v>
      </c>
      <c r="AF775" s="849">
        <v>0.0</v>
      </c>
      <c r="AG775" s="849">
        <v>0.0</v>
      </c>
      <c r="AH775" s="849">
        <v>0.0</v>
      </c>
      <c r="AI775" s="849">
        <v>0.0</v>
      </c>
      <c r="AJ775" s="794" t="str">
        <f t="shared" ref="AJ775:AK775" si="1547">C775</f>
        <v>G47313</v>
      </c>
      <c r="AK775" s="794" t="str">
        <f t="shared" si="1547"/>
        <v>VTE -M.O MEC INTERN-BODY</v>
      </c>
      <c r="AL775" s="794">
        <f t="array" ref="AL775">IFERROR(INDEX(G775:R775,1,MATCH(Parametres!$B$3,G$1:R$1,0)-1)*IF(OR(F775="L",F775="S",F775="I"),-1,1),"")</f>
        <v>0</v>
      </c>
      <c r="AM775" s="794">
        <f t="shared" si="4"/>
        <v>-792</v>
      </c>
      <c r="AN775" s="794">
        <f t="array" ref="AN775">INDEX(G775:R775,1,MATCH(Parametres!$B$3,G$1:R$1,0))*IF(OR(F775="L",F775="S",F775="I"),-1,1)</f>
        <v>-792</v>
      </c>
      <c r="AO775" s="853" t="str">
        <f>+VLOOKUP($AJ775,Data_Validation!$A:$D,1,0)</f>
        <v>G47313</v>
      </c>
      <c r="AP775" s="853" t="str">
        <f>+VLOOKUP($AJ775,Data_Validation!$A:$D,3,0)</f>
        <v>Carrosserie</v>
      </c>
      <c r="AQ775" s="853" t="str">
        <f>+VLOOKUP($AJ775,Data_Validation!$A:$D,4,0)</f>
        <v>Carrosserie Interne</v>
      </c>
      <c r="AR775" s="853" t="s">
        <v>728</v>
      </c>
      <c r="AS775" s="853" t="str">
        <f>+VLOOKUP($AJ775,Data_Validation!$A:$E,5,0)</f>
        <v>Oui</v>
      </c>
      <c r="AT775" s="794" t="str">
        <f t="shared" ref="AT775:AU775" si="1548">C775</f>
        <v>G47313</v>
      </c>
      <c r="AU775" s="854" t="str">
        <f t="shared" si="1548"/>
        <v>VTE -M.O MEC INTERN-BODY</v>
      </c>
      <c r="AV775" s="794">
        <f t="array" ref="AV775">IFERROR(INDEX(V775:AG775,1,MATCH(Parametres!$B$3,V$1:AG$1,0)-1)*IF(OR(C775="L",C775="S",C775="I"),-1,1),"")</f>
        <v>0</v>
      </c>
      <c r="AW775" s="794">
        <f t="shared" si="6"/>
        <v>1</v>
      </c>
      <c r="AX775" s="794">
        <f t="array" ref="AX775">INDEX(V775:AG775,1,MATCH(Parametres!$B$3,V$1:AG$1,0))*IF(OR(C775="L",C775="S",C775="I"),-1,1)</f>
        <v>1</v>
      </c>
      <c r="AY775" s="853" t="s">
        <v>772</v>
      </c>
      <c r="AZ775" s="853" t="str">
        <f>+VLOOKUP($AJ775,Data_Validation!$A:$E,5,0)</f>
        <v>Oui</v>
      </c>
    </row>
    <row r="776" ht="15.0" customHeight="1">
      <c r="A776" s="849" t="s">
        <v>1239</v>
      </c>
      <c r="B776" s="849">
        <v>2026.0</v>
      </c>
      <c r="C776" s="849" t="s">
        <v>2769</v>
      </c>
      <c r="D776" s="849" t="s">
        <v>2770</v>
      </c>
      <c r="E776" s="849" t="s">
        <v>768</v>
      </c>
      <c r="F776" s="849" t="s">
        <v>2426</v>
      </c>
      <c r="G776" s="849">
        <v>0.0</v>
      </c>
      <c r="H776" s="849">
        <v>0.0</v>
      </c>
      <c r="I776" s="849">
        <v>0.0</v>
      </c>
      <c r="J776" s="849">
        <v>0.0</v>
      </c>
      <c r="K776" s="849">
        <v>0.0</v>
      </c>
      <c r="L776" s="849">
        <v>0.0</v>
      </c>
      <c r="M776" s="849">
        <v>0.0</v>
      </c>
      <c r="N776" s="849">
        <v>0.0</v>
      </c>
      <c r="O776" s="849">
        <v>0.0</v>
      </c>
      <c r="P776" s="849">
        <v>0.0</v>
      </c>
      <c r="Q776" s="849">
        <v>0.0</v>
      </c>
      <c r="R776" s="849">
        <v>0.0</v>
      </c>
      <c r="S776" s="849">
        <v>0.0</v>
      </c>
      <c r="T776" s="849">
        <v>0.0</v>
      </c>
      <c r="U776" s="849">
        <v>0.0</v>
      </c>
      <c r="V776" s="849">
        <v>0.0</v>
      </c>
      <c r="W776" s="849">
        <v>0.0</v>
      </c>
      <c r="X776" s="849">
        <v>0.0</v>
      </c>
      <c r="Y776" s="849">
        <v>0.0</v>
      </c>
      <c r="Z776" s="849">
        <v>0.0</v>
      </c>
      <c r="AA776" s="849">
        <v>0.0</v>
      </c>
      <c r="AB776" s="849">
        <v>0.0</v>
      </c>
      <c r="AC776" s="849">
        <v>0.0</v>
      </c>
      <c r="AD776" s="849">
        <v>0.0</v>
      </c>
      <c r="AE776" s="849">
        <v>0.0</v>
      </c>
      <c r="AF776" s="849">
        <v>0.0</v>
      </c>
      <c r="AG776" s="849">
        <v>0.0</v>
      </c>
      <c r="AH776" s="849">
        <v>0.0</v>
      </c>
      <c r="AI776" s="849">
        <v>0.0</v>
      </c>
      <c r="AJ776" s="794" t="str">
        <f t="shared" ref="AJ776:AK776" si="1549">C776</f>
        <v>G47500</v>
      </c>
      <c r="AK776" s="794" t="str">
        <f t="shared" si="1549"/>
        <v>*TEMPS PERDU CARROSSERIE</v>
      </c>
      <c r="AL776" s="794">
        <f t="array" ref="AL776">IFERROR(INDEX(G776:R776,1,MATCH(Parametres!$B$3,G$1:R$1,0)-1)*IF(OR(F776="L",F776="S",F776="I"),-1,1),"")</f>
        <v>0</v>
      </c>
      <c r="AM776" s="794">
        <f t="shared" si="4"/>
        <v>0</v>
      </c>
      <c r="AN776" s="794">
        <f t="array" ref="AN776">INDEX(G776:R776,1,MATCH(Parametres!$B$3,G$1:R$1,0))*IF(OR(F776="L",F776="S",F776="I"),-1,1)</f>
        <v>0</v>
      </c>
      <c r="AO776" s="853" t="str">
        <f>+VLOOKUP($AJ776,Data_Validation!$A:$D,1,0)</f>
        <v>G47500</v>
      </c>
      <c r="AP776" s="853" t="str">
        <f>+VLOOKUP($AJ776,Data_Validation!$A:$D,3,0)</f>
        <v>Carrosserie</v>
      </c>
      <c r="AQ776" s="853" t="str">
        <f>+VLOOKUP($AJ776,Data_Validation!$A:$D,4,0)</f>
        <v>Ajustement M/O Carrosserie</v>
      </c>
      <c r="AR776" s="853" t="s">
        <v>728</v>
      </c>
      <c r="AS776" s="853" t="str">
        <f>+VLOOKUP($AJ776,Data_Validation!$A:$E,5,0)</f>
        <v>Oui</v>
      </c>
      <c r="AT776" s="794" t="str">
        <f t="shared" ref="AT776:AU776" si="1550">C776</f>
        <v>G47500</v>
      </c>
      <c r="AU776" s="854" t="str">
        <f t="shared" si="1550"/>
        <v>*TEMPS PERDU CARROSSERIE</v>
      </c>
      <c r="AV776" s="794">
        <f t="array" ref="AV776">IFERROR(INDEX(V776:AG776,1,MATCH(Parametres!$B$3,V$1:AG$1,0)-1)*IF(OR(C776="L",C776="S",C776="I"),-1,1),"")</f>
        <v>0</v>
      </c>
      <c r="AW776" s="794">
        <f t="shared" si="6"/>
        <v>0</v>
      </c>
      <c r="AX776" s="794">
        <f t="array" ref="AX776">INDEX(V776:AG776,1,MATCH(Parametres!$B$3,V$1:AG$1,0))*IF(OR(C776="L",C776="S",C776="I"),-1,1)</f>
        <v>0</v>
      </c>
      <c r="AY776" s="853" t="s">
        <v>772</v>
      </c>
      <c r="AZ776" s="853" t="str">
        <f>+VLOOKUP($AJ776,Data_Validation!$A:$E,5,0)</f>
        <v>Oui</v>
      </c>
    </row>
    <row r="777" ht="15.0" customHeight="1">
      <c r="A777" s="849" t="s">
        <v>1239</v>
      </c>
      <c r="B777" s="849">
        <v>2026.0</v>
      </c>
      <c r="C777" s="849" t="s">
        <v>1139</v>
      </c>
      <c r="D777" s="849" t="s">
        <v>2771</v>
      </c>
      <c r="E777" s="849" t="s">
        <v>2701</v>
      </c>
      <c r="F777" s="849" t="s">
        <v>2426</v>
      </c>
      <c r="G777" s="849">
        <v>95129.18</v>
      </c>
      <c r="H777" s="849">
        <v>187039.21</v>
      </c>
      <c r="I777" s="849">
        <v>259663.73</v>
      </c>
      <c r="J777" s="849">
        <v>303769.32</v>
      </c>
      <c r="K777" s="849">
        <v>337800.91</v>
      </c>
      <c r="L777" s="849">
        <v>389901.01</v>
      </c>
      <c r="M777" s="849">
        <v>433867.16</v>
      </c>
      <c r="N777" s="849">
        <v>475247.57</v>
      </c>
      <c r="O777" s="849">
        <v>536059.18</v>
      </c>
      <c r="P777" s="849">
        <v>553727.87</v>
      </c>
      <c r="Q777" s="849">
        <v>0.0</v>
      </c>
      <c r="R777" s="849">
        <v>0.0</v>
      </c>
      <c r="S777" s="849">
        <v>59562.13</v>
      </c>
      <c r="T777" s="849">
        <v>59562.13</v>
      </c>
      <c r="U777" s="849">
        <v>0.0</v>
      </c>
      <c r="V777" s="849">
        <v>30.0</v>
      </c>
      <c r="W777" s="849">
        <v>70.0</v>
      </c>
      <c r="X777" s="849">
        <v>108.0</v>
      </c>
      <c r="Y777" s="849">
        <v>135.0</v>
      </c>
      <c r="Z777" s="849">
        <v>157.0</v>
      </c>
      <c r="AA777" s="849">
        <v>188.0</v>
      </c>
      <c r="AB777" s="849">
        <v>213.0</v>
      </c>
      <c r="AC777" s="849">
        <v>235.0</v>
      </c>
      <c r="AD777" s="849">
        <v>273.0</v>
      </c>
      <c r="AE777" s="849">
        <v>279.0</v>
      </c>
      <c r="AF777" s="849">
        <v>0.0</v>
      </c>
      <c r="AG777" s="849">
        <v>0.0</v>
      </c>
      <c r="AH777" s="849">
        <v>30.0</v>
      </c>
      <c r="AI777" s="849">
        <v>30.0</v>
      </c>
      <c r="AJ777" s="794" t="str">
        <f t="shared" ref="AJ777:AK777" si="1551">C777</f>
        <v>G47600</v>
      </c>
      <c r="AK777" s="794" t="str">
        <f t="shared" si="1551"/>
        <v>VTES-REP.SOUS-TRAITE BODY</v>
      </c>
      <c r="AL777" s="794">
        <f t="array" ref="AL777">IFERROR(INDEX(G777:R777,1,MATCH(Parametres!$B$3,G$1:R$1,0)-1)*IF(OR(F777="L",F777="S",F777="I"),-1,1),"")</f>
        <v>-475247.57</v>
      </c>
      <c r="AM777" s="794">
        <f t="shared" si="4"/>
        <v>-60811.61</v>
      </c>
      <c r="AN777" s="794">
        <f t="array" ref="AN777">INDEX(G777:R777,1,MATCH(Parametres!$B$3,G$1:R$1,0))*IF(OR(F777="L",F777="S",F777="I"),-1,1)</f>
        <v>-536059.18</v>
      </c>
      <c r="AO777" s="853" t="str">
        <f>+VLOOKUP($AJ777,Data_Validation!$A:$D,1,0)</f>
        <v>G47600</v>
      </c>
      <c r="AP777" s="853" t="str">
        <f>+VLOOKUP($AJ777,Data_Validation!$A:$D,3,0)</f>
        <v>Carrosserie</v>
      </c>
      <c r="AQ777" s="853" t="str">
        <f>+VLOOKUP($AJ777,Data_Validation!$A:$D,4,0)</f>
        <v>Carrosserie Clients</v>
      </c>
      <c r="AR777" s="853" t="s">
        <v>728</v>
      </c>
      <c r="AS777" s="853" t="str">
        <f>+VLOOKUP($AJ777,Data_Validation!$A:$E,5,0)</f>
        <v>Oui</v>
      </c>
      <c r="AT777" s="794" t="str">
        <f t="shared" ref="AT777:AU777" si="1552">C777</f>
        <v>G47600</v>
      </c>
      <c r="AU777" s="854" t="str">
        <f t="shared" si="1552"/>
        <v>VTES-REP.SOUS-TRAITE BODY</v>
      </c>
      <c r="AV777" s="794">
        <f t="array" ref="AV777">IFERROR(INDEX(V777:AG777,1,MATCH(Parametres!$B$3,V$1:AG$1,0)-1)*IF(OR(C777="L",C777="S",C777="I"),-1,1),"")</f>
        <v>235</v>
      </c>
      <c r="AW777" s="794">
        <f t="shared" si="6"/>
        <v>38</v>
      </c>
      <c r="AX777" s="794">
        <f t="array" ref="AX777">INDEX(V777:AG777,1,MATCH(Parametres!$B$3,V$1:AG$1,0))*IF(OR(C777="L",C777="S",C777="I"),-1,1)</f>
        <v>273</v>
      </c>
      <c r="AY777" s="853" t="s">
        <v>772</v>
      </c>
      <c r="AZ777" s="853" t="str">
        <f>+VLOOKUP($AJ777,Data_Validation!$A:$E,5,0)</f>
        <v>Oui</v>
      </c>
    </row>
    <row r="778" ht="15.0" customHeight="1">
      <c r="A778" s="849" t="s">
        <v>1239</v>
      </c>
      <c r="B778" s="849">
        <v>2026.0</v>
      </c>
      <c r="C778" s="849" t="s">
        <v>1163</v>
      </c>
      <c r="D778" s="849" t="s">
        <v>2772</v>
      </c>
      <c r="E778" s="849" t="s">
        <v>2701</v>
      </c>
      <c r="F778" s="849" t="s">
        <v>2426</v>
      </c>
      <c r="G778" s="849">
        <v>0.0</v>
      </c>
      <c r="H778" s="849">
        <v>0.0</v>
      </c>
      <c r="I778" s="849">
        <v>0.0</v>
      </c>
      <c r="J778" s="849">
        <v>0.0</v>
      </c>
      <c r="K778" s="849">
        <v>0.0</v>
      </c>
      <c r="L778" s="849">
        <v>331.62</v>
      </c>
      <c r="M778" s="849">
        <v>1036.33</v>
      </c>
      <c r="N778" s="849">
        <v>1451.84</v>
      </c>
      <c r="O778" s="849">
        <v>5838.45</v>
      </c>
      <c r="P778" s="849">
        <v>6153.45</v>
      </c>
      <c r="Q778" s="849">
        <v>0.0</v>
      </c>
      <c r="R778" s="849">
        <v>0.0</v>
      </c>
      <c r="S778" s="849">
        <v>648.72</v>
      </c>
      <c r="T778" s="849">
        <v>648.72</v>
      </c>
      <c r="U778" s="849">
        <v>0.0</v>
      </c>
      <c r="V778" s="849">
        <v>0.0</v>
      </c>
      <c r="W778" s="849">
        <v>0.0</v>
      </c>
      <c r="X778" s="849">
        <v>0.0</v>
      </c>
      <c r="Y778" s="849">
        <v>0.0</v>
      </c>
      <c r="Z778" s="849">
        <v>0.0</v>
      </c>
      <c r="AA778" s="849">
        <v>3.0</v>
      </c>
      <c r="AB778" s="849">
        <v>8.0</v>
      </c>
      <c r="AC778" s="849">
        <v>10.0</v>
      </c>
      <c r="AD778" s="849">
        <v>15.0</v>
      </c>
      <c r="AE778" s="849">
        <v>16.0</v>
      </c>
      <c r="AF778" s="849">
        <v>0.0</v>
      </c>
      <c r="AG778" s="849">
        <v>0.0</v>
      </c>
      <c r="AH778" s="849">
        <v>2.0</v>
      </c>
      <c r="AI778" s="849">
        <v>2.0</v>
      </c>
      <c r="AJ778" s="794" t="str">
        <f t="shared" ref="AJ778:AK778" si="1553">C778</f>
        <v>G47603</v>
      </c>
      <c r="AK778" s="794" t="str">
        <f t="shared" si="1553"/>
        <v>VTES - S.T. INTERN-BODY</v>
      </c>
      <c r="AL778" s="794">
        <f t="array" ref="AL778">IFERROR(INDEX(G778:R778,1,MATCH(Parametres!$B$3,G$1:R$1,0)-1)*IF(OR(F778="L",F778="S",F778="I"),-1,1),"")</f>
        <v>-1451.84</v>
      </c>
      <c r="AM778" s="794">
        <f t="shared" si="4"/>
        <v>-4386.61</v>
      </c>
      <c r="AN778" s="794">
        <f t="array" ref="AN778">INDEX(G778:R778,1,MATCH(Parametres!$B$3,G$1:R$1,0))*IF(OR(F778="L",F778="S",F778="I"),-1,1)</f>
        <v>-5838.45</v>
      </c>
      <c r="AO778" s="853" t="str">
        <f>+VLOOKUP($AJ778,Data_Validation!$A:$D,1,0)</f>
        <v>G47603</v>
      </c>
      <c r="AP778" s="853" t="str">
        <f>+VLOOKUP($AJ778,Data_Validation!$A:$D,3,0)</f>
        <v>Carrosserie</v>
      </c>
      <c r="AQ778" s="853" t="str">
        <f>+VLOOKUP($AJ778,Data_Validation!$A:$D,4,0)</f>
        <v>Carrosserie Interne</v>
      </c>
      <c r="AR778" s="853" t="s">
        <v>728</v>
      </c>
      <c r="AS778" s="853" t="str">
        <f>+VLOOKUP($AJ778,Data_Validation!$A:$E,5,0)</f>
        <v>Oui</v>
      </c>
      <c r="AT778" s="794" t="str">
        <f t="shared" ref="AT778:AU778" si="1554">C778</f>
        <v>G47603</v>
      </c>
      <c r="AU778" s="854" t="str">
        <f t="shared" si="1554"/>
        <v>VTES - S.T. INTERN-BODY</v>
      </c>
      <c r="AV778" s="794">
        <f t="array" ref="AV778">IFERROR(INDEX(V778:AG778,1,MATCH(Parametres!$B$3,V$1:AG$1,0)-1)*IF(OR(C778="L",C778="S",C778="I"),-1,1),"")</f>
        <v>10</v>
      </c>
      <c r="AW778" s="794">
        <f t="shared" si="6"/>
        <v>5</v>
      </c>
      <c r="AX778" s="794">
        <f t="array" ref="AX778">INDEX(V778:AG778,1,MATCH(Parametres!$B$3,V$1:AG$1,0))*IF(OR(C778="L",C778="S",C778="I"),-1,1)</f>
        <v>15</v>
      </c>
      <c r="AY778" s="853" t="s">
        <v>772</v>
      </c>
      <c r="AZ778" s="853" t="str">
        <f>+VLOOKUP($AJ778,Data_Validation!$A:$E,5,0)</f>
        <v>Oui</v>
      </c>
    </row>
    <row r="779" ht="15.0" customHeight="1">
      <c r="A779" s="849" t="s">
        <v>1239</v>
      </c>
      <c r="B779" s="849">
        <v>2026.0</v>
      </c>
      <c r="C779" s="849" t="s">
        <v>1189</v>
      </c>
      <c r="D779" s="849" t="s">
        <v>2773</v>
      </c>
      <c r="E779" s="849" t="s">
        <v>2701</v>
      </c>
      <c r="F779" s="849" t="s">
        <v>2426</v>
      </c>
      <c r="G779" s="849">
        <v>0.0</v>
      </c>
      <c r="H779" s="849">
        <v>0.0</v>
      </c>
      <c r="I779" s="849">
        <v>0.0</v>
      </c>
      <c r="J779" s="849">
        <v>0.0</v>
      </c>
      <c r="K779" s="849">
        <v>7087.7</v>
      </c>
      <c r="L779" s="849">
        <v>7357.7</v>
      </c>
      <c r="M779" s="849">
        <v>8017.7</v>
      </c>
      <c r="N779" s="849">
        <v>8182.7</v>
      </c>
      <c r="O779" s="849">
        <v>9005.7</v>
      </c>
      <c r="P779" s="849">
        <v>9005.7</v>
      </c>
      <c r="Q779" s="849">
        <v>0.0</v>
      </c>
      <c r="R779" s="849">
        <v>0.0</v>
      </c>
      <c r="S779" s="849">
        <v>1000.63</v>
      </c>
      <c r="T779" s="849">
        <v>1000.63</v>
      </c>
      <c r="U779" s="849">
        <v>0.0</v>
      </c>
      <c r="V779" s="849">
        <v>0.0</v>
      </c>
      <c r="W779" s="849">
        <v>0.0</v>
      </c>
      <c r="X779" s="849">
        <v>0.0</v>
      </c>
      <c r="Y779" s="849">
        <v>0.0</v>
      </c>
      <c r="Z779" s="849">
        <v>2.0</v>
      </c>
      <c r="AA779" s="849">
        <v>4.0</v>
      </c>
      <c r="AB779" s="849">
        <v>6.0</v>
      </c>
      <c r="AC779" s="849">
        <v>7.0</v>
      </c>
      <c r="AD779" s="849">
        <v>10.0</v>
      </c>
      <c r="AE779" s="849">
        <v>10.0</v>
      </c>
      <c r="AF779" s="849">
        <v>0.0</v>
      </c>
      <c r="AG779" s="849">
        <v>0.0</v>
      </c>
      <c r="AH779" s="849">
        <v>1.0</v>
      </c>
      <c r="AI779" s="849">
        <v>1.0</v>
      </c>
      <c r="AJ779" s="794" t="str">
        <f t="shared" ref="AJ779:AK779" si="1555">C779</f>
        <v>G47605</v>
      </c>
      <c r="AK779" s="794" t="str">
        <f t="shared" si="1555"/>
        <v>VTES -S.T CONCES. BODY</v>
      </c>
      <c r="AL779" s="794">
        <f t="array" ref="AL779">IFERROR(INDEX(G779:R779,1,MATCH(Parametres!$B$3,G$1:R$1,0)-1)*IF(OR(F779="L",F779="S",F779="I"),-1,1),"")</f>
        <v>-8182.7</v>
      </c>
      <c r="AM779" s="794">
        <f t="shared" si="4"/>
        <v>-823</v>
      </c>
      <c r="AN779" s="794">
        <f t="array" ref="AN779">INDEX(G779:R779,1,MATCH(Parametres!$B$3,G$1:R$1,0))*IF(OR(F779="L",F779="S",F779="I"),-1,1)</f>
        <v>-9005.7</v>
      </c>
      <c r="AO779" s="853" t="str">
        <f>+VLOOKUP($AJ779,Data_Validation!$A:$D,1,0)</f>
        <v>G47605</v>
      </c>
      <c r="AP779" s="853" t="str">
        <f>+VLOOKUP($AJ779,Data_Validation!$A:$D,3,0)</f>
        <v>Carrosserie</v>
      </c>
      <c r="AQ779" s="853" t="str">
        <f>+VLOOKUP($AJ779,Data_Validation!$A:$D,4,0)</f>
        <v>Carrosserie Concessions</v>
      </c>
      <c r="AR779" s="853" t="s">
        <v>728</v>
      </c>
      <c r="AS779" s="853" t="str">
        <f>+VLOOKUP($AJ779,Data_Validation!$A:$E,5,0)</f>
        <v>Oui</v>
      </c>
      <c r="AT779" s="794" t="str">
        <f t="shared" ref="AT779:AU779" si="1556">C779</f>
        <v>G47605</v>
      </c>
      <c r="AU779" s="854" t="str">
        <f t="shared" si="1556"/>
        <v>VTES -S.T CONCES. BODY</v>
      </c>
      <c r="AV779" s="794">
        <f t="array" ref="AV779">IFERROR(INDEX(V779:AG779,1,MATCH(Parametres!$B$3,V$1:AG$1,0)-1)*IF(OR(C779="L",C779="S",C779="I"),-1,1),"")</f>
        <v>7</v>
      </c>
      <c r="AW779" s="794">
        <f t="shared" si="6"/>
        <v>3</v>
      </c>
      <c r="AX779" s="794">
        <f t="array" ref="AX779">INDEX(V779:AG779,1,MATCH(Parametres!$B$3,V$1:AG$1,0))*IF(OR(C779="L",C779="S",C779="I"),-1,1)</f>
        <v>10</v>
      </c>
      <c r="AY779" s="853" t="s">
        <v>772</v>
      </c>
      <c r="AZ779" s="853" t="str">
        <f>+VLOOKUP($AJ779,Data_Validation!$A:$E,5,0)</f>
        <v>Oui</v>
      </c>
    </row>
    <row r="780" ht="15.0" customHeight="1">
      <c r="A780" s="849" t="s">
        <v>1239</v>
      </c>
      <c r="B780" s="849">
        <v>2026.0</v>
      </c>
      <c r="C780" s="849" t="s">
        <v>1130</v>
      </c>
      <c r="D780" s="849" t="s">
        <v>2774</v>
      </c>
      <c r="E780" s="849" t="s">
        <v>2701</v>
      </c>
      <c r="F780" s="849" t="s">
        <v>2426</v>
      </c>
      <c r="G780" s="849">
        <v>0.0</v>
      </c>
      <c r="H780" s="849">
        <v>0.0</v>
      </c>
      <c r="I780" s="849">
        <v>0.0</v>
      </c>
      <c r="J780" s="849">
        <v>0.0</v>
      </c>
      <c r="K780" s="849">
        <v>0.0</v>
      </c>
      <c r="L780" s="849">
        <v>0.0</v>
      </c>
      <c r="M780" s="849">
        <v>0.0</v>
      </c>
      <c r="N780" s="849">
        <v>0.0</v>
      </c>
      <c r="O780" s="849">
        <v>0.0</v>
      </c>
      <c r="P780" s="849">
        <v>0.0</v>
      </c>
      <c r="Q780" s="849">
        <v>0.0</v>
      </c>
      <c r="R780" s="849">
        <v>0.0</v>
      </c>
      <c r="S780" s="849">
        <v>0.0</v>
      </c>
      <c r="T780" s="849">
        <v>0.0</v>
      </c>
      <c r="U780" s="849">
        <v>0.0</v>
      </c>
      <c r="V780" s="849">
        <v>0.0</v>
      </c>
      <c r="W780" s="849">
        <v>0.0</v>
      </c>
      <c r="X780" s="849">
        <v>0.0</v>
      </c>
      <c r="Y780" s="849">
        <v>0.0</v>
      </c>
      <c r="Z780" s="849">
        <v>0.0</v>
      </c>
      <c r="AA780" s="849">
        <v>0.0</v>
      </c>
      <c r="AB780" s="849">
        <v>0.0</v>
      </c>
      <c r="AC780" s="849">
        <v>0.0</v>
      </c>
      <c r="AD780" s="849">
        <v>0.0</v>
      </c>
      <c r="AE780" s="849">
        <v>0.0</v>
      </c>
      <c r="AF780" s="849">
        <v>0.0</v>
      </c>
      <c r="AG780" s="849">
        <v>0.0</v>
      </c>
      <c r="AH780" s="849">
        <v>0.0</v>
      </c>
      <c r="AI780" s="849">
        <v>0.0</v>
      </c>
      <c r="AJ780" s="794" t="str">
        <f t="shared" ref="AJ780:AK780" si="1557">C780</f>
        <v>G47610</v>
      </c>
      <c r="AK780" s="794" t="str">
        <f t="shared" si="1557"/>
        <v>VTE -PCS.S-T BODY -CLIENT</v>
      </c>
      <c r="AL780" s="794">
        <f t="array" ref="AL780">IFERROR(INDEX(G780:R780,1,MATCH(Parametres!$B$3,G$1:R$1,0)-1)*IF(OR(F780="L",F780="S",F780="I"),-1,1),"")</f>
        <v>0</v>
      </c>
      <c r="AM780" s="794">
        <f t="shared" si="4"/>
        <v>0</v>
      </c>
      <c r="AN780" s="794">
        <f t="array" ref="AN780">INDEX(G780:R780,1,MATCH(Parametres!$B$3,G$1:R$1,0))*IF(OR(F780="L",F780="S",F780="I"),-1,1)</f>
        <v>0</v>
      </c>
      <c r="AO780" s="853" t="str">
        <f>+VLOOKUP($AJ780,Data_Validation!$A:$D,1,0)</f>
        <v>G47610</v>
      </c>
      <c r="AP780" s="853" t="str">
        <f>+VLOOKUP($AJ780,Data_Validation!$A:$D,3,0)</f>
        <v>Carrosserie</v>
      </c>
      <c r="AQ780" s="853" t="str">
        <f>+VLOOKUP($AJ780,Data_Validation!$A:$D,4,0)</f>
        <v>Carrosserie Clients</v>
      </c>
      <c r="AR780" s="853" t="s">
        <v>728</v>
      </c>
      <c r="AS780" s="853" t="str">
        <f>+VLOOKUP($AJ780,Data_Validation!$A:$E,5,0)</f>
        <v>Oui</v>
      </c>
      <c r="AT780" s="794" t="str">
        <f t="shared" ref="AT780:AU780" si="1558">C780</f>
        <v>G47610</v>
      </c>
      <c r="AU780" s="854" t="str">
        <f t="shared" si="1558"/>
        <v>VTE -PCS.S-T BODY -CLIENT</v>
      </c>
      <c r="AV780" s="794">
        <f t="array" ref="AV780">IFERROR(INDEX(V780:AG780,1,MATCH(Parametres!$B$3,V$1:AG$1,0)-1)*IF(OR(C780="L",C780="S",C780="I"),-1,1),"")</f>
        <v>0</v>
      </c>
      <c r="AW780" s="794">
        <f t="shared" si="6"/>
        <v>0</v>
      </c>
      <c r="AX780" s="794">
        <f t="array" ref="AX780">INDEX(V780:AG780,1,MATCH(Parametres!$B$3,V$1:AG$1,0))*IF(OR(C780="L",C780="S",C780="I"),-1,1)</f>
        <v>0</v>
      </c>
      <c r="AY780" s="853" t="s">
        <v>772</v>
      </c>
      <c r="AZ780" s="853" t="str">
        <f>+VLOOKUP($AJ780,Data_Validation!$A:$E,5,0)</f>
        <v>Oui</v>
      </c>
    </row>
    <row r="781" ht="15.0" customHeight="1">
      <c r="A781" s="849" t="s">
        <v>1239</v>
      </c>
      <c r="B781" s="849">
        <v>2026.0</v>
      </c>
      <c r="C781" s="849" t="s">
        <v>1154</v>
      </c>
      <c r="D781" s="849" t="s">
        <v>2775</v>
      </c>
      <c r="E781" s="849" t="s">
        <v>2701</v>
      </c>
      <c r="F781" s="849" t="s">
        <v>2426</v>
      </c>
      <c r="G781" s="849">
        <v>0.0</v>
      </c>
      <c r="H781" s="849">
        <v>0.0</v>
      </c>
      <c r="I781" s="849">
        <v>0.0</v>
      </c>
      <c r="J781" s="849">
        <v>0.0</v>
      </c>
      <c r="K781" s="849">
        <v>0.0</v>
      </c>
      <c r="L781" s="849">
        <v>0.0</v>
      </c>
      <c r="M781" s="849">
        <v>0.0</v>
      </c>
      <c r="N781" s="849">
        <v>0.0</v>
      </c>
      <c r="O781" s="849">
        <v>0.0</v>
      </c>
      <c r="P781" s="849">
        <v>0.0</v>
      </c>
      <c r="Q781" s="849">
        <v>0.0</v>
      </c>
      <c r="R781" s="849">
        <v>0.0</v>
      </c>
      <c r="S781" s="849">
        <v>0.0</v>
      </c>
      <c r="T781" s="849">
        <v>0.0</v>
      </c>
      <c r="U781" s="849">
        <v>0.0</v>
      </c>
      <c r="V781" s="849">
        <v>0.0</v>
      </c>
      <c r="W781" s="849">
        <v>0.0</v>
      </c>
      <c r="X781" s="849">
        <v>0.0</v>
      </c>
      <c r="Y781" s="849">
        <v>0.0</v>
      </c>
      <c r="Z781" s="849">
        <v>0.0</v>
      </c>
      <c r="AA781" s="849">
        <v>0.0</v>
      </c>
      <c r="AB781" s="849">
        <v>0.0</v>
      </c>
      <c r="AC781" s="849">
        <v>0.0</v>
      </c>
      <c r="AD781" s="849">
        <v>0.0</v>
      </c>
      <c r="AE781" s="849">
        <v>0.0</v>
      </c>
      <c r="AF781" s="849">
        <v>0.0</v>
      </c>
      <c r="AG781" s="849">
        <v>0.0</v>
      </c>
      <c r="AH781" s="849">
        <v>0.0</v>
      </c>
      <c r="AI781" s="849">
        <v>0.0</v>
      </c>
      <c r="AJ781" s="794" t="str">
        <f t="shared" ref="AJ781:AK781" si="1559">C781</f>
        <v>G47613</v>
      </c>
      <c r="AK781" s="794" t="str">
        <f t="shared" si="1559"/>
        <v>VTE -PIECES INTERN -BODY</v>
      </c>
      <c r="AL781" s="794">
        <f t="array" ref="AL781">IFERROR(INDEX(G781:R781,1,MATCH(Parametres!$B$3,G$1:R$1,0)-1)*IF(OR(F781="L",F781="S",F781="I"),-1,1),"")</f>
        <v>0</v>
      </c>
      <c r="AM781" s="794">
        <f t="shared" si="4"/>
        <v>0</v>
      </c>
      <c r="AN781" s="794">
        <f t="array" ref="AN781">INDEX(G781:R781,1,MATCH(Parametres!$B$3,G$1:R$1,0))*IF(OR(F781="L",F781="S",F781="I"),-1,1)</f>
        <v>0</v>
      </c>
      <c r="AO781" s="853" t="str">
        <f>+VLOOKUP($AJ781,Data_Validation!$A:$D,1,0)</f>
        <v>G47613</v>
      </c>
      <c r="AP781" s="853" t="str">
        <f>+VLOOKUP($AJ781,Data_Validation!$A:$D,3,0)</f>
        <v>Carrosserie</v>
      </c>
      <c r="AQ781" s="853" t="str">
        <f>+VLOOKUP($AJ781,Data_Validation!$A:$D,4,0)</f>
        <v>Carrosserie Interne</v>
      </c>
      <c r="AR781" s="853" t="s">
        <v>728</v>
      </c>
      <c r="AS781" s="853" t="str">
        <f>+VLOOKUP($AJ781,Data_Validation!$A:$E,5,0)</f>
        <v>Oui</v>
      </c>
      <c r="AT781" s="794" t="str">
        <f t="shared" ref="AT781:AU781" si="1560">C781</f>
        <v>G47613</v>
      </c>
      <c r="AU781" s="854" t="str">
        <f t="shared" si="1560"/>
        <v>VTE -PIECES INTERN -BODY</v>
      </c>
      <c r="AV781" s="794">
        <f t="array" ref="AV781">IFERROR(INDEX(V781:AG781,1,MATCH(Parametres!$B$3,V$1:AG$1,0)-1)*IF(OR(C781="L",C781="S",C781="I"),-1,1),"")</f>
        <v>0</v>
      </c>
      <c r="AW781" s="794">
        <f t="shared" si="6"/>
        <v>0</v>
      </c>
      <c r="AX781" s="794">
        <f t="array" ref="AX781">INDEX(V781:AG781,1,MATCH(Parametres!$B$3,V$1:AG$1,0))*IF(OR(C781="L",C781="S",C781="I"),-1,1)</f>
        <v>0</v>
      </c>
      <c r="AY781" s="853" t="s">
        <v>772</v>
      </c>
      <c r="AZ781" s="853" t="str">
        <f>+VLOOKUP($AJ781,Data_Validation!$A:$E,5,0)</f>
        <v>Oui</v>
      </c>
    </row>
    <row r="782" ht="15.0" customHeight="1">
      <c r="A782" s="849" t="s">
        <v>1239</v>
      </c>
      <c r="B782" s="849">
        <v>2026.0</v>
      </c>
      <c r="C782" s="849" t="s">
        <v>1180</v>
      </c>
      <c r="D782" s="849" t="s">
        <v>2776</v>
      </c>
      <c r="E782" s="849" t="s">
        <v>2701</v>
      </c>
      <c r="F782" s="849" t="s">
        <v>2426</v>
      </c>
      <c r="G782" s="849">
        <v>0.0</v>
      </c>
      <c r="H782" s="849">
        <v>0.0</v>
      </c>
      <c r="I782" s="849">
        <v>0.0</v>
      </c>
      <c r="J782" s="849">
        <v>0.0</v>
      </c>
      <c r="K782" s="849">
        <v>0.0</v>
      </c>
      <c r="L782" s="849">
        <v>0.0</v>
      </c>
      <c r="M782" s="849">
        <v>0.0</v>
      </c>
      <c r="N782" s="849">
        <v>0.0</v>
      </c>
      <c r="O782" s="849">
        <v>0.0</v>
      </c>
      <c r="P782" s="849">
        <v>0.0</v>
      </c>
      <c r="Q782" s="849">
        <v>0.0</v>
      </c>
      <c r="R782" s="849">
        <v>0.0</v>
      </c>
      <c r="S782" s="849">
        <v>0.0</v>
      </c>
      <c r="T782" s="849">
        <v>0.0</v>
      </c>
      <c r="U782" s="849">
        <v>0.0</v>
      </c>
      <c r="V782" s="849">
        <v>0.0</v>
      </c>
      <c r="W782" s="849">
        <v>0.0</v>
      </c>
      <c r="X782" s="849">
        <v>0.0</v>
      </c>
      <c r="Y782" s="849">
        <v>0.0</v>
      </c>
      <c r="Z782" s="849">
        <v>0.0</v>
      </c>
      <c r="AA782" s="849">
        <v>0.0</v>
      </c>
      <c r="AB782" s="849">
        <v>0.0</v>
      </c>
      <c r="AC782" s="849">
        <v>0.0</v>
      </c>
      <c r="AD782" s="849">
        <v>0.0</v>
      </c>
      <c r="AE782" s="849">
        <v>0.0</v>
      </c>
      <c r="AF782" s="849">
        <v>0.0</v>
      </c>
      <c r="AG782" s="849">
        <v>0.0</v>
      </c>
      <c r="AH782" s="849">
        <v>0.0</v>
      </c>
      <c r="AI782" s="849">
        <v>0.0</v>
      </c>
      <c r="AJ782" s="794" t="str">
        <f t="shared" ref="AJ782:AK782" si="1561">C782</f>
        <v>G47615</v>
      </c>
      <c r="AK782" s="794" t="str">
        <f t="shared" si="1561"/>
        <v>VTE - S-T PCS CONCES-BOD</v>
      </c>
      <c r="AL782" s="794">
        <f t="array" ref="AL782">IFERROR(INDEX(G782:R782,1,MATCH(Parametres!$B$3,G$1:R$1,0)-1)*IF(OR(F782="L",F782="S",F782="I"),-1,1),"")</f>
        <v>0</v>
      </c>
      <c r="AM782" s="794">
        <f t="shared" si="4"/>
        <v>0</v>
      </c>
      <c r="AN782" s="794">
        <f t="array" ref="AN782">INDEX(G782:R782,1,MATCH(Parametres!$B$3,G$1:R$1,0))*IF(OR(F782="L",F782="S",F782="I"),-1,1)</f>
        <v>0</v>
      </c>
      <c r="AO782" s="853" t="str">
        <f>+VLOOKUP($AJ782,Data_Validation!$A:$D,1,0)</f>
        <v>G47615</v>
      </c>
      <c r="AP782" s="853" t="str">
        <f>+VLOOKUP($AJ782,Data_Validation!$A:$D,3,0)</f>
        <v>Carrosserie</v>
      </c>
      <c r="AQ782" s="853" t="str">
        <f>+VLOOKUP($AJ782,Data_Validation!$A:$D,4,0)</f>
        <v>Carrosserie Concessions</v>
      </c>
      <c r="AR782" s="853" t="s">
        <v>728</v>
      </c>
      <c r="AS782" s="853" t="str">
        <f>+VLOOKUP($AJ782,Data_Validation!$A:$E,5,0)</f>
        <v>Oui</v>
      </c>
      <c r="AT782" s="794" t="str">
        <f t="shared" ref="AT782:AU782" si="1562">C782</f>
        <v>G47615</v>
      </c>
      <c r="AU782" s="854" t="str">
        <f t="shared" si="1562"/>
        <v>VTE - S-T PCS CONCES-BOD</v>
      </c>
      <c r="AV782" s="794">
        <f t="array" ref="AV782">IFERROR(INDEX(V782:AG782,1,MATCH(Parametres!$B$3,V$1:AG$1,0)-1)*IF(OR(C782="L",C782="S",C782="I"),-1,1),"")</f>
        <v>0</v>
      </c>
      <c r="AW782" s="794">
        <f t="shared" si="6"/>
        <v>0</v>
      </c>
      <c r="AX782" s="794">
        <f t="array" ref="AX782">INDEX(V782:AG782,1,MATCH(Parametres!$B$3,V$1:AG$1,0))*IF(OR(C782="L",C782="S",C782="I"),-1,1)</f>
        <v>0</v>
      </c>
      <c r="AY782" s="853" t="s">
        <v>772</v>
      </c>
      <c r="AZ782" s="853" t="str">
        <f>+VLOOKUP($AJ782,Data_Validation!$A:$E,5,0)</f>
        <v>Oui</v>
      </c>
    </row>
    <row r="783" ht="15.0" customHeight="1">
      <c r="A783" s="849" t="s">
        <v>1239</v>
      </c>
      <c r="B783" s="849">
        <v>2026.0</v>
      </c>
      <c r="C783" s="849" t="s">
        <v>1142</v>
      </c>
      <c r="D783" s="849" t="s">
        <v>2777</v>
      </c>
      <c r="E783" s="849" t="s">
        <v>2701</v>
      </c>
      <c r="F783" s="849" t="s">
        <v>2426</v>
      </c>
      <c r="G783" s="849">
        <v>0.0</v>
      </c>
      <c r="H783" s="849">
        <v>0.0</v>
      </c>
      <c r="I783" s="849">
        <v>0.0</v>
      </c>
      <c r="J783" s="849">
        <v>0.0</v>
      </c>
      <c r="K783" s="849">
        <v>0.0</v>
      </c>
      <c r="L783" s="849">
        <v>1486.33</v>
      </c>
      <c r="M783" s="849">
        <v>1486.33</v>
      </c>
      <c r="N783" s="849">
        <v>1486.33</v>
      </c>
      <c r="O783" s="849">
        <v>1486.33</v>
      </c>
      <c r="P783" s="849">
        <v>1486.33</v>
      </c>
      <c r="Q783" s="849">
        <v>0.0</v>
      </c>
      <c r="R783" s="849">
        <v>0.0</v>
      </c>
      <c r="S783" s="849">
        <v>165.15</v>
      </c>
      <c r="T783" s="849">
        <v>165.15</v>
      </c>
      <c r="U783" s="849">
        <v>0.0</v>
      </c>
      <c r="V783" s="849">
        <v>0.0</v>
      </c>
      <c r="W783" s="849">
        <v>0.0</v>
      </c>
      <c r="X783" s="849">
        <v>0.0</v>
      </c>
      <c r="Y783" s="849">
        <v>0.0</v>
      </c>
      <c r="Z783" s="849">
        <v>12.0</v>
      </c>
      <c r="AA783" s="849">
        <v>18.0</v>
      </c>
      <c r="AB783" s="849">
        <v>18.0</v>
      </c>
      <c r="AC783" s="849">
        <v>18.0</v>
      </c>
      <c r="AD783" s="849">
        <v>18.0</v>
      </c>
      <c r="AE783" s="849">
        <v>18.0</v>
      </c>
      <c r="AF783" s="849">
        <v>0.0</v>
      </c>
      <c r="AG783" s="849">
        <v>0.0</v>
      </c>
      <c r="AH783" s="849">
        <v>2.0</v>
      </c>
      <c r="AI783" s="849">
        <v>2.0</v>
      </c>
      <c r="AJ783" s="794" t="str">
        <f t="shared" ref="AJ783:AK783" si="1563">C783</f>
        <v>G47620</v>
      </c>
      <c r="AK783" s="794" t="str">
        <f t="shared" si="1563"/>
        <v>VTES -LOC.COURTOIS - BODY</v>
      </c>
      <c r="AL783" s="794">
        <f t="array" ref="AL783">IFERROR(INDEX(G783:R783,1,MATCH(Parametres!$B$3,G$1:R$1,0)-1)*IF(OR(F783="L",F783="S",F783="I"),-1,1),"")</f>
        <v>-1486.33</v>
      </c>
      <c r="AM783" s="794">
        <f t="shared" si="4"/>
        <v>0</v>
      </c>
      <c r="AN783" s="794">
        <f t="array" ref="AN783">INDEX(G783:R783,1,MATCH(Parametres!$B$3,G$1:R$1,0))*IF(OR(F783="L",F783="S",F783="I"),-1,1)</f>
        <v>-1486.33</v>
      </c>
      <c r="AO783" s="853" t="str">
        <f>+VLOOKUP($AJ783,Data_Validation!$A:$D,1,0)</f>
        <v>G47620</v>
      </c>
      <c r="AP783" s="853" t="str">
        <f>+VLOOKUP($AJ783,Data_Validation!$A:$D,3,0)</f>
        <v>Carrosserie</v>
      </c>
      <c r="AQ783" s="853" t="str">
        <f>+VLOOKUP($AJ783,Data_Validation!$A:$D,4,0)</f>
        <v>Carrosserie Clients</v>
      </c>
      <c r="AR783" s="853" t="s">
        <v>728</v>
      </c>
      <c r="AS783" s="853" t="str">
        <f>+VLOOKUP($AJ783,Data_Validation!$A:$E,5,0)</f>
        <v>Oui</v>
      </c>
      <c r="AT783" s="794" t="str">
        <f t="shared" ref="AT783:AU783" si="1564">C783</f>
        <v>G47620</v>
      </c>
      <c r="AU783" s="854" t="str">
        <f t="shared" si="1564"/>
        <v>VTES -LOC.COURTOIS - BODY</v>
      </c>
      <c r="AV783" s="794">
        <f t="array" ref="AV783">IFERROR(INDEX(V783:AG783,1,MATCH(Parametres!$B$3,V$1:AG$1,0)-1)*IF(OR(C783="L",C783="S",C783="I"),-1,1),"")</f>
        <v>18</v>
      </c>
      <c r="AW783" s="794">
        <f t="shared" si="6"/>
        <v>0</v>
      </c>
      <c r="AX783" s="794">
        <f t="array" ref="AX783">INDEX(V783:AG783,1,MATCH(Parametres!$B$3,V$1:AG$1,0))*IF(OR(C783="L",C783="S",C783="I"),-1,1)</f>
        <v>18</v>
      </c>
      <c r="AY783" s="853" t="s">
        <v>772</v>
      </c>
      <c r="AZ783" s="853" t="str">
        <f>+VLOOKUP($AJ783,Data_Validation!$A:$E,5,0)</f>
        <v>Oui</v>
      </c>
    </row>
    <row r="784" ht="15.0" customHeight="1">
      <c r="A784" s="849" t="s">
        <v>1239</v>
      </c>
      <c r="B784" s="849">
        <v>2026.0</v>
      </c>
      <c r="C784" s="849" t="s">
        <v>1168</v>
      </c>
      <c r="D784" s="849" t="s">
        <v>2778</v>
      </c>
      <c r="E784" s="849" t="s">
        <v>2701</v>
      </c>
      <c r="F784" s="849" t="s">
        <v>2426</v>
      </c>
      <c r="G784" s="849">
        <v>0.0</v>
      </c>
      <c r="H784" s="849">
        <v>0.0</v>
      </c>
      <c r="I784" s="849">
        <v>0.0</v>
      </c>
      <c r="J784" s="849">
        <v>0.0</v>
      </c>
      <c r="K784" s="849">
        <v>0.0</v>
      </c>
      <c r="L784" s="849">
        <v>0.0</v>
      </c>
      <c r="M784" s="849">
        <v>0.0</v>
      </c>
      <c r="N784" s="849">
        <v>0.0</v>
      </c>
      <c r="O784" s="849">
        <v>0.0</v>
      </c>
      <c r="P784" s="849">
        <v>0.0</v>
      </c>
      <c r="Q784" s="849">
        <v>0.0</v>
      </c>
      <c r="R784" s="849">
        <v>0.0</v>
      </c>
      <c r="S784" s="849">
        <v>0.0</v>
      </c>
      <c r="T784" s="849">
        <v>0.0</v>
      </c>
      <c r="U784" s="849">
        <v>0.0</v>
      </c>
      <c r="V784" s="849">
        <v>0.0</v>
      </c>
      <c r="W784" s="849">
        <v>0.0</v>
      </c>
      <c r="X784" s="849">
        <v>0.0</v>
      </c>
      <c r="Y784" s="849">
        <v>0.0</v>
      </c>
      <c r="Z784" s="849">
        <v>0.0</v>
      </c>
      <c r="AA784" s="849">
        <v>0.0</v>
      </c>
      <c r="AB784" s="849">
        <v>0.0</v>
      </c>
      <c r="AC784" s="849">
        <v>0.0</v>
      </c>
      <c r="AD784" s="849">
        <v>0.0</v>
      </c>
      <c r="AE784" s="849">
        <v>0.0</v>
      </c>
      <c r="AF784" s="849">
        <v>0.0</v>
      </c>
      <c r="AG784" s="849">
        <v>0.0</v>
      </c>
      <c r="AH784" s="849">
        <v>0.0</v>
      </c>
      <c r="AI784" s="849">
        <v>0.0</v>
      </c>
      <c r="AJ784" s="794" t="str">
        <f t="shared" ref="AJ784:AK784" si="1565">C784</f>
        <v>G47623</v>
      </c>
      <c r="AK784" s="794" t="str">
        <f t="shared" si="1565"/>
        <v>VTE -LOC COURT INT-BODY</v>
      </c>
      <c r="AL784" s="794">
        <f t="array" ref="AL784">IFERROR(INDEX(G784:R784,1,MATCH(Parametres!$B$3,G$1:R$1,0)-1)*IF(OR(F784="L",F784="S",F784="I"),-1,1),"")</f>
        <v>0</v>
      </c>
      <c r="AM784" s="794">
        <f t="shared" si="4"/>
        <v>0</v>
      </c>
      <c r="AN784" s="794">
        <f t="array" ref="AN784">INDEX(G784:R784,1,MATCH(Parametres!$B$3,G$1:R$1,0))*IF(OR(F784="L",F784="S",F784="I"),-1,1)</f>
        <v>0</v>
      </c>
      <c r="AO784" s="853" t="str">
        <f>+VLOOKUP($AJ784,Data_Validation!$A:$D,1,0)</f>
        <v>G47623</v>
      </c>
      <c r="AP784" s="853" t="str">
        <f>+VLOOKUP($AJ784,Data_Validation!$A:$D,3,0)</f>
        <v/>
      </c>
      <c r="AQ784" s="853" t="str">
        <f>+VLOOKUP($AJ784,Data_Validation!$A:$D,4,0)</f>
        <v/>
      </c>
      <c r="AR784" s="853" t="s">
        <v>728</v>
      </c>
      <c r="AS784" s="853" t="str">
        <f>+VLOOKUP($AJ784,Data_Validation!$A:$E,5,0)</f>
        <v/>
      </c>
      <c r="AT784" s="794" t="str">
        <f t="shared" ref="AT784:AU784" si="1566">C784</f>
        <v>G47623</v>
      </c>
      <c r="AU784" s="854" t="str">
        <f t="shared" si="1566"/>
        <v>VTE -LOC COURT INT-BODY</v>
      </c>
      <c r="AV784" s="794">
        <f t="array" ref="AV784">IFERROR(INDEX(V784:AG784,1,MATCH(Parametres!$B$3,V$1:AG$1,0)-1)*IF(OR(C784="L",C784="S",C784="I"),-1,1),"")</f>
        <v>0</v>
      </c>
      <c r="AW784" s="794">
        <f t="shared" si="6"/>
        <v>0</v>
      </c>
      <c r="AX784" s="794">
        <f t="array" ref="AX784">INDEX(V784:AG784,1,MATCH(Parametres!$B$3,V$1:AG$1,0))*IF(OR(C784="L",C784="S",C784="I"),-1,1)</f>
        <v>0</v>
      </c>
      <c r="AY784" s="853" t="s">
        <v>772</v>
      </c>
      <c r="AZ784" s="853" t="str">
        <f>+VLOOKUP($AJ784,Data_Validation!$A:$E,5,0)</f>
        <v/>
      </c>
    </row>
    <row r="785" ht="15.0" customHeight="1">
      <c r="A785" s="849" t="s">
        <v>1239</v>
      </c>
      <c r="B785" s="849">
        <v>2026.0</v>
      </c>
      <c r="C785" s="849" t="s">
        <v>1191</v>
      </c>
      <c r="D785" s="849" t="s">
        <v>2779</v>
      </c>
      <c r="E785" s="849" t="s">
        <v>2701</v>
      </c>
      <c r="F785" s="849" t="s">
        <v>2426</v>
      </c>
      <c r="G785" s="849">
        <v>0.0</v>
      </c>
      <c r="H785" s="849">
        <v>0.0</v>
      </c>
      <c r="I785" s="849">
        <v>0.0</v>
      </c>
      <c r="J785" s="849">
        <v>0.0</v>
      </c>
      <c r="K785" s="849">
        <v>0.0</v>
      </c>
      <c r="L785" s="849">
        <v>0.0</v>
      </c>
      <c r="M785" s="849">
        <v>0.0</v>
      </c>
      <c r="N785" s="849">
        <v>0.0</v>
      </c>
      <c r="O785" s="849">
        <v>0.0</v>
      </c>
      <c r="P785" s="849">
        <v>0.0</v>
      </c>
      <c r="Q785" s="849">
        <v>0.0</v>
      </c>
      <c r="R785" s="849">
        <v>0.0</v>
      </c>
      <c r="S785" s="849">
        <v>0.0</v>
      </c>
      <c r="T785" s="849">
        <v>0.0</v>
      </c>
      <c r="U785" s="849">
        <v>0.0</v>
      </c>
      <c r="V785" s="849">
        <v>0.0</v>
      </c>
      <c r="W785" s="849">
        <v>0.0</v>
      </c>
      <c r="X785" s="849">
        <v>0.0</v>
      </c>
      <c r="Y785" s="849">
        <v>0.0</v>
      </c>
      <c r="Z785" s="849">
        <v>0.0</v>
      </c>
      <c r="AA785" s="849">
        <v>0.0</v>
      </c>
      <c r="AB785" s="849">
        <v>0.0</v>
      </c>
      <c r="AC785" s="849">
        <v>0.0</v>
      </c>
      <c r="AD785" s="849">
        <v>0.0</v>
      </c>
      <c r="AE785" s="849">
        <v>0.0</v>
      </c>
      <c r="AF785" s="849">
        <v>0.0</v>
      </c>
      <c r="AG785" s="849">
        <v>0.0</v>
      </c>
      <c r="AH785" s="849">
        <v>0.0</v>
      </c>
      <c r="AI785" s="849">
        <v>0.0</v>
      </c>
      <c r="AJ785" s="794" t="str">
        <f t="shared" ref="AJ785:AK785" si="1567">C785</f>
        <v>G47625</v>
      </c>
      <c r="AK785" s="794" t="str">
        <f t="shared" si="1567"/>
        <v>VTE - LOC COURT CONCES B</v>
      </c>
      <c r="AL785" s="794">
        <f t="array" ref="AL785">IFERROR(INDEX(G785:R785,1,MATCH(Parametres!$B$3,G$1:R$1,0)-1)*IF(OR(F785="L",F785="S",F785="I"),-1,1),"")</f>
        <v>0</v>
      </c>
      <c r="AM785" s="794">
        <f t="shared" si="4"/>
        <v>0</v>
      </c>
      <c r="AN785" s="794">
        <f t="array" ref="AN785">INDEX(G785:R785,1,MATCH(Parametres!$B$3,G$1:R$1,0))*IF(OR(F785="L",F785="S",F785="I"),-1,1)</f>
        <v>0</v>
      </c>
      <c r="AO785" s="853" t="str">
        <f>+VLOOKUP($AJ785,Data_Validation!$A:$D,1,0)</f>
        <v>G47625</v>
      </c>
      <c r="AP785" s="853" t="str">
        <f>+VLOOKUP($AJ785,Data_Validation!$A:$D,3,0)</f>
        <v/>
      </c>
      <c r="AQ785" s="853" t="str">
        <f>+VLOOKUP($AJ785,Data_Validation!$A:$D,4,0)</f>
        <v/>
      </c>
      <c r="AR785" s="853" t="s">
        <v>728</v>
      </c>
      <c r="AS785" s="853" t="str">
        <f>+VLOOKUP($AJ785,Data_Validation!$A:$E,5,0)</f>
        <v/>
      </c>
      <c r="AT785" s="794" t="str">
        <f t="shared" ref="AT785:AU785" si="1568">C785</f>
        <v>G47625</v>
      </c>
      <c r="AU785" s="854" t="str">
        <f t="shared" si="1568"/>
        <v>VTE - LOC COURT CONCES B</v>
      </c>
      <c r="AV785" s="794">
        <f t="array" ref="AV785">IFERROR(INDEX(V785:AG785,1,MATCH(Parametres!$B$3,V$1:AG$1,0)-1)*IF(OR(C785="L",C785="S",C785="I"),-1,1),"")</f>
        <v>0</v>
      </c>
      <c r="AW785" s="794">
        <f t="shared" si="6"/>
        <v>0</v>
      </c>
      <c r="AX785" s="794">
        <f t="array" ref="AX785">INDEX(V785:AG785,1,MATCH(Parametres!$B$3,V$1:AG$1,0))*IF(OR(C785="L",C785="S",C785="I"),-1,1)</f>
        <v>0</v>
      </c>
      <c r="AY785" s="853" t="s">
        <v>772</v>
      </c>
      <c r="AZ785" s="853" t="str">
        <f>+VLOOKUP($AJ785,Data_Validation!$A:$E,5,0)</f>
        <v/>
      </c>
    </row>
    <row r="786" ht="15.0" customHeight="1">
      <c r="A786" s="849" t="s">
        <v>1239</v>
      </c>
      <c r="B786" s="849">
        <v>2026.0</v>
      </c>
      <c r="C786" s="849" t="s">
        <v>2780</v>
      </c>
      <c r="D786" s="849" t="s">
        <v>2781</v>
      </c>
      <c r="E786" s="849" t="s">
        <v>2701</v>
      </c>
      <c r="F786" s="849" t="s">
        <v>2426</v>
      </c>
      <c r="G786" s="849">
        <v>0.0</v>
      </c>
      <c r="H786" s="849">
        <v>0.0</v>
      </c>
      <c r="I786" s="849">
        <v>0.0</v>
      </c>
      <c r="J786" s="849">
        <v>0.0</v>
      </c>
      <c r="K786" s="849">
        <v>100.64</v>
      </c>
      <c r="L786" s="849">
        <v>100.64</v>
      </c>
      <c r="M786" s="849">
        <v>100.64</v>
      </c>
      <c r="N786" s="849">
        <v>100.64</v>
      </c>
      <c r="O786" s="849">
        <v>100.64</v>
      </c>
      <c r="P786" s="849">
        <v>100.64</v>
      </c>
      <c r="Q786" s="849">
        <v>0.0</v>
      </c>
      <c r="R786" s="849">
        <v>0.0</v>
      </c>
      <c r="S786" s="849">
        <v>11.18</v>
      </c>
      <c r="T786" s="849">
        <v>11.18</v>
      </c>
      <c r="U786" s="849">
        <v>0.0</v>
      </c>
      <c r="V786" s="849">
        <v>0.0</v>
      </c>
      <c r="W786" s="849">
        <v>0.0</v>
      </c>
      <c r="X786" s="849">
        <v>0.0</v>
      </c>
      <c r="Y786" s="849">
        <v>0.0</v>
      </c>
      <c r="Z786" s="849">
        <v>1.0</v>
      </c>
      <c r="AA786" s="849">
        <v>1.0</v>
      </c>
      <c r="AB786" s="849">
        <v>1.0</v>
      </c>
      <c r="AC786" s="849">
        <v>1.0</v>
      </c>
      <c r="AD786" s="849">
        <v>1.0</v>
      </c>
      <c r="AE786" s="849">
        <v>1.0</v>
      </c>
      <c r="AF786" s="849">
        <v>0.0</v>
      </c>
      <c r="AG786" s="849">
        <v>0.0</v>
      </c>
      <c r="AH786" s="849">
        <v>0.0</v>
      </c>
      <c r="AI786" s="849">
        <v>0.0</v>
      </c>
      <c r="AJ786" s="794" t="str">
        <f t="shared" ref="AJ786:AK786" si="1569">C786</f>
        <v>G47700</v>
      </c>
      <c r="AK786" s="794" t="str">
        <f t="shared" si="1569"/>
        <v>VENTE P&amp;A CLIENTS CAROSSE</v>
      </c>
      <c r="AL786" s="794">
        <f t="array" ref="AL786">IFERROR(INDEX(G786:R786,1,MATCH(Parametres!$B$3,G$1:R$1,0)-1)*IF(OR(F786="L",F786="S",F786="I"),-1,1),"")</f>
        <v>-100.64</v>
      </c>
      <c r="AM786" s="794">
        <f t="shared" si="4"/>
        <v>0</v>
      </c>
      <c r="AN786" s="794">
        <f t="array" ref="AN786">INDEX(G786:R786,1,MATCH(Parametres!$B$3,G$1:R$1,0))*IF(OR(F786="L",F786="S",F786="I"),-1,1)</f>
        <v>-100.64</v>
      </c>
      <c r="AO786" s="853" t="str">
        <f>+VLOOKUP($AJ786,Data_Validation!$A:$D,1,0)</f>
        <v>G47700</v>
      </c>
      <c r="AP786" s="853" t="str">
        <f>+VLOOKUP($AJ786,Data_Validation!$A:$D,3,0)</f>
        <v>Pièces</v>
      </c>
      <c r="AQ786" s="853" t="str">
        <f>+VLOOKUP($AJ786,Data_Validation!$A:$D,4,0)</f>
        <v>Pièces Ro Carrosserie</v>
      </c>
      <c r="AR786" s="853" t="s">
        <v>728</v>
      </c>
      <c r="AS786" s="853" t="str">
        <f>+VLOOKUP($AJ786,Data_Validation!$A:$E,5,0)</f>
        <v>Oui</v>
      </c>
      <c r="AT786" s="794" t="str">
        <f t="shared" ref="AT786:AU786" si="1570">C786</f>
        <v>G47700</v>
      </c>
      <c r="AU786" s="854" t="str">
        <f t="shared" si="1570"/>
        <v>VENTE P&amp;A CLIENTS CAROSSE</v>
      </c>
      <c r="AV786" s="794">
        <f t="array" ref="AV786">IFERROR(INDEX(V786:AG786,1,MATCH(Parametres!$B$3,V$1:AG$1,0)-1)*IF(OR(C786="L",C786="S",C786="I"),-1,1),"")</f>
        <v>1</v>
      </c>
      <c r="AW786" s="794">
        <f t="shared" si="6"/>
        <v>0</v>
      </c>
      <c r="AX786" s="794">
        <f t="array" ref="AX786">INDEX(V786:AG786,1,MATCH(Parametres!$B$3,V$1:AG$1,0))*IF(OR(C786="L",C786="S",C786="I"),-1,1)</f>
        <v>1</v>
      </c>
      <c r="AY786" s="853" t="s">
        <v>772</v>
      </c>
      <c r="AZ786" s="853" t="str">
        <f>+VLOOKUP($AJ786,Data_Validation!$A:$E,5,0)</f>
        <v>Oui</v>
      </c>
    </row>
    <row r="787" ht="15.0" customHeight="1">
      <c r="A787" s="849" t="s">
        <v>1239</v>
      </c>
      <c r="B787" s="849">
        <v>2026.0</v>
      </c>
      <c r="C787" s="849" t="s">
        <v>2782</v>
      </c>
      <c r="D787" s="849" t="s">
        <v>2783</v>
      </c>
      <c r="E787" s="849" t="s">
        <v>2701</v>
      </c>
      <c r="F787" s="849" t="s">
        <v>2426</v>
      </c>
      <c r="G787" s="849">
        <v>0.0</v>
      </c>
      <c r="H787" s="849">
        <v>0.0</v>
      </c>
      <c r="I787" s="849">
        <v>0.0</v>
      </c>
      <c r="J787" s="849">
        <v>0.0</v>
      </c>
      <c r="K787" s="849">
        <v>0.0</v>
      </c>
      <c r="L787" s="849">
        <v>0.0</v>
      </c>
      <c r="M787" s="849">
        <v>0.0</v>
      </c>
      <c r="N787" s="849">
        <v>0.0</v>
      </c>
      <c r="O787" s="849">
        <v>0.0</v>
      </c>
      <c r="P787" s="849">
        <v>0.0</v>
      </c>
      <c r="Q787" s="849">
        <v>0.0</v>
      </c>
      <c r="R787" s="849">
        <v>0.0</v>
      </c>
      <c r="S787" s="849">
        <v>0.0</v>
      </c>
      <c r="T787" s="849">
        <v>0.0</v>
      </c>
      <c r="U787" s="849">
        <v>0.0</v>
      </c>
      <c r="V787" s="849">
        <v>0.0</v>
      </c>
      <c r="W787" s="849">
        <v>0.0</v>
      </c>
      <c r="X787" s="849">
        <v>0.0</v>
      </c>
      <c r="Y787" s="849">
        <v>0.0</v>
      </c>
      <c r="Z787" s="849">
        <v>0.0</v>
      </c>
      <c r="AA787" s="849">
        <v>0.0</v>
      </c>
      <c r="AB787" s="849">
        <v>0.0</v>
      </c>
      <c r="AC787" s="849">
        <v>0.0</v>
      </c>
      <c r="AD787" s="849">
        <v>0.0</v>
      </c>
      <c r="AE787" s="849">
        <v>0.0</v>
      </c>
      <c r="AF787" s="849">
        <v>0.0</v>
      </c>
      <c r="AG787" s="849">
        <v>0.0</v>
      </c>
      <c r="AH787" s="849">
        <v>0.0</v>
      </c>
      <c r="AI787" s="849">
        <v>0.0</v>
      </c>
      <c r="AJ787" s="794" t="str">
        <f t="shared" ref="AJ787:AK787" si="1571">C787</f>
        <v>G47800</v>
      </c>
      <c r="AK787" s="794" t="str">
        <f t="shared" si="1571"/>
        <v>VTE -PCE CARR.CLIENT.CAM.</v>
      </c>
      <c r="AL787" s="794">
        <f t="array" ref="AL787">IFERROR(INDEX(G787:R787,1,MATCH(Parametres!$B$3,G$1:R$1,0)-1)*IF(OR(F787="L",F787="S",F787="I"),-1,1),"")</f>
        <v>0</v>
      </c>
      <c r="AM787" s="794">
        <f t="shared" si="4"/>
        <v>0</v>
      </c>
      <c r="AN787" s="794">
        <f t="array" ref="AN787">INDEX(G787:R787,1,MATCH(Parametres!$B$3,G$1:R$1,0))*IF(OR(F787="L",F787="S",F787="I"),-1,1)</f>
        <v>0</v>
      </c>
      <c r="AO787" s="853" t="str">
        <f>+VLOOKUP($AJ787,Data_Validation!$A:$D,1,0)</f>
        <v>G47800</v>
      </c>
      <c r="AP787" s="853" t="str">
        <f>+VLOOKUP($AJ787,Data_Validation!$A:$D,3,0)</f>
        <v/>
      </c>
      <c r="AQ787" s="853" t="str">
        <f>+VLOOKUP($AJ787,Data_Validation!$A:$D,4,0)</f>
        <v/>
      </c>
      <c r="AR787" s="853" t="s">
        <v>728</v>
      </c>
      <c r="AS787" s="853" t="str">
        <f>+VLOOKUP($AJ787,Data_Validation!$A:$E,5,0)</f>
        <v/>
      </c>
      <c r="AT787" s="794" t="str">
        <f t="shared" ref="AT787:AU787" si="1572">C787</f>
        <v>G47800</v>
      </c>
      <c r="AU787" s="854" t="str">
        <f t="shared" si="1572"/>
        <v>VTE -PCE CARR.CLIENT.CAM.</v>
      </c>
      <c r="AV787" s="794">
        <f t="array" ref="AV787">IFERROR(INDEX(V787:AG787,1,MATCH(Parametres!$B$3,V$1:AG$1,0)-1)*IF(OR(C787="L",C787="S",C787="I"),-1,1),"")</f>
        <v>0</v>
      </c>
      <c r="AW787" s="794">
        <f t="shared" si="6"/>
        <v>0</v>
      </c>
      <c r="AX787" s="794">
        <f t="array" ref="AX787">INDEX(V787:AG787,1,MATCH(Parametres!$B$3,V$1:AG$1,0))*IF(OR(C787="L",C787="S",C787="I"),-1,1)</f>
        <v>0</v>
      </c>
      <c r="AY787" s="853" t="s">
        <v>772</v>
      </c>
      <c r="AZ787" s="853" t="str">
        <f>+VLOOKUP($AJ787,Data_Validation!$A:$E,5,0)</f>
        <v/>
      </c>
    </row>
    <row r="788" ht="15.0" customHeight="1">
      <c r="A788" s="849" t="s">
        <v>1239</v>
      </c>
      <c r="B788" s="849">
        <v>2026.0</v>
      </c>
      <c r="C788" s="849" t="s">
        <v>2784</v>
      </c>
      <c r="D788" s="849" t="s">
        <v>2785</v>
      </c>
      <c r="E788" s="849" t="s">
        <v>2701</v>
      </c>
      <c r="F788" s="849" t="s">
        <v>2426</v>
      </c>
      <c r="G788" s="849">
        <v>0.0</v>
      </c>
      <c r="H788" s="849">
        <v>0.0</v>
      </c>
      <c r="I788" s="849">
        <v>0.0</v>
      </c>
      <c r="J788" s="849">
        <v>0.0</v>
      </c>
      <c r="K788" s="849">
        <v>0.0</v>
      </c>
      <c r="L788" s="849">
        <v>0.0</v>
      </c>
      <c r="M788" s="849">
        <v>0.0</v>
      </c>
      <c r="N788" s="849">
        <v>0.0</v>
      </c>
      <c r="O788" s="849">
        <v>0.0</v>
      </c>
      <c r="P788" s="849">
        <v>0.0</v>
      </c>
      <c r="Q788" s="849">
        <v>0.0</v>
      </c>
      <c r="R788" s="849">
        <v>0.0</v>
      </c>
      <c r="S788" s="849">
        <v>0.0</v>
      </c>
      <c r="T788" s="849">
        <v>0.0</v>
      </c>
      <c r="U788" s="849">
        <v>0.0</v>
      </c>
      <c r="V788" s="849">
        <v>0.0</v>
      </c>
      <c r="W788" s="849">
        <v>0.0</v>
      </c>
      <c r="X788" s="849">
        <v>0.0</v>
      </c>
      <c r="Y788" s="849">
        <v>0.0</v>
      </c>
      <c r="Z788" s="849">
        <v>0.0</v>
      </c>
      <c r="AA788" s="849">
        <v>0.0</v>
      </c>
      <c r="AB788" s="849">
        <v>0.0</v>
      </c>
      <c r="AC788" s="849">
        <v>0.0</v>
      </c>
      <c r="AD788" s="849">
        <v>0.0</v>
      </c>
      <c r="AE788" s="849">
        <v>0.0</v>
      </c>
      <c r="AF788" s="849">
        <v>0.0</v>
      </c>
      <c r="AG788" s="849">
        <v>0.0</v>
      </c>
      <c r="AH788" s="849">
        <v>0.0</v>
      </c>
      <c r="AI788" s="849">
        <v>0.0</v>
      </c>
      <c r="AJ788" s="794" t="str">
        <f t="shared" ref="AJ788:AK788" si="1573">C788</f>
        <v>G47840</v>
      </c>
      <c r="AK788" s="794" t="str">
        <f t="shared" si="1573"/>
        <v>VTES-PCE GOODW.CAM MOYEN</v>
      </c>
      <c r="AL788" s="794">
        <f t="array" ref="AL788">IFERROR(INDEX(G788:R788,1,MATCH(Parametres!$B$3,G$1:R$1,0)-1)*IF(OR(F788="L",F788="S",F788="I"),-1,1),"")</f>
        <v>0</v>
      </c>
      <c r="AM788" s="794">
        <f t="shared" si="4"/>
        <v>0</v>
      </c>
      <c r="AN788" s="794">
        <f t="array" ref="AN788">INDEX(G788:R788,1,MATCH(Parametres!$B$3,G$1:R$1,0))*IF(OR(F788="L",F788="S",F788="I"),-1,1)</f>
        <v>0</v>
      </c>
      <c r="AO788" s="853" t="str">
        <f>+VLOOKUP($AJ788,Data_Validation!$A:$D,1,0)</f>
        <v>G47840</v>
      </c>
      <c r="AP788" s="853" t="str">
        <f>+VLOOKUP($AJ788,Data_Validation!$A:$D,3,0)</f>
        <v/>
      </c>
      <c r="AQ788" s="853" t="str">
        <f>+VLOOKUP($AJ788,Data_Validation!$A:$D,4,0)</f>
        <v/>
      </c>
      <c r="AR788" s="853" t="s">
        <v>728</v>
      </c>
      <c r="AS788" s="853" t="str">
        <f>+VLOOKUP($AJ788,Data_Validation!$A:$E,5,0)</f>
        <v/>
      </c>
      <c r="AT788" s="794" t="str">
        <f t="shared" ref="AT788:AU788" si="1574">C788</f>
        <v>G47840</v>
      </c>
      <c r="AU788" s="854" t="str">
        <f t="shared" si="1574"/>
        <v>VTES-PCE GOODW.CAM MOYEN</v>
      </c>
      <c r="AV788" s="794">
        <f t="array" ref="AV788">IFERROR(INDEX(V788:AG788,1,MATCH(Parametres!$B$3,V$1:AG$1,0)-1)*IF(OR(C788="L",C788="S",C788="I"),-1,1),"")</f>
        <v>0</v>
      </c>
      <c r="AW788" s="794">
        <f t="shared" si="6"/>
        <v>0</v>
      </c>
      <c r="AX788" s="794">
        <f t="array" ref="AX788">INDEX(V788:AG788,1,MATCH(Parametres!$B$3,V$1:AG$1,0))*IF(OR(C788="L",C788="S",C788="I"),-1,1)</f>
        <v>0</v>
      </c>
      <c r="AY788" s="853" t="s">
        <v>772</v>
      </c>
      <c r="AZ788" s="853" t="str">
        <f>+VLOOKUP($AJ788,Data_Validation!$A:$E,5,0)</f>
        <v/>
      </c>
    </row>
    <row r="789" ht="15.0" customHeight="1">
      <c r="A789" s="849" t="s">
        <v>1239</v>
      </c>
      <c r="B789" s="849">
        <v>2026.0</v>
      </c>
      <c r="C789" s="849" t="s">
        <v>1133</v>
      </c>
      <c r="D789" s="849" t="s">
        <v>2786</v>
      </c>
      <c r="E789" s="849" t="s">
        <v>2701</v>
      </c>
      <c r="F789" s="849" t="s">
        <v>2426</v>
      </c>
      <c r="G789" s="849">
        <v>22035.39</v>
      </c>
      <c r="H789" s="849">
        <v>51692.06</v>
      </c>
      <c r="I789" s="849">
        <v>74713.48</v>
      </c>
      <c r="J789" s="849">
        <v>118736.54</v>
      </c>
      <c r="K789" s="849">
        <v>128979.54</v>
      </c>
      <c r="L789" s="849">
        <v>139535.45</v>
      </c>
      <c r="M789" s="849">
        <v>149579.29</v>
      </c>
      <c r="N789" s="849">
        <v>159325.34</v>
      </c>
      <c r="O789" s="849">
        <v>177630.72</v>
      </c>
      <c r="P789" s="849">
        <v>180008.25</v>
      </c>
      <c r="Q789" s="849">
        <v>0.0</v>
      </c>
      <c r="R789" s="849">
        <v>0.0</v>
      </c>
      <c r="S789" s="849">
        <v>19736.75</v>
      </c>
      <c r="T789" s="849">
        <v>19736.75</v>
      </c>
      <c r="U789" s="849">
        <v>0.0</v>
      </c>
      <c r="V789" s="849">
        <v>48.0</v>
      </c>
      <c r="W789" s="849">
        <v>106.0</v>
      </c>
      <c r="X789" s="849">
        <v>170.0</v>
      </c>
      <c r="Y789" s="849">
        <v>245.0</v>
      </c>
      <c r="Z789" s="849">
        <v>272.0</v>
      </c>
      <c r="AA789" s="849">
        <v>297.0</v>
      </c>
      <c r="AB789" s="849">
        <v>314.0</v>
      </c>
      <c r="AC789" s="849">
        <v>333.0</v>
      </c>
      <c r="AD789" s="849">
        <v>372.0</v>
      </c>
      <c r="AE789" s="849">
        <v>378.0</v>
      </c>
      <c r="AF789" s="849">
        <v>0.0</v>
      </c>
      <c r="AG789" s="849">
        <v>0.0</v>
      </c>
      <c r="AH789" s="849">
        <v>41.0</v>
      </c>
      <c r="AI789" s="849">
        <v>41.0</v>
      </c>
      <c r="AJ789" s="794" t="str">
        <f t="shared" ref="AJ789:AK789" si="1575">C789</f>
        <v>G47900</v>
      </c>
      <c r="AK789" s="794" t="str">
        <f t="shared" si="1575"/>
        <v>VTES -PEINTURE CARROSS.</v>
      </c>
      <c r="AL789" s="794">
        <f t="array" ref="AL789">IFERROR(INDEX(G789:R789,1,MATCH(Parametres!$B$3,G$1:R$1,0)-1)*IF(OR(F789="L",F789="S",F789="I"),-1,1),"")</f>
        <v>-159325.34</v>
      </c>
      <c r="AM789" s="794">
        <f t="shared" si="4"/>
        <v>-18305.38</v>
      </c>
      <c r="AN789" s="794">
        <f t="array" ref="AN789">INDEX(G789:R789,1,MATCH(Parametres!$B$3,G$1:R$1,0))*IF(OR(F789="L",F789="S",F789="I"),-1,1)</f>
        <v>-177630.72</v>
      </c>
      <c r="AO789" s="853" t="str">
        <f>+VLOOKUP($AJ789,Data_Validation!$A:$D,1,0)</f>
        <v>G47900</v>
      </c>
      <c r="AP789" s="853" t="str">
        <f>+VLOOKUP($AJ789,Data_Validation!$A:$D,3,0)</f>
        <v>Carrosserie</v>
      </c>
      <c r="AQ789" s="853" t="str">
        <f>+VLOOKUP($AJ789,Data_Validation!$A:$D,4,0)</f>
        <v>Carrosserie Clients</v>
      </c>
      <c r="AR789" s="853" t="s">
        <v>728</v>
      </c>
      <c r="AS789" s="853" t="str">
        <f>+VLOOKUP($AJ789,Data_Validation!$A:$E,5,0)</f>
        <v>Oui</v>
      </c>
      <c r="AT789" s="794" t="str">
        <f t="shared" ref="AT789:AU789" si="1576">C789</f>
        <v>G47900</v>
      </c>
      <c r="AU789" s="854" t="str">
        <f t="shared" si="1576"/>
        <v>VTES -PEINTURE CARROSS.</v>
      </c>
      <c r="AV789" s="794">
        <f t="array" ref="AV789">IFERROR(INDEX(V789:AG789,1,MATCH(Parametres!$B$3,V$1:AG$1,0)-1)*IF(OR(C789="L",C789="S",C789="I"),-1,1),"")</f>
        <v>333</v>
      </c>
      <c r="AW789" s="794">
        <f t="shared" si="6"/>
        <v>39</v>
      </c>
      <c r="AX789" s="794">
        <f t="array" ref="AX789">INDEX(V789:AG789,1,MATCH(Parametres!$B$3,V$1:AG$1,0))*IF(OR(C789="L",C789="S",C789="I"),-1,1)</f>
        <v>372</v>
      </c>
      <c r="AY789" s="853" t="s">
        <v>772</v>
      </c>
      <c r="AZ789" s="853" t="str">
        <f>+VLOOKUP($AJ789,Data_Validation!$A:$E,5,0)</f>
        <v>Oui</v>
      </c>
    </row>
    <row r="790" ht="15.0" customHeight="1">
      <c r="A790" s="849" t="s">
        <v>1239</v>
      </c>
      <c r="B790" s="849">
        <v>2026.0</v>
      </c>
      <c r="C790" s="849" t="s">
        <v>1157</v>
      </c>
      <c r="D790" s="849" t="s">
        <v>2787</v>
      </c>
      <c r="E790" s="849" t="s">
        <v>2701</v>
      </c>
      <c r="F790" s="849" t="s">
        <v>2426</v>
      </c>
      <c r="G790" s="849">
        <v>0.0</v>
      </c>
      <c r="H790" s="849">
        <v>0.0</v>
      </c>
      <c r="I790" s="849">
        <v>0.0</v>
      </c>
      <c r="J790" s="849">
        <v>0.0</v>
      </c>
      <c r="K790" s="849">
        <v>337.04</v>
      </c>
      <c r="L790" s="849">
        <v>1138.58</v>
      </c>
      <c r="M790" s="849">
        <v>1857.02</v>
      </c>
      <c r="N790" s="849">
        <v>3592.59</v>
      </c>
      <c r="O790" s="849">
        <v>4744.55</v>
      </c>
      <c r="P790" s="849">
        <v>4891.47</v>
      </c>
      <c r="Q790" s="849">
        <v>0.0</v>
      </c>
      <c r="R790" s="849">
        <v>0.0</v>
      </c>
      <c r="S790" s="849">
        <v>527.17</v>
      </c>
      <c r="T790" s="849">
        <v>527.17</v>
      </c>
      <c r="U790" s="849">
        <v>0.0</v>
      </c>
      <c r="V790" s="849">
        <v>0.0</v>
      </c>
      <c r="W790" s="849">
        <v>0.0</v>
      </c>
      <c r="X790" s="849">
        <v>0.0</v>
      </c>
      <c r="Y790" s="849">
        <v>0.0</v>
      </c>
      <c r="Z790" s="849">
        <v>2.0</v>
      </c>
      <c r="AA790" s="849">
        <v>7.0</v>
      </c>
      <c r="AB790" s="849">
        <v>11.0</v>
      </c>
      <c r="AC790" s="849">
        <v>17.0</v>
      </c>
      <c r="AD790" s="849">
        <v>26.0</v>
      </c>
      <c r="AE790" s="849">
        <v>27.0</v>
      </c>
      <c r="AF790" s="849">
        <v>0.0</v>
      </c>
      <c r="AG790" s="849">
        <v>0.0</v>
      </c>
      <c r="AH790" s="849">
        <v>3.0</v>
      </c>
      <c r="AI790" s="849">
        <v>3.0</v>
      </c>
      <c r="AJ790" s="794" t="str">
        <f t="shared" ref="AJ790:AK790" si="1577">C790</f>
        <v>G47903</v>
      </c>
      <c r="AK790" s="794" t="str">
        <f t="shared" si="1577"/>
        <v>VTES -PEINT. INTERN-BODY</v>
      </c>
      <c r="AL790" s="794">
        <f t="array" ref="AL790">IFERROR(INDEX(G790:R790,1,MATCH(Parametres!$B$3,G$1:R$1,0)-1)*IF(OR(F790="L",F790="S",F790="I"),-1,1),"")</f>
        <v>-3592.59</v>
      </c>
      <c r="AM790" s="794">
        <f t="shared" si="4"/>
        <v>-1151.96</v>
      </c>
      <c r="AN790" s="794">
        <f t="array" ref="AN790">INDEX(G790:R790,1,MATCH(Parametres!$B$3,G$1:R$1,0))*IF(OR(F790="L",F790="S",F790="I"),-1,1)</f>
        <v>-4744.55</v>
      </c>
      <c r="AO790" s="853" t="str">
        <f>+VLOOKUP($AJ790,Data_Validation!$A:$D,1,0)</f>
        <v>G47903</v>
      </c>
      <c r="AP790" s="853" t="str">
        <f>+VLOOKUP($AJ790,Data_Validation!$A:$D,3,0)</f>
        <v>Carrosserie</v>
      </c>
      <c r="AQ790" s="853" t="str">
        <f>+VLOOKUP($AJ790,Data_Validation!$A:$D,4,0)</f>
        <v>Carrosserie Interne</v>
      </c>
      <c r="AR790" s="853" t="s">
        <v>728</v>
      </c>
      <c r="AS790" s="853" t="str">
        <f>+VLOOKUP($AJ790,Data_Validation!$A:$E,5,0)</f>
        <v>Oui</v>
      </c>
      <c r="AT790" s="794" t="str">
        <f t="shared" ref="AT790:AU790" si="1578">C790</f>
        <v>G47903</v>
      </c>
      <c r="AU790" s="854" t="str">
        <f t="shared" si="1578"/>
        <v>VTES -PEINT. INTERN-BODY</v>
      </c>
      <c r="AV790" s="794">
        <f t="array" ref="AV790">IFERROR(INDEX(V790:AG790,1,MATCH(Parametres!$B$3,V$1:AG$1,0)-1)*IF(OR(C790="L",C790="S",C790="I"),-1,1),"")</f>
        <v>17</v>
      </c>
      <c r="AW790" s="794">
        <f t="shared" si="6"/>
        <v>9</v>
      </c>
      <c r="AX790" s="794">
        <f t="array" ref="AX790">INDEX(V790:AG790,1,MATCH(Parametres!$B$3,V$1:AG$1,0))*IF(OR(C790="L",C790="S",C790="I"),-1,1)</f>
        <v>26</v>
      </c>
      <c r="AY790" s="853" t="s">
        <v>772</v>
      </c>
      <c r="AZ790" s="853" t="str">
        <f>+VLOOKUP($AJ790,Data_Validation!$A:$E,5,0)</f>
        <v>Oui</v>
      </c>
    </row>
    <row r="791" ht="15.0" customHeight="1">
      <c r="A791" s="849" t="s">
        <v>1239</v>
      </c>
      <c r="B791" s="849">
        <v>2026.0</v>
      </c>
      <c r="C791" s="849" t="s">
        <v>1183</v>
      </c>
      <c r="D791" s="849" t="s">
        <v>2788</v>
      </c>
      <c r="E791" s="849" t="s">
        <v>2701</v>
      </c>
      <c r="F791" s="849" t="s">
        <v>2426</v>
      </c>
      <c r="G791" s="849">
        <v>0.0</v>
      </c>
      <c r="H791" s="849">
        <v>0.0</v>
      </c>
      <c r="I791" s="849">
        <v>0.0</v>
      </c>
      <c r="J791" s="849">
        <v>0.0</v>
      </c>
      <c r="K791" s="849">
        <v>8325.62</v>
      </c>
      <c r="L791" s="849">
        <v>18909.43</v>
      </c>
      <c r="M791" s="849">
        <v>25496.63</v>
      </c>
      <c r="N791" s="849">
        <v>31833.25</v>
      </c>
      <c r="O791" s="849">
        <v>36382.33</v>
      </c>
      <c r="P791" s="849">
        <v>36873.93</v>
      </c>
      <c r="Q791" s="849">
        <v>0.0</v>
      </c>
      <c r="R791" s="849">
        <v>0.0</v>
      </c>
      <c r="S791" s="849">
        <v>4042.48</v>
      </c>
      <c r="T791" s="849">
        <v>4042.48</v>
      </c>
      <c r="U791" s="849">
        <v>0.0</v>
      </c>
      <c r="V791" s="849">
        <v>0.0</v>
      </c>
      <c r="W791" s="849">
        <v>0.0</v>
      </c>
      <c r="X791" s="849">
        <v>0.0</v>
      </c>
      <c r="Y791" s="849">
        <v>0.0</v>
      </c>
      <c r="Z791" s="849">
        <v>18.0</v>
      </c>
      <c r="AA791" s="849">
        <v>40.0</v>
      </c>
      <c r="AB791" s="849">
        <v>57.0</v>
      </c>
      <c r="AC791" s="849">
        <v>71.0</v>
      </c>
      <c r="AD791" s="849">
        <v>88.0</v>
      </c>
      <c r="AE791" s="849">
        <v>92.0</v>
      </c>
      <c r="AF791" s="849">
        <v>0.0</v>
      </c>
      <c r="AG791" s="849">
        <v>0.0</v>
      </c>
      <c r="AH791" s="849">
        <v>10.0</v>
      </c>
      <c r="AI791" s="849">
        <v>10.0</v>
      </c>
      <c r="AJ791" s="794" t="str">
        <f t="shared" ref="AJ791:AK791" si="1579">C791</f>
        <v>G47905</v>
      </c>
      <c r="AK791" s="794" t="str">
        <f t="shared" si="1579"/>
        <v>VTES -PEINT CONC-BODY</v>
      </c>
      <c r="AL791" s="794">
        <f t="array" ref="AL791">IFERROR(INDEX(G791:R791,1,MATCH(Parametres!$B$3,G$1:R$1,0)-1)*IF(OR(F791="L",F791="S",F791="I"),-1,1),"")</f>
        <v>-31833.25</v>
      </c>
      <c r="AM791" s="794">
        <f t="shared" si="4"/>
        <v>-4549.08</v>
      </c>
      <c r="AN791" s="794">
        <f t="array" ref="AN791">INDEX(G791:R791,1,MATCH(Parametres!$B$3,G$1:R$1,0))*IF(OR(F791="L",F791="S",F791="I"),-1,1)</f>
        <v>-36382.33</v>
      </c>
      <c r="AO791" s="853" t="str">
        <f>+VLOOKUP($AJ791,Data_Validation!$A:$D,1,0)</f>
        <v>G47905</v>
      </c>
      <c r="AP791" s="853" t="str">
        <f>+VLOOKUP($AJ791,Data_Validation!$A:$D,3,0)</f>
        <v>Carrosserie</v>
      </c>
      <c r="AQ791" s="853" t="str">
        <f>+VLOOKUP($AJ791,Data_Validation!$A:$D,4,0)</f>
        <v>Carrosserie Concessions</v>
      </c>
      <c r="AR791" s="853" t="s">
        <v>728</v>
      </c>
      <c r="AS791" s="853" t="str">
        <f>+VLOOKUP($AJ791,Data_Validation!$A:$E,5,0)</f>
        <v>Oui</v>
      </c>
      <c r="AT791" s="794" t="str">
        <f t="shared" ref="AT791:AU791" si="1580">C791</f>
        <v>G47905</v>
      </c>
      <c r="AU791" s="854" t="str">
        <f t="shared" si="1580"/>
        <v>VTES -PEINT CONC-BODY</v>
      </c>
      <c r="AV791" s="794">
        <f t="array" ref="AV791">IFERROR(INDEX(V791:AG791,1,MATCH(Parametres!$B$3,V$1:AG$1,0)-1)*IF(OR(C791="L",C791="S",C791="I"),-1,1),"")</f>
        <v>71</v>
      </c>
      <c r="AW791" s="794">
        <f t="shared" si="6"/>
        <v>17</v>
      </c>
      <c r="AX791" s="794">
        <f t="array" ref="AX791">INDEX(V791:AG791,1,MATCH(Parametres!$B$3,V$1:AG$1,0))*IF(OR(C791="L",C791="S",C791="I"),-1,1)</f>
        <v>88</v>
      </c>
      <c r="AY791" s="853" t="s">
        <v>772</v>
      </c>
      <c r="AZ791" s="853" t="str">
        <f>+VLOOKUP($AJ791,Data_Validation!$A:$E,5,0)</f>
        <v>Oui</v>
      </c>
    </row>
    <row r="792" ht="15.0" customHeight="1">
      <c r="A792" s="849" t="s">
        <v>1239</v>
      </c>
      <c r="B792" s="849">
        <v>2026.0</v>
      </c>
      <c r="C792" s="849" t="s">
        <v>1136</v>
      </c>
      <c r="D792" s="849" t="s">
        <v>2789</v>
      </c>
      <c r="E792" s="849" t="s">
        <v>2701</v>
      </c>
      <c r="F792" s="849" t="s">
        <v>2426</v>
      </c>
      <c r="G792" s="849">
        <v>0.0</v>
      </c>
      <c r="H792" s="849">
        <v>0.0</v>
      </c>
      <c r="I792" s="849">
        <v>0.0</v>
      </c>
      <c r="J792" s="849">
        <v>0.0</v>
      </c>
      <c r="K792" s="849">
        <v>2666.08</v>
      </c>
      <c r="L792" s="849">
        <v>9429.58</v>
      </c>
      <c r="M792" s="849">
        <v>13724.29</v>
      </c>
      <c r="N792" s="849">
        <v>17889.93</v>
      </c>
      <c r="O792" s="849">
        <v>27999.54</v>
      </c>
      <c r="P792" s="849">
        <v>30744.35</v>
      </c>
      <c r="Q792" s="849">
        <v>0.0</v>
      </c>
      <c r="R792" s="849">
        <v>0.0</v>
      </c>
      <c r="S792" s="849">
        <v>3111.06</v>
      </c>
      <c r="T792" s="849">
        <v>3111.06</v>
      </c>
      <c r="U792" s="849">
        <v>0.0</v>
      </c>
      <c r="V792" s="849">
        <v>0.0</v>
      </c>
      <c r="W792" s="849">
        <v>0.0</v>
      </c>
      <c r="X792" s="849">
        <v>0.0</v>
      </c>
      <c r="Y792" s="849">
        <v>0.0</v>
      </c>
      <c r="Z792" s="849">
        <v>12.0</v>
      </c>
      <c r="AA792" s="849">
        <v>42.0</v>
      </c>
      <c r="AB792" s="849">
        <v>67.0</v>
      </c>
      <c r="AC792" s="849">
        <v>88.0</v>
      </c>
      <c r="AD792" s="849">
        <v>136.0</v>
      </c>
      <c r="AE792" s="849">
        <v>144.0</v>
      </c>
      <c r="AF792" s="849">
        <v>0.0</v>
      </c>
      <c r="AG792" s="849">
        <v>0.0</v>
      </c>
      <c r="AH792" s="849">
        <v>15.0</v>
      </c>
      <c r="AI792" s="849">
        <v>15.0</v>
      </c>
      <c r="AJ792" s="794" t="str">
        <f t="shared" ref="AJ792:AK792" si="1581">C792</f>
        <v>G47910</v>
      </c>
      <c r="AK792" s="794" t="str">
        <f t="shared" si="1581"/>
        <v>VTES -M-ATELIER CLT-BODY</v>
      </c>
      <c r="AL792" s="794">
        <f t="array" ref="AL792">IFERROR(INDEX(G792:R792,1,MATCH(Parametres!$B$3,G$1:R$1,0)-1)*IF(OR(F792="L",F792="S",F792="I"),-1,1),"")</f>
        <v>-17889.93</v>
      </c>
      <c r="AM792" s="794">
        <f t="shared" si="4"/>
        <v>-10109.61</v>
      </c>
      <c r="AN792" s="794">
        <f t="array" ref="AN792">INDEX(G792:R792,1,MATCH(Parametres!$B$3,G$1:R$1,0))*IF(OR(F792="L",F792="S",F792="I"),-1,1)</f>
        <v>-27999.54</v>
      </c>
      <c r="AO792" s="853" t="str">
        <f>+VLOOKUP($AJ792,Data_Validation!$A:$D,1,0)</f>
        <v>G47910</v>
      </c>
      <c r="AP792" s="853" t="str">
        <f>+VLOOKUP($AJ792,Data_Validation!$A:$D,3,0)</f>
        <v>Carrosserie</v>
      </c>
      <c r="AQ792" s="853" t="str">
        <f>+VLOOKUP($AJ792,Data_Validation!$A:$D,4,0)</f>
        <v>Carrosserie Clients</v>
      </c>
      <c r="AR792" s="853" t="s">
        <v>728</v>
      </c>
      <c r="AS792" s="853" t="str">
        <f>+VLOOKUP($AJ792,Data_Validation!$A:$E,5,0)</f>
        <v>Oui</v>
      </c>
      <c r="AT792" s="794" t="str">
        <f t="shared" ref="AT792:AU792" si="1582">C792</f>
        <v>G47910</v>
      </c>
      <c r="AU792" s="854" t="str">
        <f t="shared" si="1582"/>
        <v>VTES -M-ATELIER CLT-BODY</v>
      </c>
      <c r="AV792" s="794">
        <f t="array" ref="AV792">IFERROR(INDEX(V792:AG792,1,MATCH(Parametres!$B$3,V$1:AG$1,0)-1)*IF(OR(C792="L",C792="S",C792="I"),-1,1),"")</f>
        <v>88</v>
      </c>
      <c r="AW792" s="794">
        <f t="shared" si="6"/>
        <v>48</v>
      </c>
      <c r="AX792" s="794">
        <f t="array" ref="AX792">INDEX(V792:AG792,1,MATCH(Parametres!$B$3,V$1:AG$1,0))*IF(OR(C792="L",C792="S",C792="I"),-1,1)</f>
        <v>136</v>
      </c>
      <c r="AY792" s="853" t="s">
        <v>772</v>
      </c>
      <c r="AZ792" s="853" t="str">
        <f>+VLOOKUP($AJ792,Data_Validation!$A:$E,5,0)</f>
        <v>Oui</v>
      </c>
    </row>
    <row r="793" ht="15.0" customHeight="1">
      <c r="A793" s="849" t="s">
        <v>1239</v>
      </c>
      <c r="B793" s="849">
        <v>2026.0</v>
      </c>
      <c r="C793" s="849" t="s">
        <v>1160</v>
      </c>
      <c r="D793" s="849" t="s">
        <v>2790</v>
      </c>
      <c r="E793" s="849" t="s">
        <v>2701</v>
      </c>
      <c r="F793" s="849" t="s">
        <v>2426</v>
      </c>
      <c r="G793" s="849">
        <v>0.0</v>
      </c>
      <c r="H793" s="849">
        <v>0.0</v>
      </c>
      <c r="I793" s="849">
        <v>0.0</v>
      </c>
      <c r="J793" s="849">
        <v>0.0</v>
      </c>
      <c r="K793" s="849">
        <v>180.84</v>
      </c>
      <c r="L793" s="849">
        <v>510.43</v>
      </c>
      <c r="M793" s="849">
        <v>744.91</v>
      </c>
      <c r="N793" s="849">
        <v>1529.1</v>
      </c>
      <c r="O793" s="849">
        <v>2105.98</v>
      </c>
      <c r="P793" s="849">
        <v>2152.78</v>
      </c>
      <c r="Q793" s="849">
        <v>0.0</v>
      </c>
      <c r="R793" s="849">
        <v>0.0</v>
      </c>
      <c r="S793" s="849">
        <v>234.0</v>
      </c>
      <c r="T793" s="849">
        <v>234.0</v>
      </c>
      <c r="U793" s="849">
        <v>0.0</v>
      </c>
      <c r="V793" s="849">
        <v>0.0</v>
      </c>
      <c r="W793" s="849">
        <v>0.0</v>
      </c>
      <c r="X793" s="849">
        <v>0.0</v>
      </c>
      <c r="Y793" s="849">
        <v>0.0</v>
      </c>
      <c r="Z793" s="849">
        <v>2.0</v>
      </c>
      <c r="AA793" s="849">
        <v>6.0</v>
      </c>
      <c r="AB793" s="849">
        <v>9.0</v>
      </c>
      <c r="AC793" s="849">
        <v>14.0</v>
      </c>
      <c r="AD793" s="849">
        <v>23.0</v>
      </c>
      <c r="AE793" s="849">
        <v>24.0</v>
      </c>
      <c r="AF793" s="849">
        <v>0.0</v>
      </c>
      <c r="AG793" s="849">
        <v>0.0</v>
      </c>
      <c r="AH793" s="849">
        <v>3.0</v>
      </c>
      <c r="AI793" s="849">
        <v>3.0</v>
      </c>
      <c r="AJ793" s="794" t="str">
        <f t="shared" ref="AJ793:AK793" si="1583">C793</f>
        <v>G47913</v>
      </c>
      <c r="AK793" s="794" t="str">
        <f t="shared" si="1583"/>
        <v>VTES -M. ATEL.INTERN-BODY</v>
      </c>
      <c r="AL793" s="794">
        <f t="array" ref="AL793">IFERROR(INDEX(G793:R793,1,MATCH(Parametres!$B$3,G$1:R$1,0)-1)*IF(OR(F793="L",F793="S",F793="I"),-1,1),"")</f>
        <v>-1529.1</v>
      </c>
      <c r="AM793" s="794">
        <f t="shared" si="4"/>
        <v>-576.88</v>
      </c>
      <c r="AN793" s="794">
        <f t="array" ref="AN793">INDEX(G793:R793,1,MATCH(Parametres!$B$3,G$1:R$1,0))*IF(OR(F793="L",F793="S",F793="I"),-1,1)</f>
        <v>-2105.98</v>
      </c>
      <c r="AO793" s="853" t="str">
        <f>+VLOOKUP($AJ793,Data_Validation!$A:$D,1,0)</f>
        <v>G47913</v>
      </c>
      <c r="AP793" s="853" t="str">
        <f>+VLOOKUP($AJ793,Data_Validation!$A:$D,3,0)</f>
        <v>Carrosserie</v>
      </c>
      <c r="AQ793" s="853" t="str">
        <f>+VLOOKUP($AJ793,Data_Validation!$A:$D,4,0)</f>
        <v>Carrosserie Interne</v>
      </c>
      <c r="AR793" s="853" t="s">
        <v>728</v>
      </c>
      <c r="AS793" s="853" t="str">
        <f>+VLOOKUP($AJ793,Data_Validation!$A:$E,5,0)</f>
        <v>Oui</v>
      </c>
      <c r="AT793" s="794" t="str">
        <f t="shared" ref="AT793:AU793" si="1584">C793</f>
        <v>G47913</v>
      </c>
      <c r="AU793" s="854" t="str">
        <f t="shared" si="1584"/>
        <v>VTES -M. ATEL.INTERN-BODY</v>
      </c>
      <c r="AV793" s="794">
        <f t="array" ref="AV793">IFERROR(INDEX(V793:AG793,1,MATCH(Parametres!$B$3,V$1:AG$1,0)-1)*IF(OR(C793="L",C793="S",C793="I"),-1,1),"")</f>
        <v>14</v>
      </c>
      <c r="AW793" s="794">
        <f t="shared" si="6"/>
        <v>9</v>
      </c>
      <c r="AX793" s="794">
        <f t="array" ref="AX793">INDEX(V793:AG793,1,MATCH(Parametres!$B$3,V$1:AG$1,0))*IF(OR(C793="L",C793="S",C793="I"),-1,1)</f>
        <v>23</v>
      </c>
      <c r="AY793" s="853" t="s">
        <v>772</v>
      </c>
      <c r="AZ793" s="853" t="str">
        <f>+VLOOKUP($AJ793,Data_Validation!$A:$E,5,0)</f>
        <v>Oui</v>
      </c>
    </row>
    <row r="794" ht="15.0" customHeight="1">
      <c r="A794" s="849" t="s">
        <v>1239</v>
      </c>
      <c r="B794" s="849">
        <v>2026.0</v>
      </c>
      <c r="C794" s="849" t="s">
        <v>1186</v>
      </c>
      <c r="D794" s="849" t="s">
        <v>2791</v>
      </c>
      <c r="E794" s="849" t="s">
        <v>2701</v>
      </c>
      <c r="F794" s="849" t="s">
        <v>2426</v>
      </c>
      <c r="G794" s="849">
        <v>0.0</v>
      </c>
      <c r="H794" s="849">
        <v>0.0</v>
      </c>
      <c r="I794" s="849">
        <v>0.0</v>
      </c>
      <c r="J794" s="849">
        <v>0.0</v>
      </c>
      <c r="K794" s="849">
        <v>1133.1</v>
      </c>
      <c r="L794" s="849">
        <v>5151.83</v>
      </c>
      <c r="M794" s="849">
        <v>7518.17</v>
      </c>
      <c r="N794" s="849">
        <v>10303.77</v>
      </c>
      <c r="O794" s="849">
        <v>12284.28</v>
      </c>
      <c r="P794" s="849">
        <v>12790.61</v>
      </c>
      <c r="Q794" s="849">
        <v>0.0</v>
      </c>
      <c r="R794" s="849">
        <v>0.0</v>
      </c>
      <c r="S794" s="849">
        <v>1364.92</v>
      </c>
      <c r="T794" s="849">
        <v>1364.92</v>
      </c>
      <c r="U794" s="849">
        <v>0.0</v>
      </c>
      <c r="V794" s="849">
        <v>0.0</v>
      </c>
      <c r="W794" s="849">
        <v>0.0</v>
      </c>
      <c r="X794" s="849">
        <v>0.0</v>
      </c>
      <c r="Y794" s="849">
        <v>0.0</v>
      </c>
      <c r="Z794" s="849">
        <v>12.0</v>
      </c>
      <c r="AA794" s="849">
        <v>32.0</v>
      </c>
      <c r="AB794" s="849">
        <v>49.0</v>
      </c>
      <c r="AC794" s="849">
        <v>62.0</v>
      </c>
      <c r="AD794" s="849">
        <v>76.0</v>
      </c>
      <c r="AE794" s="849">
        <v>80.0</v>
      </c>
      <c r="AF794" s="849">
        <v>0.0</v>
      </c>
      <c r="AG794" s="849">
        <v>0.0</v>
      </c>
      <c r="AH794" s="849">
        <v>8.0</v>
      </c>
      <c r="AI794" s="849">
        <v>8.0</v>
      </c>
      <c r="AJ794" s="794" t="str">
        <f t="shared" ref="AJ794:AK794" si="1585">C794</f>
        <v>G47915</v>
      </c>
      <c r="AK794" s="794" t="str">
        <f t="shared" si="1585"/>
        <v>VTES -M.A CONCES. BODY</v>
      </c>
      <c r="AL794" s="794">
        <f t="array" ref="AL794">IFERROR(INDEX(G794:R794,1,MATCH(Parametres!$B$3,G$1:R$1,0)-1)*IF(OR(F794="L",F794="S",F794="I"),-1,1),"")</f>
        <v>-10303.77</v>
      </c>
      <c r="AM794" s="794">
        <f t="shared" si="4"/>
        <v>-1980.51</v>
      </c>
      <c r="AN794" s="794">
        <f t="array" ref="AN794">INDEX(G794:R794,1,MATCH(Parametres!$B$3,G$1:R$1,0))*IF(OR(F794="L",F794="S",F794="I"),-1,1)</f>
        <v>-12284.28</v>
      </c>
      <c r="AO794" s="853" t="str">
        <f>+VLOOKUP($AJ794,Data_Validation!$A:$D,1,0)</f>
        <v>G47915</v>
      </c>
      <c r="AP794" s="853" t="str">
        <f>+VLOOKUP($AJ794,Data_Validation!$A:$D,3,0)</f>
        <v>Carrosserie</v>
      </c>
      <c r="AQ794" s="853" t="str">
        <f>+VLOOKUP($AJ794,Data_Validation!$A:$D,4,0)</f>
        <v>Carrosserie Concessions</v>
      </c>
      <c r="AR794" s="853" t="s">
        <v>728</v>
      </c>
      <c r="AS794" s="853" t="str">
        <f>+VLOOKUP($AJ794,Data_Validation!$A:$E,5,0)</f>
        <v>Oui</v>
      </c>
      <c r="AT794" s="794" t="str">
        <f t="shared" ref="AT794:AU794" si="1586">C794</f>
        <v>G47915</v>
      </c>
      <c r="AU794" s="854" t="str">
        <f t="shared" si="1586"/>
        <v>VTES -M.A CONCES. BODY</v>
      </c>
      <c r="AV794" s="794">
        <f t="array" ref="AV794">IFERROR(INDEX(V794:AG794,1,MATCH(Parametres!$B$3,V$1:AG$1,0)-1)*IF(OR(C794="L",C794="S",C794="I"),-1,1),"")</f>
        <v>62</v>
      </c>
      <c r="AW794" s="794">
        <f t="shared" si="6"/>
        <v>14</v>
      </c>
      <c r="AX794" s="794">
        <f t="array" ref="AX794">INDEX(V794:AG794,1,MATCH(Parametres!$B$3,V$1:AG$1,0))*IF(OR(C794="L",C794="S",C794="I"),-1,1)</f>
        <v>76</v>
      </c>
      <c r="AY794" s="853" t="s">
        <v>772</v>
      </c>
      <c r="AZ794" s="853" t="str">
        <f>+VLOOKUP($AJ794,Data_Validation!$A:$E,5,0)</f>
        <v>Oui</v>
      </c>
    </row>
    <row r="795" ht="15.0" customHeight="1">
      <c r="A795" s="849" t="s">
        <v>1239</v>
      </c>
      <c r="B795" s="849">
        <v>2026.0</v>
      </c>
      <c r="C795" s="849" t="s">
        <v>2792</v>
      </c>
      <c r="D795" s="849" t="s">
        <v>2793</v>
      </c>
      <c r="E795" s="849" t="s">
        <v>2701</v>
      </c>
      <c r="F795" s="849" t="s">
        <v>2426</v>
      </c>
      <c r="G795" s="849">
        <v>55197.67</v>
      </c>
      <c r="H795" s="849">
        <v>107368.4</v>
      </c>
      <c r="I795" s="849">
        <v>183959.93</v>
      </c>
      <c r="J795" s="849">
        <v>242239.2</v>
      </c>
      <c r="K795" s="849">
        <v>269829.43</v>
      </c>
      <c r="L795" s="849">
        <v>360086.9</v>
      </c>
      <c r="M795" s="849">
        <v>413980.82</v>
      </c>
      <c r="N795" s="849">
        <v>500886.21</v>
      </c>
      <c r="O795" s="849">
        <v>542749.89</v>
      </c>
      <c r="P795" s="849">
        <v>550922.28</v>
      </c>
      <c r="Q795" s="849">
        <v>0.0</v>
      </c>
      <c r="R795" s="849">
        <v>0.0</v>
      </c>
      <c r="S795" s="849">
        <v>60305.54</v>
      </c>
      <c r="T795" s="849">
        <v>60305.54</v>
      </c>
      <c r="U795" s="849">
        <v>0.0</v>
      </c>
      <c r="V795" s="849">
        <v>202.0</v>
      </c>
      <c r="W795" s="849">
        <v>387.0</v>
      </c>
      <c r="X795" s="849">
        <v>642.0</v>
      </c>
      <c r="Y795" s="849">
        <v>833.0</v>
      </c>
      <c r="Z795" s="849">
        <v>992.0</v>
      </c>
      <c r="AA795" s="849">
        <v>1258.0</v>
      </c>
      <c r="AB795" s="849">
        <v>1410.0</v>
      </c>
      <c r="AC795" s="849">
        <v>1611.0</v>
      </c>
      <c r="AD795" s="849">
        <v>1738.0</v>
      </c>
      <c r="AE795" s="849">
        <v>1785.0</v>
      </c>
      <c r="AF795" s="849">
        <v>0.0</v>
      </c>
      <c r="AG795" s="849">
        <v>0.0</v>
      </c>
      <c r="AH795" s="849">
        <v>193.0</v>
      </c>
      <c r="AI795" s="849">
        <v>193.0</v>
      </c>
      <c r="AJ795" s="794" t="str">
        <f t="shared" ref="AJ795:AK795" si="1587">C795</f>
        <v>G48000</v>
      </c>
      <c r="AK795" s="794" t="str">
        <f t="shared" si="1587"/>
        <v>VTES-PIECES GARANTIES</v>
      </c>
      <c r="AL795" s="794">
        <f t="array" ref="AL795">IFERROR(INDEX(G795:R795,1,MATCH(Parametres!$B$3,G$1:R$1,0)-1)*IF(OR(F795="L",F795="S",F795="I"),-1,1),"")</f>
        <v>-500886.21</v>
      </c>
      <c r="AM795" s="794">
        <f t="shared" si="4"/>
        <v>-41863.68</v>
      </c>
      <c r="AN795" s="794">
        <f t="array" ref="AN795">INDEX(G795:R795,1,MATCH(Parametres!$B$3,G$1:R$1,0))*IF(OR(F795="L",F795="S",F795="I"),-1,1)</f>
        <v>-542749.89</v>
      </c>
      <c r="AO795" s="853" t="str">
        <f>+VLOOKUP($AJ795,Data_Validation!$A:$D,1,0)</f>
        <v>G48000</v>
      </c>
      <c r="AP795" s="853" t="str">
        <f>+VLOOKUP($AJ795,Data_Validation!$A:$D,3,0)</f>
        <v>Pièces</v>
      </c>
      <c r="AQ795" s="853" t="str">
        <f>+VLOOKUP($AJ795,Data_Validation!$A:$D,4,0)</f>
        <v>P/A Garantie</v>
      </c>
      <c r="AR795" s="853" t="s">
        <v>728</v>
      </c>
      <c r="AS795" s="853" t="str">
        <f>+VLOOKUP($AJ795,Data_Validation!$A:$E,5,0)</f>
        <v>Oui</v>
      </c>
      <c r="AT795" s="794" t="str">
        <f t="shared" ref="AT795:AU795" si="1588">C795</f>
        <v>G48000</v>
      </c>
      <c r="AU795" s="854" t="str">
        <f t="shared" si="1588"/>
        <v>VTES-PIECES GARANTIES</v>
      </c>
      <c r="AV795" s="794">
        <f t="array" ref="AV795">IFERROR(INDEX(V795:AG795,1,MATCH(Parametres!$B$3,V$1:AG$1,0)-1)*IF(OR(C795="L",C795="S",C795="I"),-1,1),"")</f>
        <v>1611</v>
      </c>
      <c r="AW795" s="794">
        <f t="shared" si="6"/>
        <v>127</v>
      </c>
      <c r="AX795" s="794">
        <f t="array" ref="AX795">INDEX(V795:AG795,1,MATCH(Parametres!$B$3,V$1:AG$1,0))*IF(OR(C795="L",C795="S",C795="I"),-1,1)</f>
        <v>1738</v>
      </c>
      <c r="AY795" s="853" t="s">
        <v>772</v>
      </c>
      <c r="AZ795" s="853" t="str">
        <f>+VLOOKUP($AJ795,Data_Validation!$A:$E,5,0)</f>
        <v>Oui</v>
      </c>
    </row>
    <row r="796" ht="15.0" customHeight="1">
      <c r="A796" s="849" t="s">
        <v>1239</v>
      </c>
      <c r="B796" s="849">
        <v>2026.0</v>
      </c>
      <c r="C796" s="849" t="s">
        <v>2794</v>
      </c>
      <c r="D796" s="849" t="s">
        <v>2795</v>
      </c>
      <c r="E796" s="849" t="s">
        <v>2701</v>
      </c>
      <c r="F796" s="849" t="s">
        <v>2426</v>
      </c>
      <c r="G796" s="849">
        <v>0.0</v>
      </c>
      <c r="H796" s="849">
        <v>0.0</v>
      </c>
      <c r="I796" s="849">
        <v>0.0</v>
      </c>
      <c r="J796" s="849">
        <v>0.0</v>
      </c>
      <c r="K796" s="849">
        <v>0.0</v>
      </c>
      <c r="L796" s="849">
        <v>0.0</v>
      </c>
      <c r="M796" s="849">
        <v>0.0</v>
      </c>
      <c r="N796" s="849">
        <v>0.0</v>
      </c>
      <c r="O796" s="849">
        <v>0.0</v>
      </c>
      <c r="P796" s="849">
        <v>0.0</v>
      </c>
      <c r="Q796" s="849">
        <v>0.0</v>
      </c>
      <c r="R796" s="849">
        <v>0.0</v>
      </c>
      <c r="S796" s="849">
        <v>0.0</v>
      </c>
      <c r="T796" s="849">
        <v>0.0</v>
      </c>
      <c r="U796" s="849">
        <v>0.0</v>
      </c>
      <c r="V796" s="849">
        <v>0.0</v>
      </c>
      <c r="W796" s="849">
        <v>0.0</v>
      </c>
      <c r="X796" s="849">
        <v>0.0</v>
      </c>
      <c r="Y796" s="849">
        <v>0.0</v>
      </c>
      <c r="Z796" s="849">
        <v>0.0</v>
      </c>
      <c r="AA796" s="849">
        <v>0.0</v>
      </c>
      <c r="AB796" s="849">
        <v>0.0</v>
      </c>
      <c r="AC796" s="849">
        <v>0.0</v>
      </c>
      <c r="AD796" s="849">
        <v>0.0</v>
      </c>
      <c r="AE796" s="849">
        <v>0.0</v>
      </c>
      <c r="AF796" s="849">
        <v>0.0</v>
      </c>
      <c r="AG796" s="849">
        <v>0.0</v>
      </c>
      <c r="AH796" s="849">
        <v>0.0</v>
      </c>
      <c r="AI796" s="849">
        <v>0.0</v>
      </c>
      <c r="AJ796" s="794" t="str">
        <f t="shared" ref="AJ796:AK796" si="1589">C796</f>
        <v>G48020</v>
      </c>
      <c r="AK796" s="794" t="str">
        <f t="shared" si="1589"/>
        <v>VTES-PCE RECLAM.CAM MOYEN</v>
      </c>
      <c r="AL796" s="794">
        <f t="array" ref="AL796">IFERROR(INDEX(G796:R796,1,MATCH(Parametres!$B$3,G$1:R$1,0)-1)*IF(OR(F796="L",F796="S",F796="I"),-1,1),"")</f>
        <v>0</v>
      </c>
      <c r="AM796" s="794">
        <f t="shared" si="4"/>
        <v>0</v>
      </c>
      <c r="AN796" s="794">
        <f t="array" ref="AN796">INDEX(G796:R796,1,MATCH(Parametres!$B$3,G$1:R$1,0))*IF(OR(F796="L",F796="S",F796="I"),-1,1)</f>
        <v>0</v>
      </c>
      <c r="AO796" s="853" t="str">
        <f>+VLOOKUP($AJ796,Data_Validation!$A:$D,1,0)</f>
        <v>G48020</v>
      </c>
      <c r="AP796" s="853" t="str">
        <f>+VLOOKUP($AJ796,Data_Validation!$A:$D,3,0)</f>
        <v>Pièces</v>
      </c>
      <c r="AQ796" s="853" t="str">
        <f>+VLOOKUP($AJ796,Data_Validation!$A:$D,4,0)</f>
        <v>P/A Garantie</v>
      </c>
      <c r="AR796" s="853" t="s">
        <v>728</v>
      </c>
      <c r="AS796" s="853" t="str">
        <f>+VLOOKUP($AJ796,Data_Validation!$A:$E,5,0)</f>
        <v>Oui</v>
      </c>
      <c r="AT796" s="794" t="str">
        <f t="shared" ref="AT796:AU796" si="1590">C796</f>
        <v>G48020</v>
      </c>
      <c r="AU796" s="854" t="str">
        <f t="shared" si="1590"/>
        <v>VTES-PCE RECLAM.CAM MOYEN</v>
      </c>
      <c r="AV796" s="794">
        <f t="array" ref="AV796">IFERROR(INDEX(V796:AG796,1,MATCH(Parametres!$B$3,V$1:AG$1,0)-1)*IF(OR(C796="L",C796="S",C796="I"),-1,1),"")</f>
        <v>0</v>
      </c>
      <c r="AW796" s="794">
        <f t="shared" si="6"/>
        <v>0</v>
      </c>
      <c r="AX796" s="794">
        <f t="array" ref="AX796">INDEX(V796:AG796,1,MATCH(Parametres!$B$3,V$1:AG$1,0))*IF(OR(C796="L",C796="S",C796="I"),-1,1)</f>
        <v>0</v>
      </c>
      <c r="AY796" s="853" t="s">
        <v>772</v>
      </c>
      <c r="AZ796" s="853" t="str">
        <f>+VLOOKUP($AJ796,Data_Validation!$A:$E,5,0)</f>
        <v>Oui</v>
      </c>
    </row>
    <row r="797" ht="15.0" customHeight="1">
      <c r="A797" s="849" t="s">
        <v>1239</v>
      </c>
      <c r="B797" s="849">
        <v>2026.0</v>
      </c>
      <c r="C797" s="849" t="s">
        <v>2796</v>
      </c>
      <c r="D797" s="849" t="s">
        <v>2797</v>
      </c>
      <c r="E797" s="849" t="s">
        <v>2701</v>
      </c>
      <c r="F797" s="849" t="s">
        <v>2426</v>
      </c>
      <c r="G797" s="849">
        <v>45959.51</v>
      </c>
      <c r="H797" s="849">
        <v>105251.2</v>
      </c>
      <c r="I797" s="849">
        <v>165218.52</v>
      </c>
      <c r="J797" s="849">
        <v>233121.15</v>
      </c>
      <c r="K797" s="849">
        <v>275045.87</v>
      </c>
      <c r="L797" s="849">
        <v>322913.62</v>
      </c>
      <c r="M797" s="849">
        <v>365310.89</v>
      </c>
      <c r="N797" s="849">
        <v>402264.33</v>
      </c>
      <c r="O797" s="849">
        <v>442767.28</v>
      </c>
      <c r="P797" s="849">
        <v>457412.87</v>
      </c>
      <c r="Q797" s="849">
        <v>0.0</v>
      </c>
      <c r="R797" s="849">
        <v>0.0</v>
      </c>
      <c r="S797" s="849">
        <v>49196.36</v>
      </c>
      <c r="T797" s="849">
        <v>49196.36</v>
      </c>
      <c r="U797" s="849">
        <v>0.0</v>
      </c>
      <c r="V797" s="849">
        <v>170.0</v>
      </c>
      <c r="W797" s="849">
        <v>328.0</v>
      </c>
      <c r="X797" s="849">
        <v>544.0</v>
      </c>
      <c r="Y797" s="849">
        <v>750.0</v>
      </c>
      <c r="Z797" s="849">
        <v>898.0</v>
      </c>
      <c r="AA797" s="849">
        <v>1083.0</v>
      </c>
      <c r="AB797" s="849">
        <v>1239.0</v>
      </c>
      <c r="AC797" s="849">
        <v>1398.0</v>
      </c>
      <c r="AD797" s="849">
        <v>1554.0</v>
      </c>
      <c r="AE797" s="849">
        <v>1597.0</v>
      </c>
      <c r="AF797" s="849">
        <v>0.0</v>
      </c>
      <c r="AG797" s="849">
        <v>0.0</v>
      </c>
      <c r="AH797" s="849">
        <v>173.0</v>
      </c>
      <c r="AI797" s="849">
        <v>173.0</v>
      </c>
      <c r="AJ797" s="794" t="str">
        <f t="shared" ref="AJ797:AK797" si="1591">C797</f>
        <v>G48100</v>
      </c>
      <c r="AK797" s="794" t="str">
        <f t="shared" si="1591"/>
        <v>VTES-PIECES INTERNE</v>
      </c>
      <c r="AL797" s="794">
        <f t="array" ref="AL797">IFERROR(INDEX(G797:R797,1,MATCH(Parametres!$B$3,G$1:R$1,0)-1)*IF(OR(F797="L",F797="S",F797="I"),-1,1),"")</f>
        <v>-402264.33</v>
      </c>
      <c r="AM797" s="794">
        <f t="shared" si="4"/>
        <v>-40502.95</v>
      </c>
      <c r="AN797" s="794">
        <f t="array" ref="AN797">INDEX(G797:R797,1,MATCH(Parametres!$B$3,G$1:R$1,0))*IF(OR(F797="L",F797="S",F797="I"),-1,1)</f>
        <v>-442767.28</v>
      </c>
      <c r="AO797" s="853" t="str">
        <f>+VLOOKUP($AJ797,Data_Validation!$A:$D,1,0)</f>
        <v>G48100</v>
      </c>
      <c r="AP797" s="853" t="str">
        <f>+VLOOKUP($AJ797,Data_Validation!$A:$D,3,0)</f>
        <v>Pièces</v>
      </c>
      <c r="AQ797" s="853" t="str">
        <f>+VLOOKUP($AJ797,Data_Validation!$A:$D,4,0)</f>
        <v>Ventes Internes</v>
      </c>
      <c r="AR797" s="853" t="s">
        <v>728</v>
      </c>
      <c r="AS797" s="853" t="str">
        <f>+VLOOKUP($AJ797,Data_Validation!$A:$E,5,0)</f>
        <v>Oui</v>
      </c>
      <c r="AT797" s="794" t="str">
        <f t="shared" ref="AT797:AU797" si="1592">C797</f>
        <v>G48100</v>
      </c>
      <c r="AU797" s="854" t="str">
        <f t="shared" si="1592"/>
        <v>VTES-PIECES INTERNE</v>
      </c>
      <c r="AV797" s="794">
        <f t="array" ref="AV797">IFERROR(INDEX(V797:AG797,1,MATCH(Parametres!$B$3,V$1:AG$1,0)-1)*IF(OR(C797="L",C797="S",C797="I"),-1,1),"")</f>
        <v>1398</v>
      </c>
      <c r="AW797" s="794">
        <f t="shared" si="6"/>
        <v>156</v>
      </c>
      <c r="AX797" s="794">
        <f t="array" ref="AX797">INDEX(V797:AG797,1,MATCH(Parametres!$B$3,V$1:AG$1,0))*IF(OR(C797="L",C797="S",C797="I"),-1,1)</f>
        <v>1554</v>
      </c>
      <c r="AY797" s="853" t="s">
        <v>772</v>
      </c>
      <c r="AZ797" s="853" t="str">
        <f>+VLOOKUP($AJ797,Data_Validation!$A:$E,5,0)</f>
        <v>Oui</v>
      </c>
    </row>
    <row r="798" ht="15.0" customHeight="1">
      <c r="A798" s="849" t="s">
        <v>1239</v>
      </c>
      <c r="B798" s="849">
        <v>2026.0</v>
      </c>
      <c r="C798" s="849" t="s">
        <v>2798</v>
      </c>
      <c r="D798" s="849" t="s">
        <v>2799</v>
      </c>
      <c r="E798" s="849" t="s">
        <v>2701</v>
      </c>
      <c r="F798" s="849" t="s">
        <v>2426</v>
      </c>
      <c r="G798" s="849">
        <v>0.0</v>
      </c>
      <c r="H798" s="849">
        <v>0.0</v>
      </c>
      <c r="I798" s="849">
        <v>0.0</v>
      </c>
      <c r="J798" s="849">
        <v>0.0</v>
      </c>
      <c r="K798" s="849">
        <v>0.0</v>
      </c>
      <c r="L798" s="849">
        <v>0.0</v>
      </c>
      <c r="M798" s="849">
        <v>0.0</v>
      </c>
      <c r="N798" s="849">
        <v>0.0</v>
      </c>
      <c r="O798" s="849">
        <v>0.0</v>
      </c>
      <c r="P798" s="849">
        <v>0.0</v>
      </c>
      <c r="Q798" s="849">
        <v>0.0</v>
      </c>
      <c r="R798" s="849">
        <v>0.0</v>
      </c>
      <c r="S798" s="849">
        <v>0.0</v>
      </c>
      <c r="T798" s="849">
        <v>0.0</v>
      </c>
      <c r="U798" s="849">
        <v>0.0</v>
      </c>
      <c r="V798" s="849">
        <v>0.0</v>
      </c>
      <c r="W798" s="849">
        <v>0.0</v>
      </c>
      <c r="X798" s="849">
        <v>0.0</v>
      </c>
      <c r="Y798" s="849">
        <v>0.0</v>
      </c>
      <c r="Z798" s="849">
        <v>0.0</v>
      </c>
      <c r="AA798" s="849">
        <v>0.0</v>
      </c>
      <c r="AB798" s="849">
        <v>0.0</v>
      </c>
      <c r="AC798" s="849">
        <v>0.0</v>
      </c>
      <c r="AD798" s="849">
        <v>0.0</v>
      </c>
      <c r="AE798" s="849">
        <v>0.0</v>
      </c>
      <c r="AF798" s="849">
        <v>0.0</v>
      </c>
      <c r="AG798" s="849">
        <v>0.0</v>
      </c>
      <c r="AH798" s="849">
        <v>0.0</v>
      </c>
      <c r="AI798" s="849">
        <v>0.0</v>
      </c>
      <c r="AJ798" s="794" t="str">
        <f t="shared" ref="AJ798:AK798" si="1593">C798</f>
        <v>G48120</v>
      </c>
      <c r="AK798" s="794" t="str">
        <f t="shared" si="1593"/>
        <v>VTES-PCE INTERN CAM MOYEN</v>
      </c>
      <c r="AL798" s="794">
        <f t="array" ref="AL798">IFERROR(INDEX(G798:R798,1,MATCH(Parametres!$B$3,G$1:R$1,0)-1)*IF(OR(F798="L",F798="S",F798="I"),-1,1),"")</f>
        <v>0</v>
      </c>
      <c r="AM798" s="794">
        <f t="shared" si="4"/>
        <v>0</v>
      </c>
      <c r="AN798" s="794">
        <f t="array" ref="AN798">INDEX(G798:R798,1,MATCH(Parametres!$B$3,G$1:R$1,0))*IF(OR(F798="L",F798="S",F798="I"),-1,1)</f>
        <v>0</v>
      </c>
      <c r="AO798" s="853" t="str">
        <f>+VLOOKUP($AJ798,Data_Validation!$A:$D,1,0)</f>
        <v>G48120</v>
      </c>
      <c r="AP798" s="853" t="str">
        <f>+VLOOKUP($AJ798,Data_Validation!$A:$D,3,0)</f>
        <v>Pièces</v>
      </c>
      <c r="AQ798" s="853" t="str">
        <f>+VLOOKUP($AJ798,Data_Validation!$A:$D,4,0)</f>
        <v>Ventes Internes</v>
      </c>
      <c r="AR798" s="853" t="s">
        <v>728</v>
      </c>
      <c r="AS798" s="853" t="str">
        <f>+VLOOKUP($AJ798,Data_Validation!$A:$E,5,0)</f>
        <v>Oui</v>
      </c>
      <c r="AT798" s="794" t="str">
        <f t="shared" ref="AT798:AU798" si="1594">C798</f>
        <v>G48120</v>
      </c>
      <c r="AU798" s="854" t="str">
        <f t="shared" si="1594"/>
        <v>VTES-PCE INTERN CAM MOYEN</v>
      </c>
      <c r="AV798" s="794">
        <f t="array" ref="AV798">IFERROR(INDEX(V798:AG798,1,MATCH(Parametres!$B$3,V$1:AG$1,0)-1)*IF(OR(C798="L",C798="S",C798="I"),-1,1),"")</f>
        <v>0</v>
      </c>
      <c r="AW798" s="794">
        <f t="shared" si="6"/>
        <v>0</v>
      </c>
      <c r="AX798" s="794">
        <f t="array" ref="AX798">INDEX(V798:AG798,1,MATCH(Parametres!$B$3,V$1:AG$1,0))*IF(OR(C798="L",C798="S",C798="I"),-1,1)</f>
        <v>0</v>
      </c>
      <c r="AY798" s="853" t="s">
        <v>772</v>
      </c>
      <c r="AZ798" s="853" t="str">
        <f>+VLOOKUP($AJ798,Data_Validation!$A:$E,5,0)</f>
        <v>Oui</v>
      </c>
    </row>
    <row r="799" ht="15.0" customHeight="1">
      <c r="A799" s="849" t="s">
        <v>1239</v>
      </c>
      <c r="B799" s="849">
        <v>2026.0</v>
      </c>
      <c r="C799" s="849" t="s">
        <v>2800</v>
      </c>
      <c r="D799" s="849" t="s">
        <v>2801</v>
      </c>
      <c r="E799" s="849" t="s">
        <v>2701</v>
      </c>
      <c r="F799" s="849" t="s">
        <v>2426</v>
      </c>
      <c r="G799" s="849">
        <v>28409.34</v>
      </c>
      <c r="H799" s="849">
        <v>49297.1</v>
      </c>
      <c r="I799" s="849">
        <v>91732.95</v>
      </c>
      <c r="J799" s="849">
        <v>130796.36</v>
      </c>
      <c r="K799" s="849">
        <v>168162.88</v>
      </c>
      <c r="L799" s="849">
        <v>218773.9</v>
      </c>
      <c r="M799" s="849">
        <v>272745.54</v>
      </c>
      <c r="N799" s="849">
        <v>304187.03</v>
      </c>
      <c r="O799" s="849">
        <v>336117.52</v>
      </c>
      <c r="P799" s="849">
        <v>349566.23</v>
      </c>
      <c r="Q799" s="849">
        <v>0.0</v>
      </c>
      <c r="R799" s="849">
        <v>0.0</v>
      </c>
      <c r="S799" s="849">
        <v>37346.39</v>
      </c>
      <c r="T799" s="849">
        <v>37346.39</v>
      </c>
      <c r="U799" s="849">
        <v>0.0</v>
      </c>
      <c r="V799" s="849">
        <v>134.0</v>
      </c>
      <c r="W799" s="849">
        <v>265.0</v>
      </c>
      <c r="X799" s="849">
        <v>477.0</v>
      </c>
      <c r="Y799" s="849">
        <v>673.0</v>
      </c>
      <c r="Z799" s="849">
        <v>858.0</v>
      </c>
      <c r="AA799" s="849">
        <v>1080.0</v>
      </c>
      <c r="AB799" s="849">
        <v>1291.0</v>
      </c>
      <c r="AC799" s="849">
        <v>1485.0</v>
      </c>
      <c r="AD799" s="849">
        <v>1664.0</v>
      </c>
      <c r="AE799" s="849">
        <v>1750.0</v>
      </c>
      <c r="AF799" s="849">
        <v>0.0</v>
      </c>
      <c r="AG799" s="849">
        <v>0.0</v>
      </c>
      <c r="AH799" s="849">
        <v>185.0</v>
      </c>
      <c r="AI799" s="849">
        <v>185.0</v>
      </c>
      <c r="AJ799" s="794" t="str">
        <f t="shared" ref="AJ799:AK799" si="1595">C799</f>
        <v>G48200</v>
      </c>
      <c r="AK799" s="794" t="str">
        <f t="shared" si="1595"/>
        <v>VTES-PIECES AU DETAIL</v>
      </c>
      <c r="AL799" s="794">
        <f t="array" ref="AL799">IFERROR(INDEX(G799:R799,1,MATCH(Parametres!$B$3,G$1:R$1,0)-1)*IF(OR(F799="L",F799="S",F799="I"),-1,1),"")</f>
        <v>-304187.03</v>
      </c>
      <c r="AM799" s="794">
        <f t="shared" si="4"/>
        <v>-31930.49</v>
      </c>
      <c r="AN799" s="794">
        <f t="array" ref="AN799">INDEX(G799:R799,1,MATCH(Parametres!$B$3,G$1:R$1,0))*IF(OR(F799="L",F799="S",F799="I"),-1,1)</f>
        <v>-336117.52</v>
      </c>
      <c r="AO799" s="853" t="str">
        <f>+VLOOKUP($AJ799,Data_Validation!$A:$D,1,0)</f>
        <v>G48200</v>
      </c>
      <c r="AP799" s="853" t="str">
        <f>+VLOOKUP($AJ799,Data_Validation!$A:$D,3,0)</f>
        <v>Pièces</v>
      </c>
      <c r="AQ799" s="853" t="str">
        <f>+VLOOKUP($AJ799,Data_Validation!$A:$D,4,0)</f>
        <v>Ventes Détails</v>
      </c>
      <c r="AR799" s="853" t="s">
        <v>728</v>
      </c>
      <c r="AS799" s="853" t="str">
        <f>+VLOOKUP($AJ799,Data_Validation!$A:$E,5,0)</f>
        <v>Oui</v>
      </c>
      <c r="AT799" s="794" t="str">
        <f t="shared" ref="AT799:AU799" si="1596">C799</f>
        <v>G48200</v>
      </c>
      <c r="AU799" s="854" t="str">
        <f t="shared" si="1596"/>
        <v>VTES-PIECES AU DETAIL</v>
      </c>
      <c r="AV799" s="794">
        <f t="array" ref="AV799">IFERROR(INDEX(V799:AG799,1,MATCH(Parametres!$B$3,V$1:AG$1,0)-1)*IF(OR(C799="L",C799="S",C799="I"),-1,1),"")</f>
        <v>1485</v>
      </c>
      <c r="AW799" s="794">
        <f t="shared" si="6"/>
        <v>179</v>
      </c>
      <c r="AX799" s="794">
        <f t="array" ref="AX799">INDEX(V799:AG799,1,MATCH(Parametres!$B$3,V$1:AG$1,0))*IF(OR(C799="L",C799="S",C799="I"),-1,1)</f>
        <v>1664</v>
      </c>
      <c r="AY799" s="853" t="s">
        <v>772</v>
      </c>
      <c r="AZ799" s="853" t="str">
        <f>+VLOOKUP($AJ799,Data_Validation!$A:$E,5,0)</f>
        <v>Oui</v>
      </c>
    </row>
    <row r="800" ht="15.0" customHeight="1">
      <c r="A800" s="849" t="s">
        <v>1239</v>
      </c>
      <c r="B800" s="849">
        <v>2026.0</v>
      </c>
      <c r="C800" s="849" t="s">
        <v>2802</v>
      </c>
      <c r="D800" s="849" t="s">
        <v>2803</v>
      </c>
      <c r="E800" s="849" t="s">
        <v>2701</v>
      </c>
      <c r="F800" s="849" t="s">
        <v>2426</v>
      </c>
      <c r="G800" s="849">
        <v>177580.69</v>
      </c>
      <c r="H800" s="849">
        <v>320434.94</v>
      </c>
      <c r="I800" s="849">
        <v>444997.62</v>
      </c>
      <c r="J800" s="849">
        <v>542722.81</v>
      </c>
      <c r="K800" s="849">
        <v>669745.9</v>
      </c>
      <c r="L800" s="849">
        <v>794379.49</v>
      </c>
      <c r="M800" s="849">
        <v>932468.11</v>
      </c>
      <c r="N800" s="849">
        <v>1048595.52</v>
      </c>
      <c r="O800" s="849">
        <v>1196434.3</v>
      </c>
      <c r="P800" s="849">
        <v>1230048.43</v>
      </c>
      <c r="Q800" s="849">
        <v>0.0</v>
      </c>
      <c r="R800" s="849">
        <v>0.0</v>
      </c>
      <c r="S800" s="849">
        <v>132937.14</v>
      </c>
      <c r="T800" s="849">
        <v>132937.14</v>
      </c>
      <c r="U800" s="849">
        <v>0.0</v>
      </c>
      <c r="V800" s="849">
        <v>410.0</v>
      </c>
      <c r="W800" s="849">
        <v>772.0</v>
      </c>
      <c r="X800" s="849">
        <v>1157.0</v>
      </c>
      <c r="Y800" s="849">
        <v>1447.0</v>
      </c>
      <c r="Z800" s="849">
        <v>1762.0</v>
      </c>
      <c r="AA800" s="849">
        <v>2090.0</v>
      </c>
      <c r="AB800" s="849">
        <v>2411.0</v>
      </c>
      <c r="AC800" s="849">
        <v>2709.0</v>
      </c>
      <c r="AD800" s="849">
        <v>3075.0</v>
      </c>
      <c r="AE800" s="849">
        <v>3169.0</v>
      </c>
      <c r="AF800" s="849">
        <v>0.0</v>
      </c>
      <c r="AG800" s="849">
        <v>0.0</v>
      </c>
      <c r="AH800" s="849">
        <v>342.0</v>
      </c>
      <c r="AI800" s="849">
        <v>342.0</v>
      </c>
      <c r="AJ800" s="794" t="str">
        <f t="shared" ref="AJ800:AK800" si="1597">C800</f>
        <v>G48300</v>
      </c>
      <c r="AK800" s="794" t="str">
        <f t="shared" si="1597"/>
        <v>VTES-PIECES EN GROS</v>
      </c>
      <c r="AL800" s="794">
        <f t="array" ref="AL800">IFERROR(INDEX(G800:R800,1,MATCH(Parametres!$B$3,G$1:R$1,0)-1)*IF(OR(F800="L",F800="S",F800="I"),-1,1),"")</f>
        <v>-1048595.52</v>
      </c>
      <c r="AM800" s="794">
        <f t="shared" si="4"/>
        <v>-147838.78</v>
      </c>
      <c r="AN800" s="794">
        <f t="array" ref="AN800">INDEX(G800:R800,1,MATCH(Parametres!$B$3,G$1:R$1,0))*IF(OR(F800="L",F800="S",F800="I"),-1,1)</f>
        <v>-1196434.3</v>
      </c>
      <c r="AO800" s="853" t="str">
        <f>+VLOOKUP($AJ800,Data_Validation!$A:$D,1,0)</f>
        <v>G48300</v>
      </c>
      <c r="AP800" s="853" t="str">
        <f>+VLOOKUP($AJ800,Data_Validation!$A:$D,3,0)</f>
        <v>Pièces</v>
      </c>
      <c r="AQ800" s="853" t="str">
        <f>+VLOOKUP($AJ800,Data_Validation!$A:$D,4,0)</f>
        <v>Ventes de Gros</v>
      </c>
      <c r="AR800" s="853" t="s">
        <v>728</v>
      </c>
      <c r="AS800" s="853" t="str">
        <f>+VLOOKUP($AJ800,Data_Validation!$A:$E,5,0)</f>
        <v>Oui</v>
      </c>
      <c r="AT800" s="794" t="str">
        <f t="shared" ref="AT800:AU800" si="1598">C800</f>
        <v>G48300</v>
      </c>
      <c r="AU800" s="854" t="str">
        <f t="shared" si="1598"/>
        <v>VTES-PIECES EN GROS</v>
      </c>
      <c r="AV800" s="794">
        <f t="array" ref="AV800">IFERROR(INDEX(V800:AG800,1,MATCH(Parametres!$B$3,V$1:AG$1,0)-1)*IF(OR(C800="L",C800="S",C800="I"),-1,1),"")</f>
        <v>2709</v>
      </c>
      <c r="AW800" s="794">
        <f t="shared" si="6"/>
        <v>366</v>
      </c>
      <c r="AX800" s="794">
        <f t="array" ref="AX800">INDEX(V800:AG800,1,MATCH(Parametres!$B$3,V$1:AG$1,0))*IF(OR(C800="L",C800="S",C800="I"),-1,1)</f>
        <v>3075</v>
      </c>
      <c r="AY800" s="853" t="s">
        <v>772</v>
      </c>
      <c r="AZ800" s="853" t="str">
        <f>+VLOOKUP($AJ800,Data_Validation!$A:$E,5,0)</f>
        <v>Oui</v>
      </c>
    </row>
    <row r="801" ht="15.0" customHeight="1">
      <c r="A801" s="849" t="s">
        <v>1239</v>
      </c>
      <c r="B801" s="849">
        <v>2026.0</v>
      </c>
      <c r="C801" s="849" t="s">
        <v>2804</v>
      </c>
      <c r="D801" s="849" t="s">
        <v>2805</v>
      </c>
      <c r="E801" s="849" t="s">
        <v>768</v>
      </c>
      <c r="F801" s="849" t="s">
        <v>2426</v>
      </c>
      <c r="G801" s="849">
        <v>0.0</v>
      </c>
      <c r="H801" s="849">
        <v>0.0</v>
      </c>
      <c r="I801" s="849">
        <v>0.0</v>
      </c>
      <c r="J801" s="849">
        <v>0.0</v>
      </c>
      <c r="K801" s="849">
        <v>0.0</v>
      </c>
      <c r="L801" s="849">
        <v>0.0</v>
      </c>
      <c r="M801" s="849">
        <v>0.0</v>
      </c>
      <c r="N801" s="849">
        <v>0.0</v>
      </c>
      <c r="O801" s="849">
        <v>0.0</v>
      </c>
      <c r="P801" s="849">
        <v>0.0</v>
      </c>
      <c r="Q801" s="849">
        <v>0.0</v>
      </c>
      <c r="R801" s="849">
        <v>0.0</v>
      </c>
      <c r="S801" s="849">
        <v>0.0</v>
      </c>
      <c r="T801" s="849">
        <v>0.0</v>
      </c>
      <c r="U801" s="849">
        <v>0.0</v>
      </c>
      <c r="V801" s="849">
        <v>0.0</v>
      </c>
      <c r="W801" s="849">
        <v>0.0</v>
      </c>
      <c r="X801" s="849">
        <v>0.0</v>
      </c>
      <c r="Y801" s="849">
        <v>0.0</v>
      </c>
      <c r="Z801" s="849">
        <v>0.0</v>
      </c>
      <c r="AA801" s="849">
        <v>0.0</v>
      </c>
      <c r="AB801" s="849">
        <v>0.0</v>
      </c>
      <c r="AC801" s="849">
        <v>0.0</v>
      </c>
      <c r="AD801" s="849">
        <v>0.0</v>
      </c>
      <c r="AE801" s="849">
        <v>0.0</v>
      </c>
      <c r="AF801" s="849">
        <v>0.0</v>
      </c>
      <c r="AG801" s="849">
        <v>0.0</v>
      </c>
      <c r="AH801" s="849">
        <v>0.0</v>
      </c>
      <c r="AI801" s="849">
        <v>0.0</v>
      </c>
      <c r="AJ801" s="794" t="str">
        <f t="shared" ref="AJ801:AK801" si="1599">C801</f>
        <v>G48700</v>
      </c>
      <c r="AK801" s="794" t="str">
        <f t="shared" si="1599"/>
        <v>*ESCOMPTES DE VOLUME</v>
      </c>
      <c r="AL801" s="794">
        <f t="array" ref="AL801">IFERROR(INDEX(G801:R801,1,MATCH(Parametres!$B$3,G$1:R$1,0)-1)*IF(OR(F801="L",F801="S",F801="I"),-1,1),"")</f>
        <v>0</v>
      </c>
      <c r="AM801" s="794">
        <f t="shared" si="4"/>
        <v>0</v>
      </c>
      <c r="AN801" s="794">
        <f t="array" ref="AN801">INDEX(G801:R801,1,MATCH(Parametres!$B$3,G$1:R$1,0))*IF(OR(F801="L",F801="S",F801="I"),-1,1)</f>
        <v>0</v>
      </c>
      <c r="AO801" s="853" t="str">
        <f>+VLOOKUP($AJ801,Data_Validation!$A:$D,1,0)</f>
        <v>G48700</v>
      </c>
      <c r="AP801" s="853" t="str">
        <f>+VLOOKUP($AJ801,Data_Validation!$A:$D,3,0)</f>
        <v/>
      </c>
      <c r="AQ801" s="853" t="str">
        <f>+VLOOKUP($AJ801,Data_Validation!$A:$D,4,0)</f>
        <v/>
      </c>
      <c r="AR801" s="853" t="s">
        <v>728</v>
      </c>
      <c r="AS801" s="853" t="str">
        <f>+VLOOKUP($AJ801,Data_Validation!$A:$E,5,0)</f>
        <v/>
      </c>
      <c r="AT801" s="794" t="str">
        <f t="shared" ref="AT801:AU801" si="1600">C801</f>
        <v>G48700</v>
      </c>
      <c r="AU801" s="854" t="str">
        <f t="shared" si="1600"/>
        <v>*ESCOMPTES DE VOLUME</v>
      </c>
      <c r="AV801" s="794">
        <f t="array" ref="AV801">IFERROR(INDEX(V801:AG801,1,MATCH(Parametres!$B$3,V$1:AG$1,0)-1)*IF(OR(C801="L",C801="S",C801="I"),-1,1),"")</f>
        <v>0</v>
      </c>
      <c r="AW801" s="794">
        <f t="shared" si="6"/>
        <v>0</v>
      </c>
      <c r="AX801" s="794">
        <f t="array" ref="AX801">INDEX(V801:AG801,1,MATCH(Parametres!$B$3,V$1:AG$1,0))*IF(OR(C801="L",C801="S",C801="I"),-1,1)</f>
        <v>0</v>
      </c>
      <c r="AY801" s="853" t="s">
        <v>772</v>
      </c>
      <c r="AZ801" s="853" t="str">
        <f>+VLOOKUP($AJ801,Data_Validation!$A:$E,5,0)</f>
        <v/>
      </c>
    </row>
    <row r="802" ht="15.0" customHeight="1">
      <c r="A802" s="849" t="s">
        <v>1239</v>
      </c>
      <c r="B802" s="849">
        <v>2026.0</v>
      </c>
      <c r="C802" s="849" t="s">
        <v>2806</v>
      </c>
      <c r="D802" s="849" t="s">
        <v>2807</v>
      </c>
      <c r="E802" s="849" t="s">
        <v>768</v>
      </c>
      <c r="F802" s="849" t="s">
        <v>2426</v>
      </c>
      <c r="G802" s="849">
        <v>0.0</v>
      </c>
      <c r="H802" s="849">
        <v>0.0</v>
      </c>
      <c r="I802" s="849">
        <v>0.0</v>
      </c>
      <c r="J802" s="849">
        <v>0.0</v>
      </c>
      <c r="K802" s="849">
        <v>0.0</v>
      </c>
      <c r="L802" s="849">
        <v>0.0</v>
      </c>
      <c r="M802" s="849">
        <v>0.0</v>
      </c>
      <c r="N802" s="849">
        <v>0.0</v>
      </c>
      <c r="O802" s="849">
        <v>0.0</v>
      </c>
      <c r="P802" s="849">
        <v>0.0</v>
      </c>
      <c r="Q802" s="849">
        <v>0.0</v>
      </c>
      <c r="R802" s="849">
        <v>0.0</v>
      </c>
      <c r="S802" s="849">
        <v>0.0</v>
      </c>
      <c r="T802" s="849">
        <v>0.0</v>
      </c>
      <c r="U802" s="849">
        <v>0.0</v>
      </c>
      <c r="V802" s="849">
        <v>0.0</v>
      </c>
      <c r="W802" s="849">
        <v>0.0</v>
      </c>
      <c r="X802" s="849">
        <v>0.0</v>
      </c>
      <c r="Y802" s="849">
        <v>0.0</v>
      </c>
      <c r="Z802" s="849">
        <v>0.0</v>
      </c>
      <c r="AA802" s="849">
        <v>0.0</v>
      </c>
      <c r="AB802" s="849">
        <v>0.0</v>
      </c>
      <c r="AC802" s="849">
        <v>0.0</v>
      </c>
      <c r="AD802" s="849">
        <v>0.0</v>
      </c>
      <c r="AE802" s="849">
        <v>0.0</v>
      </c>
      <c r="AF802" s="849">
        <v>0.0</v>
      </c>
      <c r="AG802" s="849">
        <v>0.0</v>
      </c>
      <c r="AH802" s="849">
        <v>0.0</v>
      </c>
      <c r="AI802" s="849">
        <v>0.0</v>
      </c>
      <c r="AJ802" s="794" t="str">
        <f t="shared" ref="AJ802:AK802" si="1601">C802</f>
        <v>G48800</v>
      </c>
      <c r="AK802" s="794" t="str">
        <f t="shared" si="1601"/>
        <v>*RECTIFIC.STOCK PIECES</v>
      </c>
      <c r="AL802" s="794">
        <f t="array" ref="AL802">IFERROR(INDEX(G802:R802,1,MATCH(Parametres!$B$3,G$1:R$1,0)-1)*IF(OR(F802="L",F802="S",F802="I"),-1,1),"")</f>
        <v>0</v>
      </c>
      <c r="AM802" s="794">
        <f t="shared" si="4"/>
        <v>0</v>
      </c>
      <c r="AN802" s="794">
        <f t="array" ref="AN802">INDEX(G802:R802,1,MATCH(Parametres!$B$3,G$1:R$1,0))*IF(OR(F802="L",F802="S",F802="I"),-1,1)</f>
        <v>0</v>
      </c>
      <c r="AO802" s="853" t="str">
        <f>+VLOOKUP($AJ802,Data_Validation!$A:$D,1,0)</f>
        <v>G48800</v>
      </c>
      <c r="AP802" s="853" t="str">
        <f>+VLOOKUP($AJ802,Data_Validation!$A:$D,3,0)</f>
        <v/>
      </c>
      <c r="AQ802" s="853" t="str">
        <f>+VLOOKUP($AJ802,Data_Validation!$A:$D,4,0)</f>
        <v/>
      </c>
      <c r="AR802" s="853" t="s">
        <v>728</v>
      </c>
      <c r="AS802" s="853" t="str">
        <f>+VLOOKUP($AJ802,Data_Validation!$A:$E,5,0)</f>
        <v/>
      </c>
      <c r="AT802" s="794" t="str">
        <f t="shared" ref="AT802:AU802" si="1602">C802</f>
        <v>G48800</v>
      </c>
      <c r="AU802" s="854" t="str">
        <f t="shared" si="1602"/>
        <v>*RECTIFIC.STOCK PIECES</v>
      </c>
      <c r="AV802" s="794">
        <f t="array" ref="AV802">IFERROR(INDEX(V802:AG802,1,MATCH(Parametres!$B$3,V$1:AG$1,0)-1)*IF(OR(C802="L",C802="S",C802="I"),-1,1),"")</f>
        <v>0</v>
      </c>
      <c r="AW802" s="794">
        <f t="shared" si="6"/>
        <v>0</v>
      </c>
      <c r="AX802" s="794">
        <f t="array" ref="AX802">INDEX(V802:AG802,1,MATCH(Parametres!$B$3,V$1:AG$1,0))*IF(OR(C802="L",C802="S",C802="I"),-1,1)</f>
        <v>0</v>
      </c>
      <c r="AY802" s="853" t="s">
        <v>772</v>
      </c>
      <c r="AZ802" s="853" t="str">
        <f>+VLOOKUP($AJ802,Data_Validation!$A:$E,5,0)</f>
        <v/>
      </c>
    </row>
    <row r="803" ht="15.0" customHeight="1">
      <c r="A803" s="849" t="s">
        <v>1239</v>
      </c>
      <c r="B803" s="849">
        <v>2026.0</v>
      </c>
      <c r="C803" s="849" t="s">
        <v>2808</v>
      </c>
      <c r="D803" s="849" t="s">
        <v>2809</v>
      </c>
      <c r="E803" s="849" t="s">
        <v>2701</v>
      </c>
      <c r="F803" s="849" t="s">
        <v>2426</v>
      </c>
      <c r="G803" s="849">
        <v>40036.18</v>
      </c>
      <c r="H803" s="849">
        <v>70738.16</v>
      </c>
      <c r="I803" s="849">
        <v>87648.34</v>
      </c>
      <c r="J803" s="849">
        <v>113298.18</v>
      </c>
      <c r="K803" s="849">
        <v>128407.36</v>
      </c>
      <c r="L803" s="849">
        <v>147040.27</v>
      </c>
      <c r="M803" s="849">
        <v>159645.31</v>
      </c>
      <c r="N803" s="849">
        <v>178315.33</v>
      </c>
      <c r="O803" s="849">
        <v>217979.29</v>
      </c>
      <c r="P803" s="849">
        <v>231889.47</v>
      </c>
      <c r="Q803" s="849">
        <v>0.0</v>
      </c>
      <c r="R803" s="849">
        <v>0.0</v>
      </c>
      <c r="S803" s="849">
        <v>24219.92</v>
      </c>
      <c r="T803" s="849">
        <v>24219.92</v>
      </c>
      <c r="U803" s="849">
        <v>0.0</v>
      </c>
      <c r="V803" s="849">
        <v>39.0</v>
      </c>
      <c r="W803" s="849">
        <v>72.0</v>
      </c>
      <c r="X803" s="849">
        <v>86.0</v>
      </c>
      <c r="Y803" s="849">
        <v>115.0</v>
      </c>
      <c r="Z803" s="849">
        <v>132.0</v>
      </c>
      <c r="AA803" s="849">
        <v>152.0</v>
      </c>
      <c r="AB803" s="849">
        <v>167.0</v>
      </c>
      <c r="AC803" s="849">
        <v>191.0</v>
      </c>
      <c r="AD803" s="849">
        <v>233.0</v>
      </c>
      <c r="AE803" s="849">
        <v>255.0</v>
      </c>
      <c r="AF803" s="849">
        <v>0.0</v>
      </c>
      <c r="AG803" s="849">
        <v>0.0</v>
      </c>
      <c r="AH803" s="849">
        <v>26.0</v>
      </c>
      <c r="AI803" s="849">
        <v>26.0</v>
      </c>
      <c r="AJ803" s="794" t="str">
        <f t="shared" ref="AJ803:AK803" si="1603">C803</f>
        <v>G49000</v>
      </c>
      <c r="AK803" s="794" t="str">
        <f t="shared" si="1603"/>
        <v>VTES-DE PNEUS</v>
      </c>
      <c r="AL803" s="794">
        <f t="array" ref="AL803">IFERROR(INDEX(G803:R803,1,MATCH(Parametres!$B$3,G$1:R$1,0)-1)*IF(OR(F803="L",F803="S",F803="I"),-1,1),"")</f>
        <v>-178315.33</v>
      </c>
      <c r="AM803" s="794">
        <f t="shared" si="4"/>
        <v>-39663.96</v>
      </c>
      <c r="AN803" s="794">
        <f t="array" ref="AN803">INDEX(G803:R803,1,MATCH(Parametres!$B$3,G$1:R$1,0))*IF(OR(F803="L",F803="S",F803="I"),-1,1)</f>
        <v>-217979.29</v>
      </c>
      <c r="AO803" s="853" t="str">
        <f>+VLOOKUP($AJ803,Data_Validation!$A:$D,1,0)</f>
        <v>G49000</v>
      </c>
      <c r="AP803" s="853" t="str">
        <f>+VLOOKUP($AJ803,Data_Validation!$A:$D,3,0)</f>
        <v>Pièces</v>
      </c>
      <c r="AQ803" s="853" t="str">
        <f>+VLOOKUP($AJ803,Data_Validation!$A:$D,4,0)</f>
        <v>Ventes Pneus</v>
      </c>
      <c r="AR803" s="853" t="s">
        <v>728</v>
      </c>
      <c r="AS803" s="853" t="str">
        <f>+VLOOKUP($AJ803,Data_Validation!$A:$E,5,0)</f>
        <v>Oui</v>
      </c>
      <c r="AT803" s="794" t="str">
        <f t="shared" ref="AT803:AU803" si="1604">C803</f>
        <v>G49000</v>
      </c>
      <c r="AU803" s="854" t="str">
        <f t="shared" si="1604"/>
        <v>VTES-DE PNEUS</v>
      </c>
      <c r="AV803" s="794">
        <f t="array" ref="AV803">IFERROR(INDEX(V803:AG803,1,MATCH(Parametres!$B$3,V$1:AG$1,0)-1)*IF(OR(C803="L",C803="S",C803="I"),-1,1),"")</f>
        <v>191</v>
      </c>
      <c r="AW803" s="794">
        <f t="shared" si="6"/>
        <v>42</v>
      </c>
      <c r="AX803" s="794">
        <f t="array" ref="AX803">INDEX(V803:AG803,1,MATCH(Parametres!$B$3,V$1:AG$1,0))*IF(OR(C803="L",C803="S",C803="I"),-1,1)</f>
        <v>233</v>
      </c>
      <c r="AY803" s="853" t="s">
        <v>772</v>
      </c>
      <c r="AZ803" s="853" t="str">
        <f>+VLOOKUP($AJ803,Data_Validation!$A:$E,5,0)</f>
        <v>Oui</v>
      </c>
    </row>
    <row r="804" ht="15.0" customHeight="1">
      <c r="A804" s="849" t="s">
        <v>1239</v>
      </c>
      <c r="B804" s="849">
        <v>2026.0</v>
      </c>
      <c r="C804" s="849" t="s">
        <v>2810</v>
      </c>
      <c r="D804" s="849" t="s">
        <v>2811</v>
      </c>
      <c r="E804" s="849" t="s">
        <v>2701</v>
      </c>
      <c r="F804" s="849" t="s">
        <v>2426</v>
      </c>
      <c r="G804" s="849">
        <v>9627.38</v>
      </c>
      <c r="H804" s="849">
        <v>19499.64</v>
      </c>
      <c r="I804" s="849">
        <v>32785.91</v>
      </c>
      <c r="J804" s="849">
        <v>44242.82</v>
      </c>
      <c r="K804" s="849">
        <v>55841.85</v>
      </c>
      <c r="L804" s="849">
        <v>70711.05</v>
      </c>
      <c r="M804" s="849">
        <v>83376.42</v>
      </c>
      <c r="N804" s="849">
        <v>96955.11</v>
      </c>
      <c r="O804" s="849">
        <v>110623.71</v>
      </c>
      <c r="P804" s="849">
        <v>114238.22</v>
      </c>
      <c r="Q804" s="849">
        <v>0.0</v>
      </c>
      <c r="R804" s="849">
        <v>0.0</v>
      </c>
      <c r="S804" s="849">
        <v>12291.52</v>
      </c>
      <c r="T804" s="849">
        <v>12291.52</v>
      </c>
      <c r="U804" s="849">
        <v>0.0</v>
      </c>
      <c r="V804" s="849">
        <v>140.0</v>
      </c>
      <c r="W804" s="849">
        <v>273.0</v>
      </c>
      <c r="X804" s="849">
        <v>453.0</v>
      </c>
      <c r="Y804" s="849">
        <v>656.0</v>
      </c>
      <c r="Z804" s="849">
        <v>845.0</v>
      </c>
      <c r="AA804" s="849">
        <v>1067.0</v>
      </c>
      <c r="AB804" s="849">
        <v>1243.0</v>
      </c>
      <c r="AC804" s="849">
        <v>1440.0</v>
      </c>
      <c r="AD804" s="849">
        <v>1602.0</v>
      </c>
      <c r="AE804" s="849">
        <v>1662.0</v>
      </c>
      <c r="AF804" s="849">
        <v>0.0</v>
      </c>
      <c r="AG804" s="849">
        <v>0.0</v>
      </c>
      <c r="AH804" s="849">
        <v>178.0</v>
      </c>
      <c r="AI804" s="849">
        <v>178.0</v>
      </c>
      <c r="AJ804" s="794" t="str">
        <f t="shared" ref="AJ804:AK804" si="1605">C804</f>
        <v>G49100</v>
      </c>
      <c r="AK804" s="794" t="str">
        <f t="shared" si="1605"/>
        <v>VTES-HUILES &amp; GRAISSE</v>
      </c>
      <c r="AL804" s="794">
        <f t="array" ref="AL804">IFERROR(INDEX(G804:R804,1,MATCH(Parametres!$B$3,G$1:R$1,0)-1)*IF(OR(F804="L",F804="S",F804="I"),-1,1),"")</f>
        <v>-96955.11</v>
      </c>
      <c r="AM804" s="794">
        <f t="shared" si="4"/>
        <v>-13668.6</v>
      </c>
      <c r="AN804" s="794">
        <f t="array" ref="AN804">INDEX(G804:R804,1,MATCH(Parametres!$B$3,G$1:R$1,0))*IF(OR(F804="L",F804="S",F804="I"),-1,1)</f>
        <v>-110623.71</v>
      </c>
      <c r="AO804" s="853" t="str">
        <f>+VLOOKUP($AJ804,Data_Validation!$A:$D,1,0)</f>
        <v>G49100</v>
      </c>
      <c r="AP804" s="853" t="str">
        <f>+VLOOKUP($AJ804,Data_Validation!$A:$D,3,0)</f>
        <v>Pièces</v>
      </c>
      <c r="AQ804" s="853" t="str">
        <f>+VLOOKUP($AJ804,Data_Validation!$A:$D,4,0)</f>
        <v>Huiles et Graisse</v>
      </c>
      <c r="AR804" s="853" t="s">
        <v>728</v>
      </c>
      <c r="AS804" s="853" t="str">
        <f>+VLOOKUP($AJ804,Data_Validation!$A:$E,5,0)</f>
        <v>Oui</v>
      </c>
      <c r="AT804" s="794" t="str">
        <f t="shared" ref="AT804:AU804" si="1606">C804</f>
        <v>G49100</v>
      </c>
      <c r="AU804" s="854" t="str">
        <f t="shared" si="1606"/>
        <v>VTES-HUILES &amp; GRAISSE</v>
      </c>
      <c r="AV804" s="794">
        <f t="array" ref="AV804">IFERROR(INDEX(V804:AG804,1,MATCH(Parametres!$B$3,V$1:AG$1,0)-1)*IF(OR(C804="L",C804="S",C804="I"),-1,1),"")</f>
        <v>1440</v>
      </c>
      <c r="AW804" s="794">
        <f t="shared" si="6"/>
        <v>162</v>
      </c>
      <c r="AX804" s="794">
        <f t="array" ref="AX804">INDEX(V804:AG804,1,MATCH(Parametres!$B$3,V$1:AG$1,0))*IF(OR(C804="L",C804="S",C804="I"),-1,1)</f>
        <v>1602</v>
      </c>
      <c r="AY804" s="853" t="s">
        <v>772</v>
      </c>
      <c r="AZ804" s="853" t="str">
        <f>+VLOOKUP($AJ804,Data_Validation!$A:$E,5,0)</f>
        <v>Oui</v>
      </c>
    </row>
    <row r="805" ht="15.0" customHeight="1">
      <c r="A805" s="849" t="s">
        <v>1239</v>
      </c>
      <c r="B805" s="849">
        <v>2026.0</v>
      </c>
      <c r="C805" s="849" t="s">
        <v>2812</v>
      </c>
      <c r="D805" s="849" t="s">
        <v>2813</v>
      </c>
      <c r="E805" s="849" t="s">
        <v>768</v>
      </c>
      <c r="F805" s="849" t="s">
        <v>2814</v>
      </c>
      <c r="G805" s="849">
        <v>0.0</v>
      </c>
      <c r="H805" s="849">
        <v>0.0</v>
      </c>
      <c r="I805" s="849">
        <v>0.0</v>
      </c>
      <c r="J805" s="849">
        <v>0.0</v>
      </c>
      <c r="K805" s="849">
        <v>0.0</v>
      </c>
      <c r="L805" s="849">
        <v>0.0</v>
      </c>
      <c r="M805" s="849">
        <v>0.0</v>
      </c>
      <c r="N805" s="849">
        <v>0.0</v>
      </c>
      <c r="O805" s="849">
        <v>0.0</v>
      </c>
      <c r="P805" s="849">
        <v>0.0</v>
      </c>
      <c r="Q805" s="849">
        <v>0.0</v>
      </c>
      <c r="R805" s="849">
        <v>0.0</v>
      </c>
      <c r="S805" s="849">
        <v>0.0</v>
      </c>
      <c r="T805" s="849">
        <v>0.0</v>
      </c>
      <c r="U805" s="849">
        <v>0.0</v>
      </c>
      <c r="V805" s="849">
        <v>0.0</v>
      </c>
      <c r="W805" s="849">
        <v>0.0</v>
      </c>
      <c r="X805" s="849">
        <v>0.0</v>
      </c>
      <c r="Y805" s="849">
        <v>0.0</v>
      </c>
      <c r="Z805" s="849">
        <v>0.0</v>
      </c>
      <c r="AA805" s="849">
        <v>0.0</v>
      </c>
      <c r="AB805" s="849">
        <v>0.0</v>
      </c>
      <c r="AC805" s="849">
        <v>0.0</v>
      </c>
      <c r="AD805" s="849">
        <v>0.0</v>
      </c>
      <c r="AE805" s="849">
        <v>0.0</v>
      </c>
      <c r="AF805" s="849">
        <v>0.0</v>
      </c>
      <c r="AG805" s="849">
        <v>0.0</v>
      </c>
      <c r="AH805" s="849">
        <v>0.0</v>
      </c>
      <c r="AI805" s="849">
        <v>0.0</v>
      </c>
      <c r="AJ805" s="794" t="str">
        <f t="shared" ref="AJ805:AK805" si="1607">C805</f>
        <v>G50210</v>
      </c>
      <c r="AK805" s="794" t="str">
        <f t="shared" si="1607"/>
        <v>REVENUS LOCATION SERVICE</v>
      </c>
      <c r="AL805" s="794">
        <f t="array" ref="AL805">IFERROR(INDEX(G805:R805,1,MATCH(Parametres!$B$3,G$1:R$1,0)-1)*IF(OR(F805="L",F805="S",F805="I"),-1,1),"")</f>
        <v>0</v>
      </c>
      <c r="AM805" s="794">
        <f t="shared" si="4"/>
        <v>0</v>
      </c>
      <c r="AN805" s="794">
        <f t="array" ref="AN805">INDEX(G805:R805,1,MATCH(Parametres!$B$3,G$1:R$1,0))*IF(OR(F805="L",F805="S",F805="I"),-1,1)</f>
        <v>0</v>
      </c>
      <c r="AO805" s="853" t="str">
        <f>+VLOOKUP($AJ805,Data_Validation!$A:$D,1,0)</f>
        <v>G50210</v>
      </c>
      <c r="AP805" s="853" t="str">
        <f>+VLOOKUP($AJ805,Data_Validation!$A:$D,3,0)</f>
        <v>Service</v>
      </c>
      <c r="AQ805" s="853" t="str">
        <f>+VLOOKUP($AJ805,Data_Validation!$A:$D,4,0)</f>
        <v>Frais véhicules de cie</v>
      </c>
      <c r="AR805" s="853" t="s">
        <v>728</v>
      </c>
      <c r="AS805" s="853" t="str">
        <f>+VLOOKUP($AJ805,Data_Validation!$A:$E,5,0)</f>
        <v/>
      </c>
      <c r="AT805" s="794" t="str">
        <f t="shared" ref="AT805:AU805" si="1608">C805</f>
        <v>G50210</v>
      </c>
      <c r="AU805" s="854" t="str">
        <f t="shared" si="1608"/>
        <v>REVENUS LOCATION SERVICE</v>
      </c>
      <c r="AV805" s="794">
        <f t="array" ref="AV805">IFERROR(INDEX(V805:AG805,1,MATCH(Parametres!$B$3,V$1:AG$1,0)-1)*IF(OR(C805="L",C805="S",C805="I"),-1,1),"")</f>
        <v>0</v>
      </c>
      <c r="AW805" s="794">
        <f t="shared" si="6"/>
        <v>0</v>
      </c>
      <c r="AX805" s="794">
        <f t="array" ref="AX805">INDEX(V805:AG805,1,MATCH(Parametres!$B$3,V$1:AG$1,0))*IF(OR(C805="L",C805="S",C805="I"),-1,1)</f>
        <v>0</v>
      </c>
      <c r="AY805" s="853" t="s">
        <v>772</v>
      </c>
      <c r="AZ805" s="853" t="str">
        <f>+VLOOKUP($AJ805,Data_Validation!$A:$E,5,0)</f>
        <v/>
      </c>
    </row>
    <row r="806" ht="15.0" customHeight="1">
      <c r="A806" s="849" t="s">
        <v>1239</v>
      </c>
      <c r="B806" s="849">
        <v>2026.0</v>
      </c>
      <c r="C806" s="849" t="s">
        <v>2815</v>
      </c>
      <c r="D806" s="849" t="s">
        <v>2816</v>
      </c>
      <c r="E806" s="849" t="s">
        <v>768</v>
      </c>
      <c r="F806" s="849" t="s">
        <v>2814</v>
      </c>
      <c r="G806" s="849">
        <v>0.0</v>
      </c>
      <c r="H806" s="849">
        <v>-3076.58</v>
      </c>
      <c r="I806" s="849">
        <v>-3310.58</v>
      </c>
      <c r="J806" s="849">
        <v>-4666.43</v>
      </c>
      <c r="K806" s="849">
        <v>-5040.79</v>
      </c>
      <c r="L806" s="849">
        <v>-5092.79</v>
      </c>
      <c r="M806" s="849">
        <v>-5092.79</v>
      </c>
      <c r="N806" s="849">
        <v>-7877.55</v>
      </c>
      <c r="O806" s="849">
        <v>-9257.0</v>
      </c>
      <c r="P806" s="849">
        <v>-9758.03</v>
      </c>
      <c r="Q806" s="849">
        <v>0.0</v>
      </c>
      <c r="R806" s="849">
        <v>0.0</v>
      </c>
      <c r="S806" s="849">
        <v>-1028.56</v>
      </c>
      <c r="T806" s="849">
        <v>-1028.56</v>
      </c>
      <c r="U806" s="849">
        <v>0.0</v>
      </c>
      <c r="V806" s="849">
        <v>0.0</v>
      </c>
      <c r="W806" s="849">
        <v>-4.0</v>
      </c>
      <c r="X806" s="849">
        <v>-5.0</v>
      </c>
      <c r="Y806" s="849">
        <v>-6.0</v>
      </c>
      <c r="Z806" s="849">
        <v>-7.0</v>
      </c>
      <c r="AA806" s="849">
        <v>-8.0</v>
      </c>
      <c r="AB806" s="849">
        <v>-8.0</v>
      </c>
      <c r="AC806" s="849">
        <v>-10.0</v>
      </c>
      <c r="AD806" s="849">
        <v>-14.0</v>
      </c>
      <c r="AE806" s="849">
        <v>-15.0</v>
      </c>
      <c r="AF806" s="849">
        <v>0.0</v>
      </c>
      <c r="AG806" s="849">
        <v>0.0</v>
      </c>
      <c r="AH806" s="849">
        <v>-2.0</v>
      </c>
      <c r="AI806" s="849">
        <v>-2.0</v>
      </c>
      <c r="AJ806" s="794" t="str">
        <f t="shared" ref="AJ806:AK806" si="1609">C806</f>
        <v>G50220</v>
      </c>
      <c r="AK806" s="794" t="str">
        <f t="shared" si="1609"/>
        <v>REVENUS LOCATION BODY</v>
      </c>
      <c r="AL806" s="794">
        <f t="array" ref="AL806">IFERROR(INDEX(G806:R806,1,MATCH(Parametres!$B$3,G$1:R$1,0)-1)*IF(OR(F806="L",F806="S",F806="I"),-1,1),"")</f>
        <v>7877.55</v>
      </c>
      <c r="AM806" s="794">
        <f t="shared" si="4"/>
        <v>1379.45</v>
      </c>
      <c r="AN806" s="794">
        <f t="array" ref="AN806">INDEX(G806:R806,1,MATCH(Parametres!$B$3,G$1:R$1,0))*IF(OR(F806="L",F806="S",F806="I"),-1,1)</f>
        <v>9257</v>
      </c>
      <c r="AO806" s="853" t="str">
        <f>+VLOOKUP($AJ806,Data_Validation!$A:$D,1,0)</f>
        <v>G50220</v>
      </c>
      <c r="AP806" s="853" t="str">
        <f>+VLOOKUP($AJ806,Data_Validation!$A:$D,3,0)</f>
        <v>Carrosserie</v>
      </c>
      <c r="AQ806" s="853" t="str">
        <f>+VLOOKUP($AJ806,Data_Validation!$A:$D,4,0)</f>
        <v>Frais véhicules de cie</v>
      </c>
      <c r="AR806" s="853" t="s">
        <v>728</v>
      </c>
      <c r="AS806" s="853" t="str">
        <f>+VLOOKUP($AJ806,Data_Validation!$A:$E,5,0)</f>
        <v/>
      </c>
      <c r="AT806" s="794" t="str">
        <f t="shared" ref="AT806:AU806" si="1610">C806</f>
        <v>G50220</v>
      </c>
      <c r="AU806" s="854" t="str">
        <f t="shared" si="1610"/>
        <v>REVENUS LOCATION BODY</v>
      </c>
      <c r="AV806" s="794">
        <f t="array" ref="AV806">IFERROR(INDEX(V806:AG806,1,MATCH(Parametres!$B$3,V$1:AG$1,0)-1)*IF(OR(C806="L",C806="S",C806="I"),-1,1),"")</f>
        <v>-10</v>
      </c>
      <c r="AW806" s="794">
        <f t="shared" si="6"/>
        <v>-4</v>
      </c>
      <c r="AX806" s="794">
        <f t="array" ref="AX806">INDEX(V806:AG806,1,MATCH(Parametres!$B$3,V$1:AG$1,0))*IF(OR(C806="L",C806="S",C806="I"),-1,1)</f>
        <v>-14</v>
      </c>
      <c r="AY806" s="853" t="s">
        <v>772</v>
      </c>
      <c r="AZ806" s="853" t="str">
        <f>+VLOOKUP($AJ806,Data_Validation!$A:$E,5,0)</f>
        <v/>
      </c>
    </row>
    <row r="807" ht="15.0" customHeight="1">
      <c r="A807" s="849" t="s">
        <v>1239</v>
      </c>
      <c r="B807" s="849">
        <v>2026.0</v>
      </c>
      <c r="C807" s="849" t="s">
        <v>2817</v>
      </c>
      <c r="D807" s="849" t="s">
        <v>2818</v>
      </c>
      <c r="E807" s="849" t="s">
        <v>768</v>
      </c>
      <c r="F807" s="849" t="s">
        <v>2814</v>
      </c>
      <c r="G807" s="849">
        <v>0.0</v>
      </c>
      <c r="H807" s="849">
        <v>0.0</v>
      </c>
      <c r="I807" s="849">
        <v>0.0</v>
      </c>
      <c r="J807" s="849">
        <v>0.0</v>
      </c>
      <c r="K807" s="849">
        <v>0.0</v>
      </c>
      <c r="L807" s="849">
        <v>0.0</v>
      </c>
      <c r="M807" s="849">
        <v>0.0</v>
      </c>
      <c r="N807" s="849">
        <v>0.0</v>
      </c>
      <c r="O807" s="849">
        <v>0.0</v>
      </c>
      <c r="P807" s="849">
        <v>0.0</v>
      </c>
      <c r="Q807" s="849">
        <v>0.0</v>
      </c>
      <c r="R807" s="849">
        <v>0.0</v>
      </c>
      <c r="S807" s="849">
        <v>0.0</v>
      </c>
      <c r="T807" s="849">
        <v>0.0</v>
      </c>
      <c r="U807" s="849">
        <v>0.0</v>
      </c>
      <c r="V807" s="849">
        <v>0.0</v>
      </c>
      <c r="W807" s="849">
        <v>0.0</v>
      </c>
      <c r="X807" s="849">
        <v>0.0</v>
      </c>
      <c r="Y807" s="849">
        <v>0.0</v>
      </c>
      <c r="Z807" s="849">
        <v>0.0</v>
      </c>
      <c r="AA807" s="849">
        <v>0.0</v>
      </c>
      <c r="AB807" s="849">
        <v>0.0</v>
      </c>
      <c r="AC807" s="849">
        <v>0.0</v>
      </c>
      <c r="AD807" s="849">
        <v>0.0</v>
      </c>
      <c r="AE807" s="849">
        <v>0.0</v>
      </c>
      <c r="AF807" s="849">
        <v>0.0</v>
      </c>
      <c r="AG807" s="849">
        <v>0.0</v>
      </c>
      <c r="AH807" s="849">
        <v>0.0</v>
      </c>
      <c r="AI807" s="849">
        <v>0.0</v>
      </c>
      <c r="AJ807" s="794" t="str">
        <f t="shared" ref="AJ807:AK807" si="1611">C807</f>
        <v>G511</v>
      </c>
      <c r="AK807" s="794" t="str">
        <f t="shared" si="1611"/>
        <v>PMNT PER. LOC.BAIL-SIMPLE</v>
      </c>
      <c r="AL807" s="794">
        <f t="array" ref="AL807">IFERROR(INDEX(G807:R807,1,MATCH(Parametres!$B$3,G$1:R$1,0)-1)*IF(OR(F807="L",F807="S",F807="I"),-1,1),"")</f>
        <v>0</v>
      </c>
      <c r="AM807" s="794">
        <f t="shared" si="4"/>
        <v>0</v>
      </c>
      <c r="AN807" s="794">
        <f t="array" ref="AN807">INDEX(G807:R807,1,MATCH(Parametres!$B$3,G$1:R$1,0))*IF(OR(F807="L",F807="S",F807="I"),-1,1)</f>
        <v>0</v>
      </c>
      <c r="AO807" s="853" t="str">
        <f>+VLOOKUP($AJ807,Data_Validation!$A:$D,1,0)</f>
        <v>#N/A</v>
      </c>
      <c r="AP807" s="853" t="str">
        <f>+VLOOKUP($AJ807,Data_Validation!$A:$D,3,0)</f>
        <v>#N/A</v>
      </c>
      <c r="AQ807" s="853" t="str">
        <f>+VLOOKUP($AJ807,Data_Validation!$A:$D,4,0)</f>
        <v>#N/A</v>
      </c>
      <c r="AR807" s="853" t="s">
        <v>728</v>
      </c>
      <c r="AS807" s="853" t="str">
        <f>+VLOOKUP($AJ807,Data_Validation!$A:$E,5,0)</f>
        <v>#N/A</v>
      </c>
      <c r="AT807" s="794" t="str">
        <f t="shared" ref="AT807:AU807" si="1612">C807</f>
        <v>G511</v>
      </c>
      <c r="AU807" s="854" t="str">
        <f t="shared" si="1612"/>
        <v>PMNT PER. LOC.BAIL-SIMPLE</v>
      </c>
      <c r="AV807" s="794">
        <f t="array" ref="AV807">IFERROR(INDEX(V807:AG807,1,MATCH(Parametres!$B$3,V$1:AG$1,0)-1)*IF(OR(C807="L",C807="S",C807="I"),-1,1),"")</f>
        <v>0</v>
      </c>
      <c r="AW807" s="794">
        <f t="shared" si="6"/>
        <v>0</v>
      </c>
      <c r="AX807" s="794">
        <f t="array" ref="AX807">INDEX(V807:AG807,1,MATCH(Parametres!$B$3,V$1:AG$1,0))*IF(OR(C807="L",C807="S",C807="I"),-1,1)</f>
        <v>0</v>
      </c>
      <c r="AY807" s="853" t="s">
        <v>772</v>
      </c>
      <c r="AZ807" s="853" t="str">
        <f>+VLOOKUP($AJ807,Data_Validation!$A:$E,5,0)</f>
        <v>#N/A</v>
      </c>
    </row>
    <row r="808" ht="15.0" customHeight="1">
      <c r="A808" s="849" t="s">
        <v>1239</v>
      </c>
      <c r="B808" s="849">
        <v>2026.0</v>
      </c>
      <c r="C808" s="849" t="s">
        <v>2819</v>
      </c>
      <c r="D808" s="849" t="s">
        <v>2820</v>
      </c>
      <c r="E808" s="849" t="s">
        <v>768</v>
      </c>
      <c r="F808" s="849" t="s">
        <v>2814</v>
      </c>
      <c r="G808" s="849">
        <v>0.0</v>
      </c>
      <c r="H808" s="849">
        <v>0.0</v>
      </c>
      <c r="I808" s="849">
        <v>0.0</v>
      </c>
      <c r="J808" s="849">
        <v>0.0</v>
      </c>
      <c r="K808" s="849">
        <v>0.0</v>
      </c>
      <c r="L808" s="849">
        <v>0.0</v>
      </c>
      <c r="M808" s="849">
        <v>0.0</v>
      </c>
      <c r="N808" s="849">
        <v>0.0</v>
      </c>
      <c r="O808" s="849">
        <v>0.0</v>
      </c>
      <c r="P808" s="849">
        <v>0.0</v>
      </c>
      <c r="Q808" s="849">
        <v>0.0</v>
      </c>
      <c r="R808" s="849">
        <v>0.0</v>
      </c>
      <c r="S808" s="849">
        <v>0.0</v>
      </c>
      <c r="T808" s="849">
        <v>0.0</v>
      </c>
      <c r="U808" s="849">
        <v>0.0</v>
      </c>
      <c r="V808" s="849">
        <v>0.0</v>
      </c>
      <c r="W808" s="849">
        <v>0.0</v>
      </c>
      <c r="X808" s="849">
        <v>0.0</v>
      </c>
      <c r="Y808" s="849">
        <v>0.0</v>
      </c>
      <c r="Z808" s="849">
        <v>0.0</v>
      </c>
      <c r="AA808" s="849">
        <v>0.0</v>
      </c>
      <c r="AB808" s="849">
        <v>0.0</v>
      </c>
      <c r="AC808" s="849">
        <v>0.0</v>
      </c>
      <c r="AD808" s="849">
        <v>0.0</v>
      </c>
      <c r="AE808" s="849">
        <v>0.0</v>
      </c>
      <c r="AF808" s="849">
        <v>0.0</v>
      </c>
      <c r="AG808" s="849">
        <v>0.0</v>
      </c>
      <c r="AH808" s="849">
        <v>0.0</v>
      </c>
      <c r="AI808" s="849">
        <v>0.0</v>
      </c>
      <c r="AJ808" s="794" t="str">
        <f t="shared" ref="AJ808:AK808" si="1613">C808</f>
        <v>G512</v>
      </c>
      <c r="AK808" s="794" t="str">
        <f t="shared" si="1613"/>
        <v>REVENU ENTRETIEN  -SIMPLE</v>
      </c>
      <c r="AL808" s="794">
        <f t="array" ref="AL808">IFERROR(INDEX(G808:R808,1,MATCH(Parametres!$B$3,G$1:R$1,0)-1)*IF(OR(F808="L",F808="S",F808="I"),-1,1),"")</f>
        <v>0</v>
      </c>
      <c r="AM808" s="794">
        <f t="shared" si="4"/>
        <v>0</v>
      </c>
      <c r="AN808" s="794">
        <f t="array" ref="AN808">INDEX(G808:R808,1,MATCH(Parametres!$B$3,G$1:R$1,0))*IF(OR(F808="L",F808="S",F808="I"),-1,1)</f>
        <v>0</v>
      </c>
      <c r="AO808" s="853" t="str">
        <f>+VLOOKUP($AJ808,Data_Validation!$A:$D,1,0)</f>
        <v>#N/A</v>
      </c>
      <c r="AP808" s="853" t="str">
        <f>+VLOOKUP($AJ808,Data_Validation!$A:$D,3,0)</f>
        <v>#N/A</v>
      </c>
      <c r="AQ808" s="853" t="str">
        <f>+VLOOKUP($AJ808,Data_Validation!$A:$D,4,0)</f>
        <v>#N/A</v>
      </c>
      <c r="AR808" s="853" t="s">
        <v>728</v>
      </c>
      <c r="AS808" s="853" t="str">
        <f>+VLOOKUP($AJ808,Data_Validation!$A:$E,5,0)</f>
        <v>#N/A</v>
      </c>
      <c r="AT808" s="794" t="str">
        <f t="shared" ref="AT808:AU808" si="1614">C808</f>
        <v>G512</v>
      </c>
      <c r="AU808" s="854" t="str">
        <f t="shared" si="1614"/>
        <v>REVENU ENTRETIEN  -SIMPLE</v>
      </c>
      <c r="AV808" s="794">
        <f t="array" ref="AV808">IFERROR(INDEX(V808:AG808,1,MATCH(Parametres!$B$3,V$1:AG$1,0)-1)*IF(OR(C808="L",C808="S",C808="I"),-1,1),"")</f>
        <v>0</v>
      </c>
      <c r="AW808" s="794">
        <f t="shared" si="6"/>
        <v>0</v>
      </c>
      <c r="AX808" s="794">
        <f t="array" ref="AX808">INDEX(V808:AG808,1,MATCH(Parametres!$B$3,V$1:AG$1,0))*IF(OR(C808="L",C808="S",C808="I"),-1,1)</f>
        <v>0</v>
      </c>
      <c r="AY808" s="853" t="s">
        <v>772</v>
      </c>
      <c r="AZ808" s="853" t="str">
        <f>+VLOOKUP($AJ808,Data_Validation!$A:$E,5,0)</f>
        <v>#N/A</v>
      </c>
    </row>
    <row r="809" ht="15.0" customHeight="1">
      <c r="A809" s="849" t="s">
        <v>1239</v>
      </c>
      <c r="B809" s="849">
        <v>2026.0</v>
      </c>
      <c r="C809" s="849" t="s">
        <v>2821</v>
      </c>
      <c r="D809" s="849" t="s">
        <v>2822</v>
      </c>
      <c r="E809" s="849" t="s">
        <v>768</v>
      </c>
      <c r="F809" s="849" t="s">
        <v>2814</v>
      </c>
      <c r="G809" s="849">
        <v>0.0</v>
      </c>
      <c r="H809" s="849">
        <v>0.0</v>
      </c>
      <c r="I809" s="849">
        <v>0.0</v>
      </c>
      <c r="J809" s="849">
        <v>0.0</v>
      </c>
      <c r="K809" s="849">
        <v>0.0</v>
      </c>
      <c r="L809" s="849">
        <v>0.0</v>
      </c>
      <c r="M809" s="849">
        <v>0.0</v>
      </c>
      <c r="N809" s="849">
        <v>0.0</v>
      </c>
      <c r="O809" s="849">
        <v>0.0</v>
      </c>
      <c r="P809" s="849">
        <v>0.0</v>
      </c>
      <c r="Q809" s="849">
        <v>0.0</v>
      </c>
      <c r="R809" s="849">
        <v>0.0</v>
      </c>
      <c r="S809" s="849">
        <v>0.0</v>
      </c>
      <c r="T809" s="849">
        <v>0.0</v>
      </c>
      <c r="U809" s="849">
        <v>0.0</v>
      </c>
      <c r="V809" s="849">
        <v>0.0</v>
      </c>
      <c r="W809" s="849">
        <v>0.0</v>
      </c>
      <c r="X809" s="849">
        <v>0.0</v>
      </c>
      <c r="Y809" s="849">
        <v>0.0</v>
      </c>
      <c r="Z809" s="849">
        <v>0.0</v>
      </c>
      <c r="AA809" s="849">
        <v>0.0</v>
      </c>
      <c r="AB809" s="849">
        <v>0.0</v>
      </c>
      <c r="AC809" s="849">
        <v>0.0</v>
      </c>
      <c r="AD809" s="849">
        <v>0.0</v>
      </c>
      <c r="AE809" s="849">
        <v>0.0</v>
      </c>
      <c r="AF809" s="849">
        <v>0.0</v>
      </c>
      <c r="AG809" s="849">
        <v>0.0</v>
      </c>
      <c r="AH809" s="849">
        <v>0.0</v>
      </c>
      <c r="AI809" s="849">
        <v>0.0</v>
      </c>
      <c r="AJ809" s="794" t="str">
        <f t="shared" ref="AJ809:AK809" si="1615">C809</f>
        <v>G513</v>
      </c>
      <c r="AK809" s="794" t="str">
        <f t="shared" si="1615"/>
        <v>REV.PARTIEL MOIS  -SIMPLE</v>
      </c>
      <c r="AL809" s="794">
        <f t="array" ref="AL809">IFERROR(INDEX(G809:R809,1,MATCH(Parametres!$B$3,G$1:R$1,0)-1)*IF(OR(F809="L",F809="S",F809="I"),-1,1),"")</f>
        <v>0</v>
      </c>
      <c r="AM809" s="794">
        <f t="shared" si="4"/>
        <v>0</v>
      </c>
      <c r="AN809" s="794">
        <f t="array" ref="AN809">INDEX(G809:R809,1,MATCH(Parametres!$B$3,G$1:R$1,0))*IF(OR(F809="L",F809="S",F809="I"),-1,1)</f>
        <v>0</v>
      </c>
      <c r="AO809" s="853" t="str">
        <f>+VLOOKUP($AJ809,Data_Validation!$A:$D,1,0)</f>
        <v>#N/A</v>
      </c>
      <c r="AP809" s="853" t="str">
        <f>+VLOOKUP($AJ809,Data_Validation!$A:$D,3,0)</f>
        <v>#N/A</v>
      </c>
      <c r="AQ809" s="853" t="str">
        <f>+VLOOKUP($AJ809,Data_Validation!$A:$D,4,0)</f>
        <v>#N/A</v>
      </c>
      <c r="AR809" s="853" t="s">
        <v>728</v>
      </c>
      <c r="AS809" s="853" t="str">
        <f>+VLOOKUP($AJ809,Data_Validation!$A:$E,5,0)</f>
        <v>#N/A</v>
      </c>
      <c r="AT809" s="794" t="str">
        <f t="shared" ref="AT809:AU809" si="1616">C809</f>
        <v>G513</v>
      </c>
      <c r="AU809" s="854" t="str">
        <f t="shared" si="1616"/>
        <v>REV.PARTIEL MOIS  -SIMPLE</v>
      </c>
      <c r="AV809" s="794">
        <f t="array" ref="AV809">IFERROR(INDEX(V809:AG809,1,MATCH(Parametres!$B$3,V$1:AG$1,0)-1)*IF(OR(C809="L",C809="S",C809="I"),-1,1),"")</f>
        <v>0</v>
      </c>
      <c r="AW809" s="794">
        <f t="shared" si="6"/>
        <v>0</v>
      </c>
      <c r="AX809" s="794">
        <f t="array" ref="AX809">INDEX(V809:AG809,1,MATCH(Parametres!$B$3,V$1:AG$1,0))*IF(OR(C809="L",C809="S",C809="I"),-1,1)</f>
        <v>0</v>
      </c>
      <c r="AY809" s="853" t="s">
        <v>772</v>
      </c>
      <c r="AZ809" s="853" t="str">
        <f>+VLOOKUP($AJ809,Data_Validation!$A:$E,5,0)</f>
        <v>#N/A</v>
      </c>
    </row>
    <row r="810" ht="15.0" customHeight="1">
      <c r="A810" s="849" t="s">
        <v>1239</v>
      </c>
      <c r="B810" s="849">
        <v>2026.0</v>
      </c>
      <c r="C810" s="849" t="s">
        <v>2823</v>
      </c>
      <c r="D810" s="849" t="s">
        <v>2824</v>
      </c>
      <c r="E810" s="849" t="s">
        <v>768</v>
      </c>
      <c r="F810" s="849" t="s">
        <v>2814</v>
      </c>
      <c r="G810" s="849">
        <v>0.0</v>
      </c>
      <c r="H810" s="849">
        <v>0.0</v>
      </c>
      <c r="I810" s="849">
        <v>0.0</v>
      </c>
      <c r="J810" s="849">
        <v>0.0</v>
      </c>
      <c r="K810" s="849">
        <v>0.0</v>
      </c>
      <c r="L810" s="849">
        <v>0.0</v>
      </c>
      <c r="M810" s="849">
        <v>0.0</v>
      </c>
      <c r="N810" s="849">
        <v>0.0</v>
      </c>
      <c r="O810" s="849">
        <v>0.0</v>
      </c>
      <c r="P810" s="849">
        <v>0.0</v>
      </c>
      <c r="Q810" s="849">
        <v>0.0</v>
      </c>
      <c r="R810" s="849">
        <v>0.0</v>
      </c>
      <c r="S810" s="849">
        <v>0.0</v>
      </c>
      <c r="T810" s="849">
        <v>0.0</v>
      </c>
      <c r="U810" s="849">
        <v>0.0</v>
      </c>
      <c r="V810" s="849">
        <v>0.0</v>
      </c>
      <c r="W810" s="849">
        <v>0.0</v>
      </c>
      <c r="X810" s="849">
        <v>0.0</v>
      </c>
      <c r="Y810" s="849">
        <v>0.0</v>
      </c>
      <c r="Z810" s="849">
        <v>0.0</v>
      </c>
      <c r="AA810" s="849">
        <v>0.0</v>
      </c>
      <c r="AB810" s="849">
        <v>0.0</v>
      </c>
      <c r="AC810" s="849">
        <v>0.0</v>
      </c>
      <c r="AD810" s="849">
        <v>0.0</v>
      </c>
      <c r="AE810" s="849">
        <v>0.0</v>
      </c>
      <c r="AF810" s="849">
        <v>0.0</v>
      </c>
      <c r="AG810" s="849">
        <v>0.0</v>
      </c>
      <c r="AH810" s="849">
        <v>0.0</v>
      </c>
      <c r="AI810" s="849">
        <v>0.0</v>
      </c>
      <c r="AJ810" s="794" t="str">
        <f t="shared" ref="AJ810:AK810" si="1617">C810</f>
        <v>G514</v>
      </c>
      <c r="AK810" s="794" t="str">
        <f t="shared" si="1617"/>
        <v>FRAIS PMNT TARDIF -SIMPLE</v>
      </c>
      <c r="AL810" s="794">
        <f t="array" ref="AL810">IFERROR(INDEX(G810:R810,1,MATCH(Parametres!$B$3,G$1:R$1,0)-1)*IF(OR(F810="L",F810="S",F810="I"),-1,1),"")</f>
        <v>0</v>
      </c>
      <c r="AM810" s="794">
        <f t="shared" si="4"/>
        <v>0</v>
      </c>
      <c r="AN810" s="794">
        <f t="array" ref="AN810">INDEX(G810:R810,1,MATCH(Parametres!$B$3,G$1:R$1,0))*IF(OR(F810="L",F810="S",F810="I"),-1,1)</f>
        <v>0</v>
      </c>
      <c r="AO810" s="853" t="str">
        <f>+VLOOKUP($AJ810,Data_Validation!$A:$D,1,0)</f>
        <v>#N/A</v>
      </c>
      <c r="AP810" s="853" t="str">
        <f>+VLOOKUP($AJ810,Data_Validation!$A:$D,3,0)</f>
        <v>#N/A</v>
      </c>
      <c r="AQ810" s="853" t="str">
        <f>+VLOOKUP($AJ810,Data_Validation!$A:$D,4,0)</f>
        <v>#N/A</v>
      </c>
      <c r="AR810" s="853" t="s">
        <v>728</v>
      </c>
      <c r="AS810" s="853" t="str">
        <f>+VLOOKUP($AJ810,Data_Validation!$A:$E,5,0)</f>
        <v>#N/A</v>
      </c>
      <c r="AT810" s="794" t="str">
        <f t="shared" ref="AT810:AU810" si="1618">C810</f>
        <v>G514</v>
      </c>
      <c r="AU810" s="854" t="str">
        <f t="shared" si="1618"/>
        <v>FRAIS PMNT TARDIF -SIMPLE</v>
      </c>
      <c r="AV810" s="794">
        <f t="array" ref="AV810">IFERROR(INDEX(V810:AG810,1,MATCH(Parametres!$B$3,V$1:AG$1,0)-1)*IF(OR(C810="L",C810="S",C810="I"),-1,1),"")</f>
        <v>0</v>
      </c>
      <c r="AW810" s="794">
        <f t="shared" si="6"/>
        <v>0</v>
      </c>
      <c r="AX810" s="794">
        <f t="array" ref="AX810">INDEX(V810:AG810,1,MATCH(Parametres!$B$3,V$1:AG$1,0))*IF(OR(C810="L",C810="S",C810="I"),-1,1)</f>
        <v>0</v>
      </c>
      <c r="AY810" s="853" t="s">
        <v>772</v>
      </c>
      <c r="AZ810" s="853" t="str">
        <f>+VLOOKUP($AJ810,Data_Validation!$A:$E,5,0)</f>
        <v>#N/A</v>
      </c>
    </row>
    <row r="811" ht="15.0" customHeight="1">
      <c r="A811" s="849" t="s">
        <v>1239</v>
      </c>
      <c r="B811" s="849">
        <v>2026.0</v>
      </c>
      <c r="C811" s="849" t="s">
        <v>2825</v>
      </c>
      <c r="D811" s="849" t="s">
        <v>2826</v>
      </c>
      <c r="E811" s="849" t="s">
        <v>768</v>
      </c>
      <c r="F811" s="849" t="s">
        <v>2814</v>
      </c>
      <c r="G811" s="849">
        <v>0.0</v>
      </c>
      <c r="H811" s="849">
        <v>0.0</v>
      </c>
      <c r="I811" s="849">
        <v>0.0</v>
      </c>
      <c r="J811" s="849">
        <v>0.0</v>
      </c>
      <c r="K811" s="849">
        <v>0.0</v>
      </c>
      <c r="L811" s="849">
        <v>0.0</v>
      </c>
      <c r="M811" s="849">
        <v>0.0</v>
      </c>
      <c r="N811" s="849">
        <v>0.0</v>
      </c>
      <c r="O811" s="849">
        <v>0.0</v>
      </c>
      <c r="P811" s="849">
        <v>0.0</v>
      </c>
      <c r="Q811" s="849">
        <v>0.0</v>
      </c>
      <c r="R811" s="849">
        <v>0.0</v>
      </c>
      <c r="S811" s="849">
        <v>0.0</v>
      </c>
      <c r="T811" s="849">
        <v>0.0</v>
      </c>
      <c r="U811" s="849">
        <v>0.0</v>
      </c>
      <c r="V811" s="849">
        <v>0.0</v>
      </c>
      <c r="W811" s="849">
        <v>0.0</v>
      </c>
      <c r="X811" s="849">
        <v>0.0</v>
      </c>
      <c r="Y811" s="849">
        <v>0.0</v>
      </c>
      <c r="Z811" s="849">
        <v>0.0</v>
      </c>
      <c r="AA811" s="849">
        <v>0.0</v>
      </c>
      <c r="AB811" s="849">
        <v>0.0</v>
      </c>
      <c r="AC811" s="849">
        <v>0.0</v>
      </c>
      <c r="AD811" s="849">
        <v>0.0</v>
      </c>
      <c r="AE811" s="849">
        <v>0.0</v>
      </c>
      <c r="AF811" s="849">
        <v>0.0</v>
      </c>
      <c r="AG811" s="849">
        <v>0.0</v>
      </c>
      <c r="AH811" s="849">
        <v>0.0</v>
      </c>
      <c r="AI811" s="849">
        <v>0.0</v>
      </c>
      <c r="AJ811" s="794" t="str">
        <f t="shared" ref="AJ811:AK811" si="1619">C811</f>
        <v>G516</v>
      </c>
      <c r="AK811" s="794" t="str">
        <f t="shared" si="1619"/>
        <v>FRAIS ADMINIST.   -SIMPLE</v>
      </c>
      <c r="AL811" s="794">
        <f t="array" ref="AL811">IFERROR(INDEX(G811:R811,1,MATCH(Parametres!$B$3,G$1:R$1,0)-1)*IF(OR(F811="L",F811="S",F811="I"),-1,1),"")</f>
        <v>0</v>
      </c>
      <c r="AM811" s="794">
        <f t="shared" si="4"/>
        <v>0</v>
      </c>
      <c r="AN811" s="794">
        <f t="array" ref="AN811">INDEX(G811:R811,1,MATCH(Parametres!$B$3,G$1:R$1,0))*IF(OR(F811="L",F811="S",F811="I"),-1,1)</f>
        <v>0</v>
      </c>
      <c r="AO811" s="853" t="str">
        <f>+VLOOKUP($AJ811,Data_Validation!$A:$D,1,0)</f>
        <v>#N/A</v>
      </c>
      <c r="AP811" s="853" t="str">
        <f>+VLOOKUP($AJ811,Data_Validation!$A:$D,3,0)</f>
        <v>#N/A</v>
      </c>
      <c r="AQ811" s="853" t="str">
        <f>+VLOOKUP($AJ811,Data_Validation!$A:$D,4,0)</f>
        <v>#N/A</v>
      </c>
      <c r="AR811" s="853" t="s">
        <v>728</v>
      </c>
      <c r="AS811" s="853" t="str">
        <f>+VLOOKUP($AJ811,Data_Validation!$A:$E,5,0)</f>
        <v>#N/A</v>
      </c>
      <c r="AT811" s="794" t="str">
        <f t="shared" ref="AT811:AU811" si="1620">C811</f>
        <v>G516</v>
      </c>
      <c r="AU811" s="854" t="str">
        <f t="shared" si="1620"/>
        <v>FRAIS ADMINIST.   -SIMPLE</v>
      </c>
      <c r="AV811" s="794">
        <f t="array" ref="AV811">IFERROR(INDEX(V811:AG811,1,MATCH(Parametres!$B$3,V$1:AG$1,0)-1)*IF(OR(C811="L",C811="S",C811="I"),-1,1),"")</f>
        <v>0</v>
      </c>
      <c r="AW811" s="794">
        <f t="shared" si="6"/>
        <v>0</v>
      </c>
      <c r="AX811" s="794">
        <f t="array" ref="AX811">INDEX(V811:AG811,1,MATCH(Parametres!$B$3,V$1:AG$1,0))*IF(OR(C811="L",C811="S",C811="I"),-1,1)</f>
        <v>0</v>
      </c>
      <c r="AY811" s="853" t="s">
        <v>772</v>
      </c>
      <c r="AZ811" s="853" t="str">
        <f>+VLOOKUP($AJ811,Data_Validation!$A:$E,5,0)</f>
        <v>#N/A</v>
      </c>
    </row>
    <row r="812" ht="15.0" customHeight="1">
      <c r="A812" s="849" t="s">
        <v>1239</v>
      </c>
      <c r="B812" s="849">
        <v>2026.0</v>
      </c>
      <c r="C812" s="849" t="s">
        <v>2827</v>
      </c>
      <c r="D812" s="849" t="s">
        <v>2828</v>
      </c>
      <c r="E812" s="849" t="s">
        <v>768</v>
      </c>
      <c r="F812" s="849" t="s">
        <v>2814</v>
      </c>
      <c r="G812" s="849">
        <v>0.0</v>
      </c>
      <c r="H812" s="849">
        <v>0.0</v>
      </c>
      <c r="I812" s="849">
        <v>0.0</v>
      </c>
      <c r="J812" s="849">
        <v>0.0</v>
      </c>
      <c r="K812" s="849">
        <v>0.0</v>
      </c>
      <c r="L812" s="849">
        <v>0.0</v>
      </c>
      <c r="M812" s="849">
        <v>0.0</v>
      </c>
      <c r="N812" s="849">
        <v>0.0</v>
      </c>
      <c r="O812" s="849">
        <v>0.0</v>
      </c>
      <c r="P812" s="849">
        <v>0.0</v>
      </c>
      <c r="Q812" s="849">
        <v>0.0</v>
      </c>
      <c r="R812" s="849">
        <v>0.0</v>
      </c>
      <c r="S812" s="849">
        <v>0.0</v>
      </c>
      <c r="T812" s="849">
        <v>0.0</v>
      </c>
      <c r="U812" s="849">
        <v>0.0</v>
      </c>
      <c r="V812" s="849">
        <v>0.0</v>
      </c>
      <c r="W812" s="849">
        <v>0.0</v>
      </c>
      <c r="X812" s="849">
        <v>0.0</v>
      </c>
      <c r="Y812" s="849">
        <v>0.0</v>
      </c>
      <c r="Z812" s="849">
        <v>0.0</v>
      </c>
      <c r="AA812" s="849">
        <v>0.0</v>
      </c>
      <c r="AB812" s="849">
        <v>0.0</v>
      </c>
      <c r="AC812" s="849">
        <v>0.0</v>
      </c>
      <c r="AD812" s="849">
        <v>0.0</v>
      </c>
      <c r="AE812" s="849">
        <v>0.0</v>
      </c>
      <c r="AF812" s="849">
        <v>0.0</v>
      </c>
      <c r="AG812" s="849">
        <v>0.0</v>
      </c>
      <c r="AH812" s="849">
        <v>0.0</v>
      </c>
      <c r="AI812" s="849">
        <v>0.0</v>
      </c>
      <c r="AJ812" s="794" t="str">
        <f t="shared" ref="AJ812:AK812" si="1621">C812</f>
        <v>G517</v>
      </c>
      <c r="AK812" s="794" t="str">
        <f t="shared" si="1621"/>
        <v>AUTRES REV.LOCAT. -SIMPLE</v>
      </c>
      <c r="AL812" s="794">
        <f t="array" ref="AL812">IFERROR(INDEX(G812:R812,1,MATCH(Parametres!$B$3,G$1:R$1,0)-1)*IF(OR(F812="L",F812="S",F812="I"),-1,1),"")</f>
        <v>0</v>
      </c>
      <c r="AM812" s="794">
        <f t="shared" si="4"/>
        <v>0</v>
      </c>
      <c r="AN812" s="794">
        <f t="array" ref="AN812">INDEX(G812:R812,1,MATCH(Parametres!$B$3,G$1:R$1,0))*IF(OR(F812="L",F812="S",F812="I"),-1,1)</f>
        <v>0</v>
      </c>
      <c r="AO812" s="853" t="str">
        <f>+VLOOKUP($AJ812,Data_Validation!$A:$D,1,0)</f>
        <v>#N/A</v>
      </c>
      <c r="AP812" s="853" t="str">
        <f>+VLOOKUP($AJ812,Data_Validation!$A:$D,3,0)</f>
        <v>#N/A</v>
      </c>
      <c r="AQ812" s="853" t="str">
        <f>+VLOOKUP($AJ812,Data_Validation!$A:$D,4,0)</f>
        <v>#N/A</v>
      </c>
      <c r="AR812" s="853" t="s">
        <v>728</v>
      </c>
      <c r="AS812" s="853" t="str">
        <f>+VLOOKUP($AJ812,Data_Validation!$A:$E,5,0)</f>
        <v>#N/A</v>
      </c>
      <c r="AT812" s="794" t="str">
        <f t="shared" ref="AT812:AU812" si="1622">C812</f>
        <v>G517</v>
      </c>
      <c r="AU812" s="854" t="str">
        <f t="shared" si="1622"/>
        <v>AUTRES REV.LOCAT. -SIMPLE</v>
      </c>
      <c r="AV812" s="794">
        <f t="array" ref="AV812">IFERROR(INDEX(V812:AG812,1,MATCH(Parametres!$B$3,V$1:AG$1,0)-1)*IF(OR(C812="L",C812="S",C812="I"),-1,1),"")</f>
        <v>0</v>
      </c>
      <c r="AW812" s="794">
        <f t="shared" si="6"/>
        <v>0</v>
      </c>
      <c r="AX812" s="794">
        <f t="array" ref="AX812">INDEX(V812:AG812,1,MATCH(Parametres!$B$3,V$1:AG$1,0))*IF(OR(C812="L",C812="S",C812="I"),-1,1)</f>
        <v>0</v>
      </c>
      <c r="AY812" s="853" t="s">
        <v>772</v>
      </c>
      <c r="AZ812" s="853" t="str">
        <f>+VLOOKUP($AJ812,Data_Validation!$A:$E,5,0)</f>
        <v>#N/A</v>
      </c>
    </row>
    <row r="813" ht="15.0" customHeight="1">
      <c r="A813" s="849" t="s">
        <v>1239</v>
      </c>
      <c r="B813" s="849">
        <v>2026.0</v>
      </c>
      <c r="C813" s="849" t="s">
        <v>2829</v>
      </c>
      <c r="D813" s="849" t="s">
        <v>2830</v>
      </c>
      <c r="E813" s="849" t="s">
        <v>768</v>
      </c>
      <c r="F813" s="849" t="s">
        <v>2814</v>
      </c>
      <c r="G813" s="849">
        <v>0.0</v>
      </c>
      <c r="H813" s="849">
        <v>0.0</v>
      </c>
      <c r="I813" s="849">
        <v>0.0</v>
      </c>
      <c r="J813" s="849">
        <v>0.0</v>
      </c>
      <c r="K813" s="849">
        <v>0.0</v>
      </c>
      <c r="L813" s="849">
        <v>0.0</v>
      </c>
      <c r="M813" s="849">
        <v>0.0</v>
      </c>
      <c r="N813" s="849">
        <v>0.0</v>
      </c>
      <c r="O813" s="849">
        <v>0.0</v>
      </c>
      <c r="P813" s="849">
        <v>0.0</v>
      </c>
      <c r="Q813" s="849">
        <v>0.0</v>
      </c>
      <c r="R813" s="849">
        <v>0.0</v>
      </c>
      <c r="S813" s="849">
        <v>0.0</v>
      </c>
      <c r="T813" s="849">
        <v>0.0</v>
      </c>
      <c r="U813" s="849">
        <v>0.0</v>
      </c>
      <c r="V813" s="849">
        <v>0.0</v>
      </c>
      <c r="W813" s="849">
        <v>0.0</v>
      </c>
      <c r="X813" s="849">
        <v>0.0</v>
      </c>
      <c r="Y813" s="849">
        <v>0.0</v>
      </c>
      <c r="Z813" s="849">
        <v>0.0</v>
      </c>
      <c r="AA813" s="849">
        <v>0.0</v>
      </c>
      <c r="AB813" s="849">
        <v>0.0</v>
      </c>
      <c r="AC813" s="849">
        <v>0.0</v>
      </c>
      <c r="AD813" s="849">
        <v>0.0</v>
      </c>
      <c r="AE813" s="849">
        <v>0.0</v>
      </c>
      <c r="AF813" s="849">
        <v>0.0</v>
      </c>
      <c r="AG813" s="849">
        <v>0.0</v>
      </c>
      <c r="AH813" s="849">
        <v>0.0</v>
      </c>
      <c r="AI813" s="849">
        <v>0.0</v>
      </c>
      <c r="AJ813" s="794" t="str">
        <f t="shared" ref="AJ813:AK813" si="1623">C813</f>
        <v>G521</v>
      </c>
      <c r="AK813" s="794" t="str">
        <f t="shared" si="1623"/>
        <v>PMNT PER. LOC.BAIL-ALEATO</v>
      </c>
      <c r="AL813" s="794">
        <f t="array" ref="AL813">IFERROR(INDEX(G813:R813,1,MATCH(Parametres!$B$3,G$1:R$1,0)-1)*IF(OR(F813="L",F813="S",F813="I"),-1,1),"")</f>
        <v>0</v>
      </c>
      <c r="AM813" s="794">
        <f t="shared" si="4"/>
        <v>0</v>
      </c>
      <c r="AN813" s="794">
        <f t="array" ref="AN813">INDEX(G813:R813,1,MATCH(Parametres!$B$3,G$1:R$1,0))*IF(OR(F813="L",F813="S",F813="I"),-1,1)</f>
        <v>0</v>
      </c>
      <c r="AO813" s="853" t="str">
        <f>+VLOOKUP($AJ813,Data_Validation!$A:$D,1,0)</f>
        <v>#N/A</v>
      </c>
      <c r="AP813" s="853" t="str">
        <f>+VLOOKUP($AJ813,Data_Validation!$A:$D,3,0)</f>
        <v>#N/A</v>
      </c>
      <c r="AQ813" s="853" t="str">
        <f>+VLOOKUP($AJ813,Data_Validation!$A:$D,4,0)</f>
        <v>#N/A</v>
      </c>
      <c r="AR813" s="853" t="s">
        <v>728</v>
      </c>
      <c r="AS813" s="853" t="str">
        <f>+VLOOKUP($AJ813,Data_Validation!$A:$E,5,0)</f>
        <v>#N/A</v>
      </c>
      <c r="AT813" s="794" t="str">
        <f t="shared" ref="AT813:AU813" si="1624">C813</f>
        <v>G521</v>
      </c>
      <c r="AU813" s="854" t="str">
        <f t="shared" si="1624"/>
        <v>PMNT PER. LOC.BAIL-ALEATO</v>
      </c>
      <c r="AV813" s="794">
        <f t="array" ref="AV813">IFERROR(INDEX(V813:AG813,1,MATCH(Parametres!$B$3,V$1:AG$1,0)-1)*IF(OR(C813="L",C813="S",C813="I"),-1,1),"")</f>
        <v>0</v>
      </c>
      <c r="AW813" s="794">
        <f t="shared" si="6"/>
        <v>0</v>
      </c>
      <c r="AX813" s="794">
        <f t="array" ref="AX813">INDEX(V813:AG813,1,MATCH(Parametres!$B$3,V$1:AG$1,0))*IF(OR(C813="L",C813="S",C813="I"),-1,1)</f>
        <v>0</v>
      </c>
      <c r="AY813" s="853" t="s">
        <v>772</v>
      </c>
      <c r="AZ813" s="853" t="str">
        <f>+VLOOKUP($AJ813,Data_Validation!$A:$E,5,0)</f>
        <v>#N/A</v>
      </c>
    </row>
    <row r="814" ht="15.0" customHeight="1">
      <c r="A814" s="849" t="s">
        <v>1239</v>
      </c>
      <c r="B814" s="849">
        <v>2026.0</v>
      </c>
      <c r="C814" s="849" t="s">
        <v>2831</v>
      </c>
      <c r="D814" s="849" t="s">
        <v>2832</v>
      </c>
      <c r="E814" s="849" t="s">
        <v>768</v>
      </c>
      <c r="F814" s="849" t="s">
        <v>2814</v>
      </c>
      <c r="G814" s="849">
        <v>0.0</v>
      </c>
      <c r="H814" s="849">
        <v>0.0</v>
      </c>
      <c r="I814" s="849">
        <v>0.0</v>
      </c>
      <c r="J814" s="849">
        <v>0.0</v>
      </c>
      <c r="K814" s="849">
        <v>0.0</v>
      </c>
      <c r="L814" s="849">
        <v>0.0</v>
      </c>
      <c r="M814" s="849">
        <v>0.0</v>
      </c>
      <c r="N814" s="849">
        <v>0.0</v>
      </c>
      <c r="O814" s="849">
        <v>0.0</v>
      </c>
      <c r="P814" s="849">
        <v>0.0</v>
      </c>
      <c r="Q814" s="849">
        <v>0.0</v>
      </c>
      <c r="R814" s="849">
        <v>0.0</v>
      </c>
      <c r="S814" s="849">
        <v>0.0</v>
      </c>
      <c r="T814" s="849">
        <v>0.0</v>
      </c>
      <c r="U814" s="849">
        <v>0.0</v>
      </c>
      <c r="V814" s="849">
        <v>0.0</v>
      </c>
      <c r="W814" s="849">
        <v>0.0</v>
      </c>
      <c r="X814" s="849">
        <v>0.0</v>
      </c>
      <c r="Y814" s="849">
        <v>0.0</v>
      </c>
      <c r="Z814" s="849">
        <v>0.0</v>
      </c>
      <c r="AA814" s="849">
        <v>0.0</v>
      </c>
      <c r="AB814" s="849">
        <v>0.0</v>
      </c>
      <c r="AC814" s="849">
        <v>0.0</v>
      </c>
      <c r="AD814" s="849">
        <v>0.0</v>
      </c>
      <c r="AE814" s="849">
        <v>0.0</v>
      </c>
      <c r="AF814" s="849">
        <v>0.0</v>
      </c>
      <c r="AG814" s="849">
        <v>0.0</v>
      </c>
      <c r="AH814" s="849">
        <v>0.0</v>
      </c>
      <c r="AI814" s="849">
        <v>0.0</v>
      </c>
      <c r="AJ814" s="794" t="str">
        <f t="shared" ref="AJ814:AK814" si="1625">C814</f>
        <v>G522</v>
      </c>
      <c r="AK814" s="794" t="str">
        <f t="shared" si="1625"/>
        <v>REVENU ENTRETIEN  -ALEATO</v>
      </c>
      <c r="AL814" s="794">
        <f t="array" ref="AL814">IFERROR(INDEX(G814:R814,1,MATCH(Parametres!$B$3,G$1:R$1,0)-1)*IF(OR(F814="L",F814="S",F814="I"),-1,1),"")</f>
        <v>0</v>
      </c>
      <c r="AM814" s="794">
        <f t="shared" si="4"/>
        <v>0</v>
      </c>
      <c r="AN814" s="794">
        <f t="array" ref="AN814">INDEX(G814:R814,1,MATCH(Parametres!$B$3,G$1:R$1,0))*IF(OR(F814="L",F814="S",F814="I"),-1,1)</f>
        <v>0</v>
      </c>
      <c r="AO814" s="853" t="str">
        <f>+VLOOKUP($AJ814,Data_Validation!$A:$D,1,0)</f>
        <v>#N/A</v>
      </c>
      <c r="AP814" s="853" t="str">
        <f>+VLOOKUP($AJ814,Data_Validation!$A:$D,3,0)</f>
        <v>#N/A</v>
      </c>
      <c r="AQ814" s="853" t="str">
        <f>+VLOOKUP($AJ814,Data_Validation!$A:$D,4,0)</f>
        <v>#N/A</v>
      </c>
      <c r="AR814" s="853" t="s">
        <v>728</v>
      </c>
      <c r="AS814" s="853" t="str">
        <f>+VLOOKUP($AJ814,Data_Validation!$A:$E,5,0)</f>
        <v>#N/A</v>
      </c>
      <c r="AT814" s="794" t="str">
        <f t="shared" ref="AT814:AU814" si="1626">C814</f>
        <v>G522</v>
      </c>
      <c r="AU814" s="854" t="str">
        <f t="shared" si="1626"/>
        <v>REVENU ENTRETIEN  -ALEATO</v>
      </c>
      <c r="AV814" s="794">
        <f t="array" ref="AV814">IFERROR(INDEX(V814:AG814,1,MATCH(Parametres!$B$3,V$1:AG$1,0)-1)*IF(OR(C814="L",C814="S",C814="I"),-1,1),"")</f>
        <v>0</v>
      </c>
      <c r="AW814" s="794">
        <f t="shared" si="6"/>
        <v>0</v>
      </c>
      <c r="AX814" s="794">
        <f t="array" ref="AX814">INDEX(V814:AG814,1,MATCH(Parametres!$B$3,V$1:AG$1,0))*IF(OR(C814="L",C814="S",C814="I"),-1,1)</f>
        <v>0</v>
      </c>
      <c r="AY814" s="853" t="s">
        <v>772</v>
      </c>
      <c r="AZ814" s="853" t="str">
        <f>+VLOOKUP($AJ814,Data_Validation!$A:$E,5,0)</f>
        <v>#N/A</v>
      </c>
    </row>
    <row r="815" ht="15.0" customHeight="1">
      <c r="A815" s="849" t="s">
        <v>1239</v>
      </c>
      <c r="B815" s="849">
        <v>2026.0</v>
      </c>
      <c r="C815" s="849" t="s">
        <v>2833</v>
      </c>
      <c r="D815" s="849" t="s">
        <v>2834</v>
      </c>
      <c r="E815" s="849" t="s">
        <v>768</v>
      </c>
      <c r="F815" s="849" t="s">
        <v>2814</v>
      </c>
      <c r="G815" s="849">
        <v>0.0</v>
      </c>
      <c r="H815" s="849">
        <v>0.0</v>
      </c>
      <c r="I815" s="849">
        <v>0.0</v>
      </c>
      <c r="J815" s="849">
        <v>0.0</v>
      </c>
      <c r="K815" s="849">
        <v>0.0</v>
      </c>
      <c r="L815" s="849">
        <v>0.0</v>
      </c>
      <c r="M815" s="849">
        <v>0.0</v>
      </c>
      <c r="N815" s="849">
        <v>0.0</v>
      </c>
      <c r="O815" s="849">
        <v>0.0</v>
      </c>
      <c r="P815" s="849">
        <v>0.0</v>
      </c>
      <c r="Q815" s="849">
        <v>0.0</v>
      </c>
      <c r="R815" s="849">
        <v>0.0</v>
      </c>
      <c r="S815" s="849">
        <v>0.0</v>
      </c>
      <c r="T815" s="849">
        <v>0.0</v>
      </c>
      <c r="U815" s="849">
        <v>0.0</v>
      </c>
      <c r="V815" s="849">
        <v>0.0</v>
      </c>
      <c r="W815" s="849">
        <v>0.0</v>
      </c>
      <c r="X815" s="849">
        <v>0.0</v>
      </c>
      <c r="Y815" s="849">
        <v>0.0</v>
      </c>
      <c r="Z815" s="849">
        <v>0.0</v>
      </c>
      <c r="AA815" s="849">
        <v>0.0</v>
      </c>
      <c r="AB815" s="849">
        <v>0.0</v>
      </c>
      <c r="AC815" s="849">
        <v>0.0</v>
      </c>
      <c r="AD815" s="849">
        <v>0.0</v>
      </c>
      <c r="AE815" s="849">
        <v>0.0</v>
      </c>
      <c r="AF815" s="849">
        <v>0.0</v>
      </c>
      <c r="AG815" s="849">
        <v>0.0</v>
      </c>
      <c r="AH815" s="849">
        <v>0.0</v>
      </c>
      <c r="AI815" s="849">
        <v>0.0</v>
      </c>
      <c r="AJ815" s="794" t="str">
        <f t="shared" ref="AJ815:AK815" si="1627">C815</f>
        <v>G523</v>
      </c>
      <c r="AK815" s="794" t="str">
        <f t="shared" si="1627"/>
        <v>REV.PARTIEL MOIS  -ALEATO</v>
      </c>
      <c r="AL815" s="794">
        <f t="array" ref="AL815">IFERROR(INDEX(G815:R815,1,MATCH(Parametres!$B$3,G$1:R$1,0)-1)*IF(OR(F815="L",F815="S",F815="I"),-1,1),"")</f>
        <v>0</v>
      </c>
      <c r="AM815" s="794">
        <f t="shared" si="4"/>
        <v>0</v>
      </c>
      <c r="AN815" s="794">
        <f t="array" ref="AN815">INDEX(G815:R815,1,MATCH(Parametres!$B$3,G$1:R$1,0))*IF(OR(F815="L",F815="S",F815="I"),-1,1)</f>
        <v>0</v>
      </c>
      <c r="AO815" s="853" t="str">
        <f>+VLOOKUP($AJ815,Data_Validation!$A:$D,1,0)</f>
        <v>#N/A</v>
      </c>
      <c r="AP815" s="853" t="str">
        <f>+VLOOKUP($AJ815,Data_Validation!$A:$D,3,0)</f>
        <v>#N/A</v>
      </c>
      <c r="AQ815" s="853" t="str">
        <f>+VLOOKUP($AJ815,Data_Validation!$A:$D,4,0)</f>
        <v>#N/A</v>
      </c>
      <c r="AR815" s="853" t="s">
        <v>728</v>
      </c>
      <c r="AS815" s="853" t="str">
        <f>+VLOOKUP($AJ815,Data_Validation!$A:$E,5,0)</f>
        <v>#N/A</v>
      </c>
      <c r="AT815" s="794" t="str">
        <f t="shared" ref="AT815:AU815" si="1628">C815</f>
        <v>G523</v>
      </c>
      <c r="AU815" s="854" t="str">
        <f t="shared" si="1628"/>
        <v>REV.PARTIEL MOIS  -ALEATO</v>
      </c>
      <c r="AV815" s="794">
        <f t="array" ref="AV815">IFERROR(INDEX(V815:AG815,1,MATCH(Parametres!$B$3,V$1:AG$1,0)-1)*IF(OR(C815="L",C815="S",C815="I"),-1,1),"")</f>
        <v>0</v>
      </c>
      <c r="AW815" s="794">
        <f t="shared" si="6"/>
        <v>0</v>
      </c>
      <c r="AX815" s="794">
        <f t="array" ref="AX815">INDEX(V815:AG815,1,MATCH(Parametres!$B$3,V$1:AG$1,0))*IF(OR(C815="L",C815="S",C815="I"),-1,1)</f>
        <v>0</v>
      </c>
      <c r="AY815" s="853" t="s">
        <v>772</v>
      </c>
      <c r="AZ815" s="853" t="str">
        <f>+VLOOKUP($AJ815,Data_Validation!$A:$E,5,0)</f>
        <v>#N/A</v>
      </c>
    </row>
    <row r="816" ht="15.0" customHeight="1">
      <c r="A816" s="849" t="s">
        <v>1239</v>
      </c>
      <c r="B816" s="849">
        <v>2026.0</v>
      </c>
      <c r="C816" s="849" t="s">
        <v>2835</v>
      </c>
      <c r="D816" s="849" t="s">
        <v>2836</v>
      </c>
      <c r="E816" s="849" t="s">
        <v>768</v>
      </c>
      <c r="F816" s="849" t="s">
        <v>2814</v>
      </c>
      <c r="G816" s="849">
        <v>0.0</v>
      </c>
      <c r="H816" s="849">
        <v>0.0</v>
      </c>
      <c r="I816" s="849">
        <v>0.0</v>
      </c>
      <c r="J816" s="849">
        <v>0.0</v>
      </c>
      <c r="K816" s="849">
        <v>0.0</v>
      </c>
      <c r="L816" s="849">
        <v>0.0</v>
      </c>
      <c r="M816" s="849">
        <v>0.0</v>
      </c>
      <c r="N816" s="849">
        <v>0.0</v>
      </c>
      <c r="O816" s="849">
        <v>0.0</v>
      </c>
      <c r="P816" s="849">
        <v>0.0</v>
      </c>
      <c r="Q816" s="849">
        <v>0.0</v>
      </c>
      <c r="R816" s="849">
        <v>0.0</v>
      </c>
      <c r="S816" s="849">
        <v>0.0</v>
      </c>
      <c r="T816" s="849">
        <v>0.0</v>
      </c>
      <c r="U816" s="849">
        <v>0.0</v>
      </c>
      <c r="V816" s="849">
        <v>0.0</v>
      </c>
      <c r="W816" s="849">
        <v>0.0</v>
      </c>
      <c r="X816" s="849">
        <v>0.0</v>
      </c>
      <c r="Y816" s="849">
        <v>0.0</v>
      </c>
      <c r="Z816" s="849">
        <v>0.0</v>
      </c>
      <c r="AA816" s="849">
        <v>0.0</v>
      </c>
      <c r="AB816" s="849">
        <v>0.0</v>
      </c>
      <c r="AC816" s="849">
        <v>0.0</v>
      </c>
      <c r="AD816" s="849">
        <v>0.0</v>
      </c>
      <c r="AE816" s="849">
        <v>0.0</v>
      </c>
      <c r="AF816" s="849">
        <v>0.0</v>
      </c>
      <c r="AG816" s="849">
        <v>0.0</v>
      </c>
      <c r="AH816" s="849">
        <v>0.0</v>
      </c>
      <c r="AI816" s="849">
        <v>0.0</v>
      </c>
      <c r="AJ816" s="794" t="str">
        <f t="shared" ref="AJ816:AK816" si="1629">C816</f>
        <v>G524</v>
      </c>
      <c r="AK816" s="794" t="str">
        <f t="shared" si="1629"/>
        <v>FRAIS PMNT TARDIF -ALEATO</v>
      </c>
      <c r="AL816" s="794">
        <f t="array" ref="AL816">IFERROR(INDEX(G816:R816,1,MATCH(Parametres!$B$3,G$1:R$1,0)-1)*IF(OR(F816="L",F816="S",F816="I"),-1,1),"")</f>
        <v>0</v>
      </c>
      <c r="AM816" s="794">
        <f t="shared" si="4"/>
        <v>0</v>
      </c>
      <c r="AN816" s="794">
        <f t="array" ref="AN816">INDEX(G816:R816,1,MATCH(Parametres!$B$3,G$1:R$1,0))*IF(OR(F816="L",F816="S",F816="I"),-1,1)</f>
        <v>0</v>
      </c>
      <c r="AO816" s="853" t="str">
        <f>+VLOOKUP($AJ816,Data_Validation!$A:$D,1,0)</f>
        <v>#N/A</v>
      </c>
      <c r="AP816" s="853" t="str">
        <f>+VLOOKUP($AJ816,Data_Validation!$A:$D,3,0)</f>
        <v>#N/A</v>
      </c>
      <c r="AQ816" s="853" t="str">
        <f>+VLOOKUP($AJ816,Data_Validation!$A:$D,4,0)</f>
        <v>#N/A</v>
      </c>
      <c r="AR816" s="853" t="s">
        <v>728</v>
      </c>
      <c r="AS816" s="853" t="str">
        <f>+VLOOKUP($AJ816,Data_Validation!$A:$E,5,0)</f>
        <v>#N/A</v>
      </c>
      <c r="AT816" s="794" t="str">
        <f t="shared" ref="AT816:AU816" si="1630">C816</f>
        <v>G524</v>
      </c>
      <c r="AU816" s="854" t="str">
        <f t="shared" si="1630"/>
        <v>FRAIS PMNT TARDIF -ALEATO</v>
      </c>
      <c r="AV816" s="794">
        <f t="array" ref="AV816">IFERROR(INDEX(V816:AG816,1,MATCH(Parametres!$B$3,V$1:AG$1,0)-1)*IF(OR(C816="L",C816="S",C816="I"),-1,1),"")</f>
        <v>0</v>
      </c>
      <c r="AW816" s="794">
        <f t="shared" si="6"/>
        <v>0</v>
      </c>
      <c r="AX816" s="794">
        <f t="array" ref="AX816">INDEX(V816:AG816,1,MATCH(Parametres!$B$3,V$1:AG$1,0))*IF(OR(C816="L",C816="S",C816="I"),-1,1)</f>
        <v>0</v>
      </c>
      <c r="AY816" s="853" t="s">
        <v>772</v>
      </c>
      <c r="AZ816" s="853" t="str">
        <f>+VLOOKUP($AJ816,Data_Validation!$A:$E,5,0)</f>
        <v>#N/A</v>
      </c>
    </row>
    <row r="817" ht="15.0" customHeight="1">
      <c r="A817" s="849" t="s">
        <v>1239</v>
      </c>
      <c r="B817" s="849">
        <v>2026.0</v>
      </c>
      <c r="C817" s="849" t="s">
        <v>2837</v>
      </c>
      <c r="D817" s="849" t="s">
        <v>2838</v>
      </c>
      <c r="E817" s="849" t="s">
        <v>768</v>
      </c>
      <c r="F817" s="849" t="s">
        <v>2814</v>
      </c>
      <c r="G817" s="849">
        <v>0.0</v>
      </c>
      <c r="H817" s="849">
        <v>0.0</v>
      </c>
      <c r="I817" s="849">
        <v>0.0</v>
      </c>
      <c r="J817" s="849">
        <v>0.0</v>
      </c>
      <c r="K817" s="849">
        <v>0.0</v>
      </c>
      <c r="L817" s="849">
        <v>0.0</v>
      </c>
      <c r="M817" s="849">
        <v>0.0</v>
      </c>
      <c r="N817" s="849">
        <v>0.0</v>
      </c>
      <c r="O817" s="849">
        <v>0.0</v>
      </c>
      <c r="P817" s="849">
        <v>0.0</v>
      </c>
      <c r="Q817" s="849">
        <v>0.0</v>
      </c>
      <c r="R817" s="849">
        <v>0.0</v>
      </c>
      <c r="S817" s="849">
        <v>0.0</v>
      </c>
      <c r="T817" s="849">
        <v>0.0</v>
      </c>
      <c r="U817" s="849">
        <v>0.0</v>
      </c>
      <c r="V817" s="849">
        <v>0.0</v>
      </c>
      <c r="W817" s="849">
        <v>0.0</v>
      </c>
      <c r="X817" s="849">
        <v>0.0</v>
      </c>
      <c r="Y817" s="849">
        <v>0.0</v>
      </c>
      <c r="Z817" s="849">
        <v>0.0</v>
      </c>
      <c r="AA817" s="849">
        <v>0.0</v>
      </c>
      <c r="AB817" s="849">
        <v>0.0</v>
      </c>
      <c r="AC817" s="849">
        <v>0.0</v>
      </c>
      <c r="AD817" s="849">
        <v>0.0</v>
      </c>
      <c r="AE817" s="849">
        <v>0.0</v>
      </c>
      <c r="AF817" s="849">
        <v>0.0</v>
      </c>
      <c r="AG817" s="849">
        <v>0.0</v>
      </c>
      <c r="AH817" s="849">
        <v>0.0</v>
      </c>
      <c r="AI817" s="849">
        <v>0.0</v>
      </c>
      <c r="AJ817" s="794" t="str">
        <f t="shared" ref="AJ817:AK817" si="1631">C817</f>
        <v>G526</v>
      </c>
      <c r="AK817" s="794" t="str">
        <f t="shared" si="1631"/>
        <v>FRAIS ADMINIST.   -ALEATO</v>
      </c>
      <c r="AL817" s="794">
        <f t="array" ref="AL817">IFERROR(INDEX(G817:R817,1,MATCH(Parametres!$B$3,G$1:R$1,0)-1)*IF(OR(F817="L",F817="S",F817="I"),-1,1),"")</f>
        <v>0</v>
      </c>
      <c r="AM817" s="794">
        <f t="shared" si="4"/>
        <v>0</v>
      </c>
      <c r="AN817" s="794">
        <f t="array" ref="AN817">INDEX(G817:R817,1,MATCH(Parametres!$B$3,G$1:R$1,0))*IF(OR(F817="L",F817="S",F817="I"),-1,1)</f>
        <v>0</v>
      </c>
      <c r="AO817" s="853" t="str">
        <f>+VLOOKUP($AJ817,Data_Validation!$A:$D,1,0)</f>
        <v>#N/A</v>
      </c>
      <c r="AP817" s="853" t="str">
        <f>+VLOOKUP($AJ817,Data_Validation!$A:$D,3,0)</f>
        <v>#N/A</v>
      </c>
      <c r="AQ817" s="853" t="str">
        <f>+VLOOKUP($AJ817,Data_Validation!$A:$D,4,0)</f>
        <v>#N/A</v>
      </c>
      <c r="AR817" s="853" t="s">
        <v>728</v>
      </c>
      <c r="AS817" s="853" t="str">
        <f>+VLOOKUP($AJ817,Data_Validation!$A:$E,5,0)</f>
        <v>#N/A</v>
      </c>
      <c r="AT817" s="794" t="str">
        <f t="shared" ref="AT817:AU817" si="1632">C817</f>
        <v>G526</v>
      </c>
      <c r="AU817" s="854" t="str">
        <f t="shared" si="1632"/>
        <v>FRAIS ADMINIST.   -ALEATO</v>
      </c>
      <c r="AV817" s="794">
        <f t="array" ref="AV817">IFERROR(INDEX(V817:AG817,1,MATCH(Parametres!$B$3,V$1:AG$1,0)-1)*IF(OR(C817="L",C817="S",C817="I"),-1,1),"")</f>
        <v>0</v>
      </c>
      <c r="AW817" s="794">
        <f t="shared" si="6"/>
        <v>0</v>
      </c>
      <c r="AX817" s="794">
        <f t="array" ref="AX817">INDEX(V817:AG817,1,MATCH(Parametres!$B$3,V$1:AG$1,0))*IF(OR(C817="L",C817="S",C817="I"),-1,1)</f>
        <v>0</v>
      </c>
      <c r="AY817" s="853" t="s">
        <v>772</v>
      </c>
      <c r="AZ817" s="853" t="str">
        <f>+VLOOKUP($AJ817,Data_Validation!$A:$E,5,0)</f>
        <v>#N/A</v>
      </c>
    </row>
    <row r="818" ht="15.0" customHeight="1">
      <c r="A818" s="849" t="s">
        <v>1239</v>
      </c>
      <c r="B818" s="849">
        <v>2026.0</v>
      </c>
      <c r="C818" s="849" t="s">
        <v>2839</v>
      </c>
      <c r="D818" s="849" t="s">
        <v>2840</v>
      </c>
      <c r="E818" s="849" t="s">
        <v>768</v>
      </c>
      <c r="F818" s="849" t="s">
        <v>2814</v>
      </c>
      <c r="G818" s="849">
        <v>0.0</v>
      </c>
      <c r="H818" s="849">
        <v>0.0</v>
      </c>
      <c r="I818" s="849">
        <v>0.0</v>
      </c>
      <c r="J818" s="849">
        <v>0.0</v>
      </c>
      <c r="K818" s="849">
        <v>0.0</v>
      </c>
      <c r="L818" s="849">
        <v>0.0</v>
      </c>
      <c r="M818" s="849">
        <v>0.0</v>
      </c>
      <c r="N818" s="849">
        <v>0.0</v>
      </c>
      <c r="O818" s="849">
        <v>0.0</v>
      </c>
      <c r="P818" s="849">
        <v>0.0</v>
      </c>
      <c r="Q818" s="849">
        <v>0.0</v>
      </c>
      <c r="R818" s="849">
        <v>0.0</v>
      </c>
      <c r="S818" s="849">
        <v>0.0</v>
      </c>
      <c r="T818" s="849">
        <v>0.0</v>
      </c>
      <c r="U818" s="849">
        <v>0.0</v>
      </c>
      <c r="V818" s="849">
        <v>0.0</v>
      </c>
      <c r="W818" s="849">
        <v>0.0</v>
      </c>
      <c r="X818" s="849">
        <v>0.0</v>
      </c>
      <c r="Y818" s="849">
        <v>0.0</v>
      </c>
      <c r="Z818" s="849">
        <v>0.0</v>
      </c>
      <c r="AA818" s="849">
        <v>0.0</v>
      </c>
      <c r="AB818" s="849">
        <v>0.0</v>
      </c>
      <c r="AC818" s="849">
        <v>0.0</v>
      </c>
      <c r="AD818" s="849">
        <v>0.0</v>
      </c>
      <c r="AE818" s="849">
        <v>0.0</v>
      </c>
      <c r="AF818" s="849">
        <v>0.0</v>
      </c>
      <c r="AG818" s="849">
        <v>0.0</v>
      </c>
      <c r="AH818" s="849">
        <v>0.0</v>
      </c>
      <c r="AI818" s="849">
        <v>0.0</v>
      </c>
      <c r="AJ818" s="794" t="str">
        <f t="shared" ref="AJ818:AK818" si="1633">C818</f>
        <v>G527</v>
      </c>
      <c r="AK818" s="794" t="str">
        <f t="shared" si="1633"/>
        <v>AUTRES REV.LOCAT. -ALEATO</v>
      </c>
      <c r="AL818" s="794">
        <f t="array" ref="AL818">IFERROR(INDEX(G818:R818,1,MATCH(Parametres!$B$3,G$1:R$1,0)-1)*IF(OR(F818="L",F818="S",F818="I"),-1,1),"")</f>
        <v>0</v>
      </c>
      <c r="AM818" s="794">
        <f t="shared" si="4"/>
        <v>0</v>
      </c>
      <c r="AN818" s="794">
        <f t="array" ref="AN818">INDEX(G818:R818,1,MATCH(Parametres!$B$3,G$1:R$1,0))*IF(OR(F818="L",F818="S",F818="I"),-1,1)</f>
        <v>0</v>
      </c>
      <c r="AO818" s="853" t="str">
        <f>+VLOOKUP($AJ818,Data_Validation!$A:$D,1,0)</f>
        <v>#N/A</v>
      </c>
      <c r="AP818" s="853" t="str">
        <f>+VLOOKUP($AJ818,Data_Validation!$A:$D,3,0)</f>
        <v>#N/A</v>
      </c>
      <c r="AQ818" s="853" t="str">
        <f>+VLOOKUP($AJ818,Data_Validation!$A:$D,4,0)</f>
        <v>#N/A</v>
      </c>
      <c r="AR818" s="853" t="s">
        <v>728</v>
      </c>
      <c r="AS818" s="853" t="str">
        <f>+VLOOKUP($AJ818,Data_Validation!$A:$E,5,0)</f>
        <v>#N/A</v>
      </c>
      <c r="AT818" s="794" t="str">
        <f t="shared" ref="AT818:AU818" si="1634">C818</f>
        <v>G527</v>
      </c>
      <c r="AU818" s="854" t="str">
        <f t="shared" si="1634"/>
        <v>AUTRES REV.LOCAT. -ALEATO</v>
      </c>
      <c r="AV818" s="794">
        <f t="array" ref="AV818">IFERROR(INDEX(V818:AG818,1,MATCH(Parametres!$B$3,V$1:AG$1,0)-1)*IF(OR(C818="L",C818="S",C818="I"),-1,1),"")</f>
        <v>0</v>
      </c>
      <c r="AW818" s="794">
        <f t="shared" si="6"/>
        <v>0</v>
      </c>
      <c r="AX818" s="794">
        <f t="array" ref="AX818">INDEX(V818:AG818,1,MATCH(Parametres!$B$3,V$1:AG$1,0))*IF(OR(C818="L",C818="S",C818="I"),-1,1)</f>
        <v>0</v>
      </c>
      <c r="AY818" s="853" t="s">
        <v>772</v>
      </c>
      <c r="AZ818" s="853" t="str">
        <f>+VLOOKUP($AJ818,Data_Validation!$A:$E,5,0)</f>
        <v>#N/A</v>
      </c>
    </row>
    <row r="819" ht="15.0" customHeight="1">
      <c r="A819" s="849" t="s">
        <v>1239</v>
      </c>
      <c r="B819" s="849">
        <v>2026.0</v>
      </c>
      <c r="C819" s="849" t="s">
        <v>2841</v>
      </c>
      <c r="D819" s="849" t="s">
        <v>2842</v>
      </c>
      <c r="E819" s="849" t="s">
        <v>768</v>
      </c>
      <c r="F819" s="849" t="s">
        <v>2814</v>
      </c>
      <c r="G819" s="849">
        <v>0.0</v>
      </c>
      <c r="H819" s="849">
        <v>0.0</v>
      </c>
      <c r="I819" s="849">
        <v>0.0</v>
      </c>
      <c r="J819" s="849">
        <v>0.0</v>
      </c>
      <c r="K819" s="849">
        <v>0.0</v>
      </c>
      <c r="L819" s="849">
        <v>0.0</v>
      </c>
      <c r="M819" s="849">
        <v>0.0</v>
      </c>
      <c r="N819" s="849">
        <v>0.0</v>
      </c>
      <c r="O819" s="849">
        <v>0.0</v>
      </c>
      <c r="P819" s="849">
        <v>0.0</v>
      </c>
      <c r="Q819" s="849">
        <v>0.0</v>
      </c>
      <c r="R819" s="849">
        <v>0.0</v>
      </c>
      <c r="S819" s="849">
        <v>0.0</v>
      </c>
      <c r="T819" s="849">
        <v>0.0</v>
      </c>
      <c r="U819" s="849">
        <v>0.0</v>
      </c>
      <c r="V819" s="849">
        <v>0.0</v>
      </c>
      <c r="W819" s="849">
        <v>0.0</v>
      </c>
      <c r="X819" s="849">
        <v>0.0</v>
      </c>
      <c r="Y819" s="849">
        <v>0.0</v>
      </c>
      <c r="Z819" s="849">
        <v>0.0</v>
      </c>
      <c r="AA819" s="849">
        <v>0.0</v>
      </c>
      <c r="AB819" s="849">
        <v>0.0</v>
      </c>
      <c r="AC819" s="849">
        <v>0.0</v>
      </c>
      <c r="AD819" s="849">
        <v>0.0</v>
      </c>
      <c r="AE819" s="849">
        <v>0.0</v>
      </c>
      <c r="AF819" s="849">
        <v>0.0</v>
      </c>
      <c r="AG819" s="849">
        <v>0.0</v>
      </c>
      <c r="AH819" s="849">
        <v>0.0</v>
      </c>
      <c r="AI819" s="849">
        <v>0.0</v>
      </c>
      <c r="AJ819" s="794" t="str">
        <f t="shared" ref="AJ819:AK819" si="1635">C819</f>
        <v>G53000</v>
      </c>
      <c r="AK819" s="794" t="str">
        <f t="shared" si="1635"/>
        <v>PRIX VTE VEHICULES CEDES</v>
      </c>
      <c r="AL819" s="794">
        <f t="array" ref="AL819">IFERROR(INDEX(G819:R819,1,MATCH(Parametres!$B$3,G$1:R$1,0)-1)*IF(OR(F819="L",F819="S",F819="I"),-1,1),"")</f>
        <v>0</v>
      </c>
      <c r="AM819" s="794">
        <f t="shared" si="4"/>
        <v>0</v>
      </c>
      <c r="AN819" s="794">
        <f t="array" ref="AN819">INDEX(G819:R819,1,MATCH(Parametres!$B$3,G$1:R$1,0))*IF(OR(F819="L",F819="S",F819="I"),-1,1)</f>
        <v>0</v>
      </c>
      <c r="AO819" s="853" t="str">
        <f>+VLOOKUP($AJ819,Data_Validation!$A:$D,1,0)</f>
        <v>G53000</v>
      </c>
      <c r="AP819" s="853" t="str">
        <f>+VLOOKUP($AJ819,Data_Validation!$A:$D,3,0)</f>
        <v/>
      </c>
      <c r="AQ819" s="853" t="str">
        <f>+VLOOKUP($AJ819,Data_Validation!$A:$D,4,0)</f>
        <v/>
      </c>
      <c r="AR819" s="853" t="s">
        <v>728</v>
      </c>
      <c r="AS819" s="853" t="str">
        <f>+VLOOKUP($AJ819,Data_Validation!$A:$E,5,0)</f>
        <v/>
      </c>
      <c r="AT819" s="794" t="str">
        <f t="shared" ref="AT819:AU819" si="1636">C819</f>
        <v>G53000</v>
      </c>
      <c r="AU819" s="854" t="str">
        <f t="shared" si="1636"/>
        <v>PRIX VTE VEHICULES CEDES</v>
      </c>
      <c r="AV819" s="794">
        <f t="array" ref="AV819">IFERROR(INDEX(V819:AG819,1,MATCH(Parametres!$B$3,V$1:AG$1,0)-1)*IF(OR(C819="L",C819="S",C819="I"),-1,1),"")</f>
        <v>0</v>
      </c>
      <c r="AW819" s="794">
        <f t="shared" si="6"/>
        <v>0</v>
      </c>
      <c r="AX819" s="794">
        <f t="array" ref="AX819">INDEX(V819:AG819,1,MATCH(Parametres!$B$3,V$1:AG$1,0))*IF(OR(C819="L",C819="S",C819="I"),-1,1)</f>
        <v>0</v>
      </c>
      <c r="AY819" s="853" t="s">
        <v>772</v>
      </c>
      <c r="AZ819" s="853" t="str">
        <f>+VLOOKUP($AJ819,Data_Validation!$A:$E,5,0)</f>
        <v/>
      </c>
    </row>
    <row r="820" ht="15.0" customHeight="1">
      <c r="A820" s="849" t="s">
        <v>1239</v>
      </c>
      <c r="B820" s="849">
        <v>2026.0</v>
      </c>
      <c r="C820" s="849" t="s">
        <v>2843</v>
      </c>
      <c r="D820" s="849" t="s">
        <v>2844</v>
      </c>
      <c r="E820" s="849" t="s">
        <v>768</v>
      </c>
      <c r="F820" s="849" t="s">
        <v>2814</v>
      </c>
      <c r="G820" s="849">
        <v>0.0</v>
      </c>
      <c r="H820" s="849">
        <v>0.0</v>
      </c>
      <c r="I820" s="849">
        <v>0.0</v>
      </c>
      <c r="J820" s="849">
        <v>0.0</v>
      </c>
      <c r="K820" s="849">
        <v>0.0</v>
      </c>
      <c r="L820" s="849">
        <v>0.0</v>
      </c>
      <c r="M820" s="849">
        <v>0.0</v>
      </c>
      <c r="N820" s="849">
        <v>0.0</v>
      </c>
      <c r="O820" s="849">
        <v>0.0</v>
      </c>
      <c r="P820" s="849">
        <v>0.0</v>
      </c>
      <c r="Q820" s="849">
        <v>0.0</v>
      </c>
      <c r="R820" s="849">
        <v>0.0</v>
      </c>
      <c r="S820" s="849">
        <v>0.0</v>
      </c>
      <c r="T820" s="849">
        <v>0.0</v>
      </c>
      <c r="U820" s="849">
        <v>0.0</v>
      </c>
      <c r="V820" s="849">
        <v>0.0</v>
      </c>
      <c r="W820" s="849">
        <v>0.0</v>
      </c>
      <c r="X820" s="849">
        <v>0.0</v>
      </c>
      <c r="Y820" s="849">
        <v>0.0</v>
      </c>
      <c r="Z820" s="849">
        <v>0.0</v>
      </c>
      <c r="AA820" s="849">
        <v>0.0</v>
      </c>
      <c r="AB820" s="849">
        <v>0.0</v>
      </c>
      <c r="AC820" s="849">
        <v>0.0</v>
      </c>
      <c r="AD820" s="849">
        <v>0.0</v>
      </c>
      <c r="AE820" s="849">
        <v>0.0</v>
      </c>
      <c r="AF820" s="849">
        <v>0.0</v>
      </c>
      <c r="AG820" s="849">
        <v>0.0</v>
      </c>
      <c r="AH820" s="849">
        <v>0.0</v>
      </c>
      <c r="AI820" s="849">
        <v>0.0</v>
      </c>
      <c r="AJ820" s="794" t="str">
        <f t="shared" ref="AJ820:AK820" si="1637">C820</f>
        <v>G534</v>
      </c>
      <c r="AK820" s="794" t="str">
        <f t="shared" si="1637"/>
        <v>FRAIS PMNT TARDIF    -C/T</v>
      </c>
      <c r="AL820" s="794">
        <f t="array" ref="AL820">IFERROR(INDEX(G820:R820,1,MATCH(Parametres!$B$3,G$1:R$1,0)-1)*IF(OR(F820="L",F820="S",F820="I"),-1,1),"")</f>
        <v>0</v>
      </c>
      <c r="AM820" s="794">
        <f t="shared" si="4"/>
        <v>0</v>
      </c>
      <c r="AN820" s="794">
        <f t="array" ref="AN820">INDEX(G820:R820,1,MATCH(Parametres!$B$3,G$1:R$1,0))*IF(OR(F820="L",F820="S",F820="I"),-1,1)</f>
        <v>0</v>
      </c>
      <c r="AO820" s="853" t="str">
        <f>+VLOOKUP($AJ820,Data_Validation!$A:$D,1,0)</f>
        <v>#N/A</v>
      </c>
      <c r="AP820" s="853" t="str">
        <f>+VLOOKUP($AJ820,Data_Validation!$A:$D,3,0)</f>
        <v>#N/A</v>
      </c>
      <c r="AQ820" s="853" t="str">
        <f>+VLOOKUP($AJ820,Data_Validation!$A:$D,4,0)</f>
        <v>#N/A</v>
      </c>
      <c r="AR820" s="853" t="s">
        <v>728</v>
      </c>
      <c r="AS820" s="853" t="str">
        <f>+VLOOKUP($AJ820,Data_Validation!$A:$E,5,0)</f>
        <v>#N/A</v>
      </c>
      <c r="AT820" s="794" t="str">
        <f t="shared" ref="AT820:AU820" si="1638">C820</f>
        <v>G534</v>
      </c>
      <c r="AU820" s="854" t="str">
        <f t="shared" si="1638"/>
        <v>FRAIS PMNT TARDIF    -C/T</v>
      </c>
      <c r="AV820" s="794">
        <f t="array" ref="AV820">IFERROR(INDEX(V820:AG820,1,MATCH(Parametres!$B$3,V$1:AG$1,0)-1)*IF(OR(C820="L",C820="S",C820="I"),-1,1),"")</f>
        <v>0</v>
      </c>
      <c r="AW820" s="794">
        <f t="shared" si="6"/>
        <v>0</v>
      </c>
      <c r="AX820" s="794">
        <f t="array" ref="AX820">INDEX(V820:AG820,1,MATCH(Parametres!$B$3,V$1:AG$1,0))*IF(OR(C820="L",C820="S",C820="I"),-1,1)</f>
        <v>0</v>
      </c>
      <c r="AY820" s="853" t="s">
        <v>772</v>
      </c>
      <c r="AZ820" s="853" t="str">
        <f>+VLOOKUP($AJ820,Data_Validation!$A:$E,5,0)</f>
        <v>#N/A</v>
      </c>
    </row>
    <row r="821" ht="15.0" customHeight="1">
      <c r="A821" s="849" t="s">
        <v>1239</v>
      </c>
      <c r="B821" s="849">
        <v>2026.0</v>
      </c>
      <c r="C821" s="849" t="s">
        <v>2845</v>
      </c>
      <c r="D821" s="849" t="s">
        <v>2846</v>
      </c>
      <c r="E821" s="849" t="s">
        <v>768</v>
      </c>
      <c r="F821" s="849" t="s">
        <v>2814</v>
      </c>
      <c r="G821" s="849">
        <v>0.0</v>
      </c>
      <c r="H821" s="849">
        <v>0.0</v>
      </c>
      <c r="I821" s="849">
        <v>0.0</v>
      </c>
      <c r="J821" s="849">
        <v>0.0</v>
      </c>
      <c r="K821" s="849">
        <v>0.0</v>
      </c>
      <c r="L821" s="849">
        <v>0.0</v>
      </c>
      <c r="M821" s="849">
        <v>0.0</v>
      </c>
      <c r="N821" s="849">
        <v>0.0</v>
      </c>
      <c r="O821" s="849">
        <v>0.0</v>
      </c>
      <c r="P821" s="849">
        <v>0.0</v>
      </c>
      <c r="Q821" s="849">
        <v>0.0</v>
      </c>
      <c r="R821" s="849">
        <v>0.0</v>
      </c>
      <c r="S821" s="849">
        <v>0.0</v>
      </c>
      <c r="T821" s="849">
        <v>0.0</v>
      </c>
      <c r="U821" s="849">
        <v>0.0</v>
      </c>
      <c r="V821" s="849">
        <v>0.0</v>
      </c>
      <c r="W821" s="849">
        <v>0.0</v>
      </c>
      <c r="X821" s="849">
        <v>0.0</v>
      </c>
      <c r="Y821" s="849">
        <v>0.0</v>
      </c>
      <c r="Z821" s="849">
        <v>0.0</v>
      </c>
      <c r="AA821" s="849">
        <v>0.0</v>
      </c>
      <c r="AB821" s="849">
        <v>0.0</v>
      </c>
      <c r="AC821" s="849">
        <v>0.0</v>
      </c>
      <c r="AD821" s="849">
        <v>0.0</v>
      </c>
      <c r="AE821" s="849">
        <v>0.0</v>
      </c>
      <c r="AF821" s="849">
        <v>0.0</v>
      </c>
      <c r="AG821" s="849">
        <v>0.0</v>
      </c>
      <c r="AH821" s="849">
        <v>0.0</v>
      </c>
      <c r="AI821" s="849">
        <v>0.0</v>
      </c>
      <c r="AJ821" s="794" t="str">
        <f t="shared" ref="AJ821:AK821" si="1639">C821</f>
        <v>G535</v>
      </c>
      <c r="AK821" s="794" t="str">
        <f t="shared" si="1639"/>
        <v>REV.LOCATION C/T     -C/T</v>
      </c>
      <c r="AL821" s="794">
        <f t="array" ref="AL821">IFERROR(INDEX(G821:R821,1,MATCH(Parametres!$B$3,G$1:R$1,0)-1)*IF(OR(F821="L",F821="S",F821="I"),-1,1),"")</f>
        <v>0</v>
      </c>
      <c r="AM821" s="794">
        <f t="shared" si="4"/>
        <v>0</v>
      </c>
      <c r="AN821" s="794">
        <f t="array" ref="AN821">INDEX(G821:R821,1,MATCH(Parametres!$B$3,G$1:R$1,0))*IF(OR(F821="L",F821="S",F821="I"),-1,1)</f>
        <v>0</v>
      </c>
      <c r="AO821" s="853" t="str">
        <f>+VLOOKUP($AJ821,Data_Validation!$A:$D,1,0)</f>
        <v>#N/A</v>
      </c>
      <c r="AP821" s="853" t="str">
        <f>+VLOOKUP($AJ821,Data_Validation!$A:$D,3,0)</f>
        <v>#N/A</v>
      </c>
      <c r="AQ821" s="853" t="str">
        <f>+VLOOKUP($AJ821,Data_Validation!$A:$D,4,0)</f>
        <v>#N/A</v>
      </c>
      <c r="AR821" s="853" t="s">
        <v>728</v>
      </c>
      <c r="AS821" s="853" t="str">
        <f>+VLOOKUP($AJ821,Data_Validation!$A:$E,5,0)</f>
        <v>#N/A</v>
      </c>
      <c r="AT821" s="794" t="str">
        <f t="shared" ref="AT821:AU821" si="1640">C821</f>
        <v>G535</v>
      </c>
      <c r="AU821" s="854" t="str">
        <f t="shared" si="1640"/>
        <v>REV.LOCATION C/T     -C/T</v>
      </c>
      <c r="AV821" s="794">
        <f t="array" ref="AV821">IFERROR(INDEX(V821:AG821,1,MATCH(Parametres!$B$3,V$1:AG$1,0)-1)*IF(OR(C821="L",C821="S",C821="I"),-1,1),"")</f>
        <v>0</v>
      </c>
      <c r="AW821" s="794">
        <f t="shared" si="6"/>
        <v>0</v>
      </c>
      <c r="AX821" s="794">
        <f t="array" ref="AX821">INDEX(V821:AG821,1,MATCH(Parametres!$B$3,V$1:AG$1,0))*IF(OR(C821="L",C821="S",C821="I"),-1,1)</f>
        <v>0</v>
      </c>
      <c r="AY821" s="853" t="s">
        <v>772</v>
      </c>
      <c r="AZ821" s="853" t="str">
        <f>+VLOOKUP($AJ821,Data_Validation!$A:$E,5,0)</f>
        <v>#N/A</v>
      </c>
    </row>
    <row r="822" ht="15.0" customHeight="1">
      <c r="A822" s="849" t="s">
        <v>1239</v>
      </c>
      <c r="B822" s="849">
        <v>2026.0</v>
      </c>
      <c r="C822" s="849" t="s">
        <v>2847</v>
      </c>
      <c r="D822" s="849" t="s">
        <v>2848</v>
      </c>
      <c r="E822" s="849" t="s">
        <v>768</v>
      </c>
      <c r="F822" s="849" t="s">
        <v>2814</v>
      </c>
      <c r="G822" s="849">
        <v>0.0</v>
      </c>
      <c r="H822" s="849">
        <v>0.0</v>
      </c>
      <c r="I822" s="849">
        <v>0.0</v>
      </c>
      <c r="J822" s="849">
        <v>0.0</v>
      </c>
      <c r="K822" s="849">
        <v>0.0</v>
      </c>
      <c r="L822" s="849">
        <v>0.0</v>
      </c>
      <c r="M822" s="849">
        <v>0.0</v>
      </c>
      <c r="N822" s="849">
        <v>0.0</v>
      </c>
      <c r="O822" s="849">
        <v>0.0</v>
      </c>
      <c r="P822" s="849">
        <v>0.0</v>
      </c>
      <c r="Q822" s="849">
        <v>0.0</v>
      </c>
      <c r="R822" s="849">
        <v>0.0</v>
      </c>
      <c r="S822" s="849">
        <v>0.0</v>
      </c>
      <c r="T822" s="849">
        <v>0.0</v>
      </c>
      <c r="U822" s="849">
        <v>0.0</v>
      </c>
      <c r="V822" s="849">
        <v>0.0</v>
      </c>
      <c r="W822" s="849">
        <v>0.0</v>
      </c>
      <c r="X822" s="849">
        <v>0.0</v>
      </c>
      <c r="Y822" s="849">
        <v>0.0</v>
      </c>
      <c r="Z822" s="849">
        <v>0.0</v>
      </c>
      <c r="AA822" s="849">
        <v>0.0</v>
      </c>
      <c r="AB822" s="849">
        <v>0.0</v>
      </c>
      <c r="AC822" s="849">
        <v>0.0</v>
      </c>
      <c r="AD822" s="849">
        <v>0.0</v>
      </c>
      <c r="AE822" s="849">
        <v>0.0</v>
      </c>
      <c r="AF822" s="849">
        <v>0.0</v>
      </c>
      <c r="AG822" s="849">
        <v>0.0</v>
      </c>
      <c r="AH822" s="849">
        <v>0.0</v>
      </c>
      <c r="AI822" s="849">
        <v>0.0</v>
      </c>
      <c r="AJ822" s="794" t="str">
        <f t="shared" ref="AJ822:AK822" si="1641">C822</f>
        <v>G53500</v>
      </c>
      <c r="AK822" s="794" t="str">
        <f t="shared" si="1641"/>
        <v>REVENUS LOCATION C/TERME</v>
      </c>
      <c r="AL822" s="794">
        <f t="array" ref="AL822">IFERROR(INDEX(G822:R822,1,MATCH(Parametres!$B$3,G$1:R$1,0)-1)*IF(OR(F822="L",F822="S",F822="I"),-1,1),"")</f>
        <v>0</v>
      </c>
      <c r="AM822" s="794">
        <f t="shared" si="4"/>
        <v>0</v>
      </c>
      <c r="AN822" s="794">
        <f t="array" ref="AN822">INDEX(G822:R822,1,MATCH(Parametres!$B$3,G$1:R$1,0))*IF(OR(F822="L",F822="S",F822="I"),-1,1)</f>
        <v>0</v>
      </c>
      <c r="AO822" s="853" t="str">
        <f>+VLOOKUP($AJ822,Data_Validation!$A:$D,1,0)</f>
        <v>G53500</v>
      </c>
      <c r="AP822" s="853" t="str">
        <f>+VLOOKUP($AJ822,Data_Validation!$A:$D,3,0)</f>
        <v/>
      </c>
      <c r="AQ822" s="853" t="str">
        <f>+VLOOKUP($AJ822,Data_Validation!$A:$D,4,0)</f>
        <v/>
      </c>
      <c r="AR822" s="853" t="s">
        <v>728</v>
      </c>
      <c r="AS822" s="853" t="str">
        <f>+VLOOKUP($AJ822,Data_Validation!$A:$E,5,0)</f>
        <v/>
      </c>
      <c r="AT822" s="794" t="str">
        <f t="shared" ref="AT822:AU822" si="1642">C822</f>
        <v>G53500</v>
      </c>
      <c r="AU822" s="854" t="str">
        <f t="shared" si="1642"/>
        <v>REVENUS LOCATION C/TERME</v>
      </c>
      <c r="AV822" s="794">
        <f t="array" ref="AV822">IFERROR(INDEX(V822:AG822,1,MATCH(Parametres!$B$3,V$1:AG$1,0)-1)*IF(OR(C822="L",C822="S",C822="I"),-1,1),"")</f>
        <v>0</v>
      </c>
      <c r="AW822" s="794">
        <f t="shared" si="6"/>
        <v>0</v>
      </c>
      <c r="AX822" s="794">
        <f t="array" ref="AX822">INDEX(V822:AG822,1,MATCH(Parametres!$B$3,V$1:AG$1,0))*IF(OR(C822="L",C822="S",C822="I"),-1,1)</f>
        <v>0</v>
      </c>
      <c r="AY822" s="853" t="s">
        <v>772</v>
      </c>
      <c r="AZ822" s="853" t="str">
        <f>+VLOOKUP($AJ822,Data_Validation!$A:$E,5,0)</f>
        <v/>
      </c>
    </row>
    <row r="823" ht="15.0" customHeight="1">
      <c r="A823" s="849" t="s">
        <v>1239</v>
      </c>
      <c r="B823" s="849">
        <v>2026.0</v>
      </c>
      <c r="C823" s="849" t="s">
        <v>2849</v>
      </c>
      <c r="D823" s="849" t="s">
        <v>2850</v>
      </c>
      <c r="E823" s="849" t="s">
        <v>768</v>
      </c>
      <c r="F823" s="849" t="s">
        <v>2814</v>
      </c>
      <c r="G823" s="849">
        <v>0.0</v>
      </c>
      <c r="H823" s="849">
        <v>0.0</v>
      </c>
      <c r="I823" s="849">
        <v>0.0</v>
      </c>
      <c r="J823" s="849">
        <v>0.0</v>
      </c>
      <c r="K823" s="849">
        <v>0.0</v>
      </c>
      <c r="L823" s="849">
        <v>0.0</v>
      </c>
      <c r="M823" s="849">
        <v>0.0</v>
      </c>
      <c r="N823" s="849">
        <v>0.0</v>
      </c>
      <c r="O823" s="849">
        <v>0.0</v>
      </c>
      <c r="P823" s="849">
        <v>0.0</v>
      </c>
      <c r="Q823" s="849">
        <v>0.0</v>
      </c>
      <c r="R823" s="849">
        <v>0.0</v>
      </c>
      <c r="S823" s="849">
        <v>0.0</v>
      </c>
      <c r="T823" s="849">
        <v>0.0</v>
      </c>
      <c r="U823" s="849">
        <v>0.0</v>
      </c>
      <c r="V823" s="849">
        <v>0.0</v>
      </c>
      <c r="W823" s="849">
        <v>0.0</v>
      </c>
      <c r="X823" s="849">
        <v>0.0</v>
      </c>
      <c r="Y823" s="849">
        <v>0.0</v>
      </c>
      <c r="Z823" s="849">
        <v>0.0</v>
      </c>
      <c r="AA823" s="849">
        <v>0.0</v>
      </c>
      <c r="AB823" s="849">
        <v>0.0</v>
      </c>
      <c r="AC823" s="849">
        <v>0.0</v>
      </c>
      <c r="AD823" s="849">
        <v>0.0</v>
      </c>
      <c r="AE823" s="849">
        <v>0.0</v>
      </c>
      <c r="AF823" s="849">
        <v>0.0</v>
      </c>
      <c r="AG823" s="849">
        <v>0.0</v>
      </c>
      <c r="AH823" s="849">
        <v>0.0</v>
      </c>
      <c r="AI823" s="849">
        <v>0.0</v>
      </c>
      <c r="AJ823" s="794" t="str">
        <f t="shared" ref="AJ823:AK823" si="1643">C823</f>
        <v>G536</v>
      </c>
      <c r="AK823" s="794" t="str">
        <f t="shared" si="1643"/>
        <v>FRAIS ADMINIST.      -C/T</v>
      </c>
      <c r="AL823" s="794">
        <f t="array" ref="AL823">IFERROR(INDEX(G823:R823,1,MATCH(Parametres!$B$3,G$1:R$1,0)-1)*IF(OR(F823="L",F823="S",F823="I"),-1,1),"")</f>
        <v>0</v>
      </c>
      <c r="AM823" s="794">
        <f t="shared" si="4"/>
        <v>0</v>
      </c>
      <c r="AN823" s="794">
        <f t="array" ref="AN823">INDEX(G823:R823,1,MATCH(Parametres!$B$3,G$1:R$1,0))*IF(OR(F823="L",F823="S",F823="I"),-1,1)</f>
        <v>0</v>
      </c>
      <c r="AO823" s="853" t="str">
        <f>+VLOOKUP($AJ823,Data_Validation!$A:$D,1,0)</f>
        <v>#N/A</v>
      </c>
      <c r="AP823" s="853" t="str">
        <f>+VLOOKUP($AJ823,Data_Validation!$A:$D,3,0)</f>
        <v>#N/A</v>
      </c>
      <c r="AQ823" s="853" t="str">
        <f>+VLOOKUP($AJ823,Data_Validation!$A:$D,4,0)</f>
        <v>#N/A</v>
      </c>
      <c r="AR823" s="853" t="s">
        <v>728</v>
      </c>
      <c r="AS823" s="853" t="str">
        <f>+VLOOKUP($AJ823,Data_Validation!$A:$E,5,0)</f>
        <v>#N/A</v>
      </c>
      <c r="AT823" s="794" t="str">
        <f t="shared" ref="AT823:AU823" si="1644">C823</f>
        <v>G536</v>
      </c>
      <c r="AU823" s="854" t="str">
        <f t="shared" si="1644"/>
        <v>FRAIS ADMINIST.      -C/T</v>
      </c>
      <c r="AV823" s="794">
        <f t="array" ref="AV823">IFERROR(INDEX(V823:AG823,1,MATCH(Parametres!$B$3,V$1:AG$1,0)-1)*IF(OR(C823="L",C823="S",C823="I"),-1,1),"")</f>
        <v>0</v>
      </c>
      <c r="AW823" s="794">
        <f t="shared" si="6"/>
        <v>0</v>
      </c>
      <c r="AX823" s="794">
        <f t="array" ref="AX823">INDEX(V823:AG823,1,MATCH(Parametres!$B$3,V$1:AG$1,0))*IF(OR(C823="L",C823="S",C823="I"),-1,1)</f>
        <v>0</v>
      </c>
      <c r="AY823" s="853" t="s">
        <v>772</v>
      </c>
      <c r="AZ823" s="853" t="str">
        <f>+VLOOKUP($AJ823,Data_Validation!$A:$E,5,0)</f>
        <v>#N/A</v>
      </c>
    </row>
    <row r="824" ht="15.0" customHeight="1">
      <c r="A824" s="849" t="s">
        <v>1239</v>
      </c>
      <c r="B824" s="849">
        <v>2026.0</v>
      </c>
      <c r="C824" s="849" t="s">
        <v>2851</v>
      </c>
      <c r="D824" s="849" t="s">
        <v>2852</v>
      </c>
      <c r="E824" s="849" t="s">
        <v>768</v>
      </c>
      <c r="F824" s="849" t="s">
        <v>2426</v>
      </c>
      <c r="G824" s="849">
        <v>0.0</v>
      </c>
      <c r="H824" s="849">
        <v>0.0</v>
      </c>
      <c r="I824" s="849">
        <v>0.0</v>
      </c>
      <c r="J824" s="849">
        <v>0.0</v>
      </c>
      <c r="K824" s="849">
        <v>0.0</v>
      </c>
      <c r="L824" s="849">
        <v>0.0</v>
      </c>
      <c r="M824" s="849">
        <v>0.0</v>
      </c>
      <c r="N824" s="849">
        <v>0.0</v>
      </c>
      <c r="O824" s="849">
        <v>0.0</v>
      </c>
      <c r="P824" s="849">
        <v>0.0</v>
      </c>
      <c r="Q824" s="849">
        <v>0.0</v>
      </c>
      <c r="R824" s="849">
        <v>0.0</v>
      </c>
      <c r="S824" s="849">
        <v>0.0</v>
      </c>
      <c r="T824" s="849">
        <v>0.0</v>
      </c>
      <c r="U824" s="849">
        <v>0.0</v>
      </c>
      <c r="V824" s="849">
        <v>0.0</v>
      </c>
      <c r="W824" s="849">
        <v>0.0</v>
      </c>
      <c r="X824" s="849">
        <v>0.0</v>
      </c>
      <c r="Y824" s="849">
        <v>0.0</v>
      </c>
      <c r="Z824" s="849">
        <v>0.0</v>
      </c>
      <c r="AA824" s="849">
        <v>0.0</v>
      </c>
      <c r="AB824" s="849">
        <v>0.0</v>
      </c>
      <c r="AC824" s="849">
        <v>0.0</v>
      </c>
      <c r="AD824" s="849">
        <v>0.0</v>
      </c>
      <c r="AE824" s="849">
        <v>0.0</v>
      </c>
      <c r="AF824" s="849">
        <v>0.0</v>
      </c>
      <c r="AG824" s="849">
        <v>0.0</v>
      </c>
      <c r="AH824" s="849">
        <v>0.0</v>
      </c>
      <c r="AI824" s="849">
        <v>0.0</v>
      </c>
      <c r="AJ824" s="794" t="str">
        <f t="shared" ref="AJ824:AK824" si="1645">C824</f>
        <v>G541</v>
      </c>
      <c r="AK824" s="794" t="str">
        <f t="shared" si="1645"/>
        <v>COMM.ENCAISSE/ASS LOC C&amp;L</v>
      </c>
      <c r="AL824" s="794">
        <f t="array" ref="AL824">IFERROR(INDEX(G824:R824,1,MATCH(Parametres!$B$3,G$1:R$1,0)-1)*IF(OR(F824="L",F824="S",F824="I"),-1,1),"")</f>
        <v>0</v>
      </c>
      <c r="AM824" s="794">
        <f t="shared" si="4"/>
        <v>0</v>
      </c>
      <c r="AN824" s="794">
        <f t="array" ref="AN824">INDEX(G824:R824,1,MATCH(Parametres!$B$3,G$1:R$1,0))*IF(OR(F824="L",F824="S",F824="I"),-1,1)</f>
        <v>0</v>
      </c>
      <c r="AO824" s="853" t="str">
        <f>+VLOOKUP($AJ824,Data_Validation!$A:$D,1,0)</f>
        <v>#N/A</v>
      </c>
      <c r="AP824" s="853" t="str">
        <f>+VLOOKUP($AJ824,Data_Validation!$A:$D,3,0)</f>
        <v>#N/A</v>
      </c>
      <c r="AQ824" s="853" t="str">
        <f>+VLOOKUP($AJ824,Data_Validation!$A:$D,4,0)</f>
        <v>#N/A</v>
      </c>
      <c r="AR824" s="853" t="s">
        <v>728</v>
      </c>
      <c r="AS824" s="853" t="str">
        <f>+VLOOKUP($AJ824,Data_Validation!$A:$E,5,0)</f>
        <v>#N/A</v>
      </c>
      <c r="AT824" s="794" t="str">
        <f t="shared" ref="AT824:AU824" si="1646">C824</f>
        <v>G541</v>
      </c>
      <c r="AU824" s="854" t="str">
        <f t="shared" si="1646"/>
        <v>COMM.ENCAISSE/ASS LOC C&amp;L</v>
      </c>
      <c r="AV824" s="794">
        <f t="array" ref="AV824">IFERROR(INDEX(V824:AG824,1,MATCH(Parametres!$B$3,V$1:AG$1,0)-1)*IF(OR(C824="L",C824="S",C824="I"),-1,1),"")</f>
        <v>0</v>
      </c>
      <c r="AW824" s="794">
        <f t="shared" si="6"/>
        <v>0</v>
      </c>
      <c r="AX824" s="794">
        <f t="array" ref="AX824">INDEX(V824:AG824,1,MATCH(Parametres!$B$3,V$1:AG$1,0))*IF(OR(C824="L",C824="S",C824="I"),-1,1)</f>
        <v>0</v>
      </c>
      <c r="AY824" s="853" t="s">
        <v>772</v>
      </c>
      <c r="AZ824" s="853" t="str">
        <f>+VLOOKUP($AJ824,Data_Validation!$A:$E,5,0)</f>
        <v>#N/A</v>
      </c>
    </row>
    <row r="825" ht="15.0" customHeight="1">
      <c r="A825" s="849" t="s">
        <v>1239</v>
      </c>
      <c r="B825" s="849">
        <v>2026.0</v>
      </c>
      <c r="C825" s="849" t="s">
        <v>2853</v>
      </c>
      <c r="D825" s="849" t="s">
        <v>2854</v>
      </c>
      <c r="E825" s="849" t="s">
        <v>768</v>
      </c>
      <c r="F825" s="849" t="s">
        <v>2855</v>
      </c>
      <c r="G825" s="849">
        <v>0.0</v>
      </c>
      <c r="H825" s="849">
        <v>0.0</v>
      </c>
      <c r="I825" s="849">
        <v>0.0</v>
      </c>
      <c r="J825" s="849">
        <v>0.0</v>
      </c>
      <c r="K825" s="849">
        <v>0.0</v>
      </c>
      <c r="L825" s="849">
        <v>0.0</v>
      </c>
      <c r="M825" s="849">
        <v>0.0</v>
      </c>
      <c r="N825" s="849">
        <v>0.0</v>
      </c>
      <c r="O825" s="849">
        <v>0.0</v>
      </c>
      <c r="P825" s="849">
        <v>0.0</v>
      </c>
      <c r="Q825" s="849">
        <v>0.0</v>
      </c>
      <c r="R825" s="849">
        <v>0.0</v>
      </c>
      <c r="S825" s="849">
        <v>0.0</v>
      </c>
      <c r="T825" s="849">
        <v>0.0</v>
      </c>
      <c r="U825" s="849">
        <v>0.0</v>
      </c>
      <c r="V825" s="849">
        <v>0.0</v>
      </c>
      <c r="W825" s="849">
        <v>0.0</v>
      </c>
      <c r="X825" s="849">
        <v>0.0</v>
      </c>
      <c r="Y825" s="849">
        <v>0.0</v>
      </c>
      <c r="Z825" s="849">
        <v>0.0</v>
      </c>
      <c r="AA825" s="849">
        <v>0.0</v>
      </c>
      <c r="AB825" s="849">
        <v>0.0</v>
      </c>
      <c r="AC825" s="849">
        <v>0.0</v>
      </c>
      <c r="AD825" s="849">
        <v>0.0</v>
      </c>
      <c r="AE825" s="849">
        <v>0.0</v>
      </c>
      <c r="AF825" s="849">
        <v>0.0</v>
      </c>
      <c r="AG825" s="849">
        <v>0.0</v>
      </c>
      <c r="AH825" s="849">
        <v>0.0</v>
      </c>
      <c r="AI825" s="849">
        <v>0.0</v>
      </c>
      <c r="AJ825" s="794" t="str">
        <f t="shared" ref="AJ825:AK825" si="1647">C825</f>
        <v>G541C</v>
      </c>
      <c r="AK825" s="794" t="str">
        <f t="shared" si="1647"/>
        <v>*COMM.ENCAISSE/ASS.LOC</v>
      </c>
      <c r="AL825" s="794">
        <f t="array" ref="AL825">IFERROR(INDEX(G825:R825,1,MATCH(Parametres!$B$3,G$1:R$1,0)-1)*IF(OR(F825="L",F825="S",F825="I"),-1,1),"")</f>
        <v>0</v>
      </c>
      <c r="AM825" s="794">
        <f t="shared" si="4"/>
        <v>0</v>
      </c>
      <c r="AN825" s="794">
        <f t="array" ref="AN825">INDEX(G825:R825,1,MATCH(Parametres!$B$3,G$1:R$1,0))*IF(OR(F825="L",F825="S",F825="I"),-1,1)</f>
        <v>0</v>
      </c>
      <c r="AO825" s="853" t="str">
        <f>+VLOOKUP($AJ825,Data_Validation!$A:$D,1,0)</f>
        <v>#N/A</v>
      </c>
      <c r="AP825" s="853" t="str">
        <f>+VLOOKUP($AJ825,Data_Validation!$A:$D,3,0)</f>
        <v>#N/A</v>
      </c>
      <c r="AQ825" s="853" t="str">
        <f>+VLOOKUP($AJ825,Data_Validation!$A:$D,4,0)</f>
        <v>#N/A</v>
      </c>
      <c r="AR825" s="853" t="s">
        <v>728</v>
      </c>
      <c r="AS825" s="853" t="str">
        <f>+VLOOKUP($AJ825,Data_Validation!$A:$E,5,0)</f>
        <v>#N/A</v>
      </c>
      <c r="AT825" s="794" t="str">
        <f t="shared" ref="AT825:AU825" si="1648">C825</f>
        <v>G541C</v>
      </c>
      <c r="AU825" s="854" t="str">
        <f t="shared" si="1648"/>
        <v>*COMM.ENCAISSE/ASS.LOC</v>
      </c>
      <c r="AV825" s="794">
        <f t="array" ref="AV825">IFERROR(INDEX(V825:AG825,1,MATCH(Parametres!$B$3,V$1:AG$1,0)-1)*IF(OR(C825="L",C825="S",C825="I"),-1,1),"")</f>
        <v>0</v>
      </c>
      <c r="AW825" s="794">
        <f t="shared" si="6"/>
        <v>0</v>
      </c>
      <c r="AX825" s="794">
        <f t="array" ref="AX825">INDEX(V825:AG825,1,MATCH(Parametres!$B$3,V$1:AG$1,0))*IF(OR(C825="L",C825="S",C825="I"),-1,1)</f>
        <v>0</v>
      </c>
      <c r="AY825" s="853" t="s">
        <v>772</v>
      </c>
      <c r="AZ825" s="853" t="str">
        <f>+VLOOKUP($AJ825,Data_Validation!$A:$E,5,0)</f>
        <v>#N/A</v>
      </c>
    </row>
    <row r="826" ht="15.0" customHeight="1">
      <c r="A826" s="849" t="s">
        <v>1239</v>
      </c>
      <c r="B826" s="849">
        <v>2026.0</v>
      </c>
      <c r="C826" s="849" t="s">
        <v>2856</v>
      </c>
      <c r="D826" s="849" t="s">
        <v>2857</v>
      </c>
      <c r="E826" s="849" t="s">
        <v>768</v>
      </c>
      <c r="F826" s="849" t="s">
        <v>2426</v>
      </c>
      <c r="G826" s="849">
        <v>0.0</v>
      </c>
      <c r="H826" s="849">
        <v>0.0</v>
      </c>
      <c r="I826" s="849">
        <v>0.0</v>
      </c>
      <c r="J826" s="849">
        <v>0.0</v>
      </c>
      <c r="K826" s="849">
        <v>0.0</v>
      </c>
      <c r="L826" s="849">
        <v>0.0</v>
      </c>
      <c r="M826" s="849">
        <v>0.0</v>
      </c>
      <c r="N826" s="849">
        <v>0.0</v>
      </c>
      <c r="O826" s="849">
        <v>0.0</v>
      </c>
      <c r="P826" s="849">
        <v>0.0</v>
      </c>
      <c r="Q826" s="849">
        <v>0.0</v>
      </c>
      <c r="R826" s="849">
        <v>0.0</v>
      </c>
      <c r="S826" s="849">
        <v>0.0</v>
      </c>
      <c r="T826" s="849">
        <v>0.0</v>
      </c>
      <c r="U826" s="849">
        <v>0.0</v>
      </c>
      <c r="V826" s="849">
        <v>0.0</v>
      </c>
      <c r="W826" s="849">
        <v>0.0</v>
      </c>
      <c r="X826" s="849">
        <v>0.0</v>
      </c>
      <c r="Y826" s="849">
        <v>0.0</v>
      </c>
      <c r="Z826" s="849">
        <v>0.0</v>
      </c>
      <c r="AA826" s="849">
        <v>0.0</v>
      </c>
      <c r="AB826" s="849">
        <v>0.0</v>
      </c>
      <c r="AC826" s="849">
        <v>0.0</v>
      </c>
      <c r="AD826" s="849">
        <v>0.0</v>
      </c>
      <c r="AE826" s="849">
        <v>0.0</v>
      </c>
      <c r="AF826" s="849">
        <v>0.0</v>
      </c>
      <c r="AG826" s="849">
        <v>0.0</v>
      </c>
      <c r="AH826" s="849">
        <v>0.0</v>
      </c>
      <c r="AI826" s="849">
        <v>0.0</v>
      </c>
      <c r="AJ826" s="794" t="str">
        <f t="shared" ref="AJ826:AK826" si="1649">C826</f>
        <v>G542</v>
      </c>
      <c r="AK826" s="794" t="str">
        <f t="shared" si="1649"/>
        <v>ACCESSOIRES LOC C&amp;L TERME</v>
      </c>
      <c r="AL826" s="794">
        <f t="array" ref="AL826">IFERROR(INDEX(G826:R826,1,MATCH(Parametres!$B$3,G$1:R$1,0)-1)*IF(OR(F826="L",F826="S",F826="I"),-1,1),"")</f>
        <v>0</v>
      </c>
      <c r="AM826" s="794">
        <f t="shared" si="4"/>
        <v>0</v>
      </c>
      <c r="AN826" s="794">
        <f t="array" ref="AN826">INDEX(G826:R826,1,MATCH(Parametres!$B$3,G$1:R$1,0))*IF(OR(F826="L",F826="S",F826="I"),-1,1)</f>
        <v>0</v>
      </c>
      <c r="AO826" s="853" t="str">
        <f>+VLOOKUP($AJ826,Data_Validation!$A:$D,1,0)</f>
        <v>#N/A</v>
      </c>
      <c r="AP826" s="853" t="str">
        <f>+VLOOKUP($AJ826,Data_Validation!$A:$D,3,0)</f>
        <v>#N/A</v>
      </c>
      <c r="AQ826" s="853" t="str">
        <f>+VLOOKUP($AJ826,Data_Validation!$A:$D,4,0)</f>
        <v>#N/A</v>
      </c>
      <c r="AR826" s="853" t="s">
        <v>728</v>
      </c>
      <c r="AS826" s="853" t="str">
        <f>+VLOOKUP($AJ826,Data_Validation!$A:$E,5,0)</f>
        <v>#N/A</v>
      </c>
      <c r="AT826" s="794" t="str">
        <f t="shared" ref="AT826:AU826" si="1650">C826</f>
        <v>G542</v>
      </c>
      <c r="AU826" s="854" t="str">
        <f t="shared" si="1650"/>
        <v>ACCESSOIRES LOC C&amp;L TERME</v>
      </c>
      <c r="AV826" s="794">
        <f t="array" ref="AV826">IFERROR(INDEX(V826:AG826,1,MATCH(Parametres!$B$3,V$1:AG$1,0)-1)*IF(OR(C826="L",C826="S",C826="I"),-1,1),"")</f>
        <v>0</v>
      </c>
      <c r="AW826" s="794">
        <f t="shared" si="6"/>
        <v>0</v>
      </c>
      <c r="AX826" s="794">
        <f t="array" ref="AX826">INDEX(V826:AG826,1,MATCH(Parametres!$B$3,V$1:AG$1,0))*IF(OR(C826="L",C826="S",C826="I"),-1,1)</f>
        <v>0</v>
      </c>
      <c r="AY826" s="853" t="s">
        <v>772</v>
      </c>
      <c r="AZ826" s="853" t="str">
        <f>+VLOOKUP($AJ826,Data_Validation!$A:$E,5,0)</f>
        <v>#N/A</v>
      </c>
    </row>
    <row r="827" ht="15.0" customHeight="1">
      <c r="A827" s="849" t="s">
        <v>1239</v>
      </c>
      <c r="B827" s="849">
        <v>2026.0</v>
      </c>
      <c r="C827" s="849" t="s">
        <v>2858</v>
      </c>
      <c r="D827" s="849" t="s">
        <v>2857</v>
      </c>
      <c r="E827" s="849" t="s">
        <v>768</v>
      </c>
      <c r="F827" s="849" t="s">
        <v>2855</v>
      </c>
      <c r="G827" s="849">
        <v>0.0</v>
      </c>
      <c r="H827" s="849">
        <v>0.0</v>
      </c>
      <c r="I827" s="849">
        <v>0.0</v>
      </c>
      <c r="J827" s="849">
        <v>0.0</v>
      </c>
      <c r="K827" s="849">
        <v>0.0</v>
      </c>
      <c r="L827" s="849">
        <v>0.0</v>
      </c>
      <c r="M827" s="849">
        <v>0.0</v>
      </c>
      <c r="N827" s="849">
        <v>0.0</v>
      </c>
      <c r="O827" s="849">
        <v>0.0</v>
      </c>
      <c r="P827" s="849">
        <v>0.0</v>
      </c>
      <c r="Q827" s="849">
        <v>0.0</v>
      </c>
      <c r="R827" s="849">
        <v>0.0</v>
      </c>
      <c r="S827" s="849">
        <v>0.0</v>
      </c>
      <c r="T827" s="849">
        <v>0.0</v>
      </c>
      <c r="U827" s="849">
        <v>0.0</v>
      </c>
      <c r="V827" s="849">
        <v>0.0</v>
      </c>
      <c r="W827" s="849">
        <v>0.0</v>
      </c>
      <c r="X827" s="849">
        <v>0.0</v>
      </c>
      <c r="Y827" s="849">
        <v>0.0</v>
      </c>
      <c r="Z827" s="849">
        <v>0.0</v>
      </c>
      <c r="AA827" s="849">
        <v>0.0</v>
      </c>
      <c r="AB827" s="849">
        <v>0.0</v>
      </c>
      <c r="AC827" s="849">
        <v>0.0</v>
      </c>
      <c r="AD827" s="849">
        <v>0.0</v>
      </c>
      <c r="AE827" s="849">
        <v>0.0</v>
      </c>
      <c r="AF827" s="849">
        <v>0.0</v>
      </c>
      <c r="AG827" s="849">
        <v>0.0</v>
      </c>
      <c r="AH827" s="849">
        <v>0.0</v>
      </c>
      <c r="AI827" s="849">
        <v>0.0</v>
      </c>
      <c r="AJ827" s="794" t="str">
        <f t="shared" ref="AJ827:AK827" si="1651">C827</f>
        <v>G542C</v>
      </c>
      <c r="AK827" s="794" t="str">
        <f t="shared" si="1651"/>
        <v>ACCESSOIRES LOC C&amp;L TERME</v>
      </c>
      <c r="AL827" s="794">
        <f t="array" ref="AL827">IFERROR(INDEX(G827:R827,1,MATCH(Parametres!$B$3,G$1:R$1,0)-1)*IF(OR(F827="L",F827="S",F827="I"),-1,1),"")</f>
        <v>0</v>
      </c>
      <c r="AM827" s="794">
        <f t="shared" si="4"/>
        <v>0</v>
      </c>
      <c r="AN827" s="794">
        <f t="array" ref="AN827">INDEX(G827:R827,1,MATCH(Parametres!$B$3,G$1:R$1,0))*IF(OR(F827="L",F827="S",F827="I"),-1,1)</f>
        <v>0</v>
      </c>
      <c r="AO827" s="853" t="str">
        <f>+VLOOKUP($AJ827,Data_Validation!$A:$D,1,0)</f>
        <v>#N/A</v>
      </c>
      <c r="AP827" s="853" t="str">
        <f>+VLOOKUP($AJ827,Data_Validation!$A:$D,3,0)</f>
        <v>#N/A</v>
      </c>
      <c r="AQ827" s="853" t="str">
        <f>+VLOOKUP($AJ827,Data_Validation!$A:$D,4,0)</f>
        <v>#N/A</v>
      </c>
      <c r="AR827" s="853" t="s">
        <v>728</v>
      </c>
      <c r="AS827" s="853" t="str">
        <f>+VLOOKUP($AJ827,Data_Validation!$A:$E,5,0)</f>
        <v>#N/A</v>
      </c>
      <c r="AT827" s="794" t="str">
        <f t="shared" ref="AT827:AU827" si="1652">C827</f>
        <v>G542C</v>
      </c>
      <c r="AU827" s="854" t="str">
        <f t="shared" si="1652"/>
        <v>ACCESSOIRES LOC C&amp;L TERME</v>
      </c>
      <c r="AV827" s="794">
        <f t="array" ref="AV827">IFERROR(INDEX(V827:AG827,1,MATCH(Parametres!$B$3,V$1:AG$1,0)-1)*IF(OR(C827="L",C827="S",C827="I"),-1,1),"")</f>
        <v>0</v>
      </c>
      <c r="AW827" s="794">
        <f t="shared" si="6"/>
        <v>0</v>
      </c>
      <c r="AX827" s="794">
        <f t="array" ref="AX827">INDEX(V827:AG827,1,MATCH(Parametres!$B$3,V$1:AG$1,0))*IF(OR(C827="L",C827="S",C827="I"),-1,1)</f>
        <v>0</v>
      </c>
      <c r="AY827" s="853" t="s">
        <v>772</v>
      </c>
      <c r="AZ827" s="853" t="str">
        <f>+VLOOKUP($AJ827,Data_Validation!$A:$E,5,0)</f>
        <v>#N/A</v>
      </c>
    </row>
    <row r="828" ht="15.0" customHeight="1">
      <c r="A828" s="849" t="s">
        <v>1239</v>
      </c>
      <c r="B828" s="849">
        <v>2026.0</v>
      </c>
      <c r="C828" s="849" t="s">
        <v>2859</v>
      </c>
      <c r="D828" s="849" t="s">
        <v>2860</v>
      </c>
      <c r="E828" s="849" t="s">
        <v>768</v>
      </c>
      <c r="F828" s="849" t="s">
        <v>2426</v>
      </c>
      <c r="G828" s="849">
        <v>0.0</v>
      </c>
      <c r="H828" s="849">
        <v>0.0</v>
      </c>
      <c r="I828" s="849">
        <v>0.0</v>
      </c>
      <c r="J828" s="849">
        <v>0.0</v>
      </c>
      <c r="K828" s="849">
        <v>0.0</v>
      </c>
      <c r="L828" s="849">
        <v>0.0</v>
      </c>
      <c r="M828" s="849">
        <v>0.0</v>
      </c>
      <c r="N828" s="849">
        <v>0.0</v>
      </c>
      <c r="O828" s="849">
        <v>0.0</v>
      </c>
      <c r="P828" s="849">
        <v>0.0</v>
      </c>
      <c r="Q828" s="849">
        <v>0.0</v>
      </c>
      <c r="R828" s="849">
        <v>0.0</v>
      </c>
      <c r="S828" s="849">
        <v>0.0</v>
      </c>
      <c r="T828" s="849">
        <v>0.0</v>
      </c>
      <c r="U828" s="849">
        <v>0.0</v>
      </c>
      <c r="V828" s="849">
        <v>0.0</v>
      </c>
      <c r="W828" s="849">
        <v>0.0</v>
      </c>
      <c r="X828" s="849">
        <v>0.0</v>
      </c>
      <c r="Y828" s="849">
        <v>0.0</v>
      </c>
      <c r="Z828" s="849">
        <v>0.0</v>
      </c>
      <c r="AA828" s="849">
        <v>0.0</v>
      </c>
      <c r="AB828" s="849">
        <v>0.0</v>
      </c>
      <c r="AC828" s="849">
        <v>0.0</v>
      </c>
      <c r="AD828" s="849">
        <v>0.0</v>
      </c>
      <c r="AE828" s="849">
        <v>0.0</v>
      </c>
      <c r="AF828" s="849">
        <v>0.0</v>
      </c>
      <c r="AG828" s="849">
        <v>0.0</v>
      </c>
      <c r="AH828" s="849">
        <v>0.0</v>
      </c>
      <c r="AI828" s="849">
        <v>0.0</v>
      </c>
      <c r="AJ828" s="794" t="str">
        <f t="shared" ref="AJ828:AK828" si="1653">C828</f>
        <v>G543</v>
      </c>
      <c r="AK828" s="794" t="str">
        <f t="shared" si="1653"/>
        <v>PLAN PROT.GM LOC C&amp;L TERM</v>
      </c>
      <c r="AL828" s="794">
        <f t="array" ref="AL828">IFERROR(INDEX(G828:R828,1,MATCH(Parametres!$B$3,G$1:R$1,0)-1)*IF(OR(F828="L",F828="S",F828="I"),-1,1),"")</f>
        <v>0</v>
      </c>
      <c r="AM828" s="794">
        <f t="shared" si="4"/>
        <v>0</v>
      </c>
      <c r="AN828" s="794">
        <f t="array" ref="AN828">INDEX(G828:R828,1,MATCH(Parametres!$B$3,G$1:R$1,0))*IF(OR(F828="L",F828="S",F828="I"),-1,1)</f>
        <v>0</v>
      </c>
      <c r="AO828" s="853" t="str">
        <f>+VLOOKUP($AJ828,Data_Validation!$A:$D,1,0)</f>
        <v>#N/A</v>
      </c>
      <c r="AP828" s="853" t="str">
        <f>+VLOOKUP($AJ828,Data_Validation!$A:$D,3,0)</f>
        <v>#N/A</v>
      </c>
      <c r="AQ828" s="853" t="str">
        <f>+VLOOKUP($AJ828,Data_Validation!$A:$D,4,0)</f>
        <v>#N/A</v>
      </c>
      <c r="AR828" s="853" t="s">
        <v>728</v>
      </c>
      <c r="AS828" s="853" t="str">
        <f>+VLOOKUP($AJ828,Data_Validation!$A:$E,5,0)</f>
        <v>#N/A</v>
      </c>
      <c r="AT828" s="794" t="str">
        <f t="shared" ref="AT828:AU828" si="1654">C828</f>
        <v>G543</v>
      </c>
      <c r="AU828" s="854" t="str">
        <f t="shared" si="1654"/>
        <v>PLAN PROT.GM LOC C&amp;L TERM</v>
      </c>
      <c r="AV828" s="794">
        <f t="array" ref="AV828">IFERROR(INDEX(V828:AG828,1,MATCH(Parametres!$B$3,V$1:AG$1,0)-1)*IF(OR(C828="L",C828="S",C828="I"),-1,1),"")</f>
        <v>0</v>
      </c>
      <c r="AW828" s="794">
        <f t="shared" si="6"/>
        <v>0</v>
      </c>
      <c r="AX828" s="794">
        <f t="array" ref="AX828">INDEX(V828:AG828,1,MATCH(Parametres!$B$3,V$1:AG$1,0))*IF(OR(C828="L",C828="S",C828="I"),-1,1)</f>
        <v>0</v>
      </c>
      <c r="AY828" s="853" t="s">
        <v>772</v>
      </c>
      <c r="AZ828" s="853" t="str">
        <f>+VLOOKUP($AJ828,Data_Validation!$A:$E,5,0)</f>
        <v>#N/A</v>
      </c>
    </row>
    <row r="829" ht="15.0" customHeight="1">
      <c r="A829" s="849" t="s">
        <v>1239</v>
      </c>
      <c r="B829" s="849">
        <v>2026.0</v>
      </c>
      <c r="C829" s="849" t="s">
        <v>2861</v>
      </c>
      <c r="D829" s="849" t="s">
        <v>2860</v>
      </c>
      <c r="E829" s="849" t="s">
        <v>768</v>
      </c>
      <c r="F829" s="849" t="s">
        <v>2855</v>
      </c>
      <c r="G829" s="849">
        <v>0.0</v>
      </c>
      <c r="H829" s="849">
        <v>0.0</v>
      </c>
      <c r="I829" s="849">
        <v>0.0</v>
      </c>
      <c r="J829" s="849">
        <v>0.0</v>
      </c>
      <c r="K829" s="849">
        <v>0.0</v>
      </c>
      <c r="L829" s="849">
        <v>0.0</v>
      </c>
      <c r="M829" s="849">
        <v>0.0</v>
      </c>
      <c r="N829" s="849">
        <v>0.0</v>
      </c>
      <c r="O829" s="849">
        <v>0.0</v>
      </c>
      <c r="P829" s="849">
        <v>0.0</v>
      </c>
      <c r="Q829" s="849">
        <v>0.0</v>
      </c>
      <c r="R829" s="849">
        <v>0.0</v>
      </c>
      <c r="S829" s="849">
        <v>0.0</v>
      </c>
      <c r="T829" s="849">
        <v>0.0</v>
      </c>
      <c r="U829" s="849">
        <v>0.0</v>
      </c>
      <c r="V829" s="849">
        <v>0.0</v>
      </c>
      <c r="W829" s="849">
        <v>0.0</v>
      </c>
      <c r="X829" s="849">
        <v>0.0</v>
      </c>
      <c r="Y829" s="849">
        <v>0.0</v>
      </c>
      <c r="Z829" s="849">
        <v>0.0</v>
      </c>
      <c r="AA829" s="849">
        <v>0.0</v>
      </c>
      <c r="AB829" s="849">
        <v>0.0</v>
      </c>
      <c r="AC829" s="849">
        <v>0.0</v>
      </c>
      <c r="AD829" s="849">
        <v>0.0</v>
      </c>
      <c r="AE829" s="849">
        <v>0.0</v>
      </c>
      <c r="AF829" s="849">
        <v>0.0</v>
      </c>
      <c r="AG829" s="849">
        <v>0.0</v>
      </c>
      <c r="AH829" s="849">
        <v>0.0</v>
      </c>
      <c r="AI829" s="849">
        <v>0.0</v>
      </c>
      <c r="AJ829" s="794" t="str">
        <f t="shared" ref="AJ829:AK829" si="1655">C829</f>
        <v>G543C</v>
      </c>
      <c r="AK829" s="794" t="str">
        <f t="shared" si="1655"/>
        <v>PLAN PROT.GM LOC C&amp;L TERM</v>
      </c>
      <c r="AL829" s="794">
        <f t="array" ref="AL829">IFERROR(INDEX(G829:R829,1,MATCH(Parametres!$B$3,G$1:R$1,0)-1)*IF(OR(F829="L",F829="S",F829="I"),-1,1),"")</f>
        <v>0</v>
      </c>
      <c r="AM829" s="794">
        <f t="shared" si="4"/>
        <v>0</v>
      </c>
      <c r="AN829" s="794">
        <f t="array" ref="AN829">INDEX(G829:R829,1,MATCH(Parametres!$B$3,G$1:R$1,0))*IF(OR(F829="L",F829="S",F829="I"),-1,1)</f>
        <v>0</v>
      </c>
      <c r="AO829" s="853" t="str">
        <f>+VLOOKUP($AJ829,Data_Validation!$A:$D,1,0)</f>
        <v>#N/A</v>
      </c>
      <c r="AP829" s="853" t="str">
        <f>+VLOOKUP($AJ829,Data_Validation!$A:$D,3,0)</f>
        <v>#N/A</v>
      </c>
      <c r="AQ829" s="853" t="str">
        <f>+VLOOKUP($AJ829,Data_Validation!$A:$D,4,0)</f>
        <v>#N/A</v>
      </c>
      <c r="AR829" s="853" t="s">
        <v>728</v>
      </c>
      <c r="AS829" s="853" t="str">
        <f>+VLOOKUP($AJ829,Data_Validation!$A:$E,5,0)</f>
        <v>#N/A</v>
      </c>
      <c r="AT829" s="794" t="str">
        <f t="shared" ref="AT829:AU829" si="1656">C829</f>
        <v>G543C</v>
      </c>
      <c r="AU829" s="854" t="str">
        <f t="shared" si="1656"/>
        <v>PLAN PROT.GM LOC C&amp;L TERM</v>
      </c>
      <c r="AV829" s="794">
        <f t="array" ref="AV829">IFERROR(INDEX(V829:AG829,1,MATCH(Parametres!$B$3,V$1:AG$1,0)-1)*IF(OR(C829="L",C829="S",C829="I"),-1,1),"")</f>
        <v>0</v>
      </c>
      <c r="AW829" s="794">
        <f t="shared" si="6"/>
        <v>0</v>
      </c>
      <c r="AX829" s="794">
        <f t="array" ref="AX829">INDEX(V829:AG829,1,MATCH(Parametres!$B$3,V$1:AG$1,0))*IF(OR(C829="L",C829="S",C829="I"),-1,1)</f>
        <v>0</v>
      </c>
      <c r="AY829" s="853" t="s">
        <v>772</v>
      </c>
      <c r="AZ829" s="853" t="str">
        <f>+VLOOKUP($AJ829,Data_Validation!$A:$E,5,0)</f>
        <v>#N/A</v>
      </c>
    </row>
    <row r="830" ht="15.0" customHeight="1">
      <c r="A830" s="849" t="s">
        <v>1239</v>
      </c>
      <c r="B830" s="849">
        <v>2026.0</v>
      </c>
      <c r="C830" s="849" t="s">
        <v>2862</v>
      </c>
      <c r="D830" s="849" t="s">
        <v>2863</v>
      </c>
      <c r="E830" s="849" t="s">
        <v>768</v>
      </c>
      <c r="F830" s="849" t="s">
        <v>2426</v>
      </c>
      <c r="G830" s="849">
        <v>0.0</v>
      </c>
      <c r="H830" s="849">
        <v>0.0</v>
      </c>
      <c r="I830" s="849">
        <v>0.0</v>
      </c>
      <c r="J830" s="849">
        <v>0.0</v>
      </c>
      <c r="K830" s="849">
        <v>0.0</v>
      </c>
      <c r="L830" s="849">
        <v>0.0</v>
      </c>
      <c r="M830" s="849">
        <v>0.0</v>
      </c>
      <c r="N830" s="849">
        <v>0.0</v>
      </c>
      <c r="O830" s="849">
        <v>0.0</v>
      </c>
      <c r="P830" s="849">
        <v>0.0</v>
      </c>
      <c r="Q830" s="849">
        <v>0.0</v>
      </c>
      <c r="R830" s="849">
        <v>0.0</v>
      </c>
      <c r="S830" s="849">
        <v>0.0</v>
      </c>
      <c r="T830" s="849">
        <v>0.0</v>
      </c>
      <c r="U830" s="849">
        <v>0.0</v>
      </c>
      <c r="V830" s="849">
        <v>0.0</v>
      </c>
      <c r="W830" s="849">
        <v>0.0</v>
      </c>
      <c r="X830" s="849">
        <v>0.0</v>
      </c>
      <c r="Y830" s="849">
        <v>0.0</v>
      </c>
      <c r="Z830" s="849">
        <v>0.0</v>
      </c>
      <c r="AA830" s="849">
        <v>0.0</v>
      </c>
      <c r="AB830" s="849">
        <v>0.0</v>
      </c>
      <c r="AC830" s="849">
        <v>0.0</v>
      </c>
      <c r="AD830" s="849">
        <v>0.0</v>
      </c>
      <c r="AE830" s="849">
        <v>0.0</v>
      </c>
      <c r="AF830" s="849">
        <v>0.0</v>
      </c>
      <c r="AG830" s="849">
        <v>0.0</v>
      </c>
      <c r="AH830" s="849">
        <v>0.0</v>
      </c>
      <c r="AI830" s="849">
        <v>0.0</v>
      </c>
      <c r="AJ830" s="794" t="str">
        <f t="shared" ref="AJ830:AK830" si="1657">C830</f>
        <v>G544</v>
      </c>
      <c r="AK830" s="794" t="str">
        <f t="shared" si="1657"/>
        <v>AUTRES PLAN PROT. LOC C&amp;L</v>
      </c>
      <c r="AL830" s="794">
        <f t="array" ref="AL830">IFERROR(INDEX(G830:R830,1,MATCH(Parametres!$B$3,G$1:R$1,0)-1)*IF(OR(F830="L",F830="S",F830="I"),-1,1),"")</f>
        <v>0</v>
      </c>
      <c r="AM830" s="794">
        <f t="shared" si="4"/>
        <v>0</v>
      </c>
      <c r="AN830" s="794">
        <f t="array" ref="AN830">INDEX(G830:R830,1,MATCH(Parametres!$B$3,G$1:R$1,0))*IF(OR(F830="L",F830="S",F830="I"),-1,1)</f>
        <v>0</v>
      </c>
      <c r="AO830" s="853" t="str">
        <f>+VLOOKUP($AJ830,Data_Validation!$A:$D,1,0)</f>
        <v>#N/A</v>
      </c>
      <c r="AP830" s="853" t="str">
        <f>+VLOOKUP($AJ830,Data_Validation!$A:$D,3,0)</f>
        <v>#N/A</v>
      </c>
      <c r="AQ830" s="853" t="str">
        <f>+VLOOKUP($AJ830,Data_Validation!$A:$D,4,0)</f>
        <v>#N/A</v>
      </c>
      <c r="AR830" s="853" t="s">
        <v>728</v>
      </c>
      <c r="AS830" s="853" t="str">
        <f>+VLOOKUP($AJ830,Data_Validation!$A:$E,5,0)</f>
        <v>#N/A</v>
      </c>
      <c r="AT830" s="794" t="str">
        <f t="shared" ref="AT830:AU830" si="1658">C830</f>
        <v>G544</v>
      </c>
      <c r="AU830" s="854" t="str">
        <f t="shared" si="1658"/>
        <v>AUTRES PLAN PROT. LOC C&amp;L</v>
      </c>
      <c r="AV830" s="794">
        <f t="array" ref="AV830">IFERROR(INDEX(V830:AG830,1,MATCH(Parametres!$B$3,V$1:AG$1,0)-1)*IF(OR(C830="L",C830="S",C830="I"),-1,1),"")</f>
        <v>0</v>
      </c>
      <c r="AW830" s="794">
        <f t="shared" si="6"/>
        <v>0</v>
      </c>
      <c r="AX830" s="794">
        <f t="array" ref="AX830">INDEX(V830:AG830,1,MATCH(Parametres!$B$3,V$1:AG$1,0))*IF(OR(C830="L",C830="S",C830="I"),-1,1)</f>
        <v>0</v>
      </c>
      <c r="AY830" s="853" t="s">
        <v>772</v>
      </c>
      <c r="AZ830" s="853" t="str">
        <f>+VLOOKUP($AJ830,Data_Validation!$A:$E,5,0)</f>
        <v>#N/A</v>
      </c>
    </row>
    <row r="831" ht="15.0" customHeight="1">
      <c r="A831" s="849" t="s">
        <v>1239</v>
      </c>
      <c r="B831" s="849">
        <v>2026.0</v>
      </c>
      <c r="C831" s="849" t="s">
        <v>2864</v>
      </c>
      <c r="D831" s="849" t="s">
        <v>2865</v>
      </c>
      <c r="E831" s="849" t="s">
        <v>768</v>
      </c>
      <c r="F831" s="849" t="s">
        <v>2855</v>
      </c>
      <c r="G831" s="849">
        <v>0.0</v>
      </c>
      <c r="H831" s="849">
        <v>0.0</v>
      </c>
      <c r="I831" s="849">
        <v>0.0</v>
      </c>
      <c r="J831" s="849">
        <v>0.0</v>
      </c>
      <c r="K831" s="849">
        <v>0.0</v>
      </c>
      <c r="L831" s="849">
        <v>0.0</v>
      </c>
      <c r="M831" s="849">
        <v>0.0</v>
      </c>
      <c r="N831" s="849">
        <v>0.0</v>
      </c>
      <c r="O831" s="849">
        <v>0.0</v>
      </c>
      <c r="P831" s="849">
        <v>0.0</v>
      </c>
      <c r="Q831" s="849">
        <v>0.0</v>
      </c>
      <c r="R831" s="849">
        <v>0.0</v>
      </c>
      <c r="S831" s="849">
        <v>0.0</v>
      </c>
      <c r="T831" s="849">
        <v>0.0</v>
      </c>
      <c r="U831" s="849">
        <v>0.0</v>
      </c>
      <c r="V831" s="849">
        <v>0.0</v>
      </c>
      <c r="W831" s="849">
        <v>0.0</v>
      </c>
      <c r="X831" s="849">
        <v>0.0</v>
      </c>
      <c r="Y831" s="849">
        <v>0.0</v>
      </c>
      <c r="Z831" s="849">
        <v>0.0</v>
      </c>
      <c r="AA831" s="849">
        <v>0.0</v>
      </c>
      <c r="AB831" s="849">
        <v>0.0</v>
      </c>
      <c r="AC831" s="849">
        <v>0.0</v>
      </c>
      <c r="AD831" s="849">
        <v>0.0</v>
      </c>
      <c r="AE831" s="849">
        <v>0.0</v>
      </c>
      <c r="AF831" s="849">
        <v>0.0</v>
      </c>
      <c r="AG831" s="849">
        <v>0.0</v>
      </c>
      <c r="AH831" s="849">
        <v>0.0</v>
      </c>
      <c r="AI831" s="849">
        <v>0.0</v>
      </c>
      <c r="AJ831" s="794" t="str">
        <f t="shared" ref="AJ831:AK831" si="1659">C831</f>
        <v>G544C</v>
      </c>
      <c r="AK831" s="794" t="str">
        <f t="shared" si="1659"/>
        <v>AUTRES PLAN PROT.LOC C&amp;L</v>
      </c>
      <c r="AL831" s="794">
        <f t="array" ref="AL831">IFERROR(INDEX(G831:R831,1,MATCH(Parametres!$B$3,G$1:R$1,0)-1)*IF(OR(F831="L",F831="S",F831="I"),-1,1),"")</f>
        <v>0</v>
      </c>
      <c r="AM831" s="794">
        <f t="shared" si="4"/>
        <v>0</v>
      </c>
      <c r="AN831" s="794">
        <f t="array" ref="AN831">INDEX(G831:R831,1,MATCH(Parametres!$B$3,G$1:R$1,0))*IF(OR(F831="L",F831="S",F831="I"),-1,1)</f>
        <v>0</v>
      </c>
      <c r="AO831" s="853" t="str">
        <f>+VLOOKUP($AJ831,Data_Validation!$A:$D,1,0)</f>
        <v>#N/A</v>
      </c>
      <c r="AP831" s="853" t="str">
        <f>+VLOOKUP($AJ831,Data_Validation!$A:$D,3,0)</f>
        <v>#N/A</v>
      </c>
      <c r="AQ831" s="853" t="str">
        <f>+VLOOKUP($AJ831,Data_Validation!$A:$D,4,0)</f>
        <v>#N/A</v>
      </c>
      <c r="AR831" s="853" t="s">
        <v>728</v>
      </c>
      <c r="AS831" s="853" t="str">
        <f>+VLOOKUP($AJ831,Data_Validation!$A:$E,5,0)</f>
        <v>#N/A</v>
      </c>
      <c r="AT831" s="794" t="str">
        <f t="shared" ref="AT831:AU831" si="1660">C831</f>
        <v>G544C</v>
      </c>
      <c r="AU831" s="854" t="str">
        <f t="shared" si="1660"/>
        <v>AUTRES PLAN PROT.LOC C&amp;L</v>
      </c>
      <c r="AV831" s="794">
        <f t="array" ref="AV831">IFERROR(INDEX(V831:AG831,1,MATCH(Parametres!$B$3,V$1:AG$1,0)-1)*IF(OR(C831="L",C831="S",C831="I"),-1,1),"")</f>
        <v>0</v>
      </c>
      <c r="AW831" s="794">
        <f t="shared" si="6"/>
        <v>0</v>
      </c>
      <c r="AX831" s="794">
        <f t="array" ref="AX831">INDEX(V831:AG831,1,MATCH(Parametres!$B$3,V$1:AG$1,0))*IF(OR(C831="L",C831="S",C831="I"),-1,1)</f>
        <v>0</v>
      </c>
      <c r="AY831" s="853" t="s">
        <v>772</v>
      </c>
      <c r="AZ831" s="853" t="str">
        <f>+VLOOKUP($AJ831,Data_Validation!$A:$E,5,0)</f>
        <v>#N/A</v>
      </c>
    </row>
    <row r="832" ht="15.0" customHeight="1">
      <c r="A832" s="849" t="s">
        <v>1239</v>
      </c>
      <c r="B832" s="849">
        <v>2026.0</v>
      </c>
      <c r="C832" s="849" t="s">
        <v>2866</v>
      </c>
      <c r="D832" s="849" t="s">
        <v>2867</v>
      </c>
      <c r="E832" s="849" t="s">
        <v>2072</v>
      </c>
      <c r="F832" s="849" t="s">
        <v>2855</v>
      </c>
      <c r="G832" s="849">
        <v>0.0</v>
      </c>
      <c r="H832" s="849">
        <v>0.0</v>
      </c>
      <c r="I832" s="849">
        <v>0.0</v>
      </c>
      <c r="J832" s="849">
        <v>0.0</v>
      </c>
      <c r="K832" s="849">
        <v>0.0</v>
      </c>
      <c r="L832" s="849">
        <v>0.0</v>
      </c>
      <c r="M832" s="849">
        <v>0.0</v>
      </c>
      <c r="N832" s="849">
        <v>0.0</v>
      </c>
      <c r="O832" s="849">
        <v>0.0</v>
      </c>
      <c r="P832" s="849">
        <v>0.0</v>
      </c>
      <c r="Q832" s="849">
        <v>0.0</v>
      </c>
      <c r="R832" s="849">
        <v>0.0</v>
      </c>
      <c r="S832" s="849">
        <v>0.0</v>
      </c>
      <c r="T832" s="849">
        <v>0.0</v>
      </c>
      <c r="U832" s="849">
        <v>0.0</v>
      </c>
      <c r="V832" s="849">
        <v>0.0</v>
      </c>
      <c r="W832" s="849">
        <v>0.0</v>
      </c>
      <c r="X832" s="849">
        <v>0.0</v>
      </c>
      <c r="Y832" s="849">
        <v>0.0</v>
      </c>
      <c r="Z832" s="849">
        <v>0.0</v>
      </c>
      <c r="AA832" s="849">
        <v>0.0</v>
      </c>
      <c r="AB832" s="849">
        <v>0.0</v>
      </c>
      <c r="AC832" s="849">
        <v>0.0</v>
      </c>
      <c r="AD832" s="849">
        <v>0.0</v>
      </c>
      <c r="AE832" s="849">
        <v>0.0</v>
      </c>
      <c r="AF832" s="849">
        <v>0.0</v>
      </c>
      <c r="AG832" s="849">
        <v>0.0</v>
      </c>
      <c r="AH832" s="849">
        <v>0.0</v>
      </c>
      <c r="AI832" s="849">
        <v>0.0</v>
      </c>
      <c r="AJ832" s="794" t="str">
        <f t="shared" ref="AJ832:AK832" si="1661">C832</f>
        <v>G60000</v>
      </c>
      <c r="AK832" s="794" t="str">
        <f t="shared" si="1661"/>
        <v>COUT- VOLT</v>
      </c>
      <c r="AL832" s="794">
        <f t="array" ref="AL832">IFERROR(INDEX(G832:R832,1,MATCH(Parametres!$B$3,G$1:R$1,0)-1)*IF(OR(F832="L",F832="S",F832="I"),-1,1),"")</f>
        <v>0</v>
      </c>
      <c r="AM832" s="794">
        <f t="shared" si="4"/>
        <v>0</v>
      </c>
      <c r="AN832" s="794">
        <f t="array" ref="AN832">INDEX(G832:R832,1,MATCH(Parametres!$B$3,G$1:R$1,0))*IF(OR(F832="L",F832="S",F832="I"),-1,1)</f>
        <v>0</v>
      </c>
      <c r="AO832" s="853" t="str">
        <f>+VLOOKUP($AJ832,Data_Validation!$A:$D,1,0)</f>
        <v>G60000</v>
      </c>
      <c r="AP832" s="853" t="str">
        <f>+VLOOKUP($AJ832,Data_Validation!$A:$D,3,0)</f>
        <v>Véhicules neufs</v>
      </c>
      <c r="AQ832" s="853" t="str">
        <f>+VLOOKUP($AJ832,Data_Validation!$A:$D,4,0)</f>
        <v>Autos détail</v>
      </c>
      <c r="AR832" s="853" t="s">
        <v>728</v>
      </c>
      <c r="AS832" s="853" t="str">
        <f>+VLOOKUP($AJ832,Data_Validation!$A:$E,5,0)</f>
        <v/>
      </c>
      <c r="AT832" s="794" t="str">
        <f t="shared" ref="AT832:AU832" si="1662">C832</f>
        <v>G60000</v>
      </c>
      <c r="AU832" s="854" t="str">
        <f t="shared" si="1662"/>
        <v>COUT- VOLT</v>
      </c>
      <c r="AV832" s="794">
        <f t="array" ref="AV832">IFERROR(INDEX(V832:AG832,1,MATCH(Parametres!$B$3,V$1:AG$1,0)-1)*IF(OR(C832="L",C832="S",C832="I"),-1,1),"")</f>
        <v>0</v>
      </c>
      <c r="AW832" s="794">
        <f t="shared" si="6"/>
        <v>0</v>
      </c>
      <c r="AX832" s="794">
        <f t="array" ref="AX832">INDEX(V832:AG832,1,MATCH(Parametres!$B$3,V$1:AG$1,0))*IF(OR(C832="L",C832="S",C832="I"),-1,1)</f>
        <v>0</v>
      </c>
      <c r="AY832" s="853" t="s">
        <v>772</v>
      </c>
      <c r="AZ832" s="853" t="str">
        <f>+VLOOKUP($AJ832,Data_Validation!$A:$E,5,0)</f>
        <v/>
      </c>
    </row>
    <row r="833" ht="15.0" customHeight="1">
      <c r="A833" s="849" t="s">
        <v>1239</v>
      </c>
      <c r="B833" s="849">
        <v>2026.0</v>
      </c>
      <c r="C833" s="849" t="s">
        <v>2868</v>
      </c>
      <c r="D833" s="849" t="s">
        <v>2869</v>
      </c>
      <c r="E833" s="849" t="s">
        <v>2072</v>
      </c>
      <c r="F833" s="849" t="s">
        <v>2855</v>
      </c>
      <c r="G833" s="849">
        <v>0.0</v>
      </c>
      <c r="H833" s="849">
        <v>0.0</v>
      </c>
      <c r="I833" s="849">
        <v>0.0</v>
      </c>
      <c r="J833" s="849">
        <v>0.0</v>
      </c>
      <c r="K833" s="849">
        <v>0.0</v>
      </c>
      <c r="L833" s="849">
        <v>0.0</v>
      </c>
      <c r="M833" s="849">
        <v>0.0</v>
      </c>
      <c r="N833" s="849">
        <v>0.0</v>
      </c>
      <c r="O833" s="849">
        <v>0.0</v>
      </c>
      <c r="P833" s="849">
        <v>0.0</v>
      </c>
      <c r="Q833" s="849">
        <v>0.0</v>
      </c>
      <c r="R833" s="849">
        <v>0.0</v>
      </c>
      <c r="S833" s="849">
        <v>0.0</v>
      </c>
      <c r="T833" s="849">
        <v>0.0</v>
      </c>
      <c r="U833" s="849">
        <v>0.0</v>
      </c>
      <c r="V833" s="849">
        <v>0.0</v>
      </c>
      <c r="W833" s="849">
        <v>0.0</v>
      </c>
      <c r="X833" s="849">
        <v>0.0</v>
      </c>
      <c r="Y833" s="849">
        <v>0.0</v>
      </c>
      <c r="Z833" s="849">
        <v>0.0</v>
      </c>
      <c r="AA833" s="849">
        <v>0.0</v>
      </c>
      <c r="AB833" s="849">
        <v>0.0</v>
      </c>
      <c r="AC833" s="849">
        <v>0.0</v>
      </c>
      <c r="AD833" s="849">
        <v>0.0</v>
      </c>
      <c r="AE833" s="849">
        <v>0.0</v>
      </c>
      <c r="AF833" s="849">
        <v>0.0</v>
      </c>
      <c r="AG833" s="849">
        <v>0.0</v>
      </c>
      <c r="AH833" s="849">
        <v>0.0</v>
      </c>
      <c r="AI833" s="849">
        <v>0.0</v>
      </c>
      <c r="AJ833" s="794" t="str">
        <f t="shared" ref="AJ833:AK833" si="1663">C833</f>
        <v>G60004</v>
      </c>
      <c r="AK833" s="794" t="str">
        <f t="shared" si="1663"/>
        <v>COUTANT BUICK REGAL</v>
      </c>
      <c r="AL833" s="794">
        <f t="array" ref="AL833">IFERROR(INDEX(G833:R833,1,MATCH(Parametres!$B$3,G$1:R$1,0)-1)*IF(OR(F833="L",F833="S",F833="I"),-1,1),"")</f>
        <v>0</v>
      </c>
      <c r="AM833" s="794">
        <f t="shared" si="4"/>
        <v>0</v>
      </c>
      <c r="AN833" s="794">
        <f t="array" ref="AN833">INDEX(G833:R833,1,MATCH(Parametres!$B$3,G$1:R$1,0))*IF(OR(F833="L",F833="S",F833="I"),-1,1)</f>
        <v>0</v>
      </c>
      <c r="AO833" s="853" t="str">
        <f>+VLOOKUP($AJ833,Data_Validation!$A:$D,1,0)</f>
        <v>G60004</v>
      </c>
      <c r="AP833" s="853" t="str">
        <f>+VLOOKUP($AJ833,Data_Validation!$A:$D,3,0)</f>
        <v>Véhicules neufs</v>
      </c>
      <c r="AQ833" s="853" t="str">
        <f>+VLOOKUP($AJ833,Data_Validation!$A:$D,4,0)</f>
        <v>Autos détail</v>
      </c>
      <c r="AR833" s="853" t="s">
        <v>728</v>
      </c>
      <c r="AS833" s="853" t="str">
        <f>+VLOOKUP($AJ833,Data_Validation!$A:$E,5,0)</f>
        <v/>
      </c>
      <c r="AT833" s="794" t="str">
        <f t="shared" ref="AT833:AU833" si="1664">C833</f>
        <v>G60004</v>
      </c>
      <c r="AU833" s="854" t="str">
        <f t="shared" si="1664"/>
        <v>COUTANT BUICK REGAL</v>
      </c>
      <c r="AV833" s="794">
        <f t="array" ref="AV833">IFERROR(INDEX(V833:AG833,1,MATCH(Parametres!$B$3,V$1:AG$1,0)-1)*IF(OR(C833="L",C833="S",C833="I"),-1,1),"")</f>
        <v>0</v>
      </c>
      <c r="AW833" s="794">
        <f t="shared" si="6"/>
        <v>0</v>
      </c>
      <c r="AX833" s="794">
        <f t="array" ref="AX833">INDEX(V833:AG833,1,MATCH(Parametres!$B$3,V$1:AG$1,0))*IF(OR(C833="L",C833="S",C833="I"),-1,1)</f>
        <v>0</v>
      </c>
      <c r="AY833" s="853" t="s">
        <v>772</v>
      </c>
      <c r="AZ833" s="853" t="str">
        <f>+VLOOKUP($AJ833,Data_Validation!$A:$E,5,0)</f>
        <v/>
      </c>
    </row>
    <row r="834" ht="15.0" customHeight="1">
      <c r="A834" s="849" t="s">
        <v>1239</v>
      </c>
      <c r="B834" s="849">
        <v>2026.0</v>
      </c>
      <c r="C834" s="849" t="s">
        <v>2870</v>
      </c>
      <c r="D834" s="849" t="s">
        <v>2871</v>
      </c>
      <c r="E834" s="849" t="s">
        <v>2072</v>
      </c>
      <c r="F834" s="849" t="s">
        <v>2855</v>
      </c>
      <c r="G834" s="849">
        <v>0.0</v>
      </c>
      <c r="H834" s="849">
        <v>0.0</v>
      </c>
      <c r="I834" s="849">
        <v>0.0</v>
      </c>
      <c r="J834" s="849">
        <v>0.0</v>
      </c>
      <c r="K834" s="849">
        <v>0.0</v>
      </c>
      <c r="L834" s="849">
        <v>0.0</v>
      </c>
      <c r="M834" s="849">
        <v>0.0</v>
      </c>
      <c r="N834" s="849">
        <v>0.0</v>
      </c>
      <c r="O834" s="849">
        <v>0.0</v>
      </c>
      <c r="P834" s="849">
        <v>0.0</v>
      </c>
      <c r="Q834" s="849">
        <v>0.0</v>
      </c>
      <c r="R834" s="849">
        <v>0.0</v>
      </c>
      <c r="S834" s="849">
        <v>0.0</v>
      </c>
      <c r="T834" s="849">
        <v>0.0</v>
      </c>
      <c r="U834" s="849">
        <v>0.0</v>
      </c>
      <c r="V834" s="849">
        <v>0.0</v>
      </c>
      <c r="W834" s="849">
        <v>0.0</v>
      </c>
      <c r="X834" s="849">
        <v>0.0</v>
      </c>
      <c r="Y834" s="849">
        <v>0.0</v>
      </c>
      <c r="Z834" s="849">
        <v>0.0</v>
      </c>
      <c r="AA834" s="849">
        <v>0.0</v>
      </c>
      <c r="AB834" s="849">
        <v>0.0</v>
      </c>
      <c r="AC834" s="849">
        <v>0.0</v>
      </c>
      <c r="AD834" s="849">
        <v>0.0</v>
      </c>
      <c r="AE834" s="849">
        <v>0.0</v>
      </c>
      <c r="AF834" s="849">
        <v>0.0</v>
      </c>
      <c r="AG834" s="849">
        <v>0.0</v>
      </c>
      <c r="AH834" s="849">
        <v>0.0</v>
      </c>
      <c r="AI834" s="849">
        <v>0.0</v>
      </c>
      <c r="AJ834" s="794" t="str">
        <f t="shared" ref="AJ834:AK834" si="1665">C834</f>
        <v>G60100</v>
      </c>
      <c r="AK834" s="794" t="str">
        <f t="shared" si="1665"/>
        <v>COUTANT MALIBU</v>
      </c>
      <c r="AL834" s="794">
        <f t="array" ref="AL834">IFERROR(INDEX(G834:R834,1,MATCH(Parametres!$B$3,G$1:R$1,0)-1)*IF(OR(F834="L",F834="S",F834="I"),-1,1),"")</f>
        <v>0</v>
      </c>
      <c r="AM834" s="794">
        <f t="shared" si="4"/>
        <v>0</v>
      </c>
      <c r="AN834" s="794">
        <f t="array" ref="AN834">INDEX(G834:R834,1,MATCH(Parametres!$B$3,G$1:R$1,0))*IF(OR(F834="L",F834="S",F834="I"),-1,1)</f>
        <v>0</v>
      </c>
      <c r="AO834" s="853" t="str">
        <f>+VLOOKUP($AJ834,Data_Validation!$A:$D,1,0)</f>
        <v>G60100</v>
      </c>
      <c r="AP834" s="853" t="str">
        <f>+VLOOKUP($AJ834,Data_Validation!$A:$D,3,0)</f>
        <v>Véhicules neufs</v>
      </c>
      <c r="AQ834" s="853" t="str">
        <f>+VLOOKUP($AJ834,Data_Validation!$A:$D,4,0)</f>
        <v>Autos détail</v>
      </c>
      <c r="AR834" s="853" t="s">
        <v>728</v>
      </c>
      <c r="AS834" s="853" t="str">
        <f>+VLOOKUP($AJ834,Data_Validation!$A:$E,5,0)</f>
        <v/>
      </c>
      <c r="AT834" s="794" t="str">
        <f t="shared" ref="AT834:AU834" si="1666">C834</f>
        <v>G60100</v>
      </c>
      <c r="AU834" s="854" t="str">
        <f t="shared" si="1666"/>
        <v>COUTANT MALIBU</v>
      </c>
      <c r="AV834" s="794">
        <f t="array" ref="AV834">IFERROR(INDEX(V834:AG834,1,MATCH(Parametres!$B$3,V$1:AG$1,0)-1)*IF(OR(C834="L",C834="S",C834="I"),-1,1),"")</f>
        <v>0</v>
      </c>
      <c r="AW834" s="794">
        <f t="shared" si="6"/>
        <v>0</v>
      </c>
      <c r="AX834" s="794">
        <f t="array" ref="AX834">INDEX(V834:AG834,1,MATCH(Parametres!$B$3,V$1:AG$1,0))*IF(OR(C834="L",C834="S",C834="I"),-1,1)</f>
        <v>0</v>
      </c>
      <c r="AY834" s="853" t="s">
        <v>772</v>
      </c>
      <c r="AZ834" s="853" t="str">
        <f>+VLOOKUP($AJ834,Data_Validation!$A:$E,5,0)</f>
        <v/>
      </c>
    </row>
    <row r="835" ht="15.0" customHeight="1">
      <c r="A835" s="849" t="s">
        <v>1239</v>
      </c>
      <c r="B835" s="849">
        <v>2026.0</v>
      </c>
      <c r="C835" s="849" t="s">
        <v>2872</v>
      </c>
      <c r="D835" s="849" t="s">
        <v>2873</v>
      </c>
      <c r="E835" s="849" t="s">
        <v>2072</v>
      </c>
      <c r="F835" s="849" t="s">
        <v>2855</v>
      </c>
      <c r="G835" s="849">
        <v>0.0</v>
      </c>
      <c r="H835" s="849">
        <v>0.0</v>
      </c>
      <c r="I835" s="849">
        <v>0.0</v>
      </c>
      <c r="J835" s="849">
        <v>0.0</v>
      </c>
      <c r="K835" s="849">
        <v>0.0</v>
      </c>
      <c r="L835" s="849">
        <v>0.0</v>
      </c>
      <c r="M835" s="849">
        <v>0.0</v>
      </c>
      <c r="N835" s="849">
        <v>0.0</v>
      </c>
      <c r="O835" s="849">
        <v>0.0</v>
      </c>
      <c r="P835" s="849">
        <v>0.0</v>
      </c>
      <c r="Q835" s="849">
        <v>0.0</v>
      </c>
      <c r="R835" s="849">
        <v>0.0</v>
      </c>
      <c r="S835" s="849">
        <v>0.0</v>
      </c>
      <c r="T835" s="849">
        <v>0.0</v>
      </c>
      <c r="U835" s="849">
        <v>0.0</v>
      </c>
      <c r="V835" s="849">
        <v>0.0</v>
      </c>
      <c r="W835" s="849">
        <v>0.0</v>
      </c>
      <c r="X835" s="849">
        <v>0.0</v>
      </c>
      <c r="Y835" s="849">
        <v>0.0</v>
      </c>
      <c r="Z835" s="849">
        <v>0.0</v>
      </c>
      <c r="AA835" s="849">
        <v>0.0</v>
      </c>
      <c r="AB835" s="849">
        <v>0.0</v>
      </c>
      <c r="AC835" s="849">
        <v>0.0</v>
      </c>
      <c r="AD835" s="849">
        <v>0.0</v>
      </c>
      <c r="AE835" s="849">
        <v>0.0</v>
      </c>
      <c r="AF835" s="849">
        <v>0.0</v>
      </c>
      <c r="AG835" s="849">
        <v>0.0</v>
      </c>
      <c r="AH835" s="849">
        <v>0.0</v>
      </c>
      <c r="AI835" s="849">
        <v>0.0</v>
      </c>
      <c r="AJ835" s="794" t="str">
        <f t="shared" ref="AJ835:AK835" si="1667">C835</f>
        <v>G60101</v>
      </c>
      <c r="AK835" s="794" t="str">
        <f t="shared" si="1667"/>
        <v>COUTANT BUICK LACROSSE</v>
      </c>
      <c r="AL835" s="794">
        <f t="array" ref="AL835">IFERROR(INDEX(G835:R835,1,MATCH(Parametres!$B$3,G$1:R$1,0)-1)*IF(OR(F835="L",F835="S",F835="I"),-1,1),"")</f>
        <v>0</v>
      </c>
      <c r="AM835" s="794">
        <f t="shared" si="4"/>
        <v>0</v>
      </c>
      <c r="AN835" s="794">
        <f t="array" ref="AN835">INDEX(G835:R835,1,MATCH(Parametres!$B$3,G$1:R$1,0))*IF(OR(F835="L",F835="S",F835="I"),-1,1)</f>
        <v>0</v>
      </c>
      <c r="AO835" s="853" t="str">
        <f>+VLOOKUP($AJ835,Data_Validation!$A:$D,1,0)</f>
        <v>G60101</v>
      </c>
      <c r="AP835" s="853" t="str">
        <f>+VLOOKUP($AJ835,Data_Validation!$A:$D,3,0)</f>
        <v>Véhicules neufs</v>
      </c>
      <c r="AQ835" s="853" t="str">
        <f>+VLOOKUP($AJ835,Data_Validation!$A:$D,4,0)</f>
        <v>Autos détail</v>
      </c>
      <c r="AR835" s="853" t="s">
        <v>728</v>
      </c>
      <c r="AS835" s="853" t="str">
        <f>+VLOOKUP($AJ835,Data_Validation!$A:$E,5,0)</f>
        <v/>
      </c>
      <c r="AT835" s="794" t="str">
        <f t="shared" ref="AT835:AU835" si="1668">C835</f>
        <v>G60101</v>
      </c>
      <c r="AU835" s="854" t="str">
        <f t="shared" si="1668"/>
        <v>COUTANT BUICK LACROSSE</v>
      </c>
      <c r="AV835" s="794">
        <f t="array" ref="AV835">IFERROR(INDEX(V835:AG835,1,MATCH(Parametres!$B$3,V$1:AG$1,0)-1)*IF(OR(C835="L",C835="S",C835="I"),-1,1),"")</f>
        <v>0</v>
      </c>
      <c r="AW835" s="794">
        <f t="shared" si="6"/>
        <v>0</v>
      </c>
      <c r="AX835" s="794">
        <f t="array" ref="AX835">INDEX(V835:AG835,1,MATCH(Parametres!$B$3,V$1:AG$1,0))*IF(OR(C835="L",C835="S",C835="I"),-1,1)</f>
        <v>0</v>
      </c>
      <c r="AY835" s="853" t="s">
        <v>772</v>
      </c>
      <c r="AZ835" s="853" t="str">
        <f>+VLOOKUP($AJ835,Data_Validation!$A:$E,5,0)</f>
        <v/>
      </c>
    </row>
    <row r="836" ht="15.0" customHeight="1">
      <c r="A836" s="849" t="s">
        <v>1239</v>
      </c>
      <c r="B836" s="849">
        <v>2026.0</v>
      </c>
      <c r="C836" s="849" t="s">
        <v>2874</v>
      </c>
      <c r="D836" s="849" t="s">
        <v>2875</v>
      </c>
      <c r="E836" s="849" t="s">
        <v>2072</v>
      </c>
      <c r="F836" s="849" t="s">
        <v>2855</v>
      </c>
      <c r="G836" s="849">
        <v>0.0</v>
      </c>
      <c r="H836" s="849">
        <v>0.0</v>
      </c>
      <c r="I836" s="849">
        <v>0.0</v>
      </c>
      <c r="J836" s="849">
        <v>0.0</v>
      </c>
      <c r="K836" s="849">
        <v>0.0</v>
      </c>
      <c r="L836" s="849">
        <v>0.0</v>
      </c>
      <c r="M836" s="849">
        <v>0.0</v>
      </c>
      <c r="N836" s="849">
        <v>0.0</v>
      </c>
      <c r="O836" s="849">
        <v>0.0</v>
      </c>
      <c r="P836" s="849">
        <v>0.0</v>
      </c>
      <c r="Q836" s="849">
        <v>0.0</v>
      </c>
      <c r="R836" s="849">
        <v>0.0</v>
      </c>
      <c r="S836" s="849">
        <v>0.0</v>
      </c>
      <c r="T836" s="849">
        <v>0.0</v>
      </c>
      <c r="U836" s="849">
        <v>0.0</v>
      </c>
      <c r="V836" s="849">
        <v>0.0</v>
      </c>
      <c r="W836" s="849">
        <v>0.0</v>
      </c>
      <c r="X836" s="849">
        <v>0.0</v>
      </c>
      <c r="Y836" s="849">
        <v>0.0</v>
      </c>
      <c r="Z836" s="849">
        <v>0.0</v>
      </c>
      <c r="AA836" s="849">
        <v>0.0</v>
      </c>
      <c r="AB836" s="849">
        <v>0.0</v>
      </c>
      <c r="AC836" s="849">
        <v>0.0</v>
      </c>
      <c r="AD836" s="849">
        <v>0.0</v>
      </c>
      <c r="AE836" s="849">
        <v>0.0</v>
      </c>
      <c r="AF836" s="849">
        <v>0.0</v>
      </c>
      <c r="AG836" s="849">
        <v>0.0</v>
      </c>
      <c r="AH836" s="849">
        <v>0.0</v>
      </c>
      <c r="AI836" s="849">
        <v>0.0</v>
      </c>
      <c r="AJ836" s="794" t="str">
        <f t="shared" ref="AJ836:AK836" si="1669">C836</f>
        <v>G60120</v>
      </c>
      <c r="AK836" s="794" t="str">
        <f t="shared" si="1669"/>
        <v>COUT-MALIBU          -LOC</v>
      </c>
      <c r="AL836" s="794">
        <f t="array" ref="AL836">IFERROR(INDEX(G836:R836,1,MATCH(Parametres!$B$3,G$1:R$1,0)-1)*IF(OR(F836="L",F836="S",F836="I"),-1,1),"")</f>
        <v>0</v>
      </c>
      <c r="AM836" s="794">
        <f t="shared" si="4"/>
        <v>0</v>
      </c>
      <c r="AN836" s="794">
        <f t="array" ref="AN836">INDEX(G836:R836,1,MATCH(Parametres!$B$3,G$1:R$1,0))*IF(OR(F836="L",F836="S",F836="I"),-1,1)</f>
        <v>0</v>
      </c>
      <c r="AO836" s="853" t="str">
        <f>+VLOOKUP($AJ836,Data_Validation!$A:$D,1,0)</f>
        <v>#N/A</v>
      </c>
      <c r="AP836" s="853" t="str">
        <f>+VLOOKUP($AJ836,Data_Validation!$A:$D,3,0)</f>
        <v>#N/A</v>
      </c>
      <c r="AQ836" s="853" t="str">
        <f>+VLOOKUP($AJ836,Data_Validation!$A:$D,4,0)</f>
        <v>#N/A</v>
      </c>
      <c r="AR836" s="853" t="s">
        <v>728</v>
      </c>
      <c r="AS836" s="853" t="str">
        <f>+VLOOKUP($AJ836,Data_Validation!$A:$E,5,0)</f>
        <v>#N/A</v>
      </c>
      <c r="AT836" s="794" t="str">
        <f t="shared" ref="AT836:AU836" si="1670">C836</f>
        <v>G60120</v>
      </c>
      <c r="AU836" s="854" t="str">
        <f t="shared" si="1670"/>
        <v>COUT-MALIBU          -LOC</v>
      </c>
      <c r="AV836" s="794">
        <f t="array" ref="AV836">IFERROR(INDEX(V836:AG836,1,MATCH(Parametres!$B$3,V$1:AG$1,0)-1)*IF(OR(C836="L",C836="S",C836="I"),-1,1),"")</f>
        <v>0</v>
      </c>
      <c r="AW836" s="794">
        <f t="shared" si="6"/>
        <v>0</v>
      </c>
      <c r="AX836" s="794">
        <f t="array" ref="AX836">INDEX(V836:AG836,1,MATCH(Parametres!$B$3,V$1:AG$1,0))*IF(OR(C836="L",C836="S",C836="I"),-1,1)</f>
        <v>0</v>
      </c>
      <c r="AY836" s="853" t="s">
        <v>772</v>
      </c>
      <c r="AZ836" s="853" t="str">
        <f>+VLOOKUP($AJ836,Data_Validation!$A:$E,5,0)</f>
        <v>#N/A</v>
      </c>
    </row>
    <row r="837" ht="15.0" customHeight="1">
      <c r="A837" s="849" t="s">
        <v>1239</v>
      </c>
      <c r="B837" s="849">
        <v>2026.0</v>
      </c>
      <c r="C837" s="849" t="s">
        <v>2876</v>
      </c>
      <c r="D837" s="849" t="s">
        <v>2877</v>
      </c>
      <c r="E837" s="849" t="s">
        <v>2072</v>
      </c>
      <c r="F837" s="849" t="s">
        <v>2855</v>
      </c>
      <c r="G837" s="849">
        <v>0.0</v>
      </c>
      <c r="H837" s="849">
        <v>0.0</v>
      </c>
      <c r="I837" s="849">
        <v>0.0</v>
      </c>
      <c r="J837" s="849">
        <v>0.0</v>
      </c>
      <c r="K837" s="849">
        <v>0.0</v>
      </c>
      <c r="L837" s="849">
        <v>0.0</v>
      </c>
      <c r="M837" s="849">
        <v>0.0</v>
      </c>
      <c r="N837" s="849">
        <v>0.0</v>
      </c>
      <c r="O837" s="849">
        <v>0.0</v>
      </c>
      <c r="P837" s="849">
        <v>0.0</v>
      </c>
      <c r="Q837" s="849">
        <v>0.0</v>
      </c>
      <c r="R837" s="849">
        <v>0.0</v>
      </c>
      <c r="S837" s="849">
        <v>0.0</v>
      </c>
      <c r="T837" s="849">
        <v>0.0</v>
      </c>
      <c r="U837" s="849">
        <v>0.0</v>
      </c>
      <c r="V837" s="849">
        <v>0.0</v>
      </c>
      <c r="W837" s="849">
        <v>0.0</v>
      </c>
      <c r="X837" s="849">
        <v>0.0</v>
      </c>
      <c r="Y837" s="849">
        <v>0.0</v>
      </c>
      <c r="Z837" s="849">
        <v>0.0</v>
      </c>
      <c r="AA837" s="849">
        <v>0.0</v>
      </c>
      <c r="AB837" s="849">
        <v>0.0</v>
      </c>
      <c r="AC837" s="849">
        <v>0.0</v>
      </c>
      <c r="AD837" s="849">
        <v>0.0</v>
      </c>
      <c r="AE837" s="849">
        <v>0.0</v>
      </c>
      <c r="AF837" s="849">
        <v>0.0</v>
      </c>
      <c r="AG837" s="849">
        <v>0.0</v>
      </c>
      <c r="AH837" s="849">
        <v>0.0</v>
      </c>
      <c r="AI837" s="849">
        <v>0.0</v>
      </c>
      <c r="AJ837" s="794" t="str">
        <f t="shared" ref="AJ837:AK837" si="1671">C837</f>
        <v>G602</v>
      </c>
      <c r="AK837" s="794" t="str">
        <f t="shared" si="1671"/>
        <v>COUT - GMC CANYON</v>
      </c>
      <c r="AL837" s="794">
        <f t="array" ref="AL837">IFERROR(INDEX(G837:R837,1,MATCH(Parametres!$B$3,G$1:R$1,0)-1)*IF(OR(F837="L",F837="S",F837="I"),-1,1),"")</f>
        <v>0</v>
      </c>
      <c r="AM837" s="794">
        <f t="shared" si="4"/>
        <v>0</v>
      </c>
      <c r="AN837" s="794">
        <f t="array" ref="AN837">INDEX(G837:R837,1,MATCH(Parametres!$B$3,G$1:R$1,0))*IF(OR(F837="L",F837="S",F837="I"),-1,1)</f>
        <v>0</v>
      </c>
      <c r="AO837" s="853" t="str">
        <f>+VLOOKUP($AJ837,Data_Validation!$A:$D,1,0)</f>
        <v>#N/A</v>
      </c>
      <c r="AP837" s="853" t="str">
        <f>+VLOOKUP($AJ837,Data_Validation!$A:$D,3,0)</f>
        <v>#N/A</v>
      </c>
      <c r="AQ837" s="853" t="str">
        <f>+VLOOKUP($AJ837,Data_Validation!$A:$D,4,0)</f>
        <v>#N/A</v>
      </c>
      <c r="AR837" s="853" t="s">
        <v>728</v>
      </c>
      <c r="AS837" s="853" t="str">
        <f>+VLOOKUP($AJ837,Data_Validation!$A:$E,5,0)</f>
        <v>#N/A</v>
      </c>
      <c r="AT837" s="794" t="str">
        <f t="shared" ref="AT837:AU837" si="1672">C837</f>
        <v>G602</v>
      </c>
      <c r="AU837" s="854" t="str">
        <f t="shared" si="1672"/>
        <v>COUT - GMC CANYON</v>
      </c>
      <c r="AV837" s="794">
        <f t="array" ref="AV837">IFERROR(INDEX(V837:AG837,1,MATCH(Parametres!$B$3,V$1:AG$1,0)-1)*IF(OR(C837="L",C837="S",C837="I"),-1,1),"")</f>
        <v>0</v>
      </c>
      <c r="AW837" s="794">
        <f t="shared" si="6"/>
        <v>0</v>
      </c>
      <c r="AX837" s="794">
        <f t="array" ref="AX837">INDEX(V837:AG837,1,MATCH(Parametres!$B$3,V$1:AG$1,0))*IF(OR(C837="L",C837="S",C837="I"),-1,1)</f>
        <v>0</v>
      </c>
      <c r="AY837" s="853" t="s">
        <v>772</v>
      </c>
      <c r="AZ837" s="853" t="str">
        <f>+VLOOKUP($AJ837,Data_Validation!$A:$E,5,0)</f>
        <v>#N/A</v>
      </c>
    </row>
    <row r="838" ht="15.0" customHeight="1">
      <c r="A838" s="849" t="s">
        <v>1239</v>
      </c>
      <c r="B838" s="849">
        <v>2026.0</v>
      </c>
      <c r="C838" s="849" t="s">
        <v>2878</v>
      </c>
      <c r="D838" s="849" t="s">
        <v>2879</v>
      </c>
      <c r="E838" s="849" t="s">
        <v>2072</v>
      </c>
      <c r="F838" s="849" t="s">
        <v>2855</v>
      </c>
      <c r="G838" s="849">
        <v>0.0</v>
      </c>
      <c r="H838" s="849">
        <v>0.0</v>
      </c>
      <c r="I838" s="849">
        <v>0.0</v>
      </c>
      <c r="J838" s="849">
        <v>0.0</v>
      </c>
      <c r="K838" s="849">
        <v>0.0</v>
      </c>
      <c r="L838" s="849">
        <v>0.0</v>
      </c>
      <c r="M838" s="849">
        <v>0.0</v>
      </c>
      <c r="N838" s="849">
        <v>0.0</v>
      </c>
      <c r="O838" s="849">
        <v>0.0</v>
      </c>
      <c r="P838" s="849">
        <v>0.0</v>
      </c>
      <c r="Q838" s="849">
        <v>0.0</v>
      </c>
      <c r="R838" s="849">
        <v>0.0</v>
      </c>
      <c r="S838" s="849">
        <v>0.0</v>
      </c>
      <c r="T838" s="849">
        <v>0.0</v>
      </c>
      <c r="U838" s="849">
        <v>0.0</v>
      </c>
      <c r="V838" s="849">
        <v>0.0</v>
      </c>
      <c r="W838" s="849">
        <v>0.0</v>
      </c>
      <c r="X838" s="849">
        <v>0.0</v>
      </c>
      <c r="Y838" s="849">
        <v>0.0</v>
      </c>
      <c r="Z838" s="849">
        <v>0.0</v>
      </c>
      <c r="AA838" s="849">
        <v>0.0</v>
      </c>
      <c r="AB838" s="849">
        <v>0.0</v>
      </c>
      <c r="AC838" s="849">
        <v>0.0</v>
      </c>
      <c r="AD838" s="849">
        <v>0.0</v>
      </c>
      <c r="AE838" s="849">
        <v>0.0</v>
      </c>
      <c r="AF838" s="849">
        <v>0.0</v>
      </c>
      <c r="AG838" s="849">
        <v>0.0</v>
      </c>
      <c r="AH838" s="849">
        <v>0.0</v>
      </c>
      <c r="AI838" s="849">
        <v>0.0</v>
      </c>
      <c r="AJ838" s="794" t="str">
        <f t="shared" ref="AJ838:AK838" si="1673">C838</f>
        <v>G60200</v>
      </c>
      <c r="AK838" s="794" t="str">
        <f t="shared" si="1673"/>
        <v>COUT-MALIBU MAXX</v>
      </c>
      <c r="AL838" s="794">
        <f t="array" ref="AL838">IFERROR(INDEX(G838:R838,1,MATCH(Parametres!$B$3,G$1:R$1,0)-1)*IF(OR(F838="L",F838="S",F838="I"),-1,1),"")</f>
        <v>0</v>
      </c>
      <c r="AM838" s="794">
        <f t="shared" si="4"/>
        <v>0</v>
      </c>
      <c r="AN838" s="794">
        <f t="array" ref="AN838">INDEX(G838:R838,1,MATCH(Parametres!$B$3,G$1:R$1,0))*IF(OR(F838="L",F838="S",F838="I"),-1,1)</f>
        <v>0</v>
      </c>
      <c r="AO838" s="853" t="str">
        <f>+VLOOKUP($AJ838,Data_Validation!$A:$D,1,0)</f>
        <v>#N/A</v>
      </c>
      <c r="AP838" s="853" t="str">
        <f>+VLOOKUP($AJ838,Data_Validation!$A:$D,3,0)</f>
        <v>#N/A</v>
      </c>
      <c r="AQ838" s="853" t="str">
        <f>+VLOOKUP($AJ838,Data_Validation!$A:$D,4,0)</f>
        <v>#N/A</v>
      </c>
      <c r="AR838" s="853" t="s">
        <v>728</v>
      </c>
      <c r="AS838" s="853" t="str">
        <f>+VLOOKUP($AJ838,Data_Validation!$A:$E,5,0)</f>
        <v>#N/A</v>
      </c>
      <c r="AT838" s="794" t="str">
        <f t="shared" ref="AT838:AU838" si="1674">C838</f>
        <v>G60200</v>
      </c>
      <c r="AU838" s="854" t="str">
        <f t="shared" si="1674"/>
        <v>COUT-MALIBU MAXX</v>
      </c>
      <c r="AV838" s="794">
        <f t="array" ref="AV838">IFERROR(INDEX(V838:AG838,1,MATCH(Parametres!$B$3,V$1:AG$1,0)-1)*IF(OR(C838="L",C838="S",C838="I"),-1,1),"")</f>
        <v>0</v>
      </c>
      <c r="AW838" s="794">
        <f t="shared" si="6"/>
        <v>0</v>
      </c>
      <c r="AX838" s="794">
        <f t="array" ref="AX838">INDEX(V838:AG838,1,MATCH(Parametres!$B$3,V$1:AG$1,0))*IF(OR(C838="L",C838="S",C838="I"),-1,1)</f>
        <v>0</v>
      </c>
      <c r="AY838" s="853" t="s">
        <v>772</v>
      </c>
      <c r="AZ838" s="853" t="str">
        <f>+VLOOKUP($AJ838,Data_Validation!$A:$E,5,0)</f>
        <v>#N/A</v>
      </c>
    </row>
    <row r="839" ht="15.0" customHeight="1">
      <c r="A839" s="849" t="s">
        <v>1239</v>
      </c>
      <c r="B839" s="849">
        <v>2026.0</v>
      </c>
      <c r="C839" s="849" t="s">
        <v>2880</v>
      </c>
      <c r="D839" s="849" t="s">
        <v>2881</v>
      </c>
      <c r="E839" s="849" t="s">
        <v>2072</v>
      </c>
      <c r="F839" s="849" t="s">
        <v>2855</v>
      </c>
      <c r="G839" s="849">
        <v>0.0</v>
      </c>
      <c r="H839" s="849">
        <v>0.0</v>
      </c>
      <c r="I839" s="849">
        <v>0.0</v>
      </c>
      <c r="J839" s="849">
        <v>0.0</v>
      </c>
      <c r="K839" s="849">
        <v>0.0</v>
      </c>
      <c r="L839" s="849">
        <v>0.0</v>
      </c>
      <c r="M839" s="849">
        <v>0.0</v>
      </c>
      <c r="N839" s="849">
        <v>0.0</v>
      </c>
      <c r="O839" s="849">
        <v>0.0</v>
      </c>
      <c r="P839" s="849">
        <v>0.0</v>
      </c>
      <c r="Q839" s="849">
        <v>0.0</v>
      </c>
      <c r="R839" s="849">
        <v>0.0</v>
      </c>
      <c r="S839" s="849">
        <v>0.0</v>
      </c>
      <c r="T839" s="849">
        <v>0.0</v>
      </c>
      <c r="U839" s="849">
        <v>0.0</v>
      </c>
      <c r="V839" s="849">
        <v>0.0</v>
      </c>
      <c r="W839" s="849">
        <v>0.0</v>
      </c>
      <c r="X839" s="849">
        <v>0.0</v>
      </c>
      <c r="Y839" s="849">
        <v>0.0</v>
      </c>
      <c r="Z839" s="849">
        <v>0.0</v>
      </c>
      <c r="AA839" s="849">
        <v>0.0</v>
      </c>
      <c r="AB839" s="849">
        <v>0.0</v>
      </c>
      <c r="AC839" s="849">
        <v>0.0</v>
      </c>
      <c r="AD839" s="849">
        <v>0.0</v>
      </c>
      <c r="AE839" s="849">
        <v>0.0</v>
      </c>
      <c r="AF839" s="849">
        <v>0.0</v>
      </c>
      <c r="AG839" s="849">
        <v>0.0</v>
      </c>
      <c r="AH839" s="849">
        <v>0.0</v>
      </c>
      <c r="AI839" s="849">
        <v>0.0</v>
      </c>
      <c r="AJ839" s="794" t="str">
        <f t="shared" ref="AJ839:AK839" si="1675">C839</f>
        <v>G60201</v>
      </c>
      <c r="AK839" s="794" t="str">
        <f t="shared" si="1675"/>
        <v>COUT - SONIC</v>
      </c>
      <c r="AL839" s="794">
        <f t="array" ref="AL839">IFERROR(INDEX(G839:R839,1,MATCH(Parametres!$B$3,G$1:R$1,0)-1)*IF(OR(F839="L",F839="S",F839="I"),-1,1),"")</f>
        <v>0</v>
      </c>
      <c r="AM839" s="794">
        <f t="shared" si="4"/>
        <v>0</v>
      </c>
      <c r="AN839" s="794">
        <f t="array" ref="AN839">INDEX(G839:R839,1,MATCH(Parametres!$B$3,G$1:R$1,0))*IF(OR(F839="L",F839="S",F839="I"),-1,1)</f>
        <v>0</v>
      </c>
      <c r="AO839" s="853" t="str">
        <f>+VLOOKUP($AJ839,Data_Validation!$A:$D,1,0)</f>
        <v>#N/A</v>
      </c>
      <c r="AP839" s="853" t="str">
        <f>+VLOOKUP($AJ839,Data_Validation!$A:$D,3,0)</f>
        <v>#N/A</v>
      </c>
      <c r="AQ839" s="853" t="str">
        <f>+VLOOKUP($AJ839,Data_Validation!$A:$D,4,0)</f>
        <v>#N/A</v>
      </c>
      <c r="AR839" s="853" t="s">
        <v>728</v>
      </c>
      <c r="AS839" s="853" t="str">
        <f>+VLOOKUP($AJ839,Data_Validation!$A:$E,5,0)</f>
        <v>#N/A</v>
      </c>
      <c r="AT839" s="794" t="str">
        <f t="shared" ref="AT839:AU839" si="1676">C839</f>
        <v>G60201</v>
      </c>
      <c r="AU839" s="854" t="str">
        <f t="shared" si="1676"/>
        <v>COUT - SONIC</v>
      </c>
      <c r="AV839" s="794">
        <f t="array" ref="AV839">IFERROR(INDEX(V839:AG839,1,MATCH(Parametres!$B$3,V$1:AG$1,0)-1)*IF(OR(C839="L",C839="S",C839="I"),-1,1),"")</f>
        <v>0</v>
      </c>
      <c r="AW839" s="794">
        <f t="shared" si="6"/>
        <v>0</v>
      </c>
      <c r="AX839" s="794">
        <f t="array" ref="AX839">INDEX(V839:AG839,1,MATCH(Parametres!$B$3,V$1:AG$1,0))*IF(OR(C839="L",C839="S",C839="I"),-1,1)</f>
        <v>0</v>
      </c>
      <c r="AY839" s="853" t="s">
        <v>772</v>
      </c>
      <c r="AZ839" s="853" t="str">
        <f>+VLOOKUP($AJ839,Data_Validation!$A:$E,5,0)</f>
        <v>#N/A</v>
      </c>
    </row>
    <row r="840" ht="15.0" customHeight="1">
      <c r="A840" s="849" t="s">
        <v>1239</v>
      </c>
      <c r="B840" s="849">
        <v>2026.0</v>
      </c>
      <c r="C840" s="849" t="s">
        <v>2882</v>
      </c>
      <c r="D840" s="849" t="s">
        <v>2883</v>
      </c>
      <c r="E840" s="849" t="s">
        <v>2072</v>
      </c>
      <c r="F840" s="849" t="s">
        <v>2855</v>
      </c>
      <c r="G840" s="849">
        <v>0.0</v>
      </c>
      <c r="H840" s="849">
        <v>0.0</v>
      </c>
      <c r="I840" s="849">
        <v>0.0</v>
      </c>
      <c r="J840" s="849">
        <v>0.0</v>
      </c>
      <c r="K840" s="849">
        <v>0.0</v>
      </c>
      <c r="L840" s="849">
        <v>0.0</v>
      </c>
      <c r="M840" s="849">
        <v>0.0</v>
      </c>
      <c r="N840" s="849">
        <v>0.0</v>
      </c>
      <c r="O840" s="849">
        <v>0.0</v>
      </c>
      <c r="P840" s="849">
        <v>0.0</v>
      </c>
      <c r="Q840" s="849">
        <v>0.0</v>
      </c>
      <c r="R840" s="849">
        <v>0.0</v>
      </c>
      <c r="S840" s="849">
        <v>0.0</v>
      </c>
      <c r="T840" s="849">
        <v>0.0</v>
      </c>
      <c r="U840" s="849">
        <v>0.0</v>
      </c>
      <c r="V840" s="849">
        <v>0.0</v>
      </c>
      <c r="W840" s="849">
        <v>0.0</v>
      </c>
      <c r="X840" s="849">
        <v>0.0</v>
      </c>
      <c r="Y840" s="849">
        <v>0.0</v>
      </c>
      <c r="Z840" s="849">
        <v>0.0</v>
      </c>
      <c r="AA840" s="849">
        <v>0.0</v>
      </c>
      <c r="AB840" s="849">
        <v>0.0</v>
      </c>
      <c r="AC840" s="849">
        <v>0.0</v>
      </c>
      <c r="AD840" s="849">
        <v>0.0</v>
      </c>
      <c r="AE840" s="849">
        <v>0.0</v>
      </c>
      <c r="AF840" s="849">
        <v>0.0</v>
      </c>
      <c r="AG840" s="849">
        <v>0.0</v>
      </c>
      <c r="AH840" s="849">
        <v>0.0</v>
      </c>
      <c r="AI840" s="849">
        <v>0.0</v>
      </c>
      <c r="AJ840" s="794" t="str">
        <f t="shared" ref="AJ840:AK840" si="1677">C840</f>
        <v>G60204</v>
      </c>
      <c r="AK840" s="794" t="str">
        <f t="shared" si="1677"/>
        <v>COUTANT-VERANO</v>
      </c>
      <c r="AL840" s="794">
        <f t="array" ref="AL840">IFERROR(INDEX(G840:R840,1,MATCH(Parametres!$B$3,G$1:R$1,0)-1)*IF(OR(F840="L",F840="S",F840="I"),-1,1),"")</f>
        <v>0</v>
      </c>
      <c r="AM840" s="794">
        <f t="shared" si="4"/>
        <v>0</v>
      </c>
      <c r="AN840" s="794">
        <f t="array" ref="AN840">INDEX(G840:R840,1,MATCH(Parametres!$B$3,G$1:R$1,0))*IF(OR(F840="L",F840="S",F840="I"),-1,1)</f>
        <v>0</v>
      </c>
      <c r="AO840" s="853" t="str">
        <f>+VLOOKUP($AJ840,Data_Validation!$A:$D,1,0)</f>
        <v>G60204</v>
      </c>
      <c r="AP840" s="853" t="str">
        <f>+VLOOKUP($AJ840,Data_Validation!$A:$D,3,0)</f>
        <v>Véhicules neufs</v>
      </c>
      <c r="AQ840" s="853" t="str">
        <f>+VLOOKUP($AJ840,Data_Validation!$A:$D,4,0)</f>
        <v>Autos détail</v>
      </c>
      <c r="AR840" s="853" t="s">
        <v>728</v>
      </c>
      <c r="AS840" s="853" t="str">
        <f>+VLOOKUP($AJ840,Data_Validation!$A:$E,5,0)</f>
        <v/>
      </c>
      <c r="AT840" s="794" t="str">
        <f t="shared" ref="AT840:AU840" si="1678">C840</f>
        <v>G60204</v>
      </c>
      <c r="AU840" s="854" t="str">
        <f t="shared" si="1678"/>
        <v>COUTANT-VERANO</v>
      </c>
      <c r="AV840" s="794">
        <f t="array" ref="AV840">IFERROR(INDEX(V840:AG840,1,MATCH(Parametres!$B$3,V$1:AG$1,0)-1)*IF(OR(C840="L",C840="S",C840="I"),-1,1),"")</f>
        <v>0</v>
      </c>
      <c r="AW840" s="794">
        <f t="shared" si="6"/>
        <v>0</v>
      </c>
      <c r="AX840" s="794">
        <f t="array" ref="AX840">INDEX(V840:AG840,1,MATCH(Parametres!$B$3,V$1:AG$1,0))*IF(OR(C840="L",C840="S",C840="I"),-1,1)</f>
        <v>0</v>
      </c>
      <c r="AY840" s="853" t="s">
        <v>772</v>
      </c>
      <c r="AZ840" s="853" t="str">
        <f>+VLOOKUP($AJ840,Data_Validation!$A:$E,5,0)</f>
        <v/>
      </c>
    </row>
    <row r="841" ht="15.0" customHeight="1">
      <c r="A841" s="849" t="s">
        <v>1239</v>
      </c>
      <c r="B841" s="849">
        <v>2026.0</v>
      </c>
      <c r="C841" s="849" t="s">
        <v>2884</v>
      </c>
      <c r="D841" s="849" t="s">
        <v>2885</v>
      </c>
      <c r="E841" s="849" t="s">
        <v>2072</v>
      </c>
      <c r="F841" s="849" t="s">
        <v>2855</v>
      </c>
      <c r="G841" s="849">
        <v>0.0</v>
      </c>
      <c r="H841" s="849">
        <v>0.0</v>
      </c>
      <c r="I841" s="849">
        <v>0.0</v>
      </c>
      <c r="J841" s="849">
        <v>0.0</v>
      </c>
      <c r="K841" s="849">
        <v>0.0</v>
      </c>
      <c r="L841" s="849">
        <v>0.0</v>
      </c>
      <c r="M841" s="849">
        <v>0.0</v>
      </c>
      <c r="N841" s="849">
        <v>0.0</v>
      </c>
      <c r="O841" s="849">
        <v>0.0</v>
      </c>
      <c r="P841" s="849">
        <v>0.0</v>
      </c>
      <c r="Q841" s="849">
        <v>0.0</v>
      </c>
      <c r="R841" s="849">
        <v>0.0</v>
      </c>
      <c r="S841" s="849">
        <v>0.0</v>
      </c>
      <c r="T841" s="849">
        <v>0.0</v>
      </c>
      <c r="U841" s="849">
        <v>0.0</v>
      </c>
      <c r="V841" s="849">
        <v>0.0</v>
      </c>
      <c r="W841" s="849">
        <v>0.0</v>
      </c>
      <c r="X841" s="849">
        <v>0.0</v>
      </c>
      <c r="Y841" s="849">
        <v>0.0</v>
      </c>
      <c r="Z841" s="849">
        <v>0.0</v>
      </c>
      <c r="AA841" s="849">
        <v>0.0</v>
      </c>
      <c r="AB841" s="849">
        <v>0.0</v>
      </c>
      <c r="AC841" s="849">
        <v>0.0</v>
      </c>
      <c r="AD841" s="849">
        <v>0.0</v>
      </c>
      <c r="AE841" s="849">
        <v>0.0</v>
      </c>
      <c r="AF841" s="849">
        <v>0.0</v>
      </c>
      <c r="AG841" s="849">
        <v>0.0</v>
      </c>
      <c r="AH841" s="849">
        <v>0.0</v>
      </c>
      <c r="AI841" s="849">
        <v>0.0</v>
      </c>
      <c r="AJ841" s="794" t="str">
        <f t="shared" ref="AJ841:AK841" si="1679">C841</f>
        <v>G60300</v>
      </c>
      <c r="AK841" s="794" t="str">
        <f t="shared" si="1679"/>
        <v>COUT-IMPALA</v>
      </c>
      <c r="AL841" s="794">
        <f t="array" ref="AL841">IFERROR(INDEX(G841:R841,1,MATCH(Parametres!$B$3,G$1:R$1,0)-1)*IF(OR(F841="L",F841="S",F841="I"),-1,1),"")</f>
        <v>0</v>
      </c>
      <c r="AM841" s="794">
        <f t="shared" si="4"/>
        <v>0</v>
      </c>
      <c r="AN841" s="794">
        <f t="array" ref="AN841">INDEX(G841:R841,1,MATCH(Parametres!$B$3,G$1:R$1,0))*IF(OR(F841="L",F841="S",F841="I"),-1,1)</f>
        <v>0</v>
      </c>
      <c r="AO841" s="853" t="str">
        <f>+VLOOKUP($AJ841,Data_Validation!$A:$D,1,0)</f>
        <v>G60300</v>
      </c>
      <c r="AP841" s="853" t="str">
        <f>+VLOOKUP($AJ841,Data_Validation!$A:$D,3,0)</f>
        <v>Véhicules neufs</v>
      </c>
      <c r="AQ841" s="853" t="str">
        <f>+VLOOKUP($AJ841,Data_Validation!$A:$D,4,0)</f>
        <v>Autos détail</v>
      </c>
      <c r="AR841" s="853" t="s">
        <v>728</v>
      </c>
      <c r="AS841" s="853" t="str">
        <f>+VLOOKUP($AJ841,Data_Validation!$A:$E,5,0)</f>
        <v/>
      </c>
      <c r="AT841" s="794" t="str">
        <f t="shared" ref="AT841:AU841" si="1680">C841</f>
        <v>G60300</v>
      </c>
      <c r="AU841" s="854" t="str">
        <f t="shared" si="1680"/>
        <v>COUT-IMPALA</v>
      </c>
      <c r="AV841" s="794">
        <f t="array" ref="AV841">IFERROR(INDEX(V841:AG841,1,MATCH(Parametres!$B$3,V$1:AG$1,0)-1)*IF(OR(C841="L",C841="S",C841="I"),-1,1),"")</f>
        <v>0</v>
      </c>
      <c r="AW841" s="794">
        <f t="shared" si="6"/>
        <v>0</v>
      </c>
      <c r="AX841" s="794">
        <f t="array" ref="AX841">INDEX(V841:AG841,1,MATCH(Parametres!$B$3,V$1:AG$1,0))*IF(OR(C841="L",C841="S",C841="I"),-1,1)</f>
        <v>0</v>
      </c>
      <c r="AY841" s="853" t="s">
        <v>772</v>
      </c>
      <c r="AZ841" s="853" t="str">
        <f>+VLOOKUP($AJ841,Data_Validation!$A:$E,5,0)</f>
        <v/>
      </c>
    </row>
    <row r="842" ht="15.0" customHeight="1">
      <c r="A842" s="849" t="s">
        <v>1239</v>
      </c>
      <c r="B842" s="849">
        <v>2026.0</v>
      </c>
      <c r="C842" s="849" t="s">
        <v>2886</v>
      </c>
      <c r="D842" s="849" t="s">
        <v>2887</v>
      </c>
      <c r="E842" s="849" t="s">
        <v>2072</v>
      </c>
      <c r="F842" s="849" t="s">
        <v>2855</v>
      </c>
      <c r="G842" s="849">
        <v>0.0</v>
      </c>
      <c r="H842" s="849">
        <v>0.0</v>
      </c>
      <c r="I842" s="849">
        <v>0.0</v>
      </c>
      <c r="J842" s="849">
        <v>0.0</v>
      </c>
      <c r="K842" s="849">
        <v>0.0</v>
      </c>
      <c r="L842" s="849">
        <v>0.0</v>
      </c>
      <c r="M842" s="849">
        <v>0.0</v>
      </c>
      <c r="N842" s="849">
        <v>0.0</v>
      </c>
      <c r="O842" s="849">
        <v>0.0</v>
      </c>
      <c r="P842" s="849">
        <v>0.0</v>
      </c>
      <c r="Q842" s="849">
        <v>0.0</v>
      </c>
      <c r="R842" s="849">
        <v>0.0</v>
      </c>
      <c r="S842" s="849">
        <v>0.0</v>
      </c>
      <c r="T842" s="849">
        <v>0.0</v>
      </c>
      <c r="U842" s="849">
        <v>0.0</v>
      </c>
      <c r="V842" s="849">
        <v>0.0</v>
      </c>
      <c r="W842" s="849">
        <v>0.0</v>
      </c>
      <c r="X842" s="849">
        <v>0.0</v>
      </c>
      <c r="Y842" s="849">
        <v>0.0</v>
      </c>
      <c r="Z842" s="849">
        <v>0.0</v>
      </c>
      <c r="AA842" s="849">
        <v>0.0</v>
      </c>
      <c r="AB842" s="849">
        <v>0.0</v>
      </c>
      <c r="AC842" s="849">
        <v>0.0</v>
      </c>
      <c r="AD842" s="849">
        <v>0.0</v>
      </c>
      <c r="AE842" s="849">
        <v>0.0</v>
      </c>
      <c r="AF842" s="849">
        <v>0.0</v>
      </c>
      <c r="AG842" s="849">
        <v>0.0</v>
      </c>
      <c r="AH842" s="849">
        <v>0.0</v>
      </c>
      <c r="AI842" s="849">
        <v>0.0</v>
      </c>
      <c r="AJ842" s="794" t="str">
        <f t="shared" ref="AJ842:AK842" si="1681">C842</f>
        <v>G60320</v>
      </c>
      <c r="AK842" s="794" t="str">
        <f t="shared" si="1681"/>
        <v>COUT-IMPALA          -LOC</v>
      </c>
      <c r="AL842" s="794">
        <f t="array" ref="AL842">IFERROR(INDEX(G842:R842,1,MATCH(Parametres!$B$3,G$1:R$1,0)-1)*IF(OR(F842="L",F842="S",F842="I"),-1,1),"")</f>
        <v>0</v>
      </c>
      <c r="AM842" s="794">
        <f t="shared" si="4"/>
        <v>0</v>
      </c>
      <c r="AN842" s="794">
        <f t="array" ref="AN842">INDEX(G842:R842,1,MATCH(Parametres!$B$3,G$1:R$1,0))*IF(OR(F842="L",F842="S",F842="I"),-1,1)</f>
        <v>0</v>
      </c>
      <c r="AO842" s="853" t="str">
        <f>+VLOOKUP($AJ842,Data_Validation!$A:$D,1,0)</f>
        <v>#N/A</v>
      </c>
      <c r="AP842" s="853" t="str">
        <f>+VLOOKUP($AJ842,Data_Validation!$A:$D,3,0)</f>
        <v>#N/A</v>
      </c>
      <c r="AQ842" s="853" t="str">
        <f>+VLOOKUP($AJ842,Data_Validation!$A:$D,4,0)</f>
        <v>#N/A</v>
      </c>
      <c r="AR842" s="853" t="s">
        <v>728</v>
      </c>
      <c r="AS842" s="853" t="str">
        <f>+VLOOKUP($AJ842,Data_Validation!$A:$E,5,0)</f>
        <v>#N/A</v>
      </c>
      <c r="AT842" s="794" t="str">
        <f t="shared" ref="AT842:AU842" si="1682">C842</f>
        <v>G60320</v>
      </c>
      <c r="AU842" s="854" t="str">
        <f t="shared" si="1682"/>
        <v>COUT-IMPALA          -LOC</v>
      </c>
      <c r="AV842" s="794">
        <f t="array" ref="AV842">IFERROR(INDEX(V842:AG842,1,MATCH(Parametres!$B$3,V$1:AG$1,0)-1)*IF(OR(C842="L",C842="S",C842="I"),-1,1),"")</f>
        <v>0</v>
      </c>
      <c r="AW842" s="794">
        <f t="shared" si="6"/>
        <v>0</v>
      </c>
      <c r="AX842" s="794">
        <f t="array" ref="AX842">INDEX(V842:AG842,1,MATCH(Parametres!$B$3,V$1:AG$1,0))*IF(OR(C842="L",C842="S",C842="I"),-1,1)</f>
        <v>0</v>
      </c>
      <c r="AY842" s="853" t="s">
        <v>772</v>
      </c>
      <c r="AZ842" s="853" t="str">
        <f>+VLOOKUP($AJ842,Data_Validation!$A:$E,5,0)</f>
        <v>#N/A</v>
      </c>
    </row>
    <row r="843" ht="15.0" customHeight="1">
      <c r="A843" s="849" t="s">
        <v>1239</v>
      </c>
      <c r="B843" s="849">
        <v>2026.0</v>
      </c>
      <c r="C843" s="849" t="s">
        <v>2888</v>
      </c>
      <c r="D843" s="849" t="s">
        <v>2889</v>
      </c>
      <c r="E843" s="849" t="s">
        <v>2072</v>
      </c>
      <c r="F843" s="849" t="s">
        <v>2855</v>
      </c>
      <c r="G843" s="849">
        <v>0.0</v>
      </c>
      <c r="H843" s="849">
        <v>0.0</v>
      </c>
      <c r="I843" s="849">
        <v>0.0</v>
      </c>
      <c r="J843" s="849">
        <v>0.0</v>
      </c>
      <c r="K843" s="849">
        <v>0.0</v>
      </c>
      <c r="L843" s="849">
        <v>0.0</v>
      </c>
      <c r="M843" s="849">
        <v>0.0</v>
      </c>
      <c r="N843" s="849">
        <v>0.0</v>
      </c>
      <c r="O843" s="849">
        <v>0.0</v>
      </c>
      <c r="P843" s="849">
        <v>0.0</v>
      </c>
      <c r="Q843" s="849">
        <v>0.0</v>
      </c>
      <c r="R843" s="849">
        <v>0.0</v>
      </c>
      <c r="S843" s="849">
        <v>0.0</v>
      </c>
      <c r="T843" s="849">
        <v>0.0</v>
      </c>
      <c r="U843" s="849">
        <v>0.0</v>
      </c>
      <c r="V843" s="849">
        <v>0.0</v>
      </c>
      <c r="W843" s="849">
        <v>0.0</v>
      </c>
      <c r="X843" s="849">
        <v>0.0</v>
      </c>
      <c r="Y843" s="849">
        <v>0.0</v>
      </c>
      <c r="Z843" s="849">
        <v>0.0</v>
      </c>
      <c r="AA843" s="849">
        <v>0.0</v>
      </c>
      <c r="AB843" s="849">
        <v>0.0</v>
      </c>
      <c r="AC843" s="849">
        <v>0.0</v>
      </c>
      <c r="AD843" s="849">
        <v>0.0</v>
      </c>
      <c r="AE843" s="849">
        <v>0.0</v>
      </c>
      <c r="AF843" s="849">
        <v>0.0</v>
      </c>
      <c r="AG843" s="849">
        <v>0.0</v>
      </c>
      <c r="AH843" s="849">
        <v>0.0</v>
      </c>
      <c r="AI843" s="849">
        <v>0.0</v>
      </c>
      <c r="AJ843" s="794" t="str">
        <f t="shared" ref="AJ843:AK843" si="1683">C843</f>
        <v>G60400</v>
      </c>
      <c r="AK843" s="794" t="str">
        <f t="shared" si="1683"/>
        <v>COUT- SPARK</v>
      </c>
      <c r="AL843" s="794">
        <f t="array" ref="AL843">IFERROR(INDEX(G843:R843,1,MATCH(Parametres!$B$3,G$1:R$1,0)-1)*IF(OR(F843="L",F843="S",F843="I"),-1,1),"")</f>
        <v>0</v>
      </c>
      <c r="AM843" s="794">
        <f t="shared" si="4"/>
        <v>0</v>
      </c>
      <c r="AN843" s="794">
        <f t="array" ref="AN843">INDEX(G843:R843,1,MATCH(Parametres!$B$3,G$1:R$1,0))*IF(OR(F843="L",F843="S",F843="I"),-1,1)</f>
        <v>0</v>
      </c>
      <c r="AO843" s="853" t="str">
        <f>+VLOOKUP($AJ843,Data_Validation!$A:$D,1,0)</f>
        <v>G60400</v>
      </c>
      <c r="AP843" s="853" t="str">
        <f>+VLOOKUP($AJ843,Data_Validation!$A:$D,3,0)</f>
        <v>Véhicules neufs</v>
      </c>
      <c r="AQ843" s="853" t="str">
        <f>+VLOOKUP($AJ843,Data_Validation!$A:$D,4,0)</f>
        <v>Autos détail</v>
      </c>
      <c r="AR843" s="853" t="s">
        <v>728</v>
      </c>
      <c r="AS843" s="853" t="str">
        <f>+VLOOKUP($AJ843,Data_Validation!$A:$E,5,0)</f>
        <v/>
      </c>
      <c r="AT843" s="794" t="str">
        <f t="shared" ref="AT843:AU843" si="1684">C843</f>
        <v>G60400</v>
      </c>
      <c r="AU843" s="854" t="str">
        <f t="shared" si="1684"/>
        <v>COUT- SPARK</v>
      </c>
      <c r="AV843" s="794">
        <f t="array" ref="AV843">IFERROR(INDEX(V843:AG843,1,MATCH(Parametres!$B$3,V$1:AG$1,0)-1)*IF(OR(C843="L",C843="S",C843="I"),-1,1),"")</f>
        <v>0</v>
      </c>
      <c r="AW843" s="794">
        <f t="shared" si="6"/>
        <v>0</v>
      </c>
      <c r="AX843" s="794">
        <f t="array" ref="AX843">INDEX(V843:AG843,1,MATCH(Parametres!$B$3,V$1:AG$1,0))*IF(OR(C843="L",C843="S",C843="I"),-1,1)</f>
        <v>0</v>
      </c>
      <c r="AY843" s="853" t="s">
        <v>772</v>
      </c>
      <c r="AZ843" s="853" t="str">
        <f>+VLOOKUP($AJ843,Data_Validation!$A:$E,5,0)</f>
        <v/>
      </c>
    </row>
    <row r="844" ht="15.0" customHeight="1">
      <c r="A844" s="849" t="s">
        <v>1239</v>
      </c>
      <c r="B844" s="849">
        <v>2026.0</v>
      </c>
      <c r="C844" s="849" t="s">
        <v>2890</v>
      </c>
      <c r="D844" s="849" t="s">
        <v>2891</v>
      </c>
      <c r="E844" s="849" t="s">
        <v>2072</v>
      </c>
      <c r="F844" s="849" t="s">
        <v>2855</v>
      </c>
      <c r="G844" s="849">
        <v>0.0</v>
      </c>
      <c r="H844" s="849">
        <v>0.0</v>
      </c>
      <c r="I844" s="849">
        <v>0.0</v>
      </c>
      <c r="J844" s="849">
        <v>98056.9</v>
      </c>
      <c r="K844" s="849">
        <v>197263.99</v>
      </c>
      <c r="L844" s="849">
        <v>339316.99</v>
      </c>
      <c r="M844" s="849">
        <v>437270.99</v>
      </c>
      <c r="N844" s="849">
        <v>437270.99</v>
      </c>
      <c r="O844" s="849">
        <v>584947.99</v>
      </c>
      <c r="P844" s="849">
        <v>584947.99</v>
      </c>
      <c r="Q844" s="849">
        <v>0.0</v>
      </c>
      <c r="R844" s="849">
        <v>0.0</v>
      </c>
      <c r="S844" s="849">
        <v>64994.22</v>
      </c>
      <c r="T844" s="849">
        <v>64994.22</v>
      </c>
      <c r="U844" s="849">
        <v>0.0</v>
      </c>
      <c r="V844" s="849">
        <v>0.0</v>
      </c>
      <c r="W844" s="849">
        <v>0.0</v>
      </c>
      <c r="X844" s="849">
        <v>0.0</v>
      </c>
      <c r="Y844" s="849">
        <v>0.0</v>
      </c>
      <c r="Z844" s="849">
        <v>0.0</v>
      </c>
      <c r="AA844" s="849">
        <v>0.0</v>
      </c>
      <c r="AB844" s="849">
        <v>0.0</v>
      </c>
      <c r="AC844" s="849">
        <v>0.0</v>
      </c>
      <c r="AD844" s="849">
        <v>0.0</v>
      </c>
      <c r="AE844" s="849">
        <v>0.0</v>
      </c>
      <c r="AF844" s="849">
        <v>0.0</v>
      </c>
      <c r="AG844" s="849">
        <v>0.0</v>
      </c>
      <c r="AH844" s="849">
        <v>0.0</v>
      </c>
      <c r="AI844" s="849">
        <v>0.0</v>
      </c>
      <c r="AJ844" s="794" t="str">
        <f t="shared" ref="AJ844:AK844" si="1685">C844</f>
        <v>G60500</v>
      </c>
      <c r="AK844" s="794" t="str">
        <f t="shared" si="1685"/>
        <v>COUT-CORVETTE</v>
      </c>
      <c r="AL844" s="794">
        <f t="array" ref="AL844">IFERROR(INDEX(G844:R844,1,MATCH(Parametres!$B$3,G$1:R$1,0)-1)*IF(OR(F844="L",F844="S",F844="I"),-1,1),"")</f>
        <v>437270.99</v>
      </c>
      <c r="AM844" s="794">
        <f t="shared" si="4"/>
        <v>147677</v>
      </c>
      <c r="AN844" s="794">
        <f t="array" ref="AN844">INDEX(G844:R844,1,MATCH(Parametres!$B$3,G$1:R$1,0))*IF(OR(F844="L",F844="S",F844="I"),-1,1)</f>
        <v>584947.99</v>
      </c>
      <c r="AO844" s="853" t="str">
        <f>+VLOOKUP($AJ844,Data_Validation!$A:$D,1,0)</f>
        <v>G60500</v>
      </c>
      <c r="AP844" s="853" t="str">
        <f>+VLOOKUP($AJ844,Data_Validation!$A:$D,3,0)</f>
        <v>Véhicules neufs</v>
      </c>
      <c r="AQ844" s="853" t="str">
        <f>+VLOOKUP($AJ844,Data_Validation!$A:$D,4,0)</f>
        <v>Autos détail</v>
      </c>
      <c r="AR844" s="853" t="s">
        <v>728</v>
      </c>
      <c r="AS844" s="853" t="str">
        <f>+VLOOKUP($AJ844,Data_Validation!$A:$E,5,0)</f>
        <v/>
      </c>
      <c r="AT844" s="794" t="str">
        <f t="shared" ref="AT844:AU844" si="1686">C844</f>
        <v>G60500</v>
      </c>
      <c r="AU844" s="854" t="str">
        <f t="shared" si="1686"/>
        <v>COUT-CORVETTE</v>
      </c>
      <c r="AV844" s="794">
        <f t="array" ref="AV844">IFERROR(INDEX(V844:AG844,1,MATCH(Parametres!$B$3,V$1:AG$1,0)-1)*IF(OR(C844="L",C844="S",C844="I"),-1,1),"")</f>
        <v>0</v>
      </c>
      <c r="AW844" s="794">
        <f t="shared" si="6"/>
        <v>0</v>
      </c>
      <c r="AX844" s="794">
        <f t="array" ref="AX844">INDEX(V844:AG844,1,MATCH(Parametres!$B$3,V$1:AG$1,0))*IF(OR(C844="L",C844="S",C844="I"),-1,1)</f>
        <v>0</v>
      </c>
      <c r="AY844" s="853" t="s">
        <v>772</v>
      </c>
      <c r="AZ844" s="853" t="str">
        <f>+VLOOKUP($AJ844,Data_Validation!$A:$E,5,0)</f>
        <v/>
      </c>
    </row>
    <row r="845" ht="15.0" customHeight="1">
      <c r="A845" s="849" t="s">
        <v>1239</v>
      </c>
      <c r="B845" s="849">
        <v>2026.0</v>
      </c>
      <c r="C845" s="849" t="s">
        <v>2892</v>
      </c>
      <c r="D845" s="849" t="s">
        <v>2893</v>
      </c>
      <c r="E845" s="849" t="s">
        <v>2072</v>
      </c>
      <c r="F845" s="849" t="s">
        <v>2855</v>
      </c>
      <c r="G845" s="849">
        <v>0.0</v>
      </c>
      <c r="H845" s="849">
        <v>0.0</v>
      </c>
      <c r="I845" s="849">
        <v>0.0</v>
      </c>
      <c r="J845" s="849">
        <v>0.0</v>
      </c>
      <c r="K845" s="849">
        <v>0.0</v>
      </c>
      <c r="L845" s="849">
        <v>0.0</v>
      </c>
      <c r="M845" s="849">
        <v>0.0</v>
      </c>
      <c r="N845" s="849">
        <v>0.0</v>
      </c>
      <c r="O845" s="849">
        <v>0.0</v>
      </c>
      <c r="P845" s="849">
        <v>0.0</v>
      </c>
      <c r="Q845" s="849">
        <v>0.0</v>
      </c>
      <c r="R845" s="849">
        <v>0.0</v>
      </c>
      <c r="S845" s="849">
        <v>0.0</v>
      </c>
      <c r="T845" s="849">
        <v>0.0</v>
      </c>
      <c r="U845" s="849">
        <v>0.0</v>
      </c>
      <c r="V845" s="849">
        <v>0.0</v>
      </c>
      <c r="W845" s="849">
        <v>0.0</v>
      </c>
      <c r="X845" s="849">
        <v>0.0</v>
      </c>
      <c r="Y845" s="849">
        <v>0.0</v>
      </c>
      <c r="Z845" s="849">
        <v>0.0</v>
      </c>
      <c r="AA845" s="849">
        <v>0.0</v>
      </c>
      <c r="AB845" s="849">
        <v>0.0</v>
      </c>
      <c r="AC845" s="849">
        <v>0.0</v>
      </c>
      <c r="AD845" s="849">
        <v>0.0</v>
      </c>
      <c r="AE845" s="849">
        <v>0.0</v>
      </c>
      <c r="AF845" s="849">
        <v>0.0</v>
      </c>
      <c r="AG845" s="849">
        <v>0.0</v>
      </c>
      <c r="AH845" s="849">
        <v>0.0</v>
      </c>
      <c r="AI845" s="849">
        <v>0.0</v>
      </c>
      <c r="AJ845" s="794" t="str">
        <f t="shared" ref="AJ845:AK845" si="1687">C845</f>
        <v>G60600</v>
      </c>
      <c r="AK845" s="794" t="str">
        <f t="shared" si="1687"/>
        <v>COUT-AVEO</v>
      </c>
      <c r="AL845" s="794">
        <f t="array" ref="AL845">IFERROR(INDEX(G845:R845,1,MATCH(Parametres!$B$3,G$1:R$1,0)-1)*IF(OR(F845="L",F845="S",F845="I"),-1,1),"")</f>
        <v>0</v>
      </c>
      <c r="AM845" s="794">
        <f t="shared" si="4"/>
        <v>0</v>
      </c>
      <c r="AN845" s="794">
        <f t="array" ref="AN845">INDEX(G845:R845,1,MATCH(Parametres!$B$3,G$1:R$1,0))*IF(OR(F845="L",F845="S",F845="I"),-1,1)</f>
        <v>0</v>
      </c>
      <c r="AO845" s="853" t="str">
        <f>+VLOOKUP($AJ845,Data_Validation!$A:$D,1,0)</f>
        <v>#N/A</v>
      </c>
      <c r="AP845" s="853" t="str">
        <f>+VLOOKUP($AJ845,Data_Validation!$A:$D,3,0)</f>
        <v>#N/A</v>
      </c>
      <c r="AQ845" s="853" t="str">
        <f>+VLOOKUP($AJ845,Data_Validation!$A:$D,4,0)</f>
        <v>#N/A</v>
      </c>
      <c r="AR845" s="853" t="s">
        <v>728</v>
      </c>
      <c r="AS845" s="853" t="str">
        <f>+VLOOKUP($AJ845,Data_Validation!$A:$E,5,0)</f>
        <v>#N/A</v>
      </c>
      <c r="AT845" s="794" t="str">
        <f t="shared" ref="AT845:AU845" si="1688">C845</f>
        <v>G60600</v>
      </c>
      <c r="AU845" s="854" t="str">
        <f t="shared" si="1688"/>
        <v>COUT-AVEO</v>
      </c>
      <c r="AV845" s="794">
        <f t="array" ref="AV845">IFERROR(INDEX(V845:AG845,1,MATCH(Parametres!$B$3,V$1:AG$1,0)-1)*IF(OR(C845="L",C845="S",C845="I"),-1,1),"")</f>
        <v>0</v>
      </c>
      <c r="AW845" s="794">
        <f t="shared" si="6"/>
        <v>0</v>
      </c>
      <c r="AX845" s="794">
        <f t="array" ref="AX845">INDEX(V845:AG845,1,MATCH(Parametres!$B$3,V$1:AG$1,0))*IF(OR(C845="L",C845="S",C845="I"),-1,1)</f>
        <v>0</v>
      </c>
      <c r="AY845" s="853" t="s">
        <v>772</v>
      </c>
      <c r="AZ845" s="853" t="str">
        <f>+VLOOKUP($AJ845,Data_Validation!$A:$E,5,0)</f>
        <v>#N/A</v>
      </c>
    </row>
    <row r="846" ht="15.0" customHeight="1">
      <c r="A846" s="849" t="s">
        <v>1239</v>
      </c>
      <c r="B846" s="849">
        <v>2026.0</v>
      </c>
      <c r="C846" s="849" t="s">
        <v>2894</v>
      </c>
      <c r="D846" s="849" t="s">
        <v>2895</v>
      </c>
      <c r="E846" s="849" t="s">
        <v>2072</v>
      </c>
      <c r="F846" s="849" t="s">
        <v>2855</v>
      </c>
      <c r="G846" s="849">
        <v>0.0</v>
      </c>
      <c r="H846" s="849">
        <v>0.0</v>
      </c>
      <c r="I846" s="849">
        <v>0.0</v>
      </c>
      <c r="J846" s="849">
        <v>0.0</v>
      </c>
      <c r="K846" s="849">
        <v>0.0</v>
      </c>
      <c r="L846" s="849">
        <v>0.0</v>
      </c>
      <c r="M846" s="849">
        <v>0.0</v>
      </c>
      <c r="N846" s="849">
        <v>0.0</v>
      </c>
      <c r="O846" s="849">
        <v>0.0</v>
      </c>
      <c r="P846" s="849">
        <v>0.0</v>
      </c>
      <c r="Q846" s="849">
        <v>0.0</v>
      </c>
      <c r="R846" s="849">
        <v>0.0</v>
      </c>
      <c r="S846" s="849">
        <v>0.0</v>
      </c>
      <c r="T846" s="849">
        <v>0.0</v>
      </c>
      <c r="U846" s="849">
        <v>0.0</v>
      </c>
      <c r="V846" s="849">
        <v>0.0</v>
      </c>
      <c r="W846" s="849">
        <v>0.0</v>
      </c>
      <c r="X846" s="849">
        <v>0.0</v>
      </c>
      <c r="Y846" s="849">
        <v>0.0</v>
      </c>
      <c r="Z846" s="849">
        <v>0.0</v>
      </c>
      <c r="AA846" s="849">
        <v>0.0</v>
      </c>
      <c r="AB846" s="849">
        <v>0.0</v>
      </c>
      <c r="AC846" s="849">
        <v>0.0</v>
      </c>
      <c r="AD846" s="849">
        <v>0.0</v>
      </c>
      <c r="AE846" s="849">
        <v>0.0</v>
      </c>
      <c r="AF846" s="849">
        <v>0.0</v>
      </c>
      <c r="AG846" s="849">
        <v>0.0</v>
      </c>
      <c r="AH846" s="849">
        <v>0.0</v>
      </c>
      <c r="AI846" s="849">
        <v>0.0</v>
      </c>
      <c r="AJ846" s="794" t="str">
        <f t="shared" ref="AJ846:AK846" si="1689">C846</f>
        <v>G60620</v>
      </c>
      <c r="AK846" s="794" t="str">
        <f t="shared" si="1689"/>
        <v>COUT-AVEO            -LOC</v>
      </c>
      <c r="AL846" s="794">
        <f t="array" ref="AL846">IFERROR(INDEX(G846:R846,1,MATCH(Parametres!$B$3,G$1:R$1,0)-1)*IF(OR(F846="L",F846="S",F846="I"),-1,1),"")</f>
        <v>0</v>
      </c>
      <c r="AM846" s="794">
        <f t="shared" si="4"/>
        <v>0</v>
      </c>
      <c r="AN846" s="794">
        <f t="array" ref="AN846">INDEX(G846:R846,1,MATCH(Parametres!$B$3,G$1:R$1,0))*IF(OR(F846="L",F846="S",F846="I"),-1,1)</f>
        <v>0</v>
      </c>
      <c r="AO846" s="853" t="str">
        <f>+VLOOKUP($AJ846,Data_Validation!$A:$D,1,0)</f>
        <v>#N/A</v>
      </c>
      <c r="AP846" s="853" t="str">
        <f>+VLOOKUP($AJ846,Data_Validation!$A:$D,3,0)</f>
        <v>#N/A</v>
      </c>
      <c r="AQ846" s="853" t="str">
        <f>+VLOOKUP($AJ846,Data_Validation!$A:$D,4,0)</f>
        <v>#N/A</v>
      </c>
      <c r="AR846" s="853" t="s">
        <v>728</v>
      </c>
      <c r="AS846" s="853" t="str">
        <f>+VLOOKUP($AJ846,Data_Validation!$A:$E,5,0)</f>
        <v>#N/A</v>
      </c>
      <c r="AT846" s="794" t="str">
        <f t="shared" ref="AT846:AU846" si="1690">C846</f>
        <v>G60620</v>
      </c>
      <c r="AU846" s="854" t="str">
        <f t="shared" si="1690"/>
        <v>COUT-AVEO            -LOC</v>
      </c>
      <c r="AV846" s="794">
        <f t="array" ref="AV846">IFERROR(INDEX(V846:AG846,1,MATCH(Parametres!$B$3,V$1:AG$1,0)-1)*IF(OR(C846="L",C846="S",C846="I"),-1,1),"")</f>
        <v>0</v>
      </c>
      <c r="AW846" s="794">
        <f t="shared" si="6"/>
        <v>0</v>
      </c>
      <c r="AX846" s="794">
        <f t="array" ref="AX846">INDEX(V846:AG846,1,MATCH(Parametres!$B$3,V$1:AG$1,0))*IF(OR(C846="L",C846="S",C846="I"),-1,1)</f>
        <v>0</v>
      </c>
      <c r="AY846" s="853" t="s">
        <v>772</v>
      </c>
      <c r="AZ846" s="853" t="str">
        <f>+VLOOKUP($AJ846,Data_Validation!$A:$E,5,0)</f>
        <v>#N/A</v>
      </c>
    </row>
    <row r="847" ht="15.0" customHeight="1">
      <c r="A847" s="849" t="s">
        <v>1239</v>
      </c>
      <c r="B847" s="849">
        <v>2026.0</v>
      </c>
      <c r="C847" s="849" t="s">
        <v>2896</v>
      </c>
      <c r="D847" s="849" t="s">
        <v>2897</v>
      </c>
      <c r="E847" s="849" t="s">
        <v>2072</v>
      </c>
      <c r="F847" s="849" t="s">
        <v>2855</v>
      </c>
      <c r="G847" s="849">
        <v>0.0</v>
      </c>
      <c r="H847" s="849">
        <v>0.0</v>
      </c>
      <c r="I847" s="849">
        <v>0.0</v>
      </c>
      <c r="J847" s="849">
        <v>0.0</v>
      </c>
      <c r="K847" s="849">
        <v>44805.04</v>
      </c>
      <c r="L847" s="849">
        <v>44805.04</v>
      </c>
      <c r="M847" s="849">
        <v>44805.04</v>
      </c>
      <c r="N847" s="849">
        <v>170312.29</v>
      </c>
      <c r="O847" s="849">
        <v>343261.33</v>
      </c>
      <c r="P847" s="849">
        <v>441133.78</v>
      </c>
      <c r="Q847" s="849">
        <v>0.0</v>
      </c>
      <c r="R847" s="849">
        <v>0.0</v>
      </c>
      <c r="S847" s="849">
        <v>38140.15</v>
      </c>
      <c r="T847" s="849">
        <v>38140.15</v>
      </c>
      <c r="U847" s="849">
        <v>0.0</v>
      </c>
      <c r="V847" s="849">
        <v>0.0</v>
      </c>
      <c r="W847" s="849">
        <v>0.0</v>
      </c>
      <c r="X847" s="849">
        <v>0.0</v>
      </c>
      <c r="Y847" s="849">
        <v>0.0</v>
      </c>
      <c r="Z847" s="849">
        <v>0.0</v>
      </c>
      <c r="AA847" s="849">
        <v>0.0</v>
      </c>
      <c r="AB847" s="849">
        <v>0.0</v>
      </c>
      <c r="AC847" s="849">
        <v>0.0</v>
      </c>
      <c r="AD847" s="849">
        <v>0.0</v>
      </c>
      <c r="AE847" s="849">
        <v>0.0</v>
      </c>
      <c r="AF847" s="849">
        <v>0.0</v>
      </c>
      <c r="AG847" s="849">
        <v>0.0</v>
      </c>
      <c r="AH847" s="849">
        <v>0.0</v>
      </c>
      <c r="AI847" s="849">
        <v>0.0</v>
      </c>
      <c r="AJ847" s="794" t="str">
        <f t="shared" ref="AJ847:AK847" si="1691">C847</f>
        <v>G60700</v>
      </c>
      <c r="AK847" s="794" t="str">
        <f t="shared" si="1691"/>
        <v>COUT BOLT - EV</v>
      </c>
      <c r="AL847" s="794">
        <f t="array" ref="AL847">IFERROR(INDEX(G847:R847,1,MATCH(Parametres!$B$3,G$1:R$1,0)-1)*IF(OR(F847="L",F847="S",F847="I"),-1,1),"")</f>
        <v>170312.29</v>
      </c>
      <c r="AM847" s="794">
        <f t="shared" si="4"/>
        <v>172949.04</v>
      </c>
      <c r="AN847" s="794">
        <f t="array" ref="AN847">INDEX(G847:R847,1,MATCH(Parametres!$B$3,G$1:R$1,0))*IF(OR(F847="L",F847="S",F847="I"),-1,1)</f>
        <v>343261.33</v>
      </c>
      <c r="AO847" s="853" t="str">
        <f>+VLOOKUP($AJ847,Data_Validation!$A:$D,1,0)</f>
        <v>G60700</v>
      </c>
      <c r="AP847" s="853" t="str">
        <f>+VLOOKUP($AJ847,Data_Validation!$A:$D,3,0)</f>
        <v>Véhicules neufs</v>
      </c>
      <c r="AQ847" s="853" t="str">
        <f>+VLOOKUP($AJ847,Data_Validation!$A:$D,4,0)</f>
        <v>Camions electriques</v>
      </c>
      <c r="AR847" s="853" t="s">
        <v>728</v>
      </c>
      <c r="AS847" s="853" t="str">
        <f>+VLOOKUP($AJ847,Data_Validation!$A:$E,5,0)</f>
        <v/>
      </c>
      <c r="AT847" s="794" t="str">
        <f t="shared" ref="AT847:AU847" si="1692">C847</f>
        <v>G60700</v>
      </c>
      <c r="AU847" s="854" t="str">
        <f t="shared" si="1692"/>
        <v>COUT BOLT - EV</v>
      </c>
      <c r="AV847" s="794">
        <f t="array" ref="AV847">IFERROR(INDEX(V847:AG847,1,MATCH(Parametres!$B$3,V$1:AG$1,0)-1)*IF(OR(C847="L",C847="S",C847="I"),-1,1),"")</f>
        <v>0</v>
      </c>
      <c r="AW847" s="794">
        <f t="shared" si="6"/>
        <v>0</v>
      </c>
      <c r="AX847" s="794">
        <f t="array" ref="AX847">INDEX(V847:AG847,1,MATCH(Parametres!$B$3,V$1:AG$1,0))*IF(OR(C847="L",C847="S",C847="I"),-1,1)</f>
        <v>0</v>
      </c>
      <c r="AY847" s="853" t="s">
        <v>772</v>
      </c>
      <c r="AZ847" s="853" t="str">
        <f>+VLOOKUP($AJ847,Data_Validation!$A:$E,5,0)</f>
        <v/>
      </c>
    </row>
    <row r="848" ht="15.0" customHeight="1">
      <c r="A848" s="849" t="s">
        <v>1239</v>
      </c>
      <c r="B848" s="849">
        <v>2026.0</v>
      </c>
      <c r="C848" s="849" t="s">
        <v>2898</v>
      </c>
      <c r="D848" s="849" t="s">
        <v>2899</v>
      </c>
      <c r="E848" s="849" t="s">
        <v>2072</v>
      </c>
      <c r="F848" s="849" t="s">
        <v>2855</v>
      </c>
      <c r="G848" s="849">
        <v>0.0</v>
      </c>
      <c r="H848" s="849">
        <v>0.0</v>
      </c>
      <c r="I848" s="849">
        <v>0.0</v>
      </c>
      <c r="J848" s="849">
        <v>0.0</v>
      </c>
      <c r="K848" s="849">
        <v>0.0</v>
      </c>
      <c r="L848" s="849">
        <v>0.0</v>
      </c>
      <c r="M848" s="849">
        <v>0.0</v>
      </c>
      <c r="N848" s="849">
        <v>0.0</v>
      </c>
      <c r="O848" s="849">
        <v>0.0</v>
      </c>
      <c r="P848" s="849">
        <v>0.0</v>
      </c>
      <c r="Q848" s="849">
        <v>0.0</v>
      </c>
      <c r="R848" s="849">
        <v>0.0</v>
      </c>
      <c r="S848" s="849">
        <v>0.0</v>
      </c>
      <c r="T848" s="849">
        <v>0.0</v>
      </c>
      <c r="U848" s="849">
        <v>0.0</v>
      </c>
      <c r="V848" s="849">
        <v>0.0</v>
      </c>
      <c r="W848" s="849">
        <v>0.0</v>
      </c>
      <c r="X848" s="849">
        <v>0.0</v>
      </c>
      <c r="Y848" s="849">
        <v>0.0</v>
      </c>
      <c r="Z848" s="849">
        <v>0.0</v>
      </c>
      <c r="AA848" s="849">
        <v>0.0</v>
      </c>
      <c r="AB848" s="849">
        <v>0.0</v>
      </c>
      <c r="AC848" s="849">
        <v>0.0</v>
      </c>
      <c r="AD848" s="849">
        <v>0.0</v>
      </c>
      <c r="AE848" s="849">
        <v>0.0</v>
      </c>
      <c r="AF848" s="849">
        <v>0.0</v>
      </c>
      <c r="AG848" s="849">
        <v>0.0</v>
      </c>
      <c r="AH848" s="849">
        <v>0.0</v>
      </c>
      <c r="AI848" s="849">
        <v>0.0</v>
      </c>
      <c r="AJ848" s="794" t="str">
        <f t="shared" ref="AJ848:AK848" si="1693">C848</f>
        <v>G60720</v>
      </c>
      <c r="AK848" s="794" t="str">
        <f t="shared" si="1693"/>
        <v>COUT-OPTRA           -LOC</v>
      </c>
      <c r="AL848" s="794">
        <f t="array" ref="AL848">IFERROR(INDEX(G848:R848,1,MATCH(Parametres!$B$3,G$1:R$1,0)-1)*IF(OR(F848="L",F848="S",F848="I"),-1,1),"")</f>
        <v>0</v>
      </c>
      <c r="AM848" s="794">
        <f t="shared" si="4"/>
        <v>0</v>
      </c>
      <c r="AN848" s="794">
        <f t="array" ref="AN848">INDEX(G848:R848,1,MATCH(Parametres!$B$3,G$1:R$1,0))*IF(OR(F848="L",F848="S",F848="I"),-1,1)</f>
        <v>0</v>
      </c>
      <c r="AO848" s="853" t="str">
        <f>+VLOOKUP($AJ848,Data_Validation!$A:$D,1,0)</f>
        <v>#N/A</v>
      </c>
      <c r="AP848" s="853" t="str">
        <f>+VLOOKUP($AJ848,Data_Validation!$A:$D,3,0)</f>
        <v>#N/A</v>
      </c>
      <c r="AQ848" s="853" t="str">
        <f>+VLOOKUP($AJ848,Data_Validation!$A:$D,4,0)</f>
        <v>#N/A</v>
      </c>
      <c r="AR848" s="853" t="s">
        <v>728</v>
      </c>
      <c r="AS848" s="853" t="str">
        <f>+VLOOKUP($AJ848,Data_Validation!$A:$E,5,0)</f>
        <v>#N/A</v>
      </c>
      <c r="AT848" s="794" t="str">
        <f t="shared" ref="AT848:AU848" si="1694">C848</f>
        <v>G60720</v>
      </c>
      <c r="AU848" s="854" t="str">
        <f t="shared" si="1694"/>
        <v>COUT-OPTRA           -LOC</v>
      </c>
      <c r="AV848" s="794">
        <f t="array" ref="AV848">IFERROR(INDEX(V848:AG848,1,MATCH(Parametres!$B$3,V$1:AG$1,0)-1)*IF(OR(C848="L",C848="S",C848="I"),-1,1),"")</f>
        <v>0</v>
      </c>
      <c r="AW848" s="794">
        <f t="shared" si="6"/>
        <v>0</v>
      </c>
      <c r="AX848" s="794">
        <f t="array" ref="AX848">INDEX(V848:AG848,1,MATCH(Parametres!$B$3,V$1:AG$1,0))*IF(OR(C848="L",C848="S",C848="I"),-1,1)</f>
        <v>0</v>
      </c>
      <c r="AY848" s="853" t="s">
        <v>772</v>
      </c>
      <c r="AZ848" s="853" t="str">
        <f>+VLOOKUP($AJ848,Data_Validation!$A:$E,5,0)</f>
        <v>#N/A</v>
      </c>
    </row>
    <row r="849" ht="15.0" customHeight="1">
      <c r="A849" s="849" t="s">
        <v>1239</v>
      </c>
      <c r="B849" s="849">
        <v>2026.0</v>
      </c>
      <c r="C849" s="849" t="s">
        <v>2900</v>
      </c>
      <c r="D849" s="849" t="s">
        <v>2901</v>
      </c>
      <c r="E849" s="849" t="s">
        <v>2072</v>
      </c>
      <c r="F849" s="849" t="s">
        <v>2855</v>
      </c>
      <c r="G849" s="849">
        <v>0.0</v>
      </c>
      <c r="H849" s="849">
        <v>0.0</v>
      </c>
      <c r="I849" s="849">
        <v>0.0</v>
      </c>
      <c r="J849" s="849">
        <v>0.0</v>
      </c>
      <c r="K849" s="849">
        <v>0.0</v>
      </c>
      <c r="L849" s="849">
        <v>0.0</v>
      </c>
      <c r="M849" s="849">
        <v>0.0</v>
      </c>
      <c r="N849" s="849">
        <v>0.0</v>
      </c>
      <c r="O849" s="849">
        <v>0.0</v>
      </c>
      <c r="P849" s="849">
        <v>0.0</v>
      </c>
      <c r="Q849" s="849">
        <v>0.0</v>
      </c>
      <c r="R849" s="849">
        <v>0.0</v>
      </c>
      <c r="S849" s="849">
        <v>0.0</v>
      </c>
      <c r="T849" s="849">
        <v>0.0</v>
      </c>
      <c r="U849" s="849">
        <v>0.0</v>
      </c>
      <c r="V849" s="849">
        <v>0.0</v>
      </c>
      <c r="W849" s="849">
        <v>0.0</v>
      </c>
      <c r="X849" s="849">
        <v>0.0</v>
      </c>
      <c r="Y849" s="849">
        <v>0.0</v>
      </c>
      <c r="Z849" s="849">
        <v>0.0</v>
      </c>
      <c r="AA849" s="849">
        <v>0.0</v>
      </c>
      <c r="AB849" s="849">
        <v>0.0</v>
      </c>
      <c r="AC849" s="849">
        <v>0.0</v>
      </c>
      <c r="AD849" s="849">
        <v>0.0</v>
      </c>
      <c r="AE849" s="849">
        <v>0.0</v>
      </c>
      <c r="AF849" s="849">
        <v>0.0</v>
      </c>
      <c r="AG849" s="849">
        <v>0.0</v>
      </c>
      <c r="AH849" s="849">
        <v>0.0</v>
      </c>
      <c r="AI849" s="849">
        <v>0.0</v>
      </c>
      <c r="AJ849" s="794" t="str">
        <f t="shared" ref="AJ849:AK849" si="1695">C849</f>
        <v>G60800</v>
      </c>
      <c r="AK849" s="794" t="str">
        <f t="shared" si="1695"/>
        <v>COUT-EPICA</v>
      </c>
      <c r="AL849" s="794">
        <f t="array" ref="AL849">IFERROR(INDEX(G849:R849,1,MATCH(Parametres!$B$3,G$1:R$1,0)-1)*IF(OR(F849="L",F849="S",F849="I"),-1,1),"")</f>
        <v>0</v>
      </c>
      <c r="AM849" s="794">
        <f t="shared" si="4"/>
        <v>0</v>
      </c>
      <c r="AN849" s="794">
        <f t="array" ref="AN849">INDEX(G849:R849,1,MATCH(Parametres!$B$3,G$1:R$1,0))*IF(OR(F849="L",F849="S",F849="I"),-1,1)</f>
        <v>0</v>
      </c>
      <c r="AO849" s="853" t="str">
        <f>+VLOOKUP($AJ849,Data_Validation!$A:$D,1,0)</f>
        <v>#N/A</v>
      </c>
      <c r="AP849" s="853" t="str">
        <f>+VLOOKUP($AJ849,Data_Validation!$A:$D,3,0)</f>
        <v>#N/A</v>
      </c>
      <c r="AQ849" s="853" t="str">
        <f>+VLOOKUP($AJ849,Data_Validation!$A:$D,4,0)</f>
        <v>#N/A</v>
      </c>
      <c r="AR849" s="853" t="s">
        <v>728</v>
      </c>
      <c r="AS849" s="853" t="str">
        <f>+VLOOKUP($AJ849,Data_Validation!$A:$E,5,0)</f>
        <v>#N/A</v>
      </c>
      <c r="AT849" s="794" t="str">
        <f t="shared" ref="AT849:AU849" si="1696">C849</f>
        <v>G60800</v>
      </c>
      <c r="AU849" s="854" t="str">
        <f t="shared" si="1696"/>
        <v>COUT-EPICA</v>
      </c>
      <c r="AV849" s="794">
        <f t="array" ref="AV849">IFERROR(INDEX(V849:AG849,1,MATCH(Parametres!$B$3,V$1:AG$1,0)-1)*IF(OR(C849="L",C849="S",C849="I"),-1,1),"")</f>
        <v>0</v>
      </c>
      <c r="AW849" s="794">
        <f t="shared" si="6"/>
        <v>0</v>
      </c>
      <c r="AX849" s="794">
        <f t="array" ref="AX849">INDEX(V849:AG849,1,MATCH(Parametres!$B$3,V$1:AG$1,0))*IF(OR(C849="L",C849="S",C849="I"),-1,1)</f>
        <v>0</v>
      </c>
      <c r="AY849" s="853" t="s">
        <v>772</v>
      </c>
      <c r="AZ849" s="853" t="str">
        <f>+VLOOKUP($AJ849,Data_Validation!$A:$E,5,0)</f>
        <v>#N/A</v>
      </c>
    </row>
    <row r="850" ht="15.0" customHeight="1">
      <c r="A850" s="849" t="s">
        <v>1239</v>
      </c>
      <c r="B850" s="849">
        <v>2026.0</v>
      </c>
      <c r="C850" s="849" t="s">
        <v>2902</v>
      </c>
      <c r="D850" s="849" t="s">
        <v>2903</v>
      </c>
      <c r="E850" s="849" t="s">
        <v>2072</v>
      </c>
      <c r="F850" s="849" t="s">
        <v>2855</v>
      </c>
      <c r="G850" s="849">
        <v>0.0</v>
      </c>
      <c r="H850" s="849">
        <v>0.0</v>
      </c>
      <c r="I850" s="849">
        <v>0.0</v>
      </c>
      <c r="J850" s="849">
        <v>0.0</v>
      </c>
      <c r="K850" s="849">
        <v>0.0</v>
      </c>
      <c r="L850" s="849">
        <v>0.0</v>
      </c>
      <c r="M850" s="849">
        <v>0.0</v>
      </c>
      <c r="N850" s="849">
        <v>0.0</v>
      </c>
      <c r="O850" s="849">
        <v>0.0</v>
      </c>
      <c r="P850" s="849">
        <v>0.0</v>
      </c>
      <c r="Q850" s="849">
        <v>0.0</v>
      </c>
      <c r="R850" s="849">
        <v>0.0</v>
      </c>
      <c r="S850" s="849">
        <v>0.0</v>
      </c>
      <c r="T850" s="849">
        <v>0.0</v>
      </c>
      <c r="U850" s="849">
        <v>0.0</v>
      </c>
      <c r="V850" s="849">
        <v>0.0</v>
      </c>
      <c r="W850" s="849">
        <v>0.0</v>
      </c>
      <c r="X850" s="849">
        <v>0.0</v>
      </c>
      <c r="Y850" s="849">
        <v>0.0</v>
      </c>
      <c r="Z850" s="849">
        <v>0.0</v>
      </c>
      <c r="AA850" s="849">
        <v>0.0</v>
      </c>
      <c r="AB850" s="849">
        <v>0.0</v>
      </c>
      <c r="AC850" s="849">
        <v>0.0</v>
      </c>
      <c r="AD850" s="849">
        <v>0.0</v>
      </c>
      <c r="AE850" s="849">
        <v>0.0</v>
      </c>
      <c r="AF850" s="849">
        <v>0.0</v>
      </c>
      <c r="AG850" s="849">
        <v>0.0</v>
      </c>
      <c r="AH850" s="849">
        <v>0.0</v>
      </c>
      <c r="AI850" s="849">
        <v>0.0</v>
      </c>
      <c r="AJ850" s="794" t="str">
        <f t="shared" ref="AJ850:AK850" si="1697">C850</f>
        <v>G60820</v>
      </c>
      <c r="AK850" s="794" t="str">
        <f t="shared" si="1697"/>
        <v>COUT-EPICA           -LOC</v>
      </c>
      <c r="AL850" s="794">
        <f t="array" ref="AL850">IFERROR(INDEX(G850:R850,1,MATCH(Parametres!$B$3,G$1:R$1,0)-1)*IF(OR(F850="L",F850="S",F850="I"),-1,1),"")</f>
        <v>0</v>
      </c>
      <c r="AM850" s="794">
        <f t="shared" si="4"/>
        <v>0</v>
      </c>
      <c r="AN850" s="794">
        <f t="array" ref="AN850">INDEX(G850:R850,1,MATCH(Parametres!$B$3,G$1:R$1,0))*IF(OR(F850="L",F850="S",F850="I"),-1,1)</f>
        <v>0</v>
      </c>
      <c r="AO850" s="853" t="str">
        <f>+VLOOKUP($AJ850,Data_Validation!$A:$D,1,0)</f>
        <v>#N/A</v>
      </c>
      <c r="AP850" s="853" t="str">
        <f>+VLOOKUP($AJ850,Data_Validation!$A:$D,3,0)</f>
        <v>#N/A</v>
      </c>
      <c r="AQ850" s="853" t="str">
        <f>+VLOOKUP($AJ850,Data_Validation!$A:$D,4,0)</f>
        <v>#N/A</v>
      </c>
      <c r="AR850" s="853" t="s">
        <v>728</v>
      </c>
      <c r="AS850" s="853" t="str">
        <f>+VLOOKUP($AJ850,Data_Validation!$A:$E,5,0)</f>
        <v>#N/A</v>
      </c>
      <c r="AT850" s="794" t="str">
        <f t="shared" ref="AT850:AU850" si="1698">C850</f>
        <v>G60820</v>
      </c>
      <c r="AU850" s="854" t="str">
        <f t="shared" si="1698"/>
        <v>COUT-EPICA           -LOC</v>
      </c>
      <c r="AV850" s="794">
        <f t="array" ref="AV850">IFERROR(INDEX(V850:AG850,1,MATCH(Parametres!$B$3,V$1:AG$1,0)-1)*IF(OR(C850="L",C850="S",C850="I"),-1,1),"")</f>
        <v>0</v>
      </c>
      <c r="AW850" s="794">
        <f t="shared" si="6"/>
        <v>0</v>
      </c>
      <c r="AX850" s="794">
        <f t="array" ref="AX850">INDEX(V850:AG850,1,MATCH(Parametres!$B$3,V$1:AG$1,0))*IF(OR(C850="L",C850="S",C850="I"),-1,1)</f>
        <v>0</v>
      </c>
      <c r="AY850" s="853" t="s">
        <v>772</v>
      </c>
      <c r="AZ850" s="853" t="str">
        <f>+VLOOKUP($AJ850,Data_Validation!$A:$E,5,0)</f>
        <v>#N/A</v>
      </c>
    </row>
    <row r="851" ht="15.0" customHeight="1">
      <c r="A851" s="849" t="s">
        <v>1239</v>
      </c>
      <c r="B851" s="849">
        <v>2026.0</v>
      </c>
      <c r="C851" s="849" t="s">
        <v>2904</v>
      </c>
      <c r="D851" s="849" t="s">
        <v>2905</v>
      </c>
      <c r="E851" s="849" t="s">
        <v>2072</v>
      </c>
      <c r="F851" s="849" t="s">
        <v>2855</v>
      </c>
      <c r="G851" s="849">
        <v>0.0</v>
      </c>
      <c r="H851" s="849">
        <v>0.0</v>
      </c>
      <c r="I851" s="849">
        <v>0.0</v>
      </c>
      <c r="J851" s="849">
        <v>0.0</v>
      </c>
      <c r="K851" s="849">
        <v>0.0</v>
      </c>
      <c r="L851" s="849">
        <v>0.0</v>
      </c>
      <c r="M851" s="849">
        <v>0.0</v>
      </c>
      <c r="N851" s="849">
        <v>0.0</v>
      </c>
      <c r="O851" s="849">
        <v>0.0</v>
      </c>
      <c r="P851" s="849">
        <v>0.0</v>
      </c>
      <c r="Q851" s="849">
        <v>0.0</v>
      </c>
      <c r="R851" s="849">
        <v>0.0</v>
      </c>
      <c r="S851" s="849">
        <v>0.0</v>
      </c>
      <c r="T851" s="849">
        <v>0.0</v>
      </c>
      <c r="U851" s="849">
        <v>0.0</v>
      </c>
      <c r="V851" s="849">
        <v>0.0</v>
      </c>
      <c r="W851" s="849">
        <v>0.0</v>
      </c>
      <c r="X851" s="849">
        <v>0.0</v>
      </c>
      <c r="Y851" s="849">
        <v>0.0</v>
      </c>
      <c r="Z851" s="849">
        <v>0.0</v>
      </c>
      <c r="AA851" s="849">
        <v>0.0</v>
      </c>
      <c r="AB851" s="849">
        <v>0.0</v>
      </c>
      <c r="AC851" s="849">
        <v>0.0</v>
      </c>
      <c r="AD851" s="849">
        <v>0.0</v>
      </c>
      <c r="AE851" s="849">
        <v>0.0</v>
      </c>
      <c r="AF851" s="849">
        <v>0.0</v>
      </c>
      <c r="AG851" s="849">
        <v>0.0</v>
      </c>
      <c r="AH851" s="849">
        <v>0.0</v>
      </c>
      <c r="AI851" s="849">
        <v>0.0</v>
      </c>
      <c r="AJ851" s="794" t="str">
        <f t="shared" ref="AJ851:AK851" si="1699">C851</f>
        <v>G60900</v>
      </c>
      <c r="AK851" s="794" t="str">
        <f t="shared" si="1699"/>
        <v>COUT-COBALT</v>
      </c>
      <c r="AL851" s="794">
        <f t="array" ref="AL851">IFERROR(INDEX(G851:R851,1,MATCH(Parametres!$B$3,G$1:R$1,0)-1)*IF(OR(F851="L",F851="S",F851="I"),-1,1),"")</f>
        <v>0</v>
      </c>
      <c r="AM851" s="794">
        <f t="shared" si="4"/>
        <v>0</v>
      </c>
      <c r="AN851" s="794">
        <f t="array" ref="AN851">INDEX(G851:R851,1,MATCH(Parametres!$B$3,G$1:R$1,0))*IF(OR(F851="L",F851="S",F851="I"),-1,1)</f>
        <v>0</v>
      </c>
      <c r="AO851" s="853" t="str">
        <f>+VLOOKUP($AJ851,Data_Validation!$A:$D,1,0)</f>
        <v>G60900</v>
      </c>
      <c r="AP851" s="853" t="str">
        <f>+VLOOKUP($AJ851,Data_Validation!$A:$D,3,0)</f>
        <v>Véhicules neufs</v>
      </c>
      <c r="AQ851" s="853" t="str">
        <f>+VLOOKUP($AJ851,Data_Validation!$A:$D,4,0)</f>
        <v>Autos détail</v>
      </c>
      <c r="AR851" s="853" t="s">
        <v>728</v>
      </c>
      <c r="AS851" s="853" t="str">
        <f>+VLOOKUP($AJ851,Data_Validation!$A:$E,5,0)</f>
        <v/>
      </c>
      <c r="AT851" s="794" t="str">
        <f t="shared" ref="AT851:AU851" si="1700">C851</f>
        <v>G60900</v>
      </c>
      <c r="AU851" s="854" t="str">
        <f t="shared" si="1700"/>
        <v>COUT-COBALT</v>
      </c>
      <c r="AV851" s="794">
        <f t="array" ref="AV851">IFERROR(INDEX(V851:AG851,1,MATCH(Parametres!$B$3,V$1:AG$1,0)-1)*IF(OR(C851="L",C851="S",C851="I"),-1,1),"")</f>
        <v>0</v>
      </c>
      <c r="AW851" s="794">
        <f t="shared" si="6"/>
        <v>0</v>
      </c>
      <c r="AX851" s="794">
        <f t="array" ref="AX851">INDEX(V851:AG851,1,MATCH(Parametres!$B$3,V$1:AG$1,0))*IF(OR(C851="L",C851="S",C851="I"),-1,1)</f>
        <v>0</v>
      </c>
      <c r="AY851" s="853" t="s">
        <v>772</v>
      </c>
      <c r="AZ851" s="853" t="str">
        <f>+VLOOKUP($AJ851,Data_Validation!$A:$E,5,0)</f>
        <v/>
      </c>
    </row>
    <row r="852" ht="15.0" customHeight="1">
      <c r="A852" s="849" t="s">
        <v>1239</v>
      </c>
      <c r="B852" s="849">
        <v>2026.0</v>
      </c>
      <c r="C852" s="849" t="s">
        <v>2906</v>
      </c>
      <c r="D852" s="849" t="s">
        <v>2907</v>
      </c>
      <c r="E852" s="849" t="s">
        <v>2072</v>
      </c>
      <c r="F852" s="849" t="s">
        <v>2855</v>
      </c>
      <c r="G852" s="849">
        <v>0.0</v>
      </c>
      <c r="H852" s="849">
        <v>0.0</v>
      </c>
      <c r="I852" s="849">
        <v>0.0</v>
      </c>
      <c r="J852" s="849">
        <v>0.0</v>
      </c>
      <c r="K852" s="849">
        <v>0.0</v>
      </c>
      <c r="L852" s="849">
        <v>0.0</v>
      </c>
      <c r="M852" s="849">
        <v>0.0</v>
      </c>
      <c r="N852" s="849">
        <v>0.0</v>
      </c>
      <c r="O852" s="849">
        <v>0.0</v>
      </c>
      <c r="P852" s="849">
        <v>0.0</v>
      </c>
      <c r="Q852" s="849">
        <v>0.0</v>
      </c>
      <c r="R852" s="849">
        <v>0.0</v>
      </c>
      <c r="S852" s="849">
        <v>0.0</v>
      </c>
      <c r="T852" s="849">
        <v>0.0</v>
      </c>
      <c r="U852" s="849">
        <v>0.0</v>
      </c>
      <c r="V852" s="849">
        <v>0.0</v>
      </c>
      <c r="W852" s="849">
        <v>0.0</v>
      </c>
      <c r="X852" s="849">
        <v>0.0</v>
      </c>
      <c r="Y852" s="849">
        <v>0.0</v>
      </c>
      <c r="Z852" s="849">
        <v>0.0</v>
      </c>
      <c r="AA852" s="849">
        <v>0.0</v>
      </c>
      <c r="AB852" s="849">
        <v>0.0</v>
      </c>
      <c r="AC852" s="849">
        <v>0.0</v>
      </c>
      <c r="AD852" s="849">
        <v>0.0</v>
      </c>
      <c r="AE852" s="849">
        <v>0.0</v>
      </c>
      <c r="AF852" s="849">
        <v>0.0</v>
      </c>
      <c r="AG852" s="849">
        <v>0.0</v>
      </c>
      <c r="AH852" s="849">
        <v>0.0</v>
      </c>
      <c r="AI852" s="849">
        <v>0.0</v>
      </c>
      <c r="AJ852" s="794" t="str">
        <f t="shared" ref="AJ852:AK852" si="1701">C852</f>
        <v>G60920</v>
      </c>
      <c r="AK852" s="794" t="str">
        <f t="shared" si="1701"/>
        <v>COUT-COBALT          -LOC</v>
      </c>
      <c r="AL852" s="794">
        <f t="array" ref="AL852">IFERROR(INDEX(G852:R852,1,MATCH(Parametres!$B$3,G$1:R$1,0)-1)*IF(OR(F852="L",F852="S",F852="I"),-1,1),"")</f>
        <v>0</v>
      </c>
      <c r="AM852" s="794">
        <f t="shared" si="4"/>
        <v>0</v>
      </c>
      <c r="AN852" s="794">
        <f t="array" ref="AN852">INDEX(G852:R852,1,MATCH(Parametres!$B$3,G$1:R$1,0))*IF(OR(F852="L",F852="S",F852="I"),-1,1)</f>
        <v>0</v>
      </c>
      <c r="AO852" s="853" t="str">
        <f>+VLOOKUP($AJ852,Data_Validation!$A:$D,1,0)</f>
        <v>#N/A</v>
      </c>
      <c r="AP852" s="853" t="str">
        <f>+VLOOKUP($AJ852,Data_Validation!$A:$D,3,0)</f>
        <v>#N/A</v>
      </c>
      <c r="AQ852" s="853" t="str">
        <f>+VLOOKUP($AJ852,Data_Validation!$A:$D,4,0)</f>
        <v>#N/A</v>
      </c>
      <c r="AR852" s="853" t="s">
        <v>728</v>
      </c>
      <c r="AS852" s="853" t="str">
        <f>+VLOOKUP($AJ852,Data_Validation!$A:$E,5,0)</f>
        <v>#N/A</v>
      </c>
      <c r="AT852" s="794" t="str">
        <f t="shared" ref="AT852:AU852" si="1702">C852</f>
        <v>G60920</v>
      </c>
      <c r="AU852" s="854" t="str">
        <f t="shared" si="1702"/>
        <v>COUT-COBALT          -LOC</v>
      </c>
      <c r="AV852" s="794">
        <f t="array" ref="AV852">IFERROR(INDEX(V852:AG852,1,MATCH(Parametres!$B$3,V$1:AG$1,0)-1)*IF(OR(C852="L",C852="S",C852="I"),-1,1),"")</f>
        <v>0</v>
      </c>
      <c r="AW852" s="794">
        <f t="shared" si="6"/>
        <v>0</v>
      </c>
      <c r="AX852" s="794">
        <f t="array" ref="AX852">INDEX(V852:AG852,1,MATCH(Parametres!$B$3,V$1:AG$1,0))*IF(OR(C852="L",C852="S",C852="I"),-1,1)</f>
        <v>0</v>
      </c>
      <c r="AY852" s="853" t="s">
        <v>772</v>
      </c>
      <c r="AZ852" s="853" t="str">
        <f>+VLOOKUP($AJ852,Data_Validation!$A:$E,5,0)</f>
        <v>#N/A</v>
      </c>
    </row>
    <row r="853" ht="15.0" customHeight="1">
      <c r="A853" s="849" t="s">
        <v>1239</v>
      </c>
      <c r="B853" s="849">
        <v>2026.0</v>
      </c>
      <c r="C853" s="849" t="s">
        <v>2908</v>
      </c>
      <c r="D853" s="849" t="s">
        <v>2909</v>
      </c>
      <c r="E853" s="849" t="s">
        <v>2072</v>
      </c>
      <c r="F853" s="849" t="s">
        <v>2855</v>
      </c>
      <c r="G853" s="849">
        <v>0.0</v>
      </c>
      <c r="H853" s="849">
        <v>0.0</v>
      </c>
      <c r="I853" s="849">
        <v>0.0</v>
      </c>
      <c r="J853" s="849">
        <v>0.0</v>
      </c>
      <c r="K853" s="849">
        <v>0.0</v>
      </c>
      <c r="L853" s="849">
        <v>0.0</v>
      </c>
      <c r="M853" s="849">
        <v>0.0</v>
      </c>
      <c r="N853" s="849">
        <v>0.0</v>
      </c>
      <c r="O853" s="849">
        <v>0.0</v>
      </c>
      <c r="P853" s="849">
        <v>0.0</v>
      </c>
      <c r="Q853" s="849">
        <v>0.0</v>
      </c>
      <c r="R853" s="849">
        <v>0.0</v>
      </c>
      <c r="S853" s="849">
        <v>0.0</v>
      </c>
      <c r="T853" s="849">
        <v>0.0</v>
      </c>
      <c r="U853" s="849">
        <v>0.0</v>
      </c>
      <c r="V853" s="849">
        <v>0.0</v>
      </c>
      <c r="W853" s="849">
        <v>0.0</v>
      </c>
      <c r="X853" s="849">
        <v>0.0</v>
      </c>
      <c r="Y853" s="849">
        <v>0.0</v>
      </c>
      <c r="Z853" s="849">
        <v>0.0</v>
      </c>
      <c r="AA853" s="849">
        <v>0.0</v>
      </c>
      <c r="AB853" s="849">
        <v>0.0</v>
      </c>
      <c r="AC853" s="849">
        <v>0.0</v>
      </c>
      <c r="AD853" s="849">
        <v>0.0</v>
      </c>
      <c r="AE853" s="849">
        <v>0.0</v>
      </c>
      <c r="AF853" s="849">
        <v>0.0</v>
      </c>
      <c r="AG853" s="849">
        <v>0.0</v>
      </c>
      <c r="AH853" s="849">
        <v>0.0</v>
      </c>
      <c r="AI853" s="849">
        <v>0.0</v>
      </c>
      <c r="AJ853" s="794" t="str">
        <f t="shared" ref="AJ853:AK853" si="1703">C853</f>
        <v>G61000</v>
      </c>
      <c r="AK853" s="794" t="str">
        <f t="shared" si="1703"/>
        <v>COUT - CAMARO</v>
      </c>
      <c r="AL853" s="794">
        <f t="array" ref="AL853">IFERROR(INDEX(G853:R853,1,MATCH(Parametres!$B$3,G$1:R$1,0)-1)*IF(OR(F853="L",F853="S",F853="I"),-1,1),"")</f>
        <v>0</v>
      </c>
      <c r="AM853" s="794">
        <f t="shared" si="4"/>
        <v>0</v>
      </c>
      <c r="AN853" s="794">
        <f t="array" ref="AN853">INDEX(G853:R853,1,MATCH(Parametres!$B$3,G$1:R$1,0))*IF(OR(F853="L",F853="S",F853="I"),-1,1)</f>
        <v>0</v>
      </c>
      <c r="AO853" s="853" t="str">
        <f>+VLOOKUP($AJ853,Data_Validation!$A:$D,1,0)</f>
        <v>G61000</v>
      </c>
      <c r="AP853" s="853" t="str">
        <f>+VLOOKUP($AJ853,Data_Validation!$A:$D,3,0)</f>
        <v>Véhicules neufs</v>
      </c>
      <c r="AQ853" s="853" t="str">
        <f>+VLOOKUP($AJ853,Data_Validation!$A:$D,4,0)</f>
        <v>Autos détail</v>
      </c>
      <c r="AR853" s="853" t="s">
        <v>728</v>
      </c>
      <c r="AS853" s="853" t="str">
        <f>+VLOOKUP($AJ853,Data_Validation!$A:$E,5,0)</f>
        <v/>
      </c>
      <c r="AT853" s="794" t="str">
        <f t="shared" ref="AT853:AU853" si="1704">C853</f>
        <v>G61000</v>
      </c>
      <c r="AU853" s="854" t="str">
        <f t="shared" si="1704"/>
        <v>COUT - CAMARO</v>
      </c>
      <c r="AV853" s="794">
        <f t="array" ref="AV853">IFERROR(INDEX(V853:AG853,1,MATCH(Parametres!$B$3,V$1:AG$1,0)-1)*IF(OR(C853="L",C853="S",C853="I"),-1,1),"")</f>
        <v>0</v>
      </c>
      <c r="AW853" s="794">
        <f t="shared" si="6"/>
        <v>0</v>
      </c>
      <c r="AX853" s="794">
        <f t="array" ref="AX853">INDEX(V853:AG853,1,MATCH(Parametres!$B$3,V$1:AG$1,0))*IF(OR(C853="L",C853="S",C853="I"),-1,1)</f>
        <v>0</v>
      </c>
      <c r="AY853" s="853" t="s">
        <v>772</v>
      </c>
      <c r="AZ853" s="853" t="str">
        <f>+VLOOKUP($AJ853,Data_Validation!$A:$E,5,0)</f>
        <v/>
      </c>
    </row>
    <row r="854" ht="15.0" customHeight="1">
      <c r="A854" s="849" t="s">
        <v>1239</v>
      </c>
      <c r="B854" s="849">
        <v>2026.0</v>
      </c>
      <c r="C854" s="849" t="s">
        <v>2910</v>
      </c>
      <c r="D854" s="849" t="s">
        <v>2911</v>
      </c>
      <c r="E854" s="849" t="s">
        <v>2072</v>
      </c>
      <c r="F854" s="849" t="s">
        <v>2855</v>
      </c>
      <c r="G854" s="849">
        <v>0.0</v>
      </c>
      <c r="H854" s="849">
        <v>0.0</v>
      </c>
      <c r="I854" s="849">
        <v>0.0</v>
      </c>
      <c r="J854" s="849">
        <v>0.0</v>
      </c>
      <c r="K854" s="849">
        <v>0.0</v>
      </c>
      <c r="L854" s="849">
        <v>0.0</v>
      </c>
      <c r="M854" s="849">
        <v>0.0</v>
      </c>
      <c r="N854" s="849">
        <v>0.0</v>
      </c>
      <c r="O854" s="849">
        <v>0.0</v>
      </c>
      <c r="P854" s="849">
        <v>0.0</v>
      </c>
      <c r="Q854" s="849">
        <v>0.0</v>
      </c>
      <c r="R854" s="849">
        <v>0.0</v>
      </c>
      <c r="S854" s="849">
        <v>0.0</v>
      </c>
      <c r="T854" s="849">
        <v>0.0</v>
      </c>
      <c r="U854" s="849">
        <v>0.0</v>
      </c>
      <c r="V854" s="849">
        <v>0.0</v>
      </c>
      <c r="W854" s="849">
        <v>0.0</v>
      </c>
      <c r="X854" s="849">
        <v>0.0</v>
      </c>
      <c r="Y854" s="849">
        <v>0.0</v>
      </c>
      <c r="Z854" s="849">
        <v>0.0</v>
      </c>
      <c r="AA854" s="849">
        <v>0.0</v>
      </c>
      <c r="AB854" s="849">
        <v>0.0</v>
      </c>
      <c r="AC854" s="849">
        <v>0.0</v>
      </c>
      <c r="AD854" s="849">
        <v>0.0</v>
      </c>
      <c r="AE854" s="849">
        <v>0.0</v>
      </c>
      <c r="AF854" s="849">
        <v>0.0</v>
      </c>
      <c r="AG854" s="849">
        <v>0.0</v>
      </c>
      <c r="AH854" s="849">
        <v>0.0</v>
      </c>
      <c r="AI854" s="849">
        <v>0.0</v>
      </c>
      <c r="AJ854" s="794" t="str">
        <f t="shared" ref="AJ854:AK854" si="1705">C854</f>
        <v>G61100</v>
      </c>
      <c r="AK854" s="794" t="str">
        <f t="shared" si="1705"/>
        <v>COUTANT CRUZE</v>
      </c>
      <c r="AL854" s="794">
        <f t="array" ref="AL854">IFERROR(INDEX(G854:R854,1,MATCH(Parametres!$B$3,G$1:R$1,0)-1)*IF(OR(F854="L",F854="S",F854="I"),-1,1),"")</f>
        <v>0</v>
      </c>
      <c r="AM854" s="794">
        <f t="shared" si="4"/>
        <v>0</v>
      </c>
      <c r="AN854" s="794">
        <f t="array" ref="AN854">INDEX(G854:R854,1,MATCH(Parametres!$B$3,G$1:R$1,0))*IF(OR(F854="L",F854="S",F854="I"),-1,1)</f>
        <v>0</v>
      </c>
      <c r="AO854" s="853" t="str">
        <f>+VLOOKUP($AJ854,Data_Validation!$A:$D,1,0)</f>
        <v>G61100</v>
      </c>
      <c r="AP854" s="853" t="str">
        <f>+VLOOKUP($AJ854,Data_Validation!$A:$D,3,0)</f>
        <v>Véhicules neufs</v>
      </c>
      <c r="AQ854" s="853" t="str">
        <f>+VLOOKUP($AJ854,Data_Validation!$A:$D,4,0)</f>
        <v>Autos détail</v>
      </c>
      <c r="AR854" s="853" t="s">
        <v>728</v>
      </c>
      <c r="AS854" s="853" t="str">
        <f>+VLOOKUP($AJ854,Data_Validation!$A:$E,5,0)</f>
        <v/>
      </c>
      <c r="AT854" s="794" t="str">
        <f t="shared" ref="AT854:AU854" si="1706">C854</f>
        <v>G61100</v>
      </c>
      <c r="AU854" s="854" t="str">
        <f t="shared" si="1706"/>
        <v>COUTANT CRUZE</v>
      </c>
      <c r="AV854" s="794">
        <f t="array" ref="AV854">IFERROR(INDEX(V854:AG854,1,MATCH(Parametres!$B$3,V$1:AG$1,0)-1)*IF(OR(C854="L",C854="S",C854="I"),-1,1),"")</f>
        <v>0</v>
      </c>
      <c r="AW854" s="794">
        <f t="shared" si="6"/>
        <v>0</v>
      </c>
      <c r="AX854" s="794">
        <f t="array" ref="AX854">INDEX(V854:AG854,1,MATCH(Parametres!$B$3,V$1:AG$1,0))*IF(OR(C854="L",C854="S",C854="I"),-1,1)</f>
        <v>0</v>
      </c>
      <c r="AY854" s="853" t="s">
        <v>772</v>
      </c>
      <c r="AZ854" s="853" t="str">
        <f>+VLOOKUP($AJ854,Data_Validation!$A:$E,5,0)</f>
        <v/>
      </c>
    </row>
    <row r="855" ht="15.0" customHeight="1">
      <c r="A855" s="849" t="s">
        <v>1239</v>
      </c>
      <c r="B855" s="849">
        <v>2026.0</v>
      </c>
      <c r="C855" s="849" t="s">
        <v>2912</v>
      </c>
      <c r="D855" s="849" t="s">
        <v>2913</v>
      </c>
      <c r="E855" s="849" t="s">
        <v>768</v>
      </c>
      <c r="F855" s="849" t="s">
        <v>2855</v>
      </c>
      <c r="G855" s="849">
        <v>0.0</v>
      </c>
      <c r="H855" s="849">
        <v>0.0</v>
      </c>
      <c r="I855" s="849">
        <v>0.0</v>
      </c>
      <c r="J855" s="849">
        <v>0.0</v>
      </c>
      <c r="K855" s="849">
        <v>0.0</v>
      </c>
      <c r="L855" s="849">
        <v>0.0</v>
      </c>
      <c r="M855" s="849">
        <v>0.0</v>
      </c>
      <c r="N855" s="849">
        <v>0.0</v>
      </c>
      <c r="O855" s="849">
        <v>0.0</v>
      </c>
      <c r="P855" s="849">
        <v>0.0</v>
      </c>
      <c r="Q855" s="849">
        <v>0.0</v>
      </c>
      <c r="R855" s="849">
        <v>0.0</v>
      </c>
      <c r="S855" s="849">
        <v>0.0</v>
      </c>
      <c r="T855" s="849">
        <v>0.0</v>
      </c>
      <c r="U855" s="849">
        <v>0.0</v>
      </c>
      <c r="V855" s="849">
        <v>0.0</v>
      </c>
      <c r="W855" s="849">
        <v>0.0</v>
      </c>
      <c r="X855" s="849">
        <v>0.0</v>
      </c>
      <c r="Y855" s="849">
        <v>0.0</v>
      </c>
      <c r="Z855" s="849">
        <v>0.0</v>
      </c>
      <c r="AA855" s="849">
        <v>0.0</v>
      </c>
      <c r="AB855" s="849">
        <v>0.0</v>
      </c>
      <c r="AC855" s="849">
        <v>0.0</v>
      </c>
      <c r="AD855" s="849">
        <v>0.0</v>
      </c>
      <c r="AE855" s="849">
        <v>0.0</v>
      </c>
      <c r="AF855" s="849">
        <v>0.0</v>
      </c>
      <c r="AG855" s="849">
        <v>0.0</v>
      </c>
      <c r="AH855" s="849">
        <v>0.0</v>
      </c>
      <c r="AI855" s="849">
        <v>0.0</v>
      </c>
      <c r="AJ855" s="794" t="str">
        <f t="shared" ref="AJ855:AK855" si="1707">C855</f>
        <v>G61600</v>
      </c>
      <c r="AK855" s="794" t="str">
        <f t="shared" si="1707"/>
        <v>INDEMNITE MARKETING AUTOS</v>
      </c>
      <c r="AL855" s="794">
        <f t="array" ref="AL855">IFERROR(INDEX(G855:R855,1,MATCH(Parametres!$B$3,G$1:R$1,0)-1)*IF(OR(F855="L",F855="S",F855="I"),-1,1),"")</f>
        <v>0</v>
      </c>
      <c r="AM855" s="794">
        <f t="shared" si="4"/>
        <v>0</v>
      </c>
      <c r="AN855" s="794">
        <f t="array" ref="AN855">INDEX(G855:R855,1,MATCH(Parametres!$B$3,G$1:R$1,0))*IF(OR(F855="L",F855="S",F855="I"),-1,1)</f>
        <v>0</v>
      </c>
      <c r="AO855" s="853" t="str">
        <f>+VLOOKUP($AJ855,Data_Validation!$A:$D,1,0)</f>
        <v>G61600</v>
      </c>
      <c r="AP855" s="853" t="str">
        <f>+VLOOKUP($AJ855,Data_Validation!$A:$D,3,0)</f>
        <v/>
      </c>
      <c r="AQ855" s="853" t="str">
        <f>+VLOOKUP($AJ855,Data_Validation!$A:$D,4,0)</f>
        <v/>
      </c>
      <c r="AR855" s="853" t="s">
        <v>728</v>
      </c>
      <c r="AS855" s="853" t="str">
        <f>+VLOOKUP($AJ855,Data_Validation!$A:$E,5,0)</f>
        <v/>
      </c>
      <c r="AT855" s="794" t="str">
        <f t="shared" ref="AT855:AU855" si="1708">C855</f>
        <v>G61600</v>
      </c>
      <c r="AU855" s="854" t="str">
        <f t="shared" si="1708"/>
        <v>INDEMNITE MARKETING AUTOS</v>
      </c>
      <c r="AV855" s="794">
        <f t="array" ref="AV855">IFERROR(INDEX(V855:AG855,1,MATCH(Parametres!$B$3,V$1:AG$1,0)-1)*IF(OR(C855="L",C855="S",C855="I"),-1,1),"")</f>
        <v>0</v>
      </c>
      <c r="AW855" s="794">
        <f t="shared" si="6"/>
        <v>0</v>
      </c>
      <c r="AX855" s="794">
        <f t="array" ref="AX855">INDEX(V855:AG855,1,MATCH(Parametres!$B$3,V$1:AG$1,0))*IF(OR(C855="L",C855="S",C855="I"),-1,1)</f>
        <v>0</v>
      </c>
      <c r="AY855" s="853" t="s">
        <v>772</v>
      </c>
      <c r="AZ855" s="853" t="str">
        <f>+VLOOKUP($AJ855,Data_Validation!$A:$E,5,0)</f>
        <v/>
      </c>
    </row>
    <row r="856" ht="15.0" customHeight="1">
      <c r="A856" s="849" t="s">
        <v>1239</v>
      </c>
      <c r="B856" s="849">
        <v>2026.0</v>
      </c>
      <c r="C856" s="849" t="s">
        <v>2914</v>
      </c>
      <c r="D856" s="849" t="s">
        <v>2915</v>
      </c>
      <c r="E856" s="849" t="s">
        <v>2072</v>
      </c>
      <c r="F856" s="849" t="s">
        <v>2855</v>
      </c>
      <c r="G856" s="849">
        <v>0.0</v>
      </c>
      <c r="H856" s="849">
        <v>0.0</v>
      </c>
      <c r="I856" s="849">
        <v>0.0</v>
      </c>
      <c r="J856" s="849">
        <v>0.0</v>
      </c>
      <c r="K856" s="849">
        <v>0.0</v>
      </c>
      <c r="L856" s="849">
        <v>0.0</v>
      </c>
      <c r="M856" s="849">
        <v>0.0</v>
      </c>
      <c r="N856" s="849">
        <v>0.0</v>
      </c>
      <c r="O856" s="849">
        <v>0.0</v>
      </c>
      <c r="P856" s="849">
        <v>0.0</v>
      </c>
      <c r="Q856" s="849">
        <v>0.0</v>
      </c>
      <c r="R856" s="849">
        <v>0.0</v>
      </c>
      <c r="S856" s="849">
        <v>0.0</v>
      </c>
      <c r="T856" s="849">
        <v>0.0</v>
      </c>
      <c r="U856" s="849">
        <v>0.0</v>
      </c>
      <c r="V856" s="849">
        <v>0.0</v>
      </c>
      <c r="W856" s="849">
        <v>0.0</v>
      </c>
      <c r="X856" s="849">
        <v>0.0</v>
      </c>
      <c r="Y856" s="849">
        <v>0.0</v>
      </c>
      <c r="Z856" s="849">
        <v>0.0</v>
      </c>
      <c r="AA856" s="849">
        <v>0.0</v>
      </c>
      <c r="AB856" s="849">
        <v>0.0</v>
      </c>
      <c r="AC856" s="849">
        <v>0.0</v>
      </c>
      <c r="AD856" s="849">
        <v>0.0</v>
      </c>
      <c r="AE856" s="849">
        <v>0.0</v>
      </c>
      <c r="AF856" s="849">
        <v>0.0</v>
      </c>
      <c r="AG856" s="849">
        <v>0.0</v>
      </c>
      <c r="AH856" s="849">
        <v>0.0</v>
      </c>
      <c r="AI856" s="849">
        <v>0.0</v>
      </c>
      <c r="AJ856" s="794" t="str">
        <f t="shared" ref="AJ856:AK856" si="1709">C856</f>
        <v>G61700</v>
      </c>
      <c r="AK856" s="794" t="str">
        <f t="shared" si="1709"/>
        <v>COUT-AUTRES CHEV AUTOS</v>
      </c>
      <c r="AL856" s="794">
        <f t="array" ref="AL856">IFERROR(INDEX(G856:R856,1,MATCH(Parametres!$B$3,G$1:R$1,0)-1)*IF(OR(F856="L",F856="S",F856="I"),-1,1),"")</f>
        <v>0</v>
      </c>
      <c r="AM856" s="794">
        <f t="shared" si="4"/>
        <v>0</v>
      </c>
      <c r="AN856" s="794">
        <f t="array" ref="AN856">INDEX(G856:R856,1,MATCH(Parametres!$B$3,G$1:R$1,0))*IF(OR(F856="L",F856="S",F856="I"),-1,1)</f>
        <v>0</v>
      </c>
      <c r="AO856" s="853" t="str">
        <f>+VLOOKUP($AJ856,Data_Validation!$A:$D,1,0)</f>
        <v>#N/A</v>
      </c>
      <c r="AP856" s="853" t="str">
        <f>+VLOOKUP($AJ856,Data_Validation!$A:$D,3,0)</f>
        <v>#N/A</v>
      </c>
      <c r="AQ856" s="853" t="str">
        <f>+VLOOKUP($AJ856,Data_Validation!$A:$D,4,0)</f>
        <v>#N/A</v>
      </c>
      <c r="AR856" s="853" t="s">
        <v>728</v>
      </c>
      <c r="AS856" s="853" t="str">
        <f>+VLOOKUP($AJ856,Data_Validation!$A:$E,5,0)</f>
        <v>#N/A</v>
      </c>
      <c r="AT856" s="794" t="str">
        <f t="shared" ref="AT856:AU856" si="1710">C856</f>
        <v>G61700</v>
      </c>
      <c r="AU856" s="854" t="str">
        <f t="shared" si="1710"/>
        <v>COUT-AUTRES CHEV AUTOS</v>
      </c>
      <c r="AV856" s="794">
        <f t="array" ref="AV856">IFERROR(INDEX(V856:AG856,1,MATCH(Parametres!$B$3,V$1:AG$1,0)-1)*IF(OR(C856="L",C856="S",C856="I"),-1,1),"")</f>
        <v>0</v>
      </c>
      <c r="AW856" s="794">
        <f t="shared" si="6"/>
        <v>0</v>
      </c>
      <c r="AX856" s="794">
        <f t="array" ref="AX856">INDEX(V856:AG856,1,MATCH(Parametres!$B$3,V$1:AG$1,0))*IF(OR(C856="L",C856="S",C856="I"),-1,1)</f>
        <v>0</v>
      </c>
      <c r="AY856" s="853" t="s">
        <v>772</v>
      </c>
      <c r="AZ856" s="853" t="str">
        <f>+VLOOKUP($AJ856,Data_Validation!$A:$E,5,0)</f>
        <v>#N/A</v>
      </c>
    </row>
    <row r="857" ht="15.0" customHeight="1">
      <c r="A857" s="849" t="s">
        <v>1239</v>
      </c>
      <c r="B857" s="849">
        <v>2026.0</v>
      </c>
      <c r="C857" s="849" t="s">
        <v>2916</v>
      </c>
      <c r="D857" s="849" t="s">
        <v>2917</v>
      </c>
      <c r="E857" s="849" t="s">
        <v>2072</v>
      </c>
      <c r="F857" s="849" t="s">
        <v>2855</v>
      </c>
      <c r="G857" s="849">
        <v>0.0</v>
      </c>
      <c r="H857" s="849">
        <v>0.0</v>
      </c>
      <c r="I857" s="849">
        <v>0.0</v>
      </c>
      <c r="J857" s="849">
        <v>0.0</v>
      </c>
      <c r="K857" s="849">
        <v>0.0</v>
      </c>
      <c r="L857" s="849">
        <v>0.0</v>
      </c>
      <c r="M857" s="849">
        <v>0.0</v>
      </c>
      <c r="N857" s="849">
        <v>0.0</v>
      </c>
      <c r="O857" s="849">
        <v>0.0</v>
      </c>
      <c r="P857" s="849">
        <v>0.0</v>
      </c>
      <c r="Q857" s="849">
        <v>0.0</v>
      </c>
      <c r="R857" s="849">
        <v>0.0</v>
      </c>
      <c r="S857" s="849">
        <v>0.0</v>
      </c>
      <c r="T857" s="849">
        <v>0.0</v>
      </c>
      <c r="U857" s="849">
        <v>0.0</v>
      </c>
      <c r="V857" s="849">
        <v>0.0</v>
      </c>
      <c r="W857" s="849">
        <v>0.0</v>
      </c>
      <c r="X857" s="849">
        <v>0.0</v>
      </c>
      <c r="Y857" s="849">
        <v>0.0</v>
      </c>
      <c r="Z857" s="849">
        <v>0.0</v>
      </c>
      <c r="AA857" s="849">
        <v>0.0</v>
      </c>
      <c r="AB857" s="849">
        <v>0.0</v>
      </c>
      <c r="AC857" s="849">
        <v>0.0</v>
      </c>
      <c r="AD857" s="849">
        <v>0.0</v>
      </c>
      <c r="AE857" s="849">
        <v>0.0</v>
      </c>
      <c r="AF857" s="849">
        <v>0.0</v>
      </c>
      <c r="AG857" s="849">
        <v>0.0</v>
      </c>
      <c r="AH857" s="849">
        <v>0.0</v>
      </c>
      <c r="AI857" s="849">
        <v>0.0</v>
      </c>
      <c r="AJ857" s="794" t="str">
        <f t="shared" ref="AJ857:AK857" si="1711">C857</f>
        <v>G61720</v>
      </c>
      <c r="AK857" s="794" t="str">
        <f t="shared" si="1711"/>
        <v>COUT-AUTRE CHEV.AUTOS-LOC</v>
      </c>
      <c r="AL857" s="794">
        <f t="array" ref="AL857">IFERROR(INDEX(G857:R857,1,MATCH(Parametres!$B$3,G$1:R$1,0)-1)*IF(OR(F857="L",F857="S",F857="I"),-1,1),"")</f>
        <v>0</v>
      </c>
      <c r="AM857" s="794">
        <f t="shared" si="4"/>
        <v>0</v>
      </c>
      <c r="AN857" s="794">
        <f t="array" ref="AN857">INDEX(G857:R857,1,MATCH(Parametres!$B$3,G$1:R$1,0))*IF(OR(F857="L",F857="S",F857="I"),-1,1)</f>
        <v>0</v>
      </c>
      <c r="AO857" s="853" t="str">
        <f>+VLOOKUP($AJ857,Data_Validation!$A:$D,1,0)</f>
        <v>#N/A</v>
      </c>
      <c r="AP857" s="853" t="str">
        <f>+VLOOKUP($AJ857,Data_Validation!$A:$D,3,0)</f>
        <v>#N/A</v>
      </c>
      <c r="AQ857" s="853" t="str">
        <f>+VLOOKUP($AJ857,Data_Validation!$A:$D,4,0)</f>
        <v>#N/A</v>
      </c>
      <c r="AR857" s="853" t="s">
        <v>728</v>
      </c>
      <c r="AS857" s="853" t="str">
        <f>+VLOOKUP($AJ857,Data_Validation!$A:$E,5,0)</f>
        <v>#N/A</v>
      </c>
      <c r="AT857" s="794" t="str">
        <f t="shared" ref="AT857:AU857" si="1712">C857</f>
        <v>G61720</v>
      </c>
      <c r="AU857" s="854" t="str">
        <f t="shared" si="1712"/>
        <v>COUT-AUTRE CHEV.AUTOS-LOC</v>
      </c>
      <c r="AV857" s="794">
        <f t="array" ref="AV857">IFERROR(INDEX(V857:AG857,1,MATCH(Parametres!$B$3,V$1:AG$1,0)-1)*IF(OR(C857="L",C857="S",C857="I"),-1,1),"")</f>
        <v>0</v>
      </c>
      <c r="AW857" s="794">
        <f t="shared" si="6"/>
        <v>0</v>
      </c>
      <c r="AX857" s="794">
        <f t="array" ref="AX857">INDEX(V857:AG857,1,MATCH(Parametres!$B$3,V$1:AG$1,0))*IF(OR(C857="L",C857="S",C857="I"),-1,1)</f>
        <v>0</v>
      </c>
      <c r="AY857" s="853" t="s">
        <v>772</v>
      </c>
      <c r="AZ857" s="853" t="str">
        <f>+VLOOKUP($AJ857,Data_Validation!$A:$E,5,0)</f>
        <v>#N/A</v>
      </c>
    </row>
    <row r="858" ht="15.0" customHeight="1">
      <c r="A858" s="849" t="s">
        <v>1239</v>
      </c>
      <c r="B858" s="849">
        <v>2026.0</v>
      </c>
      <c r="C858" s="849" t="s">
        <v>2918</v>
      </c>
      <c r="D858" s="849" t="s">
        <v>2919</v>
      </c>
      <c r="E858" s="849" t="s">
        <v>2072</v>
      </c>
      <c r="F858" s="849" t="s">
        <v>2855</v>
      </c>
      <c r="G858" s="849">
        <v>0.0</v>
      </c>
      <c r="H858" s="849">
        <v>0.0</v>
      </c>
      <c r="I858" s="849">
        <v>0.0</v>
      </c>
      <c r="J858" s="849">
        <v>0.0</v>
      </c>
      <c r="K858" s="849">
        <v>0.0</v>
      </c>
      <c r="L858" s="849">
        <v>0.0</v>
      </c>
      <c r="M858" s="849">
        <v>0.0</v>
      </c>
      <c r="N858" s="849">
        <v>0.0</v>
      </c>
      <c r="O858" s="849">
        <v>0.0</v>
      </c>
      <c r="P858" s="849">
        <v>0.0</v>
      </c>
      <c r="Q858" s="849">
        <v>0.0</v>
      </c>
      <c r="R858" s="849">
        <v>0.0</v>
      </c>
      <c r="S858" s="849">
        <v>0.0</v>
      </c>
      <c r="T858" s="849">
        <v>0.0</v>
      </c>
      <c r="U858" s="849">
        <v>0.0</v>
      </c>
      <c r="V858" s="849">
        <v>0.0</v>
      </c>
      <c r="W858" s="849">
        <v>0.0</v>
      </c>
      <c r="X858" s="849">
        <v>0.0</v>
      </c>
      <c r="Y858" s="849">
        <v>0.0</v>
      </c>
      <c r="Z858" s="849">
        <v>0.0</v>
      </c>
      <c r="AA858" s="849">
        <v>0.0</v>
      </c>
      <c r="AB858" s="849">
        <v>0.0</v>
      </c>
      <c r="AC858" s="849">
        <v>0.0</v>
      </c>
      <c r="AD858" s="849">
        <v>0.0</v>
      </c>
      <c r="AE858" s="849">
        <v>0.0</v>
      </c>
      <c r="AF858" s="849">
        <v>0.0</v>
      </c>
      <c r="AG858" s="849">
        <v>0.0</v>
      </c>
      <c r="AH858" s="849">
        <v>0.0</v>
      </c>
      <c r="AI858" s="849">
        <v>0.0</v>
      </c>
      <c r="AJ858" s="794" t="str">
        <f t="shared" ref="AJ858:AK858" si="1713">C858</f>
        <v>G61799</v>
      </c>
      <c r="AK858" s="794" t="str">
        <f t="shared" si="1713"/>
        <v>COUT-ECHANGE CONCESSION.</v>
      </c>
      <c r="AL858" s="794">
        <f t="array" ref="AL858">IFERROR(INDEX(G858:R858,1,MATCH(Parametres!$B$3,G$1:R$1,0)-1)*IF(OR(F858="L",F858="S",F858="I"),-1,1),"")</f>
        <v>0</v>
      </c>
      <c r="AM858" s="794">
        <f t="shared" si="4"/>
        <v>0</v>
      </c>
      <c r="AN858" s="794">
        <f t="array" ref="AN858">INDEX(G858:R858,1,MATCH(Parametres!$B$3,G$1:R$1,0))*IF(OR(F858="L",F858="S",F858="I"),-1,1)</f>
        <v>0</v>
      </c>
      <c r="AO858" s="853" t="str">
        <f>+VLOOKUP($AJ858,Data_Validation!$A:$D,1,0)</f>
        <v>G61799</v>
      </c>
      <c r="AP858" s="853" t="str">
        <f>+VLOOKUP($AJ858,Data_Validation!$A:$D,3,0)</f>
        <v/>
      </c>
      <c r="AQ858" s="853" t="str">
        <f>+VLOOKUP($AJ858,Data_Validation!$A:$D,4,0)</f>
        <v/>
      </c>
      <c r="AR858" s="853" t="s">
        <v>728</v>
      </c>
      <c r="AS858" s="853" t="str">
        <f>+VLOOKUP($AJ858,Data_Validation!$A:$E,5,0)</f>
        <v/>
      </c>
      <c r="AT858" s="794" t="str">
        <f t="shared" ref="AT858:AU858" si="1714">C858</f>
        <v>G61799</v>
      </c>
      <c r="AU858" s="854" t="str">
        <f t="shared" si="1714"/>
        <v>COUT-ECHANGE CONCESSION.</v>
      </c>
      <c r="AV858" s="794">
        <f t="array" ref="AV858">IFERROR(INDEX(V858:AG858,1,MATCH(Parametres!$B$3,V$1:AG$1,0)-1)*IF(OR(C858="L",C858="S",C858="I"),-1,1),"")</f>
        <v>0</v>
      </c>
      <c r="AW858" s="794">
        <f t="shared" si="6"/>
        <v>0</v>
      </c>
      <c r="AX858" s="794">
        <f t="array" ref="AX858">INDEX(V858:AG858,1,MATCH(Parametres!$B$3,V$1:AG$1,0))*IF(OR(C858="L",C858="S",C858="I"),-1,1)</f>
        <v>0</v>
      </c>
      <c r="AY858" s="853" t="s">
        <v>772</v>
      </c>
      <c r="AZ858" s="853" t="str">
        <f>+VLOOKUP($AJ858,Data_Validation!$A:$E,5,0)</f>
        <v/>
      </c>
    </row>
    <row r="859" ht="15.0" customHeight="1">
      <c r="A859" s="849" t="s">
        <v>1239</v>
      </c>
      <c r="B859" s="849">
        <v>2026.0</v>
      </c>
      <c r="C859" s="849" t="s">
        <v>2920</v>
      </c>
      <c r="D859" s="849" t="s">
        <v>2921</v>
      </c>
      <c r="E859" s="849" t="s">
        <v>2072</v>
      </c>
      <c r="F859" s="849" t="s">
        <v>2855</v>
      </c>
      <c r="G859" s="849">
        <v>0.0</v>
      </c>
      <c r="H859" s="849">
        <v>0.0</v>
      </c>
      <c r="I859" s="849">
        <v>0.0</v>
      </c>
      <c r="J859" s="849">
        <v>0.0</v>
      </c>
      <c r="K859" s="849">
        <v>0.0</v>
      </c>
      <c r="L859" s="849">
        <v>0.0</v>
      </c>
      <c r="M859" s="849">
        <v>0.0</v>
      </c>
      <c r="N859" s="849">
        <v>0.0</v>
      </c>
      <c r="O859" s="849">
        <v>0.0</v>
      </c>
      <c r="P859" s="849">
        <v>0.0</v>
      </c>
      <c r="Q859" s="849">
        <v>0.0</v>
      </c>
      <c r="R859" s="849">
        <v>0.0</v>
      </c>
      <c r="S859" s="849">
        <v>0.0</v>
      </c>
      <c r="T859" s="849">
        <v>0.0</v>
      </c>
      <c r="U859" s="849">
        <v>0.0</v>
      </c>
      <c r="V859" s="849">
        <v>0.0</v>
      </c>
      <c r="W859" s="849">
        <v>0.0</v>
      </c>
      <c r="X859" s="849">
        <v>0.0</v>
      </c>
      <c r="Y859" s="849">
        <v>0.0</v>
      </c>
      <c r="Z859" s="849">
        <v>0.0</v>
      </c>
      <c r="AA859" s="849">
        <v>0.0</v>
      </c>
      <c r="AB859" s="849">
        <v>0.0</v>
      </c>
      <c r="AC859" s="849">
        <v>0.0</v>
      </c>
      <c r="AD859" s="849">
        <v>0.0</v>
      </c>
      <c r="AE859" s="849">
        <v>0.0</v>
      </c>
      <c r="AF859" s="849">
        <v>0.0</v>
      </c>
      <c r="AG859" s="849">
        <v>0.0</v>
      </c>
      <c r="AH859" s="849">
        <v>0.0</v>
      </c>
      <c r="AI859" s="849">
        <v>0.0</v>
      </c>
      <c r="AJ859" s="794" t="str">
        <f t="shared" ref="AJ859:AK859" si="1715">C859</f>
        <v>G61800</v>
      </c>
      <c r="AK859" s="794" t="str">
        <f t="shared" si="1715"/>
        <v>COUTANT AUTRE CHEVROLET</v>
      </c>
      <c r="AL859" s="794">
        <f t="array" ref="AL859">IFERROR(INDEX(G859:R859,1,MATCH(Parametres!$B$3,G$1:R$1,0)-1)*IF(OR(F859="L",F859="S",F859="I"),-1,1),"")</f>
        <v>0</v>
      </c>
      <c r="AM859" s="794">
        <f t="shared" si="4"/>
        <v>0</v>
      </c>
      <c r="AN859" s="794">
        <f t="array" ref="AN859">INDEX(G859:R859,1,MATCH(Parametres!$B$3,G$1:R$1,0))*IF(OR(F859="L",F859="S",F859="I"),-1,1)</f>
        <v>0</v>
      </c>
      <c r="AO859" s="853" t="str">
        <f>+VLOOKUP($AJ859,Data_Validation!$A:$D,1,0)</f>
        <v>#N/A</v>
      </c>
      <c r="AP859" s="853" t="str">
        <f>+VLOOKUP($AJ859,Data_Validation!$A:$D,3,0)</f>
        <v>#N/A</v>
      </c>
      <c r="AQ859" s="853" t="str">
        <f>+VLOOKUP($AJ859,Data_Validation!$A:$D,4,0)</f>
        <v>#N/A</v>
      </c>
      <c r="AR859" s="853" t="s">
        <v>728</v>
      </c>
      <c r="AS859" s="853" t="str">
        <f>+VLOOKUP($AJ859,Data_Validation!$A:$E,5,0)</f>
        <v>#N/A</v>
      </c>
      <c r="AT859" s="794" t="str">
        <f t="shared" ref="AT859:AU859" si="1716">C859</f>
        <v>G61800</v>
      </c>
      <c r="AU859" s="854" t="str">
        <f t="shared" si="1716"/>
        <v>COUTANT AUTRE CHEVROLET</v>
      </c>
      <c r="AV859" s="794">
        <f t="array" ref="AV859">IFERROR(INDEX(V859:AG859,1,MATCH(Parametres!$B$3,V$1:AG$1,0)-1)*IF(OR(C859="L",C859="S",C859="I"),-1,1),"")</f>
        <v>0</v>
      </c>
      <c r="AW859" s="794">
        <f t="shared" si="6"/>
        <v>0</v>
      </c>
      <c r="AX859" s="794">
        <f t="array" ref="AX859">INDEX(V859:AG859,1,MATCH(Parametres!$B$3,V$1:AG$1,0))*IF(OR(C859="L",C859="S",C859="I"),-1,1)</f>
        <v>0</v>
      </c>
      <c r="AY859" s="853" t="s">
        <v>772</v>
      </c>
      <c r="AZ859" s="853" t="str">
        <f>+VLOOKUP($AJ859,Data_Validation!$A:$E,5,0)</f>
        <v>#N/A</v>
      </c>
    </row>
    <row r="860" ht="15.0" customHeight="1">
      <c r="A860" s="849" t="s">
        <v>1239</v>
      </c>
      <c r="B860" s="849">
        <v>2026.0</v>
      </c>
      <c r="C860" s="849" t="s">
        <v>2922</v>
      </c>
      <c r="D860" s="849" t="s">
        <v>2923</v>
      </c>
      <c r="E860" s="849" t="s">
        <v>2072</v>
      </c>
      <c r="F860" s="849" t="s">
        <v>2855</v>
      </c>
      <c r="G860" s="849">
        <v>0.0</v>
      </c>
      <c r="H860" s="849">
        <v>0.0</v>
      </c>
      <c r="I860" s="849">
        <v>0.0</v>
      </c>
      <c r="J860" s="849">
        <v>0.0</v>
      </c>
      <c r="K860" s="849">
        <v>0.0</v>
      </c>
      <c r="L860" s="849">
        <v>0.0</v>
      </c>
      <c r="M860" s="849">
        <v>0.0</v>
      </c>
      <c r="N860" s="849">
        <v>0.0</v>
      </c>
      <c r="O860" s="849">
        <v>0.0</v>
      </c>
      <c r="P860" s="849">
        <v>0.0</v>
      </c>
      <c r="Q860" s="849">
        <v>0.0</v>
      </c>
      <c r="R860" s="849">
        <v>0.0</v>
      </c>
      <c r="S860" s="849">
        <v>0.0</v>
      </c>
      <c r="T860" s="849">
        <v>0.0</v>
      </c>
      <c r="U860" s="849">
        <v>0.0</v>
      </c>
      <c r="V860" s="849">
        <v>0.0</v>
      </c>
      <c r="W860" s="849">
        <v>0.0</v>
      </c>
      <c r="X860" s="849">
        <v>0.0</v>
      </c>
      <c r="Y860" s="849">
        <v>0.0</v>
      </c>
      <c r="Z860" s="849">
        <v>0.0</v>
      </c>
      <c r="AA860" s="849">
        <v>0.0</v>
      </c>
      <c r="AB860" s="849">
        <v>0.0</v>
      </c>
      <c r="AC860" s="849">
        <v>0.0</v>
      </c>
      <c r="AD860" s="849">
        <v>0.0</v>
      </c>
      <c r="AE860" s="849">
        <v>0.0</v>
      </c>
      <c r="AF860" s="849">
        <v>0.0</v>
      </c>
      <c r="AG860" s="849">
        <v>0.0</v>
      </c>
      <c r="AH860" s="849">
        <v>0.0</v>
      </c>
      <c r="AI860" s="849">
        <v>0.0</v>
      </c>
      <c r="AJ860" s="794" t="str">
        <f t="shared" ref="AJ860:AK860" si="1717">C860</f>
        <v>G62000</v>
      </c>
      <c r="AK860" s="794" t="str">
        <f t="shared" si="1717"/>
        <v>COUT-PARC VOITURES</v>
      </c>
      <c r="AL860" s="794">
        <f t="array" ref="AL860">IFERROR(INDEX(G860:R860,1,MATCH(Parametres!$B$3,G$1:R$1,0)-1)*IF(OR(F860="L",F860="S",F860="I"),-1,1),"")</f>
        <v>0</v>
      </c>
      <c r="AM860" s="794">
        <f t="shared" si="4"/>
        <v>0</v>
      </c>
      <c r="AN860" s="794">
        <f t="array" ref="AN860">INDEX(G860:R860,1,MATCH(Parametres!$B$3,G$1:R$1,0))*IF(OR(F860="L",F860="S",F860="I"),-1,1)</f>
        <v>0</v>
      </c>
      <c r="AO860" s="853" t="str">
        <f>+VLOOKUP($AJ860,Data_Validation!$A:$D,1,0)</f>
        <v>#N/A</v>
      </c>
      <c r="AP860" s="853" t="str">
        <f>+VLOOKUP($AJ860,Data_Validation!$A:$D,3,0)</f>
        <v>#N/A</v>
      </c>
      <c r="AQ860" s="853" t="str">
        <f>+VLOOKUP($AJ860,Data_Validation!$A:$D,4,0)</f>
        <v>#N/A</v>
      </c>
      <c r="AR860" s="853" t="s">
        <v>728</v>
      </c>
      <c r="AS860" s="853" t="str">
        <f>+VLOOKUP($AJ860,Data_Validation!$A:$E,5,0)</f>
        <v>#N/A</v>
      </c>
      <c r="AT860" s="794" t="str">
        <f t="shared" ref="AT860:AU860" si="1718">C860</f>
        <v>G62000</v>
      </c>
      <c r="AU860" s="854" t="str">
        <f t="shared" si="1718"/>
        <v>COUT-PARC VOITURES</v>
      </c>
      <c r="AV860" s="794">
        <f t="array" ref="AV860">IFERROR(INDEX(V860:AG860,1,MATCH(Parametres!$B$3,V$1:AG$1,0)-1)*IF(OR(C860="L",C860="S",C860="I"),-1,1),"")</f>
        <v>0</v>
      </c>
      <c r="AW860" s="794">
        <f t="shared" si="6"/>
        <v>0</v>
      </c>
      <c r="AX860" s="794">
        <f t="array" ref="AX860">INDEX(V860:AG860,1,MATCH(Parametres!$B$3,V$1:AG$1,0))*IF(OR(C860="L",C860="S",C860="I"),-1,1)</f>
        <v>0</v>
      </c>
      <c r="AY860" s="853" t="s">
        <v>772</v>
      </c>
      <c r="AZ860" s="853" t="str">
        <f>+VLOOKUP($AJ860,Data_Validation!$A:$E,5,0)</f>
        <v>#N/A</v>
      </c>
    </row>
    <row r="861" ht="15.0" customHeight="1">
      <c r="A861" s="849" t="s">
        <v>1239</v>
      </c>
      <c r="B861" s="849">
        <v>2026.0</v>
      </c>
      <c r="C861" s="849" t="s">
        <v>2924</v>
      </c>
      <c r="D861" s="849" t="s">
        <v>2925</v>
      </c>
      <c r="E861" s="849" t="s">
        <v>2072</v>
      </c>
      <c r="F861" s="849" t="s">
        <v>2855</v>
      </c>
      <c r="G861" s="849">
        <v>0.0</v>
      </c>
      <c r="H861" s="849">
        <v>0.0</v>
      </c>
      <c r="I861" s="849">
        <v>0.0</v>
      </c>
      <c r="J861" s="849">
        <v>0.0</v>
      </c>
      <c r="K861" s="849">
        <v>0.0</v>
      </c>
      <c r="L861" s="849">
        <v>0.0</v>
      </c>
      <c r="M861" s="849">
        <v>0.0</v>
      </c>
      <c r="N861" s="849">
        <v>0.0</v>
      </c>
      <c r="O861" s="849">
        <v>0.0</v>
      </c>
      <c r="P861" s="849">
        <v>0.0</v>
      </c>
      <c r="Q861" s="849">
        <v>0.0</v>
      </c>
      <c r="R861" s="849">
        <v>0.0</v>
      </c>
      <c r="S861" s="849">
        <v>0.0</v>
      </c>
      <c r="T861" s="849">
        <v>0.0</v>
      </c>
      <c r="U861" s="849">
        <v>0.0</v>
      </c>
      <c r="V861" s="849">
        <v>0.0</v>
      </c>
      <c r="W861" s="849">
        <v>0.0</v>
      </c>
      <c r="X861" s="849">
        <v>0.0</v>
      </c>
      <c r="Y861" s="849">
        <v>0.0</v>
      </c>
      <c r="Z861" s="849">
        <v>0.0</v>
      </c>
      <c r="AA861" s="849">
        <v>0.0</v>
      </c>
      <c r="AB861" s="849">
        <v>0.0</v>
      </c>
      <c r="AC861" s="849">
        <v>0.0</v>
      </c>
      <c r="AD861" s="849">
        <v>0.0</v>
      </c>
      <c r="AE861" s="849">
        <v>0.0</v>
      </c>
      <c r="AF861" s="849">
        <v>0.0</v>
      </c>
      <c r="AG861" s="849">
        <v>0.0</v>
      </c>
      <c r="AH861" s="849">
        <v>0.0</v>
      </c>
      <c r="AI861" s="849">
        <v>0.0</v>
      </c>
      <c r="AJ861" s="794" t="str">
        <f t="shared" ref="AJ861:AK861" si="1719">C861</f>
        <v>G62100</v>
      </c>
      <c r="AK861" s="794" t="str">
        <f t="shared" si="1719"/>
        <v>COUT-VOITURES INTERNE</v>
      </c>
      <c r="AL861" s="794">
        <f t="array" ref="AL861">IFERROR(INDEX(G861:R861,1,MATCH(Parametres!$B$3,G$1:R$1,0)-1)*IF(OR(F861="L",F861="S",F861="I"),-1,1),"")</f>
        <v>0</v>
      </c>
      <c r="AM861" s="794">
        <f t="shared" si="4"/>
        <v>0</v>
      </c>
      <c r="AN861" s="794">
        <f t="array" ref="AN861">INDEX(G861:R861,1,MATCH(Parametres!$B$3,G$1:R$1,0))*IF(OR(F861="L",F861="S",F861="I"),-1,1)</f>
        <v>0</v>
      </c>
      <c r="AO861" s="853" t="str">
        <f>+VLOOKUP($AJ861,Data_Validation!$A:$D,1,0)</f>
        <v>#N/A</v>
      </c>
      <c r="AP861" s="853" t="str">
        <f>+VLOOKUP($AJ861,Data_Validation!$A:$D,3,0)</f>
        <v>#N/A</v>
      </c>
      <c r="AQ861" s="853" t="str">
        <f>+VLOOKUP($AJ861,Data_Validation!$A:$D,4,0)</f>
        <v>#N/A</v>
      </c>
      <c r="AR861" s="853" t="s">
        <v>728</v>
      </c>
      <c r="AS861" s="853" t="str">
        <f>+VLOOKUP($AJ861,Data_Validation!$A:$E,5,0)</f>
        <v>#N/A</v>
      </c>
      <c r="AT861" s="794" t="str">
        <f t="shared" ref="AT861:AU861" si="1720">C861</f>
        <v>G62100</v>
      </c>
      <c r="AU861" s="854" t="str">
        <f t="shared" si="1720"/>
        <v>COUT-VOITURES INTERNE</v>
      </c>
      <c r="AV861" s="794">
        <f t="array" ref="AV861">IFERROR(INDEX(V861:AG861,1,MATCH(Parametres!$B$3,V$1:AG$1,0)-1)*IF(OR(C861="L",C861="S",C861="I"),-1,1),"")</f>
        <v>0</v>
      </c>
      <c r="AW861" s="794">
        <f t="shared" si="6"/>
        <v>0</v>
      </c>
      <c r="AX861" s="794">
        <f t="array" ref="AX861">INDEX(V861:AG861,1,MATCH(Parametres!$B$3,V$1:AG$1,0))*IF(OR(C861="L",C861="S",C861="I"),-1,1)</f>
        <v>0</v>
      </c>
      <c r="AY861" s="853" t="s">
        <v>772</v>
      </c>
      <c r="AZ861" s="853" t="str">
        <f>+VLOOKUP($AJ861,Data_Validation!$A:$E,5,0)</f>
        <v>#N/A</v>
      </c>
    </row>
    <row r="862" ht="15.0" customHeight="1">
      <c r="A862" s="849" t="s">
        <v>1239</v>
      </c>
      <c r="B862" s="849">
        <v>2026.0</v>
      </c>
      <c r="C862" s="849" t="s">
        <v>2926</v>
      </c>
      <c r="D862" s="849" t="s">
        <v>2927</v>
      </c>
      <c r="E862" s="849" t="s">
        <v>2072</v>
      </c>
      <c r="F862" s="849" t="s">
        <v>2855</v>
      </c>
      <c r="G862" s="849">
        <v>0.0</v>
      </c>
      <c r="H862" s="849">
        <v>0.0</v>
      </c>
      <c r="I862" s="849">
        <v>0.0</v>
      </c>
      <c r="J862" s="849">
        <v>0.0</v>
      </c>
      <c r="K862" s="849">
        <v>0.0</v>
      </c>
      <c r="L862" s="849">
        <v>0.0</v>
      </c>
      <c r="M862" s="849">
        <v>0.0</v>
      </c>
      <c r="N862" s="849">
        <v>0.0</v>
      </c>
      <c r="O862" s="849">
        <v>0.0</v>
      </c>
      <c r="P862" s="849">
        <v>0.0</v>
      </c>
      <c r="Q862" s="849">
        <v>0.0</v>
      </c>
      <c r="R862" s="849">
        <v>0.0</v>
      </c>
      <c r="S862" s="849">
        <v>0.0</v>
      </c>
      <c r="T862" s="849">
        <v>0.0</v>
      </c>
      <c r="U862" s="849">
        <v>0.0</v>
      </c>
      <c r="V862" s="849">
        <v>0.0</v>
      </c>
      <c r="W862" s="849">
        <v>0.0</v>
      </c>
      <c r="X862" s="849">
        <v>0.0</v>
      </c>
      <c r="Y862" s="849">
        <v>0.0</v>
      </c>
      <c r="Z862" s="849">
        <v>0.0</v>
      </c>
      <c r="AA862" s="849">
        <v>0.0</v>
      </c>
      <c r="AB862" s="849">
        <v>0.0</v>
      </c>
      <c r="AC862" s="849">
        <v>0.0</v>
      </c>
      <c r="AD862" s="849">
        <v>0.0</v>
      </c>
      <c r="AE862" s="849">
        <v>0.0</v>
      </c>
      <c r="AF862" s="849">
        <v>0.0</v>
      </c>
      <c r="AG862" s="849">
        <v>0.0</v>
      </c>
      <c r="AH862" s="849">
        <v>0.0</v>
      </c>
      <c r="AI862" s="849">
        <v>0.0</v>
      </c>
      <c r="AJ862" s="794" t="str">
        <f t="shared" ref="AJ862:AK862" si="1721">C862</f>
        <v>G62300</v>
      </c>
      <c r="AK862" s="794" t="str">
        <f t="shared" si="1721"/>
        <v>COUT-VENTURE-UPLANDER</v>
      </c>
      <c r="AL862" s="794">
        <f t="array" ref="AL862">IFERROR(INDEX(G862:R862,1,MATCH(Parametres!$B$3,G$1:R$1,0)-1)*IF(OR(F862="L",F862="S",F862="I"),-1,1),"")</f>
        <v>0</v>
      </c>
      <c r="AM862" s="794">
        <f t="shared" si="4"/>
        <v>0</v>
      </c>
      <c r="AN862" s="794">
        <f t="array" ref="AN862">INDEX(G862:R862,1,MATCH(Parametres!$B$3,G$1:R$1,0))*IF(OR(F862="L",F862="S",F862="I"),-1,1)</f>
        <v>0</v>
      </c>
      <c r="AO862" s="853" t="str">
        <f>+VLOOKUP($AJ862,Data_Validation!$A:$D,1,0)</f>
        <v>#N/A</v>
      </c>
      <c r="AP862" s="853" t="str">
        <f>+VLOOKUP($AJ862,Data_Validation!$A:$D,3,0)</f>
        <v>#N/A</v>
      </c>
      <c r="AQ862" s="853" t="str">
        <f>+VLOOKUP($AJ862,Data_Validation!$A:$D,4,0)</f>
        <v>#N/A</v>
      </c>
      <c r="AR862" s="853" t="s">
        <v>728</v>
      </c>
      <c r="AS862" s="853" t="str">
        <f>+VLOOKUP($AJ862,Data_Validation!$A:$E,5,0)</f>
        <v>#N/A</v>
      </c>
      <c r="AT862" s="794" t="str">
        <f t="shared" ref="AT862:AU862" si="1722">C862</f>
        <v>G62300</v>
      </c>
      <c r="AU862" s="854" t="str">
        <f t="shared" si="1722"/>
        <v>COUT-VENTURE-UPLANDER</v>
      </c>
      <c r="AV862" s="794">
        <f t="array" ref="AV862">IFERROR(INDEX(V862:AG862,1,MATCH(Parametres!$B$3,V$1:AG$1,0)-1)*IF(OR(C862="L",C862="S",C862="I"),-1,1),"")</f>
        <v>0</v>
      </c>
      <c r="AW862" s="794">
        <f t="shared" si="6"/>
        <v>0</v>
      </c>
      <c r="AX862" s="794">
        <f t="array" ref="AX862">INDEX(V862:AG862,1,MATCH(Parametres!$B$3,V$1:AG$1,0))*IF(OR(C862="L",C862="S",C862="I"),-1,1)</f>
        <v>0</v>
      </c>
      <c r="AY862" s="853" t="s">
        <v>772</v>
      </c>
      <c r="AZ862" s="853" t="str">
        <f>+VLOOKUP($AJ862,Data_Validation!$A:$E,5,0)</f>
        <v>#N/A</v>
      </c>
    </row>
    <row r="863" ht="15.0" customHeight="1">
      <c r="A863" s="849" t="s">
        <v>1239</v>
      </c>
      <c r="B863" s="849">
        <v>2026.0</v>
      </c>
      <c r="C863" s="849" t="s">
        <v>2928</v>
      </c>
      <c r="D863" s="849" t="s">
        <v>2929</v>
      </c>
      <c r="E863" s="849" t="s">
        <v>2072</v>
      </c>
      <c r="F863" s="849" t="s">
        <v>2855</v>
      </c>
      <c r="G863" s="849">
        <v>0.0</v>
      </c>
      <c r="H863" s="849">
        <v>0.0</v>
      </c>
      <c r="I863" s="849">
        <v>0.0</v>
      </c>
      <c r="J863" s="849">
        <v>0.0</v>
      </c>
      <c r="K863" s="849">
        <v>0.0</v>
      </c>
      <c r="L863" s="849">
        <v>0.0</v>
      </c>
      <c r="M863" s="849">
        <v>0.0</v>
      </c>
      <c r="N863" s="849">
        <v>0.0</v>
      </c>
      <c r="O863" s="849">
        <v>0.0</v>
      </c>
      <c r="P863" s="849">
        <v>0.0</v>
      </c>
      <c r="Q863" s="849">
        <v>0.0</v>
      </c>
      <c r="R863" s="849">
        <v>0.0</v>
      </c>
      <c r="S863" s="849">
        <v>0.0</v>
      </c>
      <c r="T863" s="849">
        <v>0.0</v>
      </c>
      <c r="U863" s="849">
        <v>0.0</v>
      </c>
      <c r="V863" s="849">
        <v>0.0</v>
      </c>
      <c r="W863" s="849">
        <v>0.0</v>
      </c>
      <c r="X863" s="849">
        <v>0.0</v>
      </c>
      <c r="Y863" s="849">
        <v>0.0</v>
      </c>
      <c r="Z863" s="849">
        <v>0.0</v>
      </c>
      <c r="AA863" s="849">
        <v>0.0</v>
      </c>
      <c r="AB863" s="849">
        <v>0.0</v>
      </c>
      <c r="AC863" s="849">
        <v>0.0</v>
      </c>
      <c r="AD863" s="849">
        <v>0.0</v>
      </c>
      <c r="AE863" s="849">
        <v>0.0</v>
      </c>
      <c r="AF863" s="849">
        <v>0.0</v>
      </c>
      <c r="AG863" s="849">
        <v>0.0</v>
      </c>
      <c r="AH863" s="849">
        <v>0.0</v>
      </c>
      <c r="AI863" s="849">
        <v>0.0</v>
      </c>
      <c r="AJ863" s="794" t="str">
        <f t="shared" ref="AJ863:AK863" si="1723">C863</f>
        <v>G62312</v>
      </c>
      <c r="AK863" s="794" t="str">
        <f t="shared" si="1723"/>
        <v>COUT-KODIAK/TOPKICK 4/5</v>
      </c>
      <c r="AL863" s="794">
        <f t="array" ref="AL863">IFERROR(INDEX(G863:R863,1,MATCH(Parametres!$B$3,G$1:R$1,0)-1)*IF(OR(F863="L",F863="S",F863="I"),-1,1),"")</f>
        <v>0</v>
      </c>
      <c r="AM863" s="794">
        <f t="shared" si="4"/>
        <v>0</v>
      </c>
      <c r="AN863" s="794">
        <f t="array" ref="AN863">INDEX(G863:R863,1,MATCH(Parametres!$B$3,G$1:R$1,0))*IF(OR(F863="L",F863="S",F863="I"),-1,1)</f>
        <v>0</v>
      </c>
      <c r="AO863" s="853" t="str">
        <f>+VLOOKUP($AJ863,Data_Validation!$A:$D,1,0)</f>
        <v>#N/A</v>
      </c>
      <c r="AP863" s="853" t="str">
        <f>+VLOOKUP($AJ863,Data_Validation!$A:$D,3,0)</f>
        <v>#N/A</v>
      </c>
      <c r="AQ863" s="853" t="str">
        <f>+VLOOKUP($AJ863,Data_Validation!$A:$D,4,0)</f>
        <v>#N/A</v>
      </c>
      <c r="AR863" s="853" t="s">
        <v>728</v>
      </c>
      <c r="AS863" s="853" t="str">
        <f>+VLOOKUP($AJ863,Data_Validation!$A:$E,5,0)</f>
        <v>#N/A</v>
      </c>
      <c r="AT863" s="794" t="str">
        <f t="shared" ref="AT863:AU863" si="1724">C863</f>
        <v>G62312</v>
      </c>
      <c r="AU863" s="854" t="str">
        <f t="shared" si="1724"/>
        <v>COUT-KODIAK/TOPKICK 4/5</v>
      </c>
      <c r="AV863" s="794">
        <f t="array" ref="AV863">IFERROR(INDEX(V863:AG863,1,MATCH(Parametres!$B$3,V$1:AG$1,0)-1)*IF(OR(C863="L",C863="S",C863="I"),-1,1),"")</f>
        <v>0</v>
      </c>
      <c r="AW863" s="794">
        <f t="shared" si="6"/>
        <v>0</v>
      </c>
      <c r="AX863" s="794">
        <f t="array" ref="AX863">INDEX(V863:AG863,1,MATCH(Parametres!$B$3,V$1:AG$1,0))*IF(OR(C863="L",C863="S",C863="I"),-1,1)</f>
        <v>0</v>
      </c>
      <c r="AY863" s="853" t="s">
        <v>772</v>
      </c>
      <c r="AZ863" s="853" t="str">
        <f>+VLOOKUP($AJ863,Data_Validation!$A:$E,5,0)</f>
        <v>#N/A</v>
      </c>
    </row>
    <row r="864" ht="15.0" customHeight="1">
      <c r="A864" s="849" t="s">
        <v>1239</v>
      </c>
      <c r="B864" s="849">
        <v>2026.0</v>
      </c>
      <c r="C864" s="849" t="s">
        <v>2930</v>
      </c>
      <c r="D864" s="849" t="s">
        <v>2931</v>
      </c>
      <c r="E864" s="849" t="s">
        <v>2072</v>
      </c>
      <c r="F864" s="849" t="s">
        <v>2855</v>
      </c>
      <c r="G864" s="849">
        <v>0.0</v>
      </c>
      <c r="H864" s="849">
        <v>0.0</v>
      </c>
      <c r="I864" s="849">
        <v>0.0</v>
      </c>
      <c r="J864" s="849">
        <v>0.0</v>
      </c>
      <c r="K864" s="849">
        <v>0.0</v>
      </c>
      <c r="L864" s="849">
        <v>0.0</v>
      </c>
      <c r="M864" s="849">
        <v>0.0</v>
      </c>
      <c r="N864" s="849">
        <v>0.0</v>
      </c>
      <c r="O864" s="849">
        <v>0.0</v>
      </c>
      <c r="P864" s="849">
        <v>0.0</v>
      </c>
      <c r="Q864" s="849">
        <v>0.0</v>
      </c>
      <c r="R864" s="849">
        <v>0.0</v>
      </c>
      <c r="S864" s="849">
        <v>0.0</v>
      </c>
      <c r="T864" s="849">
        <v>0.0</v>
      </c>
      <c r="U864" s="849">
        <v>0.0</v>
      </c>
      <c r="V864" s="849">
        <v>0.0</v>
      </c>
      <c r="W864" s="849">
        <v>0.0</v>
      </c>
      <c r="X864" s="849">
        <v>0.0</v>
      </c>
      <c r="Y864" s="849">
        <v>0.0</v>
      </c>
      <c r="Z864" s="849">
        <v>0.0</v>
      </c>
      <c r="AA864" s="849">
        <v>0.0</v>
      </c>
      <c r="AB864" s="849">
        <v>0.0</v>
      </c>
      <c r="AC864" s="849">
        <v>0.0</v>
      </c>
      <c r="AD864" s="849">
        <v>0.0</v>
      </c>
      <c r="AE864" s="849">
        <v>0.0</v>
      </c>
      <c r="AF864" s="849">
        <v>0.0</v>
      </c>
      <c r="AG864" s="849">
        <v>0.0</v>
      </c>
      <c r="AH864" s="849">
        <v>0.0</v>
      </c>
      <c r="AI864" s="849">
        <v>0.0</v>
      </c>
      <c r="AJ864" s="794" t="str">
        <f t="shared" ref="AJ864:AK864" si="1725">C864</f>
        <v>G62320</v>
      </c>
      <c r="AK864" s="794" t="str">
        <f t="shared" si="1725"/>
        <v>COUT-VENTURE-UPLAN   -LOC</v>
      </c>
      <c r="AL864" s="794">
        <f t="array" ref="AL864">IFERROR(INDEX(G864:R864,1,MATCH(Parametres!$B$3,G$1:R$1,0)-1)*IF(OR(F864="L",F864="S",F864="I"),-1,1),"")</f>
        <v>0</v>
      </c>
      <c r="AM864" s="794">
        <f t="shared" si="4"/>
        <v>0</v>
      </c>
      <c r="AN864" s="794">
        <f t="array" ref="AN864">INDEX(G864:R864,1,MATCH(Parametres!$B$3,G$1:R$1,0))*IF(OR(F864="L",F864="S",F864="I"),-1,1)</f>
        <v>0</v>
      </c>
      <c r="AO864" s="853" t="str">
        <f>+VLOOKUP($AJ864,Data_Validation!$A:$D,1,0)</f>
        <v>#N/A</v>
      </c>
      <c r="AP864" s="853" t="str">
        <f>+VLOOKUP($AJ864,Data_Validation!$A:$D,3,0)</f>
        <v>#N/A</v>
      </c>
      <c r="AQ864" s="853" t="str">
        <f>+VLOOKUP($AJ864,Data_Validation!$A:$D,4,0)</f>
        <v>#N/A</v>
      </c>
      <c r="AR864" s="853" t="s">
        <v>728</v>
      </c>
      <c r="AS864" s="853" t="str">
        <f>+VLOOKUP($AJ864,Data_Validation!$A:$E,5,0)</f>
        <v>#N/A</v>
      </c>
      <c r="AT864" s="794" t="str">
        <f t="shared" ref="AT864:AU864" si="1726">C864</f>
        <v>G62320</v>
      </c>
      <c r="AU864" s="854" t="str">
        <f t="shared" si="1726"/>
        <v>COUT-VENTURE-UPLAN   -LOC</v>
      </c>
      <c r="AV864" s="794">
        <f t="array" ref="AV864">IFERROR(INDEX(V864:AG864,1,MATCH(Parametres!$B$3,V$1:AG$1,0)-1)*IF(OR(C864="L",C864="S",C864="I"),-1,1),"")</f>
        <v>0</v>
      </c>
      <c r="AW864" s="794">
        <f t="shared" si="6"/>
        <v>0</v>
      </c>
      <c r="AX864" s="794">
        <f t="array" ref="AX864">INDEX(V864:AG864,1,MATCH(Parametres!$B$3,V$1:AG$1,0))*IF(OR(C864="L",C864="S",C864="I"),-1,1)</f>
        <v>0</v>
      </c>
      <c r="AY864" s="853" t="s">
        <v>772</v>
      </c>
      <c r="AZ864" s="853" t="str">
        <f>+VLOOKUP($AJ864,Data_Validation!$A:$E,5,0)</f>
        <v>#N/A</v>
      </c>
    </row>
    <row r="865" ht="15.0" customHeight="1">
      <c r="A865" s="849" t="s">
        <v>1239</v>
      </c>
      <c r="B865" s="849">
        <v>2026.0</v>
      </c>
      <c r="C865" s="849" t="s">
        <v>2932</v>
      </c>
      <c r="D865" s="849" t="s">
        <v>2933</v>
      </c>
      <c r="E865" s="849" t="s">
        <v>2072</v>
      </c>
      <c r="F865" s="849" t="s">
        <v>2855</v>
      </c>
      <c r="G865" s="849">
        <v>91372.42</v>
      </c>
      <c r="H865" s="849">
        <v>91372.42</v>
      </c>
      <c r="I865" s="849">
        <v>91372.42</v>
      </c>
      <c r="J865" s="849">
        <v>232512.62</v>
      </c>
      <c r="K865" s="849">
        <v>319528.5</v>
      </c>
      <c r="L865" s="849">
        <v>319528.5</v>
      </c>
      <c r="M865" s="849">
        <v>452253.34</v>
      </c>
      <c r="N865" s="849">
        <v>554460.33</v>
      </c>
      <c r="O865" s="849">
        <v>554460.33</v>
      </c>
      <c r="P865" s="849">
        <v>554460.33</v>
      </c>
      <c r="Q865" s="849">
        <v>0.0</v>
      </c>
      <c r="R865" s="849">
        <v>0.0</v>
      </c>
      <c r="S865" s="849">
        <v>61606.7</v>
      </c>
      <c r="T865" s="849">
        <v>61606.7</v>
      </c>
      <c r="U865" s="849">
        <v>0.0</v>
      </c>
      <c r="V865" s="849">
        <v>0.0</v>
      </c>
      <c r="W865" s="849">
        <v>0.0</v>
      </c>
      <c r="X865" s="849">
        <v>0.0</v>
      </c>
      <c r="Y865" s="849">
        <v>0.0</v>
      </c>
      <c r="Z865" s="849">
        <v>0.0</v>
      </c>
      <c r="AA865" s="849">
        <v>0.0</v>
      </c>
      <c r="AB865" s="849">
        <v>0.0</v>
      </c>
      <c r="AC865" s="849">
        <v>0.0</v>
      </c>
      <c r="AD865" s="849">
        <v>0.0</v>
      </c>
      <c r="AE865" s="849">
        <v>0.0</v>
      </c>
      <c r="AF865" s="849">
        <v>0.0</v>
      </c>
      <c r="AG865" s="849">
        <v>0.0</v>
      </c>
      <c r="AH865" s="849">
        <v>0.0</v>
      </c>
      <c r="AI865" s="849">
        <v>0.0</v>
      </c>
      <c r="AJ865" s="794" t="str">
        <f t="shared" ref="AJ865:AK865" si="1727">C865</f>
        <v>G62400</v>
      </c>
      <c r="AK865" s="794" t="str">
        <f t="shared" si="1727"/>
        <v>COUT-TERRAIN</v>
      </c>
      <c r="AL865" s="794">
        <f t="array" ref="AL865">IFERROR(INDEX(G865:R865,1,MATCH(Parametres!$B$3,G$1:R$1,0)-1)*IF(OR(F865="L",F865="S",F865="I"),-1,1),"")</f>
        <v>554460.33</v>
      </c>
      <c r="AM865" s="794">
        <f t="shared" si="4"/>
        <v>0</v>
      </c>
      <c r="AN865" s="794">
        <f t="array" ref="AN865">INDEX(G865:R865,1,MATCH(Parametres!$B$3,G$1:R$1,0))*IF(OR(F865="L",F865="S",F865="I"),-1,1)</f>
        <v>554460.33</v>
      </c>
      <c r="AO865" s="853" t="str">
        <f>+VLOOKUP($AJ865,Data_Validation!$A:$D,1,0)</f>
        <v>G62400</v>
      </c>
      <c r="AP865" s="853" t="str">
        <f>+VLOOKUP($AJ865,Data_Validation!$A:$D,3,0)</f>
        <v>Véhicules neufs</v>
      </c>
      <c r="AQ865" s="853" t="str">
        <f>+VLOOKUP($AJ865,Data_Validation!$A:$D,4,0)</f>
        <v>Camions détail</v>
      </c>
      <c r="AR865" s="853" t="s">
        <v>728</v>
      </c>
      <c r="AS865" s="853" t="str">
        <f>+VLOOKUP($AJ865,Data_Validation!$A:$E,5,0)</f>
        <v/>
      </c>
      <c r="AT865" s="794" t="str">
        <f t="shared" ref="AT865:AU865" si="1728">C865</f>
        <v>G62400</v>
      </c>
      <c r="AU865" s="854" t="str">
        <f t="shared" si="1728"/>
        <v>COUT-TERRAIN</v>
      </c>
      <c r="AV865" s="794">
        <f t="array" ref="AV865">IFERROR(INDEX(V865:AG865,1,MATCH(Parametres!$B$3,V$1:AG$1,0)-1)*IF(OR(C865="L",C865="S",C865="I"),-1,1),"")</f>
        <v>0</v>
      </c>
      <c r="AW865" s="794">
        <f t="shared" si="6"/>
        <v>0</v>
      </c>
      <c r="AX865" s="794">
        <f t="array" ref="AX865">INDEX(V865:AG865,1,MATCH(Parametres!$B$3,V$1:AG$1,0))*IF(OR(C865="L",C865="S",C865="I"),-1,1)</f>
        <v>0</v>
      </c>
      <c r="AY865" s="853" t="s">
        <v>772</v>
      </c>
      <c r="AZ865" s="853" t="str">
        <f>+VLOOKUP($AJ865,Data_Validation!$A:$E,5,0)</f>
        <v/>
      </c>
    </row>
    <row r="866" ht="15.0" customHeight="1">
      <c r="A866" s="849" t="s">
        <v>1239</v>
      </c>
      <c r="B866" s="849">
        <v>2026.0</v>
      </c>
      <c r="C866" s="849" t="s">
        <v>2934</v>
      </c>
      <c r="D866" s="849" t="s">
        <v>2935</v>
      </c>
      <c r="E866" s="849" t="s">
        <v>2072</v>
      </c>
      <c r="F866" s="849" t="s">
        <v>2855</v>
      </c>
      <c r="G866" s="849">
        <v>0.0</v>
      </c>
      <c r="H866" s="849">
        <v>0.0</v>
      </c>
      <c r="I866" s="849">
        <v>0.0</v>
      </c>
      <c r="J866" s="849">
        <v>0.0</v>
      </c>
      <c r="K866" s="849">
        <v>398090.8</v>
      </c>
      <c r="L866" s="849">
        <v>649623.39</v>
      </c>
      <c r="M866" s="849">
        <v>1151542.54</v>
      </c>
      <c r="N866" s="849">
        <v>1739272.94</v>
      </c>
      <c r="O866" s="849">
        <v>3070693.26</v>
      </c>
      <c r="P866" s="849">
        <v>3426922.61</v>
      </c>
      <c r="Q866" s="849">
        <v>0.0</v>
      </c>
      <c r="R866" s="849">
        <v>0.0</v>
      </c>
      <c r="S866" s="849">
        <v>341188.14</v>
      </c>
      <c r="T866" s="849">
        <v>341188.14</v>
      </c>
      <c r="U866" s="849">
        <v>0.0</v>
      </c>
      <c r="V866" s="849">
        <v>0.0</v>
      </c>
      <c r="W866" s="849">
        <v>0.0</v>
      </c>
      <c r="X866" s="849">
        <v>0.0</v>
      </c>
      <c r="Y866" s="849">
        <v>0.0</v>
      </c>
      <c r="Z866" s="849">
        <v>0.0</v>
      </c>
      <c r="AA866" s="849">
        <v>0.0</v>
      </c>
      <c r="AB866" s="849">
        <v>0.0</v>
      </c>
      <c r="AC866" s="849">
        <v>0.0</v>
      </c>
      <c r="AD866" s="849">
        <v>0.0</v>
      </c>
      <c r="AE866" s="849">
        <v>0.0</v>
      </c>
      <c r="AF866" s="849">
        <v>0.0</v>
      </c>
      <c r="AG866" s="849">
        <v>0.0</v>
      </c>
      <c r="AH866" s="849">
        <v>0.0</v>
      </c>
      <c r="AI866" s="849">
        <v>0.0</v>
      </c>
      <c r="AJ866" s="794" t="str">
        <f t="shared" ref="AJ866:AK866" si="1729">C866</f>
        <v>G62401</v>
      </c>
      <c r="AK866" s="794" t="str">
        <f t="shared" si="1729"/>
        <v>COUT BOLT EUV</v>
      </c>
      <c r="AL866" s="794">
        <f t="array" ref="AL866">IFERROR(INDEX(G866:R866,1,MATCH(Parametres!$B$3,G$1:R$1,0)-1)*IF(OR(F866="L",F866="S",F866="I"),-1,1),"")</f>
        <v>1739272.94</v>
      </c>
      <c r="AM866" s="794">
        <f t="shared" si="4"/>
        <v>1331420.32</v>
      </c>
      <c r="AN866" s="794">
        <f t="array" ref="AN866">INDEX(G866:R866,1,MATCH(Parametres!$B$3,G$1:R$1,0))*IF(OR(F866="L",F866="S",F866="I"),-1,1)</f>
        <v>3070693.26</v>
      </c>
      <c r="AO866" s="853" t="str">
        <f>+VLOOKUP($AJ866,Data_Validation!$A:$D,1,0)</f>
        <v>G62401</v>
      </c>
      <c r="AP866" s="853" t="str">
        <f>+VLOOKUP($AJ866,Data_Validation!$A:$D,3,0)</f>
        <v>Véhicules neufs</v>
      </c>
      <c r="AQ866" s="853" t="str">
        <f>+VLOOKUP($AJ866,Data_Validation!$A:$D,4,0)</f>
        <v>Camions electriques</v>
      </c>
      <c r="AR866" s="853" t="s">
        <v>728</v>
      </c>
      <c r="AS866" s="853" t="str">
        <f>+VLOOKUP($AJ866,Data_Validation!$A:$E,5,0)</f>
        <v/>
      </c>
      <c r="AT866" s="794" t="str">
        <f t="shared" ref="AT866:AU866" si="1730">C866</f>
        <v>G62401</v>
      </c>
      <c r="AU866" s="854" t="str">
        <f t="shared" si="1730"/>
        <v>COUT BOLT EUV</v>
      </c>
      <c r="AV866" s="794">
        <f t="array" ref="AV866">IFERROR(INDEX(V866:AG866,1,MATCH(Parametres!$B$3,V$1:AG$1,0)-1)*IF(OR(C866="L",C866="S",C866="I"),-1,1),"")</f>
        <v>0</v>
      </c>
      <c r="AW866" s="794">
        <f t="shared" si="6"/>
        <v>0</v>
      </c>
      <c r="AX866" s="794">
        <f t="array" ref="AX866">INDEX(V866:AG866,1,MATCH(Parametres!$B$3,V$1:AG$1,0))*IF(OR(C866="L",C866="S",C866="I"),-1,1)</f>
        <v>0</v>
      </c>
      <c r="AY866" s="853" t="s">
        <v>772</v>
      </c>
      <c r="AZ866" s="853" t="str">
        <f>+VLOOKUP($AJ866,Data_Validation!$A:$E,5,0)</f>
        <v/>
      </c>
    </row>
    <row r="867" ht="15.0" customHeight="1">
      <c r="A867" s="849" t="s">
        <v>1239</v>
      </c>
      <c r="B867" s="849">
        <v>2026.0</v>
      </c>
      <c r="C867" s="849" t="s">
        <v>2936</v>
      </c>
      <c r="D867" s="849" t="s">
        <v>2937</v>
      </c>
      <c r="E867" s="849" t="s">
        <v>2072</v>
      </c>
      <c r="F867" s="849" t="s">
        <v>2855</v>
      </c>
      <c r="G867" s="849">
        <v>0.0</v>
      </c>
      <c r="H867" s="849">
        <v>0.0</v>
      </c>
      <c r="I867" s="849">
        <v>0.0</v>
      </c>
      <c r="J867" s="849">
        <v>0.0</v>
      </c>
      <c r="K867" s="849">
        <v>0.0</v>
      </c>
      <c r="L867" s="849">
        <v>0.0</v>
      </c>
      <c r="M867" s="849">
        <v>0.0</v>
      </c>
      <c r="N867" s="849">
        <v>0.0</v>
      </c>
      <c r="O867" s="849">
        <v>0.0</v>
      </c>
      <c r="P867" s="849">
        <v>0.0</v>
      </c>
      <c r="Q867" s="849">
        <v>0.0</v>
      </c>
      <c r="R867" s="849">
        <v>0.0</v>
      </c>
      <c r="S867" s="849">
        <v>0.0</v>
      </c>
      <c r="T867" s="849">
        <v>0.0</v>
      </c>
      <c r="U867" s="849">
        <v>0.0</v>
      </c>
      <c r="V867" s="849">
        <v>0.0</v>
      </c>
      <c r="W867" s="849">
        <v>0.0</v>
      </c>
      <c r="X867" s="849">
        <v>0.0</v>
      </c>
      <c r="Y867" s="849">
        <v>0.0</v>
      </c>
      <c r="Z867" s="849">
        <v>0.0</v>
      </c>
      <c r="AA867" s="849">
        <v>0.0</v>
      </c>
      <c r="AB867" s="849">
        <v>0.0</v>
      </c>
      <c r="AC867" s="849">
        <v>0.0</v>
      </c>
      <c r="AD867" s="849">
        <v>0.0</v>
      </c>
      <c r="AE867" s="849">
        <v>0.0</v>
      </c>
      <c r="AF867" s="849">
        <v>0.0</v>
      </c>
      <c r="AG867" s="849">
        <v>0.0</v>
      </c>
      <c r="AH867" s="849">
        <v>0.0</v>
      </c>
      <c r="AI867" s="849">
        <v>0.0</v>
      </c>
      <c r="AJ867" s="794" t="str">
        <f t="shared" ref="AJ867:AK867" si="1731">C867</f>
        <v>G62412</v>
      </c>
      <c r="AK867" s="794" t="str">
        <f t="shared" si="1731"/>
        <v>COUT-TOPKICK 6/7/8 C</v>
      </c>
      <c r="AL867" s="794">
        <f t="array" ref="AL867">IFERROR(INDEX(G867:R867,1,MATCH(Parametres!$B$3,G$1:R$1,0)-1)*IF(OR(F867="L",F867="S",F867="I"),-1,1),"")</f>
        <v>0</v>
      </c>
      <c r="AM867" s="794">
        <f t="shared" si="4"/>
        <v>0</v>
      </c>
      <c r="AN867" s="794">
        <f t="array" ref="AN867">INDEX(G867:R867,1,MATCH(Parametres!$B$3,G$1:R$1,0))*IF(OR(F867="L",F867="S",F867="I"),-1,1)</f>
        <v>0</v>
      </c>
      <c r="AO867" s="853" t="str">
        <f>+VLOOKUP($AJ867,Data_Validation!$A:$D,1,0)</f>
        <v>#N/A</v>
      </c>
      <c r="AP867" s="853" t="str">
        <f>+VLOOKUP($AJ867,Data_Validation!$A:$D,3,0)</f>
        <v>#N/A</v>
      </c>
      <c r="AQ867" s="853" t="str">
        <f>+VLOOKUP($AJ867,Data_Validation!$A:$D,4,0)</f>
        <v>#N/A</v>
      </c>
      <c r="AR867" s="853" t="s">
        <v>728</v>
      </c>
      <c r="AS867" s="853" t="str">
        <f>+VLOOKUP($AJ867,Data_Validation!$A:$E,5,0)</f>
        <v>#N/A</v>
      </c>
      <c r="AT867" s="794" t="str">
        <f t="shared" ref="AT867:AU867" si="1732">C867</f>
        <v>G62412</v>
      </c>
      <c r="AU867" s="854" t="str">
        <f t="shared" si="1732"/>
        <v>COUT-TOPKICK 6/7/8 C</v>
      </c>
      <c r="AV867" s="794">
        <f t="array" ref="AV867">IFERROR(INDEX(V867:AG867,1,MATCH(Parametres!$B$3,V$1:AG$1,0)-1)*IF(OR(C867="L",C867="S",C867="I"),-1,1),"")</f>
        <v>0</v>
      </c>
      <c r="AW867" s="794">
        <f t="shared" si="6"/>
        <v>0</v>
      </c>
      <c r="AX867" s="794">
        <f t="array" ref="AX867">INDEX(V867:AG867,1,MATCH(Parametres!$B$3,V$1:AG$1,0))*IF(OR(C867="L",C867="S",C867="I"),-1,1)</f>
        <v>0</v>
      </c>
      <c r="AY867" s="853" t="s">
        <v>772</v>
      </c>
      <c r="AZ867" s="853" t="str">
        <f>+VLOOKUP($AJ867,Data_Validation!$A:$E,5,0)</f>
        <v>#N/A</v>
      </c>
    </row>
    <row r="868" ht="15.0" customHeight="1">
      <c r="A868" s="849" t="s">
        <v>1239</v>
      </c>
      <c r="B868" s="849">
        <v>2026.0</v>
      </c>
      <c r="C868" s="849" t="s">
        <v>2938</v>
      </c>
      <c r="D868" s="849" t="s">
        <v>2939</v>
      </c>
      <c r="E868" s="849" t="s">
        <v>2072</v>
      </c>
      <c r="F868" s="849" t="s">
        <v>2855</v>
      </c>
      <c r="G868" s="849">
        <v>0.0</v>
      </c>
      <c r="H868" s="849">
        <v>0.0</v>
      </c>
      <c r="I868" s="849">
        <v>0.0</v>
      </c>
      <c r="J868" s="849">
        <v>0.0</v>
      </c>
      <c r="K868" s="849">
        <v>0.0</v>
      </c>
      <c r="L868" s="849">
        <v>0.0</v>
      </c>
      <c r="M868" s="849">
        <v>0.0</v>
      </c>
      <c r="N868" s="849">
        <v>0.0</v>
      </c>
      <c r="O868" s="849">
        <v>0.0</v>
      </c>
      <c r="P868" s="849">
        <v>0.0</v>
      </c>
      <c r="Q868" s="849">
        <v>0.0</v>
      </c>
      <c r="R868" s="849">
        <v>0.0</v>
      </c>
      <c r="S868" s="849">
        <v>0.0</v>
      </c>
      <c r="T868" s="849">
        <v>0.0</v>
      </c>
      <c r="U868" s="849">
        <v>0.0</v>
      </c>
      <c r="V868" s="849">
        <v>0.0</v>
      </c>
      <c r="W868" s="849">
        <v>0.0</v>
      </c>
      <c r="X868" s="849">
        <v>0.0</v>
      </c>
      <c r="Y868" s="849">
        <v>0.0</v>
      </c>
      <c r="Z868" s="849">
        <v>0.0</v>
      </c>
      <c r="AA868" s="849">
        <v>0.0</v>
      </c>
      <c r="AB868" s="849">
        <v>0.0</v>
      </c>
      <c r="AC868" s="849">
        <v>0.0</v>
      </c>
      <c r="AD868" s="849">
        <v>0.0</v>
      </c>
      <c r="AE868" s="849">
        <v>0.0</v>
      </c>
      <c r="AF868" s="849">
        <v>0.0</v>
      </c>
      <c r="AG868" s="849">
        <v>0.0</v>
      </c>
      <c r="AH868" s="849">
        <v>0.0</v>
      </c>
      <c r="AI868" s="849">
        <v>0.0</v>
      </c>
      <c r="AJ868" s="794" t="str">
        <f t="shared" ref="AJ868:AK868" si="1733">C868</f>
        <v>G62500</v>
      </c>
      <c r="AK868" s="794" t="str">
        <f t="shared" si="1733"/>
        <v>COUT-G EXPRESS</v>
      </c>
      <c r="AL868" s="794">
        <f t="array" ref="AL868">IFERROR(INDEX(G868:R868,1,MATCH(Parametres!$B$3,G$1:R$1,0)-1)*IF(OR(F868="L",F868="S",F868="I"),-1,1),"")</f>
        <v>0</v>
      </c>
      <c r="AM868" s="794">
        <f t="shared" si="4"/>
        <v>0</v>
      </c>
      <c r="AN868" s="794">
        <f t="array" ref="AN868">INDEX(G868:R868,1,MATCH(Parametres!$B$3,G$1:R$1,0))*IF(OR(F868="L",F868="S",F868="I"),-1,1)</f>
        <v>0</v>
      </c>
      <c r="AO868" s="853" t="str">
        <f>+VLOOKUP($AJ868,Data_Validation!$A:$D,1,0)</f>
        <v>G62500</v>
      </c>
      <c r="AP868" s="853" t="str">
        <f>+VLOOKUP($AJ868,Data_Validation!$A:$D,3,0)</f>
        <v>Véhicules neufs</v>
      </c>
      <c r="AQ868" s="853" t="str">
        <f>+VLOOKUP($AJ868,Data_Validation!$A:$D,4,0)</f>
        <v>Camions détail</v>
      </c>
      <c r="AR868" s="853" t="s">
        <v>728</v>
      </c>
      <c r="AS868" s="853" t="str">
        <f>+VLOOKUP($AJ868,Data_Validation!$A:$E,5,0)</f>
        <v/>
      </c>
      <c r="AT868" s="794" t="str">
        <f t="shared" ref="AT868:AU868" si="1734">C868</f>
        <v>G62500</v>
      </c>
      <c r="AU868" s="854" t="str">
        <f t="shared" si="1734"/>
        <v>COUT-G EXPRESS</v>
      </c>
      <c r="AV868" s="794">
        <f t="array" ref="AV868">IFERROR(INDEX(V868:AG868,1,MATCH(Parametres!$B$3,V$1:AG$1,0)-1)*IF(OR(C868="L",C868="S",C868="I"),-1,1),"")</f>
        <v>0</v>
      </c>
      <c r="AW868" s="794">
        <f t="shared" si="6"/>
        <v>0</v>
      </c>
      <c r="AX868" s="794">
        <f t="array" ref="AX868">INDEX(V868:AG868,1,MATCH(Parametres!$B$3,V$1:AG$1,0))*IF(OR(C868="L",C868="S",C868="I"),-1,1)</f>
        <v>0</v>
      </c>
      <c r="AY868" s="853" t="s">
        <v>772</v>
      </c>
      <c r="AZ868" s="853" t="str">
        <f>+VLOOKUP($AJ868,Data_Validation!$A:$E,5,0)</f>
        <v/>
      </c>
    </row>
    <row r="869" ht="15.0" customHeight="1">
      <c r="A869" s="849" t="s">
        <v>1239</v>
      </c>
      <c r="B869" s="849">
        <v>2026.0</v>
      </c>
      <c r="C869" s="849" t="s">
        <v>2940</v>
      </c>
      <c r="D869" s="849" t="s">
        <v>2941</v>
      </c>
      <c r="E869" s="849" t="s">
        <v>2072</v>
      </c>
      <c r="F869" s="849" t="s">
        <v>2855</v>
      </c>
      <c r="G869" s="849">
        <v>0.0</v>
      </c>
      <c r="H869" s="849">
        <v>0.0</v>
      </c>
      <c r="I869" s="849">
        <v>0.0</v>
      </c>
      <c r="J869" s="849">
        <v>0.0</v>
      </c>
      <c r="K869" s="849">
        <v>49868.69</v>
      </c>
      <c r="L869" s="849">
        <v>51068.69</v>
      </c>
      <c r="M869" s="849">
        <v>51068.69</v>
      </c>
      <c r="N869" s="849">
        <v>51068.69</v>
      </c>
      <c r="O869" s="849">
        <v>51068.69</v>
      </c>
      <c r="P869" s="849">
        <v>51068.69</v>
      </c>
      <c r="Q869" s="849">
        <v>0.0</v>
      </c>
      <c r="R869" s="849">
        <v>0.0</v>
      </c>
      <c r="S869" s="849">
        <v>5674.3</v>
      </c>
      <c r="T869" s="849">
        <v>5674.3</v>
      </c>
      <c r="U869" s="849">
        <v>0.0</v>
      </c>
      <c r="V869" s="849">
        <v>0.0</v>
      </c>
      <c r="W869" s="849">
        <v>0.0</v>
      </c>
      <c r="X869" s="849">
        <v>0.0</v>
      </c>
      <c r="Y869" s="849">
        <v>0.0</v>
      </c>
      <c r="Z869" s="849">
        <v>0.0</v>
      </c>
      <c r="AA869" s="849">
        <v>0.0</v>
      </c>
      <c r="AB869" s="849">
        <v>0.0</v>
      </c>
      <c r="AC869" s="849">
        <v>0.0</v>
      </c>
      <c r="AD869" s="849">
        <v>0.0</v>
      </c>
      <c r="AE869" s="849">
        <v>0.0</v>
      </c>
      <c r="AF869" s="849">
        <v>0.0</v>
      </c>
      <c r="AG869" s="849">
        <v>0.0</v>
      </c>
      <c r="AH869" s="849">
        <v>0.0</v>
      </c>
      <c r="AI869" s="849">
        <v>0.0</v>
      </c>
      <c r="AJ869" s="794" t="str">
        <f t="shared" ref="AJ869:AK869" si="1735">C869</f>
        <v>G62502</v>
      </c>
      <c r="AK869" s="794" t="str">
        <f t="shared" si="1735"/>
        <v>COUTANT SAVANA</v>
      </c>
      <c r="AL869" s="794">
        <f t="array" ref="AL869">IFERROR(INDEX(G869:R869,1,MATCH(Parametres!$B$3,G$1:R$1,0)-1)*IF(OR(F869="L",F869="S",F869="I"),-1,1),"")</f>
        <v>51068.69</v>
      </c>
      <c r="AM869" s="794">
        <f t="shared" si="4"/>
        <v>0</v>
      </c>
      <c r="AN869" s="794">
        <f t="array" ref="AN869">INDEX(G869:R869,1,MATCH(Parametres!$B$3,G$1:R$1,0))*IF(OR(F869="L",F869="S",F869="I"),-1,1)</f>
        <v>51068.69</v>
      </c>
      <c r="AO869" s="853" t="str">
        <f>+VLOOKUP($AJ869,Data_Validation!$A:$D,1,0)</f>
        <v>G62502</v>
      </c>
      <c r="AP869" s="853" t="str">
        <f>+VLOOKUP($AJ869,Data_Validation!$A:$D,3,0)</f>
        <v>Véhicules neufs</v>
      </c>
      <c r="AQ869" s="853" t="str">
        <f>+VLOOKUP($AJ869,Data_Validation!$A:$D,4,0)</f>
        <v>Camions electriques</v>
      </c>
      <c r="AR869" s="853" t="s">
        <v>728</v>
      </c>
      <c r="AS869" s="853" t="str">
        <f>+VLOOKUP($AJ869,Data_Validation!$A:$E,5,0)</f>
        <v/>
      </c>
      <c r="AT869" s="794" t="str">
        <f t="shared" ref="AT869:AU869" si="1736">C869</f>
        <v>G62502</v>
      </c>
      <c r="AU869" s="854" t="str">
        <f t="shared" si="1736"/>
        <v>COUTANT SAVANA</v>
      </c>
      <c r="AV869" s="794">
        <f t="array" ref="AV869">IFERROR(INDEX(V869:AG869,1,MATCH(Parametres!$B$3,V$1:AG$1,0)-1)*IF(OR(C869="L",C869="S",C869="I"),-1,1),"")</f>
        <v>0</v>
      </c>
      <c r="AW869" s="794">
        <f t="shared" si="6"/>
        <v>0</v>
      </c>
      <c r="AX869" s="794">
        <f t="array" ref="AX869">INDEX(V869:AG869,1,MATCH(Parametres!$B$3,V$1:AG$1,0))*IF(OR(C869="L",C869="S",C869="I"),-1,1)</f>
        <v>0</v>
      </c>
      <c r="AY869" s="853" t="s">
        <v>772</v>
      </c>
      <c r="AZ869" s="853" t="str">
        <f>+VLOOKUP($AJ869,Data_Validation!$A:$E,5,0)</f>
        <v/>
      </c>
    </row>
    <row r="870" ht="15.0" customHeight="1">
      <c r="A870" s="849" t="s">
        <v>1239</v>
      </c>
      <c r="B870" s="849">
        <v>2026.0</v>
      </c>
      <c r="C870" s="849" t="s">
        <v>2942</v>
      </c>
      <c r="D870" s="849" t="s">
        <v>2943</v>
      </c>
      <c r="E870" s="849" t="s">
        <v>2072</v>
      </c>
      <c r="F870" s="849" t="s">
        <v>2855</v>
      </c>
      <c r="G870" s="849">
        <v>0.0</v>
      </c>
      <c r="H870" s="849">
        <v>0.0</v>
      </c>
      <c r="I870" s="849">
        <v>0.0</v>
      </c>
      <c r="J870" s="849">
        <v>0.0</v>
      </c>
      <c r="K870" s="849">
        <v>0.0</v>
      </c>
      <c r="L870" s="849">
        <v>0.0</v>
      </c>
      <c r="M870" s="849">
        <v>0.0</v>
      </c>
      <c r="N870" s="849">
        <v>0.0</v>
      </c>
      <c r="O870" s="849">
        <v>0.0</v>
      </c>
      <c r="P870" s="849">
        <v>0.0</v>
      </c>
      <c r="Q870" s="849">
        <v>0.0</v>
      </c>
      <c r="R870" s="849">
        <v>0.0</v>
      </c>
      <c r="S870" s="849">
        <v>0.0</v>
      </c>
      <c r="T870" s="849">
        <v>0.0</v>
      </c>
      <c r="U870" s="849">
        <v>0.0</v>
      </c>
      <c r="V870" s="849">
        <v>0.0</v>
      </c>
      <c r="W870" s="849">
        <v>0.0</v>
      </c>
      <c r="X870" s="849">
        <v>0.0</v>
      </c>
      <c r="Y870" s="849">
        <v>0.0</v>
      </c>
      <c r="Z870" s="849">
        <v>0.0</v>
      </c>
      <c r="AA870" s="849">
        <v>0.0</v>
      </c>
      <c r="AB870" s="849">
        <v>0.0</v>
      </c>
      <c r="AC870" s="849">
        <v>0.0</v>
      </c>
      <c r="AD870" s="849">
        <v>0.0</v>
      </c>
      <c r="AE870" s="849">
        <v>0.0</v>
      </c>
      <c r="AF870" s="849">
        <v>0.0</v>
      </c>
      <c r="AG870" s="849">
        <v>0.0</v>
      </c>
      <c r="AH870" s="849">
        <v>0.0</v>
      </c>
      <c r="AI870" s="849">
        <v>0.0</v>
      </c>
      <c r="AJ870" s="794" t="str">
        <f t="shared" ref="AJ870:AK870" si="1737">C870</f>
        <v>G62512</v>
      </c>
      <c r="AK870" s="794" t="str">
        <f t="shared" si="1737"/>
        <v>COUT-TOPKICK 6/7/8</v>
      </c>
      <c r="AL870" s="794">
        <f t="array" ref="AL870">IFERROR(INDEX(G870:R870,1,MATCH(Parametres!$B$3,G$1:R$1,0)-1)*IF(OR(F870="L",F870="S",F870="I"),-1,1),"")</f>
        <v>0</v>
      </c>
      <c r="AM870" s="794">
        <f t="shared" si="4"/>
        <v>0</v>
      </c>
      <c r="AN870" s="794">
        <f t="array" ref="AN870">INDEX(G870:R870,1,MATCH(Parametres!$B$3,G$1:R$1,0))*IF(OR(F870="L",F870="S",F870="I"),-1,1)</f>
        <v>0</v>
      </c>
      <c r="AO870" s="853" t="str">
        <f>+VLOOKUP($AJ870,Data_Validation!$A:$D,1,0)</f>
        <v>#N/A</v>
      </c>
      <c r="AP870" s="853" t="str">
        <f>+VLOOKUP($AJ870,Data_Validation!$A:$D,3,0)</f>
        <v>#N/A</v>
      </c>
      <c r="AQ870" s="853" t="str">
        <f>+VLOOKUP($AJ870,Data_Validation!$A:$D,4,0)</f>
        <v>#N/A</v>
      </c>
      <c r="AR870" s="853" t="s">
        <v>728</v>
      </c>
      <c r="AS870" s="853" t="str">
        <f>+VLOOKUP($AJ870,Data_Validation!$A:$E,5,0)</f>
        <v>#N/A</v>
      </c>
      <c r="AT870" s="794" t="str">
        <f t="shared" ref="AT870:AU870" si="1738">C870</f>
        <v>G62512</v>
      </c>
      <c r="AU870" s="854" t="str">
        <f t="shared" si="1738"/>
        <v>COUT-TOPKICK 6/7/8</v>
      </c>
      <c r="AV870" s="794">
        <f t="array" ref="AV870">IFERROR(INDEX(V870:AG870,1,MATCH(Parametres!$B$3,V$1:AG$1,0)-1)*IF(OR(C870="L",C870="S",C870="I"),-1,1),"")</f>
        <v>0</v>
      </c>
      <c r="AW870" s="794">
        <f t="shared" si="6"/>
        <v>0</v>
      </c>
      <c r="AX870" s="794">
        <f t="array" ref="AX870">INDEX(V870:AG870,1,MATCH(Parametres!$B$3,V$1:AG$1,0))*IF(OR(C870="L",C870="S",C870="I"),-1,1)</f>
        <v>0</v>
      </c>
      <c r="AY870" s="853" t="s">
        <v>772</v>
      </c>
      <c r="AZ870" s="853" t="str">
        <f>+VLOOKUP($AJ870,Data_Validation!$A:$E,5,0)</f>
        <v>#N/A</v>
      </c>
    </row>
    <row r="871" ht="15.0" customHeight="1">
      <c r="A871" s="849" t="s">
        <v>1239</v>
      </c>
      <c r="B871" s="849">
        <v>2026.0</v>
      </c>
      <c r="C871" s="849" t="s">
        <v>2944</v>
      </c>
      <c r="D871" s="849" t="s">
        <v>2945</v>
      </c>
      <c r="E871" s="849" t="s">
        <v>2072</v>
      </c>
      <c r="F871" s="849" t="s">
        <v>2855</v>
      </c>
      <c r="G871" s="849">
        <v>0.0</v>
      </c>
      <c r="H871" s="849">
        <v>0.0</v>
      </c>
      <c r="I871" s="849">
        <v>0.0</v>
      </c>
      <c r="J871" s="849">
        <v>0.0</v>
      </c>
      <c r="K871" s="849">
        <v>0.0</v>
      </c>
      <c r="L871" s="849">
        <v>0.0</v>
      </c>
      <c r="M871" s="849">
        <v>0.0</v>
      </c>
      <c r="N871" s="849">
        <v>0.0</v>
      </c>
      <c r="O871" s="849">
        <v>0.0</v>
      </c>
      <c r="P871" s="849">
        <v>0.0</v>
      </c>
      <c r="Q871" s="849">
        <v>0.0</v>
      </c>
      <c r="R871" s="849">
        <v>0.0</v>
      </c>
      <c r="S871" s="849">
        <v>0.0</v>
      </c>
      <c r="T871" s="849">
        <v>0.0</v>
      </c>
      <c r="U871" s="849">
        <v>0.0</v>
      </c>
      <c r="V871" s="849">
        <v>0.0</v>
      </c>
      <c r="W871" s="849">
        <v>0.0</v>
      </c>
      <c r="X871" s="849">
        <v>0.0</v>
      </c>
      <c r="Y871" s="849">
        <v>0.0</v>
      </c>
      <c r="Z871" s="849">
        <v>0.0</v>
      </c>
      <c r="AA871" s="849">
        <v>0.0</v>
      </c>
      <c r="AB871" s="849">
        <v>0.0</v>
      </c>
      <c r="AC871" s="849">
        <v>0.0</v>
      </c>
      <c r="AD871" s="849">
        <v>0.0</v>
      </c>
      <c r="AE871" s="849">
        <v>0.0</v>
      </c>
      <c r="AF871" s="849">
        <v>0.0</v>
      </c>
      <c r="AG871" s="849">
        <v>0.0</v>
      </c>
      <c r="AH871" s="849">
        <v>0.0</v>
      </c>
      <c r="AI871" s="849">
        <v>0.0</v>
      </c>
      <c r="AJ871" s="794" t="str">
        <f t="shared" ref="AJ871:AK871" si="1739">C871</f>
        <v>G62520</v>
      </c>
      <c r="AK871" s="794" t="str">
        <f t="shared" si="1739"/>
        <v>COUT-G EXPRESS       -LOC</v>
      </c>
      <c r="AL871" s="794">
        <f t="array" ref="AL871">IFERROR(INDEX(G871:R871,1,MATCH(Parametres!$B$3,G$1:R$1,0)-1)*IF(OR(F871="L",F871="S",F871="I"),-1,1),"")</f>
        <v>0</v>
      </c>
      <c r="AM871" s="794">
        <f t="shared" si="4"/>
        <v>0</v>
      </c>
      <c r="AN871" s="794">
        <f t="array" ref="AN871">INDEX(G871:R871,1,MATCH(Parametres!$B$3,G$1:R$1,0))*IF(OR(F871="L",F871="S",F871="I"),-1,1)</f>
        <v>0</v>
      </c>
      <c r="AO871" s="853" t="str">
        <f>+VLOOKUP($AJ871,Data_Validation!$A:$D,1,0)</f>
        <v>#N/A</v>
      </c>
      <c r="AP871" s="853" t="str">
        <f>+VLOOKUP($AJ871,Data_Validation!$A:$D,3,0)</f>
        <v>#N/A</v>
      </c>
      <c r="AQ871" s="853" t="str">
        <f>+VLOOKUP($AJ871,Data_Validation!$A:$D,4,0)</f>
        <v>#N/A</v>
      </c>
      <c r="AR871" s="853" t="s">
        <v>728</v>
      </c>
      <c r="AS871" s="853" t="str">
        <f>+VLOOKUP($AJ871,Data_Validation!$A:$E,5,0)</f>
        <v>#N/A</v>
      </c>
      <c r="AT871" s="794" t="str">
        <f t="shared" ref="AT871:AU871" si="1740">C871</f>
        <v>G62520</v>
      </c>
      <c r="AU871" s="854" t="str">
        <f t="shared" si="1740"/>
        <v>COUT-G EXPRESS       -LOC</v>
      </c>
      <c r="AV871" s="794">
        <f t="array" ref="AV871">IFERROR(INDEX(V871:AG871,1,MATCH(Parametres!$B$3,V$1:AG$1,0)-1)*IF(OR(C871="L",C871="S",C871="I"),-1,1),"")</f>
        <v>0</v>
      </c>
      <c r="AW871" s="794">
        <f t="shared" si="6"/>
        <v>0</v>
      </c>
      <c r="AX871" s="794">
        <f t="array" ref="AX871">INDEX(V871:AG871,1,MATCH(Parametres!$B$3,V$1:AG$1,0))*IF(OR(C871="L",C871="S",C871="I"),-1,1)</f>
        <v>0</v>
      </c>
      <c r="AY871" s="853" t="s">
        <v>772</v>
      </c>
      <c r="AZ871" s="853" t="str">
        <f>+VLOOKUP($AJ871,Data_Validation!$A:$E,5,0)</f>
        <v>#N/A</v>
      </c>
    </row>
    <row r="872" ht="15.0" customHeight="1">
      <c r="A872" s="849" t="s">
        <v>1239</v>
      </c>
      <c r="B872" s="849">
        <v>2026.0</v>
      </c>
      <c r="C872" s="849" t="s">
        <v>2946</v>
      </c>
      <c r="D872" s="849" t="s">
        <v>2947</v>
      </c>
      <c r="E872" s="849" t="s">
        <v>2072</v>
      </c>
      <c r="F872" s="849" t="s">
        <v>2855</v>
      </c>
      <c r="G872" s="849">
        <v>0.0</v>
      </c>
      <c r="H872" s="849">
        <v>126205.83</v>
      </c>
      <c r="I872" s="849">
        <v>126205.83</v>
      </c>
      <c r="J872" s="849">
        <v>180912.33</v>
      </c>
      <c r="K872" s="849">
        <v>234601.33</v>
      </c>
      <c r="L872" s="849">
        <v>290126.33</v>
      </c>
      <c r="M872" s="849">
        <v>400509.16</v>
      </c>
      <c r="N872" s="849">
        <v>517152.51</v>
      </c>
      <c r="O872" s="849">
        <v>517152.51</v>
      </c>
      <c r="P872" s="849">
        <v>517152.51</v>
      </c>
      <c r="Q872" s="849">
        <v>0.0</v>
      </c>
      <c r="R872" s="849">
        <v>0.0</v>
      </c>
      <c r="S872" s="849">
        <v>57461.39</v>
      </c>
      <c r="T872" s="849">
        <v>57461.39</v>
      </c>
      <c r="U872" s="849">
        <v>0.0</v>
      </c>
      <c r="V872" s="849">
        <v>0.0</v>
      </c>
      <c r="W872" s="849">
        <v>0.0</v>
      </c>
      <c r="X872" s="849">
        <v>0.0</v>
      </c>
      <c r="Y872" s="849">
        <v>0.0</v>
      </c>
      <c r="Z872" s="849">
        <v>0.0</v>
      </c>
      <c r="AA872" s="849">
        <v>0.0</v>
      </c>
      <c r="AB872" s="849">
        <v>0.0</v>
      </c>
      <c r="AC872" s="849">
        <v>0.0</v>
      </c>
      <c r="AD872" s="849">
        <v>0.0</v>
      </c>
      <c r="AE872" s="849">
        <v>0.0</v>
      </c>
      <c r="AF872" s="849">
        <v>0.0</v>
      </c>
      <c r="AG872" s="849">
        <v>0.0</v>
      </c>
      <c r="AH872" s="849">
        <v>0.0</v>
      </c>
      <c r="AI872" s="849">
        <v>0.0</v>
      </c>
      <c r="AJ872" s="794" t="str">
        <f t="shared" ref="AJ872:AK872" si="1741">C872</f>
        <v>G62600</v>
      </c>
      <c r="AK872" s="794" t="str">
        <f t="shared" si="1741"/>
        <v>COUT-SPICKUP/COLORADO</v>
      </c>
      <c r="AL872" s="794">
        <f t="array" ref="AL872">IFERROR(INDEX(G872:R872,1,MATCH(Parametres!$B$3,G$1:R$1,0)-1)*IF(OR(F872="L",F872="S",F872="I"),-1,1),"")</f>
        <v>517152.51</v>
      </c>
      <c r="AM872" s="794">
        <f t="shared" si="4"/>
        <v>0</v>
      </c>
      <c r="AN872" s="794">
        <f t="array" ref="AN872">INDEX(G872:R872,1,MATCH(Parametres!$B$3,G$1:R$1,0))*IF(OR(F872="L",F872="S",F872="I"),-1,1)</f>
        <v>517152.51</v>
      </c>
      <c r="AO872" s="853" t="str">
        <f>+VLOOKUP($AJ872,Data_Validation!$A:$D,1,0)</f>
        <v>G62600</v>
      </c>
      <c r="AP872" s="853" t="str">
        <f>+VLOOKUP($AJ872,Data_Validation!$A:$D,3,0)</f>
        <v>Véhicules neufs</v>
      </c>
      <c r="AQ872" s="853" t="str">
        <f>+VLOOKUP($AJ872,Data_Validation!$A:$D,4,0)</f>
        <v>Camions détail</v>
      </c>
      <c r="AR872" s="853" t="s">
        <v>728</v>
      </c>
      <c r="AS872" s="853" t="str">
        <f>+VLOOKUP($AJ872,Data_Validation!$A:$E,5,0)</f>
        <v/>
      </c>
      <c r="AT872" s="794" t="str">
        <f t="shared" ref="AT872:AU872" si="1742">C872</f>
        <v>G62600</v>
      </c>
      <c r="AU872" s="854" t="str">
        <f t="shared" si="1742"/>
        <v>COUT-SPICKUP/COLORADO</v>
      </c>
      <c r="AV872" s="794">
        <f t="array" ref="AV872">IFERROR(INDEX(V872:AG872,1,MATCH(Parametres!$B$3,V$1:AG$1,0)-1)*IF(OR(C872="L",C872="S",C872="I"),-1,1),"")</f>
        <v>0</v>
      </c>
      <c r="AW872" s="794">
        <f t="shared" si="6"/>
        <v>0</v>
      </c>
      <c r="AX872" s="794">
        <f t="array" ref="AX872">INDEX(V872:AG872,1,MATCH(Parametres!$B$3,V$1:AG$1,0))*IF(OR(C872="L",C872="S",C872="I"),-1,1)</f>
        <v>0</v>
      </c>
      <c r="AY872" s="853" t="s">
        <v>772</v>
      </c>
      <c r="AZ872" s="853" t="str">
        <f>+VLOOKUP($AJ872,Data_Validation!$A:$E,5,0)</f>
        <v/>
      </c>
    </row>
    <row r="873" ht="15.0" customHeight="1">
      <c r="A873" s="849" t="s">
        <v>1239</v>
      </c>
      <c r="B873" s="849">
        <v>2026.0</v>
      </c>
      <c r="C873" s="849" t="s">
        <v>2948</v>
      </c>
      <c r="D873" s="849" t="s">
        <v>2877</v>
      </c>
      <c r="E873" s="849" t="s">
        <v>2072</v>
      </c>
      <c r="F873" s="849" t="s">
        <v>2855</v>
      </c>
      <c r="G873" s="849">
        <v>64838.75</v>
      </c>
      <c r="H873" s="849">
        <v>64838.75</v>
      </c>
      <c r="I873" s="849">
        <v>64838.75</v>
      </c>
      <c r="J873" s="849">
        <v>64551.31</v>
      </c>
      <c r="K873" s="849">
        <v>64551.31</v>
      </c>
      <c r="L873" s="849">
        <v>64551.31</v>
      </c>
      <c r="M873" s="849">
        <v>127652.77</v>
      </c>
      <c r="N873" s="849">
        <v>181984.75</v>
      </c>
      <c r="O873" s="849">
        <v>301806.51</v>
      </c>
      <c r="P873" s="849">
        <v>301806.51</v>
      </c>
      <c r="Q873" s="849">
        <v>0.0</v>
      </c>
      <c r="R873" s="849">
        <v>0.0</v>
      </c>
      <c r="S873" s="849">
        <v>33534.06</v>
      </c>
      <c r="T873" s="849">
        <v>33534.06</v>
      </c>
      <c r="U873" s="849">
        <v>0.0</v>
      </c>
      <c r="V873" s="849">
        <v>0.0</v>
      </c>
      <c r="W873" s="849">
        <v>0.0</v>
      </c>
      <c r="X873" s="849">
        <v>0.0</v>
      </c>
      <c r="Y873" s="849">
        <v>0.0</v>
      </c>
      <c r="Z873" s="849">
        <v>0.0</v>
      </c>
      <c r="AA873" s="849">
        <v>0.0</v>
      </c>
      <c r="AB873" s="849">
        <v>0.0</v>
      </c>
      <c r="AC873" s="849">
        <v>0.0</v>
      </c>
      <c r="AD873" s="849">
        <v>0.0</v>
      </c>
      <c r="AE873" s="849">
        <v>0.0</v>
      </c>
      <c r="AF873" s="849">
        <v>0.0</v>
      </c>
      <c r="AG873" s="849">
        <v>0.0</v>
      </c>
      <c r="AH873" s="849">
        <v>0.0</v>
      </c>
      <c r="AI873" s="849">
        <v>0.0</v>
      </c>
      <c r="AJ873" s="794" t="str">
        <f t="shared" ref="AJ873:AK873" si="1743">C873</f>
        <v>G62602</v>
      </c>
      <c r="AK873" s="794" t="str">
        <f t="shared" si="1743"/>
        <v>COUT - GMC CANYON</v>
      </c>
      <c r="AL873" s="794">
        <f t="array" ref="AL873">IFERROR(INDEX(G873:R873,1,MATCH(Parametres!$B$3,G$1:R$1,0)-1)*IF(OR(F873="L",F873="S",F873="I"),-1,1),"")</f>
        <v>181984.75</v>
      </c>
      <c r="AM873" s="794">
        <f t="shared" si="4"/>
        <v>119821.76</v>
      </c>
      <c r="AN873" s="794">
        <f t="array" ref="AN873">INDEX(G873:R873,1,MATCH(Parametres!$B$3,G$1:R$1,0))*IF(OR(F873="L",F873="S",F873="I"),-1,1)</f>
        <v>301806.51</v>
      </c>
      <c r="AO873" s="853" t="str">
        <f>+VLOOKUP($AJ873,Data_Validation!$A:$D,1,0)</f>
        <v>G62602</v>
      </c>
      <c r="AP873" s="853" t="str">
        <f>+VLOOKUP($AJ873,Data_Validation!$A:$D,3,0)</f>
        <v>Véhicules neufs</v>
      </c>
      <c r="AQ873" s="853" t="str">
        <f>+VLOOKUP($AJ873,Data_Validation!$A:$D,4,0)</f>
        <v>Camions détail</v>
      </c>
      <c r="AR873" s="853" t="s">
        <v>728</v>
      </c>
      <c r="AS873" s="853" t="str">
        <f>+VLOOKUP($AJ873,Data_Validation!$A:$E,5,0)</f>
        <v/>
      </c>
      <c r="AT873" s="794" t="str">
        <f t="shared" ref="AT873:AU873" si="1744">C873</f>
        <v>G62602</v>
      </c>
      <c r="AU873" s="854" t="str">
        <f t="shared" si="1744"/>
        <v>COUT - GMC CANYON</v>
      </c>
      <c r="AV873" s="794">
        <f t="array" ref="AV873">IFERROR(INDEX(V873:AG873,1,MATCH(Parametres!$B$3,V$1:AG$1,0)-1)*IF(OR(C873="L",C873="S",C873="I"),-1,1),"")</f>
        <v>0</v>
      </c>
      <c r="AW873" s="794">
        <f t="shared" si="6"/>
        <v>0</v>
      </c>
      <c r="AX873" s="794">
        <f t="array" ref="AX873">INDEX(V873:AG873,1,MATCH(Parametres!$B$3,V$1:AG$1,0))*IF(OR(C873="L",C873="S",C873="I"),-1,1)</f>
        <v>0</v>
      </c>
      <c r="AY873" s="853" t="s">
        <v>772</v>
      </c>
      <c r="AZ873" s="853" t="str">
        <f>+VLOOKUP($AJ873,Data_Validation!$A:$E,5,0)</f>
        <v/>
      </c>
    </row>
    <row r="874" ht="15.0" customHeight="1">
      <c r="A874" s="849" t="s">
        <v>1239</v>
      </c>
      <c r="B874" s="849">
        <v>2026.0</v>
      </c>
      <c r="C874" s="849" t="s">
        <v>2949</v>
      </c>
      <c r="D874" s="849" t="s">
        <v>2950</v>
      </c>
      <c r="E874" s="849" t="s">
        <v>2072</v>
      </c>
      <c r="F874" s="849" t="s">
        <v>2855</v>
      </c>
      <c r="G874" s="849">
        <v>49221.14</v>
      </c>
      <c r="H874" s="849">
        <v>99180.14</v>
      </c>
      <c r="I874" s="849">
        <v>99432.5</v>
      </c>
      <c r="J874" s="849">
        <v>252596.73</v>
      </c>
      <c r="K874" s="849">
        <v>306500.73</v>
      </c>
      <c r="L874" s="849">
        <v>306500.73</v>
      </c>
      <c r="M874" s="849">
        <v>306500.73</v>
      </c>
      <c r="N874" s="849">
        <v>361915.73</v>
      </c>
      <c r="O874" s="849">
        <v>361915.73</v>
      </c>
      <c r="P874" s="849">
        <v>361915.73</v>
      </c>
      <c r="Q874" s="849">
        <v>0.0</v>
      </c>
      <c r="R874" s="849">
        <v>0.0</v>
      </c>
      <c r="S874" s="849">
        <v>40212.86</v>
      </c>
      <c r="T874" s="849">
        <v>40212.86</v>
      </c>
      <c r="U874" s="849">
        <v>0.0</v>
      </c>
      <c r="V874" s="849">
        <v>0.0</v>
      </c>
      <c r="W874" s="849">
        <v>0.0</v>
      </c>
      <c r="X874" s="849">
        <v>0.0</v>
      </c>
      <c r="Y874" s="849">
        <v>0.0</v>
      </c>
      <c r="Z874" s="849">
        <v>0.0</v>
      </c>
      <c r="AA874" s="849">
        <v>0.0</v>
      </c>
      <c r="AB874" s="849">
        <v>0.0</v>
      </c>
      <c r="AC874" s="849">
        <v>0.0</v>
      </c>
      <c r="AD874" s="849">
        <v>0.0</v>
      </c>
      <c r="AE874" s="849">
        <v>0.0</v>
      </c>
      <c r="AF874" s="849">
        <v>0.0</v>
      </c>
      <c r="AG874" s="849">
        <v>0.0</v>
      </c>
      <c r="AH874" s="849">
        <v>0.0</v>
      </c>
      <c r="AI874" s="849">
        <v>0.0</v>
      </c>
      <c r="AJ874" s="794" t="str">
        <f t="shared" ref="AJ874:AK874" si="1745">C874</f>
        <v>G62612</v>
      </c>
      <c r="AK874" s="794" t="str">
        <f t="shared" si="1745"/>
        <v>COUT-BUICK ENVISION</v>
      </c>
      <c r="AL874" s="794">
        <f t="array" ref="AL874">IFERROR(INDEX(G874:R874,1,MATCH(Parametres!$B$3,G$1:R$1,0)-1)*IF(OR(F874="L",F874="S",F874="I"),-1,1),"")</f>
        <v>361915.73</v>
      </c>
      <c r="AM874" s="794">
        <f t="shared" si="4"/>
        <v>0</v>
      </c>
      <c r="AN874" s="794">
        <f t="array" ref="AN874">INDEX(G874:R874,1,MATCH(Parametres!$B$3,G$1:R$1,0))*IF(OR(F874="L",F874="S",F874="I"),-1,1)</f>
        <v>361915.73</v>
      </c>
      <c r="AO874" s="853" t="str">
        <f>+VLOOKUP($AJ874,Data_Validation!$A:$D,1,0)</f>
        <v>G62612</v>
      </c>
      <c r="AP874" s="853" t="str">
        <f>+VLOOKUP($AJ874,Data_Validation!$A:$D,3,0)</f>
        <v>Véhicules neufs</v>
      </c>
      <c r="AQ874" s="853" t="str">
        <f>+VLOOKUP($AJ874,Data_Validation!$A:$D,4,0)</f>
        <v>Camions détail</v>
      </c>
      <c r="AR874" s="853" t="s">
        <v>728</v>
      </c>
      <c r="AS874" s="853" t="str">
        <f>+VLOOKUP($AJ874,Data_Validation!$A:$E,5,0)</f>
        <v/>
      </c>
      <c r="AT874" s="794" t="str">
        <f t="shared" ref="AT874:AU874" si="1746">C874</f>
        <v>G62612</v>
      </c>
      <c r="AU874" s="854" t="str">
        <f t="shared" si="1746"/>
        <v>COUT-BUICK ENVISION</v>
      </c>
      <c r="AV874" s="794">
        <f t="array" ref="AV874">IFERROR(INDEX(V874:AG874,1,MATCH(Parametres!$B$3,V$1:AG$1,0)-1)*IF(OR(C874="L",C874="S",C874="I"),-1,1),"")</f>
        <v>0</v>
      </c>
      <c r="AW874" s="794">
        <f t="shared" si="6"/>
        <v>0</v>
      </c>
      <c r="AX874" s="794">
        <f t="array" ref="AX874">INDEX(V874:AG874,1,MATCH(Parametres!$B$3,V$1:AG$1,0))*IF(OR(C874="L",C874="S",C874="I"),-1,1)</f>
        <v>0</v>
      </c>
      <c r="AY874" s="853" t="s">
        <v>772</v>
      </c>
      <c r="AZ874" s="853" t="str">
        <f>+VLOOKUP($AJ874,Data_Validation!$A:$E,5,0)</f>
        <v/>
      </c>
    </row>
    <row r="875" ht="15.0" customHeight="1">
      <c r="A875" s="849" t="s">
        <v>1239</v>
      </c>
      <c r="B875" s="849">
        <v>2026.0</v>
      </c>
      <c r="C875" s="849" t="s">
        <v>2951</v>
      </c>
      <c r="D875" s="849" t="s">
        <v>2952</v>
      </c>
      <c r="E875" s="849" t="s">
        <v>2072</v>
      </c>
      <c r="F875" s="849" t="s">
        <v>2855</v>
      </c>
      <c r="G875" s="849">
        <v>0.0</v>
      </c>
      <c r="H875" s="849">
        <v>0.0</v>
      </c>
      <c r="I875" s="849">
        <v>68540.09</v>
      </c>
      <c r="J875" s="849">
        <v>201546.09</v>
      </c>
      <c r="K875" s="849">
        <v>233592.09</v>
      </c>
      <c r="L875" s="849">
        <v>333834.22</v>
      </c>
      <c r="M875" s="849">
        <v>368145.9</v>
      </c>
      <c r="N875" s="849">
        <v>368145.9</v>
      </c>
      <c r="O875" s="849">
        <v>469431.43</v>
      </c>
      <c r="P875" s="849">
        <v>500762.05</v>
      </c>
      <c r="Q875" s="849">
        <v>0.0</v>
      </c>
      <c r="R875" s="849">
        <v>0.0</v>
      </c>
      <c r="S875" s="849">
        <v>52159.05</v>
      </c>
      <c r="T875" s="849">
        <v>52159.05</v>
      </c>
      <c r="U875" s="849">
        <v>0.0</v>
      </c>
      <c r="V875" s="849">
        <v>0.0</v>
      </c>
      <c r="W875" s="849">
        <v>0.0</v>
      </c>
      <c r="X875" s="849">
        <v>0.0</v>
      </c>
      <c r="Y875" s="849">
        <v>0.0</v>
      </c>
      <c r="Z875" s="849">
        <v>0.0</v>
      </c>
      <c r="AA875" s="849">
        <v>0.0</v>
      </c>
      <c r="AB875" s="849">
        <v>0.0</v>
      </c>
      <c r="AC875" s="849">
        <v>0.0</v>
      </c>
      <c r="AD875" s="849">
        <v>0.0</v>
      </c>
      <c r="AE875" s="849">
        <v>0.0</v>
      </c>
      <c r="AF875" s="849">
        <v>0.0</v>
      </c>
      <c r="AG875" s="849">
        <v>0.0</v>
      </c>
      <c r="AH875" s="849">
        <v>0.0</v>
      </c>
      <c r="AI875" s="849">
        <v>0.0</v>
      </c>
      <c r="AJ875" s="794" t="str">
        <f t="shared" ref="AJ875:AK875" si="1747">C875</f>
        <v>G62613</v>
      </c>
      <c r="AK875" s="794" t="str">
        <f t="shared" si="1747"/>
        <v>COUT-BUICK ENVISTA</v>
      </c>
      <c r="AL875" s="794">
        <f t="array" ref="AL875">IFERROR(INDEX(G875:R875,1,MATCH(Parametres!$B$3,G$1:R$1,0)-1)*IF(OR(F875="L",F875="S",F875="I"),-1,1),"")</f>
        <v>368145.9</v>
      </c>
      <c r="AM875" s="794">
        <f t="shared" si="4"/>
        <v>101285.53</v>
      </c>
      <c r="AN875" s="794">
        <f t="array" ref="AN875">INDEX(G875:R875,1,MATCH(Parametres!$B$3,G$1:R$1,0))*IF(OR(F875="L",F875="S",F875="I"),-1,1)</f>
        <v>469431.43</v>
      </c>
      <c r="AO875" s="853" t="str">
        <f>+VLOOKUP($AJ875,Data_Validation!$A:$D,1,0)</f>
        <v>G62613</v>
      </c>
      <c r="AP875" s="853" t="str">
        <f>+VLOOKUP($AJ875,Data_Validation!$A:$D,3,0)</f>
        <v>Véhicules neufs</v>
      </c>
      <c r="AQ875" s="853" t="str">
        <f>+VLOOKUP($AJ875,Data_Validation!$A:$D,4,0)</f>
        <v>Camions détail</v>
      </c>
      <c r="AR875" s="853" t="s">
        <v>728</v>
      </c>
      <c r="AS875" s="853" t="str">
        <f>+VLOOKUP($AJ875,Data_Validation!$A:$E,5,0)</f>
        <v/>
      </c>
      <c r="AT875" s="794" t="str">
        <f t="shared" ref="AT875:AU875" si="1748">C875</f>
        <v>G62613</v>
      </c>
      <c r="AU875" s="854" t="str">
        <f t="shared" si="1748"/>
        <v>COUT-BUICK ENVISTA</v>
      </c>
      <c r="AV875" s="794">
        <f t="array" ref="AV875">IFERROR(INDEX(V875:AG875,1,MATCH(Parametres!$B$3,V$1:AG$1,0)-1)*IF(OR(C875="L",C875="S",C875="I"),-1,1),"")</f>
        <v>0</v>
      </c>
      <c r="AW875" s="794">
        <f t="shared" si="6"/>
        <v>0</v>
      </c>
      <c r="AX875" s="794">
        <f t="array" ref="AX875">INDEX(V875:AG875,1,MATCH(Parametres!$B$3,V$1:AG$1,0))*IF(OR(C875="L",C875="S",C875="I"),-1,1)</f>
        <v>0</v>
      </c>
      <c r="AY875" s="853" t="s">
        <v>772</v>
      </c>
      <c r="AZ875" s="853" t="str">
        <f>+VLOOKUP($AJ875,Data_Validation!$A:$E,5,0)</f>
        <v/>
      </c>
    </row>
    <row r="876" ht="15.0" customHeight="1">
      <c r="A876" s="849" t="s">
        <v>1239</v>
      </c>
      <c r="B876" s="849">
        <v>2026.0</v>
      </c>
      <c r="C876" s="849" t="s">
        <v>2953</v>
      </c>
      <c r="D876" s="849" t="s">
        <v>2954</v>
      </c>
      <c r="E876" s="849" t="s">
        <v>2072</v>
      </c>
      <c r="F876" s="849" t="s">
        <v>2855</v>
      </c>
      <c r="G876" s="849">
        <v>0.0</v>
      </c>
      <c r="H876" s="849">
        <v>0.0</v>
      </c>
      <c r="I876" s="849">
        <v>0.0</v>
      </c>
      <c r="J876" s="849">
        <v>0.0</v>
      </c>
      <c r="K876" s="849">
        <v>0.0</v>
      </c>
      <c r="L876" s="849">
        <v>0.0</v>
      </c>
      <c r="M876" s="849">
        <v>0.0</v>
      </c>
      <c r="N876" s="849">
        <v>0.0</v>
      </c>
      <c r="O876" s="849">
        <v>0.0</v>
      </c>
      <c r="P876" s="849">
        <v>0.0</v>
      </c>
      <c r="Q876" s="849">
        <v>0.0</v>
      </c>
      <c r="R876" s="849">
        <v>0.0</v>
      </c>
      <c r="S876" s="849">
        <v>0.0</v>
      </c>
      <c r="T876" s="849">
        <v>0.0</v>
      </c>
      <c r="U876" s="849">
        <v>0.0</v>
      </c>
      <c r="V876" s="849">
        <v>0.0</v>
      </c>
      <c r="W876" s="849">
        <v>0.0</v>
      </c>
      <c r="X876" s="849">
        <v>0.0</v>
      </c>
      <c r="Y876" s="849">
        <v>0.0</v>
      </c>
      <c r="Z876" s="849">
        <v>0.0</v>
      </c>
      <c r="AA876" s="849">
        <v>0.0</v>
      </c>
      <c r="AB876" s="849">
        <v>0.0</v>
      </c>
      <c r="AC876" s="849">
        <v>0.0</v>
      </c>
      <c r="AD876" s="849">
        <v>0.0</v>
      </c>
      <c r="AE876" s="849">
        <v>0.0</v>
      </c>
      <c r="AF876" s="849">
        <v>0.0</v>
      </c>
      <c r="AG876" s="849">
        <v>0.0</v>
      </c>
      <c r="AH876" s="849">
        <v>0.0</v>
      </c>
      <c r="AI876" s="849">
        <v>0.0</v>
      </c>
      <c r="AJ876" s="794" t="str">
        <f t="shared" ref="AJ876:AK876" si="1749">C876</f>
        <v>G62620</v>
      </c>
      <c r="AK876" s="794" t="str">
        <f t="shared" si="1749"/>
        <v>COUT-SPICKUP/COLORADO-LOC</v>
      </c>
      <c r="AL876" s="794">
        <f t="array" ref="AL876">IFERROR(INDEX(G876:R876,1,MATCH(Parametres!$B$3,G$1:R$1,0)-1)*IF(OR(F876="L",F876="S",F876="I"),-1,1),"")</f>
        <v>0</v>
      </c>
      <c r="AM876" s="794">
        <f t="shared" si="4"/>
        <v>0</v>
      </c>
      <c r="AN876" s="794">
        <f t="array" ref="AN876">INDEX(G876:R876,1,MATCH(Parametres!$B$3,G$1:R$1,0))*IF(OR(F876="L",F876="S",F876="I"),-1,1)</f>
        <v>0</v>
      </c>
      <c r="AO876" s="853" t="str">
        <f>+VLOOKUP($AJ876,Data_Validation!$A:$D,1,0)</f>
        <v>#N/A</v>
      </c>
      <c r="AP876" s="853" t="str">
        <f>+VLOOKUP($AJ876,Data_Validation!$A:$D,3,0)</f>
        <v>#N/A</v>
      </c>
      <c r="AQ876" s="853" t="str">
        <f>+VLOOKUP($AJ876,Data_Validation!$A:$D,4,0)</f>
        <v>#N/A</v>
      </c>
      <c r="AR876" s="853" t="s">
        <v>728</v>
      </c>
      <c r="AS876" s="853" t="str">
        <f>+VLOOKUP($AJ876,Data_Validation!$A:$E,5,0)</f>
        <v>#N/A</v>
      </c>
      <c r="AT876" s="794" t="str">
        <f t="shared" ref="AT876:AU876" si="1750">C876</f>
        <v>G62620</v>
      </c>
      <c r="AU876" s="854" t="str">
        <f t="shared" si="1750"/>
        <v>COUT-SPICKUP/COLORADO-LOC</v>
      </c>
      <c r="AV876" s="794">
        <f t="array" ref="AV876">IFERROR(INDEX(V876:AG876,1,MATCH(Parametres!$B$3,V$1:AG$1,0)-1)*IF(OR(C876="L",C876="S",C876="I"),-1,1),"")</f>
        <v>0</v>
      </c>
      <c r="AW876" s="794">
        <f t="shared" si="6"/>
        <v>0</v>
      </c>
      <c r="AX876" s="794">
        <f t="array" ref="AX876">INDEX(V876:AG876,1,MATCH(Parametres!$B$3,V$1:AG$1,0))*IF(OR(C876="L",C876="S",C876="I"),-1,1)</f>
        <v>0</v>
      </c>
      <c r="AY876" s="853" t="s">
        <v>772</v>
      </c>
      <c r="AZ876" s="853" t="str">
        <f>+VLOOKUP($AJ876,Data_Validation!$A:$E,5,0)</f>
        <v>#N/A</v>
      </c>
    </row>
    <row r="877" ht="15.0" customHeight="1">
      <c r="A877" s="849" t="s">
        <v>1239</v>
      </c>
      <c r="B877" s="849">
        <v>2026.0</v>
      </c>
      <c r="C877" s="849" t="s">
        <v>2955</v>
      </c>
      <c r="D877" s="849" t="s">
        <v>2956</v>
      </c>
      <c r="E877" s="849" t="s">
        <v>2072</v>
      </c>
      <c r="F877" s="849" t="s">
        <v>2855</v>
      </c>
      <c r="G877" s="849">
        <v>59099.95</v>
      </c>
      <c r="H877" s="849">
        <v>116082.85</v>
      </c>
      <c r="I877" s="849">
        <v>116082.85</v>
      </c>
      <c r="J877" s="849">
        <v>175743.94</v>
      </c>
      <c r="K877" s="849">
        <v>243964.63</v>
      </c>
      <c r="L877" s="849">
        <v>300223.63</v>
      </c>
      <c r="M877" s="849">
        <v>496266.72</v>
      </c>
      <c r="N877" s="849">
        <v>496266.72</v>
      </c>
      <c r="O877" s="849">
        <v>685267.56</v>
      </c>
      <c r="P877" s="849">
        <v>685267.56</v>
      </c>
      <c r="Q877" s="849">
        <v>0.0</v>
      </c>
      <c r="R877" s="849">
        <v>0.0</v>
      </c>
      <c r="S877" s="849">
        <v>76140.84</v>
      </c>
      <c r="T877" s="849">
        <v>76140.84</v>
      </c>
      <c r="U877" s="849">
        <v>0.0</v>
      </c>
      <c r="V877" s="849">
        <v>0.0</v>
      </c>
      <c r="W877" s="849">
        <v>0.0</v>
      </c>
      <c r="X877" s="849">
        <v>0.0</v>
      </c>
      <c r="Y877" s="849">
        <v>0.0</v>
      </c>
      <c r="Z877" s="849">
        <v>0.0</v>
      </c>
      <c r="AA877" s="849">
        <v>0.0</v>
      </c>
      <c r="AB877" s="849">
        <v>0.0</v>
      </c>
      <c r="AC877" s="849">
        <v>0.0</v>
      </c>
      <c r="AD877" s="849">
        <v>0.0</v>
      </c>
      <c r="AE877" s="849">
        <v>0.0</v>
      </c>
      <c r="AF877" s="849">
        <v>0.0</v>
      </c>
      <c r="AG877" s="849">
        <v>0.0</v>
      </c>
      <c r="AH877" s="849">
        <v>0.0</v>
      </c>
      <c r="AI877" s="849">
        <v>0.0</v>
      </c>
      <c r="AJ877" s="794" t="str">
        <f t="shared" ref="AJ877:AK877" si="1751">C877</f>
        <v>G62700</v>
      </c>
      <c r="AK877" s="794" t="str">
        <f t="shared" si="1751"/>
        <v>COUT-TRAVERSE</v>
      </c>
      <c r="AL877" s="794">
        <f t="array" ref="AL877">IFERROR(INDEX(G877:R877,1,MATCH(Parametres!$B$3,G$1:R$1,0)-1)*IF(OR(F877="L",F877="S",F877="I"),-1,1),"")</f>
        <v>496266.72</v>
      </c>
      <c r="AM877" s="794">
        <f t="shared" si="4"/>
        <v>189000.84</v>
      </c>
      <c r="AN877" s="794">
        <f t="array" ref="AN877">INDEX(G877:R877,1,MATCH(Parametres!$B$3,G$1:R$1,0))*IF(OR(F877="L",F877="S",F877="I"),-1,1)</f>
        <v>685267.56</v>
      </c>
      <c r="AO877" s="853" t="str">
        <f>+VLOOKUP($AJ877,Data_Validation!$A:$D,1,0)</f>
        <v>G62700</v>
      </c>
      <c r="AP877" s="853" t="str">
        <f>+VLOOKUP($AJ877,Data_Validation!$A:$D,3,0)</f>
        <v>Véhicules neufs</v>
      </c>
      <c r="AQ877" s="853" t="str">
        <f>+VLOOKUP($AJ877,Data_Validation!$A:$D,4,0)</f>
        <v>Camions détail</v>
      </c>
      <c r="AR877" s="853" t="s">
        <v>728</v>
      </c>
      <c r="AS877" s="853" t="str">
        <f>+VLOOKUP($AJ877,Data_Validation!$A:$E,5,0)</f>
        <v/>
      </c>
      <c r="AT877" s="794" t="str">
        <f t="shared" ref="AT877:AU877" si="1752">C877</f>
        <v>G62700</v>
      </c>
      <c r="AU877" s="854" t="str">
        <f t="shared" si="1752"/>
        <v>COUT-TRAVERSE</v>
      </c>
      <c r="AV877" s="794">
        <f t="array" ref="AV877">IFERROR(INDEX(V877:AG877,1,MATCH(Parametres!$B$3,V$1:AG$1,0)-1)*IF(OR(C877="L",C877="S",C877="I"),-1,1),"")</f>
        <v>0</v>
      </c>
      <c r="AW877" s="794">
        <f t="shared" si="6"/>
        <v>0</v>
      </c>
      <c r="AX877" s="794">
        <f t="array" ref="AX877">INDEX(V877:AG877,1,MATCH(Parametres!$B$3,V$1:AG$1,0))*IF(OR(C877="L",C877="S",C877="I"),-1,1)</f>
        <v>0</v>
      </c>
      <c r="AY877" s="853" t="s">
        <v>772</v>
      </c>
      <c r="AZ877" s="853" t="str">
        <f>+VLOOKUP($AJ877,Data_Validation!$A:$E,5,0)</f>
        <v/>
      </c>
    </row>
    <row r="878" ht="15.0" customHeight="1">
      <c r="A878" s="849" t="s">
        <v>1239</v>
      </c>
      <c r="B878" s="849">
        <v>2026.0</v>
      </c>
      <c r="C878" s="849" t="s">
        <v>2957</v>
      </c>
      <c r="D878" s="849" t="s">
        <v>2958</v>
      </c>
      <c r="E878" s="849" t="s">
        <v>2072</v>
      </c>
      <c r="F878" s="849" t="s">
        <v>2855</v>
      </c>
      <c r="G878" s="849">
        <v>0.0</v>
      </c>
      <c r="H878" s="849">
        <v>0.0</v>
      </c>
      <c r="I878" s="849">
        <v>0.0</v>
      </c>
      <c r="J878" s="849">
        <v>75348.5</v>
      </c>
      <c r="K878" s="849">
        <v>138372.42</v>
      </c>
      <c r="L878" s="849">
        <v>138372.42</v>
      </c>
      <c r="M878" s="849">
        <v>138372.42</v>
      </c>
      <c r="N878" s="849">
        <v>138372.42</v>
      </c>
      <c r="O878" s="849">
        <v>138372.42</v>
      </c>
      <c r="P878" s="849">
        <v>138372.42</v>
      </c>
      <c r="Q878" s="849">
        <v>0.0</v>
      </c>
      <c r="R878" s="849">
        <v>0.0</v>
      </c>
      <c r="S878" s="849">
        <v>15374.71</v>
      </c>
      <c r="T878" s="849">
        <v>15374.71</v>
      </c>
      <c r="U878" s="849">
        <v>0.0</v>
      </c>
      <c r="V878" s="849">
        <v>0.0</v>
      </c>
      <c r="W878" s="849">
        <v>0.0</v>
      </c>
      <c r="X878" s="849">
        <v>0.0</v>
      </c>
      <c r="Y878" s="849">
        <v>0.0</v>
      </c>
      <c r="Z878" s="849">
        <v>0.0</v>
      </c>
      <c r="AA878" s="849">
        <v>0.0</v>
      </c>
      <c r="AB878" s="849">
        <v>0.0</v>
      </c>
      <c r="AC878" s="849">
        <v>0.0</v>
      </c>
      <c r="AD878" s="849">
        <v>0.0</v>
      </c>
      <c r="AE878" s="849">
        <v>0.0</v>
      </c>
      <c r="AF878" s="849">
        <v>0.0</v>
      </c>
      <c r="AG878" s="849">
        <v>0.0</v>
      </c>
      <c r="AH878" s="849">
        <v>0.0</v>
      </c>
      <c r="AI878" s="849">
        <v>0.0</v>
      </c>
      <c r="AJ878" s="794" t="str">
        <f t="shared" ref="AJ878:AK878" si="1753">C878</f>
        <v>G62800</v>
      </c>
      <c r="AK878" s="794" t="str">
        <f t="shared" si="1753"/>
        <v>COÛTANT BUICK ENCLAVE</v>
      </c>
      <c r="AL878" s="794">
        <f t="array" ref="AL878">IFERROR(INDEX(G878:R878,1,MATCH(Parametres!$B$3,G$1:R$1,0)-1)*IF(OR(F878="L",F878="S",F878="I"),-1,1),"")</f>
        <v>138372.42</v>
      </c>
      <c r="AM878" s="794">
        <f t="shared" si="4"/>
        <v>0</v>
      </c>
      <c r="AN878" s="794">
        <f t="array" ref="AN878">INDEX(G878:R878,1,MATCH(Parametres!$B$3,G$1:R$1,0))*IF(OR(F878="L",F878="S",F878="I"),-1,1)</f>
        <v>138372.42</v>
      </c>
      <c r="AO878" s="853" t="str">
        <f>+VLOOKUP($AJ878,Data_Validation!$A:$D,1,0)</f>
        <v>G62800</v>
      </c>
      <c r="AP878" s="853" t="str">
        <f>+VLOOKUP($AJ878,Data_Validation!$A:$D,3,0)</f>
        <v>Véhicules neufs</v>
      </c>
      <c r="AQ878" s="853" t="str">
        <f>+VLOOKUP($AJ878,Data_Validation!$A:$D,4,0)</f>
        <v>Camions détail</v>
      </c>
      <c r="AR878" s="853" t="s">
        <v>728</v>
      </c>
      <c r="AS878" s="853" t="str">
        <f>+VLOOKUP($AJ878,Data_Validation!$A:$E,5,0)</f>
        <v/>
      </c>
      <c r="AT878" s="794" t="str">
        <f t="shared" ref="AT878:AU878" si="1754">C878</f>
        <v>G62800</v>
      </c>
      <c r="AU878" s="854" t="str">
        <f t="shared" si="1754"/>
        <v>COÛTANT BUICK ENCLAVE</v>
      </c>
      <c r="AV878" s="794">
        <f t="array" ref="AV878">IFERROR(INDEX(V878:AG878,1,MATCH(Parametres!$B$3,V$1:AG$1,0)-1)*IF(OR(C878="L",C878="S",C878="I"),-1,1),"")</f>
        <v>0</v>
      </c>
      <c r="AW878" s="794">
        <f t="shared" si="6"/>
        <v>0</v>
      </c>
      <c r="AX878" s="794">
        <f t="array" ref="AX878">INDEX(V878:AG878,1,MATCH(Parametres!$B$3,V$1:AG$1,0))*IF(OR(C878="L",C878="S",C878="I"),-1,1)</f>
        <v>0</v>
      </c>
      <c r="AY878" s="853" t="s">
        <v>772</v>
      </c>
      <c r="AZ878" s="853" t="str">
        <f>+VLOOKUP($AJ878,Data_Validation!$A:$E,5,0)</f>
        <v/>
      </c>
    </row>
    <row r="879" ht="15.0" customHeight="1">
      <c r="A879" s="849" t="s">
        <v>1239</v>
      </c>
      <c r="B879" s="849">
        <v>2026.0</v>
      </c>
      <c r="C879" s="849" t="s">
        <v>2959</v>
      </c>
      <c r="D879" s="849" t="s">
        <v>2960</v>
      </c>
      <c r="E879" s="849" t="s">
        <v>2072</v>
      </c>
      <c r="F879" s="849" t="s">
        <v>2855</v>
      </c>
      <c r="G879" s="849">
        <v>39100.9</v>
      </c>
      <c r="H879" s="849">
        <v>73216.85</v>
      </c>
      <c r="I879" s="849">
        <v>73216.85</v>
      </c>
      <c r="J879" s="849">
        <v>111303.69</v>
      </c>
      <c r="K879" s="849">
        <v>111303.69</v>
      </c>
      <c r="L879" s="849">
        <v>183089.15</v>
      </c>
      <c r="M879" s="849">
        <v>183089.15</v>
      </c>
      <c r="N879" s="849">
        <v>219797.95</v>
      </c>
      <c r="O879" s="849">
        <v>327347.0</v>
      </c>
      <c r="P879" s="849">
        <v>327347.0</v>
      </c>
      <c r="Q879" s="849">
        <v>0.0</v>
      </c>
      <c r="R879" s="849">
        <v>0.0</v>
      </c>
      <c r="S879" s="849">
        <v>36371.89</v>
      </c>
      <c r="T879" s="849">
        <v>36371.89</v>
      </c>
      <c r="U879" s="849">
        <v>0.0</v>
      </c>
      <c r="V879" s="849">
        <v>0.0</v>
      </c>
      <c r="W879" s="849">
        <v>0.0</v>
      </c>
      <c r="X879" s="849">
        <v>0.0</v>
      </c>
      <c r="Y879" s="849">
        <v>0.0</v>
      </c>
      <c r="Z879" s="849">
        <v>0.0</v>
      </c>
      <c r="AA879" s="849">
        <v>0.0</v>
      </c>
      <c r="AB879" s="849">
        <v>0.0</v>
      </c>
      <c r="AC879" s="849">
        <v>0.0</v>
      </c>
      <c r="AD879" s="849">
        <v>0.0</v>
      </c>
      <c r="AE879" s="849">
        <v>0.0</v>
      </c>
      <c r="AF879" s="849">
        <v>0.0</v>
      </c>
      <c r="AG879" s="849">
        <v>0.0</v>
      </c>
      <c r="AH879" s="849">
        <v>0.0</v>
      </c>
      <c r="AI879" s="849">
        <v>0.0</v>
      </c>
      <c r="AJ879" s="794" t="str">
        <f t="shared" ref="AJ879:AK879" si="1755">C879</f>
        <v>G62804</v>
      </c>
      <c r="AK879" s="794" t="str">
        <f t="shared" si="1755"/>
        <v>COUT BUICK ENCORE</v>
      </c>
      <c r="AL879" s="794">
        <f t="array" ref="AL879">IFERROR(INDEX(G879:R879,1,MATCH(Parametres!$B$3,G$1:R$1,0)-1)*IF(OR(F879="L",F879="S",F879="I"),-1,1),"")</f>
        <v>219797.95</v>
      </c>
      <c r="AM879" s="794">
        <f t="shared" si="4"/>
        <v>107549.05</v>
      </c>
      <c r="AN879" s="794">
        <f t="array" ref="AN879">INDEX(G879:R879,1,MATCH(Parametres!$B$3,G$1:R$1,0))*IF(OR(F879="L",F879="S",F879="I"),-1,1)</f>
        <v>327347</v>
      </c>
      <c r="AO879" s="853" t="str">
        <f>+VLOOKUP($AJ879,Data_Validation!$A:$D,1,0)</f>
        <v>G62804</v>
      </c>
      <c r="AP879" s="853" t="str">
        <f>+VLOOKUP($AJ879,Data_Validation!$A:$D,3,0)</f>
        <v>Véhicules neufs</v>
      </c>
      <c r="AQ879" s="853" t="str">
        <f>+VLOOKUP($AJ879,Data_Validation!$A:$D,4,0)</f>
        <v>Camions détail</v>
      </c>
      <c r="AR879" s="853" t="s">
        <v>728</v>
      </c>
      <c r="AS879" s="853" t="str">
        <f>+VLOOKUP($AJ879,Data_Validation!$A:$E,5,0)</f>
        <v/>
      </c>
      <c r="AT879" s="794" t="str">
        <f t="shared" ref="AT879:AU879" si="1756">C879</f>
        <v>G62804</v>
      </c>
      <c r="AU879" s="854" t="str">
        <f t="shared" si="1756"/>
        <v>COUT BUICK ENCORE</v>
      </c>
      <c r="AV879" s="794">
        <f t="array" ref="AV879">IFERROR(INDEX(V879:AG879,1,MATCH(Parametres!$B$3,V$1:AG$1,0)-1)*IF(OR(C879="L",C879="S",C879="I"),-1,1),"")</f>
        <v>0</v>
      </c>
      <c r="AW879" s="794">
        <f t="shared" si="6"/>
        <v>0</v>
      </c>
      <c r="AX879" s="794">
        <f t="array" ref="AX879">INDEX(V879:AG879,1,MATCH(Parametres!$B$3,V$1:AG$1,0))*IF(OR(C879="L",C879="S",C879="I"),-1,1)</f>
        <v>0</v>
      </c>
      <c r="AY879" s="853" t="s">
        <v>772</v>
      </c>
      <c r="AZ879" s="853" t="str">
        <f>+VLOOKUP($AJ879,Data_Validation!$A:$E,5,0)</f>
        <v/>
      </c>
    </row>
    <row r="880" ht="15.0" customHeight="1">
      <c r="A880" s="849" t="s">
        <v>1239</v>
      </c>
      <c r="B880" s="849">
        <v>2026.0</v>
      </c>
      <c r="C880" s="849" t="s">
        <v>2961</v>
      </c>
      <c r="D880" s="849" t="s">
        <v>2962</v>
      </c>
      <c r="E880" s="849" t="s">
        <v>2072</v>
      </c>
      <c r="F880" s="849" t="s">
        <v>2855</v>
      </c>
      <c r="G880" s="849">
        <v>0.0</v>
      </c>
      <c r="H880" s="849">
        <v>0.0</v>
      </c>
      <c r="I880" s="849">
        <v>0.0</v>
      </c>
      <c r="J880" s="849">
        <v>0.0</v>
      </c>
      <c r="K880" s="849">
        <v>0.0</v>
      </c>
      <c r="L880" s="849">
        <v>0.0</v>
      </c>
      <c r="M880" s="849">
        <v>0.0</v>
      </c>
      <c r="N880" s="849">
        <v>0.0</v>
      </c>
      <c r="O880" s="849">
        <v>0.0</v>
      </c>
      <c r="P880" s="849">
        <v>0.0</v>
      </c>
      <c r="Q880" s="849">
        <v>0.0</v>
      </c>
      <c r="R880" s="849">
        <v>0.0</v>
      </c>
      <c r="S880" s="849">
        <v>0.0</v>
      </c>
      <c r="T880" s="849">
        <v>0.0</v>
      </c>
      <c r="U880" s="849">
        <v>0.0</v>
      </c>
      <c r="V880" s="849">
        <v>0.0</v>
      </c>
      <c r="W880" s="849">
        <v>0.0</v>
      </c>
      <c r="X880" s="849">
        <v>0.0</v>
      </c>
      <c r="Y880" s="849">
        <v>0.0</v>
      </c>
      <c r="Z880" s="849">
        <v>0.0</v>
      </c>
      <c r="AA880" s="849">
        <v>0.0</v>
      </c>
      <c r="AB880" s="849">
        <v>0.0</v>
      </c>
      <c r="AC880" s="849">
        <v>0.0</v>
      </c>
      <c r="AD880" s="849">
        <v>0.0</v>
      </c>
      <c r="AE880" s="849">
        <v>0.0</v>
      </c>
      <c r="AF880" s="849">
        <v>0.0</v>
      </c>
      <c r="AG880" s="849">
        <v>0.0</v>
      </c>
      <c r="AH880" s="849">
        <v>0.0</v>
      </c>
      <c r="AI880" s="849">
        <v>0.0</v>
      </c>
      <c r="AJ880" s="794" t="str">
        <f t="shared" ref="AJ880:AK880" si="1757">C880</f>
        <v>G62820</v>
      </c>
      <c r="AK880" s="794" t="str">
        <f t="shared" si="1757"/>
        <v>COUT-TRAIL BALZER    -LOC</v>
      </c>
      <c r="AL880" s="794">
        <f t="array" ref="AL880">IFERROR(INDEX(G880:R880,1,MATCH(Parametres!$B$3,G$1:R$1,0)-1)*IF(OR(F880="L",F880="S",F880="I"),-1,1),"")</f>
        <v>0</v>
      </c>
      <c r="AM880" s="794">
        <f t="shared" si="4"/>
        <v>0</v>
      </c>
      <c r="AN880" s="794">
        <f t="array" ref="AN880">INDEX(G880:R880,1,MATCH(Parametres!$B$3,G$1:R$1,0))*IF(OR(F880="L",F880="S",F880="I"),-1,1)</f>
        <v>0</v>
      </c>
      <c r="AO880" s="853" t="str">
        <f>+VLOOKUP($AJ880,Data_Validation!$A:$D,1,0)</f>
        <v>#N/A</v>
      </c>
      <c r="AP880" s="853" t="str">
        <f>+VLOOKUP($AJ880,Data_Validation!$A:$D,3,0)</f>
        <v>#N/A</v>
      </c>
      <c r="AQ880" s="853" t="str">
        <f>+VLOOKUP($AJ880,Data_Validation!$A:$D,4,0)</f>
        <v>#N/A</v>
      </c>
      <c r="AR880" s="853" t="s">
        <v>728</v>
      </c>
      <c r="AS880" s="853" t="str">
        <f>+VLOOKUP($AJ880,Data_Validation!$A:$E,5,0)</f>
        <v>#N/A</v>
      </c>
      <c r="AT880" s="794" t="str">
        <f t="shared" ref="AT880:AU880" si="1758">C880</f>
        <v>G62820</v>
      </c>
      <c r="AU880" s="854" t="str">
        <f t="shared" si="1758"/>
        <v>COUT-TRAIL BALZER    -LOC</v>
      </c>
      <c r="AV880" s="794">
        <f t="array" ref="AV880">IFERROR(INDEX(V880:AG880,1,MATCH(Parametres!$B$3,V$1:AG$1,0)-1)*IF(OR(C880="L",C880="S",C880="I"),-1,1),"")</f>
        <v>0</v>
      </c>
      <c r="AW880" s="794">
        <f t="shared" si="6"/>
        <v>0</v>
      </c>
      <c r="AX880" s="794">
        <f t="array" ref="AX880">INDEX(V880:AG880,1,MATCH(Parametres!$B$3,V$1:AG$1,0))*IF(OR(C880="L",C880="S",C880="I"),-1,1)</f>
        <v>0</v>
      </c>
      <c r="AY880" s="853" t="s">
        <v>772</v>
      </c>
      <c r="AZ880" s="853" t="str">
        <f>+VLOOKUP($AJ880,Data_Validation!$A:$E,5,0)</f>
        <v>#N/A</v>
      </c>
    </row>
    <row r="881" ht="15.0" customHeight="1">
      <c r="A881" s="849" t="s">
        <v>1239</v>
      </c>
      <c r="B881" s="849">
        <v>2026.0</v>
      </c>
      <c r="C881" s="849" t="s">
        <v>2963</v>
      </c>
      <c r="D881" s="849" t="s">
        <v>2964</v>
      </c>
      <c r="E881" s="849" t="s">
        <v>2072</v>
      </c>
      <c r="F881" s="849" t="s">
        <v>2855</v>
      </c>
      <c r="G881" s="849">
        <v>163604.8</v>
      </c>
      <c r="H881" s="849">
        <v>254067.85</v>
      </c>
      <c r="I881" s="849">
        <v>348128.49</v>
      </c>
      <c r="J881" s="849">
        <v>469050.88</v>
      </c>
      <c r="K881" s="849">
        <v>533516.16</v>
      </c>
      <c r="L881" s="849">
        <v>562547.81</v>
      </c>
      <c r="M881" s="849">
        <v>715139.27</v>
      </c>
      <c r="N881" s="849">
        <v>799710.65</v>
      </c>
      <c r="O881" s="849">
        <v>925165.27</v>
      </c>
      <c r="P881" s="849">
        <v>992822.58</v>
      </c>
      <c r="Q881" s="849">
        <v>0.0</v>
      </c>
      <c r="R881" s="849">
        <v>0.0</v>
      </c>
      <c r="S881" s="849">
        <v>102796.14</v>
      </c>
      <c r="T881" s="849">
        <v>102796.14</v>
      </c>
      <c r="U881" s="849">
        <v>0.0</v>
      </c>
      <c r="V881" s="849">
        <v>0.0</v>
      </c>
      <c r="W881" s="849">
        <v>0.0</v>
      </c>
      <c r="X881" s="849">
        <v>0.0</v>
      </c>
      <c r="Y881" s="849">
        <v>0.0</v>
      </c>
      <c r="Z881" s="849">
        <v>0.0</v>
      </c>
      <c r="AA881" s="849">
        <v>0.0</v>
      </c>
      <c r="AB881" s="849">
        <v>0.0</v>
      </c>
      <c r="AC881" s="849">
        <v>0.0</v>
      </c>
      <c r="AD881" s="849">
        <v>0.0</v>
      </c>
      <c r="AE881" s="849">
        <v>0.0</v>
      </c>
      <c r="AF881" s="849">
        <v>0.0</v>
      </c>
      <c r="AG881" s="849">
        <v>0.0</v>
      </c>
      <c r="AH881" s="849">
        <v>0.0</v>
      </c>
      <c r="AI881" s="849">
        <v>0.0</v>
      </c>
      <c r="AJ881" s="794" t="str">
        <f t="shared" ref="AJ881:AK881" si="1759">C881</f>
        <v>G62850</v>
      </c>
      <c r="AK881" s="794" t="str">
        <f t="shared" si="1759"/>
        <v>COUTANT CHEVROLET TRAX</v>
      </c>
      <c r="AL881" s="794">
        <f t="array" ref="AL881">IFERROR(INDEX(G881:R881,1,MATCH(Parametres!$B$3,G$1:R$1,0)-1)*IF(OR(F881="L",F881="S",F881="I"),-1,1),"")</f>
        <v>799710.65</v>
      </c>
      <c r="AM881" s="794">
        <f t="shared" si="4"/>
        <v>125454.62</v>
      </c>
      <c r="AN881" s="794">
        <f t="array" ref="AN881">INDEX(G881:R881,1,MATCH(Parametres!$B$3,G$1:R$1,0))*IF(OR(F881="L",F881="S",F881="I"),-1,1)</f>
        <v>925165.27</v>
      </c>
      <c r="AO881" s="853" t="str">
        <f>+VLOOKUP($AJ881,Data_Validation!$A:$D,1,0)</f>
        <v>G62850</v>
      </c>
      <c r="AP881" s="853" t="str">
        <f>+VLOOKUP($AJ881,Data_Validation!$A:$D,3,0)</f>
        <v>Véhicules neufs</v>
      </c>
      <c r="AQ881" s="853" t="str">
        <f>+VLOOKUP($AJ881,Data_Validation!$A:$D,4,0)</f>
        <v>Camions détail</v>
      </c>
      <c r="AR881" s="853" t="s">
        <v>728</v>
      </c>
      <c r="AS881" s="853" t="str">
        <f>+VLOOKUP($AJ881,Data_Validation!$A:$E,5,0)</f>
        <v/>
      </c>
      <c r="AT881" s="794" t="str">
        <f t="shared" ref="AT881:AU881" si="1760">C881</f>
        <v>G62850</v>
      </c>
      <c r="AU881" s="854" t="str">
        <f t="shared" si="1760"/>
        <v>COUTANT CHEVROLET TRAX</v>
      </c>
      <c r="AV881" s="794">
        <f t="array" ref="AV881">IFERROR(INDEX(V881:AG881,1,MATCH(Parametres!$B$3,V$1:AG$1,0)-1)*IF(OR(C881="L",C881="S",C881="I"),-1,1),"")</f>
        <v>0</v>
      </c>
      <c r="AW881" s="794">
        <f t="shared" si="6"/>
        <v>0</v>
      </c>
      <c r="AX881" s="794">
        <f t="array" ref="AX881">INDEX(V881:AG881,1,MATCH(Parametres!$B$3,V$1:AG$1,0))*IF(OR(C881="L",C881="S",C881="I"),-1,1)</f>
        <v>0</v>
      </c>
      <c r="AY881" s="853" t="s">
        <v>772</v>
      </c>
      <c r="AZ881" s="853" t="str">
        <f>+VLOOKUP($AJ881,Data_Validation!$A:$E,5,0)</f>
        <v/>
      </c>
    </row>
    <row r="882" ht="15.0" customHeight="1">
      <c r="A882" s="849" t="s">
        <v>1239</v>
      </c>
      <c r="B882" s="849">
        <v>2026.0</v>
      </c>
      <c r="C882" s="849" t="s">
        <v>2965</v>
      </c>
      <c r="D882" s="849" t="s">
        <v>2966</v>
      </c>
      <c r="E882" s="849" t="s">
        <v>2072</v>
      </c>
      <c r="F882" s="849" t="s">
        <v>2855</v>
      </c>
      <c r="G882" s="849">
        <v>275883.74</v>
      </c>
      <c r="H882" s="849">
        <v>367937.75</v>
      </c>
      <c r="I882" s="849">
        <v>626758.68</v>
      </c>
      <c r="J882" s="849">
        <v>626758.68</v>
      </c>
      <c r="K882" s="849">
        <v>693368.68</v>
      </c>
      <c r="L882" s="849">
        <v>874729.5</v>
      </c>
      <c r="M882" s="849">
        <v>874729.5</v>
      </c>
      <c r="N882" s="849">
        <v>968535.95</v>
      </c>
      <c r="O882" s="849">
        <v>968535.95</v>
      </c>
      <c r="P882" s="849">
        <v>968535.95</v>
      </c>
      <c r="Q882" s="849">
        <v>0.0</v>
      </c>
      <c r="R882" s="849">
        <v>0.0</v>
      </c>
      <c r="S882" s="849">
        <v>107615.11</v>
      </c>
      <c r="T882" s="849">
        <v>107615.11</v>
      </c>
      <c r="U882" s="849">
        <v>0.0</v>
      </c>
      <c r="V882" s="849">
        <v>0.0</v>
      </c>
      <c r="W882" s="849">
        <v>0.0</v>
      </c>
      <c r="X882" s="849">
        <v>0.0</v>
      </c>
      <c r="Y882" s="849">
        <v>0.0</v>
      </c>
      <c r="Z882" s="849">
        <v>0.0</v>
      </c>
      <c r="AA882" s="849">
        <v>0.0</v>
      </c>
      <c r="AB882" s="849">
        <v>0.0</v>
      </c>
      <c r="AC882" s="849">
        <v>0.0</v>
      </c>
      <c r="AD882" s="849">
        <v>0.0</v>
      </c>
      <c r="AE882" s="849">
        <v>0.0</v>
      </c>
      <c r="AF882" s="849">
        <v>0.0</v>
      </c>
      <c r="AG882" s="849">
        <v>0.0</v>
      </c>
      <c r="AH882" s="849">
        <v>0.0</v>
      </c>
      <c r="AI882" s="849">
        <v>0.0</v>
      </c>
      <c r="AJ882" s="794" t="str">
        <f t="shared" ref="AJ882:AK882" si="1761">C882</f>
        <v>G62900</v>
      </c>
      <c r="AK882" s="794" t="str">
        <f t="shared" si="1761"/>
        <v>COUT-TAHOE/SUBURBAN</v>
      </c>
      <c r="AL882" s="794">
        <f t="array" ref="AL882">IFERROR(INDEX(G882:R882,1,MATCH(Parametres!$B$3,G$1:R$1,0)-1)*IF(OR(F882="L",F882="S",F882="I"),-1,1),"")</f>
        <v>968535.95</v>
      </c>
      <c r="AM882" s="794">
        <f t="shared" si="4"/>
        <v>0</v>
      </c>
      <c r="AN882" s="794">
        <f t="array" ref="AN882">INDEX(G882:R882,1,MATCH(Parametres!$B$3,G$1:R$1,0))*IF(OR(F882="L",F882="S",F882="I"),-1,1)</f>
        <v>968535.95</v>
      </c>
      <c r="AO882" s="853" t="str">
        <f>+VLOOKUP($AJ882,Data_Validation!$A:$D,1,0)</f>
        <v>G62900</v>
      </c>
      <c r="AP882" s="853" t="str">
        <f>+VLOOKUP($AJ882,Data_Validation!$A:$D,3,0)</f>
        <v>Véhicules neufs</v>
      </c>
      <c r="AQ882" s="853" t="str">
        <f>+VLOOKUP($AJ882,Data_Validation!$A:$D,4,0)</f>
        <v>Camions détail</v>
      </c>
      <c r="AR882" s="853" t="s">
        <v>728</v>
      </c>
      <c r="AS882" s="853" t="str">
        <f>+VLOOKUP($AJ882,Data_Validation!$A:$E,5,0)</f>
        <v/>
      </c>
      <c r="AT882" s="794" t="str">
        <f t="shared" ref="AT882:AU882" si="1762">C882</f>
        <v>G62900</v>
      </c>
      <c r="AU882" s="854" t="str">
        <f t="shared" si="1762"/>
        <v>COUT-TAHOE/SUBURBAN</v>
      </c>
      <c r="AV882" s="794">
        <f t="array" ref="AV882">IFERROR(INDEX(V882:AG882,1,MATCH(Parametres!$B$3,V$1:AG$1,0)-1)*IF(OR(C882="L",C882="S",C882="I"),-1,1),"")</f>
        <v>0</v>
      </c>
      <c r="AW882" s="794">
        <f t="shared" si="6"/>
        <v>0</v>
      </c>
      <c r="AX882" s="794">
        <f t="array" ref="AX882">INDEX(V882:AG882,1,MATCH(Parametres!$B$3,V$1:AG$1,0))*IF(OR(C882="L",C882="S",C882="I"),-1,1)</f>
        <v>0</v>
      </c>
      <c r="AY882" s="853" t="s">
        <v>772</v>
      </c>
      <c r="AZ882" s="853" t="str">
        <f>+VLOOKUP($AJ882,Data_Validation!$A:$E,5,0)</f>
        <v/>
      </c>
    </row>
    <row r="883" ht="15.0" customHeight="1">
      <c r="A883" s="849" t="s">
        <v>1239</v>
      </c>
      <c r="B883" s="849">
        <v>2026.0</v>
      </c>
      <c r="C883" s="849" t="s">
        <v>2967</v>
      </c>
      <c r="D883" s="849" t="s">
        <v>2968</v>
      </c>
      <c r="E883" s="849" t="s">
        <v>2072</v>
      </c>
      <c r="F883" s="849" t="s">
        <v>2855</v>
      </c>
      <c r="G883" s="849">
        <v>278797.93</v>
      </c>
      <c r="H883" s="849">
        <v>563208.92</v>
      </c>
      <c r="I883" s="849">
        <v>1033013.62</v>
      </c>
      <c r="J883" s="849">
        <v>1319349.41</v>
      </c>
      <c r="K883" s="849">
        <v>1763629.82</v>
      </c>
      <c r="L883" s="849">
        <v>2289254.42</v>
      </c>
      <c r="M883" s="849">
        <v>2579710.81</v>
      </c>
      <c r="N883" s="849">
        <v>2714563.83</v>
      </c>
      <c r="O883" s="849">
        <v>3123846.65</v>
      </c>
      <c r="P883" s="849">
        <v>3468663.35</v>
      </c>
      <c r="Q883" s="849">
        <v>0.0</v>
      </c>
      <c r="R883" s="849">
        <v>0.0</v>
      </c>
      <c r="S883" s="849">
        <v>347094.07</v>
      </c>
      <c r="T883" s="849">
        <v>347094.07</v>
      </c>
      <c r="U883" s="849">
        <v>0.0</v>
      </c>
      <c r="V883" s="849">
        <v>0.0</v>
      </c>
      <c r="W883" s="849">
        <v>0.0</v>
      </c>
      <c r="X883" s="849">
        <v>0.0</v>
      </c>
      <c r="Y883" s="849">
        <v>0.0</v>
      </c>
      <c r="Z883" s="849">
        <v>0.0</v>
      </c>
      <c r="AA883" s="849">
        <v>0.0</v>
      </c>
      <c r="AB883" s="849">
        <v>0.0</v>
      </c>
      <c r="AC883" s="849">
        <v>0.0</v>
      </c>
      <c r="AD883" s="849">
        <v>0.0</v>
      </c>
      <c r="AE883" s="849">
        <v>0.0</v>
      </c>
      <c r="AF883" s="849">
        <v>0.0</v>
      </c>
      <c r="AG883" s="849">
        <v>0.0</v>
      </c>
      <c r="AH883" s="849">
        <v>0.0</v>
      </c>
      <c r="AI883" s="849">
        <v>0.0</v>
      </c>
      <c r="AJ883" s="794" t="str">
        <f t="shared" ref="AJ883:AK883" si="1763">C883</f>
        <v>G63000</v>
      </c>
      <c r="AK883" s="794" t="str">
        <f t="shared" si="1763"/>
        <v>COUT-CL 1500 SILVERADO</v>
      </c>
      <c r="AL883" s="794">
        <f t="array" ref="AL883">IFERROR(INDEX(G883:R883,1,MATCH(Parametres!$B$3,G$1:R$1,0)-1)*IF(OR(F883="L",F883="S",F883="I"),-1,1),"")</f>
        <v>2714563.83</v>
      </c>
      <c r="AM883" s="794">
        <f t="shared" si="4"/>
        <v>409282.82</v>
      </c>
      <c r="AN883" s="794">
        <f t="array" ref="AN883">INDEX(G883:R883,1,MATCH(Parametres!$B$3,G$1:R$1,0))*IF(OR(F883="L",F883="S",F883="I"),-1,1)</f>
        <v>3123846.65</v>
      </c>
      <c r="AO883" s="853" t="str">
        <f>+VLOOKUP($AJ883,Data_Validation!$A:$D,1,0)</f>
        <v>G63000</v>
      </c>
      <c r="AP883" s="853" t="str">
        <f>+VLOOKUP($AJ883,Data_Validation!$A:$D,3,0)</f>
        <v>Véhicules neufs</v>
      </c>
      <c r="AQ883" s="853" t="str">
        <f>+VLOOKUP($AJ883,Data_Validation!$A:$D,4,0)</f>
        <v>Camions détail</v>
      </c>
      <c r="AR883" s="853" t="s">
        <v>728</v>
      </c>
      <c r="AS883" s="853" t="str">
        <f>+VLOOKUP($AJ883,Data_Validation!$A:$E,5,0)</f>
        <v/>
      </c>
      <c r="AT883" s="794" t="str">
        <f t="shared" ref="AT883:AU883" si="1764">C883</f>
        <v>G63000</v>
      </c>
      <c r="AU883" s="854" t="str">
        <f t="shared" si="1764"/>
        <v>COUT-CL 1500 SILVERADO</v>
      </c>
      <c r="AV883" s="794">
        <f t="array" ref="AV883">IFERROR(INDEX(V883:AG883,1,MATCH(Parametres!$B$3,V$1:AG$1,0)-1)*IF(OR(C883="L",C883="S",C883="I"),-1,1),"")</f>
        <v>0</v>
      </c>
      <c r="AW883" s="794">
        <f t="shared" si="6"/>
        <v>0</v>
      </c>
      <c r="AX883" s="794">
        <f t="array" ref="AX883">INDEX(V883:AG883,1,MATCH(Parametres!$B$3,V$1:AG$1,0))*IF(OR(C883="L",C883="S",C883="I"),-1,1)</f>
        <v>0</v>
      </c>
      <c r="AY883" s="853" t="s">
        <v>772</v>
      </c>
      <c r="AZ883" s="853" t="str">
        <f>+VLOOKUP($AJ883,Data_Validation!$A:$E,5,0)</f>
        <v/>
      </c>
    </row>
    <row r="884" ht="15.0" customHeight="1">
      <c r="A884" s="849" t="s">
        <v>1239</v>
      </c>
      <c r="B884" s="849">
        <v>2026.0</v>
      </c>
      <c r="C884" s="849" t="s">
        <v>2969</v>
      </c>
      <c r="D884" s="849" t="s">
        <v>2970</v>
      </c>
      <c r="E884" s="849" t="s">
        <v>2072</v>
      </c>
      <c r="F884" s="849" t="s">
        <v>2855</v>
      </c>
      <c r="G884" s="849">
        <v>0.0</v>
      </c>
      <c r="H884" s="849">
        <v>0.0</v>
      </c>
      <c r="I884" s="849">
        <v>0.0</v>
      </c>
      <c r="J884" s="849">
        <v>216195.74</v>
      </c>
      <c r="K884" s="849">
        <v>216195.74</v>
      </c>
      <c r="L884" s="849">
        <v>216195.74</v>
      </c>
      <c r="M884" s="849">
        <v>324367.79</v>
      </c>
      <c r="N884" s="849">
        <v>324367.79</v>
      </c>
      <c r="O884" s="849">
        <v>415400.39</v>
      </c>
      <c r="P884" s="849">
        <v>415400.39</v>
      </c>
      <c r="Q884" s="849">
        <v>0.0</v>
      </c>
      <c r="R884" s="849">
        <v>0.0</v>
      </c>
      <c r="S884" s="849">
        <v>46155.6</v>
      </c>
      <c r="T884" s="849">
        <v>46155.6</v>
      </c>
      <c r="U884" s="849">
        <v>0.0</v>
      </c>
      <c r="V884" s="849">
        <v>0.0</v>
      </c>
      <c r="W884" s="849">
        <v>0.0</v>
      </c>
      <c r="X884" s="849">
        <v>0.0</v>
      </c>
      <c r="Y884" s="849">
        <v>0.0</v>
      </c>
      <c r="Z884" s="849">
        <v>0.0</v>
      </c>
      <c r="AA884" s="849">
        <v>0.0</v>
      </c>
      <c r="AB884" s="849">
        <v>0.0</v>
      </c>
      <c r="AC884" s="849">
        <v>0.0</v>
      </c>
      <c r="AD884" s="849">
        <v>0.0</v>
      </c>
      <c r="AE884" s="849">
        <v>0.0</v>
      </c>
      <c r="AF884" s="849">
        <v>0.0</v>
      </c>
      <c r="AG884" s="849">
        <v>0.0</v>
      </c>
      <c r="AH884" s="849">
        <v>0.0</v>
      </c>
      <c r="AI884" s="849">
        <v>0.0</v>
      </c>
      <c r="AJ884" s="794" t="str">
        <f t="shared" ref="AJ884:AK884" si="1765">C884</f>
        <v>G63001</v>
      </c>
      <c r="AK884" s="794" t="str">
        <f t="shared" si="1765"/>
        <v>COUT - SILVERADO EV</v>
      </c>
      <c r="AL884" s="794">
        <f t="array" ref="AL884">IFERROR(INDEX(G884:R884,1,MATCH(Parametres!$B$3,G$1:R$1,0)-1)*IF(OR(F884="L",F884="S",F884="I"),-1,1),"")</f>
        <v>324367.79</v>
      </c>
      <c r="AM884" s="794">
        <f t="shared" si="4"/>
        <v>91032.6</v>
      </c>
      <c r="AN884" s="794">
        <f t="array" ref="AN884">INDEX(G884:R884,1,MATCH(Parametres!$B$3,G$1:R$1,0))*IF(OR(F884="L",F884="S",F884="I"),-1,1)</f>
        <v>415400.39</v>
      </c>
      <c r="AO884" s="853" t="str">
        <f>+VLOOKUP($AJ884,Data_Validation!$A:$D,1,0)</f>
        <v>G63001</v>
      </c>
      <c r="AP884" s="853" t="str">
        <f>+VLOOKUP($AJ884,Data_Validation!$A:$D,3,0)</f>
        <v>Véhicules neufs</v>
      </c>
      <c r="AQ884" s="853" t="str">
        <f>+VLOOKUP($AJ884,Data_Validation!$A:$D,4,0)</f>
        <v>Camions electriques</v>
      </c>
      <c r="AR884" s="853" t="s">
        <v>728</v>
      </c>
      <c r="AS884" s="853" t="str">
        <f>+VLOOKUP($AJ884,Data_Validation!$A:$E,5,0)</f>
        <v/>
      </c>
      <c r="AT884" s="794" t="str">
        <f t="shared" ref="AT884:AU884" si="1766">C884</f>
        <v>G63001</v>
      </c>
      <c r="AU884" s="854" t="str">
        <f t="shared" si="1766"/>
        <v>COUT - SILVERADO EV</v>
      </c>
      <c r="AV884" s="794">
        <f t="array" ref="AV884">IFERROR(INDEX(V884:AG884,1,MATCH(Parametres!$B$3,V$1:AG$1,0)-1)*IF(OR(C884="L",C884="S",C884="I"),-1,1),"")</f>
        <v>0</v>
      </c>
      <c r="AW884" s="794">
        <f t="shared" si="6"/>
        <v>0</v>
      </c>
      <c r="AX884" s="794">
        <f t="array" ref="AX884">INDEX(V884:AG884,1,MATCH(Parametres!$B$3,V$1:AG$1,0))*IF(OR(C884="L",C884="S",C884="I"),-1,1)</f>
        <v>0</v>
      </c>
      <c r="AY884" s="853" t="s">
        <v>772</v>
      </c>
      <c r="AZ884" s="853" t="str">
        <f>+VLOOKUP($AJ884,Data_Validation!$A:$E,5,0)</f>
        <v/>
      </c>
    </row>
    <row r="885" ht="15.0" customHeight="1">
      <c r="A885" s="849" t="s">
        <v>1239</v>
      </c>
      <c r="B885" s="849">
        <v>2026.0</v>
      </c>
      <c r="C885" s="849" t="s">
        <v>2971</v>
      </c>
      <c r="D885" s="849" t="s">
        <v>2972</v>
      </c>
      <c r="E885" s="849" t="s">
        <v>2072</v>
      </c>
      <c r="F885" s="849" t="s">
        <v>2855</v>
      </c>
      <c r="G885" s="849">
        <v>92749.89</v>
      </c>
      <c r="H885" s="849">
        <v>396129.0</v>
      </c>
      <c r="I885" s="849">
        <v>728145.5</v>
      </c>
      <c r="J885" s="849">
        <v>728145.5</v>
      </c>
      <c r="K885" s="849">
        <v>960653.88</v>
      </c>
      <c r="L885" s="849">
        <v>1371355.67</v>
      </c>
      <c r="M885" s="849">
        <v>1620159.3</v>
      </c>
      <c r="N885" s="849">
        <v>1711026.72</v>
      </c>
      <c r="O885" s="849">
        <v>1825292.73</v>
      </c>
      <c r="P885" s="849">
        <v>1825292.73</v>
      </c>
      <c r="Q885" s="849">
        <v>0.0</v>
      </c>
      <c r="R885" s="849">
        <v>0.0</v>
      </c>
      <c r="S885" s="849">
        <v>202810.3</v>
      </c>
      <c r="T885" s="849">
        <v>202810.3</v>
      </c>
      <c r="U885" s="849">
        <v>0.0</v>
      </c>
      <c r="V885" s="849">
        <v>0.0</v>
      </c>
      <c r="W885" s="849">
        <v>0.0</v>
      </c>
      <c r="X885" s="849">
        <v>0.0</v>
      </c>
      <c r="Y885" s="849">
        <v>0.0</v>
      </c>
      <c r="Z885" s="849">
        <v>0.0</v>
      </c>
      <c r="AA885" s="849">
        <v>0.0</v>
      </c>
      <c r="AB885" s="849">
        <v>0.0</v>
      </c>
      <c r="AC885" s="849">
        <v>0.0</v>
      </c>
      <c r="AD885" s="849">
        <v>0.0</v>
      </c>
      <c r="AE885" s="849">
        <v>0.0</v>
      </c>
      <c r="AF885" s="849">
        <v>0.0</v>
      </c>
      <c r="AG885" s="849">
        <v>0.0</v>
      </c>
      <c r="AH885" s="849">
        <v>0.0</v>
      </c>
      <c r="AI885" s="849">
        <v>0.0</v>
      </c>
      <c r="AJ885" s="794" t="str">
        <f t="shared" ref="AJ885:AK885" si="1767">C885</f>
        <v>G63002</v>
      </c>
      <c r="AK885" s="794" t="str">
        <f t="shared" si="1767"/>
        <v>COUT - YUKON</v>
      </c>
      <c r="AL885" s="794">
        <f t="array" ref="AL885">IFERROR(INDEX(G885:R885,1,MATCH(Parametres!$B$3,G$1:R$1,0)-1)*IF(OR(F885="L",F885="S",F885="I"),-1,1),"")</f>
        <v>1711026.72</v>
      </c>
      <c r="AM885" s="794">
        <f t="shared" si="4"/>
        <v>114266.01</v>
      </c>
      <c r="AN885" s="794">
        <f t="array" ref="AN885">INDEX(G885:R885,1,MATCH(Parametres!$B$3,G$1:R$1,0))*IF(OR(F885="L",F885="S",F885="I"),-1,1)</f>
        <v>1825292.73</v>
      </c>
      <c r="AO885" s="853" t="str">
        <f>+VLOOKUP($AJ885,Data_Validation!$A:$D,1,0)</f>
        <v>G63002</v>
      </c>
      <c r="AP885" s="853" t="str">
        <f>+VLOOKUP($AJ885,Data_Validation!$A:$D,3,0)</f>
        <v>Véhicules neufs</v>
      </c>
      <c r="AQ885" s="853" t="str">
        <f>+VLOOKUP($AJ885,Data_Validation!$A:$D,4,0)</f>
        <v>Camions détail</v>
      </c>
      <c r="AR885" s="853" t="s">
        <v>728</v>
      </c>
      <c r="AS885" s="853" t="str">
        <f>+VLOOKUP($AJ885,Data_Validation!$A:$E,5,0)</f>
        <v/>
      </c>
      <c r="AT885" s="794" t="str">
        <f t="shared" ref="AT885:AU885" si="1768">C885</f>
        <v>G63002</v>
      </c>
      <c r="AU885" s="854" t="str">
        <f t="shared" si="1768"/>
        <v>COUT - YUKON</v>
      </c>
      <c r="AV885" s="794">
        <f t="array" ref="AV885">IFERROR(INDEX(V885:AG885,1,MATCH(Parametres!$B$3,V$1:AG$1,0)-1)*IF(OR(C885="L",C885="S",C885="I"),-1,1),"")</f>
        <v>0</v>
      </c>
      <c r="AW885" s="794">
        <f t="shared" si="6"/>
        <v>0</v>
      </c>
      <c r="AX885" s="794">
        <f t="array" ref="AX885">INDEX(V885:AG885,1,MATCH(Parametres!$B$3,V$1:AG$1,0))*IF(OR(C885="L",C885="S",C885="I"),-1,1)</f>
        <v>0</v>
      </c>
      <c r="AY885" s="853" t="s">
        <v>772</v>
      </c>
      <c r="AZ885" s="853" t="str">
        <f>+VLOOKUP($AJ885,Data_Validation!$A:$E,5,0)</f>
        <v/>
      </c>
    </row>
    <row r="886" ht="15.0" customHeight="1">
      <c r="A886" s="849" t="s">
        <v>1239</v>
      </c>
      <c r="B886" s="849">
        <v>2026.0</v>
      </c>
      <c r="C886" s="849" t="s">
        <v>2973</v>
      </c>
      <c r="D886" s="849" t="s">
        <v>2974</v>
      </c>
      <c r="E886" s="849" t="s">
        <v>2072</v>
      </c>
      <c r="F886" s="849" t="s">
        <v>2855</v>
      </c>
      <c r="G886" s="849">
        <v>0.0</v>
      </c>
      <c r="H886" s="849">
        <v>0.0</v>
      </c>
      <c r="I886" s="849">
        <v>0.0</v>
      </c>
      <c r="J886" s="849">
        <v>0.0</v>
      </c>
      <c r="K886" s="849">
        <v>0.0</v>
      </c>
      <c r="L886" s="849">
        <v>0.0</v>
      </c>
      <c r="M886" s="849">
        <v>0.0</v>
      </c>
      <c r="N886" s="849">
        <v>0.0</v>
      </c>
      <c r="O886" s="849">
        <v>0.0</v>
      </c>
      <c r="P886" s="849">
        <v>0.0</v>
      </c>
      <c r="Q886" s="849">
        <v>0.0</v>
      </c>
      <c r="R886" s="849">
        <v>0.0</v>
      </c>
      <c r="S886" s="849">
        <v>0.0</v>
      </c>
      <c r="T886" s="849">
        <v>0.0</v>
      </c>
      <c r="U886" s="849">
        <v>0.0</v>
      </c>
      <c r="V886" s="849">
        <v>0.0</v>
      </c>
      <c r="W886" s="849">
        <v>0.0</v>
      </c>
      <c r="X886" s="849">
        <v>0.0</v>
      </c>
      <c r="Y886" s="849">
        <v>0.0</v>
      </c>
      <c r="Z886" s="849">
        <v>0.0</v>
      </c>
      <c r="AA886" s="849">
        <v>0.0</v>
      </c>
      <c r="AB886" s="849">
        <v>0.0</v>
      </c>
      <c r="AC886" s="849">
        <v>0.0</v>
      </c>
      <c r="AD886" s="849">
        <v>0.0</v>
      </c>
      <c r="AE886" s="849">
        <v>0.0</v>
      </c>
      <c r="AF886" s="849">
        <v>0.0</v>
      </c>
      <c r="AG886" s="849">
        <v>0.0</v>
      </c>
      <c r="AH886" s="849">
        <v>0.0</v>
      </c>
      <c r="AI886" s="849">
        <v>0.0</v>
      </c>
      <c r="AJ886" s="794" t="str">
        <f t="shared" ref="AJ886:AK886" si="1769">C886</f>
        <v>G63020</v>
      </c>
      <c r="AK886" s="794" t="str">
        <f t="shared" si="1769"/>
        <v>COUT-CL 1500 SILVERAD-LOC</v>
      </c>
      <c r="AL886" s="794">
        <f t="array" ref="AL886">IFERROR(INDEX(G886:R886,1,MATCH(Parametres!$B$3,G$1:R$1,0)-1)*IF(OR(F886="L",F886="S",F886="I"),-1,1),"")</f>
        <v>0</v>
      </c>
      <c r="AM886" s="794">
        <f t="shared" si="4"/>
        <v>0</v>
      </c>
      <c r="AN886" s="794">
        <f t="array" ref="AN886">INDEX(G886:R886,1,MATCH(Parametres!$B$3,G$1:R$1,0))*IF(OR(F886="L",F886="S",F886="I"),-1,1)</f>
        <v>0</v>
      </c>
      <c r="AO886" s="853" t="str">
        <f>+VLOOKUP($AJ886,Data_Validation!$A:$D,1,0)</f>
        <v>#N/A</v>
      </c>
      <c r="AP886" s="853" t="str">
        <f>+VLOOKUP($AJ886,Data_Validation!$A:$D,3,0)</f>
        <v>#N/A</v>
      </c>
      <c r="AQ886" s="853" t="str">
        <f>+VLOOKUP($AJ886,Data_Validation!$A:$D,4,0)</f>
        <v>#N/A</v>
      </c>
      <c r="AR886" s="853" t="s">
        <v>728</v>
      </c>
      <c r="AS886" s="853" t="str">
        <f>+VLOOKUP($AJ886,Data_Validation!$A:$E,5,0)</f>
        <v>#N/A</v>
      </c>
      <c r="AT886" s="794" t="str">
        <f t="shared" ref="AT886:AU886" si="1770">C886</f>
        <v>G63020</v>
      </c>
      <c r="AU886" s="854" t="str">
        <f t="shared" si="1770"/>
        <v>COUT-CL 1500 SILVERAD-LOC</v>
      </c>
      <c r="AV886" s="794">
        <f t="array" ref="AV886">IFERROR(INDEX(V886:AG886,1,MATCH(Parametres!$B$3,V$1:AG$1,0)-1)*IF(OR(C886="L",C886="S",C886="I"),-1,1),"")</f>
        <v>0</v>
      </c>
      <c r="AW886" s="794">
        <f t="shared" si="6"/>
        <v>0</v>
      </c>
      <c r="AX886" s="794">
        <f t="array" ref="AX886">INDEX(V886:AG886,1,MATCH(Parametres!$B$3,V$1:AG$1,0))*IF(OR(C886="L",C886="S",C886="I"),-1,1)</f>
        <v>0</v>
      </c>
      <c r="AY886" s="853" t="s">
        <v>772</v>
      </c>
      <c r="AZ886" s="853" t="str">
        <f>+VLOOKUP($AJ886,Data_Validation!$A:$E,5,0)</f>
        <v>#N/A</v>
      </c>
    </row>
    <row r="887" ht="15.0" customHeight="1">
      <c r="A887" s="849" t="s">
        <v>1239</v>
      </c>
      <c r="B887" s="849">
        <v>2026.0</v>
      </c>
      <c r="C887" s="849" t="s">
        <v>2975</v>
      </c>
      <c r="D887" s="849" t="s">
        <v>2976</v>
      </c>
      <c r="E887" s="849" t="s">
        <v>2072</v>
      </c>
      <c r="F887" s="849" t="s">
        <v>2855</v>
      </c>
      <c r="G887" s="849">
        <v>95881.95</v>
      </c>
      <c r="H887" s="849">
        <v>284200.97</v>
      </c>
      <c r="I887" s="849">
        <v>667588.17</v>
      </c>
      <c r="J887" s="849">
        <v>667588.17</v>
      </c>
      <c r="K887" s="849">
        <v>763930.31</v>
      </c>
      <c r="L887" s="849">
        <v>865397.4</v>
      </c>
      <c r="M887" s="849">
        <v>943864.51</v>
      </c>
      <c r="N887" s="849">
        <v>1138555.77</v>
      </c>
      <c r="O887" s="849">
        <v>1138555.77</v>
      </c>
      <c r="P887" s="849">
        <v>1138555.77</v>
      </c>
      <c r="Q887" s="849">
        <v>0.0</v>
      </c>
      <c r="R887" s="849">
        <v>0.0</v>
      </c>
      <c r="S887" s="849">
        <v>126506.2</v>
      </c>
      <c r="T887" s="849">
        <v>126506.2</v>
      </c>
      <c r="U887" s="849">
        <v>0.0</v>
      </c>
      <c r="V887" s="849">
        <v>0.0</v>
      </c>
      <c r="W887" s="849">
        <v>0.0</v>
      </c>
      <c r="X887" s="849">
        <v>0.0</v>
      </c>
      <c r="Y887" s="849">
        <v>0.0</v>
      </c>
      <c r="Z887" s="849">
        <v>0.0</v>
      </c>
      <c r="AA887" s="849">
        <v>0.0</v>
      </c>
      <c r="AB887" s="849">
        <v>0.0</v>
      </c>
      <c r="AC887" s="849">
        <v>0.0</v>
      </c>
      <c r="AD887" s="849">
        <v>0.0</v>
      </c>
      <c r="AE887" s="849">
        <v>0.0</v>
      </c>
      <c r="AF887" s="849">
        <v>0.0</v>
      </c>
      <c r="AG887" s="849">
        <v>0.0</v>
      </c>
      <c r="AH887" s="849">
        <v>0.0</v>
      </c>
      <c r="AI887" s="849">
        <v>0.0</v>
      </c>
      <c r="AJ887" s="794" t="str">
        <f t="shared" ref="AJ887:AK887" si="1771">C887</f>
        <v>G63100</v>
      </c>
      <c r="AK887" s="794" t="str">
        <f t="shared" si="1771"/>
        <v>COUT-CL 2500 SILVERADO</v>
      </c>
      <c r="AL887" s="794">
        <f t="array" ref="AL887">IFERROR(INDEX(G887:R887,1,MATCH(Parametres!$B$3,G$1:R$1,0)-1)*IF(OR(F887="L",F887="S",F887="I"),-1,1),"")</f>
        <v>1138555.77</v>
      </c>
      <c r="AM887" s="794">
        <f t="shared" si="4"/>
        <v>0</v>
      </c>
      <c r="AN887" s="794">
        <f t="array" ref="AN887">INDEX(G887:R887,1,MATCH(Parametres!$B$3,G$1:R$1,0))*IF(OR(F887="L",F887="S",F887="I"),-1,1)</f>
        <v>1138555.77</v>
      </c>
      <c r="AO887" s="853" t="str">
        <f>+VLOOKUP($AJ887,Data_Validation!$A:$D,1,0)</f>
        <v>G63100</v>
      </c>
      <c r="AP887" s="853" t="str">
        <f>+VLOOKUP($AJ887,Data_Validation!$A:$D,3,0)</f>
        <v>Véhicules neufs</v>
      </c>
      <c r="AQ887" s="853" t="str">
        <f>+VLOOKUP($AJ887,Data_Validation!$A:$D,4,0)</f>
        <v>Camions détail</v>
      </c>
      <c r="AR887" s="853" t="s">
        <v>728</v>
      </c>
      <c r="AS887" s="853" t="str">
        <f>+VLOOKUP($AJ887,Data_Validation!$A:$E,5,0)</f>
        <v/>
      </c>
      <c r="AT887" s="794" t="str">
        <f t="shared" ref="AT887:AU887" si="1772">C887</f>
        <v>G63100</v>
      </c>
      <c r="AU887" s="854" t="str">
        <f t="shared" si="1772"/>
        <v>COUT-CL 2500 SILVERADO</v>
      </c>
      <c r="AV887" s="794">
        <f t="array" ref="AV887">IFERROR(INDEX(V887:AG887,1,MATCH(Parametres!$B$3,V$1:AG$1,0)-1)*IF(OR(C887="L",C887="S",C887="I"),-1,1),"")</f>
        <v>0</v>
      </c>
      <c r="AW887" s="794">
        <f t="shared" si="6"/>
        <v>0</v>
      </c>
      <c r="AX887" s="794">
        <f t="array" ref="AX887">INDEX(V887:AG887,1,MATCH(Parametres!$B$3,V$1:AG$1,0))*IF(OR(C887="L",C887="S",C887="I"),-1,1)</f>
        <v>0</v>
      </c>
      <c r="AY887" s="853" t="s">
        <v>772</v>
      </c>
      <c r="AZ887" s="853" t="str">
        <f>+VLOOKUP($AJ887,Data_Validation!$A:$E,5,0)</f>
        <v/>
      </c>
    </row>
    <row r="888" ht="15.0" customHeight="1">
      <c r="A888" s="849" t="s">
        <v>1239</v>
      </c>
      <c r="B888" s="849">
        <v>2026.0</v>
      </c>
      <c r="C888" s="849" t="s">
        <v>2977</v>
      </c>
      <c r="D888" s="849" t="s">
        <v>2978</v>
      </c>
      <c r="E888" s="849" t="s">
        <v>2072</v>
      </c>
      <c r="F888" s="849" t="s">
        <v>2855</v>
      </c>
      <c r="G888" s="849">
        <v>147986.73</v>
      </c>
      <c r="H888" s="849">
        <v>532197.19</v>
      </c>
      <c r="I888" s="849">
        <v>842661.14</v>
      </c>
      <c r="J888" s="849">
        <v>1593081.49</v>
      </c>
      <c r="K888" s="849">
        <v>1961574.24</v>
      </c>
      <c r="L888" s="849">
        <v>2121431.3</v>
      </c>
      <c r="M888" s="849">
        <v>2644271.82</v>
      </c>
      <c r="N888" s="849">
        <v>3222635.8</v>
      </c>
      <c r="O888" s="849">
        <v>3597369.16</v>
      </c>
      <c r="P888" s="849">
        <v>3737583.25</v>
      </c>
      <c r="Q888" s="849">
        <v>0.0</v>
      </c>
      <c r="R888" s="849">
        <v>0.0</v>
      </c>
      <c r="S888" s="849">
        <v>399707.68</v>
      </c>
      <c r="T888" s="849">
        <v>399707.68</v>
      </c>
      <c r="U888" s="849">
        <v>0.0</v>
      </c>
      <c r="V888" s="849">
        <v>0.0</v>
      </c>
      <c r="W888" s="849">
        <v>0.0</v>
      </c>
      <c r="X888" s="849">
        <v>0.0</v>
      </c>
      <c r="Y888" s="849">
        <v>0.0</v>
      </c>
      <c r="Z888" s="849">
        <v>0.0</v>
      </c>
      <c r="AA888" s="849">
        <v>0.0</v>
      </c>
      <c r="AB888" s="849">
        <v>0.0</v>
      </c>
      <c r="AC888" s="849">
        <v>0.0</v>
      </c>
      <c r="AD888" s="849">
        <v>0.0</v>
      </c>
      <c r="AE888" s="849">
        <v>0.0</v>
      </c>
      <c r="AF888" s="849">
        <v>0.0</v>
      </c>
      <c r="AG888" s="849">
        <v>0.0</v>
      </c>
      <c r="AH888" s="849">
        <v>0.0</v>
      </c>
      <c r="AI888" s="849">
        <v>0.0</v>
      </c>
      <c r="AJ888" s="794" t="str">
        <f t="shared" ref="AJ888:AK888" si="1773">C888</f>
        <v>G63102</v>
      </c>
      <c r="AK888" s="794" t="str">
        <f t="shared" si="1773"/>
        <v>COUTANT CL 1500 SIERRA</v>
      </c>
      <c r="AL888" s="794">
        <f t="array" ref="AL888">IFERROR(INDEX(G888:R888,1,MATCH(Parametres!$B$3,G$1:R$1,0)-1)*IF(OR(F888="L",F888="S",F888="I"),-1,1),"")</f>
        <v>3222635.8</v>
      </c>
      <c r="AM888" s="794">
        <f t="shared" si="4"/>
        <v>374733.36</v>
      </c>
      <c r="AN888" s="794">
        <f t="array" ref="AN888">INDEX(G888:R888,1,MATCH(Parametres!$B$3,G$1:R$1,0))*IF(OR(F888="L",F888="S",F888="I"),-1,1)</f>
        <v>3597369.16</v>
      </c>
      <c r="AO888" s="853" t="str">
        <f>+VLOOKUP($AJ888,Data_Validation!$A:$D,1,0)</f>
        <v>G63102</v>
      </c>
      <c r="AP888" s="853" t="str">
        <f>+VLOOKUP($AJ888,Data_Validation!$A:$D,3,0)</f>
        <v>Véhicules neufs</v>
      </c>
      <c r="AQ888" s="853" t="str">
        <f>+VLOOKUP($AJ888,Data_Validation!$A:$D,4,0)</f>
        <v>Camions détail</v>
      </c>
      <c r="AR888" s="853" t="s">
        <v>728</v>
      </c>
      <c r="AS888" s="853" t="str">
        <f>+VLOOKUP($AJ888,Data_Validation!$A:$E,5,0)</f>
        <v/>
      </c>
      <c r="AT888" s="794" t="str">
        <f t="shared" ref="AT888:AU888" si="1774">C888</f>
        <v>G63102</v>
      </c>
      <c r="AU888" s="854" t="str">
        <f t="shared" si="1774"/>
        <v>COUTANT CL 1500 SIERRA</v>
      </c>
      <c r="AV888" s="794">
        <f t="array" ref="AV888">IFERROR(INDEX(V888:AG888,1,MATCH(Parametres!$B$3,V$1:AG$1,0)-1)*IF(OR(C888="L",C888="S",C888="I"),-1,1),"")</f>
        <v>0</v>
      </c>
      <c r="AW888" s="794">
        <f t="shared" si="6"/>
        <v>0</v>
      </c>
      <c r="AX888" s="794">
        <f t="array" ref="AX888">INDEX(V888:AG888,1,MATCH(Parametres!$B$3,V$1:AG$1,0))*IF(OR(C888="L",C888="S",C888="I"),-1,1)</f>
        <v>0</v>
      </c>
      <c r="AY888" s="853" t="s">
        <v>772</v>
      </c>
      <c r="AZ888" s="853" t="str">
        <f>+VLOOKUP($AJ888,Data_Validation!$A:$E,5,0)</f>
        <v/>
      </c>
    </row>
    <row r="889" ht="15.0" customHeight="1">
      <c r="A889" s="849" t="s">
        <v>1239</v>
      </c>
      <c r="B889" s="849">
        <v>2026.0</v>
      </c>
      <c r="C889" s="849" t="s">
        <v>2979</v>
      </c>
      <c r="D889" s="849" t="s">
        <v>2980</v>
      </c>
      <c r="E889" s="849" t="s">
        <v>2072</v>
      </c>
      <c r="F889" s="849" t="s">
        <v>2855</v>
      </c>
      <c r="G889" s="849">
        <v>108075.05</v>
      </c>
      <c r="H889" s="849">
        <v>211150.1</v>
      </c>
      <c r="I889" s="849">
        <v>211150.1</v>
      </c>
      <c r="J889" s="849">
        <v>320050.97</v>
      </c>
      <c r="K889" s="849">
        <v>320050.97</v>
      </c>
      <c r="L889" s="849">
        <v>413048.11</v>
      </c>
      <c r="M889" s="849">
        <v>413048.11</v>
      </c>
      <c r="N889" s="849">
        <v>413048.11</v>
      </c>
      <c r="O889" s="849">
        <v>413048.11</v>
      </c>
      <c r="P889" s="849">
        <v>413048.11</v>
      </c>
      <c r="Q889" s="849">
        <v>0.0</v>
      </c>
      <c r="R889" s="849">
        <v>0.0</v>
      </c>
      <c r="S889" s="849">
        <v>45894.23</v>
      </c>
      <c r="T889" s="849">
        <v>45894.23</v>
      </c>
      <c r="U889" s="849">
        <v>0.0</v>
      </c>
      <c r="V889" s="849">
        <v>0.0</v>
      </c>
      <c r="W889" s="849">
        <v>0.0</v>
      </c>
      <c r="X889" s="849">
        <v>0.0</v>
      </c>
      <c r="Y889" s="849">
        <v>0.0</v>
      </c>
      <c r="Z889" s="849">
        <v>0.0</v>
      </c>
      <c r="AA889" s="849">
        <v>0.0</v>
      </c>
      <c r="AB889" s="849">
        <v>0.0</v>
      </c>
      <c r="AC889" s="849">
        <v>0.0</v>
      </c>
      <c r="AD889" s="849">
        <v>0.0</v>
      </c>
      <c r="AE889" s="849">
        <v>0.0</v>
      </c>
      <c r="AF889" s="849">
        <v>0.0</v>
      </c>
      <c r="AG889" s="849">
        <v>0.0</v>
      </c>
      <c r="AH889" s="849">
        <v>0.0</v>
      </c>
      <c r="AI889" s="849">
        <v>0.0</v>
      </c>
      <c r="AJ889" s="794" t="str">
        <f t="shared" ref="AJ889:AK889" si="1775">C889</f>
        <v>G63103</v>
      </c>
      <c r="AK889" s="794" t="str">
        <f t="shared" si="1775"/>
        <v>COUT - SIERRA EV</v>
      </c>
      <c r="AL889" s="794">
        <f t="array" ref="AL889">IFERROR(INDEX(G889:R889,1,MATCH(Parametres!$B$3,G$1:R$1,0)-1)*IF(OR(F889="L",F889="S",F889="I"),-1,1),"")</f>
        <v>413048.11</v>
      </c>
      <c r="AM889" s="794">
        <f t="shared" si="4"/>
        <v>0</v>
      </c>
      <c r="AN889" s="794">
        <f t="array" ref="AN889">INDEX(G889:R889,1,MATCH(Parametres!$B$3,G$1:R$1,0))*IF(OR(F889="L",F889="S",F889="I"),-1,1)</f>
        <v>413048.11</v>
      </c>
      <c r="AO889" s="853" t="str">
        <f>+VLOOKUP($AJ889,Data_Validation!$A:$D,1,0)</f>
        <v>G63103</v>
      </c>
      <c r="AP889" s="853" t="str">
        <f>+VLOOKUP($AJ889,Data_Validation!$A:$D,3,0)</f>
        <v>Véhicules neufs</v>
      </c>
      <c r="AQ889" s="853" t="str">
        <f>+VLOOKUP($AJ889,Data_Validation!$A:$D,4,0)</f>
        <v>Camions electriques</v>
      </c>
      <c r="AR889" s="853" t="s">
        <v>728</v>
      </c>
      <c r="AS889" s="853" t="str">
        <f>+VLOOKUP($AJ889,Data_Validation!$A:$E,5,0)</f>
        <v/>
      </c>
      <c r="AT889" s="794" t="str">
        <f t="shared" ref="AT889:AU889" si="1776">C889</f>
        <v>G63103</v>
      </c>
      <c r="AU889" s="854" t="str">
        <f t="shared" si="1776"/>
        <v>COUT - SIERRA EV</v>
      </c>
      <c r="AV889" s="794">
        <f t="array" ref="AV889">IFERROR(INDEX(V889:AG889,1,MATCH(Parametres!$B$3,V$1:AG$1,0)-1)*IF(OR(C889="L",C889="S",C889="I"),-1,1),"")</f>
        <v>0</v>
      </c>
      <c r="AW889" s="794">
        <f t="shared" si="6"/>
        <v>0</v>
      </c>
      <c r="AX889" s="794">
        <f t="array" ref="AX889">INDEX(V889:AG889,1,MATCH(Parametres!$B$3,V$1:AG$1,0))*IF(OR(C889="L",C889="S",C889="I"),-1,1)</f>
        <v>0</v>
      </c>
      <c r="AY889" s="853" t="s">
        <v>772</v>
      </c>
      <c r="AZ889" s="853" t="str">
        <f>+VLOOKUP($AJ889,Data_Validation!$A:$E,5,0)</f>
        <v/>
      </c>
    </row>
    <row r="890" ht="15.0" customHeight="1">
      <c r="A890" s="849" t="s">
        <v>1239</v>
      </c>
      <c r="B890" s="849">
        <v>2026.0</v>
      </c>
      <c r="C890" s="849" t="s">
        <v>2981</v>
      </c>
      <c r="D890" s="849" t="s">
        <v>2982</v>
      </c>
      <c r="E890" s="849" t="s">
        <v>2072</v>
      </c>
      <c r="F890" s="849" t="s">
        <v>2855</v>
      </c>
      <c r="G890" s="849">
        <v>0.0</v>
      </c>
      <c r="H890" s="849">
        <v>0.0</v>
      </c>
      <c r="I890" s="849">
        <v>0.0</v>
      </c>
      <c r="J890" s="849">
        <v>0.0</v>
      </c>
      <c r="K890" s="849">
        <v>0.0</v>
      </c>
      <c r="L890" s="849">
        <v>0.0</v>
      </c>
      <c r="M890" s="849">
        <v>0.0</v>
      </c>
      <c r="N890" s="849">
        <v>0.0</v>
      </c>
      <c r="O890" s="849">
        <v>0.0</v>
      </c>
      <c r="P890" s="849">
        <v>0.0</v>
      </c>
      <c r="Q890" s="849">
        <v>0.0</v>
      </c>
      <c r="R890" s="849">
        <v>0.0</v>
      </c>
      <c r="S890" s="849">
        <v>0.0</v>
      </c>
      <c r="T890" s="849">
        <v>0.0</v>
      </c>
      <c r="U890" s="849">
        <v>0.0</v>
      </c>
      <c r="V890" s="849">
        <v>0.0</v>
      </c>
      <c r="W890" s="849">
        <v>0.0</v>
      </c>
      <c r="X890" s="849">
        <v>0.0</v>
      </c>
      <c r="Y890" s="849">
        <v>0.0</v>
      </c>
      <c r="Z890" s="849">
        <v>0.0</v>
      </c>
      <c r="AA890" s="849">
        <v>0.0</v>
      </c>
      <c r="AB890" s="849">
        <v>0.0</v>
      </c>
      <c r="AC890" s="849">
        <v>0.0</v>
      </c>
      <c r="AD890" s="849">
        <v>0.0</v>
      </c>
      <c r="AE890" s="849">
        <v>0.0</v>
      </c>
      <c r="AF890" s="849">
        <v>0.0</v>
      </c>
      <c r="AG890" s="849">
        <v>0.0</v>
      </c>
      <c r="AH890" s="849">
        <v>0.0</v>
      </c>
      <c r="AI890" s="849">
        <v>0.0</v>
      </c>
      <c r="AJ890" s="794" t="str">
        <f t="shared" ref="AJ890:AK890" si="1777">C890</f>
        <v>G63120</v>
      </c>
      <c r="AK890" s="794" t="str">
        <f t="shared" si="1777"/>
        <v>COUT-CL 2500 SILVERAD-LOC</v>
      </c>
      <c r="AL890" s="794">
        <f t="array" ref="AL890">IFERROR(INDEX(G890:R890,1,MATCH(Parametres!$B$3,G$1:R$1,0)-1)*IF(OR(F890="L",F890="S",F890="I"),-1,1),"")</f>
        <v>0</v>
      </c>
      <c r="AM890" s="794">
        <f t="shared" si="4"/>
        <v>0</v>
      </c>
      <c r="AN890" s="794">
        <f t="array" ref="AN890">INDEX(G890:R890,1,MATCH(Parametres!$B$3,G$1:R$1,0))*IF(OR(F890="L",F890="S",F890="I"),-1,1)</f>
        <v>0</v>
      </c>
      <c r="AO890" s="853" t="str">
        <f>+VLOOKUP($AJ890,Data_Validation!$A:$D,1,0)</f>
        <v>#N/A</v>
      </c>
      <c r="AP890" s="853" t="str">
        <f>+VLOOKUP($AJ890,Data_Validation!$A:$D,3,0)</f>
        <v>#N/A</v>
      </c>
      <c r="AQ890" s="853" t="str">
        <f>+VLOOKUP($AJ890,Data_Validation!$A:$D,4,0)</f>
        <v>#N/A</v>
      </c>
      <c r="AR890" s="853" t="s">
        <v>728</v>
      </c>
      <c r="AS890" s="853" t="str">
        <f>+VLOOKUP($AJ890,Data_Validation!$A:$E,5,0)</f>
        <v>#N/A</v>
      </c>
      <c r="AT890" s="794" t="str">
        <f t="shared" ref="AT890:AU890" si="1778">C890</f>
        <v>G63120</v>
      </c>
      <c r="AU890" s="854" t="str">
        <f t="shared" si="1778"/>
        <v>COUT-CL 2500 SILVERAD-LOC</v>
      </c>
      <c r="AV890" s="794">
        <f t="array" ref="AV890">IFERROR(INDEX(V890:AG890,1,MATCH(Parametres!$B$3,V$1:AG$1,0)-1)*IF(OR(C890="L",C890="S",C890="I"),-1,1),"")</f>
        <v>0</v>
      </c>
      <c r="AW890" s="794">
        <f t="shared" si="6"/>
        <v>0</v>
      </c>
      <c r="AX890" s="794">
        <f t="array" ref="AX890">INDEX(V890:AG890,1,MATCH(Parametres!$B$3,V$1:AG$1,0))*IF(OR(C890="L",C890="S",C890="I"),-1,1)</f>
        <v>0</v>
      </c>
      <c r="AY890" s="853" t="s">
        <v>772</v>
      </c>
      <c r="AZ890" s="853" t="str">
        <f>+VLOOKUP($AJ890,Data_Validation!$A:$E,5,0)</f>
        <v>#N/A</v>
      </c>
    </row>
    <row r="891" ht="15.0" customHeight="1">
      <c r="A891" s="849" t="s">
        <v>1239</v>
      </c>
      <c r="B891" s="849">
        <v>2026.0</v>
      </c>
      <c r="C891" s="849" t="s">
        <v>2983</v>
      </c>
      <c r="D891" s="849" t="s">
        <v>2984</v>
      </c>
      <c r="E891" s="849" t="s">
        <v>2072</v>
      </c>
      <c r="F891" s="849" t="s">
        <v>2855</v>
      </c>
      <c r="G891" s="849">
        <v>0.0</v>
      </c>
      <c r="H891" s="849">
        <v>0.0</v>
      </c>
      <c r="I891" s="849">
        <v>0.0</v>
      </c>
      <c r="J891" s="849">
        <v>0.0</v>
      </c>
      <c r="K891" s="849">
        <v>0.0</v>
      </c>
      <c r="L891" s="849">
        <v>0.0</v>
      </c>
      <c r="M891" s="849">
        <v>0.0</v>
      </c>
      <c r="N891" s="849">
        <v>0.0</v>
      </c>
      <c r="O891" s="849">
        <v>0.0</v>
      </c>
      <c r="P891" s="849">
        <v>0.0</v>
      </c>
      <c r="Q891" s="849">
        <v>0.0</v>
      </c>
      <c r="R891" s="849">
        <v>0.0</v>
      </c>
      <c r="S891" s="849">
        <v>0.0</v>
      </c>
      <c r="T891" s="849">
        <v>0.0</v>
      </c>
      <c r="U891" s="849">
        <v>0.0</v>
      </c>
      <c r="V891" s="849">
        <v>0.0</v>
      </c>
      <c r="W891" s="849">
        <v>0.0</v>
      </c>
      <c r="X891" s="849">
        <v>0.0</v>
      </c>
      <c r="Y891" s="849">
        <v>0.0</v>
      </c>
      <c r="Z891" s="849">
        <v>0.0</v>
      </c>
      <c r="AA891" s="849">
        <v>0.0</v>
      </c>
      <c r="AB891" s="849">
        <v>0.0</v>
      </c>
      <c r="AC891" s="849">
        <v>0.0</v>
      </c>
      <c r="AD891" s="849">
        <v>0.0</v>
      </c>
      <c r="AE891" s="849">
        <v>0.0</v>
      </c>
      <c r="AF891" s="849">
        <v>0.0</v>
      </c>
      <c r="AG891" s="849">
        <v>0.0</v>
      </c>
      <c r="AH891" s="849">
        <v>0.0</v>
      </c>
      <c r="AI891" s="849">
        <v>0.0</v>
      </c>
      <c r="AJ891" s="794" t="str">
        <f t="shared" ref="AJ891:AK891" si="1779">C891</f>
        <v>G63200</v>
      </c>
      <c r="AK891" s="794" t="str">
        <f t="shared" si="1779"/>
        <v>COUT-CL 3500 SILVERADO</v>
      </c>
      <c r="AL891" s="794">
        <f t="array" ref="AL891">IFERROR(INDEX(G891:R891,1,MATCH(Parametres!$B$3,G$1:R$1,0)-1)*IF(OR(F891="L",F891="S",F891="I"),-1,1),"")</f>
        <v>0</v>
      </c>
      <c r="AM891" s="794">
        <f t="shared" si="4"/>
        <v>0</v>
      </c>
      <c r="AN891" s="794">
        <f t="array" ref="AN891">INDEX(G891:R891,1,MATCH(Parametres!$B$3,G$1:R$1,0))*IF(OR(F891="L",F891="S",F891="I"),-1,1)</f>
        <v>0</v>
      </c>
      <c r="AO891" s="853" t="str">
        <f>+VLOOKUP($AJ891,Data_Validation!$A:$D,1,0)</f>
        <v>G63200</v>
      </c>
      <c r="AP891" s="853" t="str">
        <f>+VLOOKUP($AJ891,Data_Validation!$A:$D,3,0)</f>
        <v>Véhicules neufs</v>
      </c>
      <c r="AQ891" s="853" t="str">
        <f>+VLOOKUP($AJ891,Data_Validation!$A:$D,4,0)</f>
        <v>Camions détail</v>
      </c>
      <c r="AR891" s="853" t="s">
        <v>728</v>
      </c>
      <c r="AS891" s="853" t="str">
        <f>+VLOOKUP($AJ891,Data_Validation!$A:$E,5,0)</f>
        <v/>
      </c>
      <c r="AT891" s="794" t="str">
        <f t="shared" ref="AT891:AU891" si="1780">C891</f>
        <v>G63200</v>
      </c>
      <c r="AU891" s="854" t="str">
        <f t="shared" si="1780"/>
        <v>COUT-CL 3500 SILVERADO</v>
      </c>
      <c r="AV891" s="794">
        <f t="array" ref="AV891">IFERROR(INDEX(V891:AG891,1,MATCH(Parametres!$B$3,V$1:AG$1,0)-1)*IF(OR(C891="L",C891="S",C891="I"),-1,1),"")</f>
        <v>0</v>
      </c>
      <c r="AW891" s="794">
        <f t="shared" si="6"/>
        <v>0</v>
      </c>
      <c r="AX891" s="794">
        <f t="array" ref="AX891">INDEX(V891:AG891,1,MATCH(Parametres!$B$3,V$1:AG$1,0))*IF(OR(C891="L",C891="S",C891="I"),-1,1)</f>
        <v>0</v>
      </c>
      <c r="AY891" s="853" t="s">
        <v>772</v>
      </c>
      <c r="AZ891" s="853" t="str">
        <f>+VLOOKUP($AJ891,Data_Validation!$A:$E,5,0)</f>
        <v/>
      </c>
    </row>
    <row r="892" ht="15.0" customHeight="1">
      <c r="A892" s="849" t="s">
        <v>1239</v>
      </c>
      <c r="B892" s="849">
        <v>2026.0</v>
      </c>
      <c r="C892" s="849" t="s">
        <v>2985</v>
      </c>
      <c r="D892" s="849" t="s">
        <v>2986</v>
      </c>
      <c r="E892" s="849" t="s">
        <v>2072</v>
      </c>
      <c r="F892" s="849" t="s">
        <v>2855</v>
      </c>
      <c r="G892" s="849">
        <v>319231.27</v>
      </c>
      <c r="H892" s="849">
        <v>319231.27</v>
      </c>
      <c r="I892" s="849">
        <v>523709.44</v>
      </c>
      <c r="J892" s="849">
        <v>944789.7</v>
      </c>
      <c r="K892" s="849">
        <v>1339823.54</v>
      </c>
      <c r="L892" s="849">
        <v>1458323.17</v>
      </c>
      <c r="M892" s="849">
        <v>1679736.99</v>
      </c>
      <c r="N892" s="849">
        <v>1783762.04</v>
      </c>
      <c r="O892" s="849">
        <v>1783762.04</v>
      </c>
      <c r="P892" s="849">
        <v>1783762.04</v>
      </c>
      <c r="Q892" s="849">
        <v>0.0</v>
      </c>
      <c r="R892" s="849">
        <v>0.0</v>
      </c>
      <c r="S892" s="849">
        <v>198195.78</v>
      </c>
      <c r="T892" s="849">
        <v>198195.78</v>
      </c>
      <c r="U892" s="849">
        <v>0.0</v>
      </c>
      <c r="V892" s="849">
        <v>0.0</v>
      </c>
      <c r="W892" s="849">
        <v>0.0</v>
      </c>
      <c r="X892" s="849">
        <v>0.0</v>
      </c>
      <c r="Y892" s="849">
        <v>0.0</v>
      </c>
      <c r="Z892" s="849">
        <v>0.0</v>
      </c>
      <c r="AA892" s="849">
        <v>0.0</v>
      </c>
      <c r="AB892" s="849">
        <v>0.0</v>
      </c>
      <c r="AC892" s="849">
        <v>0.0</v>
      </c>
      <c r="AD892" s="849">
        <v>0.0</v>
      </c>
      <c r="AE892" s="849">
        <v>0.0</v>
      </c>
      <c r="AF892" s="849">
        <v>0.0</v>
      </c>
      <c r="AG892" s="849">
        <v>0.0</v>
      </c>
      <c r="AH892" s="849">
        <v>0.0</v>
      </c>
      <c r="AI892" s="849">
        <v>0.0</v>
      </c>
      <c r="AJ892" s="794" t="str">
        <f t="shared" ref="AJ892:AK892" si="1781">C892</f>
        <v>G63202</v>
      </c>
      <c r="AK892" s="794" t="str">
        <f t="shared" si="1781"/>
        <v>COUT- CL 2500 SIERRA</v>
      </c>
      <c r="AL892" s="794">
        <f t="array" ref="AL892">IFERROR(INDEX(G892:R892,1,MATCH(Parametres!$B$3,G$1:R$1,0)-1)*IF(OR(F892="L",F892="S",F892="I"),-1,1),"")</f>
        <v>1783762.04</v>
      </c>
      <c r="AM892" s="794">
        <f t="shared" si="4"/>
        <v>0</v>
      </c>
      <c r="AN892" s="794">
        <f t="array" ref="AN892">INDEX(G892:R892,1,MATCH(Parametres!$B$3,G$1:R$1,0))*IF(OR(F892="L",F892="S",F892="I"),-1,1)</f>
        <v>1783762.04</v>
      </c>
      <c r="AO892" s="853" t="str">
        <f>+VLOOKUP($AJ892,Data_Validation!$A:$D,1,0)</f>
        <v>G63202</v>
      </c>
      <c r="AP892" s="853" t="str">
        <f>+VLOOKUP($AJ892,Data_Validation!$A:$D,3,0)</f>
        <v>Véhicules neufs</v>
      </c>
      <c r="AQ892" s="853" t="str">
        <f>+VLOOKUP($AJ892,Data_Validation!$A:$D,4,0)</f>
        <v>Camions détail</v>
      </c>
      <c r="AR892" s="853" t="s">
        <v>728</v>
      </c>
      <c r="AS892" s="853" t="str">
        <f>+VLOOKUP($AJ892,Data_Validation!$A:$E,5,0)</f>
        <v/>
      </c>
      <c r="AT892" s="794" t="str">
        <f t="shared" ref="AT892:AU892" si="1782">C892</f>
        <v>G63202</v>
      </c>
      <c r="AU892" s="854" t="str">
        <f t="shared" si="1782"/>
        <v>COUT- CL 2500 SIERRA</v>
      </c>
      <c r="AV892" s="794">
        <f t="array" ref="AV892">IFERROR(INDEX(V892:AG892,1,MATCH(Parametres!$B$3,V$1:AG$1,0)-1)*IF(OR(C892="L",C892="S",C892="I"),-1,1),"")</f>
        <v>0</v>
      </c>
      <c r="AW892" s="794">
        <f t="shared" si="6"/>
        <v>0</v>
      </c>
      <c r="AX892" s="794">
        <f t="array" ref="AX892">INDEX(V892:AG892,1,MATCH(Parametres!$B$3,V$1:AG$1,0))*IF(OR(C892="L",C892="S",C892="I"),-1,1)</f>
        <v>0</v>
      </c>
      <c r="AY892" s="853" t="s">
        <v>772</v>
      </c>
      <c r="AZ892" s="853" t="str">
        <f>+VLOOKUP($AJ892,Data_Validation!$A:$E,5,0)</f>
        <v/>
      </c>
    </row>
    <row r="893" ht="15.0" customHeight="1">
      <c r="A893" s="849" t="s">
        <v>1239</v>
      </c>
      <c r="B893" s="849">
        <v>2026.0</v>
      </c>
      <c r="C893" s="849" t="s">
        <v>2987</v>
      </c>
      <c r="D893" s="849" t="s">
        <v>2988</v>
      </c>
      <c r="E893" s="849" t="s">
        <v>2072</v>
      </c>
      <c r="F893" s="849" t="s">
        <v>2855</v>
      </c>
      <c r="G893" s="849">
        <v>215186.38</v>
      </c>
      <c r="H893" s="849">
        <v>215186.38</v>
      </c>
      <c r="I893" s="849">
        <v>323067.49</v>
      </c>
      <c r="J893" s="849">
        <v>323067.49</v>
      </c>
      <c r="K893" s="849">
        <v>323067.49</v>
      </c>
      <c r="L893" s="849">
        <v>323067.49</v>
      </c>
      <c r="M893" s="849">
        <v>323067.49</v>
      </c>
      <c r="N893" s="849">
        <v>323067.49</v>
      </c>
      <c r="O893" s="849">
        <v>323067.49</v>
      </c>
      <c r="P893" s="849">
        <v>323067.49</v>
      </c>
      <c r="Q893" s="849">
        <v>0.0</v>
      </c>
      <c r="R893" s="849">
        <v>0.0</v>
      </c>
      <c r="S893" s="849">
        <v>35896.39</v>
      </c>
      <c r="T893" s="849">
        <v>35896.39</v>
      </c>
      <c r="U893" s="849">
        <v>0.0</v>
      </c>
      <c r="V893" s="849">
        <v>0.0</v>
      </c>
      <c r="W893" s="849">
        <v>0.0</v>
      </c>
      <c r="X893" s="849">
        <v>0.0</v>
      </c>
      <c r="Y893" s="849">
        <v>0.0</v>
      </c>
      <c r="Z893" s="849">
        <v>0.0</v>
      </c>
      <c r="AA893" s="849">
        <v>0.0</v>
      </c>
      <c r="AB893" s="849">
        <v>0.0</v>
      </c>
      <c r="AC893" s="849">
        <v>0.0</v>
      </c>
      <c r="AD893" s="849">
        <v>0.0</v>
      </c>
      <c r="AE893" s="849">
        <v>0.0</v>
      </c>
      <c r="AF893" s="849">
        <v>0.0</v>
      </c>
      <c r="AG893" s="849">
        <v>0.0</v>
      </c>
      <c r="AH893" s="849">
        <v>0.0</v>
      </c>
      <c r="AI893" s="849">
        <v>0.0</v>
      </c>
      <c r="AJ893" s="794" t="str">
        <f t="shared" ref="AJ893:AK893" si="1783">C893</f>
        <v>G63203</v>
      </c>
      <c r="AK893" s="794" t="str">
        <f t="shared" si="1783"/>
        <v>COUTANT - SIERRA 3500</v>
      </c>
      <c r="AL893" s="794">
        <f t="array" ref="AL893">IFERROR(INDEX(G893:R893,1,MATCH(Parametres!$B$3,G$1:R$1,0)-1)*IF(OR(F893="L",F893="S",F893="I"),-1,1),"")</f>
        <v>323067.49</v>
      </c>
      <c r="AM893" s="794">
        <f t="shared" si="4"/>
        <v>0</v>
      </c>
      <c r="AN893" s="794">
        <f t="array" ref="AN893">INDEX(G893:R893,1,MATCH(Parametres!$B$3,G$1:R$1,0))*IF(OR(F893="L",F893="S",F893="I"),-1,1)</f>
        <v>323067.49</v>
      </c>
      <c r="AO893" s="853" t="str">
        <f>+VLOOKUP($AJ893,Data_Validation!$A:$D,1,0)</f>
        <v>G63203</v>
      </c>
      <c r="AP893" s="853" t="str">
        <f>+VLOOKUP($AJ893,Data_Validation!$A:$D,3,0)</f>
        <v>Véhicules neufs</v>
      </c>
      <c r="AQ893" s="853" t="str">
        <f>+VLOOKUP($AJ893,Data_Validation!$A:$D,4,0)</f>
        <v>Camions détail</v>
      </c>
      <c r="AR893" s="853" t="s">
        <v>728</v>
      </c>
      <c r="AS893" s="853" t="str">
        <f>+VLOOKUP($AJ893,Data_Validation!$A:$E,5,0)</f>
        <v/>
      </c>
      <c r="AT893" s="794" t="str">
        <f t="shared" ref="AT893:AU893" si="1784">C893</f>
        <v>G63203</v>
      </c>
      <c r="AU893" s="854" t="str">
        <f t="shared" si="1784"/>
        <v>COUTANT - SIERRA 3500</v>
      </c>
      <c r="AV893" s="794">
        <f t="array" ref="AV893">IFERROR(INDEX(V893:AG893,1,MATCH(Parametres!$B$3,V$1:AG$1,0)-1)*IF(OR(C893="L",C893="S",C893="I"),-1,1),"")</f>
        <v>0</v>
      </c>
      <c r="AW893" s="794">
        <f t="shared" si="6"/>
        <v>0</v>
      </c>
      <c r="AX893" s="794">
        <f t="array" ref="AX893">INDEX(V893:AG893,1,MATCH(Parametres!$B$3,V$1:AG$1,0))*IF(OR(C893="L",C893="S",C893="I"),-1,1)</f>
        <v>0</v>
      </c>
      <c r="AY893" s="853" t="s">
        <v>772</v>
      </c>
      <c r="AZ893" s="853" t="str">
        <f>+VLOOKUP($AJ893,Data_Validation!$A:$E,5,0)</f>
        <v/>
      </c>
    </row>
    <row r="894" ht="15.0" customHeight="1">
      <c r="A894" s="849" t="s">
        <v>1239</v>
      </c>
      <c r="B894" s="849">
        <v>2026.0</v>
      </c>
      <c r="C894" s="849" t="s">
        <v>2989</v>
      </c>
      <c r="D894" s="849" t="s">
        <v>2990</v>
      </c>
      <c r="E894" s="849" t="s">
        <v>2072</v>
      </c>
      <c r="F894" s="849" t="s">
        <v>2855</v>
      </c>
      <c r="G894" s="849">
        <v>0.0</v>
      </c>
      <c r="H894" s="849">
        <v>0.0</v>
      </c>
      <c r="I894" s="849">
        <v>0.0</v>
      </c>
      <c r="J894" s="849">
        <v>0.0</v>
      </c>
      <c r="K894" s="849">
        <v>0.0</v>
      </c>
      <c r="L894" s="849">
        <v>36856.0</v>
      </c>
      <c r="M894" s="849">
        <v>36856.0</v>
      </c>
      <c r="N894" s="849">
        <v>36856.0</v>
      </c>
      <c r="O894" s="849">
        <v>36856.0</v>
      </c>
      <c r="P894" s="849">
        <v>36856.0</v>
      </c>
      <c r="Q894" s="849">
        <v>0.0</v>
      </c>
      <c r="R894" s="849">
        <v>0.0</v>
      </c>
      <c r="S894" s="849">
        <v>4095.11</v>
      </c>
      <c r="T894" s="849">
        <v>4095.11</v>
      </c>
      <c r="U894" s="849">
        <v>0.0</v>
      </c>
      <c r="V894" s="849">
        <v>0.0</v>
      </c>
      <c r="W894" s="849">
        <v>0.0</v>
      </c>
      <c r="X894" s="849">
        <v>0.0</v>
      </c>
      <c r="Y894" s="849">
        <v>0.0</v>
      </c>
      <c r="Z894" s="849">
        <v>0.0</v>
      </c>
      <c r="AA894" s="849">
        <v>0.0</v>
      </c>
      <c r="AB894" s="849">
        <v>0.0</v>
      </c>
      <c r="AC894" s="849">
        <v>0.0</v>
      </c>
      <c r="AD894" s="849">
        <v>0.0</v>
      </c>
      <c r="AE894" s="849">
        <v>0.0</v>
      </c>
      <c r="AF894" s="849">
        <v>0.0</v>
      </c>
      <c r="AG894" s="849">
        <v>0.0</v>
      </c>
      <c r="AH894" s="849">
        <v>0.0</v>
      </c>
      <c r="AI894" s="849">
        <v>0.0</v>
      </c>
      <c r="AJ894" s="794" t="str">
        <f t="shared" ref="AJ894:AK894" si="1785">C894</f>
        <v>G63300</v>
      </c>
      <c r="AK894" s="794" t="str">
        <f t="shared" si="1785"/>
        <v>COUT-BLAZER</v>
      </c>
      <c r="AL894" s="794">
        <f t="array" ref="AL894">IFERROR(INDEX(G894:R894,1,MATCH(Parametres!$B$3,G$1:R$1,0)-1)*IF(OR(F894="L",F894="S",F894="I"),-1,1),"")</f>
        <v>36856</v>
      </c>
      <c r="AM894" s="794">
        <f t="shared" si="4"/>
        <v>0</v>
      </c>
      <c r="AN894" s="794">
        <f t="array" ref="AN894">INDEX(G894:R894,1,MATCH(Parametres!$B$3,G$1:R$1,0))*IF(OR(F894="L",F894="S",F894="I"),-1,1)</f>
        <v>36856</v>
      </c>
      <c r="AO894" s="853" t="str">
        <f>+VLOOKUP($AJ894,Data_Validation!$A:$D,1,0)</f>
        <v>G63300</v>
      </c>
      <c r="AP894" s="853" t="str">
        <f>+VLOOKUP($AJ894,Data_Validation!$A:$D,3,0)</f>
        <v>Véhicules neufs</v>
      </c>
      <c r="AQ894" s="853" t="str">
        <f>+VLOOKUP($AJ894,Data_Validation!$A:$D,4,0)</f>
        <v>Camions détail</v>
      </c>
      <c r="AR894" s="853" t="s">
        <v>728</v>
      </c>
      <c r="AS894" s="853" t="str">
        <f>+VLOOKUP($AJ894,Data_Validation!$A:$E,5,0)</f>
        <v/>
      </c>
      <c r="AT894" s="794" t="str">
        <f t="shared" ref="AT894:AU894" si="1786">C894</f>
        <v>G63300</v>
      </c>
      <c r="AU894" s="854" t="str">
        <f t="shared" si="1786"/>
        <v>COUT-BLAZER</v>
      </c>
      <c r="AV894" s="794">
        <f t="array" ref="AV894">IFERROR(INDEX(V894:AG894,1,MATCH(Parametres!$B$3,V$1:AG$1,0)-1)*IF(OR(C894="L",C894="S",C894="I"),-1,1),"")</f>
        <v>0</v>
      </c>
      <c r="AW894" s="794">
        <f t="shared" si="6"/>
        <v>0</v>
      </c>
      <c r="AX894" s="794">
        <f t="array" ref="AX894">INDEX(V894:AG894,1,MATCH(Parametres!$B$3,V$1:AG$1,0))*IF(OR(C894="L",C894="S",C894="I"),-1,1)</f>
        <v>0</v>
      </c>
      <c r="AY894" s="853" t="s">
        <v>772</v>
      </c>
      <c r="AZ894" s="853" t="str">
        <f>+VLOOKUP($AJ894,Data_Validation!$A:$E,5,0)</f>
        <v/>
      </c>
    </row>
    <row r="895" ht="15.0" customHeight="1">
      <c r="A895" s="849" t="s">
        <v>1239</v>
      </c>
      <c r="B895" s="849">
        <v>2026.0</v>
      </c>
      <c r="C895" s="849" t="s">
        <v>2991</v>
      </c>
      <c r="D895" s="849" t="s">
        <v>2992</v>
      </c>
      <c r="E895" s="849" t="s">
        <v>2072</v>
      </c>
      <c r="F895" s="849" t="s">
        <v>2855</v>
      </c>
      <c r="G895" s="849">
        <v>0.0</v>
      </c>
      <c r="H895" s="849">
        <v>0.0</v>
      </c>
      <c r="I895" s="849">
        <v>179333.38</v>
      </c>
      <c r="J895" s="849">
        <v>334500.34</v>
      </c>
      <c r="K895" s="849">
        <v>449487.89</v>
      </c>
      <c r="L895" s="849">
        <v>449487.89</v>
      </c>
      <c r="M895" s="849">
        <v>449487.89</v>
      </c>
      <c r="N895" s="849">
        <v>449487.89</v>
      </c>
      <c r="O895" s="849">
        <v>509126.03</v>
      </c>
      <c r="P895" s="849">
        <v>509126.03</v>
      </c>
      <c r="Q895" s="849">
        <v>0.0</v>
      </c>
      <c r="R895" s="849">
        <v>0.0</v>
      </c>
      <c r="S895" s="849">
        <v>56569.56</v>
      </c>
      <c r="T895" s="849">
        <v>56569.56</v>
      </c>
      <c r="U895" s="849">
        <v>0.0</v>
      </c>
      <c r="V895" s="849">
        <v>0.0</v>
      </c>
      <c r="W895" s="849">
        <v>0.0</v>
      </c>
      <c r="X895" s="849">
        <v>0.0</v>
      </c>
      <c r="Y895" s="849">
        <v>0.0</v>
      </c>
      <c r="Z895" s="849">
        <v>0.0</v>
      </c>
      <c r="AA895" s="849">
        <v>0.0</v>
      </c>
      <c r="AB895" s="849">
        <v>0.0</v>
      </c>
      <c r="AC895" s="849">
        <v>0.0</v>
      </c>
      <c r="AD895" s="849">
        <v>0.0</v>
      </c>
      <c r="AE895" s="849">
        <v>0.0</v>
      </c>
      <c r="AF895" s="849">
        <v>0.0</v>
      </c>
      <c r="AG895" s="849">
        <v>0.0</v>
      </c>
      <c r="AH895" s="849">
        <v>0.0</v>
      </c>
      <c r="AI895" s="849">
        <v>0.0</v>
      </c>
      <c r="AJ895" s="794" t="str">
        <f t="shared" ref="AJ895:AK895" si="1787">C895</f>
        <v>G63301</v>
      </c>
      <c r="AK895" s="794" t="str">
        <f t="shared" si="1787"/>
        <v>COUT-BLAZER EV</v>
      </c>
      <c r="AL895" s="794">
        <f t="array" ref="AL895">IFERROR(INDEX(G895:R895,1,MATCH(Parametres!$B$3,G$1:R$1,0)-1)*IF(OR(F895="L",F895="S",F895="I"),-1,1),"")</f>
        <v>449487.89</v>
      </c>
      <c r="AM895" s="794">
        <f t="shared" si="4"/>
        <v>59638.14</v>
      </c>
      <c r="AN895" s="794">
        <f t="array" ref="AN895">INDEX(G895:R895,1,MATCH(Parametres!$B$3,G$1:R$1,0))*IF(OR(F895="L",F895="S",F895="I"),-1,1)</f>
        <v>509126.03</v>
      </c>
      <c r="AO895" s="853" t="str">
        <f>+VLOOKUP($AJ895,Data_Validation!$A:$D,1,0)</f>
        <v>G63301</v>
      </c>
      <c r="AP895" s="853" t="str">
        <f>+VLOOKUP($AJ895,Data_Validation!$A:$D,3,0)</f>
        <v>Véhicules neufs</v>
      </c>
      <c r="AQ895" s="853" t="str">
        <f>+VLOOKUP($AJ895,Data_Validation!$A:$D,4,0)</f>
        <v>Camions electriques</v>
      </c>
      <c r="AR895" s="853" t="s">
        <v>728</v>
      </c>
      <c r="AS895" s="853" t="str">
        <f>+VLOOKUP($AJ895,Data_Validation!$A:$E,5,0)</f>
        <v/>
      </c>
      <c r="AT895" s="794" t="str">
        <f t="shared" ref="AT895:AU895" si="1788">C895</f>
        <v>G63301</v>
      </c>
      <c r="AU895" s="854" t="str">
        <f t="shared" si="1788"/>
        <v>COUT-BLAZER EV</v>
      </c>
      <c r="AV895" s="794">
        <f t="array" ref="AV895">IFERROR(INDEX(V895:AG895,1,MATCH(Parametres!$B$3,V$1:AG$1,0)-1)*IF(OR(C895="L",C895="S",C895="I"),-1,1),"")</f>
        <v>0</v>
      </c>
      <c r="AW895" s="794">
        <f t="shared" si="6"/>
        <v>0</v>
      </c>
      <c r="AX895" s="794">
        <f t="array" ref="AX895">INDEX(V895:AG895,1,MATCH(Parametres!$B$3,V$1:AG$1,0))*IF(OR(C895="L",C895="S",C895="I"),-1,1)</f>
        <v>0</v>
      </c>
      <c r="AY895" s="853" t="s">
        <v>772</v>
      </c>
      <c r="AZ895" s="853" t="str">
        <f>+VLOOKUP($AJ895,Data_Validation!$A:$E,5,0)</f>
        <v/>
      </c>
    </row>
    <row r="896" ht="15.0" customHeight="1">
      <c r="A896" s="849" t="s">
        <v>1239</v>
      </c>
      <c r="B896" s="849">
        <v>2026.0</v>
      </c>
      <c r="C896" s="849" t="s">
        <v>2993</v>
      </c>
      <c r="D896" s="849" t="s">
        <v>2994</v>
      </c>
      <c r="E896" s="849" t="s">
        <v>2072</v>
      </c>
      <c r="F896" s="849" t="s">
        <v>2855</v>
      </c>
      <c r="G896" s="849">
        <v>0.0</v>
      </c>
      <c r="H896" s="849">
        <v>0.0</v>
      </c>
      <c r="I896" s="849">
        <v>0.0</v>
      </c>
      <c r="J896" s="849">
        <v>0.0</v>
      </c>
      <c r="K896" s="849">
        <v>0.0</v>
      </c>
      <c r="L896" s="849">
        <v>0.0</v>
      </c>
      <c r="M896" s="849">
        <v>0.0</v>
      </c>
      <c r="N896" s="849">
        <v>0.0</v>
      </c>
      <c r="O896" s="849">
        <v>0.0</v>
      </c>
      <c r="P896" s="849">
        <v>0.0</v>
      </c>
      <c r="Q896" s="849">
        <v>0.0</v>
      </c>
      <c r="R896" s="849">
        <v>0.0</v>
      </c>
      <c r="S896" s="849">
        <v>0.0</v>
      </c>
      <c r="T896" s="849">
        <v>0.0</v>
      </c>
      <c r="U896" s="849">
        <v>0.0</v>
      </c>
      <c r="V896" s="849">
        <v>0.0</v>
      </c>
      <c r="W896" s="849">
        <v>0.0</v>
      </c>
      <c r="X896" s="849">
        <v>0.0</v>
      </c>
      <c r="Y896" s="849">
        <v>0.0</v>
      </c>
      <c r="Z896" s="849">
        <v>0.0</v>
      </c>
      <c r="AA896" s="849">
        <v>0.0</v>
      </c>
      <c r="AB896" s="849">
        <v>0.0</v>
      </c>
      <c r="AC896" s="849">
        <v>0.0</v>
      </c>
      <c r="AD896" s="849">
        <v>0.0</v>
      </c>
      <c r="AE896" s="849">
        <v>0.0</v>
      </c>
      <c r="AF896" s="849">
        <v>0.0</v>
      </c>
      <c r="AG896" s="849">
        <v>0.0</v>
      </c>
      <c r="AH896" s="849">
        <v>0.0</v>
      </c>
      <c r="AI896" s="849">
        <v>0.0</v>
      </c>
      <c r="AJ896" s="794" t="str">
        <f t="shared" ref="AJ896:AK896" si="1789">C896</f>
        <v>G63320</v>
      </c>
      <c r="AK896" s="794" t="str">
        <f t="shared" si="1789"/>
        <v>COUT-CL 3500 SILVERAD-LOC</v>
      </c>
      <c r="AL896" s="794">
        <f t="array" ref="AL896">IFERROR(INDEX(G896:R896,1,MATCH(Parametres!$B$3,G$1:R$1,0)-1)*IF(OR(F896="L",F896="S",F896="I"),-1,1),"")</f>
        <v>0</v>
      </c>
      <c r="AM896" s="794">
        <f t="shared" si="4"/>
        <v>0</v>
      </c>
      <c r="AN896" s="794">
        <f t="array" ref="AN896">INDEX(G896:R896,1,MATCH(Parametres!$B$3,G$1:R$1,0))*IF(OR(F896="L",F896="S",F896="I"),-1,1)</f>
        <v>0</v>
      </c>
      <c r="AO896" s="853" t="str">
        <f>+VLOOKUP($AJ896,Data_Validation!$A:$D,1,0)</f>
        <v>#N/A</v>
      </c>
      <c r="AP896" s="853" t="str">
        <f>+VLOOKUP($AJ896,Data_Validation!$A:$D,3,0)</f>
        <v>#N/A</v>
      </c>
      <c r="AQ896" s="853" t="str">
        <f>+VLOOKUP($AJ896,Data_Validation!$A:$D,4,0)</f>
        <v>#N/A</v>
      </c>
      <c r="AR896" s="853" t="s">
        <v>728</v>
      </c>
      <c r="AS896" s="853" t="str">
        <f>+VLOOKUP($AJ896,Data_Validation!$A:$E,5,0)</f>
        <v>#N/A</v>
      </c>
      <c r="AT896" s="794" t="str">
        <f t="shared" ref="AT896:AU896" si="1790">C896</f>
        <v>G63320</v>
      </c>
      <c r="AU896" s="854" t="str">
        <f t="shared" si="1790"/>
        <v>COUT-CL 3500 SILVERAD-LOC</v>
      </c>
      <c r="AV896" s="794">
        <f t="array" ref="AV896">IFERROR(INDEX(V896:AG896,1,MATCH(Parametres!$B$3,V$1:AG$1,0)-1)*IF(OR(C896="L",C896="S",C896="I"),-1,1),"")</f>
        <v>0</v>
      </c>
      <c r="AW896" s="794">
        <f t="shared" si="6"/>
        <v>0</v>
      </c>
      <c r="AX896" s="794">
        <f t="array" ref="AX896">INDEX(V896:AG896,1,MATCH(Parametres!$B$3,V$1:AG$1,0))*IF(OR(C896="L",C896="S",C896="I"),-1,1)</f>
        <v>0</v>
      </c>
      <c r="AY896" s="853" t="s">
        <v>772</v>
      </c>
      <c r="AZ896" s="853" t="str">
        <f>+VLOOKUP($AJ896,Data_Validation!$A:$E,5,0)</f>
        <v>#N/A</v>
      </c>
    </row>
    <row r="897" ht="15.0" customHeight="1">
      <c r="A897" s="849" t="s">
        <v>1239</v>
      </c>
      <c r="B897" s="849">
        <v>2026.0</v>
      </c>
      <c r="C897" s="849" t="s">
        <v>2995</v>
      </c>
      <c r="D897" s="849" t="s">
        <v>2996</v>
      </c>
      <c r="E897" s="849" t="s">
        <v>2072</v>
      </c>
      <c r="F897" s="849" t="s">
        <v>2855</v>
      </c>
      <c r="G897" s="849">
        <v>82360.75</v>
      </c>
      <c r="H897" s="849">
        <v>169932.97</v>
      </c>
      <c r="I897" s="849">
        <v>216193.02</v>
      </c>
      <c r="J897" s="849">
        <v>256081.92</v>
      </c>
      <c r="K897" s="849">
        <v>302252.92</v>
      </c>
      <c r="L897" s="849">
        <v>345066.99</v>
      </c>
      <c r="M897" s="849">
        <v>381754.99</v>
      </c>
      <c r="N897" s="849">
        <v>381754.99</v>
      </c>
      <c r="O897" s="849">
        <v>381754.99</v>
      </c>
      <c r="P897" s="849">
        <v>381754.99</v>
      </c>
      <c r="Q897" s="849">
        <v>0.0</v>
      </c>
      <c r="R897" s="849">
        <v>0.0</v>
      </c>
      <c r="S897" s="849">
        <v>42417.22</v>
      </c>
      <c r="T897" s="849">
        <v>42417.22</v>
      </c>
      <c r="U897" s="849">
        <v>0.0</v>
      </c>
      <c r="V897" s="849">
        <v>0.0</v>
      </c>
      <c r="W897" s="849">
        <v>0.0</v>
      </c>
      <c r="X897" s="849">
        <v>0.0</v>
      </c>
      <c r="Y897" s="849">
        <v>0.0</v>
      </c>
      <c r="Z897" s="849">
        <v>0.0</v>
      </c>
      <c r="AA897" s="849">
        <v>0.0</v>
      </c>
      <c r="AB897" s="849">
        <v>0.0</v>
      </c>
      <c r="AC897" s="849">
        <v>0.0</v>
      </c>
      <c r="AD897" s="849">
        <v>0.0</v>
      </c>
      <c r="AE897" s="849">
        <v>0.0</v>
      </c>
      <c r="AF897" s="849">
        <v>0.0</v>
      </c>
      <c r="AG897" s="849">
        <v>0.0</v>
      </c>
      <c r="AH897" s="849">
        <v>0.0</v>
      </c>
      <c r="AI897" s="849">
        <v>0.0</v>
      </c>
      <c r="AJ897" s="794" t="str">
        <f t="shared" ref="AJ897:AK897" si="1791">C897</f>
        <v>G63400</v>
      </c>
      <c r="AK897" s="794" t="str">
        <f t="shared" si="1791"/>
        <v>COUTANT EQUINOX</v>
      </c>
      <c r="AL897" s="794">
        <f t="array" ref="AL897">IFERROR(INDEX(G897:R897,1,MATCH(Parametres!$B$3,G$1:R$1,0)-1)*IF(OR(F897="L",F897="S",F897="I"),-1,1),"")</f>
        <v>381754.99</v>
      </c>
      <c r="AM897" s="794">
        <f t="shared" si="4"/>
        <v>0</v>
      </c>
      <c r="AN897" s="794">
        <f t="array" ref="AN897">INDEX(G897:R897,1,MATCH(Parametres!$B$3,G$1:R$1,0))*IF(OR(F897="L",F897="S",F897="I"),-1,1)</f>
        <v>381754.99</v>
      </c>
      <c r="AO897" s="853" t="str">
        <f>+VLOOKUP($AJ897,Data_Validation!$A:$D,1,0)</f>
        <v>G63400</v>
      </c>
      <c r="AP897" s="853" t="str">
        <f>+VLOOKUP($AJ897,Data_Validation!$A:$D,3,0)</f>
        <v>Véhicules neufs</v>
      </c>
      <c r="AQ897" s="853" t="str">
        <f>+VLOOKUP($AJ897,Data_Validation!$A:$D,4,0)</f>
        <v>Camions détail</v>
      </c>
      <c r="AR897" s="853" t="s">
        <v>728</v>
      </c>
      <c r="AS897" s="853" t="str">
        <f>+VLOOKUP($AJ897,Data_Validation!$A:$E,5,0)</f>
        <v/>
      </c>
      <c r="AT897" s="794" t="str">
        <f t="shared" ref="AT897:AU897" si="1792">C897</f>
        <v>G63400</v>
      </c>
      <c r="AU897" s="854" t="str">
        <f t="shared" si="1792"/>
        <v>COUTANT EQUINOX</v>
      </c>
      <c r="AV897" s="794">
        <f t="array" ref="AV897">IFERROR(INDEX(V897:AG897,1,MATCH(Parametres!$B$3,V$1:AG$1,0)-1)*IF(OR(C897="L",C897="S",C897="I"),-1,1),"")</f>
        <v>0</v>
      </c>
      <c r="AW897" s="794">
        <f t="shared" si="6"/>
        <v>0</v>
      </c>
      <c r="AX897" s="794">
        <f t="array" ref="AX897">INDEX(V897:AG897,1,MATCH(Parametres!$B$3,V$1:AG$1,0))*IF(OR(C897="L",C897="S",C897="I"),-1,1)</f>
        <v>0</v>
      </c>
      <c r="AY897" s="853" t="s">
        <v>772</v>
      </c>
      <c r="AZ897" s="853" t="str">
        <f>+VLOOKUP($AJ897,Data_Validation!$A:$E,5,0)</f>
        <v/>
      </c>
    </row>
    <row r="898" ht="15.0" customHeight="1">
      <c r="A898" s="849" t="s">
        <v>1239</v>
      </c>
      <c r="B898" s="849">
        <v>2026.0</v>
      </c>
      <c r="C898" s="849" t="s">
        <v>2997</v>
      </c>
      <c r="D898" s="849" t="s">
        <v>2998</v>
      </c>
      <c r="E898" s="849" t="s">
        <v>2072</v>
      </c>
      <c r="F898" s="849" t="s">
        <v>2855</v>
      </c>
      <c r="G898" s="849">
        <v>0.0</v>
      </c>
      <c r="H898" s="849">
        <v>109230.59</v>
      </c>
      <c r="I898" s="849">
        <v>343158.24</v>
      </c>
      <c r="J898" s="849">
        <v>1393624.66</v>
      </c>
      <c r="K898" s="849">
        <v>1540456.79</v>
      </c>
      <c r="L898" s="849">
        <v>1589977.28</v>
      </c>
      <c r="M898" s="849">
        <v>1906175.12</v>
      </c>
      <c r="N898" s="849">
        <v>2376988.55</v>
      </c>
      <c r="O898" s="849">
        <v>2868880.15</v>
      </c>
      <c r="P898" s="849">
        <v>2914079.16</v>
      </c>
      <c r="Q898" s="849">
        <v>0.0</v>
      </c>
      <c r="R898" s="849">
        <v>0.0</v>
      </c>
      <c r="S898" s="849">
        <v>318764.46</v>
      </c>
      <c r="T898" s="849">
        <v>318764.46</v>
      </c>
      <c r="U898" s="849">
        <v>0.0</v>
      </c>
      <c r="V898" s="849">
        <v>0.0</v>
      </c>
      <c r="W898" s="849">
        <v>0.0</v>
      </c>
      <c r="X898" s="849">
        <v>0.0</v>
      </c>
      <c r="Y898" s="849">
        <v>0.0</v>
      </c>
      <c r="Z898" s="849">
        <v>0.0</v>
      </c>
      <c r="AA898" s="849">
        <v>0.0</v>
      </c>
      <c r="AB898" s="849">
        <v>0.0</v>
      </c>
      <c r="AC898" s="849">
        <v>0.0</v>
      </c>
      <c r="AD898" s="849">
        <v>0.0</v>
      </c>
      <c r="AE898" s="849">
        <v>0.0</v>
      </c>
      <c r="AF898" s="849">
        <v>0.0</v>
      </c>
      <c r="AG898" s="849">
        <v>0.0</v>
      </c>
      <c r="AH898" s="849">
        <v>0.0</v>
      </c>
      <c r="AI898" s="849">
        <v>0.0</v>
      </c>
      <c r="AJ898" s="794" t="str">
        <f t="shared" ref="AJ898:AK898" si="1793">C898</f>
        <v>G63401</v>
      </c>
      <c r="AK898" s="794" t="str">
        <f t="shared" si="1793"/>
        <v>COUT - EQUINOX EV</v>
      </c>
      <c r="AL898" s="794">
        <f t="array" ref="AL898">IFERROR(INDEX(G898:R898,1,MATCH(Parametres!$B$3,G$1:R$1,0)-1)*IF(OR(F898="L",F898="S",F898="I"),-1,1),"")</f>
        <v>2376988.55</v>
      </c>
      <c r="AM898" s="794">
        <f t="shared" si="4"/>
        <v>491891.6</v>
      </c>
      <c r="AN898" s="794">
        <f t="array" ref="AN898">INDEX(G898:R898,1,MATCH(Parametres!$B$3,G$1:R$1,0))*IF(OR(F898="L",F898="S",F898="I"),-1,1)</f>
        <v>2868880.15</v>
      </c>
      <c r="AO898" s="853" t="str">
        <f>+VLOOKUP($AJ898,Data_Validation!$A:$D,1,0)</f>
        <v>G63401</v>
      </c>
      <c r="AP898" s="853" t="str">
        <f>+VLOOKUP($AJ898,Data_Validation!$A:$D,3,0)</f>
        <v>Véhicules neufs</v>
      </c>
      <c r="AQ898" s="853" t="str">
        <f>+VLOOKUP($AJ898,Data_Validation!$A:$D,4,0)</f>
        <v>Camions electriques</v>
      </c>
      <c r="AR898" s="853" t="s">
        <v>728</v>
      </c>
      <c r="AS898" s="853" t="str">
        <f>+VLOOKUP($AJ898,Data_Validation!$A:$E,5,0)</f>
        <v/>
      </c>
      <c r="AT898" s="794" t="str">
        <f t="shared" ref="AT898:AU898" si="1794">C898</f>
        <v>G63401</v>
      </c>
      <c r="AU898" s="854" t="str">
        <f t="shared" si="1794"/>
        <v>COUT - EQUINOX EV</v>
      </c>
      <c r="AV898" s="794">
        <f t="array" ref="AV898">IFERROR(INDEX(V898:AG898,1,MATCH(Parametres!$B$3,V$1:AG$1,0)-1)*IF(OR(C898="L",C898="S",C898="I"),-1,1),"")</f>
        <v>0</v>
      </c>
      <c r="AW898" s="794">
        <f t="shared" si="6"/>
        <v>0</v>
      </c>
      <c r="AX898" s="794">
        <f t="array" ref="AX898">INDEX(V898:AG898,1,MATCH(Parametres!$B$3,V$1:AG$1,0))*IF(OR(C898="L",C898="S",C898="I"),-1,1)</f>
        <v>0</v>
      </c>
      <c r="AY898" s="853" t="s">
        <v>772</v>
      </c>
      <c r="AZ898" s="853" t="str">
        <f>+VLOOKUP($AJ898,Data_Validation!$A:$E,5,0)</f>
        <v/>
      </c>
    </row>
    <row r="899" ht="15.0" customHeight="1">
      <c r="A899" s="849" t="s">
        <v>1239</v>
      </c>
      <c r="B899" s="849">
        <v>2026.0</v>
      </c>
      <c r="C899" s="849" t="s">
        <v>2999</v>
      </c>
      <c r="D899" s="849" t="s">
        <v>3000</v>
      </c>
      <c r="E899" s="849" t="s">
        <v>2072</v>
      </c>
      <c r="F899" s="849" t="s">
        <v>2855</v>
      </c>
      <c r="G899" s="849">
        <v>0.0</v>
      </c>
      <c r="H899" s="849">
        <v>0.0</v>
      </c>
      <c r="I899" s="849">
        <v>0.0</v>
      </c>
      <c r="J899" s="849">
        <v>0.0</v>
      </c>
      <c r="K899" s="849">
        <v>0.0</v>
      </c>
      <c r="L899" s="849">
        <v>0.0</v>
      </c>
      <c r="M899" s="849">
        <v>0.0</v>
      </c>
      <c r="N899" s="849">
        <v>0.0</v>
      </c>
      <c r="O899" s="849">
        <v>0.0</v>
      </c>
      <c r="P899" s="849">
        <v>0.0</v>
      </c>
      <c r="Q899" s="849">
        <v>0.0</v>
      </c>
      <c r="R899" s="849">
        <v>0.0</v>
      </c>
      <c r="S899" s="849">
        <v>0.0</v>
      </c>
      <c r="T899" s="849">
        <v>0.0</v>
      </c>
      <c r="U899" s="849">
        <v>0.0</v>
      </c>
      <c r="V899" s="849">
        <v>0.0</v>
      </c>
      <c r="W899" s="849">
        <v>0.0</v>
      </c>
      <c r="X899" s="849">
        <v>0.0</v>
      </c>
      <c r="Y899" s="849">
        <v>0.0</v>
      </c>
      <c r="Z899" s="849">
        <v>0.0</v>
      </c>
      <c r="AA899" s="849">
        <v>0.0</v>
      </c>
      <c r="AB899" s="849">
        <v>0.0</v>
      </c>
      <c r="AC899" s="849">
        <v>0.0</v>
      </c>
      <c r="AD899" s="849">
        <v>0.0</v>
      </c>
      <c r="AE899" s="849">
        <v>0.0</v>
      </c>
      <c r="AF899" s="849">
        <v>0.0</v>
      </c>
      <c r="AG899" s="849">
        <v>0.0</v>
      </c>
      <c r="AH899" s="849">
        <v>0.0</v>
      </c>
      <c r="AI899" s="849">
        <v>0.0</v>
      </c>
      <c r="AJ899" s="794" t="str">
        <f t="shared" ref="AJ899:AK899" si="1795">C899</f>
        <v>G63420</v>
      </c>
      <c r="AK899" s="794" t="str">
        <f t="shared" si="1795"/>
        <v>COUT-TRACKER         -LOC</v>
      </c>
      <c r="AL899" s="794">
        <f t="array" ref="AL899">IFERROR(INDEX(G899:R899,1,MATCH(Parametres!$B$3,G$1:R$1,0)-1)*IF(OR(F899="L",F899="S",F899="I"),-1,1),"")</f>
        <v>0</v>
      </c>
      <c r="AM899" s="794">
        <f t="shared" si="4"/>
        <v>0</v>
      </c>
      <c r="AN899" s="794">
        <f t="array" ref="AN899">INDEX(G899:R899,1,MATCH(Parametres!$B$3,G$1:R$1,0))*IF(OR(F899="L",F899="S",F899="I"),-1,1)</f>
        <v>0</v>
      </c>
      <c r="AO899" s="853" t="str">
        <f>+VLOOKUP($AJ899,Data_Validation!$A:$D,1,0)</f>
        <v>#N/A</v>
      </c>
      <c r="AP899" s="853" t="str">
        <f>+VLOOKUP($AJ899,Data_Validation!$A:$D,3,0)</f>
        <v>#N/A</v>
      </c>
      <c r="AQ899" s="853" t="str">
        <f>+VLOOKUP($AJ899,Data_Validation!$A:$D,4,0)</f>
        <v>#N/A</v>
      </c>
      <c r="AR899" s="853" t="s">
        <v>728</v>
      </c>
      <c r="AS899" s="853" t="str">
        <f>+VLOOKUP($AJ899,Data_Validation!$A:$E,5,0)</f>
        <v>#N/A</v>
      </c>
      <c r="AT899" s="794" t="str">
        <f t="shared" ref="AT899:AU899" si="1796">C899</f>
        <v>G63420</v>
      </c>
      <c r="AU899" s="854" t="str">
        <f t="shared" si="1796"/>
        <v>COUT-TRACKER         -LOC</v>
      </c>
      <c r="AV899" s="794">
        <f t="array" ref="AV899">IFERROR(INDEX(V899:AG899,1,MATCH(Parametres!$B$3,V$1:AG$1,0)-1)*IF(OR(C899="L",C899="S",C899="I"),-1,1),"")</f>
        <v>0</v>
      </c>
      <c r="AW899" s="794">
        <f t="shared" si="6"/>
        <v>0</v>
      </c>
      <c r="AX899" s="794">
        <f t="array" ref="AX899">INDEX(V899:AG899,1,MATCH(Parametres!$B$3,V$1:AG$1,0))*IF(OR(C899="L",C899="S",C899="I"),-1,1)</f>
        <v>0</v>
      </c>
      <c r="AY899" s="853" t="s">
        <v>772</v>
      </c>
      <c r="AZ899" s="853" t="str">
        <f>+VLOOKUP($AJ899,Data_Validation!$A:$E,5,0)</f>
        <v>#N/A</v>
      </c>
    </row>
    <row r="900" ht="15.0" customHeight="1">
      <c r="A900" s="849" t="s">
        <v>1239</v>
      </c>
      <c r="B900" s="849">
        <v>2026.0</v>
      </c>
      <c r="C900" s="849" t="s">
        <v>3001</v>
      </c>
      <c r="D900" s="849" t="s">
        <v>3002</v>
      </c>
      <c r="E900" s="849" t="s">
        <v>2072</v>
      </c>
      <c r="F900" s="849" t="s">
        <v>2855</v>
      </c>
      <c r="G900" s="849">
        <v>0.0</v>
      </c>
      <c r="H900" s="849">
        <v>0.0</v>
      </c>
      <c r="I900" s="849">
        <v>0.0</v>
      </c>
      <c r="J900" s="849">
        <v>0.0</v>
      </c>
      <c r="K900" s="849">
        <v>0.0</v>
      </c>
      <c r="L900" s="849">
        <v>0.0</v>
      </c>
      <c r="M900" s="849">
        <v>0.0</v>
      </c>
      <c r="N900" s="849">
        <v>0.0</v>
      </c>
      <c r="O900" s="849">
        <v>0.0</v>
      </c>
      <c r="P900" s="849">
        <v>0.0</v>
      </c>
      <c r="Q900" s="849">
        <v>0.0</v>
      </c>
      <c r="R900" s="849">
        <v>0.0</v>
      </c>
      <c r="S900" s="849">
        <v>0.0</v>
      </c>
      <c r="T900" s="849">
        <v>0.0</v>
      </c>
      <c r="U900" s="849">
        <v>0.0</v>
      </c>
      <c r="V900" s="849">
        <v>0.0</v>
      </c>
      <c r="W900" s="849">
        <v>0.0</v>
      </c>
      <c r="X900" s="849">
        <v>0.0</v>
      </c>
      <c r="Y900" s="849">
        <v>0.0</v>
      </c>
      <c r="Z900" s="849">
        <v>0.0</v>
      </c>
      <c r="AA900" s="849">
        <v>0.0</v>
      </c>
      <c r="AB900" s="849">
        <v>0.0</v>
      </c>
      <c r="AC900" s="849">
        <v>0.0</v>
      </c>
      <c r="AD900" s="849">
        <v>0.0</v>
      </c>
      <c r="AE900" s="849">
        <v>0.0</v>
      </c>
      <c r="AF900" s="849">
        <v>0.0</v>
      </c>
      <c r="AG900" s="849">
        <v>0.0</v>
      </c>
      <c r="AH900" s="849">
        <v>0.0</v>
      </c>
      <c r="AI900" s="849">
        <v>0.0</v>
      </c>
      <c r="AJ900" s="794" t="str">
        <f t="shared" ref="AJ900:AK900" si="1797">C900</f>
        <v>G63500</v>
      </c>
      <c r="AK900" s="794" t="str">
        <f t="shared" si="1797"/>
        <v>COUT CHEV CITY</v>
      </c>
      <c r="AL900" s="794">
        <f t="array" ref="AL900">IFERROR(INDEX(G900:R900,1,MATCH(Parametres!$B$3,G$1:R$1,0)-1)*IF(OR(F900="L",F900="S",F900="I"),-1,1),"")</f>
        <v>0</v>
      </c>
      <c r="AM900" s="794">
        <f t="shared" si="4"/>
        <v>0</v>
      </c>
      <c r="AN900" s="794">
        <f t="array" ref="AN900">INDEX(G900:R900,1,MATCH(Parametres!$B$3,G$1:R$1,0))*IF(OR(F900="L",F900="S",F900="I"),-1,1)</f>
        <v>0</v>
      </c>
      <c r="AO900" s="853" t="str">
        <f>+VLOOKUP($AJ900,Data_Validation!$A:$D,1,0)</f>
        <v>G63500</v>
      </c>
      <c r="AP900" s="853" t="str">
        <f>+VLOOKUP($AJ900,Data_Validation!$A:$D,3,0)</f>
        <v>Véhicules neufs</v>
      </c>
      <c r="AQ900" s="853" t="str">
        <f>+VLOOKUP($AJ900,Data_Validation!$A:$D,4,0)</f>
        <v>Camions détail</v>
      </c>
      <c r="AR900" s="853" t="s">
        <v>728</v>
      </c>
      <c r="AS900" s="853" t="str">
        <f>+VLOOKUP($AJ900,Data_Validation!$A:$E,5,0)</f>
        <v/>
      </c>
      <c r="AT900" s="794" t="str">
        <f t="shared" ref="AT900:AU900" si="1798">C900</f>
        <v>G63500</v>
      </c>
      <c r="AU900" s="854" t="str">
        <f t="shared" si="1798"/>
        <v>COUT CHEV CITY</v>
      </c>
      <c r="AV900" s="794">
        <f t="array" ref="AV900">IFERROR(INDEX(V900:AG900,1,MATCH(Parametres!$B$3,V$1:AG$1,0)-1)*IF(OR(C900="L",C900="S",C900="I"),-1,1),"")</f>
        <v>0</v>
      </c>
      <c r="AW900" s="794">
        <f t="shared" si="6"/>
        <v>0</v>
      </c>
      <c r="AX900" s="794">
        <f t="array" ref="AX900">INDEX(V900:AG900,1,MATCH(Parametres!$B$3,V$1:AG$1,0))*IF(OR(C900="L",C900="S",C900="I"),-1,1)</f>
        <v>0</v>
      </c>
      <c r="AY900" s="853" t="s">
        <v>772</v>
      </c>
      <c r="AZ900" s="853" t="str">
        <f>+VLOOKUP($AJ900,Data_Validation!$A:$E,5,0)</f>
        <v/>
      </c>
    </row>
    <row r="901" ht="15.0" customHeight="1">
      <c r="A901" s="849" t="s">
        <v>1239</v>
      </c>
      <c r="B901" s="849">
        <v>2026.0</v>
      </c>
      <c r="C901" s="849" t="s">
        <v>3003</v>
      </c>
      <c r="D901" s="849" t="s">
        <v>3004</v>
      </c>
      <c r="E901" s="849" t="s">
        <v>2072</v>
      </c>
      <c r="F901" s="849" t="s">
        <v>2855</v>
      </c>
      <c r="G901" s="849">
        <v>0.0</v>
      </c>
      <c r="H901" s="849">
        <v>0.0</v>
      </c>
      <c r="I901" s="849">
        <v>0.0</v>
      </c>
      <c r="J901" s="849">
        <v>0.0</v>
      </c>
      <c r="K901" s="849">
        <v>0.0</v>
      </c>
      <c r="L901" s="849">
        <v>0.0</v>
      </c>
      <c r="M901" s="849">
        <v>126926.91</v>
      </c>
      <c r="N901" s="849">
        <v>126926.91</v>
      </c>
      <c r="O901" s="849">
        <v>257073.4</v>
      </c>
      <c r="P901" s="849">
        <v>257073.4</v>
      </c>
      <c r="Q901" s="849">
        <v>0.0</v>
      </c>
      <c r="R901" s="849">
        <v>0.0</v>
      </c>
      <c r="S901" s="849">
        <v>28563.71</v>
      </c>
      <c r="T901" s="849">
        <v>28563.71</v>
      </c>
      <c r="U901" s="849">
        <v>0.0</v>
      </c>
      <c r="V901" s="849">
        <v>0.0</v>
      </c>
      <c r="W901" s="849">
        <v>0.0</v>
      </c>
      <c r="X901" s="849">
        <v>0.0</v>
      </c>
      <c r="Y901" s="849">
        <v>0.0</v>
      </c>
      <c r="Z901" s="849">
        <v>0.0</v>
      </c>
      <c r="AA901" s="849">
        <v>0.0</v>
      </c>
      <c r="AB901" s="849">
        <v>0.0</v>
      </c>
      <c r="AC901" s="849">
        <v>0.0</v>
      </c>
      <c r="AD901" s="849">
        <v>0.0</v>
      </c>
      <c r="AE901" s="849">
        <v>0.0</v>
      </c>
      <c r="AF901" s="849">
        <v>0.0</v>
      </c>
      <c r="AG901" s="849">
        <v>0.0</v>
      </c>
      <c r="AH901" s="849">
        <v>0.0</v>
      </c>
      <c r="AI901" s="849">
        <v>0.0</v>
      </c>
      <c r="AJ901" s="794" t="str">
        <f t="shared" ref="AJ901:AK901" si="1799">C901</f>
        <v>G63501</v>
      </c>
      <c r="AK901" s="794" t="str">
        <f t="shared" si="1799"/>
        <v>COUT - HUMMER EV SUV</v>
      </c>
      <c r="AL901" s="794">
        <f t="array" ref="AL901">IFERROR(INDEX(G901:R901,1,MATCH(Parametres!$B$3,G$1:R$1,0)-1)*IF(OR(F901="L",F901="S",F901="I"),-1,1),"")</f>
        <v>126926.91</v>
      </c>
      <c r="AM901" s="794">
        <f t="shared" si="4"/>
        <v>130146.49</v>
      </c>
      <c r="AN901" s="794">
        <f t="array" ref="AN901">INDEX(G901:R901,1,MATCH(Parametres!$B$3,G$1:R$1,0))*IF(OR(F901="L",F901="S",F901="I"),-1,1)</f>
        <v>257073.4</v>
      </c>
      <c r="AO901" s="853" t="str">
        <f>+VLOOKUP($AJ901,Data_Validation!$A:$D,1,0)</f>
        <v>G63501</v>
      </c>
      <c r="AP901" s="853" t="str">
        <f>+VLOOKUP($AJ901,Data_Validation!$A:$D,3,0)</f>
        <v>Véhicules neufs</v>
      </c>
      <c r="AQ901" s="853" t="str">
        <f>+VLOOKUP($AJ901,Data_Validation!$A:$D,4,0)</f>
        <v>Camions electriques</v>
      </c>
      <c r="AR901" s="853" t="s">
        <v>728</v>
      </c>
      <c r="AS901" s="853" t="str">
        <f>+VLOOKUP($AJ901,Data_Validation!$A:$E,5,0)</f>
        <v/>
      </c>
      <c r="AT901" s="794" t="str">
        <f t="shared" ref="AT901:AU901" si="1800">C901</f>
        <v>G63501</v>
      </c>
      <c r="AU901" s="854" t="str">
        <f t="shared" si="1800"/>
        <v>COUT - HUMMER EV SUV</v>
      </c>
      <c r="AV901" s="794">
        <f t="array" ref="AV901">IFERROR(INDEX(V901:AG901,1,MATCH(Parametres!$B$3,V$1:AG$1,0)-1)*IF(OR(C901="L",C901="S",C901="I"),-1,1),"")</f>
        <v>0</v>
      </c>
      <c r="AW901" s="794">
        <f t="shared" si="6"/>
        <v>0</v>
      </c>
      <c r="AX901" s="794">
        <f t="array" ref="AX901">INDEX(V901:AG901,1,MATCH(Parametres!$B$3,V$1:AG$1,0))*IF(OR(C901="L",C901="S",C901="I"),-1,1)</f>
        <v>0</v>
      </c>
      <c r="AY901" s="853" t="s">
        <v>772</v>
      </c>
      <c r="AZ901" s="853" t="str">
        <f>+VLOOKUP($AJ901,Data_Validation!$A:$E,5,0)</f>
        <v/>
      </c>
    </row>
    <row r="902" ht="15.0" customHeight="1">
      <c r="A902" s="849" t="s">
        <v>1239</v>
      </c>
      <c r="B902" s="849">
        <v>2026.0</v>
      </c>
      <c r="C902" s="849" t="s">
        <v>3005</v>
      </c>
      <c r="D902" s="849" t="s">
        <v>3006</v>
      </c>
      <c r="E902" s="849" t="s">
        <v>2072</v>
      </c>
      <c r="F902" s="849" t="s">
        <v>2855</v>
      </c>
      <c r="G902" s="849">
        <v>0.0</v>
      </c>
      <c r="H902" s="849">
        <v>0.0</v>
      </c>
      <c r="I902" s="849">
        <v>0.0</v>
      </c>
      <c r="J902" s="849">
        <v>0.0</v>
      </c>
      <c r="K902" s="849">
        <v>0.0</v>
      </c>
      <c r="L902" s="849">
        <v>0.0</v>
      </c>
      <c r="M902" s="849">
        <v>0.0</v>
      </c>
      <c r="N902" s="849">
        <v>0.0</v>
      </c>
      <c r="O902" s="849">
        <v>0.0</v>
      </c>
      <c r="P902" s="849">
        <v>0.0</v>
      </c>
      <c r="Q902" s="849">
        <v>0.0</v>
      </c>
      <c r="R902" s="849">
        <v>0.0</v>
      </c>
      <c r="S902" s="849">
        <v>0.0</v>
      </c>
      <c r="T902" s="849">
        <v>0.0</v>
      </c>
      <c r="U902" s="849">
        <v>0.0</v>
      </c>
      <c r="V902" s="849">
        <v>0.0</v>
      </c>
      <c r="W902" s="849">
        <v>0.0</v>
      </c>
      <c r="X902" s="849">
        <v>0.0</v>
      </c>
      <c r="Y902" s="849">
        <v>0.0</v>
      </c>
      <c r="Z902" s="849">
        <v>0.0</v>
      </c>
      <c r="AA902" s="849">
        <v>0.0</v>
      </c>
      <c r="AB902" s="849">
        <v>0.0</v>
      </c>
      <c r="AC902" s="849">
        <v>0.0</v>
      </c>
      <c r="AD902" s="849">
        <v>0.0</v>
      </c>
      <c r="AE902" s="849">
        <v>0.0</v>
      </c>
      <c r="AF902" s="849">
        <v>0.0</v>
      </c>
      <c r="AG902" s="849">
        <v>0.0</v>
      </c>
      <c r="AH902" s="849">
        <v>0.0</v>
      </c>
      <c r="AI902" s="849">
        <v>0.0</v>
      </c>
      <c r="AJ902" s="794" t="str">
        <f t="shared" ref="AJ902:AK902" si="1801">C902</f>
        <v>G63520</v>
      </c>
      <c r="AK902" s="794" t="str">
        <f t="shared" si="1801"/>
        <v>COUT-SSR             -LOC</v>
      </c>
      <c r="AL902" s="794">
        <f t="array" ref="AL902">IFERROR(INDEX(G902:R902,1,MATCH(Parametres!$B$3,G$1:R$1,0)-1)*IF(OR(F902="L",F902="S",F902="I"),-1,1),"")</f>
        <v>0</v>
      </c>
      <c r="AM902" s="794">
        <f t="shared" si="4"/>
        <v>0</v>
      </c>
      <c r="AN902" s="794">
        <f t="array" ref="AN902">INDEX(G902:R902,1,MATCH(Parametres!$B$3,G$1:R$1,0))*IF(OR(F902="L",F902="S",F902="I"),-1,1)</f>
        <v>0</v>
      </c>
      <c r="AO902" s="853" t="str">
        <f>+VLOOKUP($AJ902,Data_Validation!$A:$D,1,0)</f>
        <v>#N/A</v>
      </c>
      <c r="AP902" s="853" t="str">
        <f>+VLOOKUP($AJ902,Data_Validation!$A:$D,3,0)</f>
        <v>#N/A</v>
      </c>
      <c r="AQ902" s="853" t="str">
        <f>+VLOOKUP($AJ902,Data_Validation!$A:$D,4,0)</f>
        <v>#N/A</v>
      </c>
      <c r="AR902" s="853" t="s">
        <v>728</v>
      </c>
      <c r="AS902" s="853" t="str">
        <f>+VLOOKUP($AJ902,Data_Validation!$A:$E,5,0)</f>
        <v>#N/A</v>
      </c>
      <c r="AT902" s="794" t="str">
        <f t="shared" ref="AT902:AU902" si="1802">C902</f>
        <v>G63520</v>
      </c>
      <c r="AU902" s="854" t="str">
        <f t="shared" si="1802"/>
        <v>COUT-SSR             -LOC</v>
      </c>
      <c r="AV902" s="794">
        <f t="array" ref="AV902">IFERROR(INDEX(V902:AG902,1,MATCH(Parametres!$B$3,V$1:AG$1,0)-1)*IF(OR(C902="L",C902="S",C902="I"),-1,1),"")</f>
        <v>0</v>
      </c>
      <c r="AW902" s="794">
        <f t="shared" si="6"/>
        <v>0</v>
      </c>
      <c r="AX902" s="794">
        <f t="array" ref="AX902">INDEX(V902:AG902,1,MATCH(Parametres!$B$3,V$1:AG$1,0))*IF(OR(C902="L",C902="S",C902="I"),-1,1)</f>
        <v>0</v>
      </c>
      <c r="AY902" s="853" t="s">
        <v>772</v>
      </c>
      <c r="AZ902" s="853" t="str">
        <f>+VLOOKUP($AJ902,Data_Validation!$A:$E,5,0)</f>
        <v>#N/A</v>
      </c>
    </row>
    <row r="903" ht="15.0" customHeight="1">
      <c r="A903" s="849" t="s">
        <v>1239</v>
      </c>
      <c r="B903" s="849">
        <v>2026.0</v>
      </c>
      <c r="C903" s="849" t="s">
        <v>3007</v>
      </c>
      <c r="D903" s="849" t="s">
        <v>3008</v>
      </c>
      <c r="E903" s="849" t="s">
        <v>2072</v>
      </c>
      <c r="F903" s="849" t="s">
        <v>2855</v>
      </c>
      <c r="G903" s="849">
        <v>39482.63</v>
      </c>
      <c r="H903" s="849">
        <v>72151.68</v>
      </c>
      <c r="I903" s="849">
        <v>72151.68</v>
      </c>
      <c r="J903" s="849">
        <v>72151.68</v>
      </c>
      <c r="K903" s="849">
        <v>109007.68</v>
      </c>
      <c r="L903" s="849">
        <v>109007.68</v>
      </c>
      <c r="M903" s="849">
        <v>109007.68</v>
      </c>
      <c r="N903" s="849">
        <v>143709.98</v>
      </c>
      <c r="O903" s="849">
        <v>222145.06</v>
      </c>
      <c r="P903" s="849">
        <v>222145.06</v>
      </c>
      <c r="Q903" s="849">
        <v>0.0</v>
      </c>
      <c r="R903" s="849">
        <v>0.0</v>
      </c>
      <c r="S903" s="849">
        <v>24682.78</v>
      </c>
      <c r="T903" s="849">
        <v>24682.78</v>
      </c>
      <c r="U903" s="849">
        <v>0.0</v>
      </c>
      <c r="V903" s="849">
        <v>0.0</v>
      </c>
      <c r="W903" s="849">
        <v>0.0</v>
      </c>
      <c r="X903" s="849">
        <v>0.0</v>
      </c>
      <c r="Y903" s="849">
        <v>0.0</v>
      </c>
      <c r="Z903" s="849">
        <v>0.0</v>
      </c>
      <c r="AA903" s="849">
        <v>0.0</v>
      </c>
      <c r="AB903" s="849">
        <v>0.0</v>
      </c>
      <c r="AC903" s="849">
        <v>0.0</v>
      </c>
      <c r="AD903" s="849">
        <v>0.0</v>
      </c>
      <c r="AE903" s="849">
        <v>0.0</v>
      </c>
      <c r="AF903" s="849">
        <v>0.0</v>
      </c>
      <c r="AG903" s="849">
        <v>0.0</v>
      </c>
      <c r="AH903" s="849">
        <v>0.0</v>
      </c>
      <c r="AI903" s="849">
        <v>0.0</v>
      </c>
      <c r="AJ903" s="794" t="str">
        <f t="shared" ref="AJ903:AK903" si="1803">C903</f>
        <v>G63600</v>
      </c>
      <c r="AK903" s="794" t="str">
        <f t="shared" si="1803"/>
        <v>COUT-TRAIL BLAZER</v>
      </c>
      <c r="AL903" s="794">
        <f t="array" ref="AL903">IFERROR(INDEX(G903:R903,1,MATCH(Parametres!$B$3,G$1:R$1,0)-1)*IF(OR(F903="L",F903="S",F903="I"),-1,1),"")</f>
        <v>143709.98</v>
      </c>
      <c r="AM903" s="794">
        <f t="shared" si="4"/>
        <v>78435.08</v>
      </c>
      <c r="AN903" s="794">
        <f t="array" ref="AN903">INDEX(G903:R903,1,MATCH(Parametres!$B$3,G$1:R$1,0))*IF(OR(F903="L",F903="S",F903="I"),-1,1)</f>
        <v>222145.06</v>
      </c>
      <c r="AO903" s="853" t="str">
        <f>+VLOOKUP($AJ903,Data_Validation!$A:$D,1,0)</f>
        <v>G63600</v>
      </c>
      <c r="AP903" s="853" t="str">
        <f>+VLOOKUP($AJ903,Data_Validation!$A:$D,3,0)</f>
        <v>Véhicules neufs</v>
      </c>
      <c r="AQ903" s="853" t="str">
        <f>+VLOOKUP($AJ903,Data_Validation!$A:$D,4,0)</f>
        <v>Camions détail</v>
      </c>
      <c r="AR903" s="853" t="s">
        <v>728</v>
      </c>
      <c r="AS903" s="853" t="str">
        <f>+VLOOKUP($AJ903,Data_Validation!$A:$E,5,0)</f>
        <v/>
      </c>
      <c r="AT903" s="794" t="str">
        <f t="shared" ref="AT903:AU903" si="1804">C903</f>
        <v>G63600</v>
      </c>
      <c r="AU903" s="854" t="str">
        <f t="shared" si="1804"/>
        <v>COUT-TRAIL BLAZER</v>
      </c>
      <c r="AV903" s="794">
        <f t="array" ref="AV903">IFERROR(INDEX(V903:AG903,1,MATCH(Parametres!$B$3,V$1:AG$1,0)-1)*IF(OR(C903="L",C903="S",C903="I"),-1,1),"")</f>
        <v>0</v>
      </c>
      <c r="AW903" s="794">
        <f t="shared" si="6"/>
        <v>0</v>
      </c>
      <c r="AX903" s="794">
        <f t="array" ref="AX903">INDEX(V903:AG903,1,MATCH(Parametres!$B$3,V$1:AG$1,0))*IF(OR(C903="L",C903="S",C903="I"),-1,1)</f>
        <v>0</v>
      </c>
      <c r="AY903" s="853" t="s">
        <v>772</v>
      </c>
      <c r="AZ903" s="853" t="str">
        <f>+VLOOKUP($AJ903,Data_Validation!$A:$E,5,0)</f>
        <v/>
      </c>
    </row>
    <row r="904" ht="15.0" customHeight="1">
      <c r="A904" s="849" t="s">
        <v>1239</v>
      </c>
      <c r="B904" s="849">
        <v>2026.0</v>
      </c>
      <c r="C904" s="849" t="s">
        <v>3009</v>
      </c>
      <c r="D904" s="849" t="s">
        <v>3010</v>
      </c>
      <c r="E904" s="849" t="s">
        <v>2072</v>
      </c>
      <c r="F904" s="849" t="s">
        <v>2855</v>
      </c>
      <c r="G904" s="849">
        <v>0.0</v>
      </c>
      <c r="H904" s="849">
        <v>0.0</v>
      </c>
      <c r="I904" s="849">
        <v>63923.0</v>
      </c>
      <c r="J904" s="849">
        <v>128882.14</v>
      </c>
      <c r="K904" s="849">
        <v>193939.26</v>
      </c>
      <c r="L904" s="849">
        <v>193939.26</v>
      </c>
      <c r="M904" s="849">
        <v>193939.26</v>
      </c>
      <c r="N904" s="849">
        <v>193939.26</v>
      </c>
      <c r="O904" s="849">
        <v>265512.26</v>
      </c>
      <c r="P904" s="849">
        <v>265512.26</v>
      </c>
      <c r="Q904" s="849">
        <v>0.0</v>
      </c>
      <c r="R904" s="849">
        <v>0.0</v>
      </c>
      <c r="S904" s="849">
        <v>29501.36</v>
      </c>
      <c r="T904" s="849">
        <v>29501.36</v>
      </c>
      <c r="U904" s="849">
        <v>0.0</v>
      </c>
      <c r="V904" s="849">
        <v>0.0</v>
      </c>
      <c r="W904" s="849">
        <v>0.0</v>
      </c>
      <c r="X904" s="849">
        <v>0.0</v>
      </c>
      <c r="Y904" s="849">
        <v>0.0</v>
      </c>
      <c r="Z904" s="849">
        <v>0.0</v>
      </c>
      <c r="AA904" s="849">
        <v>0.0</v>
      </c>
      <c r="AB904" s="849">
        <v>0.0</v>
      </c>
      <c r="AC904" s="849">
        <v>0.0</v>
      </c>
      <c r="AD904" s="849">
        <v>0.0</v>
      </c>
      <c r="AE904" s="849">
        <v>0.0</v>
      </c>
      <c r="AF904" s="849">
        <v>0.0</v>
      </c>
      <c r="AG904" s="849">
        <v>0.0</v>
      </c>
      <c r="AH904" s="849">
        <v>0.0</v>
      </c>
      <c r="AI904" s="849">
        <v>0.0</v>
      </c>
      <c r="AJ904" s="794" t="str">
        <f t="shared" ref="AJ904:AK904" si="1805">C904</f>
        <v>G63602</v>
      </c>
      <c r="AK904" s="794" t="str">
        <f t="shared" si="1805"/>
        <v>COÛT- GMC  ACADIA</v>
      </c>
      <c r="AL904" s="794">
        <f t="array" ref="AL904">IFERROR(INDEX(G904:R904,1,MATCH(Parametres!$B$3,G$1:R$1,0)-1)*IF(OR(F904="L",F904="S",F904="I"),-1,1),"")</f>
        <v>193939.26</v>
      </c>
      <c r="AM904" s="794">
        <f t="shared" si="4"/>
        <v>71573</v>
      </c>
      <c r="AN904" s="794">
        <f t="array" ref="AN904">INDEX(G904:R904,1,MATCH(Parametres!$B$3,G$1:R$1,0))*IF(OR(F904="L",F904="S",F904="I"),-1,1)</f>
        <v>265512.26</v>
      </c>
      <c r="AO904" s="853" t="str">
        <f>+VLOOKUP($AJ904,Data_Validation!$A:$D,1,0)</f>
        <v>G63602</v>
      </c>
      <c r="AP904" s="853" t="str">
        <f>+VLOOKUP($AJ904,Data_Validation!$A:$D,3,0)</f>
        <v>Véhicules neufs</v>
      </c>
      <c r="AQ904" s="853" t="str">
        <f>+VLOOKUP($AJ904,Data_Validation!$A:$D,4,0)</f>
        <v>Camions détail</v>
      </c>
      <c r="AR904" s="853" t="s">
        <v>728</v>
      </c>
      <c r="AS904" s="853" t="str">
        <f>+VLOOKUP($AJ904,Data_Validation!$A:$E,5,0)</f>
        <v/>
      </c>
      <c r="AT904" s="794" t="str">
        <f t="shared" ref="AT904:AU904" si="1806">C904</f>
        <v>G63602</v>
      </c>
      <c r="AU904" s="854" t="str">
        <f t="shared" si="1806"/>
        <v>COÛT- GMC  ACADIA</v>
      </c>
      <c r="AV904" s="794">
        <f t="array" ref="AV904">IFERROR(INDEX(V904:AG904,1,MATCH(Parametres!$B$3,V$1:AG$1,0)-1)*IF(OR(C904="L",C904="S",C904="I"),-1,1),"")</f>
        <v>0</v>
      </c>
      <c r="AW904" s="794">
        <f t="shared" si="6"/>
        <v>0</v>
      </c>
      <c r="AX904" s="794">
        <f t="array" ref="AX904">INDEX(V904:AG904,1,MATCH(Parametres!$B$3,V$1:AG$1,0))*IF(OR(C904="L",C904="S",C904="I"),-1,1)</f>
        <v>0</v>
      </c>
      <c r="AY904" s="853" t="s">
        <v>772</v>
      </c>
      <c r="AZ904" s="853" t="str">
        <f>+VLOOKUP($AJ904,Data_Validation!$A:$E,5,0)</f>
        <v/>
      </c>
    </row>
    <row r="905" ht="15.0" customHeight="1">
      <c r="A905" s="849" t="s">
        <v>1239</v>
      </c>
      <c r="B905" s="849">
        <v>2026.0</v>
      </c>
      <c r="C905" s="849" t="s">
        <v>3011</v>
      </c>
      <c r="D905" s="849" t="s">
        <v>3012</v>
      </c>
      <c r="E905" s="849" t="s">
        <v>2072</v>
      </c>
      <c r="F905" s="849" t="s">
        <v>2855</v>
      </c>
      <c r="G905" s="849">
        <v>0.0</v>
      </c>
      <c r="H905" s="849">
        <v>0.0</v>
      </c>
      <c r="I905" s="849">
        <v>0.0</v>
      </c>
      <c r="J905" s="849">
        <v>0.0</v>
      </c>
      <c r="K905" s="849">
        <v>0.0</v>
      </c>
      <c r="L905" s="849">
        <v>0.0</v>
      </c>
      <c r="M905" s="849">
        <v>0.0</v>
      </c>
      <c r="N905" s="849">
        <v>0.0</v>
      </c>
      <c r="O905" s="849">
        <v>0.0</v>
      </c>
      <c r="P905" s="849">
        <v>0.0</v>
      </c>
      <c r="Q905" s="849">
        <v>0.0</v>
      </c>
      <c r="R905" s="849">
        <v>0.0</v>
      </c>
      <c r="S905" s="849">
        <v>0.0</v>
      </c>
      <c r="T905" s="849">
        <v>0.0</v>
      </c>
      <c r="U905" s="849">
        <v>0.0</v>
      </c>
      <c r="V905" s="849">
        <v>0.0</v>
      </c>
      <c r="W905" s="849">
        <v>0.0</v>
      </c>
      <c r="X905" s="849">
        <v>0.0</v>
      </c>
      <c r="Y905" s="849">
        <v>0.0</v>
      </c>
      <c r="Z905" s="849">
        <v>0.0</v>
      </c>
      <c r="AA905" s="849">
        <v>0.0</v>
      </c>
      <c r="AB905" s="849">
        <v>0.0</v>
      </c>
      <c r="AC905" s="849">
        <v>0.0</v>
      </c>
      <c r="AD905" s="849">
        <v>0.0</v>
      </c>
      <c r="AE905" s="849">
        <v>0.0</v>
      </c>
      <c r="AF905" s="849">
        <v>0.0</v>
      </c>
      <c r="AG905" s="849">
        <v>0.0</v>
      </c>
      <c r="AH905" s="849">
        <v>0.0</v>
      </c>
      <c r="AI905" s="849">
        <v>0.0</v>
      </c>
      <c r="AJ905" s="794" t="str">
        <f t="shared" ref="AJ905:AK905" si="1807">C905</f>
        <v>G63800</v>
      </c>
      <c r="AK905" s="794" t="str">
        <f t="shared" si="1807"/>
        <v>COUT-CHEV CAMION AUTRE</v>
      </c>
      <c r="AL905" s="794">
        <f t="array" ref="AL905">IFERROR(INDEX(G905:R905,1,MATCH(Parametres!$B$3,G$1:R$1,0)-1)*IF(OR(F905="L",F905="S",F905="I"),-1,1),"")</f>
        <v>0</v>
      </c>
      <c r="AM905" s="794">
        <f t="shared" si="4"/>
        <v>0</v>
      </c>
      <c r="AN905" s="794">
        <f t="array" ref="AN905">INDEX(G905:R905,1,MATCH(Parametres!$B$3,G$1:R$1,0))*IF(OR(F905="L",F905="S",F905="I"),-1,1)</f>
        <v>0</v>
      </c>
      <c r="AO905" s="853" t="str">
        <f>+VLOOKUP($AJ905,Data_Validation!$A:$D,1,0)</f>
        <v>#N/A</v>
      </c>
      <c r="AP905" s="853" t="str">
        <f>+VLOOKUP($AJ905,Data_Validation!$A:$D,3,0)</f>
        <v>#N/A</v>
      </c>
      <c r="AQ905" s="853" t="str">
        <f>+VLOOKUP($AJ905,Data_Validation!$A:$D,4,0)</f>
        <v>#N/A</v>
      </c>
      <c r="AR905" s="853" t="s">
        <v>728</v>
      </c>
      <c r="AS905" s="853" t="str">
        <f>+VLOOKUP($AJ905,Data_Validation!$A:$E,5,0)</f>
        <v>#N/A</v>
      </c>
      <c r="AT905" s="794" t="str">
        <f t="shared" ref="AT905:AU905" si="1808">C905</f>
        <v>G63800</v>
      </c>
      <c r="AU905" s="854" t="str">
        <f t="shared" si="1808"/>
        <v>COUT-CHEV CAMION AUTRE</v>
      </c>
      <c r="AV905" s="794">
        <f t="array" ref="AV905">IFERROR(INDEX(V905:AG905,1,MATCH(Parametres!$B$3,V$1:AG$1,0)-1)*IF(OR(C905="L",C905="S",C905="I"),-1,1),"")</f>
        <v>0</v>
      </c>
      <c r="AW905" s="794">
        <f t="shared" si="6"/>
        <v>0</v>
      </c>
      <c r="AX905" s="794">
        <f t="array" ref="AX905">INDEX(V905:AG905,1,MATCH(Parametres!$B$3,V$1:AG$1,0))*IF(OR(C905="L",C905="S",C905="I"),-1,1)</f>
        <v>0</v>
      </c>
      <c r="AY905" s="853" t="s">
        <v>772</v>
      </c>
      <c r="AZ905" s="853" t="str">
        <f>+VLOOKUP($AJ905,Data_Validation!$A:$E,5,0)</f>
        <v>#N/A</v>
      </c>
    </row>
    <row r="906" ht="15.0" customHeight="1">
      <c r="A906" s="849" t="s">
        <v>1239</v>
      </c>
      <c r="B906" s="849">
        <v>2026.0</v>
      </c>
      <c r="C906" s="849" t="s">
        <v>3013</v>
      </c>
      <c r="D906" s="849" t="s">
        <v>3014</v>
      </c>
      <c r="E906" s="849" t="s">
        <v>2072</v>
      </c>
      <c r="F906" s="849" t="s">
        <v>2855</v>
      </c>
      <c r="G906" s="849">
        <v>0.0</v>
      </c>
      <c r="H906" s="849">
        <v>0.0</v>
      </c>
      <c r="I906" s="849">
        <v>0.0</v>
      </c>
      <c r="J906" s="849">
        <v>0.0</v>
      </c>
      <c r="K906" s="849">
        <v>0.0</v>
      </c>
      <c r="L906" s="849">
        <v>0.0</v>
      </c>
      <c r="M906" s="849">
        <v>0.0</v>
      </c>
      <c r="N906" s="849">
        <v>0.0</v>
      </c>
      <c r="O906" s="849">
        <v>0.0</v>
      </c>
      <c r="P906" s="849">
        <v>0.0</v>
      </c>
      <c r="Q906" s="849">
        <v>0.0</v>
      </c>
      <c r="R906" s="849">
        <v>0.0</v>
      </c>
      <c r="S906" s="849">
        <v>0.0</v>
      </c>
      <c r="T906" s="849">
        <v>0.0</v>
      </c>
      <c r="U906" s="849">
        <v>0.0</v>
      </c>
      <c r="V906" s="849">
        <v>0.0</v>
      </c>
      <c r="W906" s="849">
        <v>0.0</v>
      </c>
      <c r="X906" s="849">
        <v>0.0</v>
      </c>
      <c r="Y906" s="849">
        <v>0.0</v>
      </c>
      <c r="Z906" s="849">
        <v>0.0</v>
      </c>
      <c r="AA906" s="849">
        <v>0.0</v>
      </c>
      <c r="AB906" s="849">
        <v>0.0</v>
      </c>
      <c r="AC906" s="849">
        <v>0.0</v>
      </c>
      <c r="AD906" s="849">
        <v>0.0</v>
      </c>
      <c r="AE906" s="849">
        <v>0.0</v>
      </c>
      <c r="AF906" s="849">
        <v>0.0</v>
      </c>
      <c r="AG906" s="849">
        <v>0.0</v>
      </c>
      <c r="AH906" s="849">
        <v>0.0</v>
      </c>
      <c r="AI906" s="849">
        <v>0.0</v>
      </c>
      <c r="AJ906" s="794" t="str">
        <f t="shared" ref="AJ906:AK906" si="1809">C906</f>
        <v>G63820</v>
      </c>
      <c r="AK906" s="794" t="str">
        <f t="shared" si="1809"/>
        <v>COUT-CHEV CAMION AUTR-LOC</v>
      </c>
      <c r="AL906" s="794">
        <f t="array" ref="AL906">IFERROR(INDEX(G906:R906,1,MATCH(Parametres!$B$3,G$1:R$1,0)-1)*IF(OR(F906="L",F906="S",F906="I"),-1,1),"")</f>
        <v>0</v>
      </c>
      <c r="AM906" s="794">
        <f t="shared" si="4"/>
        <v>0</v>
      </c>
      <c r="AN906" s="794">
        <f t="array" ref="AN906">INDEX(G906:R906,1,MATCH(Parametres!$B$3,G$1:R$1,0))*IF(OR(F906="L",F906="S",F906="I"),-1,1)</f>
        <v>0</v>
      </c>
      <c r="AO906" s="853" t="str">
        <f>+VLOOKUP($AJ906,Data_Validation!$A:$D,1,0)</f>
        <v>#N/A</v>
      </c>
      <c r="AP906" s="853" t="str">
        <f>+VLOOKUP($AJ906,Data_Validation!$A:$D,3,0)</f>
        <v>#N/A</v>
      </c>
      <c r="AQ906" s="853" t="str">
        <f>+VLOOKUP($AJ906,Data_Validation!$A:$D,4,0)</f>
        <v>#N/A</v>
      </c>
      <c r="AR906" s="853" t="s">
        <v>728</v>
      </c>
      <c r="AS906" s="853" t="str">
        <f>+VLOOKUP($AJ906,Data_Validation!$A:$E,5,0)</f>
        <v>#N/A</v>
      </c>
      <c r="AT906" s="794" t="str">
        <f t="shared" ref="AT906:AU906" si="1810">C906</f>
        <v>G63820</v>
      </c>
      <c r="AU906" s="854" t="str">
        <f t="shared" si="1810"/>
        <v>COUT-CHEV CAMION AUTR-LOC</v>
      </c>
      <c r="AV906" s="794">
        <f t="array" ref="AV906">IFERROR(INDEX(V906:AG906,1,MATCH(Parametres!$B$3,V$1:AG$1,0)-1)*IF(OR(C906="L",C906="S",C906="I"),-1,1),"")</f>
        <v>0</v>
      </c>
      <c r="AW906" s="794">
        <f t="shared" si="6"/>
        <v>0</v>
      </c>
      <c r="AX906" s="794">
        <f t="array" ref="AX906">INDEX(V906:AG906,1,MATCH(Parametres!$B$3,V$1:AG$1,0))*IF(OR(C906="L",C906="S",C906="I"),-1,1)</f>
        <v>0</v>
      </c>
      <c r="AY906" s="853" t="s">
        <v>772</v>
      </c>
      <c r="AZ906" s="853" t="str">
        <f>+VLOOKUP($AJ906,Data_Validation!$A:$E,5,0)</f>
        <v>#N/A</v>
      </c>
    </row>
    <row r="907" ht="15.0" customHeight="1">
      <c r="A907" s="849" t="s">
        <v>1239</v>
      </c>
      <c r="B907" s="849">
        <v>2026.0</v>
      </c>
      <c r="C907" s="849" t="s">
        <v>3015</v>
      </c>
      <c r="D907" s="849" t="s">
        <v>3016</v>
      </c>
      <c r="E907" s="849" t="s">
        <v>2072</v>
      </c>
      <c r="F907" s="849" t="s">
        <v>2855</v>
      </c>
      <c r="G907" s="849">
        <v>7273301.17</v>
      </c>
      <c r="H907" s="849">
        <v>1.603744973E7</v>
      </c>
      <c r="I907" s="849">
        <v>2.382959466E7</v>
      </c>
      <c r="J907" s="849">
        <v>3.492040524E7</v>
      </c>
      <c r="K907" s="849">
        <v>4.629570406E7</v>
      </c>
      <c r="L907" s="849">
        <v>5.500887177E7</v>
      </c>
      <c r="M907" s="849">
        <v>5.907031545E7</v>
      </c>
      <c r="N907" s="849">
        <v>6.15735455E7</v>
      </c>
      <c r="O907" s="849">
        <v>6.466120998E7</v>
      </c>
      <c r="P907" s="849">
        <v>6.466125694E7</v>
      </c>
      <c r="Q907" s="849">
        <v>0.0</v>
      </c>
      <c r="R907" s="849">
        <v>0.0</v>
      </c>
      <c r="S907" s="849">
        <v>7184578.89</v>
      </c>
      <c r="T907" s="849">
        <v>7184578.89</v>
      </c>
      <c r="U907" s="849">
        <v>0.0</v>
      </c>
      <c r="V907" s="849">
        <v>0.0</v>
      </c>
      <c r="W907" s="849">
        <v>0.0</v>
      </c>
      <c r="X907" s="849">
        <v>0.0</v>
      </c>
      <c r="Y907" s="849">
        <v>0.0</v>
      </c>
      <c r="Z907" s="849">
        <v>0.0</v>
      </c>
      <c r="AA907" s="849">
        <v>0.0</v>
      </c>
      <c r="AB907" s="849">
        <v>0.0</v>
      </c>
      <c r="AC907" s="849">
        <v>0.0</v>
      </c>
      <c r="AD907" s="849">
        <v>0.0</v>
      </c>
      <c r="AE907" s="849">
        <v>0.0</v>
      </c>
      <c r="AF907" s="849">
        <v>0.0</v>
      </c>
      <c r="AG907" s="849">
        <v>0.0</v>
      </c>
      <c r="AH907" s="849">
        <v>0.0</v>
      </c>
      <c r="AI907" s="849">
        <v>0.0</v>
      </c>
      <c r="AJ907" s="794" t="str">
        <f t="shared" ref="AJ907:AK907" si="1811">C907</f>
        <v>G64000</v>
      </c>
      <c r="AK907" s="794" t="str">
        <f t="shared" si="1811"/>
        <v>COÛTANT PARC CAMIONS</v>
      </c>
      <c r="AL907" s="794">
        <f t="array" ref="AL907">IFERROR(INDEX(G907:R907,1,MATCH(Parametres!$B$3,G$1:R$1,0)-1)*IF(OR(F907="L",F907="S",F907="I"),-1,1),"")</f>
        <v>61573545.5</v>
      </c>
      <c r="AM907" s="794">
        <f t="shared" si="4"/>
        <v>3087664.48</v>
      </c>
      <c r="AN907" s="794">
        <f t="array" ref="AN907">INDEX(G907:R907,1,MATCH(Parametres!$B$3,G$1:R$1,0))*IF(OR(F907="L",F907="S",F907="I"),-1,1)</f>
        <v>64661209.98</v>
      </c>
      <c r="AO907" s="853" t="str">
        <f>+VLOOKUP($AJ907,Data_Validation!$A:$D,1,0)</f>
        <v>G64000</v>
      </c>
      <c r="AP907" s="853" t="str">
        <f>+VLOOKUP($AJ907,Data_Validation!$A:$D,3,0)</f>
        <v>Véhicules neufs</v>
      </c>
      <c r="AQ907" s="853" t="str">
        <f>+VLOOKUP($AJ907,Data_Validation!$A:$D,4,0)</f>
        <v>Flottes</v>
      </c>
      <c r="AR907" s="853" t="s">
        <v>728</v>
      </c>
      <c r="AS907" s="853" t="str">
        <f>+VLOOKUP($AJ907,Data_Validation!$A:$E,5,0)</f>
        <v/>
      </c>
      <c r="AT907" s="794" t="str">
        <f t="shared" ref="AT907:AU907" si="1812">C907</f>
        <v>G64000</v>
      </c>
      <c r="AU907" s="854" t="str">
        <f t="shared" si="1812"/>
        <v>COÛTANT PARC CAMIONS</v>
      </c>
      <c r="AV907" s="794">
        <f t="array" ref="AV907">IFERROR(INDEX(V907:AG907,1,MATCH(Parametres!$B$3,V$1:AG$1,0)-1)*IF(OR(C907="L",C907="S",C907="I"),-1,1),"")</f>
        <v>0</v>
      </c>
      <c r="AW907" s="794">
        <f t="shared" si="6"/>
        <v>0</v>
      </c>
      <c r="AX907" s="794">
        <f t="array" ref="AX907">INDEX(V907:AG907,1,MATCH(Parametres!$B$3,V$1:AG$1,0))*IF(OR(C907="L",C907="S",C907="I"),-1,1)</f>
        <v>0</v>
      </c>
      <c r="AY907" s="853" t="s">
        <v>772</v>
      </c>
      <c r="AZ907" s="853" t="str">
        <f>+VLOOKUP($AJ907,Data_Validation!$A:$E,5,0)</f>
        <v/>
      </c>
    </row>
    <row r="908" ht="15.0" customHeight="1">
      <c r="A908" s="849" t="s">
        <v>1239</v>
      </c>
      <c r="B908" s="849">
        <v>2026.0</v>
      </c>
      <c r="C908" s="849" t="s">
        <v>3017</v>
      </c>
      <c r="D908" s="849" t="s">
        <v>3018</v>
      </c>
      <c r="E908" s="849" t="s">
        <v>2072</v>
      </c>
      <c r="F908" s="849" t="s">
        <v>2855</v>
      </c>
      <c r="G908" s="849">
        <v>0.0</v>
      </c>
      <c r="H908" s="849">
        <v>0.0</v>
      </c>
      <c r="I908" s="849">
        <v>0.0</v>
      </c>
      <c r="J908" s="849">
        <v>0.0</v>
      </c>
      <c r="K908" s="849">
        <v>0.0</v>
      </c>
      <c r="L908" s="849">
        <v>0.0</v>
      </c>
      <c r="M908" s="849">
        <v>0.0</v>
      </c>
      <c r="N908" s="849">
        <v>0.0</v>
      </c>
      <c r="O908" s="849">
        <v>0.0</v>
      </c>
      <c r="P908" s="849">
        <v>0.0</v>
      </c>
      <c r="Q908" s="849">
        <v>0.0</v>
      </c>
      <c r="R908" s="849">
        <v>0.0</v>
      </c>
      <c r="S908" s="849">
        <v>0.0</v>
      </c>
      <c r="T908" s="849">
        <v>0.0</v>
      </c>
      <c r="U908" s="849">
        <v>0.0</v>
      </c>
      <c r="V908" s="849">
        <v>0.0</v>
      </c>
      <c r="W908" s="849">
        <v>0.0</v>
      </c>
      <c r="X908" s="849">
        <v>0.0</v>
      </c>
      <c r="Y908" s="849">
        <v>0.0</v>
      </c>
      <c r="Z908" s="849">
        <v>0.0</v>
      </c>
      <c r="AA908" s="849">
        <v>0.0</v>
      </c>
      <c r="AB908" s="849">
        <v>0.0</v>
      </c>
      <c r="AC908" s="849">
        <v>0.0</v>
      </c>
      <c r="AD908" s="849">
        <v>0.0</v>
      </c>
      <c r="AE908" s="849">
        <v>0.0</v>
      </c>
      <c r="AF908" s="849">
        <v>0.0</v>
      </c>
      <c r="AG908" s="849">
        <v>0.0</v>
      </c>
      <c r="AH908" s="849">
        <v>0.0</v>
      </c>
      <c r="AI908" s="849">
        <v>0.0</v>
      </c>
      <c r="AJ908" s="794" t="str">
        <f t="shared" ref="AJ908:AK908" si="1813">C908</f>
        <v>G64100</v>
      </c>
      <c r="AK908" s="794" t="str">
        <f t="shared" si="1813"/>
        <v>COUT-CAMIONS INTERNE</v>
      </c>
      <c r="AL908" s="794">
        <f t="array" ref="AL908">IFERROR(INDEX(G908:R908,1,MATCH(Parametres!$B$3,G$1:R$1,0)-1)*IF(OR(F908="L",F908="S",F908="I"),-1,1),"")</f>
        <v>0</v>
      </c>
      <c r="AM908" s="794">
        <f t="shared" si="4"/>
        <v>0</v>
      </c>
      <c r="AN908" s="794">
        <f t="array" ref="AN908">INDEX(G908:R908,1,MATCH(Parametres!$B$3,G$1:R$1,0))*IF(OR(F908="L",F908="S",F908="I"),-1,1)</f>
        <v>0</v>
      </c>
      <c r="AO908" s="853" t="str">
        <f>+VLOOKUP($AJ908,Data_Validation!$A:$D,1,0)</f>
        <v>G64100</v>
      </c>
      <c r="AP908" s="853" t="str">
        <f>+VLOOKUP($AJ908,Data_Validation!$A:$D,3,0)</f>
        <v>Véhicules neufs</v>
      </c>
      <c r="AQ908" s="853" t="str">
        <f>+VLOOKUP($AJ908,Data_Validation!$A:$D,4,0)</f>
        <v>Flottes</v>
      </c>
      <c r="AR908" s="853" t="s">
        <v>728</v>
      </c>
      <c r="AS908" s="853" t="str">
        <f>+VLOOKUP($AJ908,Data_Validation!$A:$E,5,0)</f>
        <v/>
      </c>
      <c r="AT908" s="794" t="str">
        <f t="shared" ref="AT908:AU908" si="1814">C908</f>
        <v>G64100</v>
      </c>
      <c r="AU908" s="854" t="str">
        <f t="shared" si="1814"/>
        <v>COUT-CAMIONS INTERNE</v>
      </c>
      <c r="AV908" s="794">
        <f t="array" ref="AV908">IFERROR(INDEX(V908:AG908,1,MATCH(Parametres!$B$3,V$1:AG$1,0)-1)*IF(OR(C908="L",C908="S",C908="I"),-1,1),"")</f>
        <v>0</v>
      </c>
      <c r="AW908" s="794">
        <f t="shared" si="6"/>
        <v>0</v>
      </c>
      <c r="AX908" s="794">
        <f t="array" ref="AX908">INDEX(V908:AG908,1,MATCH(Parametres!$B$3,V$1:AG$1,0))*IF(OR(C908="L",C908="S",C908="I"),-1,1)</f>
        <v>0</v>
      </c>
      <c r="AY908" s="853" t="s">
        <v>772</v>
      </c>
      <c r="AZ908" s="853" t="str">
        <f>+VLOOKUP($AJ908,Data_Validation!$A:$E,5,0)</f>
        <v/>
      </c>
    </row>
    <row r="909" ht="15.0" customHeight="1">
      <c r="A909" s="849" t="s">
        <v>1239</v>
      </c>
      <c r="B909" s="849">
        <v>2026.0</v>
      </c>
      <c r="C909" s="849" t="s">
        <v>3019</v>
      </c>
      <c r="D909" s="849" t="s">
        <v>3020</v>
      </c>
      <c r="E909" s="849" t="s">
        <v>768</v>
      </c>
      <c r="F909" s="849" t="s">
        <v>2855</v>
      </c>
      <c r="G909" s="849">
        <v>0.0</v>
      </c>
      <c r="H909" s="849">
        <v>0.0</v>
      </c>
      <c r="I909" s="849">
        <v>0.0</v>
      </c>
      <c r="J909" s="849">
        <v>0.0</v>
      </c>
      <c r="K909" s="849">
        <v>0.0</v>
      </c>
      <c r="L909" s="849">
        <v>0.0</v>
      </c>
      <c r="M909" s="849">
        <v>0.0</v>
      </c>
      <c r="N909" s="849">
        <v>0.0</v>
      </c>
      <c r="O909" s="849">
        <v>0.0</v>
      </c>
      <c r="P909" s="849">
        <v>0.0</v>
      </c>
      <c r="Q909" s="849">
        <v>0.0</v>
      </c>
      <c r="R909" s="849">
        <v>0.0</v>
      </c>
      <c r="S909" s="849">
        <v>0.0</v>
      </c>
      <c r="T909" s="849">
        <v>0.0</v>
      </c>
      <c r="U909" s="849">
        <v>0.0</v>
      </c>
      <c r="V909" s="849">
        <v>0.0</v>
      </c>
      <c r="W909" s="849">
        <v>0.0</v>
      </c>
      <c r="X909" s="849">
        <v>0.0</v>
      </c>
      <c r="Y909" s="849">
        <v>0.0</v>
      </c>
      <c r="Z909" s="849">
        <v>0.0</v>
      </c>
      <c r="AA909" s="849">
        <v>0.0</v>
      </c>
      <c r="AB909" s="849">
        <v>0.0</v>
      </c>
      <c r="AC909" s="849">
        <v>0.0</v>
      </c>
      <c r="AD909" s="849">
        <v>0.0</v>
      </c>
      <c r="AE909" s="849">
        <v>0.0</v>
      </c>
      <c r="AF909" s="849">
        <v>0.0</v>
      </c>
      <c r="AG909" s="849">
        <v>0.0</v>
      </c>
      <c r="AH909" s="849">
        <v>0.0</v>
      </c>
      <c r="AI909" s="849">
        <v>0.0</v>
      </c>
      <c r="AJ909" s="794" t="str">
        <f t="shared" ref="AJ909:AK909" si="1815">C909</f>
        <v>G64140</v>
      </c>
      <c r="AK909" s="794" t="str">
        <f t="shared" si="1815"/>
        <v>COUT - M.O LOURD -SAAQ</v>
      </c>
      <c r="AL909" s="794">
        <f t="array" ref="AL909">IFERROR(INDEX(G909:R909,1,MATCH(Parametres!$B$3,G$1:R$1,0)-1)*IF(OR(F909="L",F909="S",F909="I"),-1,1),"")</f>
        <v>0</v>
      </c>
      <c r="AM909" s="794">
        <f t="shared" si="4"/>
        <v>0</v>
      </c>
      <c r="AN909" s="794">
        <f t="array" ref="AN909">INDEX(G909:R909,1,MATCH(Parametres!$B$3,G$1:R$1,0))*IF(OR(F909="L",F909="S",F909="I"),-1,1)</f>
        <v>0</v>
      </c>
      <c r="AO909" s="853" t="str">
        <f>+VLOOKUP($AJ909,Data_Validation!$A:$D,1,0)</f>
        <v>#N/A</v>
      </c>
      <c r="AP909" s="853" t="str">
        <f>+VLOOKUP($AJ909,Data_Validation!$A:$D,3,0)</f>
        <v>#N/A</v>
      </c>
      <c r="AQ909" s="853" t="str">
        <f>+VLOOKUP($AJ909,Data_Validation!$A:$D,4,0)</f>
        <v>#N/A</v>
      </c>
      <c r="AR909" s="853" t="s">
        <v>728</v>
      </c>
      <c r="AS909" s="853" t="str">
        <f>+VLOOKUP($AJ909,Data_Validation!$A:$E,5,0)</f>
        <v>#N/A</v>
      </c>
      <c r="AT909" s="794" t="str">
        <f t="shared" ref="AT909:AU909" si="1816">C909</f>
        <v>G64140</v>
      </c>
      <c r="AU909" s="854" t="str">
        <f t="shared" si="1816"/>
        <v>COUT - M.O LOURD -SAAQ</v>
      </c>
      <c r="AV909" s="794">
        <f t="array" ref="AV909">IFERROR(INDEX(V909:AG909,1,MATCH(Parametres!$B$3,V$1:AG$1,0)-1)*IF(OR(C909="L",C909="S",C909="I"),-1,1),"")</f>
        <v>0</v>
      </c>
      <c r="AW909" s="794">
        <f t="shared" si="6"/>
        <v>0</v>
      </c>
      <c r="AX909" s="794">
        <f t="array" ref="AX909">INDEX(V909:AG909,1,MATCH(Parametres!$B$3,V$1:AG$1,0))*IF(OR(C909="L",C909="S",C909="I"),-1,1)</f>
        <v>0</v>
      </c>
      <c r="AY909" s="853" t="s">
        <v>772</v>
      </c>
      <c r="AZ909" s="853" t="str">
        <f>+VLOOKUP($AJ909,Data_Validation!$A:$E,5,0)</f>
        <v>#N/A</v>
      </c>
    </row>
    <row r="910" ht="15.0" customHeight="1">
      <c r="A910" s="849" t="s">
        <v>1239</v>
      </c>
      <c r="B910" s="849">
        <v>2026.0</v>
      </c>
      <c r="C910" s="849" t="s">
        <v>3021</v>
      </c>
      <c r="D910" s="849" t="s">
        <v>3022</v>
      </c>
      <c r="E910" s="849" t="s">
        <v>768</v>
      </c>
      <c r="F910" s="849" t="s">
        <v>2855</v>
      </c>
      <c r="G910" s="849">
        <v>34529.76</v>
      </c>
      <c r="H910" s="849">
        <v>53306.91</v>
      </c>
      <c r="I910" s="849">
        <v>79327.56</v>
      </c>
      <c r="J910" s="849">
        <v>136672.56</v>
      </c>
      <c r="K910" s="849">
        <v>162823.12</v>
      </c>
      <c r="L910" s="849">
        <v>190841.3</v>
      </c>
      <c r="M910" s="849">
        <v>225746.73</v>
      </c>
      <c r="N910" s="849">
        <v>253685.05</v>
      </c>
      <c r="O910" s="849">
        <v>304227.48</v>
      </c>
      <c r="P910" s="849">
        <v>317879.34</v>
      </c>
      <c r="Q910" s="849">
        <v>0.0</v>
      </c>
      <c r="R910" s="849">
        <v>0.0</v>
      </c>
      <c r="S910" s="849">
        <v>33803.05</v>
      </c>
      <c r="T910" s="849">
        <v>33803.05</v>
      </c>
      <c r="U910" s="849">
        <v>0.0</v>
      </c>
      <c r="V910" s="849">
        <v>0.0</v>
      </c>
      <c r="W910" s="849">
        <v>0.0</v>
      </c>
      <c r="X910" s="849">
        <v>0.0</v>
      </c>
      <c r="Y910" s="849">
        <v>0.0</v>
      </c>
      <c r="Z910" s="849">
        <v>0.0</v>
      </c>
      <c r="AA910" s="849">
        <v>0.0</v>
      </c>
      <c r="AB910" s="849">
        <v>0.0</v>
      </c>
      <c r="AC910" s="849">
        <v>0.0</v>
      </c>
      <c r="AD910" s="849">
        <v>0.0</v>
      </c>
      <c r="AE910" s="849">
        <v>0.0</v>
      </c>
      <c r="AF910" s="849">
        <v>0.0</v>
      </c>
      <c r="AG910" s="849">
        <v>0.0</v>
      </c>
      <c r="AH910" s="849">
        <v>0.0</v>
      </c>
      <c r="AI910" s="849">
        <v>0.0</v>
      </c>
      <c r="AJ910" s="794" t="str">
        <f t="shared" ref="AJ910:AK910" si="1817">C910</f>
        <v>G64300</v>
      </c>
      <c r="AK910" s="794" t="str">
        <f t="shared" si="1817"/>
        <v>COUT-PLAN PROTECTION</v>
      </c>
      <c r="AL910" s="794">
        <f t="array" ref="AL910">IFERROR(INDEX(G910:R910,1,MATCH(Parametres!$B$3,G$1:R$1,0)-1)*IF(OR(F910="L",F910="S",F910="I"),-1,1),"")</f>
        <v>253685.05</v>
      </c>
      <c r="AM910" s="794">
        <f t="shared" si="4"/>
        <v>50542.43</v>
      </c>
      <c r="AN910" s="794">
        <f t="array" ref="AN910">INDEX(G910:R910,1,MATCH(Parametres!$B$3,G$1:R$1,0))*IF(OR(F910="L",F910="S",F910="I"),-1,1)</f>
        <v>304227.48</v>
      </c>
      <c r="AO910" s="853" t="str">
        <f>+VLOOKUP($AJ910,Data_Validation!$A:$D,1,0)</f>
        <v>G64300</v>
      </c>
      <c r="AP910" s="853" t="str">
        <f>+VLOOKUP($AJ910,Data_Validation!$A:$D,3,0)</f>
        <v>Véhicules neufs</v>
      </c>
      <c r="AQ910" s="853" t="str">
        <f>+VLOOKUP($AJ910,Data_Validation!$A:$D,4,0)</f>
        <v>Rev. Protections</v>
      </c>
      <c r="AR910" s="853" t="s">
        <v>728</v>
      </c>
      <c r="AS910" s="853" t="str">
        <f>+VLOOKUP($AJ910,Data_Validation!$A:$E,5,0)</f>
        <v/>
      </c>
      <c r="AT910" s="794" t="str">
        <f t="shared" ref="AT910:AU910" si="1818">C910</f>
        <v>G64300</v>
      </c>
      <c r="AU910" s="854" t="str">
        <f t="shared" si="1818"/>
        <v>COUT-PLAN PROTECTION</v>
      </c>
      <c r="AV910" s="794">
        <f t="array" ref="AV910">IFERROR(INDEX(V910:AG910,1,MATCH(Parametres!$B$3,V$1:AG$1,0)-1)*IF(OR(C910="L",C910="S",C910="I"),-1,1),"")</f>
        <v>0</v>
      </c>
      <c r="AW910" s="794">
        <f t="shared" si="6"/>
        <v>0</v>
      </c>
      <c r="AX910" s="794">
        <f t="array" ref="AX910">INDEX(V910:AG910,1,MATCH(Parametres!$B$3,V$1:AG$1,0))*IF(OR(C910="L",C910="S",C910="I"),-1,1)</f>
        <v>0</v>
      </c>
      <c r="AY910" s="853" t="s">
        <v>772</v>
      </c>
      <c r="AZ910" s="853" t="str">
        <f>+VLOOKUP($AJ910,Data_Validation!$A:$E,5,0)</f>
        <v/>
      </c>
    </row>
    <row r="911" ht="15.0" customHeight="1">
      <c r="A911" s="849" t="s">
        <v>1239</v>
      </c>
      <c r="B911" s="849">
        <v>2026.0</v>
      </c>
      <c r="C911" s="849" t="s">
        <v>3023</v>
      </c>
      <c r="D911" s="849" t="s">
        <v>3024</v>
      </c>
      <c r="E911" s="849" t="s">
        <v>768</v>
      </c>
      <c r="F911" s="849" t="s">
        <v>2855</v>
      </c>
      <c r="G911" s="849">
        <v>0.0</v>
      </c>
      <c r="H911" s="849">
        <v>0.0</v>
      </c>
      <c r="I911" s="849">
        <v>0.0</v>
      </c>
      <c r="J911" s="849">
        <v>0.0</v>
      </c>
      <c r="K911" s="849">
        <v>0.0</v>
      </c>
      <c r="L911" s="849">
        <v>0.0</v>
      </c>
      <c r="M911" s="849">
        <v>0.0</v>
      </c>
      <c r="N911" s="849">
        <v>0.0</v>
      </c>
      <c r="O911" s="849">
        <v>0.0</v>
      </c>
      <c r="P911" s="849">
        <v>0.0</v>
      </c>
      <c r="Q911" s="849">
        <v>0.0</v>
      </c>
      <c r="R911" s="849">
        <v>0.0</v>
      </c>
      <c r="S911" s="849">
        <v>0.0</v>
      </c>
      <c r="T911" s="849">
        <v>0.0</v>
      </c>
      <c r="U911" s="849">
        <v>0.0</v>
      </c>
      <c r="V911" s="849">
        <v>0.0</v>
      </c>
      <c r="W911" s="849">
        <v>0.0</v>
      </c>
      <c r="X911" s="849">
        <v>0.0</v>
      </c>
      <c r="Y911" s="849">
        <v>0.0</v>
      </c>
      <c r="Z911" s="849">
        <v>0.0</v>
      </c>
      <c r="AA911" s="849">
        <v>0.0</v>
      </c>
      <c r="AB911" s="849">
        <v>0.0</v>
      </c>
      <c r="AC911" s="849">
        <v>0.0</v>
      </c>
      <c r="AD911" s="849">
        <v>0.0</v>
      </c>
      <c r="AE911" s="849">
        <v>0.0</v>
      </c>
      <c r="AF911" s="849">
        <v>0.0</v>
      </c>
      <c r="AG911" s="849">
        <v>0.0</v>
      </c>
      <c r="AH911" s="849">
        <v>0.0</v>
      </c>
      <c r="AI911" s="849">
        <v>0.0</v>
      </c>
      <c r="AJ911" s="794" t="str">
        <f t="shared" ref="AJ911:AK911" si="1819">C911</f>
        <v>G64301</v>
      </c>
      <c r="AK911" s="794" t="str">
        <f t="shared" si="1819"/>
        <v>COUT -PRT NOMAD NEUF</v>
      </c>
      <c r="AL911" s="794">
        <f t="array" ref="AL911">IFERROR(INDEX(G911:R911,1,MATCH(Parametres!$B$3,G$1:R$1,0)-1)*IF(OR(F911="L",F911="S",F911="I"),-1,1),"")</f>
        <v>0</v>
      </c>
      <c r="AM911" s="794">
        <f t="shared" si="4"/>
        <v>0</v>
      </c>
      <c r="AN911" s="794">
        <f t="array" ref="AN911">INDEX(G911:R911,1,MATCH(Parametres!$B$3,G$1:R$1,0))*IF(OR(F911="L",F911="S",F911="I"),-1,1)</f>
        <v>0</v>
      </c>
      <c r="AO911" s="853" t="str">
        <f>+VLOOKUP($AJ911,Data_Validation!$A:$D,1,0)</f>
        <v>#N/A</v>
      </c>
      <c r="AP911" s="853" t="str">
        <f>+VLOOKUP($AJ911,Data_Validation!$A:$D,3,0)</f>
        <v>#N/A</v>
      </c>
      <c r="AQ911" s="853" t="str">
        <f>+VLOOKUP($AJ911,Data_Validation!$A:$D,4,0)</f>
        <v>#N/A</v>
      </c>
      <c r="AR911" s="853" t="s">
        <v>728</v>
      </c>
      <c r="AS911" s="853" t="str">
        <f>+VLOOKUP($AJ911,Data_Validation!$A:$E,5,0)</f>
        <v>#N/A</v>
      </c>
      <c r="AT911" s="794" t="str">
        <f t="shared" ref="AT911:AU911" si="1820">C911</f>
        <v>G64301</v>
      </c>
      <c r="AU911" s="854" t="str">
        <f t="shared" si="1820"/>
        <v>COUT -PRT NOMAD NEUF</v>
      </c>
      <c r="AV911" s="794">
        <f t="array" ref="AV911">IFERROR(INDEX(V911:AG911,1,MATCH(Parametres!$B$3,V$1:AG$1,0)-1)*IF(OR(C911="L",C911="S",C911="I"),-1,1),"")</f>
        <v>0</v>
      </c>
      <c r="AW911" s="794">
        <f t="shared" si="6"/>
        <v>0</v>
      </c>
      <c r="AX911" s="794">
        <f t="array" ref="AX911">INDEX(V911:AG911,1,MATCH(Parametres!$B$3,V$1:AG$1,0))*IF(OR(C911="L",C911="S",C911="I"),-1,1)</f>
        <v>0</v>
      </c>
      <c r="AY911" s="853" t="s">
        <v>772</v>
      </c>
      <c r="AZ911" s="853" t="str">
        <f>+VLOOKUP($AJ911,Data_Validation!$A:$E,5,0)</f>
        <v>#N/A</v>
      </c>
    </row>
    <row r="912" ht="15.0" customHeight="1">
      <c r="A912" s="849" t="s">
        <v>1239</v>
      </c>
      <c r="B912" s="849">
        <v>2026.0</v>
      </c>
      <c r="C912" s="849" t="s">
        <v>3025</v>
      </c>
      <c r="D912" s="849" t="s">
        <v>3026</v>
      </c>
      <c r="E912" s="849" t="s">
        <v>768</v>
      </c>
      <c r="F912" s="849" t="s">
        <v>2855</v>
      </c>
      <c r="G912" s="849">
        <v>0.0</v>
      </c>
      <c r="H912" s="849">
        <v>0.0</v>
      </c>
      <c r="I912" s="849">
        <v>0.0</v>
      </c>
      <c r="J912" s="849">
        <v>0.0</v>
      </c>
      <c r="K912" s="849">
        <v>0.0</v>
      </c>
      <c r="L912" s="849">
        <v>0.0</v>
      </c>
      <c r="M912" s="849">
        <v>0.0</v>
      </c>
      <c r="N912" s="849">
        <v>0.0</v>
      </c>
      <c r="O912" s="849">
        <v>0.0</v>
      </c>
      <c r="P912" s="849">
        <v>0.0</v>
      </c>
      <c r="Q912" s="849">
        <v>0.0</v>
      </c>
      <c r="R912" s="849">
        <v>0.0</v>
      </c>
      <c r="S912" s="849">
        <v>0.0</v>
      </c>
      <c r="T912" s="849">
        <v>0.0</v>
      </c>
      <c r="U912" s="849">
        <v>0.0</v>
      </c>
      <c r="V912" s="849">
        <v>0.0</v>
      </c>
      <c r="W912" s="849">
        <v>0.0</v>
      </c>
      <c r="X912" s="849">
        <v>0.0</v>
      </c>
      <c r="Y912" s="849">
        <v>0.0</v>
      </c>
      <c r="Z912" s="849">
        <v>0.0</v>
      </c>
      <c r="AA912" s="849">
        <v>0.0</v>
      </c>
      <c r="AB912" s="849">
        <v>0.0</v>
      </c>
      <c r="AC912" s="849">
        <v>0.0</v>
      </c>
      <c r="AD912" s="849">
        <v>0.0</v>
      </c>
      <c r="AE912" s="849">
        <v>0.0</v>
      </c>
      <c r="AF912" s="849">
        <v>0.0</v>
      </c>
      <c r="AG912" s="849">
        <v>0.0</v>
      </c>
      <c r="AH912" s="849">
        <v>0.0</v>
      </c>
      <c r="AI912" s="849">
        <v>0.0</v>
      </c>
      <c r="AJ912" s="794" t="str">
        <f t="shared" ref="AJ912:AK912" si="1821">C912</f>
        <v>G64310</v>
      </c>
      <c r="AK912" s="794" t="str">
        <f t="shared" si="1821"/>
        <v>COUT -PL PROTECT GM NEUFS</v>
      </c>
      <c r="AL912" s="794">
        <f t="array" ref="AL912">IFERROR(INDEX(G912:R912,1,MATCH(Parametres!$B$3,G$1:R$1,0)-1)*IF(OR(F912="L",F912="S",F912="I"),-1,1),"")</f>
        <v>0</v>
      </c>
      <c r="AM912" s="794">
        <f t="shared" si="4"/>
        <v>0</v>
      </c>
      <c r="AN912" s="794">
        <f t="array" ref="AN912">INDEX(G912:R912,1,MATCH(Parametres!$B$3,G$1:R$1,0))*IF(OR(F912="L",F912="S",F912="I"),-1,1)</f>
        <v>0</v>
      </c>
      <c r="AO912" s="853" t="str">
        <f>+VLOOKUP($AJ912,Data_Validation!$A:$D,1,0)</f>
        <v>#N/A</v>
      </c>
      <c r="AP912" s="853" t="str">
        <f>+VLOOKUP($AJ912,Data_Validation!$A:$D,3,0)</f>
        <v>#N/A</v>
      </c>
      <c r="AQ912" s="853" t="str">
        <f>+VLOOKUP($AJ912,Data_Validation!$A:$D,4,0)</f>
        <v>#N/A</v>
      </c>
      <c r="AR912" s="853" t="s">
        <v>728</v>
      </c>
      <c r="AS912" s="853" t="str">
        <f>+VLOOKUP($AJ912,Data_Validation!$A:$E,5,0)</f>
        <v>#N/A</v>
      </c>
      <c r="AT912" s="794" t="str">
        <f t="shared" ref="AT912:AU912" si="1822">C912</f>
        <v>G64310</v>
      </c>
      <c r="AU912" s="854" t="str">
        <f t="shared" si="1822"/>
        <v>COUT -PL PROTECT GM NEUFS</v>
      </c>
      <c r="AV912" s="794">
        <f t="array" ref="AV912">IFERROR(INDEX(V912:AG912,1,MATCH(Parametres!$B$3,V$1:AG$1,0)-1)*IF(OR(C912="L",C912="S",C912="I"),-1,1),"")</f>
        <v>0</v>
      </c>
      <c r="AW912" s="794">
        <f t="shared" si="6"/>
        <v>0</v>
      </c>
      <c r="AX912" s="794">
        <f t="array" ref="AX912">INDEX(V912:AG912,1,MATCH(Parametres!$B$3,V$1:AG$1,0))*IF(OR(C912="L",C912="S",C912="I"),-1,1)</f>
        <v>0</v>
      </c>
      <c r="AY912" s="853" t="s">
        <v>772</v>
      </c>
      <c r="AZ912" s="853" t="str">
        <f>+VLOOKUP($AJ912,Data_Validation!$A:$E,5,0)</f>
        <v>#N/A</v>
      </c>
    </row>
    <row r="913" ht="15.0" customHeight="1">
      <c r="A913" s="849" t="s">
        <v>1239</v>
      </c>
      <c r="B913" s="849">
        <v>2026.0</v>
      </c>
      <c r="C913" s="849" t="s">
        <v>3027</v>
      </c>
      <c r="D913" s="849" t="s">
        <v>3028</v>
      </c>
      <c r="E913" s="849" t="s">
        <v>768</v>
      </c>
      <c r="F913" s="849" t="s">
        <v>2855</v>
      </c>
      <c r="G913" s="849">
        <v>0.0</v>
      </c>
      <c r="H913" s="849">
        <v>0.0</v>
      </c>
      <c r="I913" s="849">
        <v>0.0</v>
      </c>
      <c r="J913" s="849">
        <v>0.0</v>
      </c>
      <c r="K913" s="849">
        <v>0.0</v>
      </c>
      <c r="L913" s="849">
        <v>0.0</v>
      </c>
      <c r="M913" s="849">
        <v>0.0</v>
      </c>
      <c r="N913" s="849">
        <v>0.0</v>
      </c>
      <c r="O913" s="849">
        <v>0.0</v>
      </c>
      <c r="P913" s="849">
        <v>0.0</v>
      </c>
      <c r="Q913" s="849">
        <v>0.0</v>
      </c>
      <c r="R913" s="849">
        <v>0.0</v>
      </c>
      <c r="S913" s="849">
        <v>0.0</v>
      </c>
      <c r="T913" s="849">
        <v>0.0</v>
      </c>
      <c r="U913" s="849">
        <v>0.0</v>
      </c>
      <c r="V913" s="849">
        <v>0.0</v>
      </c>
      <c r="W913" s="849">
        <v>0.0</v>
      </c>
      <c r="X913" s="849">
        <v>0.0</v>
      </c>
      <c r="Y913" s="849">
        <v>0.0</v>
      </c>
      <c r="Z913" s="849">
        <v>0.0</v>
      </c>
      <c r="AA913" s="849">
        <v>0.0</v>
      </c>
      <c r="AB913" s="849">
        <v>0.0</v>
      </c>
      <c r="AC913" s="849">
        <v>0.0</v>
      </c>
      <c r="AD913" s="849">
        <v>0.0</v>
      </c>
      <c r="AE913" s="849">
        <v>0.0</v>
      </c>
      <c r="AF913" s="849">
        <v>0.0</v>
      </c>
      <c r="AG913" s="849">
        <v>0.0</v>
      </c>
      <c r="AH913" s="849">
        <v>0.0</v>
      </c>
      <c r="AI913" s="849">
        <v>0.0</v>
      </c>
      <c r="AJ913" s="794" t="str">
        <f t="shared" ref="AJ913:AK913" si="1823">C913</f>
        <v>G64311</v>
      </c>
      <c r="AK913" s="794" t="str">
        <f t="shared" si="1823"/>
        <v>COUT -PR PNEUS-JANTE NEUF</v>
      </c>
      <c r="AL913" s="794">
        <f t="array" ref="AL913">IFERROR(INDEX(G913:R913,1,MATCH(Parametres!$B$3,G$1:R$1,0)-1)*IF(OR(F913="L",F913="S",F913="I"),-1,1),"")</f>
        <v>0</v>
      </c>
      <c r="AM913" s="794">
        <f t="shared" si="4"/>
        <v>0</v>
      </c>
      <c r="AN913" s="794">
        <f t="array" ref="AN913">INDEX(G913:R913,1,MATCH(Parametres!$B$3,G$1:R$1,0))*IF(OR(F913="L",F913="S",F913="I"),-1,1)</f>
        <v>0</v>
      </c>
      <c r="AO913" s="853" t="str">
        <f>+VLOOKUP($AJ913,Data_Validation!$A:$D,1,0)</f>
        <v>#N/A</v>
      </c>
      <c r="AP913" s="853" t="str">
        <f>+VLOOKUP($AJ913,Data_Validation!$A:$D,3,0)</f>
        <v>#N/A</v>
      </c>
      <c r="AQ913" s="853" t="str">
        <f>+VLOOKUP($AJ913,Data_Validation!$A:$D,4,0)</f>
        <v>#N/A</v>
      </c>
      <c r="AR913" s="853" t="s">
        <v>728</v>
      </c>
      <c r="AS913" s="853" t="str">
        <f>+VLOOKUP($AJ913,Data_Validation!$A:$E,5,0)</f>
        <v>#N/A</v>
      </c>
      <c r="AT913" s="794" t="str">
        <f t="shared" ref="AT913:AU913" si="1824">C913</f>
        <v>G64311</v>
      </c>
      <c r="AU913" s="854" t="str">
        <f t="shared" si="1824"/>
        <v>COUT -PR PNEUS-JANTE NEUF</v>
      </c>
      <c r="AV913" s="794">
        <f t="array" ref="AV913">IFERROR(INDEX(V913:AG913,1,MATCH(Parametres!$B$3,V$1:AG$1,0)-1)*IF(OR(C913="L",C913="S",C913="I"),-1,1),"")</f>
        <v>0</v>
      </c>
      <c r="AW913" s="794">
        <f t="shared" si="6"/>
        <v>0</v>
      </c>
      <c r="AX913" s="794">
        <f t="array" ref="AX913">INDEX(V913:AG913,1,MATCH(Parametres!$B$3,V$1:AG$1,0))*IF(OR(C913="L",C913="S",C913="I"),-1,1)</f>
        <v>0</v>
      </c>
      <c r="AY913" s="853" t="s">
        <v>772</v>
      </c>
      <c r="AZ913" s="853" t="str">
        <f>+VLOOKUP($AJ913,Data_Validation!$A:$E,5,0)</f>
        <v>#N/A</v>
      </c>
    </row>
    <row r="914" ht="15.0" customHeight="1">
      <c r="A914" s="849" t="s">
        <v>1239</v>
      </c>
      <c r="B914" s="849">
        <v>2026.0</v>
      </c>
      <c r="C914" s="849" t="s">
        <v>3029</v>
      </c>
      <c r="D914" s="849" t="s">
        <v>3030</v>
      </c>
      <c r="E914" s="849" t="s">
        <v>768</v>
      </c>
      <c r="F914" s="849" t="s">
        <v>2855</v>
      </c>
      <c r="G914" s="849">
        <v>0.0</v>
      </c>
      <c r="H914" s="849">
        <v>0.0</v>
      </c>
      <c r="I914" s="849">
        <v>0.0</v>
      </c>
      <c r="J914" s="849">
        <v>0.0</v>
      </c>
      <c r="K914" s="849">
        <v>0.0</v>
      </c>
      <c r="L914" s="849">
        <v>0.0</v>
      </c>
      <c r="M914" s="849">
        <v>0.0</v>
      </c>
      <c r="N914" s="849">
        <v>0.0</v>
      </c>
      <c r="O914" s="849">
        <v>0.0</v>
      </c>
      <c r="P914" s="849">
        <v>0.0</v>
      </c>
      <c r="Q914" s="849">
        <v>0.0</v>
      </c>
      <c r="R914" s="849">
        <v>0.0</v>
      </c>
      <c r="S914" s="849">
        <v>0.0</v>
      </c>
      <c r="T914" s="849">
        <v>0.0</v>
      </c>
      <c r="U914" s="849">
        <v>0.0</v>
      </c>
      <c r="V914" s="849">
        <v>0.0</v>
      </c>
      <c r="W914" s="849">
        <v>0.0</v>
      </c>
      <c r="X914" s="849">
        <v>0.0</v>
      </c>
      <c r="Y914" s="849">
        <v>0.0</v>
      </c>
      <c r="Z914" s="849">
        <v>0.0</v>
      </c>
      <c r="AA914" s="849">
        <v>0.0</v>
      </c>
      <c r="AB914" s="849">
        <v>0.0</v>
      </c>
      <c r="AC914" s="849">
        <v>0.0</v>
      </c>
      <c r="AD914" s="849">
        <v>0.0</v>
      </c>
      <c r="AE914" s="849">
        <v>0.0</v>
      </c>
      <c r="AF914" s="849">
        <v>0.0</v>
      </c>
      <c r="AG914" s="849">
        <v>0.0</v>
      </c>
      <c r="AH914" s="849">
        <v>0.0</v>
      </c>
      <c r="AI914" s="849">
        <v>0.0</v>
      </c>
      <c r="AJ914" s="794" t="str">
        <f t="shared" ref="AJ914:AK914" si="1825">C914</f>
        <v>G64312</v>
      </c>
      <c r="AK914" s="794" t="str">
        <f t="shared" si="1825"/>
        <v>COUT -PROT A L'ECART NEUF</v>
      </c>
      <c r="AL914" s="794">
        <f t="array" ref="AL914">IFERROR(INDEX(G914:R914,1,MATCH(Parametres!$B$3,G$1:R$1,0)-1)*IF(OR(F914="L",F914="S",F914="I"),-1,1),"")</f>
        <v>0</v>
      </c>
      <c r="AM914" s="794">
        <f t="shared" si="4"/>
        <v>0</v>
      </c>
      <c r="AN914" s="794">
        <f t="array" ref="AN914">INDEX(G914:R914,1,MATCH(Parametres!$B$3,G$1:R$1,0))*IF(OR(F914="L",F914="S",F914="I"),-1,1)</f>
        <v>0</v>
      </c>
      <c r="AO914" s="853" t="str">
        <f>+VLOOKUP($AJ914,Data_Validation!$A:$D,1,0)</f>
        <v>#N/A</v>
      </c>
      <c r="AP914" s="853" t="str">
        <f>+VLOOKUP($AJ914,Data_Validation!$A:$D,3,0)</f>
        <v>#N/A</v>
      </c>
      <c r="AQ914" s="853" t="str">
        <f>+VLOOKUP($AJ914,Data_Validation!$A:$D,4,0)</f>
        <v>#N/A</v>
      </c>
      <c r="AR914" s="853" t="s">
        <v>728</v>
      </c>
      <c r="AS914" s="853" t="str">
        <f>+VLOOKUP($AJ914,Data_Validation!$A:$E,5,0)</f>
        <v>#N/A</v>
      </c>
      <c r="AT914" s="794" t="str">
        <f t="shared" ref="AT914:AU914" si="1826">C914</f>
        <v>G64312</v>
      </c>
      <c r="AU914" s="854" t="str">
        <f t="shared" si="1826"/>
        <v>COUT -PROT A L'ECART NEUF</v>
      </c>
      <c r="AV914" s="794">
        <f t="array" ref="AV914">IFERROR(INDEX(V914:AG914,1,MATCH(Parametres!$B$3,V$1:AG$1,0)-1)*IF(OR(C914="L",C914="S",C914="I"),-1,1),"")</f>
        <v>0</v>
      </c>
      <c r="AW914" s="794">
        <f t="shared" si="6"/>
        <v>0</v>
      </c>
      <c r="AX914" s="794">
        <f t="array" ref="AX914">INDEX(V914:AG914,1,MATCH(Parametres!$B$3,V$1:AG$1,0))*IF(OR(C914="L",C914="S",C914="I"),-1,1)</f>
        <v>0</v>
      </c>
      <c r="AY914" s="853" t="s">
        <v>772</v>
      </c>
      <c r="AZ914" s="853" t="str">
        <f>+VLOOKUP($AJ914,Data_Validation!$A:$E,5,0)</f>
        <v>#N/A</v>
      </c>
    </row>
    <row r="915" ht="15.0" customHeight="1">
      <c r="A915" s="849" t="s">
        <v>1239</v>
      </c>
      <c r="B915" s="849">
        <v>2026.0</v>
      </c>
      <c r="C915" s="849" t="s">
        <v>3031</v>
      </c>
      <c r="D915" s="849" t="s">
        <v>3032</v>
      </c>
      <c r="E915" s="849" t="s">
        <v>768</v>
      </c>
      <c r="F915" s="849" t="s">
        <v>2855</v>
      </c>
      <c r="G915" s="849">
        <v>0.0</v>
      </c>
      <c r="H915" s="849">
        <v>0.0</v>
      </c>
      <c r="I915" s="849">
        <v>0.0</v>
      </c>
      <c r="J915" s="849">
        <v>0.0</v>
      </c>
      <c r="K915" s="849">
        <v>0.0</v>
      </c>
      <c r="L915" s="849">
        <v>0.0</v>
      </c>
      <c r="M915" s="849">
        <v>0.0</v>
      </c>
      <c r="N915" s="849">
        <v>0.0</v>
      </c>
      <c r="O915" s="849">
        <v>0.0</v>
      </c>
      <c r="P915" s="849">
        <v>0.0</v>
      </c>
      <c r="Q915" s="849">
        <v>0.0</v>
      </c>
      <c r="R915" s="849">
        <v>0.0</v>
      </c>
      <c r="S915" s="849">
        <v>0.0</v>
      </c>
      <c r="T915" s="849">
        <v>0.0</v>
      </c>
      <c r="U915" s="849">
        <v>0.0</v>
      </c>
      <c r="V915" s="849">
        <v>0.0</v>
      </c>
      <c r="W915" s="849">
        <v>0.0</v>
      </c>
      <c r="X915" s="849">
        <v>0.0</v>
      </c>
      <c r="Y915" s="849">
        <v>0.0</v>
      </c>
      <c r="Z915" s="849">
        <v>0.0</v>
      </c>
      <c r="AA915" s="849">
        <v>0.0</v>
      </c>
      <c r="AB915" s="849">
        <v>0.0</v>
      </c>
      <c r="AC915" s="849">
        <v>0.0</v>
      </c>
      <c r="AD915" s="849">
        <v>0.0</v>
      </c>
      <c r="AE915" s="849">
        <v>0.0</v>
      </c>
      <c r="AF915" s="849">
        <v>0.0</v>
      </c>
      <c r="AG915" s="849">
        <v>0.0</v>
      </c>
      <c r="AH915" s="849">
        <v>0.0</v>
      </c>
      <c r="AI915" s="849">
        <v>0.0</v>
      </c>
      <c r="AJ915" s="794" t="str">
        <f t="shared" ref="AJ915:AK915" si="1827">C915</f>
        <v>G64313</v>
      </c>
      <c r="AK915" s="794" t="str">
        <f t="shared" si="1827"/>
        <v>COUT -MULTI PROTECT NEUFS</v>
      </c>
      <c r="AL915" s="794">
        <f t="array" ref="AL915">IFERROR(INDEX(G915:R915,1,MATCH(Parametres!$B$3,G$1:R$1,0)-1)*IF(OR(F915="L",F915="S",F915="I"),-1,1),"")</f>
        <v>0</v>
      </c>
      <c r="AM915" s="794">
        <f t="shared" si="4"/>
        <v>0</v>
      </c>
      <c r="AN915" s="794">
        <f t="array" ref="AN915">INDEX(G915:R915,1,MATCH(Parametres!$B$3,G$1:R$1,0))*IF(OR(F915="L",F915="S",F915="I"),-1,1)</f>
        <v>0</v>
      </c>
      <c r="AO915" s="853" t="str">
        <f>+VLOOKUP($AJ915,Data_Validation!$A:$D,1,0)</f>
        <v>#N/A</v>
      </c>
      <c r="AP915" s="853" t="str">
        <f>+VLOOKUP($AJ915,Data_Validation!$A:$D,3,0)</f>
        <v>#N/A</v>
      </c>
      <c r="AQ915" s="853" t="str">
        <f>+VLOOKUP($AJ915,Data_Validation!$A:$D,4,0)</f>
        <v>#N/A</v>
      </c>
      <c r="AR915" s="853" t="s">
        <v>728</v>
      </c>
      <c r="AS915" s="853" t="str">
        <f>+VLOOKUP($AJ915,Data_Validation!$A:$E,5,0)</f>
        <v>#N/A</v>
      </c>
      <c r="AT915" s="794" t="str">
        <f t="shared" ref="AT915:AU915" si="1828">C915</f>
        <v>G64313</v>
      </c>
      <c r="AU915" s="854" t="str">
        <f t="shared" si="1828"/>
        <v>COUT -MULTI PROTECT NEUFS</v>
      </c>
      <c r="AV915" s="794">
        <f t="array" ref="AV915">IFERROR(INDEX(V915:AG915,1,MATCH(Parametres!$B$3,V$1:AG$1,0)-1)*IF(OR(C915="L",C915="S",C915="I"),-1,1),"")</f>
        <v>0</v>
      </c>
      <c r="AW915" s="794">
        <f t="shared" si="6"/>
        <v>0</v>
      </c>
      <c r="AX915" s="794">
        <f t="array" ref="AX915">INDEX(V915:AG915,1,MATCH(Parametres!$B$3,V$1:AG$1,0))*IF(OR(C915="L",C915="S",C915="I"),-1,1)</f>
        <v>0</v>
      </c>
      <c r="AY915" s="853" t="s">
        <v>772</v>
      </c>
      <c r="AZ915" s="853" t="str">
        <f>+VLOOKUP($AJ915,Data_Validation!$A:$E,5,0)</f>
        <v>#N/A</v>
      </c>
    </row>
    <row r="916" ht="15.0" customHeight="1">
      <c r="A916" s="849" t="s">
        <v>1239</v>
      </c>
      <c r="B916" s="849">
        <v>2026.0</v>
      </c>
      <c r="C916" s="849" t="s">
        <v>3033</v>
      </c>
      <c r="D916" s="849" t="s">
        <v>3034</v>
      </c>
      <c r="E916" s="849" t="s">
        <v>768</v>
      </c>
      <c r="F916" s="849" t="s">
        <v>2855</v>
      </c>
      <c r="G916" s="849">
        <v>0.0</v>
      </c>
      <c r="H916" s="849">
        <v>0.0</v>
      </c>
      <c r="I916" s="849">
        <v>0.0</v>
      </c>
      <c r="J916" s="849">
        <v>0.0</v>
      </c>
      <c r="K916" s="849">
        <v>0.0</v>
      </c>
      <c r="L916" s="849">
        <v>0.0</v>
      </c>
      <c r="M916" s="849">
        <v>0.0</v>
      </c>
      <c r="N916" s="849">
        <v>0.0</v>
      </c>
      <c r="O916" s="849">
        <v>0.0</v>
      </c>
      <c r="P916" s="849">
        <v>550.0</v>
      </c>
      <c r="Q916" s="849">
        <v>0.0</v>
      </c>
      <c r="R916" s="849">
        <v>0.0</v>
      </c>
      <c r="S916" s="849">
        <v>0.0</v>
      </c>
      <c r="T916" s="849">
        <v>0.0</v>
      </c>
      <c r="U916" s="849">
        <v>0.0</v>
      </c>
      <c r="V916" s="849">
        <v>0.0</v>
      </c>
      <c r="W916" s="849">
        <v>0.0</v>
      </c>
      <c r="X916" s="849">
        <v>0.0</v>
      </c>
      <c r="Y916" s="849">
        <v>0.0</v>
      </c>
      <c r="Z916" s="849">
        <v>0.0</v>
      </c>
      <c r="AA916" s="849">
        <v>0.0</v>
      </c>
      <c r="AB916" s="849">
        <v>0.0</v>
      </c>
      <c r="AC916" s="849">
        <v>0.0</v>
      </c>
      <c r="AD916" s="849">
        <v>0.0</v>
      </c>
      <c r="AE916" s="849">
        <v>0.0</v>
      </c>
      <c r="AF916" s="849">
        <v>0.0</v>
      </c>
      <c r="AG916" s="849">
        <v>0.0</v>
      </c>
      <c r="AH916" s="849">
        <v>0.0</v>
      </c>
      <c r="AI916" s="849">
        <v>0.0</v>
      </c>
      <c r="AJ916" s="794" t="str">
        <f t="shared" ref="AJ916:AK916" si="1829">C916</f>
        <v>G64314</v>
      </c>
      <c r="AK916" s="794" t="str">
        <f t="shared" si="1829"/>
        <v>COUT -PRT USURE NEUFS</v>
      </c>
      <c r="AL916" s="794">
        <f t="array" ref="AL916">IFERROR(INDEX(G916:R916,1,MATCH(Parametres!$B$3,G$1:R$1,0)-1)*IF(OR(F916="L",F916="S",F916="I"),-1,1),"")</f>
        <v>0</v>
      </c>
      <c r="AM916" s="794">
        <f t="shared" si="4"/>
        <v>0</v>
      </c>
      <c r="AN916" s="794">
        <f t="array" ref="AN916">INDEX(G916:R916,1,MATCH(Parametres!$B$3,G$1:R$1,0))*IF(OR(F916="L",F916="S",F916="I"),-1,1)</f>
        <v>0</v>
      </c>
      <c r="AO916" s="853" t="str">
        <f>+VLOOKUP($AJ916,Data_Validation!$A:$D,1,0)</f>
        <v>#N/A</v>
      </c>
      <c r="AP916" s="853" t="str">
        <f>+VLOOKUP($AJ916,Data_Validation!$A:$D,3,0)</f>
        <v>#N/A</v>
      </c>
      <c r="AQ916" s="853" t="str">
        <f>+VLOOKUP($AJ916,Data_Validation!$A:$D,4,0)</f>
        <v>#N/A</v>
      </c>
      <c r="AR916" s="853" t="s">
        <v>728</v>
      </c>
      <c r="AS916" s="853" t="str">
        <f>+VLOOKUP($AJ916,Data_Validation!$A:$E,5,0)</f>
        <v>#N/A</v>
      </c>
      <c r="AT916" s="794" t="str">
        <f t="shared" ref="AT916:AU916" si="1830">C916</f>
        <v>G64314</v>
      </c>
      <c r="AU916" s="854" t="str">
        <f t="shared" si="1830"/>
        <v>COUT -PRT USURE NEUFS</v>
      </c>
      <c r="AV916" s="794">
        <f t="array" ref="AV916">IFERROR(INDEX(V916:AG916,1,MATCH(Parametres!$B$3,V$1:AG$1,0)-1)*IF(OR(C916="L",C916="S",C916="I"),-1,1),"")</f>
        <v>0</v>
      </c>
      <c r="AW916" s="794">
        <f t="shared" si="6"/>
        <v>0</v>
      </c>
      <c r="AX916" s="794">
        <f t="array" ref="AX916">INDEX(V916:AG916,1,MATCH(Parametres!$B$3,V$1:AG$1,0))*IF(OR(C916="L",C916="S",C916="I"),-1,1)</f>
        <v>0</v>
      </c>
      <c r="AY916" s="853" t="s">
        <v>772</v>
      </c>
      <c r="AZ916" s="853" t="str">
        <f>+VLOOKUP($AJ916,Data_Validation!$A:$E,5,0)</f>
        <v>#N/A</v>
      </c>
    </row>
    <row r="917" ht="15.0" customHeight="1">
      <c r="A917" s="849" t="s">
        <v>1239</v>
      </c>
      <c r="B917" s="849">
        <v>2026.0</v>
      </c>
      <c r="C917" s="849" t="s">
        <v>3035</v>
      </c>
      <c r="D917" s="849" t="s">
        <v>3036</v>
      </c>
      <c r="E917" s="849" t="s">
        <v>768</v>
      </c>
      <c r="F917" s="849" t="s">
        <v>2855</v>
      </c>
      <c r="G917" s="849">
        <v>0.0</v>
      </c>
      <c r="H917" s="849">
        <v>0.0</v>
      </c>
      <c r="I917" s="849">
        <v>0.0</v>
      </c>
      <c r="J917" s="849">
        <v>0.0</v>
      </c>
      <c r="K917" s="849">
        <v>0.0</v>
      </c>
      <c r="L917" s="849">
        <v>0.0</v>
      </c>
      <c r="M917" s="849">
        <v>0.0</v>
      </c>
      <c r="N917" s="849">
        <v>0.0</v>
      </c>
      <c r="O917" s="849">
        <v>0.0</v>
      </c>
      <c r="P917" s="849">
        <v>0.0</v>
      </c>
      <c r="Q917" s="849">
        <v>0.0</v>
      </c>
      <c r="R917" s="849">
        <v>0.0</v>
      </c>
      <c r="S917" s="849">
        <v>0.0</v>
      </c>
      <c r="T917" s="849">
        <v>0.0</v>
      </c>
      <c r="U917" s="849">
        <v>0.0</v>
      </c>
      <c r="V917" s="849">
        <v>0.0</v>
      </c>
      <c r="W917" s="849">
        <v>0.0</v>
      </c>
      <c r="X917" s="849">
        <v>0.0</v>
      </c>
      <c r="Y917" s="849">
        <v>0.0</v>
      </c>
      <c r="Z917" s="849">
        <v>0.0</v>
      </c>
      <c r="AA917" s="849">
        <v>0.0</v>
      </c>
      <c r="AB917" s="849">
        <v>0.0</v>
      </c>
      <c r="AC917" s="849">
        <v>0.0</v>
      </c>
      <c r="AD917" s="849">
        <v>0.0</v>
      </c>
      <c r="AE917" s="849">
        <v>0.0</v>
      </c>
      <c r="AF917" s="849">
        <v>0.0</v>
      </c>
      <c r="AG917" s="849">
        <v>0.0</v>
      </c>
      <c r="AH917" s="849">
        <v>0.0</v>
      </c>
      <c r="AI917" s="849">
        <v>0.0</v>
      </c>
      <c r="AJ917" s="794" t="str">
        <f t="shared" ref="AJ917:AK917" si="1831">C917</f>
        <v>G64400</v>
      </c>
      <c r="AK917" s="794" t="str">
        <f t="shared" si="1831"/>
        <v>COÛTANT PROTECTION PLUS</v>
      </c>
      <c r="AL917" s="794">
        <f t="array" ref="AL917">IFERROR(INDEX(G917:R917,1,MATCH(Parametres!$B$3,G$1:R$1,0)-1)*IF(OR(F917="L",F917="S",F917="I"),-1,1),"")</f>
        <v>0</v>
      </c>
      <c r="AM917" s="794">
        <f t="shared" si="4"/>
        <v>0</v>
      </c>
      <c r="AN917" s="794">
        <f t="array" ref="AN917">INDEX(G917:R917,1,MATCH(Parametres!$B$3,G$1:R$1,0))*IF(OR(F917="L",F917="S",F917="I"),-1,1)</f>
        <v>0</v>
      </c>
      <c r="AO917" s="853" t="str">
        <f>+VLOOKUP($AJ917,Data_Validation!$A:$D,1,0)</f>
        <v>G64400</v>
      </c>
      <c r="AP917" s="853" t="str">
        <f>+VLOOKUP($AJ917,Data_Validation!$A:$D,3,0)</f>
        <v>Véhicules neufs</v>
      </c>
      <c r="AQ917" s="853" t="str">
        <f>+VLOOKUP($AJ917,Data_Validation!$A:$D,4,0)</f>
        <v>Rev. Protections</v>
      </c>
      <c r="AR917" s="853" t="s">
        <v>728</v>
      </c>
      <c r="AS917" s="853" t="str">
        <f>+VLOOKUP($AJ917,Data_Validation!$A:$E,5,0)</f>
        <v/>
      </c>
      <c r="AT917" s="794" t="str">
        <f t="shared" ref="AT917:AU917" si="1832">C917</f>
        <v>G64400</v>
      </c>
      <c r="AU917" s="854" t="str">
        <f t="shared" si="1832"/>
        <v>COÛTANT PROTECTION PLUS</v>
      </c>
      <c r="AV917" s="794">
        <f t="array" ref="AV917">IFERROR(INDEX(V917:AG917,1,MATCH(Parametres!$B$3,V$1:AG$1,0)-1)*IF(OR(C917="L",C917="S",C917="I"),-1,1),"")</f>
        <v>0</v>
      </c>
      <c r="AW917" s="794">
        <f t="shared" si="6"/>
        <v>0</v>
      </c>
      <c r="AX917" s="794">
        <f t="array" ref="AX917">INDEX(V917:AG917,1,MATCH(Parametres!$B$3,V$1:AG$1,0))*IF(OR(C917="L",C917="S",C917="I"),-1,1)</f>
        <v>0</v>
      </c>
      <c r="AY917" s="853" t="s">
        <v>772</v>
      </c>
      <c r="AZ917" s="853" t="str">
        <f>+VLOOKUP($AJ917,Data_Validation!$A:$E,5,0)</f>
        <v/>
      </c>
    </row>
    <row r="918" ht="15.0" customHeight="1">
      <c r="A918" s="849" t="s">
        <v>1239</v>
      </c>
      <c r="B918" s="849">
        <v>2026.0</v>
      </c>
      <c r="C918" s="849" t="s">
        <v>3037</v>
      </c>
      <c r="D918" s="849" t="s">
        <v>3038</v>
      </c>
      <c r="E918" s="849" t="s">
        <v>768</v>
      </c>
      <c r="F918" s="849" t="s">
        <v>2855</v>
      </c>
      <c r="G918" s="849">
        <v>0.0</v>
      </c>
      <c r="H918" s="849">
        <v>0.0</v>
      </c>
      <c r="I918" s="849">
        <v>0.0</v>
      </c>
      <c r="J918" s="849">
        <v>0.0</v>
      </c>
      <c r="K918" s="849">
        <v>0.0</v>
      </c>
      <c r="L918" s="849">
        <v>0.0</v>
      </c>
      <c r="M918" s="849">
        <v>0.0</v>
      </c>
      <c r="N918" s="849">
        <v>0.0</v>
      </c>
      <c r="O918" s="849">
        <v>0.0</v>
      </c>
      <c r="P918" s="849">
        <v>0.0</v>
      </c>
      <c r="Q918" s="849">
        <v>0.0</v>
      </c>
      <c r="R918" s="849">
        <v>0.0</v>
      </c>
      <c r="S918" s="849">
        <v>0.0</v>
      </c>
      <c r="T918" s="849">
        <v>0.0</v>
      </c>
      <c r="U918" s="849">
        <v>0.0</v>
      </c>
      <c r="V918" s="849">
        <v>0.0</v>
      </c>
      <c r="W918" s="849">
        <v>0.0</v>
      </c>
      <c r="X918" s="849">
        <v>0.0</v>
      </c>
      <c r="Y918" s="849">
        <v>0.0</v>
      </c>
      <c r="Z918" s="849">
        <v>0.0</v>
      </c>
      <c r="AA918" s="849">
        <v>0.0</v>
      </c>
      <c r="AB918" s="849">
        <v>0.0</v>
      </c>
      <c r="AC918" s="849">
        <v>0.0</v>
      </c>
      <c r="AD918" s="849">
        <v>0.0</v>
      </c>
      <c r="AE918" s="849">
        <v>0.0</v>
      </c>
      <c r="AF918" s="849">
        <v>0.0</v>
      </c>
      <c r="AG918" s="849">
        <v>0.0</v>
      </c>
      <c r="AH918" s="849">
        <v>0.0</v>
      </c>
      <c r="AI918" s="849">
        <v>0.0</v>
      </c>
      <c r="AJ918" s="794" t="str">
        <f t="shared" ref="AJ918:AK918" si="1833">C918</f>
        <v>G64410</v>
      </c>
      <c r="AK918" s="794" t="str">
        <f t="shared" si="1833"/>
        <v>COUT -PRT SERV VEH NEUFS</v>
      </c>
      <c r="AL918" s="794">
        <f t="array" ref="AL918">IFERROR(INDEX(G918:R918,1,MATCH(Parametres!$B$3,G$1:R$1,0)-1)*IF(OR(F918="L",F918="S",F918="I"),-1,1),"")</f>
        <v>0</v>
      </c>
      <c r="AM918" s="794">
        <f t="shared" si="4"/>
        <v>0</v>
      </c>
      <c r="AN918" s="794">
        <f t="array" ref="AN918">INDEX(G918:R918,1,MATCH(Parametres!$B$3,G$1:R$1,0))*IF(OR(F918="L",F918="S",F918="I"),-1,1)</f>
        <v>0</v>
      </c>
      <c r="AO918" s="853" t="str">
        <f>+VLOOKUP($AJ918,Data_Validation!$A:$D,1,0)</f>
        <v>#N/A</v>
      </c>
      <c r="AP918" s="853" t="str">
        <f>+VLOOKUP($AJ918,Data_Validation!$A:$D,3,0)</f>
        <v>#N/A</v>
      </c>
      <c r="AQ918" s="853" t="str">
        <f>+VLOOKUP($AJ918,Data_Validation!$A:$D,4,0)</f>
        <v>#N/A</v>
      </c>
      <c r="AR918" s="853" t="s">
        <v>728</v>
      </c>
      <c r="AS918" s="853" t="str">
        <f>+VLOOKUP($AJ918,Data_Validation!$A:$E,5,0)</f>
        <v>#N/A</v>
      </c>
      <c r="AT918" s="794" t="str">
        <f t="shared" ref="AT918:AU918" si="1834">C918</f>
        <v>G64410</v>
      </c>
      <c r="AU918" s="854" t="str">
        <f t="shared" si="1834"/>
        <v>COUT -PRT SERV VEH NEUFS</v>
      </c>
      <c r="AV918" s="794">
        <f t="array" ref="AV918">IFERROR(INDEX(V918:AG918,1,MATCH(Parametres!$B$3,V$1:AG$1,0)-1)*IF(OR(C918="L",C918="S",C918="I"),-1,1),"")</f>
        <v>0</v>
      </c>
      <c r="AW918" s="794">
        <f t="shared" si="6"/>
        <v>0</v>
      </c>
      <c r="AX918" s="794">
        <f t="array" ref="AX918">INDEX(V918:AG918,1,MATCH(Parametres!$B$3,V$1:AG$1,0))*IF(OR(C918="L",C918="S",C918="I"),-1,1)</f>
        <v>0</v>
      </c>
      <c r="AY918" s="853" t="s">
        <v>772</v>
      </c>
      <c r="AZ918" s="853" t="str">
        <f>+VLOOKUP($AJ918,Data_Validation!$A:$E,5,0)</f>
        <v>#N/A</v>
      </c>
    </row>
    <row r="919" ht="15.0" customHeight="1">
      <c r="A919" s="849" t="s">
        <v>1239</v>
      </c>
      <c r="B919" s="849">
        <v>2026.0</v>
      </c>
      <c r="C919" s="849" t="s">
        <v>3039</v>
      </c>
      <c r="D919" s="849" t="s">
        <v>3040</v>
      </c>
      <c r="E919" s="849" t="s">
        <v>768</v>
      </c>
      <c r="F919" s="849" t="s">
        <v>2855</v>
      </c>
      <c r="G919" s="849">
        <v>0.0</v>
      </c>
      <c r="H919" s="849">
        <v>0.0</v>
      </c>
      <c r="I919" s="849">
        <v>0.0</v>
      </c>
      <c r="J919" s="849">
        <v>0.0</v>
      </c>
      <c r="K919" s="849">
        <v>0.0</v>
      </c>
      <c r="L919" s="849">
        <v>0.0</v>
      </c>
      <c r="M919" s="849">
        <v>0.0</v>
      </c>
      <c r="N919" s="849">
        <v>0.0</v>
      </c>
      <c r="O919" s="849">
        <v>0.0</v>
      </c>
      <c r="P919" s="849">
        <v>0.0</v>
      </c>
      <c r="Q919" s="849">
        <v>0.0</v>
      </c>
      <c r="R919" s="849">
        <v>0.0</v>
      </c>
      <c r="S919" s="849">
        <v>0.0</v>
      </c>
      <c r="T919" s="849">
        <v>0.0</v>
      </c>
      <c r="U919" s="849">
        <v>0.0</v>
      </c>
      <c r="V919" s="849">
        <v>0.0</v>
      </c>
      <c r="W919" s="849">
        <v>0.0</v>
      </c>
      <c r="X919" s="849">
        <v>0.0</v>
      </c>
      <c r="Y919" s="849">
        <v>0.0</v>
      </c>
      <c r="Z919" s="849">
        <v>0.0</v>
      </c>
      <c r="AA919" s="849">
        <v>0.0</v>
      </c>
      <c r="AB919" s="849">
        <v>0.0</v>
      </c>
      <c r="AC919" s="849">
        <v>0.0</v>
      </c>
      <c r="AD919" s="849">
        <v>0.0</v>
      </c>
      <c r="AE919" s="849">
        <v>0.0</v>
      </c>
      <c r="AF919" s="849">
        <v>0.0</v>
      </c>
      <c r="AG919" s="849">
        <v>0.0</v>
      </c>
      <c r="AH919" s="849">
        <v>0.0</v>
      </c>
      <c r="AI919" s="849">
        <v>0.0</v>
      </c>
      <c r="AJ919" s="794" t="str">
        <f t="shared" ref="AJ919:AK919" si="1835">C919</f>
        <v>G64411</v>
      </c>
      <c r="AK919" s="794" t="str">
        <f t="shared" si="1835"/>
        <v>COUT -PRT PNEUS -JA NEUFS</v>
      </c>
      <c r="AL919" s="794">
        <f t="array" ref="AL919">IFERROR(INDEX(G919:R919,1,MATCH(Parametres!$B$3,G$1:R$1,0)-1)*IF(OR(F919="L",F919="S",F919="I"),-1,1),"")</f>
        <v>0</v>
      </c>
      <c r="AM919" s="794">
        <f t="shared" si="4"/>
        <v>0</v>
      </c>
      <c r="AN919" s="794">
        <f t="array" ref="AN919">INDEX(G919:R919,1,MATCH(Parametres!$B$3,G$1:R$1,0))*IF(OR(F919="L",F919="S",F919="I"),-1,1)</f>
        <v>0</v>
      </c>
      <c r="AO919" s="853" t="str">
        <f>+VLOOKUP($AJ919,Data_Validation!$A:$D,1,0)</f>
        <v>#N/A</v>
      </c>
      <c r="AP919" s="853" t="str">
        <f>+VLOOKUP($AJ919,Data_Validation!$A:$D,3,0)</f>
        <v>#N/A</v>
      </c>
      <c r="AQ919" s="853" t="str">
        <f>+VLOOKUP($AJ919,Data_Validation!$A:$D,4,0)</f>
        <v>#N/A</v>
      </c>
      <c r="AR919" s="853" t="s">
        <v>728</v>
      </c>
      <c r="AS919" s="853" t="str">
        <f>+VLOOKUP($AJ919,Data_Validation!$A:$E,5,0)</f>
        <v>#N/A</v>
      </c>
      <c r="AT919" s="794" t="str">
        <f t="shared" ref="AT919:AU919" si="1836">C919</f>
        <v>G64411</v>
      </c>
      <c r="AU919" s="854" t="str">
        <f t="shared" si="1836"/>
        <v>COUT -PRT PNEUS -JA NEUFS</v>
      </c>
      <c r="AV919" s="794">
        <f t="array" ref="AV919">IFERROR(INDEX(V919:AG919,1,MATCH(Parametres!$B$3,V$1:AG$1,0)-1)*IF(OR(C919="L",C919="S",C919="I"),-1,1),"")</f>
        <v>0</v>
      </c>
      <c r="AW919" s="794">
        <f t="shared" si="6"/>
        <v>0</v>
      </c>
      <c r="AX919" s="794">
        <f t="array" ref="AX919">INDEX(V919:AG919,1,MATCH(Parametres!$B$3,V$1:AG$1,0))*IF(OR(C919="L",C919="S",C919="I"),-1,1)</f>
        <v>0</v>
      </c>
      <c r="AY919" s="853" t="s">
        <v>772</v>
      </c>
      <c r="AZ919" s="853" t="str">
        <f>+VLOOKUP($AJ919,Data_Validation!$A:$E,5,0)</f>
        <v>#N/A</v>
      </c>
    </row>
    <row r="920" ht="15.0" customHeight="1">
      <c r="A920" s="849" t="s">
        <v>1239</v>
      </c>
      <c r="B920" s="849">
        <v>2026.0</v>
      </c>
      <c r="C920" s="849" t="s">
        <v>3041</v>
      </c>
      <c r="D920" s="849" t="s">
        <v>3042</v>
      </c>
      <c r="E920" s="849" t="s">
        <v>768</v>
      </c>
      <c r="F920" s="849" t="s">
        <v>2855</v>
      </c>
      <c r="G920" s="849">
        <v>0.0</v>
      </c>
      <c r="H920" s="849">
        <v>0.0</v>
      </c>
      <c r="I920" s="849">
        <v>0.0</v>
      </c>
      <c r="J920" s="849">
        <v>0.0</v>
      </c>
      <c r="K920" s="849">
        <v>0.0</v>
      </c>
      <c r="L920" s="849">
        <v>0.0</v>
      </c>
      <c r="M920" s="849">
        <v>0.0</v>
      </c>
      <c r="N920" s="849">
        <v>0.0</v>
      </c>
      <c r="O920" s="849">
        <v>0.0</v>
      </c>
      <c r="P920" s="849">
        <v>0.0</v>
      </c>
      <c r="Q920" s="849">
        <v>0.0</v>
      </c>
      <c r="R920" s="849">
        <v>0.0</v>
      </c>
      <c r="S920" s="849">
        <v>0.0</v>
      </c>
      <c r="T920" s="849">
        <v>0.0</v>
      </c>
      <c r="U920" s="849">
        <v>0.0</v>
      </c>
      <c r="V920" s="849">
        <v>0.0</v>
      </c>
      <c r="W920" s="849">
        <v>0.0</v>
      </c>
      <c r="X920" s="849">
        <v>0.0</v>
      </c>
      <c r="Y920" s="849">
        <v>0.0</v>
      </c>
      <c r="Z920" s="849">
        <v>0.0</v>
      </c>
      <c r="AA920" s="849">
        <v>0.0</v>
      </c>
      <c r="AB920" s="849">
        <v>0.0</v>
      </c>
      <c r="AC920" s="849">
        <v>0.0</v>
      </c>
      <c r="AD920" s="849">
        <v>0.0</v>
      </c>
      <c r="AE920" s="849">
        <v>0.0</v>
      </c>
      <c r="AF920" s="849">
        <v>0.0</v>
      </c>
      <c r="AG920" s="849">
        <v>0.0</v>
      </c>
      <c r="AH920" s="849">
        <v>0.0</v>
      </c>
      <c r="AI920" s="849">
        <v>0.0</v>
      </c>
      <c r="AJ920" s="794" t="str">
        <f t="shared" ref="AJ920:AK920" si="1837">C920</f>
        <v>G64412</v>
      </c>
      <c r="AK920" s="794" t="str">
        <f t="shared" si="1837"/>
        <v>COUT -PRT PERTE TOT NEUFS</v>
      </c>
      <c r="AL920" s="794">
        <f t="array" ref="AL920">IFERROR(INDEX(G920:R920,1,MATCH(Parametres!$B$3,G$1:R$1,0)-1)*IF(OR(F920="L",F920="S",F920="I"),-1,1),"")</f>
        <v>0</v>
      </c>
      <c r="AM920" s="794">
        <f t="shared" si="4"/>
        <v>0</v>
      </c>
      <c r="AN920" s="794">
        <f t="array" ref="AN920">INDEX(G920:R920,1,MATCH(Parametres!$B$3,G$1:R$1,0))*IF(OR(F920="L",F920="S",F920="I"),-1,1)</f>
        <v>0</v>
      </c>
      <c r="AO920" s="853" t="str">
        <f>+VLOOKUP($AJ920,Data_Validation!$A:$D,1,0)</f>
        <v>#N/A</v>
      </c>
      <c r="AP920" s="853" t="str">
        <f>+VLOOKUP($AJ920,Data_Validation!$A:$D,3,0)</f>
        <v>#N/A</v>
      </c>
      <c r="AQ920" s="853" t="str">
        <f>+VLOOKUP($AJ920,Data_Validation!$A:$D,4,0)</f>
        <v>#N/A</v>
      </c>
      <c r="AR920" s="853" t="s">
        <v>728</v>
      </c>
      <c r="AS920" s="853" t="str">
        <f>+VLOOKUP($AJ920,Data_Validation!$A:$E,5,0)</f>
        <v>#N/A</v>
      </c>
      <c r="AT920" s="794" t="str">
        <f t="shared" ref="AT920:AU920" si="1838">C920</f>
        <v>G64412</v>
      </c>
      <c r="AU920" s="854" t="str">
        <f t="shared" si="1838"/>
        <v>COUT -PRT PERTE TOT NEUFS</v>
      </c>
      <c r="AV920" s="794">
        <f t="array" ref="AV920">IFERROR(INDEX(V920:AG920,1,MATCH(Parametres!$B$3,V$1:AG$1,0)-1)*IF(OR(C920="L",C920="S",C920="I"),-1,1),"")</f>
        <v>0</v>
      </c>
      <c r="AW920" s="794">
        <f t="shared" si="6"/>
        <v>0</v>
      </c>
      <c r="AX920" s="794">
        <f t="array" ref="AX920">INDEX(V920:AG920,1,MATCH(Parametres!$B$3,V$1:AG$1,0))*IF(OR(C920="L",C920="S",C920="I"),-1,1)</f>
        <v>0</v>
      </c>
      <c r="AY920" s="853" t="s">
        <v>772</v>
      </c>
      <c r="AZ920" s="853" t="str">
        <f>+VLOOKUP($AJ920,Data_Validation!$A:$E,5,0)</f>
        <v>#N/A</v>
      </c>
    </row>
    <row r="921" ht="15.0" customHeight="1">
      <c r="A921" s="849" t="s">
        <v>1239</v>
      </c>
      <c r="B921" s="849">
        <v>2026.0</v>
      </c>
      <c r="C921" s="849" t="s">
        <v>3043</v>
      </c>
      <c r="D921" s="849" t="s">
        <v>3044</v>
      </c>
      <c r="E921" s="849" t="s">
        <v>768</v>
      </c>
      <c r="F921" s="849" t="s">
        <v>2855</v>
      </c>
      <c r="G921" s="849">
        <v>0.0</v>
      </c>
      <c r="H921" s="849">
        <v>0.0</v>
      </c>
      <c r="I921" s="849">
        <v>0.0</v>
      </c>
      <c r="J921" s="849">
        <v>0.0</v>
      </c>
      <c r="K921" s="849">
        <v>0.0</v>
      </c>
      <c r="L921" s="849">
        <v>0.0</v>
      </c>
      <c r="M921" s="849">
        <v>0.0</v>
      </c>
      <c r="N921" s="849">
        <v>0.0</v>
      </c>
      <c r="O921" s="849">
        <v>0.0</v>
      </c>
      <c r="P921" s="849">
        <v>0.0</v>
      </c>
      <c r="Q921" s="849">
        <v>0.0</v>
      </c>
      <c r="R921" s="849">
        <v>0.0</v>
      </c>
      <c r="S921" s="849">
        <v>0.0</v>
      </c>
      <c r="T921" s="849">
        <v>0.0</v>
      </c>
      <c r="U921" s="849">
        <v>0.0</v>
      </c>
      <c r="V921" s="849">
        <v>0.0</v>
      </c>
      <c r="W921" s="849">
        <v>0.0</v>
      </c>
      <c r="X921" s="849">
        <v>0.0</v>
      </c>
      <c r="Y921" s="849">
        <v>0.0</v>
      </c>
      <c r="Z921" s="849">
        <v>0.0</v>
      </c>
      <c r="AA921" s="849">
        <v>0.0</v>
      </c>
      <c r="AB921" s="849">
        <v>0.0</v>
      </c>
      <c r="AC921" s="849">
        <v>0.0</v>
      </c>
      <c r="AD921" s="849">
        <v>0.0</v>
      </c>
      <c r="AE921" s="849">
        <v>0.0</v>
      </c>
      <c r="AF921" s="849">
        <v>0.0</v>
      </c>
      <c r="AG921" s="849">
        <v>0.0</v>
      </c>
      <c r="AH921" s="849">
        <v>0.0</v>
      </c>
      <c r="AI921" s="849">
        <v>0.0</v>
      </c>
      <c r="AJ921" s="794" t="str">
        <f t="shared" ref="AJ921:AK921" si="1839">C921</f>
        <v>G64413</v>
      </c>
      <c r="AK921" s="794" t="str">
        <f t="shared" si="1839"/>
        <v>COUT -PRT REMPL CLE-NEUFS</v>
      </c>
      <c r="AL921" s="794">
        <f t="array" ref="AL921">IFERROR(INDEX(G921:R921,1,MATCH(Parametres!$B$3,G$1:R$1,0)-1)*IF(OR(F921="L",F921="S",F921="I"),-1,1),"")</f>
        <v>0</v>
      </c>
      <c r="AM921" s="794">
        <f t="shared" si="4"/>
        <v>0</v>
      </c>
      <c r="AN921" s="794">
        <f t="array" ref="AN921">INDEX(G921:R921,1,MATCH(Parametres!$B$3,G$1:R$1,0))*IF(OR(F921="L",F921="S",F921="I"),-1,1)</f>
        <v>0</v>
      </c>
      <c r="AO921" s="853" t="str">
        <f>+VLOOKUP($AJ921,Data_Validation!$A:$D,1,0)</f>
        <v>#N/A</v>
      </c>
      <c r="AP921" s="853" t="str">
        <f>+VLOOKUP($AJ921,Data_Validation!$A:$D,3,0)</f>
        <v>#N/A</v>
      </c>
      <c r="AQ921" s="853" t="str">
        <f>+VLOOKUP($AJ921,Data_Validation!$A:$D,4,0)</f>
        <v>#N/A</v>
      </c>
      <c r="AR921" s="853" t="s">
        <v>728</v>
      </c>
      <c r="AS921" s="853" t="str">
        <f>+VLOOKUP($AJ921,Data_Validation!$A:$E,5,0)</f>
        <v>#N/A</v>
      </c>
      <c r="AT921" s="794" t="str">
        <f t="shared" ref="AT921:AU921" si="1840">C921</f>
        <v>G64413</v>
      </c>
      <c r="AU921" s="854" t="str">
        <f t="shared" si="1840"/>
        <v>COUT -PRT REMPL CLE-NEUFS</v>
      </c>
      <c r="AV921" s="794">
        <f t="array" ref="AV921">IFERROR(INDEX(V921:AG921,1,MATCH(Parametres!$B$3,V$1:AG$1,0)-1)*IF(OR(C921="L",C921="S",C921="I"),-1,1),"")</f>
        <v>0</v>
      </c>
      <c r="AW921" s="794">
        <f t="shared" si="6"/>
        <v>0</v>
      </c>
      <c r="AX921" s="794">
        <f t="array" ref="AX921">INDEX(V921:AG921,1,MATCH(Parametres!$B$3,V$1:AG$1,0))*IF(OR(C921="L",C921="S",C921="I"),-1,1)</f>
        <v>0</v>
      </c>
      <c r="AY921" s="853" t="s">
        <v>772</v>
      </c>
      <c r="AZ921" s="853" t="str">
        <f>+VLOOKUP($AJ921,Data_Validation!$A:$E,5,0)</f>
        <v>#N/A</v>
      </c>
    </row>
    <row r="922" ht="15.0" customHeight="1">
      <c r="A922" s="849" t="s">
        <v>1239</v>
      </c>
      <c r="B922" s="849">
        <v>2026.0</v>
      </c>
      <c r="C922" s="849" t="s">
        <v>3045</v>
      </c>
      <c r="D922" s="849" t="s">
        <v>3046</v>
      </c>
      <c r="E922" s="849" t="s">
        <v>768</v>
      </c>
      <c r="F922" s="849" t="s">
        <v>2855</v>
      </c>
      <c r="G922" s="849">
        <v>0.0</v>
      </c>
      <c r="H922" s="849">
        <v>0.0</v>
      </c>
      <c r="I922" s="849">
        <v>0.0</v>
      </c>
      <c r="J922" s="849">
        <v>0.0</v>
      </c>
      <c r="K922" s="849">
        <v>0.0</v>
      </c>
      <c r="L922" s="849">
        <v>0.0</v>
      </c>
      <c r="M922" s="849">
        <v>0.0</v>
      </c>
      <c r="N922" s="849">
        <v>0.0</v>
      </c>
      <c r="O922" s="849">
        <v>0.0</v>
      </c>
      <c r="P922" s="849">
        <v>0.0</v>
      </c>
      <c r="Q922" s="849">
        <v>0.0</v>
      </c>
      <c r="R922" s="849">
        <v>0.0</v>
      </c>
      <c r="S922" s="849">
        <v>0.0</v>
      </c>
      <c r="T922" s="849">
        <v>0.0</v>
      </c>
      <c r="U922" s="849">
        <v>0.0</v>
      </c>
      <c r="V922" s="849">
        <v>0.0</v>
      </c>
      <c r="W922" s="849">
        <v>0.0</v>
      </c>
      <c r="X922" s="849">
        <v>0.0</v>
      </c>
      <c r="Y922" s="849">
        <v>0.0</v>
      </c>
      <c r="Z922" s="849">
        <v>0.0</v>
      </c>
      <c r="AA922" s="849">
        <v>0.0</v>
      </c>
      <c r="AB922" s="849">
        <v>0.0</v>
      </c>
      <c r="AC922" s="849">
        <v>0.0</v>
      </c>
      <c r="AD922" s="849">
        <v>0.0</v>
      </c>
      <c r="AE922" s="849">
        <v>0.0</v>
      </c>
      <c r="AF922" s="849">
        <v>0.0</v>
      </c>
      <c r="AG922" s="849">
        <v>0.0</v>
      </c>
      <c r="AH922" s="849">
        <v>0.0</v>
      </c>
      <c r="AI922" s="849">
        <v>0.0</v>
      </c>
      <c r="AJ922" s="794" t="str">
        <f t="shared" ref="AJ922:AK922" si="1841">C922</f>
        <v>G64500</v>
      </c>
      <c r="AK922" s="794" t="str">
        <f t="shared" si="1841"/>
        <v>COUT- AUTRES PROT NEUFS</v>
      </c>
      <c r="AL922" s="794">
        <f t="array" ref="AL922">IFERROR(INDEX(G922:R922,1,MATCH(Parametres!$B$3,G$1:R$1,0)-1)*IF(OR(F922="L",F922="S",F922="I"),-1,1),"")</f>
        <v>0</v>
      </c>
      <c r="AM922" s="794">
        <f t="shared" si="4"/>
        <v>0</v>
      </c>
      <c r="AN922" s="794">
        <f t="array" ref="AN922">INDEX(G922:R922,1,MATCH(Parametres!$B$3,G$1:R$1,0))*IF(OR(F922="L",F922="S",F922="I"),-1,1)</f>
        <v>0</v>
      </c>
      <c r="AO922" s="853" t="str">
        <f>+VLOOKUP($AJ922,Data_Validation!$A:$D,1,0)</f>
        <v>#N/A</v>
      </c>
      <c r="AP922" s="853" t="str">
        <f>+VLOOKUP($AJ922,Data_Validation!$A:$D,3,0)</f>
        <v>#N/A</v>
      </c>
      <c r="AQ922" s="853" t="str">
        <f>+VLOOKUP($AJ922,Data_Validation!$A:$D,4,0)</f>
        <v>#N/A</v>
      </c>
      <c r="AR922" s="853" t="s">
        <v>728</v>
      </c>
      <c r="AS922" s="853" t="str">
        <f>+VLOOKUP($AJ922,Data_Validation!$A:$E,5,0)</f>
        <v>#N/A</v>
      </c>
      <c r="AT922" s="794" t="str">
        <f t="shared" ref="AT922:AU922" si="1842">C922</f>
        <v>G64500</v>
      </c>
      <c r="AU922" s="854" t="str">
        <f t="shared" si="1842"/>
        <v>COUT- AUTRES PROT NEUFS</v>
      </c>
      <c r="AV922" s="794">
        <f t="array" ref="AV922">IFERROR(INDEX(V922:AG922,1,MATCH(Parametres!$B$3,V$1:AG$1,0)-1)*IF(OR(C922="L",C922="S",C922="I"),-1,1),"")</f>
        <v>0</v>
      </c>
      <c r="AW922" s="794">
        <f t="shared" si="6"/>
        <v>0</v>
      </c>
      <c r="AX922" s="794">
        <f t="array" ref="AX922">INDEX(V922:AG922,1,MATCH(Parametres!$B$3,V$1:AG$1,0))*IF(OR(C922="L",C922="S",C922="I"),-1,1)</f>
        <v>0</v>
      </c>
      <c r="AY922" s="853" t="s">
        <v>772</v>
      </c>
      <c r="AZ922" s="853" t="str">
        <f>+VLOOKUP($AJ922,Data_Validation!$A:$E,5,0)</f>
        <v>#N/A</v>
      </c>
    </row>
    <row r="923" ht="15.0" customHeight="1">
      <c r="A923" s="849" t="s">
        <v>1239</v>
      </c>
      <c r="B923" s="849">
        <v>2026.0</v>
      </c>
      <c r="C923" s="849" t="s">
        <v>3047</v>
      </c>
      <c r="D923" s="849" t="s">
        <v>3048</v>
      </c>
      <c r="E923" s="849" t="s">
        <v>768</v>
      </c>
      <c r="F923" s="849" t="s">
        <v>2855</v>
      </c>
      <c r="G923" s="849">
        <v>600.12</v>
      </c>
      <c r="H923" s="849">
        <v>1014.6</v>
      </c>
      <c r="I923" s="849">
        <v>1618.72</v>
      </c>
      <c r="J923" s="849">
        <v>3268.99</v>
      </c>
      <c r="K923" s="849">
        <v>6581.72</v>
      </c>
      <c r="L923" s="849">
        <v>8073.78</v>
      </c>
      <c r="M923" s="849">
        <v>12615.9</v>
      </c>
      <c r="N923" s="849">
        <v>13343.59</v>
      </c>
      <c r="O923" s="849">
        <v>14093.59</v>
      </c>
      <c r="P923" s="849">
        <v>14093.59</v>
      </c>
      <c r="Q923" s="849">
        <v>0.0</v>
      </c>
      <c r="R923" s="849">
        <v>0.0</v>
      </c>
      <c r="S923" s="849">
        <v>1565.95</v>
      </c>
      <c r="T923" s="849">
        <v>1565.95</v>
      </c>
      <c r="U923" s="849">
        <v>0.0</v>
      </c>
      <c r="V923" s="849">
        <v>0.0</v>
      </c>
      <c r="W923" s="849">
        <v>0.0</v>
      </c>
      <c r="X923" s="849">
        <v>0.0</v>
      </c>
      <c r="Y923" s="849">
        <v>0.0</v>
      </c>
      <c r="Z923" s="849">
        <v>0.0</v>
      </c>
      <c r="AA923" s="849">
        <v>0.0</v>
      </c>
      <c r="AB923" s="849">
        <v>0.0</v>
      </c>
      <c r="AC923" s="849">
        <v>0.0</v>
      </c>
      <c r="AD923" s="849">
        <v>0.0</v>
      </c>
      <c r="AE923" s="849">
        <v>0.0</v>
      </c>
      <c r="AF923" s="849">
        <v>0.0</v>
      </c>
      <c r="AG923" s="849">
        <v>0.0</v>
      </c>
      <c r="AH923" s="849">
        <v>0.0</v>
      </c>
      <c r="AI923" s="849">
        <v>0.0</v>
      </c>
      <c r="AJ923" s="794" t="str">
        <f t="shared" ref="AJ923:AK923" si="1843">C923</f>
        <v>G64501</v>
      </c>
      <c r="AK923" s="794" t="str">
        <f t="shared" si="1843"/>
        <v>COUT-ANTIROUILLE - NF</v>
      </c>
      <c r="AL923" s="794">
        <f t="array" ref="AL923">IFERROR(INDEX(G923:R923,1,MATCH(Parametres!$B$3,G$1:R$1,0)-1)*IF(OR(F923="L",F923="S",F923="I"),-1,1),"")</f>
        <v>13343.59</v>
      </c>
      <c r="AM923" s="794">
        <f t="shared" si="4"/>
        <v>750</v>
      </c>
      <c r="AN923" s="794">
        <f t="array" ref="AN923">INDEX(G923:R923,1,MATCH(Parametres!$B$3,G$1:R$1,0))*IF(OR(F923="L",F923="S",F923="I"),-1,1)</f>
        <v>14093.59</v>
      </c>
      <c r="AO923" s="853" t="str">
        <f>+VLOOKUP($AJ923,Data_Validation!$A:$D,1,0)</f>
        <v>G64501</v>
      </c>
      <c r="AP923" s="853" t="str">
        <f>+VLOOKUP($AJ923,Data_Validation!$A:$D,3,0)</f>
        <v>Véhicules neufs</v>
      </c>
      <c r="AQ923" s="853" t="str">
        <f>+VLOOKUP($AJ923,Data_Validation!$A:$D,4,0)</f>
        <v>Rev. Autres</v>
      </c>
      <c r="AR923" s="853" t="s">
        <v>728</v>
      </c>
      <c r="AS923" s="853" t="str">
        <f>+VLOOKUP($AJ923,Data_Validation!$A:$E,5,0)</f>
        <v/>
      </c>
      <c r="AT923" s="794" t="str">
        <f t="shared" ref="AT923:AU923" si="1844">C923</f>
        <v>G64501</v>
      </c>
      <c r="AU923" s="854" t="str">
        <f t="shared" si="1844"/>
        <v>COUT-ANTIROUILLE - NF</v>
      </c>
      <c r="AV923" s="794">
        <f t="array" ref="AV923">IFERROR(INDEX(V923:AG923,1,MATCH(Parametres!$B$3,V$1:AG$1,0)-1)*IF(OR(C923="L",C923="S",C923="I"),-1,1),"")</f>
        <v>0</v>
      </c>
      <c r="AW923" s="794">
        <f t="shared" si="6"/>
        <v>0</v>
      </c>
      <c r="AX923" s="794">
        <f t="array" ref="AX923">INDEX(V923:AG923,1,MATCH(Parametres!$B$3,V$1:AG$1,0))*IF(OR(C923="L",C923="S",C923="I"),-1,1)</f>
        <v>0</v>
      </c>
      <c r="AY923" s="853" t="s">
        <v>772</v>
      </c>
      <c r="AZ923" s="853" t="str">
        <f>+VLOOKUP($AJ923,Data_Validation!$A:$E,5,0)</f>
        <v/>
      </c>
    </row>
    <row r="924" ht="15.0" customHeight="1">
      <c r="A924" s="849" t="s">
        <v>1239</v>
      </c>
      <c r="B924" s="849">
        <v>2026.0</v>
      </c>
      <c r="C924" s="849" t="s">
        <v>3049</v>
      </c>
      <c r="D924" s="849" t="s">
        <v>2606</v>
      </c>
      <c r="E924" s="849" t="s">
        <v>768</v>
      </c>
      <c r="F924" s="849" t="s">
        <v>2855</v>
      </c>
      <c r="G924" s="849">
        <v>231.14</v>
      </c>
      <c r="H924" s="849">
        <v>940.47</v>
      </c>
      <c r="I924" s="849">
        <v>778.47</v>
      </c>
      <c r="J924" s="849">
        <v>1525.75</v>
      </c>
      <c r="K924" s="849">
        <v>2854.78</v>
      </c>
      <c r="L924" s="849">
        <v>4784.18</v>
      </c>
      <c r="M924" s="849">
        <v>7563.45</v>
      </c>
      <c r="N924" s="849">
        <v>11758.45</v>
      </c>
      <c r="O924" s="849">
        <v>13218.45</v>
      </c>
      <c r="P924" s="849">
        <v>13388.45</v>
      </c>
      <c r="Q924" s="849">
        <v>0.0</v>
      </c>
      <c r="R924" s="849">
        <v>0.0</v>
      </c>
      <c r="S924" s="849">
        <v>1468.72</v>
      </c>
      <c r="T924" s="849">
        <v>1468.72</v>
      </c>
      <c r="U924" s="849">
        <v>0.0</v>
      </c>
      <c r="V924" s="849">
        <v>0.0</v>
      </c>
      <c r="W924" s="849">
        <v>0.0</v>
      </c>
      <c r="X924" s="849">
        <v>0.0</v>
      </c>
      <c r="Y924" s="849">
        <v>0.0</v>
      </c>
      <c r="Z924" s="849">
        <v>0.0</v>
      </c>
      <c r="AA924" s="849">
        <v>0.0</v>
      </c>
      <c r="AB924" s="849">
        <v>0.0</v>
      </c>
      <c r="AC924" s="849">
        <v>0.0</v>
      </c>
      <c r="AD924" s="849">
        <v>0.0</v>
      </c>
      <c r="AE924" s="849">
        <v>0.0</v>
      </c>
      <c r="AF924" s="849">
        <v>0.0</v>
      </c>
      <c r="AG924" s="849">
        <v>0.0</v>
      </c>
      <c r="AH924" s="849">
        <v>0.0</v>
      </c>
      <c r="AI924" s="849">
        <v>0.0</v>
      </c>
      <c r="AJ924" s="794" t="str">
        <f t="shared" ref="AJ924:AK924" si="1845">C924</f>
        <v>G64503</v>
      </c>
      <c r="AK924" s="794" t="str">
        <f t="shared" si="1845"/>
        <v>V.TEINTÉE-PEINTURE-TISSUS</v>
      </c>
      <c r="AL924" s="794">
        <f t="array" ref="AL924">IFERROR(INDEX(G924:R924,1,MATCH(Parametres!$B$3,G$1:R$1,0)-1)*IF(OR(F924="L",F924="S",F924="I"),-1,1),"")</f>
        <v>11758.45</v>
      </c>
      <c r="AM924" s="794">
        <f t="shared" si="4"/>
        <v>1460</v>
      </c>
      <c r="AN924" s="794">
        <f t="array" ref="AN924">INDEX(G924:R924,1,MATCH(Parametres!$B$3,G$1:R$1,0))*IF(OR(F924="L",F924="S",F924="I"),-1,1)</f>
        <v>13218.45</v>
      </c>
      <c r="AO924" s="853" t="str">
        <f>+VLOOKUP($AJ924,Data_Validation!$A:$D,1,0)</f>
        <v>G64503</v>
      </c>
      <c r="AP924" s="853" t="str">
        <f>+VLOOKUP($AJ924,Data_Validation!$A:$D,3,0)</f>
        <v>Véhicules neufs</v>
      </c>
      <c r="AQ924" s="853" t="str">
        <f>+VLOOKUP($AJ924,Data_Validation!$A:$D,4,0)</f>
        <v>Rev. Autres</v>
      </c>
      <c r="AR924" s="853" t="s">
        <v>728</v>
      </c>
      <c r="AS924" s="853" t="str">
        <f>+VLOOKUP($AJ924,Data_Validation!$A:$E,5,0)</f>
        <v/>
      </c>
      <c r="AT924" s="794" t="str">
        <f t="shared" ref="AT924:AU924" si="1846">C924</f>
        <v>G64503</v>
      </c>
      <c r="AU924" s="854" t="str">
        <f t="shared" si="1846"/>
        <v>V.TEINTÉE-PEINTURE-TISSUS</v>
      </c>
      <c r="AV924" s="794">
        <f t="array" ref="AV924">IFERROR(INDEX(V924:AG924,1,MATCH(Parametres!$B$3,V$1:AG$1,0)-1)*IF(OR(C924="L",C924="S",C924="I"),-1,1),"")</f>
        <v>0</v>
      </c>
      <c r="AW924" s="794">
        <f t="shared" si="6"/>
        <v>0</v>
      </c>
      <c r="AX924" s="794">
        <f t="array" ref="AX924">INDEX(V924:AG924,1,MATCH(Parametres!$B$3,V$1:AG$1,0))*IF(OR(C924="L",C924="S",C924="I"),-1,1)</f>
        <v>0</v>
      </c>
      <c r="AY924" s="853" t="s">
        <v>772</v>
      </c>
      <c r="AZ924" s="853" t="str">
        <f>+VLOOKUP($AJ924,Data_Validation!$A:$E,5,0)</f>
        <v/>
      </c>
    </row>
    <row r="925" ht="15.0" customHeight="1">
      <c r="A925" s="849" t="s">
        <v>1239</v>
      </c>
      <c r="B925" s="849">
        <v>2026.0</v>
      </c>
      <c r="C925" s="849" t="s">
        <v>3050</v>
      </c>
      <c r="D925" s="849" t="s">
        <v>3051</v>
      </c>
      <c r="E925" s="849" t="s">
        <v>768</v>
      </c>
      <c r="F925" s="849" t="s">
        <v>2855</v>
      </c>
      <c r="G925" s="849">
        <v>0.0</v>
      </c>
      <c r="H925" s="849">
        <v>2838.5</v>
      </c>
      <c r="I925" s="849">
        <v>4779.77</v>
      </c>
      <c r="J925" s="849">
        <v>6961.67</v>
      </c>
      <c r="K925" s="849">
        <v>6961.67</v>
      </c>
      <c r="L925" s="849">
        <v>6961.67</v>
      </c>
      <c r="M925" s="849">
        <v>9299.67</v>
      </c>
      <c r="N925" s="849">
        <v>9299.67</v>
      </c>
      <c r="O925" s="849">
        <v>10637.37</v>
      </c>
      <c r="P925" s="849">
        <v>10637.37</v>
      </c>
      <c r="Q925" s="849">
        <v>0.0</v>
      </c>
      <c r="R925" s="849">
        <v>0.0</v>
      </c>
      <c r="S925" s="849">
        <v>1181.93</v>
      </c>
      <c r="T925" s="849">
        <v>1181.93</v>
      </c>
      <c r="U925" s="849">
        <v>0.0</v>
      </c>
      <c r="V925" s="849">
        <v>0.0</v>
      </c>
      <c r="W925" s="849">
        <v>0.0</v>
      </c>
      <c r="X925" s="849">
        <v>0.0</v>
      </c>
      <c r="Y925" s="849">
        <v>0.0</v>
      </c>
      <c r="Z925" s="849">
        <v>0.0</v>
      </c>
      <c r="AA925" s="849">
        <v>0.0</v>
      </c>
      <c r="AB925" s="849">
        <v>0.0</v>
      </c>
      <c r="AC925" s="849">
        <v>0.0</v>
      </c>
      <c r="AD925" s="849">
        <v>0.0</v>
      </c>
      <c r="AE925" s="849">
        <v>0.0</v>
      </c>
      <c r="AF925" s="849">
        <v>0.0</v>
      </c>
      <c r="AG925" s="849">
        <v>0.0</v>
      </c>
      <c r="AH925" s="849">
        <v>0.0</v>
      </c>
      <c r="AI925" s="849">
        <v>0.0</v>
      </c>
      <c r="AJ925" s="794" t="str">
        <f t="shared" ref="AJ925:AK925" si="1847">C925</f>
        <v>G64504</v>
      </c>
      <c r="AK925" s="794" t="str">
        <f t="shared" si="1847"/>
        <v>COUT-VALEUR REMPLACEMENT</v>
      </c>
      <c r="AL925" s="794">
        <f t="array" ref="AL925">IFERROR(INDEX(G925:R925,1,MATCH(Parametres!$B$3,G$1:R$1,0)-1)*IF(OR(F925="L",F925="S",F925="I"),-1,1),"")</f>
        <v>9299.67</v>
      </c>
      <c r="AM925" s="794">
        <f t="shared" si="4"/>
        <v>1337.7</v>
      </c>
      <c r="AN925" s="794">
        <f t="array" ref="AN925">INDEX(G925:R925,1,MATCH(Parametres!$B$3,G$1:R$1,0))*IF(OR(F925="L",F925="S",F925="I"),-1,1)</f>
        <v>10637.37</v>
      </c>
      <c r="AO925" s="853" t="str">
        <f>+VLOOKUP($AJ925,Data_Validation!$A:$D,1,0)</f>
        <v>G64504</v>
      </c>
      <c r="AP925" s="853" t="str">
        <f>+VLOOKUP($AJ925,Data_Validation!$A:$D,3,0)</f>
        <v>Véhicules neufs</v>
      </c>
      <c r="AQ925" s="853" t="str">
        <f>+VLOOKUP($AJ925,Data_Validation!$A:$D,4,0)</f>
        <v>Rev. Protections</v>
      </c>
      <c r="AR925" s="853" t="s">
        <v>728</v>
      </c>
      <c r="AS925" s="853" t="str">
        <f>+VLOOKUP($AJ925,Data_Validation!$A:$E,5,0)</f>
        <v/>
      </c>
      <c r="AT925" s="794" t="str">
        <f t="shared" ref="AT925:AU925" si="1848">C925</f>
        <v>G64504</v>
      </c>
      <c r="AU925" s="854" t="str">
        <f t="shared" si="1848"/>
        <v>COUT-VALEUR REMPLACEMENT</v>
      </c>
      <c r="AV925" s="794">
        <f t="array" ref="AV925">IFERROR(INDEX(V925:AG925,1,MATCH(Parametres!$B$3,V$1:AG$1,0)-1)*IF(OR(C925="L",C925="S",C925="I"),-1,1),"")</f>
        <v>0</v>
      </c>
      <c r="AW925" s="794">
        <f t="shared" si="6"/>
        <v>0</v>
      </c>
      <c r="AX925" s="794">
        <f t="array" ref="AX925">INDEX(V925:AG925,1,MATCH(Parametres!$B$3,V$1:AG$1,0))*IF(OR(C925="L",C925="S",C925="I"),-1,1)</f>
        <v>0</v>
      </c>
      <c r="AY925" s="853" t="s">
        <v>772</v>
      </c>
      <c r="AZ925" s="853" t="str">
        <f>+VLOOKUP($AJ925,Data_Validation!$A:$E,5,0)</f>
        <v/>
      </c>
    </row>
    <row r="926" ht="15.0" customHeight="1">
      <c r="A926" s="849" t="s">
        <v>1239</v>
      </c>
      <c r="B926" s="849">
        <v>2026.0</v>
      </c>
      <c r="C926" s="849" t="s">
        <v>3052</v>
      </c>
      <c r="D926" s="849" t="s">
        <v>3053</v>
      </c>
      <c r="E926" s="849" t="s">
        <v>768</v>
      </c>
      <c r="F926" s="849" t="s">
        <v>2855</v>
      </c>
      <c r="G926" s="849">
        <v>2360.92</v>
      </c>
      <c r="H926" s="849">
        <v>4670.92</v>
      </c>
      <c r="I926" s="849">
        <v>6700.24</v>
      </c>
      <c r="J926" s="849">
        <v>9714.4</v>
      </c>
      <c r="K926" s="849">
        <v>13158.88</v>
      </c>
      <c r="L926" s="849">
        <v>14463.4</v>
      </c>
      <c r="M926" s="849">
        <v>18053.56</v>
      </c>
      <c r="N926" s="849">
        <v>20991.68</v>
      </c>
      <c r="O926" s="849">
        <v>20991.68</v>
      </c>
      <c r="P926" s="849">
        <v>20991.68</v>
      </c>
      <c r="Q926" s="849">
        <v>0.0</v>
      </c>
      <c r="R926" s="849">
        <v>0.0</v>
      </c>
      <c r="S926" s="849">
        <v>2332.41</v>
      </c>
      <c r="T926" s="849">
        <v>2332.41</v>
      </c>
      <c r="U926" s="849">
        <v>0.0</v>
      </c>
      <c r="V926" s="849">
        <v>0.0</v>
      </c>
      <c r="W926" s="849">
        <v>0.0</v>
      </c>
      <c r="X926" s="849">
        <v>0.0</v>
      </c>
      <c r="Y926" s="849">
        <v>0.0</v>
      </c>
      <c r="Z926" s="849">
        <v>0.0</v>
      </c>
      <c r="AA926" s="849">
        <v>0.0</v>
      </c>
      <c r="AB926" s="849">
        <v>0.0</v>
      </c>
      <c r="AC926" s="849">
        <v>0.0</v>
      </c>
      <c r="AD926" s="849">
        <v>0.0</v>
      </c>
      <c r="AE926" s="849">
        <v>0.0</v>
      </c>
      <c r="AF926" s="849">
        <v>0.0</v>
      </c>
      <c r="AG926" s="849">
        <v>0.0</v>
      </c>
      <c r="AH926" s="849">
        <v>0.0</v>
      </c>
      <c r="AI926" s="849">
        <v>0.0</v>
      </c>
      <c r="AJ926" s="794" t="str">
        <f t="shared" ref="AJ926:AK926" si="1849">C926</f>
        <v>G64505</v>
      </c>
      <c r="AK926" s="794" t="str">
        <f t="shared" si="1849"/>
        <v>COUT-ANTIVOL ET TAG-NF</v>
      </c>
      <c r="AL926" s="794">
        <f t="array" ref="AL926">IFERROR(INDEX(G926:R926,1,MATCH(Parametres!$B$3,G$1:R$1,0)-1)*IF(OR(F926="L",F926="S",F926="I"),-1,1),"")</f>
        <v>20991.68</v>
      </c>
      <c r="AM926" s="794">
        <f t="shared" si="4"/>
        <v>0</v>
      </c>
      <c r="AN926" s="794">
        <f t="array" ref="AN926">INDEX(G926:R926,1,MATCH(Parametres!$B$3,G$1:R$1,0))*IF(OR(F926="L",F926="S",F926="I"),-1,1)</f>
        <v>20991.68</v>
      </c>
      <c r="AO926" s="853" t="str">
        <f>+VLOOKUP($AJ926,Data_Validation!$A:$D,1,0)</f>
        <v>G64505</v>
      </c>
      <c r="AP926" s="853" t="str">
        <f>+VLOOKUP($AJ926,Data_Validation!$A:$D,3,0)</f>
        <v>Véhicules neufs</v>
      </c>
      <c r="AQ926" s="853" t="str">
        <f>+VLOOKUP($AJ926,Data_Validation!$A:$D,4,0)</f>
        <v>Rev. Autres</v>
      </c>
      <c r="AR926" s="853" t="s">
        <v>728</v>
      </c>
      <c r="AS926" s="853" t="str">
        <f>+VLOOKUP($AJ926,Data_Validation!$A:$E,5,0)</f>
        <v/>
      </c>
      <c r="AT926" s="794" t="str">
        <f t="shared" ref="AT926:AU926" si="1850">C926</f>
        <v>G64505</v>
      </c>
      <c r="AU926" s="854" t="str">
        <f t="shared" si="1850"/>
        <v>COUT-ANTIVOL ET TAG-NF</v>
      </c>
      <c r="AV926" s="794">
        <f t="array" ref="AV926">IFERROR(INDEX(V926:AG926,1,MATCH(Parametres!$B$3,V$1:AG$1,0)-1)*IF(OR(C926="L",C926="S",C926="I"),-1,1),"")</f>
        <v>0</v>
      </c>
      <c r="AW926" s="794">
        <f t="shared" si="6"/>
        <v>0</v>
      </c>
      <c r="AX926" s="794">
        <f t="array" ref="AX926">INDEX(V926:AG926,1,MATCH(Parametres!$B$3,V$1:AG$1,0))*IF(OR(C926="L",C926="S",C926="I"),-1,1)</f>
        <v>0</v>
      </c>
      <c r="AY926" s="853" t="s">
        <v>772</v>
      </c>
      <c r="AZ926" s="853" t="str">
        <f>+VLOOKUP($AJ926,Data_Validation!$A:$E,5,0)</f>
        <v/>
      </c>
    </row>
    <row r="927" ht="15.0" customHeight="1">
      <c r="A927" s="849" t="s">
        <v>1239</v>
      </c>
      <c r="B927" s="849">
        <v>2026.0</v>
      </c>
      <c r="C927" s="849" t="s">
        <v>3054</v>
      </c>
      <c r="D927" s="849" t="s">
        <v>3055</v>
      </c>
      <c r="E927" s="849" t="s">
        <v>2072</v>
      </c>
      <c r="F927" s="849" t="s">
        <v>2855</v>
      </c>
      <c r="G927" s="849">
        <v>0.0</v>
      </c>
      <c r="H927" s="849">
        <v>0.0</v>
      </c>
      <c r="I927" s="849">
        <v>0.0</v>
      </c>
      <c r="J927" s="849">
        <v>0.0</v>
      </c>
      <c r="K927" s="849">
        <v>0.0</v>
      </c>
      <c r="L927" s="849">
        <v>0.0</v>
      </c>
      <c r="M927" s="849">
        <v>0.0</v>
      </c>
      <c r="N927" s="849">
        <v>0.0</v>
      </c>
      <c r="O927" s="849">
        <v>0.0</v>
      </c>
      <c r="P927" s="849">
        <v>0.0</v>
      </c>
      <c r="Q927" s="849">
        <v>0.0</v>
      </c>
      <c r="R927" s="849">
        <v>0.0</v>
      </c>
      <c r="S927" s="849">
        <v>0.0</v>
      </c>
      <c r="T927" s="849">
        <v>0.0</v>
      </c>
      <c r="U927" s="849">
        <v>0.0</v>
      </c>
      <c r="V927" s="849">
        <v>0.0</v>
      </c>
      <c r="W927" s="849">
        <v>0.0</v>
      </c>
      <c r="X927" s="849">
        <v>0.0</v>
      </c>
      <c r="Y927" s="849">
        <v>0.0</v>
      </c>
      <c r="Z927" s="849">
        <v>0.0</v>
      </c>
      <c r="AA927" s="849">
        <v>0.0</v>
      </c>
      <c r="AB927" s="849">
        <v>0.0</v>
      </c>
      <c r="AC927" s="849">
        <v>0.0</v>
      </c>
      <c r="AD927" s="849">
        <v>0.0</v>
      </c>
      <c r="AE927" s="849">
        <v>0.0</v>
      </c>
      <c r="AF927" s="849">
        <v>0.0</v>
      </c>
      <c r="AG927" s="849">
        <v>0.0</v>
      </c>
      <c r="AH927" s="849">
        <v>0.0</v>
      </c>
      <c r="AI927" s="849">
        <v>0.0</v>
      </c>
      <c r="AJ927" s="794" t="str">
        <f t="shared" ref="AJ927:AK927" si="1851">C927</f>
        <v>G64600</v>
      </c>
      <c r="AK927" s="794" t="str">
        <f t="shared" si="1851"/>
        <v>COUT-AUTO OCC.DET.OPTIMUM</v>
      </c>
      <c r="AL927" s="794">
        <f t="array" ref="AL927">IFERROR(INDEX(G927:R927,1,MATCH(Parametres!$B$3,G$1:R$1,0)-1)*IF(OR(F927="L",F927="S",F927="I"),-1,1),"")</f>
        <v>0</v>
      </c>
      <c r="AM927" s="794">
        <f t="shared" si="4"/>
        <v>0</v>
      </c>
      <c r="AN927" s="794">
        <f t="array" ref="AN927">INDEX(G927:R927,1,MATCH(Parametres!$B$3,G$1:R$1,0))*IF(OR(F927="L",F927="S",F927="I"),-1,1)</f>
        <v>0</v>
      </c>
      <c r="AO927" s="853" t="str">
        <f>+VLOOKUP($AJ927,Data_Validation!$A:$D,1,0)</f>
        <v>G64600</v>
      </c>
      <c r="AP927" s="853" t="str">
        <f>+VLOOKUP($AJ927,Data_Validation!$A:$D,3,0)</f>
        <v>Véhicules usagés</v>
      </c>
      <c r="AQ927" s="853" t="str">
        <f>+VLOOKUP($AJ927,Data_Validation!$A:$D,4,0)</f>
        <v>Certifié</v>
      </c>
      <c r="AR927" s="853" t="s">
        <v>728</v>
      </c>
      <c r="AS927" s="853" t="str">
        <f>+VLOOKUP($AJ927,Data_Validation!$A:$E,5,0)</f>
        <v/>
      </c>
      <c r="AT927" s="794" t="str">
        <f t="shared" ref="AT927:AU927" si="1852">C927</f>
        <v>G64600</v>
      </c>
      <c r="AU927" s="854" t="str">
        <f t="shared" si="1852"/>
        <v>COUT-AUTO OCC.DET.OPTIMUM</v>
      </c>
      <c r="AV927" s="794">
        <f t="array" ref="AV927">IFERROR(INDEX(V927:AG927,1,MATCH(Parametres!$B$3,V$1:AG$1,0)-1)*IF(OR(C927="L",C927="S",C927="I"),-1,1),"")</f>
        <v>0</v>
      </c>
      <c r="AW927" s="794">
        <f t="shared" si="6"/>
        <v>0</v>
      </c>
      <c r="AX927" s="794">
        <f t="array" ref="AX927">INDEX(V927:AG927,1,MATCH(Parametres!$B$3,V$1:AG$1,0))*IF(OR(C927="L",C927="S",C927="I"),-1,1)</f>
        <v>0</v>
      </c>
      <c r="AY927" s="853" t="s">
        <v>772</v>
      </c>
      <c r="AZ927" s="853" t="str">
        <f>+VLOOKUP($AJ927,Data_Validation!$A:$E,5,0)</f>
        <v/>
      </c>
    </row>
    <row r="928" ht="15.0" customHeight="1">
      <c r="A928" s="849" t="s">
        <v>1239</v>
      </c>
      <c r="B928" s="849">
        <v>2026.0</v>
      </c>
      <c r="C928" s="849" t="s">
        <v>3056</v>
      </c>
      <c r="D928" s="849" t="s">
        <v>3057</v>
      </c>
      <c r="E928" s="849" t="s">
        <v>2072</v>
      </c>
      <c r="F928" s="849" t="s">
        <v>2855</v>
      </c>
      <c r="G928" s="849">
        <v>85546.39</v>
      </c>
      <c r="H928" s="849">
        <v>148258.86</v>
      </c>
      <c r="I928" s="849">
        <v>190675.95</v>
      </c>
      <c r="J928" s="849">
        <v>285157.03</v>
      </c>
      <c r="K928" s="849">
        <v>386436.24</v>
      </c>
      <c r="L928" s="849">
        <v>462445.61</v>
      </c>
      <c r="M928" s="849">
        <v>607565.01</v>
      </c>
      <c r="N928" s="849">
        <v>621723.5</v>
      </c>
      <c r="O928" s="849">
        <v>688545.59</v>
      </c>
      <c r="P928" s="849">
        <v>688545.59</v>
      </c>
      <c r="Q928" s="849">
        <v>0.0</v>
      </c>
      <c r="R928" s="849">
        <v>0.0</v>
      </c>
      <c r="S928" s="849">
        <v>76505.07</v>
      </c>
      <c r="T928" s="849">
        <v>76505.07</v>
      </c>
      <c r="U928" s="849">
        <v>0.0</v>
      </c>
      <c r="V928" s="849">
        <v>0.0</v>
      </c>
      <c r="W928" s="849">
        <v>0.0</v>
      </c>
      <c r="X928" s="849">
        <v>0.0</v>
      </c>
      <c r="Y928" s="849">
        <v>0.0</v>
      </c>
      <c r="Z928" s="849">
        <v>0.0</v>
      </c>
      <c r="AA928" s="849">
        <v>0.0</v>
      </c>
      <c r="AB928" s="849">
        <v>0.0</v>
      </c>
      <c r="AC928" s="849">
        <v>0.0</v>
      </c>
      <c r="AD928" s="849">
        <v>0.0</v>
      </c>
      <c r="AE928" s="849">
        <v>0.0</v>
      </c>
      <c r="AF928" s="849">
        <v>0.0</v>
      </c>
      <c r="AG928" s="849">
        <v>0.0</v>
      </c>
      <c r="AH928" s="849">
        <v>0.0</v>
      </c>
      <c r="AI928" s="849">
        <v>0.0</v>
      </c>
      <c r="AJ928" s="794" t="str">
        <f t="shared" ref="AJ928:AK928" si="1853">C928</f>
        <v>G64601</v>
      </c>
      <c r="AK928" s="794" t="str">
        <f t="shared" si="1853"/>
        <v>COUT-AUTO OCC.GM N-CERT</v>
      </c>
      <c r="AL928" s="794">
        <f t="array" ref="AL928">IFERROR(INDEX(G928:R928,1,MATCH(Parametres!$B$3,G$1:R$1,0)-1)*IF(OR(F928="L",F928="S",F928="I"),-1,1),"")</f>
        <v>621723.5</v>
      </c>
      <c r="AM928" s="794">
        <f t="shared" si="4"/>
        <v>66822.09</v>
      </c>
      <c r="AN928" s="794">
        <f t="array" ref="AN928">INDEX(G928:R928,1,MATCH(Parametres!$B$3,G$1:R$1,0))*IF(OR(F928="L",F928="S",F928="I"),-1,1)</f>
        <v>688545.59</v>
      </c>
      <c r="AO928" s="853" t="str">
        <f>+VLOOKUP($AJ928,Data_Validation!$A:$D,1,0)</f>
        <v>G64601</v>
      </c>
      <c r="AP928" s="853" t="str">
        <f>+VLOOKUP($AJ928,Data_Validation!$A:$D,3,0)</f>
        <v>Véhicules usagés</v>
      </c>
      <c r="AQ928" s="853" t="str">
        <f>+VLOOKUP($AJ928,Data_Validation!$A:$D,4,0)</f>
        <v>Non Certifié</v>
      </c>
      <c r="AR928" s="853" t="s">
        <v>728</v>
      </c>
      <c r="AS928" s="853" t="str">
        <f>+VLOOKUP($AJ928,Data_Validation!$A:$E,5,0)</f>
        <v/>
      </c>
      <c r="AT928" s="794" t="str">
        <f t="shared" ref="AT928:AU928" si="1854">C928</f>
        <v>G64601</v>
      </c>
      <c r="AU928" s="854" t="str">
        <f t="shared" si="1854"/>
        <v>COUT-AUTO OCC.GM N-CERT</v>
      </c>
      <c r="AV928" s="794">
        <f t="array" ref="AV928">IFERROR(INDEX(V928:AG928,1,MATCH(Parametres!$B$3,V$1:AG$1,0)-1)*IF(OR(C928="L",C928="S",C928="I"),-1,1),"")</f>
        <v>0</v>
      </c>
      <c r="AW928" s="794">
        <f t="shared" si="6"/>
        <v>0</v>
      </c>
      <c r="AX928" s="794">
        <f t="array" ref="AX928">INDEX(V928:AG928,1,MATCH(Parametres!$B$3,V$1:AG$1,0))*IF(OR(C928="L",C928="S",C928="I"),-1,1)</f>
        <v>0</v>
      </c>
      <c r="AY928" s="853" t="s">
        <v>772</v>
      </c>
      <c r="AZ928" s="853" t="str">
        <f>+VLOOKUP($AJ928,Data_Validation!$A:$E,5,0)</f>
        <v/>
      </c>
    </row>
    <row r="929" ht="15.0" customHeight="1">
      <c r="A929" s="849" t="s">
        <v>1239</v>
      </c>
      <c r="B929" s="849">
        <v>2026.0</v>
      </c>
      <c r="C929" s="849" t="s">
        <v>3058</v>
      </c>
      <c r="D929" s="849" t="s">
        <v>3059</v>
      </c>
      <c r="E929" s="849" t="s">
        <v>2072</v>
      </c>
      <c r="F929" s="849" t="s">
        <v>2855</v>
      </c>
      <c r="G929" s="849">
        <v>0.0</v>
      </c>
      <c r="H929" s="849">
        <v>0.0</v>
      </c>
      <c r="I929" s="849">
        <v>0.0</v>
      </c>
      <c r="J929" s="849">
        <v>0.0</v>
      </c>
      <c r="K929" s="849">
        <v>0.0</v>
      </c>
      <c r="L929" s="849">
        <v>0.0</v>
      </c>
      <c r="M929" s="849">
        <v>0.0</v>
      </c>
      <c r="N929" s="849">
        <v>0.0</v>
      </c>
      <c r="O929" s="849">
        <v>0.0</v>
      </c>
      <c r="P929" s="849">
        <v>0.0</v>
      </c>
      <c r="Q929" s="849">
        <v>0.0</v>
      </c>
      <c r="R929" s="849">
        <v>0.0</v>
      </c>
      <c r="S929" s="849">
        <v>0.0</v>
      </c>
      <c r="T929" s="849">
        <v>0.0</v>
      </c>
      <c r="U929" s="849">
        <v>0.0</v>
      </c>
      <c r="V929" s="849">
        <v>0.0</v>
      </c>
      <c r="W929" s="849">
        <v>0.0</v>
      </c>
      <c r="X929" s="849">
        <v>0.0</v>
      </c>
      <c r="Y929" s="849">
        <v>0.0</v>
      </c>
      <c r="Z929" s="849">
        <v>0.0</v>
      </c>
      <c r="AA929" s="849">
        <v>0.0</v>
      </c>
      <c r="AB929" s="849">
        <v>0.0</v>
      </c>
      <c r="AC929" s="849">
        <v>0.0</v>
      </c>
      <c r="AD929" s="849">
        <v>0.0</v>
      </c>
      <c r="AE929" s="849">
        <v>0.0</v>
      </c>
      <c r="AF929" s="849">
        <v>0.0</v>
      </c>
      <c r="AG929" s="849">
        <v>0.0</v>
      </c>
      <c r="AH929" s="849">
        <v>0.0</v>
      </c>
      <c r="AI929" s="849">
        <v>0.0</v>
      </c>
      <c r="AJ929" s="794" t="str">
        <f t="shared" ref="AJ929:AK929" si="1855">C929</f>
        <v>G64602</v>
      </c>
      <c r="AK929" s="794" t="str">
        <f t="shared" si="1855"/>
        <v>COUT-AUTO AUTRE MARQ</v>
      </c>
      <c r="AL929" s="794">
        <f t="array" ref="AL929">IFERROR(INDEX(G929:R929,1,MATCH(Parametres!$B$3,G$1:R$1,0)-1)*IF(OR(F929="L",F929="S",F929="I"),-1,1),"")</f>
        <v>0</v>
      </c>
      <c r="AM929" s="794">
        <f t="shared" si="4"/>
        <v>0</v>
      </c>
      <c r="AN929" s="794">
        <f t="array" ref="AN929">INDEX(G929:R929,1,MATCH(Parametres!$B$3,G$1:R$1,0))*IF(OR(F929="L",F929="S",F929="I"),-1,1)</f>
        <v>0</v>
      </c>
      <c r="AO929" s="853" t="str">
        <f>+VLOOKUP($AJ929,Data_Validation!$A:$D,1,0)</f>
        <v>G64602</v>
      </c>
      <c r="AP929" s="853" t="str">
        <f>+VLOOKUP($AJ929,Data_Validation!$A:$D,3,0)</f>
        <v>Véhicules usagés</v>
      </c>
      <c r="AQ929" s="853" t="str">
        <f>+VLOOKUP($AJ929,Data_Validation!$A:$D,4,0)</f>
        <v>Autres Marques</v>
      </c>
      <c r="AR929" s="853" t="s">
        <v>728</v>
      </c>
      <c r="AS929" s="853" t="str">
        <f>+VLOOKUP($AJ929,Data_Validation!$A:$E,5,0)</f>
        <v/>
      </c>
      <c r="AT929" s="794" t="str">
        <f t="shared" ref="AT929:AU929" si="1856">C929</f>
        <v>G64602</v>
      </c>
      <c r="AU929" s="854" t="str">
        <f t="shared" si="1856"/>
        <v>COUT-AUTO AUTRE MARQ</v>
      </c>
      <c r="AV929" s="794">
        <f t="array" ref="AV929">IFERROR(INDEX(V929:AG929,1,MATCH(Parametres!$B$3,V$1:AG$1,0)-1)*IF(OR(C929="L",C929="S",C929="I"),-1,1),"")</f>
        <v>0</v>
      </c>
      <c r="AW929" s="794">
        <f t="shared" si="6"/>
        <v>0</v>
      </c>
      <c r="AX929" s="794">
        <f t="array" ref="AX929">INDEX(V929:AG929,1,MATCH(Parametres!$B$3,V$1:AG$1,0))*IF(OR(C929="L",C929="S",C929="I"),-1,1)</f>
        <v>0</v>
      </c>
      <c r="AY929" s="853" t="s">
        <v>772</v>
      </c>
      <c r="AZ929" s="853" t="str">
        <f>+VLOOKUP($AJ929,Data_Validation!$A:$E,5,0)</f>
        <v/>
      </c>
    </row>
    <row r="930" ht="15.0" customHeight="1">
      <c r="A930" s="849" t="s">
        <v>1239</v>
      </c>
      <c r="B930" s="849">
        <v>2026.0</v>
      </c>
      <c r="C930" s="849" t="s">
        <v>3060</v>
      </c>
      <c r="D930" s="849" t="s">
        <v>3061</v>
      </c>
      <c r="E930" s="849" t="s">
        <v>2072</v>
      </c>
      <c r="F930" s="849" t="s">
        <v>2855</v>
      </c>
      <c r="G930" s="849">
        <v>0.0</v>
      </c>
      <c r="H930" s="849">
        <v>0.0</v>
      </c>
      <c r="I930" s="849">
        <v>0.0</v>
      </c>
      <c r="J930" s="849">
        <v>0.0</v>
      </c>
      <c r="K930" s="849">
        <v>0.0</v>
      </c>
      <c r="L930" s="849">
        <v>7217.34</v>
      </c>
      <c r="M930" s="849">
        <v>7217.34</v>
      </c>
      <c r="N930" s="849">
        <v>7217.34</v>
      </c>
      <c r="O930" s="849">
        <v>7217.34</v>
      </c>
      <c r="P930" s="849">
        <v>7217.34</v>
      </c>
      <c r="Q930" s="849">
        <v>0.0</v>
      </c>
      <c r="R930" s="849">
        <v>0.0</v>
      </c>
      <c r="S930" s="849">
        <v>801.93</v>
      </c>
      <c r="T930" s="849">
        <v>801.93</v>
      </c>
      <c r="U930" s="849">
        <v>0.0</v>
      </c>
      <c r="V930" s="849">
        <v>0.0</v>
      </c>
      <c r="W930" s="849">
        <v>0.0</v>
      </c>
      <c r="X930" s="849">
        <v>0.0</v>
      </c>
      <c r="Y930" s="849">
        <v>0.0</v>
      </c>
      <c r="Z930" s="849">
        <v>0.0</v>
      </c>
      <c r="AA930" s="849">
        <v>0.0</v>
      </c>
      <c r="AB930" s="849">
        <v>0.0</v>
      </c>
      <c r="AC930" s="849">
        <v>0.0</v>
      </c>
      <c r="AD930" s="849">
        <v>0.0</v>
      </c>
      <c r="AE930" s="849">
        <v>0.0</v>
      </c>
      <c r="AF930" s="849">
        <v>0.0</v>
      </c>
      <c r="AG930" s="849">
        <v>0.0</v>
      </c>
      <c r="AH930" s="849">
        <v>0.0</v>
      </c>
      <c r="AI930" s="849">
        <v>0.0</v>
      </c>
      <c r="AJ930" s="794" t="str">
        <f t="shared" ref="AJ930:AK930" si="1857">C930</f>
        <v>G64603</v>
      </c>
      <c r="AK930" s="794" t="str">
        <f t="shared" si="1857"/>
        <v>COUT-RACHAT BAIL AUTO</v>
      </c>
      <c r="AL930" s="794">
        <f t="array" ref="AL930">IFERROR(INDEX(G930:R930,1,MATCH(Parametres!$B$3,G$1:R$1,0)-1)*IF(OR(F930="L",F930="S",F930="I"),-1,1),"")</f>
        <v>7217.34</v>
      </c>
      <c r="AM930" s="794">
        <f t="shared" si="4"/>
        <v>0</v>
      </c>
      <c r="AN930" s="794">
        <f t="array" ref="AN930">INDEX(G930:R930,1,MATCH(Parametres!$B$3,G$1:R$1,0))*IF(OR(F930="L",F930="S",F930="I"),-1,1)</f>
        <v>7217.34</v>
      </c>
      <c r="AO930" s="853" t="str">
        <f>+VLOOKUP($AJ930,Data_Validation!$A:$D,1,0)</f>
        <v>G64603</v>
      </c>
      <c r="AP930" s="853" t="str">
        <f>+VLOOKUP($AJ930,Data_Validation!$A:$D,3,0)</f>
        <v/>
      </c>
      <c r="AQ930" s="853" t="str">
        <f>+VLOOKUP($AJ930,Data_Validation!$A:$D,4,0)</f>
        <v/>
      </c>
      <c r="AR930" s="853" t="s">
        <v>728</v>
      </c>
      <c r="AS930" s="853" t="str">
        <f>+VLOOKUP($AJ930,Data_Validation!$A:$E,5,0)</f>
        <v/>
      </c>
      <c r="AT930" s="794" t="str">
        <f t="shared" ref="AT930:AU930" si="1858">C930</f>
        <v>G64603</v>
      </c>
      <c r="AU930" s="854" t="str">
        <f t="shared" si="1858"/>
        <v>COUT-RACHAT BAIL AUTO</v>
      </c>
      <c r="AV930" s="794">
        <f t="array" ref="AV930">IFERROR(INDEX(V930:AG930,1,MATCH(Parametres!$B$3,V$1:AG$1,0)-1)*IF(OR(C930="L",C930="S",C930="I"),-1,1),"")</f>
        <v>0</v>
      </c>
      <c r="AW930" s="794">
        <f t="shared" si="6"/>
        <v>0</v>
      </c>
      <c r="AX930" s="794">
        <f t="array" ref="AX930">INDEX(V930:AG930,1,MATCH(Parametres!$B$3,V$1:AG$1,0))*IF(OR(C930="L",C930="S",C930="I"),-1,1)</f>
        <v>0</v>
      </c>
      <c r="AY930" s="853" t="s">
        <v>772</v>
      </c>
      <c r="AZ930" s="853" t="str">
        <f>+VLOOKUP($AJ930,Data_Validation!$A:$E,5,0)</f>
        <v/>
      </c>
    </row>
    <row r="931" ht="15.0" customHeight="1">
      <c r="A931" s="849" t="s">
        <v>1239</v>
      </c>
      <c r="B931" s="849">
        <v>2026.0</v>
      </c>
      <c r="C931" s="849" t="s">
        <v>3062</v>
      </c>
      <c r="D931" s="849" t="s">
        <v>3063</v>
      </c>
      <c r="E931" s="849" t="s">
        <v>2072</v>
      </c>
      <c r="F931" s="849" t="s">
        <v>2855</v>
      </c>
      <c r="G931" s="849">
        <v>0.0</v>
      </c>
      <c r="H931" s="849">
        <v>0.0</v>
      </c>
      <c r="I931" s="849">
        <v>0.0</v>
      </c>
      <c r="J931" s="849">
        <v>0.0</v>
      </c>
      <c r="K931" s="849">
        <v>0.0</v>
      </c>
      <c r="L931" s="849">
        <v>0.0</v>
      </c>
      <c r="M931" s="849">
        <v>0.0</v>
      </c>
      <c r="N931" s="849">
        <v>0.0</v>
      </c>
      <c r="O931" s="849">
        <v>0.0</v>
      </c>
      <c r="P931" s="849">
        <v>0.0</v>
      </c>
      <c r="Q931" s="849">
        <v>0.0</v>
      </c>
      <c r="R931" s="849">
        <v>0.0</v>
      </c>
      <c r="S931" s="849">
        <v>0.0</v>
      </c>
      <c r="T931" s="849">
        <v>0.0</v>
      </c>
      <c r="U931" s="849">
        <v>0.0</v>
      </c>
      <c r="V931" s="849">
        <v>0.0</v>
      </c>
      <c r="W931" s="849">
        <v>0.0</v>
      </c>
      <c r="X931" s="849">
        <v>0.0</v>
      </c>
      <c r="Y931" s="849">
        <v>0.0</v>
      </c>
      <c r="Z931" s="849">
        <v>0.0</v>
      </c>
      <c r="AA931" s="849">
        <v>0.0</v>
      </c>
      <c r="AB931" s="849">
        <v>0.0</v>
      </c>
      <c r="AC931" s="849">
        <v>0.0</v>
      </c>
      <c r="AD931" s="849">
        <v>0.0</v>
      </c>
      <c r="AE931" s="849">
        <v>0.0</v>
      </c>
      <c r="AF931" s="849">
        <v>0.0</v>
      </c>
      <c r="AG931" s="849">
        <v>0.0</v>
      </c>
      <c r="AH931" s="849">
        <v>0.0</v>
      </c>
      <c r="AI931" s="849">
        <v>0.0</v>
      </c>
      <c r="AJ931" s="794" t="str">
        <f t="shared" ref="AJ931:AK931" si="1859">C931</f>
        <v>G64620</v>
      </c>
      <c r="AK931" s="794" t="str">
        <f t="shared" si="1859"/>
        <v>COUT-LOC.AUTO USAGE OPT.</v>
      </c>
      <c r="AL931" s="794">
        <f t="array" ref="AL931">IFERROR(INDEX(G931:R931,1,MATCH(Parametres!$B$3,G$1:R$1,0)-1)*IF(OR(F931="L",F931="S",F931="I"),-1,1),"")</f>
        <v>0</v>
      </c>
      <c r="AM931" s="794">
        <f t="shared" si="4"/>
        <v>0</v>
      </c>
      <c r="AN931" s="794">
        <f t="array" ref="AN931">INDEX(G931:R931,1,MATCH(Parametres!$B$3,G$1:R$1,0))*IF(OR(F931="L",F931="S",F931="I"),-1,1)</f>
        <v>0</v>
      </c>
      <c r="AO931" s="853" t="str">
        <f>+VLOOKUP($AJ931,Data_Validation!$A:$D,1,0)</f>
        <v>G64620</v>
      </c>
      <c r="AP931" s="853" t="str">
        <f>+VLOOKUP($AJ931,Data_Validation!$A:$D,3,0)</f>
        <v>Véhicules usagés</v>
      </c>
      <c r="AQ931" s="853" t="str">
        <f>+VLOOKUP($AJ931,Data_Validation!$A:$D,4,0)</f>
        <v>Certifié</v>
      </c>
      <c r="AR931" s="853" t="s">
        <v>728</v>
      </c>
      <c r="AS931" s="853" t="str">
        <f>+VLOOKUP($AJ931,Data_Validation!$A:$E,5,0)</f>
        <v/>
      </c>
      <c r="AT931" s="794" t="str">
        <f t="shared" ref="AT931:AU931" si="1860">C931</f>
        <v>G64620</v>
      </c>
      <c r="AU931" s="854" t="str">
        <f t="shared" si="1860"/>
        <v>COUT-LOC.AUTO USAGE OPT.</v>
      </c>
      <c r="AV931" s="794">
        <f t="array" ref="AV931">IFERROR(INDEX(V931:AG931,1,MATCH(Parametres!$B$3,V$1:AG$1,0)-1)*IF(OR(C931="L",C931="S",C931="I"),-1,1),"")</f>
        <v>0</v>
      </c>
      <c r="AW931" s="794">
        <f t="shared" si="6"/>
        <v>0</v>
      </c>
      <c r="AX931" s="794">
        <f t="array" ref="AX931">INDEX(V931:AG931,1,MATCH(Parametres!$B$3,V$1:AG$1,0))*IF(OR(C931="L",C931="S",C931="I"),-1,1)</f>
        <v>0</v>
      </c>
      <c r="AY931" s="853" t="s">
        <v>772</v>
      </c>
      <c r="AZ931" s="853" t="str">
        <f>+VLOOKUP($AJ931,Data_Validation!$A:$E,5,0)</f>
        <v/>
      </c>
    </row>
    <row r="932" ht="15.0" customHeight="1">
      <c r="A932" s="849" t="s">
        <v>1239</v>
      </c>
      <c r="B932" s="849">
        <v>2026.0</v>
      </c>
      <c r="C932" s="849" t="s">
        <v>3064</v>
      </c>
      <c r="D932" s="849" t="s">
        <v>3065</v>
      </c>
      <c r="E932" s="849" t="s">
        <v>768</v>
      </c>
      <c r="F932" s="849" t="s">
        <v>2855</v>
      </c>
      <c r="G932" s="849">
        <v>0.0</v>
      </c>
      <c r="H932" s="849">
        <v>0.0</v>
      </c>
      <c r="I932" s="849">
        <v>0.0</v>
      </c>
      <c r="J932" s="849">
        <v>0.0</v>
      </c>
      <c r="K932" s="849">
        <v>0.0</v>
      </c>
      <c r="L932" s="849">
        <v>0.0</v>
      </c>
      <c r="M932" s="849">
        <v>0.0</v>
      </c>
      <c r="N932" s="849">
        <v>0.0</v>
      </c>
      <c r="O932" s="849">
        <v>0.0</v>
      </c>
      <c r="P932" s="849">
        <v>0.0</v>
      </c>
      <c r="Q932" s="849">
        <v>0.0</v>
      </c>
      <c r="R932" s="849">
        <v>0.0</v>
      </c>
      <c r="S932" s="849">
        <v>0.0</v>
      </c>
      <c r="T932" s="849">
        <v>0.0</v>
      </c>
      <c r="U932" s="849">
        <v>0.0</v>
      </c>
      <c r="V932" s="849">
        <v>0.0</v>
      </c>
      <c r="W932" s="849">
        <v>0.0</v>
      </c>
      <c r="X932" s="849">
        <v>0.0</v>
      </c>
      <c r="Y932" s="849">
        <v>0.0</v>
      </c>
      <c r="Z932" s="849">
        <v>0.0</v>
      </c>
      <c r="AA932" s="849">
        <v>0.0</v>
      </c>
      <c r="AB932" s="849">
        <v>0.0</v>
      </c>
      <c r="AC932" s="849">
        <v>0.0</v>
      </c>
      <c r="AD932" s="849">
        <v>0.0</v>
      </c>
      <c r="AE932" s="849">
        <v>0.0</v>
      </c>
      <c r="AF932" s="849">
        <v>0.0</v>
      </c>
      <c r="AG932" s="849">
        <v>0.0</v>
      </c>
      <c r="AH932" s="849">
        <v>0.0</v>
      </c>
      <c r="AI932" s="849">
        <v>0.0</v>
      </c>
      <c r="AJ932" s="794" t="str">
        <f t="shared" ref="AJ932:AK932" si="1861">C932</f>
        <v>G64700</v>
      </c>
      <c r="AK932" s="794" t="str">
        <f t="shared" si="1861"/>
        <v>REMISE NEUF VOIT.DET.OPT</v>
      </c>
      <c r="AL932" s="794">
        <f t="array" ref="AL932">IFERROR(INDEX(G932:R932,1,MATCH(Parametres!$B$3,G$1:R$1,0)-1)*IF(OR(F932="L",F932="S",F932="I"),-1,1),"")</f>
        <v>0</v>
      </c>
      <c r="AM932" s="794">
        <f t="shared" si="4"/>
        <v>0</v>
      </c>
      <c r="AN932" s="794">
        <f t="array" ref="AN932">INDEX(G932:R932,1,MATCH(Parametres!$B$3,G$1:R$1,0))*IF(OR(F932="L",F932="S",F932="I"),-1,1)</f>
        <v>0</v>
      </c>
      <c r="AO932" s="853" t="str">
        <f>+VLOOKUP($AJ932,Data_Validation!$A:$D,1,0)</f>
        <v>G64700</v>
      </c>
      <c r="AP932" s="853" t="str">
        <f>+VLOOKUP($AJ932,Data_Validation!$A:$D,3,0)</f>
        <v/>
      </c>
      <c r="AQ932" s="853" t="str">
        <f>+VLOOKUP($AJ932,Data_Validation!$A:$D,4,0)</f>
        <v/>
      </c>
      <c r="AR932" s="853" t="s">
        <v>728</v>
      </c>
      <c r="AS932" s="853" t="str">
        <f>+VLOOKUP($AJ932,Data_Validation!$A:$E,5,0)</f>
        <v/>
      </c>
      <c r="AT932" s="794" t="str">
        <f t="shared" ref="AT932:AU932" si="1862">C932</f>
        <v>G64700</v>
      </c>
      <c r="AU932" s="854" t="str">
        <f t="shared" si="1862"/>
        <v>REMISE NEUF VOIT.DET.OPT</v>
      </c>
      <c r="AV932" s="794">
        <f t="array" ref="AV932">IFERROR(INDEX(V932:AG932,1,MATCH(Parametres!$B$3,V$1:AG$1,0)-1)*IF(OR(C932="L",C932="S",C932="I"),-1,1),"")</f>
        <v>0</v>
      </c>
      <c r="AW932" s="794">
        <f t="shared" si="6"/>
        <v>0</v>
      </c>
      <c r="AX932" s="794">
        <f t="array" ref="AX932">INDEX(V932:AG932,1,MATCH(Parametres!$B$3,V$1:AG$1,0))*IF(OR(C932="L",C932="S",C932="I"),-1,1)</f>
        <v>0</v>
      </c>
      <c r="AY932" s="853" t="s">
        <v>772</v>
      </c>
      <c r="AZ932" s="853" t="str">
        <f>+VLOOKUP($AJ932,Data_Validation!$A:$E,5,0)</f>
        <v/>
      </c>
    </row>
    <row r="933" ht="15.0" customHeight="1">
      <c r="A933" s="849" t="s">
        <v>1239</v>
      </c>
      <c r="B933" s="849">
        <v>2026.0</v>
      </c>
      <c r="C933" s="849" t="s">
        <v>3066</v>
      </c>
      <c r="D933" s="849" t="s">
        <v>3067</v>
      </c>
      <c r="E933" s="849" t="s">
        <v>768</v>
      </c>
      <c r="F933" s="849" t="s">
        <v>2855</v>
      </c>
      <c r="G933" s="849">
        <v>0.0</v>
      </c>
      <c r="H933" s="849">
        <v>0.0</v>
      </c>
      <c r="I933" s="849">
        <v>0.0</v>
      </c>
      <c r="J933" s="849">
        <v>0.0</v>
      </c>
      <c r="K933" s="849">
        <v>0.0</v>
      </c>
      <c r="L933" s="849">
        <v>0.0</v>
      </c>
      <c r="M933" s="849">
        <v>0.0</v>
      </c>
      <c r="N933" s="849">
        <v>0.0</v>
      </c>
      <c r="O933" s="849">
        <v>0.0</v>
      </c>
      <c r="P933" s="849">
        <v>0.0</v>
      </c>
      <c r="Q933" s="849">
        <v>0.0</v>
      </c>
      <c r="R933" s="849">
        <v>0.0</v>
      </c>
      <c r="S933" s="849">
        <v>0.0</v>
      </c>
      <c r="T933" s="849">
        <v>0.0</v>
      </c>
      <c r="U933" s="849">
        <v>0.0</v>
      </c>
      <c r="V933" s="849">
        <v>0.0</v>
      </c>
      <c r="W933" s="849">
        <v>0.0</v>
      </c>
      <c r="X933" s="849">
        <v>0.0</v>
      </c>
      <c r="Y933" s="849">
        <v>0.0</v>
      </c>
      <c r="Z933" s="849">
        <v>0.0</v>
      </c>
      <c r="AA933" s="849">
        <v>0.0</v>
      </c>
      <c r="AB933" s="849">
        <v>0.0</v>
      </c>
      <c r="AC933" s="849">
        <v>0.0</v>
      </c>
      <c r="AD933" s="849">
        <v>0.0</v>
      </c>
      <c r="AE933" s="849">
        <v>0.0</v>
      </c>
      <c r="AF933" s="849">
        <v>0.0</v>
      </c>
      <c r="AG933" s="849">
        <v>0.0</v>
      </c>
      <c r="AH933" s="849">
        <v>0.0</v>
      </c>
      <c r="AI933" s="849">
        <v>0.0</v>
      </c>
      <c r="AJ933" s="794" t="str">
        <f t="shared" ref="AJ933:AK933" si="1863">C933</f>
        <v>G64701</v>
      </c>
      <c r="AK933" s="794" t="str">
        <f t="shared" si="1863"/>
        <v>REMISE NEUF VOIT.DET.AUTR</v>
      </c>
      <c r="AL933" s="794">
        <f t="array" ref="AL933">IFERROR(INDEX(G933:R933,1,MATCH(Parametres!$B$3,G$1:R$1,0)-1)*IF(OR(F933="L",F933="S",F933="I"),-1,1),"")</f>
        <v>0</v>
      </c>
      <c r="AM933" s="794">
        <f t="shared" si="4"/>
        <v>0</v>
      </c>
      <c r="AN933" s="794">
        <f t="array" ref="AN933">INDEX(G933:R933,1,MATCH(Parametres!$B$3,G$1:R$1,0))*IF(OR(F933="L",F933="S",F933="I"),-1,1)</f>
        <v>0</v>
      </c>
      <c r="AO933" s="853" t="str">
        <f>+VLOOKUP($AJ933,Data_Validation!$A:$D,1,0)</f>
        <v>G64701</v>
      </c>
      <c r="AP933" s="853" t="str">
        <f>+VLOOKUP($AJ933,Data_Validation!$A:$D,3,0)</f>
        <v/>
      </c>
      <c r="AQ933" s="853" t="str">
        <f>+VLOOKUP($AJ933,Data_Validation!$A:$D,4,0)</f>
        <v/>
      </c>
      <c r="AR933" s="853" t="s">
        <v>728</v>
      </c>
      <c r="AS933" s="853" t="str">
        <f>+VLOOKUP($AJ933,Data_Validation!$A:$E,5,0)</f>
        <v/>
      </c>
      <c r="AT933" s="794" t="str">
        <f t="shared" ref="AT933:AU933" si="1864">C933</f>
        <v>G64701</v>
      </c>
      <c r="AU933" s="854" t="str">
        <f t="shared" si="1864"/>
        <v>REMISE NEUF VOIT.DET.AUTR</v>
      </c>
      <c r="AV933" s="794">
        <f t="array" ref="AV933">IFERROR(INDEX(V933:AG933,1,MATCH(Parametres!$B$3,V$1:AG$1,0)-1)*IF(OR(C933="L",C933="S",C933="I"),-1,1),"")</f>
        <v>0</v>
      </c>
      <c r="AW933" s="794">
        <f t="shared" si="6"/>
        <v>0</v>
      </c>
      <c r="AX933" s="794">
        <f t="array" ref="AX933">INDEX(V933:AG933,1,MATCH(Parametres!$B$3,V$1:AG$1,0))*IF(OR(C933="L",C933="S",C933="I"),-1,1)</f>
        <v>0</v>
      </c>
      <c r="AY933" s="853" t="s">
        <v>772</v>
      </c>
      <c r="AZ933" s="853" t="str">
        <f>+VLOOKUP($AJ933,Data_Validation!$A:$E,5,0)</f>
        <v/>
      </c>
    </row>
    <row r="934" ht="15.0" customHeight="1">
      <c r="A934" s="849" t="s">
        <v>1239</v>
      </c>
      <c r="B934" s="849">
        <v>2026.0</v>
      </c>
      <c r="C934" s="849" t="s">
        <v>3068</v>
      </c>
      <c r="D934" s="849" t="s">
        <v>3069</v>
      </c>
      <c r="E934" s="849" t="s">
        <v>768</v>
      </c>
      <c r="F934" s="849" t="s">
        <v>2855</v>
      </c>
      <c r="G934" s="849">
        <v>0.0</v>
      </c>
      <c r="H934" s="849">
        <v>0.0</v>
      </c>
      <c r="I934" s="849">
        <v>0.0</v>
      </c>
      <c r="J934" s="849">
        <v>0.0</v>
      </c>
      <c r="K934" s="849">
        <v>0.0</v>
      </c>
      <c r="L934" s="849">
        <v>0.0</v>
      </c>
      <c r="M934" s="849">
        <v>0.0</v>
      </c>
      <c r="N934" s="849">
        <v>0.0</v>
      </c>
      <c r="O934" s="849">
        <v>0.0</v>
      </c>
      <c r="P934" s="849">
        <v>0.0</v>
      </c>
      <c r="Q934" s="849">
        <v>0.0</v>
      </c>
      <c r="R934" s="849">
        <v>0.0</v>
      </c>
      <c r="S934" s="849">
        <v>0.0</v>
      </c>
      <c r="T934" s="849">
        <v>0.0</v>
      </c>
      <c r="U934" s="849">
        <v>0.0</v>
      </c>
      <c r="V934" s="849">
        <v>0.0</v>
      </c>
      <c r="W934" s="849">
        <v>0.0</v>
      </c>
      <c r="X934" s="849">
        <v>0.0</v>
      </c>
      <c r="Y934" s="849">
        <v>0.0</v>
      </c>
      <c r="Z934" s="849">
        <v>0.0</v>
      </c>
      <c r="AA934" s="849">
        <v>0.0</v>
      </c>
      <c r="AB934" s="849">
        <v>0.0</v>
      </c>
      <c r="AC934" s="849">
        <v>0.0</v>
      </c>
      <c r="AD934" s="849">
        <v>0.0</v>
      </c>
      <c r="AE934" s="849">
        <v>0.0</v>
      </c>
      <c r="AF934" s="849">
        <v>0.0</v>
      </c>
      <c r="AG934" s="849">
        <v>0.0</v>
      </c>
      <c r="AH934" s="849">
        <v>0.0</v>
      </c>
      <c r="AI934" s="849">
        <v>0.0</v>
      </c>
      <c r="AJ934" s="794" t="str">
        <f t="shared" ref="AJ934:AK934" si="1865">C934</f>
        <v>G64720</v>
      </c>
      <c r="AK934" s="794" t="str">
        <f t="shared" si="1865"/>
        <v>REM.NEUF LOC.AUTO DET.OPT</v>
      </c>
      <c r="AL934" s="794">
        <f t="array" ref="AL934">IFERROR(INDEX(G934:R934,1,MATCH(Parametres!$B$3,G$1:R$1,0)-1)*IF(OR(F934="L",F934="S",F934="I"),-1,1),"")</f>
        <v>0</v>
      </c>
      <c r="AM934" s="794">
        <f t="shared" si="4"/>
        <v>0</v>
      </c>
      <c r="AN934" s="794">
        <f t="array" ref="AN934">INDEX(G934:R934,1,MATCH(Parametres!$B$3,G$1:R$1,0))*IF(OR(F934="L",F934="S",F934="I"),-1,1)</f>
        <v>0</v>
      </c>
      <c r="AO934" s="853" t="str">
        <f>+VLOOKUP($AJ934,Data_Validation!$A:$D,1,0)</f>
        <v>G64720</v>
      </c>
      <c r="AP934" s="853" t="str">
        <f>+VLOOKUP($AJ934,Data_Validation!$A:$D,3,0)</f>
        <v/>
      </c>
      <c r="AQ934" s="853" t="str">
        <f>+VLOOKUP($AJ934,Data_Validation!$A:$D,4,0)</f>
        <v/>
      </c>
      <c r="AR934" s="853" t="s">
        <v>728</v>
      </c>
      <c r="AS934" s="853" t="str">
        <f>+VLOOKUP($AJ934,Data_Validation!$A:$E,5,0)</f>
        <v/>
      </c>
      <c r="AT934" s="794" t="str">
        <f t="shared" ref="AT934:AU934" si="1866">C934</f>
        <v>G64720</v>
      </c>
      <c r="AU934" s="854" t="str">
        <f t="shared" si="1866"/>
        <v>REM.NEUF LOC.AUTO DET.OPT</v>
      </c>
      <c r="AV934" s="794">
        <f t="array" ref="AV934">IFERROR(INDEX(V934:AG934,1,MATCH(Parametres!$B$3,V$1:AG$1,0)-1)*IF(OR(C934="L",C934="S",C934="I"),-1,1),"")</f>
        <v>0</v>
      </c>
      <c r="AW934" s="794">
        <f t="shared" si="6"/>
        <v>0</v>
      </c>
      <c r="AX934" s="794">
        <f t="array" ref="AX934">INDEX(V934:AG934,1,MATCH(Parametres!$B$3,V$1:AG$1,0))*IF(OR(C934="L",C934="S",C934="I"),-1,1)</f>
        <v>0</v>
      </c>
      <c r="AY934" s="853" t="s">
        <v>772</v>
      </c>
      <c r="AZ934" s="853" t="str">
        <f>+VLOOKUP($AJ934,Data_Validation!$A:$E,5,0)</f>
        <v/>
      </c>
    </row>
    <row r="935" ht="15.0" customHeight="1">
      <c r="A935" s="849" t="s">
        <v>1239</v>
      </c>
      <c r="B935" s="849">
        <v>2026.0</v>
      </c>
      <c r="C935" s="849" t="s">
        <v>3070</v>
      </c>
      <c r="D935" s="849" t="s">
        <v>3071</v>
      </c>
      <c r="E935" s="849" t="s">
        <v>2072</v>
      </c>
      <c r="F935" s="849" t="s">
        <v>2855</v>
      </c>
      <c r="G935" s="849">
        <v>8607.98</v>
      </c>
      <c r="H935" s="849">
        <v>117294.94</v>
      </c>
      <c r="I935" s="849">
        <v>305950.17</v>
      </c>
      <c r="J935" s="849">
        <v>398583.17</v>
      </c>
      <c r="K935" s="849">
        <v>349464.12</v>
      </c>
      <c r="L935" s="849">
        <v>442024.39</v>
      </c>
      <c r="M935" s="849">
        <v>479154.39</v>
      </c>
      <c r="N935" s="849">
        <v>575496.04</v>
      </c>
      <c r="O935" s="849">
        <v>740071.04</v>
      </c>
      <c r="P935" s="849">
        <v>740071.04</v>
      </c>
      <c r="Q935" s="849">
        <v>0.0</v>
      </c>
      <c r="R935" s="849">
        <v>0.0</v>
      </c>
      <c r="S935" s="849">
        <v>82230.12</v>
      </c>
      <c r="T935" s="849">
        <v>82230.12</v>
      </c>
      <c r="U935" s="849">
        <v>0.0</v>
      </c>
      <c r="V935" s="849">
        <v>0.0</v>
      </c>
      <c r="W935" s="849">
        <v>0.0</v>
      </c>
      <c r="X935" s="849">
        <v>0.0</v>
      </c>
      <c r="Y935" s="849">
        <v>0.0</v>
      </c>
      <c r="Z935" s="849">
        <v>0.0</v>
      </c>
      <c r="AA935" s="849">
        <v>0.0</v>
      </c>
      <c r="AB935" s="849">
        <v>0.0</v>
      </c>
      <c r="AC935" s="849">
        <v>0.0</v>
      </c>
      <c r="AD935" s="849">
        <v>0.0</v>
      </c>
      <c r="AE935" s="849">
        <v>0.0</v>
      </c>
      <c r="AF935" s="849">
        <v>0.0</v>
      </c>
      <c r="AG935" s="849">
        <v>0.0</v>
      </c>
      <c r="AH935" s="849">
        <v>0.0</v>
      </c>
      <c r="AI935" s="849">
        <v>0.0</v>
      </c>
      <c r="AJ935" s="794" t="str">
        <f t="shared" ref="AJ935:AK935" si="1867">C935</f>
        <v>G64800</v>
      </c>
      <c r="AK935" s="794" t="str">
        <f t="shared" si="1867"/>
        <v>COUT-AUTOS USAGES EN GROS</v>
      </c>
      <c r="AL935" s="794">
        <f t="array" ref="AL935">IFERROR(INDEX(G935:R935,1,MATCH(Parametres!$B$3,G$1:R$1,0)-1)*IF(OR(F935="L",F935="S",F935="I"),-1,1),"")</f>
        <v>575496.04</v>
      </c>
      <c r="AM935" s="794">
        <f t="shared" si="4"/>
        <v>164575</v>
      </c>
      <c r="AN935" s="794">
        <f t="array" ref="AN935">INDEX(G935:R935,1,MATCH(Parametres!$B$3,G$1:R$1,0))*IF(OR(F935="L",F935="S",F935="I"),-1,1)</f>
        <v>740071.04</v>
      </c>
      <c r="AO935" s="853" t="str">
        <f>+VLOOKUP($AJ935,Data_Validation!$A:$D,1,0)</f>
        <v>G64800</v>
      </c>
      <c r="AP935" s="853" t="str">
        <f>+VLOOKUP($AJ935,Data_Validation!$A:$D,3,0)</f>
        <v>Véhicules usagés</v>
      </c>
      <c r="AQ935" s="853" t="str">
        <f>+VLOOKUP($AJ935,Data_Validation!$A:$D,4,0)</f>
        <v>Ventes au Gros</v>
      </c>
      <c r="AR935" s="853" t="s">
        <v>728</v>
      </c>
      <c r="AS935" s="853" t="str">
        <f>+VLOOKUP($AJ935,Data_Validation!$A:$E,5,0)</f>
        <v/>
      </c>
      <c r="AT935" s="794" t="str">
        <f t="shared" ref="AT935:AU935" si="1868">C935</f>
        <v>G64800</v>
      </c>
      <c r="AU935" s="854" t="str">
        <f t="shared" si="1868"/>
        <v>COUT-AUTOS USAGES EN GROS</v>
      </c>
      <c r="AV935" s="794">
        <f t="array" ref="AV935">IFERROR(INDEX(V935:AG935,1,MATCH(Parametres!$B$3,V$1:AG$1,0)-1)*IF(OR(C935="L",C935="S",C935="I"),-1,1),"")</f>
        <v>0</v>
      </c>
      <c r="AW935" s="794">
        <f t="shared" si="6"/>
        <v>0</v>
      </c>
      <c r="AX935" s="794">
        <f t="array" ref="AX935">INDEX(V935:AG935,1,MATCH(Parametres!$B$3,V$1:AG$1,0))*IF(OR(C935="L",C935="S",C935="I"),-1,1)</f>
        <v>0</v>
      </c>
      <c r="AY935" s="853" t="s">
        <v>772</v>
      </c>
      <c r="AZ935" s="853" t="str">
        <f>+VLOOKUP($AJ935,Data_Validation!$A:$E,5,0)</f>
        <v/>
      </c>
    </row>
    <row r="936" ht="15.0" customHeight="1">
      <c r="A936" s="849" t="s">
        <v>1239</v>
      </c>
      <c r="B936" s="849">
        <v>2026.0</v>
      </c>
      <c r="C936" s="849" t="s">
        <v>3072</v>
      </c>
      <c r="D936" s="849" t="s">
        <v>3073</v>
      </c>
      <c r="E936" s="849" t="s">
        <v>768</v>
      </c>
      <c r="F936" s="849" t="s">
        <v>2855</v>
      </c>
      <c r="G936" s="849">
        <v>0.0</v>
      </c>
      <c r="H936" s="849">
        <v>0.0</v>
      </c>
      <c r="I936" s="849">
        <v>0.0</v>
      </c>
      <c r="J936" s="849">
        <v>0.0</v>
      </c>
      <c r="K936" s="849">
        <v>0.0</v>
      </c>
      <c r="L936" s="849">
        <v>0.0</v>
      </c>
      <c r="M936" s="849">
        <v>0.0</v>
      </c>
      <c r="N936" s="849">
        <v>0.0</v>
      </c>
      <c r="O936" s="849">
        <v>0.0</v>
      </c>
      <c r="P936" s="849">
        <v>0.0</v>
      </c>
      <c r="Q936" s="849">
        <v>0.0</v>
      </c>
      <c r="R936" s="849">
        <v>0.0</v>
      </c>
      <c r="S936" s="849">
        <v>0.0</v>
      </c>
      <c r="T936" s="849">
        <v>0.0</v>
      </c>
      <c r="U936" s="849">
        <v>0.0</v>
      </c>
      <c r="V936" s="849">
        <v>0.0</v>
      </c>
      <c r="W936" s="849">
        <v>0.0</v>
      </c>
      <c r="X936" s="849">
        <v>0.0</v>
      </c>
      <c r="Y936" s="849">
        <v>0.0</v>
      </c>
      <c r="Z936" s="849">
        <v>0.0</v>
      </c>
      <c r="AA936" s="849">
        <v>0.0</v>
      </c>
      <c r="AB936" s="849">
        <v>0.0</v>
      </c>
      <c r="AC936" s="849">
        <v>0.0</v>
      </c>
      <c r="AD936" s="849">
        <v>0.0</v>
      </c>
      <c r="AE936" s="849">
        <v>0.0</v>
      </c>
      <c r="AF936" s="849">
        <v>0.0</v>
      </c>
      <c r="AG936" s="849">
        <v>0.0</v>
      </c>
      <c r="AH936" s="849">
        <v>0.0</v>
      </c>
      <c r="AI936" s="849">
        <v>0.0</v>
      </c>
      <c r="AJ936" s="794" t="str">
        <f t="shared" ref="AJ936:AK936" si="1869">C936</f>
        <v>G64900</v>
      </c>
      <c r="AK936" s="794" t="str">
        <f t="shared" si="1869"/>
        <v>RECTIFICATION STOCK AUTO</v>
      </c>
      <c r="AL936" s="794">
        <f t="array" ref="AL936">IFERROR(INDEX(G936:R936,1,MATCH(Parametres!$B$3,G$1:R$1,0)-1)*IF(OR(F936="L",F936="S",F936="I"),-1,1),"")</f>
        <v>0</v>
      </c>
      <c r="AM936" s="794">
        <f t="shared" si="4"/>
        <v>0</v>
      </c>
      <c r="AN936" s="794">
        <f t="array" ref="AN936">INDEX(G936:R936,1,MATCH(Parametres!$B$3,G$1:R$1,0))*IF(OR(F936="L",F936="S",F936="I"),-1,1)</f>
        <v>0</v>
      </c>
      <c r="AO936" s="853" t="str">
        <f>+VLOOKUP($AJ936,Data_Validation!$A:$D,1,0)</f>
        <v>G64900</v>
      </c>
      <c r="AP936" s="853" t="str">
        <f>+VLOOKUP($AJ936,Data_Validation!$A:$D,3,0)</f>
        <v/>
      </c>
      <c r="AQ936" s="853" t="str">
        <f>+VLOOKUP($AJ936,Data_Validation!$A:$D,4,0)</f>
        <v/>
      </c>
      <c r="AR936" s="853" t="s">
        <v>728</v>
      </c>
      <c r="AS936" s="853" t="str">
        <f>+VLOOKUP($AJ936,Data_Validation!$A:$E,5,0)</f>
        <v/>
      </c>
      <c r="AT936" s="794" t="str">
        <f t="shared" ref="AT936:AU936" si="1870">C936</f>
        <v>G64900</v>
      </c>
      <c r="AU936" s="854" t="str">
        <f t="shared" si="1870"/>
        <v>RECTIFICATION STOCK AUTO</v>
      </c>
      <c r="AV936" s="794">
        <f t="array" ref="AV936">IFERROR(INDEX(V936:AG936,1,MATCH(Parametres!$B$3,V$1:AG$1,0)-1)*IF(OR(C936="L",C936="S",C936="I"),-1,1),"")</f>
        <v>0</v>
      </c>
      <c r="AW936" s="794">
        <f t="shared" si="6"/>
        <v>0</v>
      </c>
      <c r="AX936" s="794">
        <f t="array" ref="AX936">INDEX(V936:AG936,1,MATCH(Parametres!$B$3,V$1:AG$1,0))*IF(OR(C936="L",C936="S",C936="I"),-1,1)</f>
        <v>0</v>
      </c>
      <c r="AY936" s="853" t="s">
        <v>772</v>
      </c>
      <c r="AZ936" s="853" t="str">
        <f>+VLOOKUP($AJ936,Data_Validation!$A:$E,5,0)</f>
        <v/>
      </c>
    </row>
    <row r="937" ht="15.0" customHeight="1">
      <c r="A937" s="849" t="s">
        <v>1239</v>
      </c>
      <c r="B937" s="849">
        <v>2026.0</v>
      </c>
      <c r="C937" s="849" t="s">
        <v>3074</v>
      </c>
      <c r="D937" s="849" t="s">
        <v>3075</v>
      </c>
      <c r="E937" s="849" t="s">
        <v>2072</v>
      </c>
      <c r="F937" s="849" t="s">
        <v>2855</v>
      </c>
      <c r="G937" s="849">
        <v>41059.6</v>
      </c>
      <c r="H937" s="849">
        <v>349469.58</v>
      </c>
      <c r="I937" s="849">
        <v>1233604.7</v>
      </c>
      <c r="J937" s="849">
        <v>2065159.12</v>
      </c>
      <c r="K937" s="849">
        <v>0.0</v>
      </c>
      <c r="L937" s="849">
        <v>0.0</v>
      </c>
      <c r="M937" s="849">
        <v>0.0</v>
      </c>
      <c r="N937" s="849">
        <v>0.0</v>
      </c>
      <c r="O937" s="849">
        <v>0.0</v>
      </c>
      <c r="P937" s="849">
        <v>0.0</v>
      </c>
      <c r="Q937" s="849">
        <v>0.0</v>
      </c>
      <c r="R937" s="849">
        <v>0.0</v>
      </c>
      <c r="S937" s="849">
        <v>0.0</v>
      </c>
      <c r="T937" s="849">
        <v>0.0</v>
      </c>
      <c r="U937" s="849">
        <v>0.0</v>
      </c>
      <c r="V937" s="849">
        <v>0.0</v>
      </c>
      <c r="W937" s="849">
        <v>0.0</v>
      </c>
      <c r="X937" s="849">
        <v>0.0</v>
      </c>
      <c r="Y937" s="849">
        <v>0.0</v>
      </c>
      <c r="Z937" s="849">
        <v>0.0</v>
      </c>
      <c r="AA937" s="849">
        <v>0.0</v>
      </c>
      <c r="AB937" s="849">
        <v>0.0</v>
      </c>
      <c r="AC937" s="849">
        <v>0.0</v>
      </c>
      <c r="AD937" s="849">
        <v>0.0</v>
      </c>
      <c r="AE937" s="849">
        <v>0.0</v>
      </c>
      <c r="AF937" s="849">
        <v>0.0</v>
      </c>
      <c r="AG937" s="849">
        <v>0.0</v>
      </c>
      <c r="AH937" s="849">
        <v>0.0</v>
      </c>
      <c r="AI937" s="849">
        <v>0.0</v>
      </c>
      <c r="AJ937" s="794" t="str">
        <f t="shared" ref="AJ937:AK937" si="1871">C937</f>
        <v>G65000</v>
      </c>
      <c r="AK937" s="794" t="str">
        <f t="shared" si="1871"/>
        <v>COUT-OCC.CAMION DET CERTI</v>
      </c>
      <c r="AL937" s="794">
        <f t="array" ref="AL937">IFERROR(INDEX(G937:R937,1,MATCH(Parametres!$B$3,G$1:R$1,0)-1)*IF(OR(F937="L",F937="S",F937="I"),-1,1),"")</f>
        <v>0</v>
      </c>
      <c r="AM937" s="794">
        <f t="shared" si="4"/>
        <v>0</v>
      </c>
      <c r="AN937" s="794">
        <f t="array" ref="AN937">INDEX(G937:R937,1,MATCH(Parametres!$B$3,G$1:R$1,0))*IF(OR(F937="L",F937="S",F937="I"),-1,1)</f>
        <v>0</v>
      </c>
      <c r="AO937" s="853" t="str">
        <f>+VLOOKUP($AJ937,Data_Validation!$A:$D,1,0)</f>
        <v>G65000</v>
      </c>
      <c r="AP937" s="853" t="str">
        <f>+VLOOKUP($AJ937,Data_Validation!$A:$D,3,0)</f>
        <v>Véhicules usagés</v>
      </c>
      <c r="AQ937" s="853" t="str">
        <f>+VLOOKUP($AJ937,Data_Validation!$A:$D,4,0)</f>
        <v>Ventes au Gros</v>
      </c>
      <c r="AR937" s="853" t="s">
        <v>728</v>
      </c>
      <c r="AS937" s="853" t="str">
        <f>+VLOOKUP($AJ937,Data_Validation!$A:$E,5,0)</f>
        <v>Oui</v>
      </c>
      <c r="AT937" s="794" t="str">
        <f t="shared" ref="AT937:AU937" si="1872">C937</f>
        <v>G65000</v>
      </c>
      <c r="AU937" s="854" t="str">
        <f t="shared" si="1872"/>
        <v>COUT-OCC.CAMION DET CERTI</v>
      </c>
      <c r="AV937" s="794">
        <f t="array" ref="AV937">IFERROR(INDEX(V937:AG937,1,MATCH(Parametres!$B$3,V$1:AG$1,0)-1)*IF(OR(C937="L",C937="S",C937="I"),-1,1),"")</f>
        <v>0</v>
      </c>
      <c r="AW937" s="794">
        <f t="shared" si="6"/>
        <v>0</v>
      </c>
      <c r="AX937" s="794">
        <f t="array" ref="AX937">INDEX(V937:AG937,1,MATCH(Parametres!$B$3,V$1:AG$1,0))*IF(OR(C937="L",C937="S",C937="I"),-1,1)</f>
        <v>0</v>
      </c>
      <c r="AY937" s="853" t="s">
        <v>772</v>
      </c>
      <c r="AZ937" s="853" t="str">
        <f>+VLOOKUP($AJ937,Data_Validation!$A:$E,5,0)</f>
        <v>Oui</v>
      </c>
    </row>
    <row r="938" ht="15.0" customHeight="1">
      <c r="A938" s="849" t="s">
        <v>1239</v>
      </c>
      <c r="B938" s="849">
        <v>2026.0</v>
      </c>
      <c r="C938" s="849" t="s">
        <v>3076</v>
      </c>
      <c r="D938" s="849" t="s">
        <v>3077</v>
      </c>
      <c r="E938" s="849" t="s">
        <v>2072</v>
      </c>
      <c r="F938" s="849" t="s">
        <v>2855</v>
      </c>
      <c r="G938" s="849">
        <v>437492.78</v>
      </c>
      <c r="H938" s="849">
        <v>686180.56</v>
      </c>
      <c r="I938" s="849">
        <v>1224288.25</v>
      </c>
      <c r="J938" s="849">
        <v>2082692.23</v>
      </c>
      <c r="K938" s="849">
        <v>2979869.09</v>
      </c>
      <c r="L938" s="849">
        <v>3600566.98</v>
      </c>
      <c r="M938" s="849">
        <v>4301841.68</v>
      </c>
      <c r="N938" s="849">
        <v>5077999.76</v>
      </c>
      <c r="O938" s="849">
        <v>5577159.77</v>
      </c>
      <c r="P938" s="849">
        <v>5669030.08</v>
      </c>
      <c r="Q938" s="849">
        <v>0.0</v>
      </c>
      <c r="R938" s="849">
        <v>0.0</v>
      </c>
      <c r="S938" s="849">
        <v>619684.42</v>
      </c>
      <c r="T938" s="849">
        <v>619684.42</v>
      </c>
      <c r="U938" s="849">
        <v>0.0</v>
      </c>
      <c r="V938" s="849">
        <v>0.0</v>
      </c>
      <c r="W938" s="849">
        <v>0.0</v>
      </c>
      <c r="X938" s="849">
        <v>0.0</v>
      </c>
      <c r="Y938" s="849">
        <v>0.0</v>
      </c>
      <c r="Z938" s="849">
        <v>0.0</v>
      </c>
      <c r="AA938" s="849">
        <v>0.0</v>
      </c>
      <c r="AB938" s="849">
        <v>0.0</v>
      </c>
      <c r="AC938" s="849">
        <v>0.0</v>
      </c>
      <c r="AD938" s="849">
        <v>0.0</v>
      </c>
      <c r="AE938" s="849">
        <v>0.0</v>
      </c>
      <c r="AF938" s="849">
        <v>0.0</v>
      </c>
      <c r="AG938" s="849">
        <v>0.0</v>
      </c>
      <c r="AH938" s="849">
        <v>0.0</v>
      </c>
      <c r="AI938" s="849">
        <v>0.0</v>
      </c>
      <c r="AJ938" s="794" t="str">
        <f t="shared" ref="AJ938:AK938" si="1873">C938</f>
        <v>G65001</v>
      </c>
      <c r="AK938" s="794" t="str">
        <f t="shared" si="1873"/>
        <v>COUT-CAMION OCC.GM N-CERT</v>
      </c>
      <c r="AL938" s="794">
        <f t="array" ref="AL938">IFERROR(INDEX(G938:R938,1,MATCH(Parametres!$B$3,G$1:R$1,0)-1)*IF(OR(F938="L",F938="S",F938="I"),-1,1),"")</f>
        <v>5077999.76</v>
      </c>
      <c r="AM938" s="794">
        <f t="shared" si="4"/>
        <v>499160.01</v>
      </c>
      <c r="AN938" s="794">
        <f t="array" ref="AN938">INDEX(G938:R938,1,MATCH(Parametres!$B$3,G$1:R$1,0))*IF(OR(F938="L",F938="S",F938="I"),-1,1)</f>
        <v>5577159.77</v>
      </c>
      <c r="AO938" s="853" t="str">
        <f>+VLOOKUP($AJ938,Data_Validation!$A:$D,1,0)</f>
        <v>G65001</v>
      </c>
      <c r="AP938" s="853" t="str">
        <f>+VLOOKUP($AJ938,Data_Validation!$A:$D,3,0)</f>
        <v>Véhicules usagés</v>
      </c>
      <c r="AQ938" s="853" t="str">
        <f>+VLOOKUP($AJ938,Data_Validation!$A:$D,4,0)</f>
        <v>Non Certifié</v>
      </c>
      <c r="AR938" s="853" t="s">
        <v>728</v>
      </c>
      <c r="AS938" s="853" t="str">
        <f>+VLOOKUP($AJ938,Data_Validation!$A:$E,5,0)</f>
        <v/>
      </c>
      <c r="AT938" s="794" t="str">
        <f t="shared" ref="AT938:AU938" si="1874">C938</f>
        <v>G65001</v>
      </c>
      <c r="AU938" s="854" t="str">
        <f t="shared" si="1874"/>
        <v>COUT-CAMION OCC.GM N-CERT</v>
      </c>
      <c r="AV938" s="794">
        <f t="array" ref="AV938">IFERROR(INDEX(V938:AG938,1,MATCH(Parametres!$B$3,V$1:AG$1,0)-1)*IF(OR(C938="L",C938="S",C938="I"),-1,1),"")</f>
        <v>0</v>
      </c>
      <c r="AW938" s="794">
        <f t="shared" si="6"/>
        <v>0</v>
      </c>
      <c r="AX938" s="794">
        <f t="array" ref="AX938">INDEX(V938:AG938,1,MATCH(Parametres!$B$3,V$1:AG$1,0))*IF(OR(C938="L",C938="S",C938="I"),-1,1)</f>
        <v>0</v>
      </c>
      <c r="AY938" s="853" t="s">
        <v>772</v>
      </c>
      <c r="AZ938" s="853" t="str">
        <f>+VLOOKUP($AJ938,Data_Validation!$A:$E,5,0)</f>
        <v/>
      </c>
    </row>
    <row r="939" ht="15.0" customHeight="1">
      <c r="A939" s="849" t="s">
        <v>1239</v>
      </c>
      <c r="B939" s="849">
        <v>2026.0</v>
      </c>
      <c r="C939" s="849" t="s">
        <v>3078</v>
      </c>
      <c r="D939" s="849" t="s">
        <v>3079</v>
      </c>
      <c r="E939" s="849" t="s">
        <v>2072</v>
      </c>
      <c r="F939" s="849" t="s">
        <v>2855</v>
      </c>
      <c r="G939" s="849">
        <v>0.0</v>
      </c>
      <c r="H939" s="849">
        <v>0.0</v>
      </c>
      <c r="I939" s="849">
        <v>0.0</v>
      </c>
      <c r="J939" s="849">
        <v>0.0</v>
      </c>
      <c r="K939" s="849">
        <v>0.0</v>
      </c>
      <c r="L939" s="849">
        <v>0.0</v>
      </c>
      <c r="M939" s="849">
        <v>0.0</v>
      </c>
      <c r="N939" s="849">
        <v>0.0</v>
      </c>
      <c r="O939" s="849">
        <v>0.0</v>
      </c>
      <c r="P939" s="849">
        <v>0.0</v>
      </c>
      <c r="Q939" s="849">
        <v>0.0</v>
      </c>
      <c r="R939" s="849">
        <v>0.0</v>
      </c>
      <c r="S939" s="849">
        <v>0.0</v>
      </c>
      <c r="T939" s="849">
        <v>0.0</v>
      </c>
      <c r="U939" s="849">
        <v>0.0</v>
      </c>
      <c r="V939" s="849">
        <v>0.0</v>
      </c>
      <c r="W939" s="849">
        <v>0.0</v>
      </c>
      <c r="X939" s="849">
        <v>0.0</v>
      </c>
      <c r="Y939" s="849">
        <v>0.0</v>
      </c>
      <c r="Z939" s="849">
        <v>0.0</v>
      </c>
      <c r="AA939" s="849">
        <v>0.0</v>
      </c>
      <c r="AB939" s="849">
        <v>0.0</v>
      </c>
      <c r="AC939" s="849">
        <v>0.0</v>
      </c>
      <c r="AD939" s="849">
        <v>0.0</v>
      </c>
      <c r="AE939" s="849">
        <v>0.0</v>
      </c>
      <c r="AF939" s="849">
        <v>0.0</v>
      </c>
      <c r="AG939" s="849">
        <v>0.0</v>
      </c>
      <c r="AH939" s="849">
        <v>0.0</v>
      </c>
      <c r="AI939" s="849">
        <v>0.0</v>
      </c>
      <c r="AJ939" s="794" t="str">
        <f t="shared" ref="AJ939:AK939" si="1875">C939</f>
        <v>G65002</v>
      </c>
      <c r="AK939" s="794" t="str">
        <f t="shared" si="1875"/>
        <v>COUT- CAMION AUTRE MARQ</v>
      </c>
      <c r="AL939" s="794">
        <f t="array" ref="AL939">IFERROR(INDEX(G939:R939,1,MATCH(Parametres!$B$3,G$1:R$1,0)-1)*IF(OR(F939="L",F939="S",F939="I"),-1,1),"")</f>
        <v>0</v>
      </c>
      <c r="AM939" s="794">
        <f t="shared" si="4"/>
        <v>0</v>
      </c>
      <c r="AN939" s="794">
        <f t="array" ref="AN939">INDEX(G939:R939,1,MATCH(Parametres!$B$3,G$1:R$1,0))*IF(OR(F939="L",F939="S",F939="I"),-1,1)</f>
        <v>0</v>
      </c>
      <c r="AO939" s="853" t="str">
        <f>+VLOOKUP($AJ939,Data_Validation!$A:$D,1,0)</f>
        <v>G65002</v>
      </c>
      <c r="AP939" s="853" t="str">
        <f>+VLOOKUP($AJ939,Data_Validation!$A:$D,3,0)</f>
        <v>Véhicules usagés</v>
      </c>
      <c r="AQ939" s="853" t="str">
        <f>+VLOOKUP($AJ939,Data_Validation!$A:$D,4,0)</f>
        <v>Autres Marques</v>
      </c>
      <c r="AR939" s="853" t="s">
        <v>728</v>
      </c>
      <c r="AS939" s="853" t="str">
        <f>+VLOOKUP($AJ939,Data_Validation!$A:$E,5,0)</f>
        <v/>
      </c>
      <c r="AT939" s="794" t="str">
        <f t="shared" ref="AT939:AU939" si="1876">C939</f>
        <v>G65002</v>
      </c>
      <c r="AU939" s="854" t="str">
        <f t="shared" si="1876"/>
        <v>COUT- CAMION AUTRE MARQ</v>
      </c>
      <c r="AV939" s="794">
        <f t="array" ref="AV939">IFERROR(INDEX(V939:AG939,1,MATCH(Parametres!$B$3,V$1:AG$1,0)-1)*IF(OR(C939="L",C939="S",C939="I"),-1,1),"")</f>
        <v>0</v>
      </c>
      <c r="AW939" s="794">
        <f t="shared" si="6"/>
        <v>0</v>
      </c>
      <c r="AX939" s="794">
        <f t="array" ref="AX939">INDEX(V939:AG939,1,MATCH(Parametres!$B$3,V$1:AG$1,0))*IF(OR(C939="L",C939="S",C939="I"),-1,1)</f>
        <v>0</v>
      </c>
      <c r="AY939" s="853" t="s">
        <v>772</v>
      </c>
      <c r="AZ939" s="853" t="str">
        <f>+VLOOKUP($AJ939,Data_Validation!$A:$E,5,0)</f>
        <v/>
      </c>
    </row>
    <row r="940" ht="15.0" customHeight="1">
      <c r="A940" s="849" t="s">
        <v>1239</v>
      </c>
      <c r="B940" s="849">
        <v>2026.0</v>
      </c>
      <c r="C940" s="849" t="s">
        <v>3080</v>
      </c>
      <c r="D940" s="849" t="s">
        <v>3081</v>
      </c>
      <c r="E940" s="849" t="s">
        <v>2072</v>
      </c>
      <c r="F940" s="849" t="s">
        <v>2855</v>
      </c>
      <c r="G940" s="849">
        <v>0.0</v>
      </c>
      <c r="H940" s="849">
        <v>0.0</v>
      </c>
      <c r="I940" s="849">
        <v>0.0</v>
      </c>
      <c r="J940" s="849">
        <v>0.0</v>
      </c>
      <c r="K940" s="849">
        <v>0.0</v>
      </c>
      <c r="L940" s="849">
        <v>0.0</v>
      </c>
      <c r="M940" s="849">
        <v>163049.32</v>
      </c>
      <c r="N940" s="849">
        <v>336173.43</v>
      </c>
      <c r="O940" s="849">
        <v>336173.43</v>
      </c>
      <c r="P940" s="849">
        <v>336173.43</v>
      </c>
      <c r="Q940" s="849">
        <v>0.0</v>
      </c>
      <c r="R940" s="849">
        <v>0.0</v>
      </c>
      <c r="S940" s="849">
        <v>37352.6</v>
      </c>
      <c r="T940" s="849">
        <v>37352.6</v>
      </c>
      <c r="U940" s="849">
        <v>0.0</v>
      </c>
      <c r="V940" s="849">
        <v>0.0</v>
      </c>
      <c r="W940" s="849">
        <v>0.0</v>
      </c>
      <c r="X940" s="849">
        <v>0.0</v>
      </c>
      <c r="Y940" s="849">
        <v>0.0</v>
      </c>
      <c r="Z940" s="849">
        <v>0.0</v>
      </c>
      <c r="AA940" s="849">
        <v>0.0</v>
      </c>
      <c r="AB940" s="849">
        <v>0.0</v>
      </c>
      <c r="AC940" s="849">
        <v>0.0</v>
      </c>
      <c r="AD940" s="849">
        <v>0.0</v>
      </c>
      <c r="AE940" s="849">
        <v>0.0</v>
      </c>
      <c r="AF940" s="849">
        <v>0.0</v>
      </c>
      <c r="AG940" s="849">
        <v>0.0</v>
      </c>
      <c r="AH940" s="849">
        <v>0.0</v>
      </c>
      <c r="AI940" s="849">
        <v>0.0</v>
      </c>
      <c r="AJ940" s="794" t="str">
        <f t="shared" ref="AJ940:AK940" si="1877">C940</f>
        <v>G65003</v>
      </c>
      <c r="AK940" s="794" t="str">
        <f t="shared" si="1877"/>
        <v>COUT-RACHAT BAIL CAMION</v>
      </c>
      <c r="AL940" s="794">
        <f t="array" ref="AL940">IFERROR(INDEX(G940:R940,1,MATCH(Parametres!$B$3,G$1:R$1,0)-1)*IF(OR(F940="L",F940="S",F940="I"),-1,1),"")</f>
        <v>336173.43</v>
      </c>
      <c r="AM940" s="794">
        <f t="shared" si="4"/>
        <v>0</v>
      </c>
      <c r="AN940" s="794">
        <f t="array" ref="AN940">INDEX(G940:R940,1,MATCH(Parametres!$B$3,G$1:R$1,0))*IF(OR(F940="L",F940="S",F940="I"),-1,1)</f>
        <v>336173.43</v>
      </c>
      <c r="AO940" s="853" t="str">
        <f>+VLOOKUP($AJ940,Data_Validation!$A:$D,1,0)</f>
        <v>G65003</v>
      </c>
      <c r="AP940" s="853" t="str">
        <f>+VLOOKUP($AJ940,Data_Validation!$A:$D,3,0)</f>
        <v>Véhicules usagés</v>
      </c>
      <c r="AQ940" s="853" t="str">
        <f>+VLOOKUP($AJ940,Data_Validation!$A:$D,4,0)</f>
        <v>Rachat bail</v>
      </c>
      <c r="AR940" s="853" t="s">
        <v>728</v>
      </c>
      <c r="AS940" s="853" t="str">
        <f>+VLOOKUP($AJ940,Data_Validation!$A:$E,5,0)</f>
        <v/>
      </c>
      <c r="AT940" s="794" t="str">
        <f t="shared" ref="AT940:AU940" si="1878">C940</f>
        <v>G65003</v>
      </c>
      <c r="AU940" s="854" t="str">
        <f t="shared" si="1878"/>
        <v>COUT-RACHAT BAIL CAMION</v>
      </c>
      <c r="AV940" s="794">
        <f t="array" ref="AV940">IFERROR(INDEX(V940:AG940,1,MATCH(Parametres!$B$3,V$1:AG$1,0)-1)*IF(OR(C940="L",C940="S",C940="I"),-1,1),"")</f>
        <v>0</v>
      </c>
      <c r="AW940" s="794">
        <f t="shared" si="6"/>
        <v>0</v>
      </c>
      <c r="AX940" s="794">
        <f t="array" ref="AX940">INDEX(V940:AG940,1,MATCH(Parametres!$B$3,V$1:AG$1,0))*IF(OR(C940="L",C940="S",C940="I"),-1,1)</f>
        <v>0</v>
      </c>
      <c r="AY940" s="853" t="s">
        <v>772</v>
      </c>
      <c r="AZ940" s="853" t="str">
        <f>+VLOOKUP($AJ940,Data_Validation!$A:$E,5,0)</f>
        <v/>
      </c>
    </row>
    <row r="941" ht="15.0" customHeight="1">
      <c r="A941" s="849" t="s">
        <v>1239</v>
      </c>
      <c r="B941" s="849">
        <v>2026.0</v>
      </c>
      <c r="C941" s="849" t="s">
        <v>3082</v>
      </c>
      <c r="D941" s="849" t="s">
        <v>3083</v>
      </c>
      <c r="E941" s="849" t="s">
        <v>2072</v>
      </c>
      <c r="F941" s="849" t="s">
        <v>2855</v>
      </c>
      <c r="G941" s="849">
        <v>0.0</v>
      </c>
      <c r="H941" s="849">
        <v>0.0</v>
      </c>
      <c r="I941" s="849">
        <v>0.0</v>
      </c>
      <c r="J941" s="849">
        <v>0.0</v>
      </c>
      <c r="K941" s="849">
        <v>0.0</v>
      </c>
      <c r="L941" s="849">
        <v>0.0</v>
      </c>
      <c r="M941" s="849">
        <v>0.0</v>
      </c>
      <c r="N941" s="849">
        <v>0.0</v>
      </c>
      <c r="O941" s="849">
        <v>0.0</v>
      </c>
      <c r="P941" s="849">
        <v>0.0</v>
      </c>
      <c r="Q941" s="849">
        <v>0.0</v>
      </c>
      <c r="R941" s="849">
        <v>0.0</v>
      </c>
      <c r="S941" s="849">
        <v>0.0</v>
      </c>
      <c r="T941" s="849">
        <v>0.0</v>
      </c>
      <c r="U941" s="849">
        <v>0.0</v>
      </c>
      <c r="V941" s="849">
        <v>0.0</v>
      </c>
      <c r="W941" s="849">
        <v>0.0</v>
      </c>
      <c r="X941" s="849">
        <v>0.0</v>
      </c>
      <c r="Y941" s="849">
        <v>0.0</v>
      </c>
      <c r="Z941" s="849">
        <v>0.0</v>
      </c>
      <c r="AA941" s="849">
        <v>0.0</v>
      </c>
      <c r="AB941" s="849">
        <v>0.0</v>
      </c>
      <c r="AC941" s="849">
        <v>0.0</v>
      </c>
      <c r="AD941" s="849">
        <v>0.0</v>
      </c>
      <c r="AE941" s="849">
        <v>0.0</v>
      </c>
      <c r="AF941" s="849">
        <v>0.0</v>
      </c>
      <c r="AG941" s="849">
        <v>0.0</v>
      </c>
      <c r="AH941" s="849">
        <v>0.0</v>
      </c>
      <c r="AI941" s="849">
        <v>0.0</v>
      </c>
      <c r="AJ941" s="794" t="str">
        <f t="shared" ref="AJ941:AK941" si="1879">C941</f>
        <v>G65020</v>
      </c>
      <c r="AK941" s="794" t="str">
        <f t="shared" si="1879"/>
        <v>COUT-LOC.CAM.USAGE OPT.</v>
      </c>
      <c r="AL941" s="794">
        <f t="array" ref="AL941">IFERROR(INDEX(G941:R941,1,MATCH(Parametres!$B$3,G$1:R$1,0)-1)*IF(OR(F941="L",F941="S",F941="I"),-1,1),"")</f>
        <v>0</v>
      </c>
      <c r="AM941" s="794">
        <f t="shared" si="4"/>
        <v>0</v>
      </c>
      <c r="AN941" s="794">
        <f t="array" ref="AN941">INDEX(G941:R941,1,MATCH(Parametres!$B$3,G$1:R$1,0))*IF(OR(F941="L",F941="S",F941="I"),-1,1)</f>
        <v>0</v>
      </c>
      <c r="AO941" s="853" t="str">
        <f>+VLOOKUP($AJ941,Data_Validation!$A:$D,1,0)</f>
        <v>#N/A</v>
      </c>
      <c r="AP941" s="853" t="str">
        <f>+VLOOKUP($AJ941,Data_Validation!$A:$D,3,0)</f>
        <v>#N/A</v>
      </c>
      <c r="AQ941" s="853" t="str">
        <f>+VLOOKUP($AJ941,Data_Validation!$A:$D,4,0)</f>
        <v>#N/A</v>
      </c>
      <c r="AR941" s="853" t="s">
        <v>728</v>
      </c>
      <c r="AS941" s="853" t="str">
        <f>+VLOOKUP($AJ941,Data_Validation!$A:$E,5,0)</f>
        <v>#N/A</v>
      </c>
      <c r="AT941" s="794" t="str">
        <f t="shared" ref="AT941:AU941" si="1880">C941</f>
        <v>G65020</v>
      </c>
      <c r="AU941" s="854" t="str">
        <f t="shared" si="1880"/>
        <v>COUT-LOC.CAM.USAGE OPT.</v>
      </c>
      <c r="AV941" s="794">
        <f t="array" ref="AV941">IFERROR(INDEX(V941:AG941,1,MATCH(Parametres!$B$3,V$1:AG$1,0)-1)*IF(OR(C941="L",C941="S",C941="I"),-1,1),"")</f>
        <v>0</v>
      </c>
      <c r="AW941" s="794">
        <f t="shared" si="6"/>
        <v>0</v>
      </c>
      <c r="AX941" s="794">
        <f t="array" ref="AX941">INDEX(V941:AG941,1,MATCH(Parametres!$B$3,V$1:AG$1,0))*IF(OR(C941="L",C941="S",C941="I"),-1,1)</f>
        <v>0</v>
      </c>
      <c r="AY941" s="853" t="s">
        <v>772</v>
      </c>
      <c r="AZ941" s="853" t="str">
        <f>+VLOOKUP($AJ941,Data_Validation!$A:$E,5,0)</f>
        <v>#N/A</v>
      </c>
    </row>
    <row r="942" ht="15.0" customHeight="1">
      <c r="A942" s="849" t="s">
        <v>1239</v>
      </c>
      <c r="B942" s="849">
        <v>2026.0</v>
      </c>
      <c r="C942" s="849" t="s">
        <v>3084</v>
      </c>
      <c r="D942" s="849" t="s">
        <v>3085</v>
      </c>
      <c r="E942" s="849" t="s">
        <v>768</v>
      </c>
      <c r="F942" s="849" t="s">
        <v>2855</v>
      </c>
      <c r="G942" s="849">
        <v>0.0</v>
      </c>
      <c r="H942" s="849">
        <v>0.0</v>
      </c>
      <c r="I942" s="849">
        <v>0.0</v>
      </c>
      <c r="J942" s="849">
        <v>0.0</v>
      </c>
      <c r="K942" s="849">
        <v>0.0</v>
      </c>
      <c r="L942" s="849">
        <v>0.0</v>
      </c>
      <c r="M942" s="849">
        <v>0.0</v>
      </c>
      <c r="N942" s="849">
        <v>0.0</v>
      </c>
      <c r="O942" s="849">
        <v>0.0</v>
      </c>
      <c r="P942" s="849">
        <v>0.0</v>
      </c>
      <c r="Q942" s="849">
        <v>0.0</v>
      </c>
      <c r="R942" s="849">
        <v>0.0</v>
      </c>
      <c r="S942" s="849">
        <v>0.0</v>
      </c>
      <c r="T942" s="849">
        <v>0.0</v>
      </c>
      <c r="U942" s="849">
        <v>0.0</v>
      </c>
      <c r="V942" s="849">
        <v>0.0</v>
      </c>
      <c r="W942" s="849">
        <v>0.0</v>
      </c>
      <c r="X942" s="849">
        <v>0.0</v>
      </c>
      <c r="Y942" s="849">
        <v>0.0</v>
      </c>
      <c r="Z942" s="849">
        <v>0.0</v>
      </c>
      <c r="AA942" s="849">
        <v>0.0</v>
      </c>
      <c r="AB942" s="849">
        <v>0.0</v>
      </c>
      <c r="AC942" s="849">
        <v>0.0</v>
      </c>
      <c r="AD942" s="849">
        <v>0.0</v>
      </c>
      <c r="AE942" s="849">
        <v>0.0</v>
      </c>
      <c r="AF942" s="849">
        <v>0.0</v>
      </c>
      <c r="AG942" s="849">
        <v>0.0</v>
      </c>
      <c r="AH942" s="849">
        <v>0.0</v>
      </c>
      <c r="AI942" s="849">
        <v>0.0</v>
      </c>
      <c r="AJ942" s="794" t="str">
        <f t="shared" ref="AJ942:AK942" si="1881">C942</f>
        <v>G65100</v>
      </c>
      <c r="AK942" s="794" t="str">
        <f t="shared" si="1881"/>
        <v>REMISE NEUF CAM.DET.OPT.</v>
      </c>
      <c r="AL942" s="794">
        <f t="array" ref="AL942">IFERROR(INDEX(G942:R942,1,MATCH(Parametres!$B$3,G$1:R$1,0)-1)*IF(OR(F942="L",F942="S",F942="I"),-1,1),"")</f>
        <v>0</v>
      </c>
      <c r="AM942" s="794">
        <f t="shared" si="4"/>
        <v>0</v>
      </c>
      <c r="AN942" s="794">
        <f t="array" ref="AN942">INDEX(G942:R942,1,MATCH(Parametres!$B$3,G$1:R$1,0))*IF(OR(F942="L",F942="S",F942="I"),-1,1)</f>
        <v>0</v>
      </c>
      <c r="AO942" s="853" t="str">
        <f>+VLOOKUP($AJ942,Data_Validation!$A:$D,1,0)</f>
        <v>G65100</v>
      </c>
      <c r="AP942" s="853" t="str">
        <f>+VLOOKUP($AJ942,Data_Validation!$A:$D,3,0)</f>
        <v/>
      </c>
      <c r="AQ942" s="853" t="str">
        <f>+VLOOKUP($AJ942,Data_Validation!$A:$D,4,0)</f>
        <v/>
      </c>
      <c r="AR942" s="853" t="s">
        <v>728</v>
      </c>
      <c r="AS942" s="853" t="str">
        <f>+VLOOKUP($AJ942,Data_Validation!$A:$E,5,0)</f>
        <v/>
      </c>
      <c r="AT942" s="794" t="str">
        <f t="shared" ref="AT942:AU942" si="1882">C942</f>
        <v>G65100</v>
      </c>
      <c r="AU942" s="854" t="str">
        <f t="shared" si="1882"/>
        <v>REMISE NEUF CAM.DET.OPT.</v>
      </c>
      <c r="AV942" s="794">
        <f t="array" ref="AV942">IFERROR(INDEX(V942:AG942,1,MATCH(Parametres!$B$3,V$1:AG$1,0)-1)*IF(OR(C942="L",C942="S",C942="I"),-1,1),"")</f>
        <v>0</v>
      </c>
      <c r="AW942" s="794">
        <f t="shared" si="6"/>
        <v>0</v>
      </c>
      <c r="AX942" s="794">
        <f t="array" ref="AX942">INDEX(V942:AG942,1,MATCH(Parametres!$B$3,V$1:AG$1,0))*IF(OR(C942="L",C942="S",C942="I"),-1,1)</f>
        <v>0</v>
      </c>
      <c r="AY942" s="853" t="s">
        <v>772</v>
      </c>
      <c r="AZ942" s="853" t="str">
        <f>+VLOOKUP($AJ942,Data_Validation!$A:$E,5,0)</f>
        <v/>
      </c>
    </row>
    <row r="943" ht="15.0" customHeight="1">
      <c r="A943" s="849" t="s">
        <v>1239</v>
      </c>
      <c r="B943" s="849">
        <v>2026.0</v>
      </c>
      <c r="C943" s="849" t="s">
        <v>3086</v>
      </c>
      <c r="D943" s="849" t="s">
        <v>3087</v>
      </c>
      <c r="E943" s="849" t="s">
        <v>768</v>
      </c>
      <c r="F943" s="849" t="s">
        <v>2855</v>
      </c>
      <c r="G943" s="849">
        <v>0.0</v>
      </c>
      <c r="H943" s="849">
        <v>0.0</v>
      </c>
      <c r="I943" s="849">
        <v>0.0</v>
      </c>
      <c r="J943" s="849">
        <v>0.0</v>
      </c>
      <c r="K943" s="849">
        <v>0.0</v>
      </c>
      <c r="L943" s="849">
        <v>0.0</v>
      </c>
      <c r="M943" s="849">
        <v>0.0</v>
      </c>
      <c r="N943" s="849">
        <v>0.0</v>
      </c>
      <c r="O943" s="849">
        <v>0.0</v>
      </c>
      <c r="P943" s="849">
        <v>0.0</v>
      </c>
      <c r="Q943" s="849">
        <v>0.0</v>
      </c>
      <c r="R943" s="849">
        <v>0.0</v>
      </c>
      <c r="S943" s="849">
        <v>0.0</v>
      </c>
      <c r="T943" s="849">
        <v>0.0</v>
      </c>
      <c r="U943" s="849">
        <v>0.0</v>
      </c>
      <c r="V943" s="849">
        <v>0.0</v>
      </c>
      <c r="W943" s="849">
        <v>0.0</v>
      </c>
      <c r="X943" s="849">
        <v>0.0</v>
      </c>
      <c r="Y943" s="849">
        <v>0.0</v>
      </c>
      <c r="Z943" s="849">
        <v>0.0</v>
      </c>
      <c r="AA943" s="849">
        <v>0.0</v>
      </c>
      <c r="AB943" s="849">
        <v>0.0</v>
      </c>
      <c r="AC943" s="849">
        <v>0.0</v>
      </c>
      <c r="AD943" s="849">
        <v>0.0</v>
      </c>
      <c r="AE943" s="849">
        <v>0.0</v>
      </c>
      <c r="AF943" s="849">
        <v>0.0</v>
      </c>
      <c r="AG943" s="849">
        <v>0.0</v>
      </c>
      <c r="AH943" s="849">
        <v>0.0</v>
      </c>
      <c r="AI943" s="849">
        <v>0.0</v>
      </c>
      <c r="AJ943" s="794" t="str">
        <f t="shared" ref="AJ943:AK943" si="1883">C943</f>
        <v>G65101</v>
      </c>
      <c r="AK943" s="794" t="str">
        <f t="shared" si="1883"/>
        <v>REMISE NEUF CAM.DET.AUTRE</v>
      </c>
      <c r="AL943" s="794">
        <f t="array" ref="AL943">IFERROR(INDEX(G943:R943,1,MATCH(Parametres!$B$3,G$1:R$1,0)-1)*IF(OR(F943="L",F943="S",F943="I"),-1,1),"")</f>
        <v>0</v>
      </c>
      <c r="AM943" s="794">
        <f t="shared" si="4"/>
        <v>0</v>
      </c>
      <c r="AN943" s="794">
        <f t="array" ref="AN943">INDEX(G943:R943,1,MATCH(Parametres!$B$3,G$1:R$1,0))*IF(OR(F943="L",F943="S",F943="I"),-1,1)</f>
        <v>0</v>
      </c>
      <c r="AO943" s="853" t="str">
        <f>+VLOOKUP($AJ943,Data_Validation!$A:$D,1,0)</f>
        <v>G65101</v>
      </c>
      <c r="AP943" s="853" t="str">
        <f>+VLOOKUP($AJ943,Data_Validation!$A:$D,3,0)</f>
        <v/>
      </c>
      <c r="AQ943" s="853" t="str">
        <f>+VLOOKUP($AJ943,Data_Validation!$A:$D,4,0)</f>
        <v/>
      </c>
      <c r="AR943" s="853" t="s">
        <v>728</v>
      </c>
      <c r="AS943" s="853" t="str">
        <f>+VLOOKUP($AJ943,Data_Validation!$A:$E,5,0)</f>
        <v/>
      </c>
      <c r="AT943" s="794" t="str">
        <f t="shared" ref="AT943:AU943" si="1884">C943</f>
        <v>G65101</v>
      </c>
      <c r="AU943" s="854" t="str">
        <f t="shared" si="1884"/>
        <v>REMISE NEUF CAM.DET.AUTRE</v>
      </c>
      <c r="AV943" s="794">
        <f t="array" ref="AV943">IFERROR(INDEX(V943:AG943,1,MATCH(Parametres!$B$3,V$1:AG$1,0)-1)*IF(OR(C943="L",C943="S",C943="I"),-1,1),"")</f>
        <v>0</v>
      </c>
      <c r="AW943" s="794">
        <f t="shared" si="6"/>
        <v>0</v>
      </c>
      <c r="AX943" s="794">
        <f t="array" ref="AX943">INDEX(V943:AG943,1,MATCH(Parametres!$B$3,V$1:AG$1,0))*IF(OR(C943="L",C943="S",C943="I"),-1,1)</f>
        <v>0</v>
      </c>
      <c r="AY943" s="853" t="s">
        <v>772</v>
      </c>
      <c r="AZ943" s="853" t="str">
        <f>+VLOOKUP($AJ943,Data_Validation!$A:$E,5,0)</f>
        <v/>
      </c>
    </row>
    <row r="944" ht="15.0" customHeight="1">
      <c r="A944" s="849" t="s">
        <v>1239</v>
      </c>
      <c r="B944" s="849">
        <v>2026.0</v>
      </c>
      <c r="C944" s="849" t="s">
        <v>3088</v>
      </c>
      <c r="D944" s="849" t="s">
        <v>3089</v>
      </c>
      <c r="E944" s="849" t="s">
        <v>768</v>
      </c>
      <c r="F944" s="849" t="s">
        <v>2855</v>
      </c>
      <c r="G944" s="849">
        <v>0.0</v>
      </c>
      <c r="H944" s="849">
        <v>0.0</v>
      </c>
      <c r="I944" s="849">
        <v>0.0</v>
      </c>
      <c r="J944" s="849">
        <v>0.0</v>
      </c>
      <c r="K944" s="849">
        <v>0.0</v>
      </c>
      <c r="L944" s="849">
        <v>0.0</v>
      </c>
      <c r="M944" s="849">
        <v>0.0</v>
      </c>
      <c r="N944" s="849">
        <v>0.0</v>
      </c>
      <c r="O944" s="849">
        <v>0.0</v>
      </c>
      <c r="P944" s="849">
        <v>0.0</v>
      </c>
      <c r="Q944" s="849">
        <v>0.0</v>
      </c>
      <c r="R944" s="849">
        <v>0.0</v>
      </c>
      <c r="S944" s="849">
        <v>0.0</v>
      </c>
      <c r="T944" s="849">
        <v>0.0</v>
      </c>
      <c r="U944" s="849">
        <v>0.0</v>
      </c>
      <c r="V944" s="849">
        <v>0.0</v>
      </c>
      <c r="W944" s="849">
        <v>0.0</v>
      </c>
      <c r="X944" s="849">
        <v>0.0</v>
      </c>
      <c r="Y944" s="849">
        <v>0.0</v>
      </c>
      <c r="Z944" s="849">
        <v>0.0</v>
      </c>
      <c r="AA944" s="849">
        <v>0.0</v>
      </c>
      <c r="AB944" s="849">
        <v>0.0</v>
      </c>
      <c r="AC944" s="849">
        <v>0.0</v>
      </c>
      <c r="AD944" s="849">
        <v>0.0</v>
      </c>
      <c r="AE944" s="849">
        <v>0.0</v>
      </c>
      <c r="AF944" s="849">
        <v>0.0</v>
      </c>
      <c r="AG944" s="849">
        <v>0.0</v>
      </c>
      <c r="AH944" s="849">
        <v>0.0</v>
      </c>
      <c r="AI944" s="849">
        <v>0.0</v>
      </c>
      <c r="AJ944" s="794" t="str">
        <f t="shared" ref="AJ944:AK944" si="1885">C944</f>
        <v>G65120</v>
      </c>
      <c r="AK944" s="794" t="str">
        <f t="shared" si="1885"/>
        <v>REM.NEUF LOC.CAM.DET.OPT.</v>
      </c>
      <c r="AL944" s="794">
        <f t="array" ref="AL944">IFERROR(INDEX(G944:R944,1,MATCH(Parametres!$B$3,G$1:R$1,0)-1)*IF(OR(F944="L",F944="S",F944="I"),-1,1),"")</f>
        <v>0</v>
      </c>
      <c r="AM944" s="794">
        <f t="shared" si="4"/>
        <v>0</v>
      </c>
      <c r="AN944" s="794">
        <f t="array" ref="AN944">INDEX(G944:R944,1,MATCH(Parametres!$B$3,G$1:R$1,0))*IF(OR(F944="L",F944="S",F944="I"),-1,1)</f>
        <v>0</v>
      </c>
      <c r="AO944" s="853" t="str">
        <f>+VLOOKUP($AJ944,Data_Validation!$A:$D,1,0)</f>
        <v>G65120</v>
      </c>
      <c r="AP944" s="853" t="str">
        <f>+VLOOKUP($AJ944,Data_Validation!$A:$D,3,0)</f>
        <v/>
      </c>
      <c r="AQ944" s="853" t="str">
        <f>+VLOOKUP($AJ944,Data_Validation!$A:$D,4,0)</f>
        <v/>
      </c>
      <c r="AR944" s="853" t="s">
        <v>728</v>
      </c>
      <c r="AS944" s="853" t="str">
        <f>+VLOOKUP($AJ944,Data_Validation!$A:$E,5,0)</f>
        <v/>
      </c>
      <c r="AT944" s="794" t="str">
        <f t="shared" ref="AT944:AU944" si="1886">C944</f>
        <v>G65120</v>
      </c>
      <c r="AU944" s="854" t="str">
        <f t="shared" si="1886"/>
        <v>REM.NEUF LOC.CAM.DET.OPT.</v>
      </c>
      <c r="AV944" s="794">
        <f t="array" ref="AV944">IFERROR(INDEX(V944:AG944,1,MATCH(Parametres!$B$3,V$1:AG$1,0)-1)*IF(OR(C944="L",C944="S",C944="I"),-1,1),"")</f>
        <v>0</v>
      </c>
      <c r="AW944" s="794">
        <f t="shared" si="6"/>
        <v>0</v>
      </c>
      <c r="AX944" s="794">
        <f t="array" ref="AX944">INDEX(V944:AG944,1,MATCH(Parametres!$B$3,V$1:AG$1,0))*IF(OR(C944="L",C944="S",C944="I"),-1,1)</f>
        <v>0</v>
      </c>
      <c r="AY944" s="853" t="s">
        <v>772</v>
      </c>
      <c r="AZ944" s="853" t="str">
        <f>+VLOOKUP($AJ944,Data_Validation!$A:$E,5,0)</f>
        <v/>
      </c>
    </row>
    <row r="945" ht="15.0" customHeight="1">
      <c r="A945" s="849" t="s">
        <v>1239</v>
      </c>
      <c r="B945" s="849">
        <v>2026.0</v>
      </c>
      <c r="C945" s="849" t="s">
        <v>3090</v>
      </c>
      <c r="D945" s="849" t="s">
        <v>3091</v>
      </c>
      <c r="E945" s="849" t="s">
        <v>2072</v>
      </c>
      <c r="F945" s="849" t="s">
        <v>2855</v>
      </c>
      <c r="G945" s="849">
        <v>2051010.87</v>
      </c>
      <c r="H945" s="849">
        <v>3639591.88</v>
      </c>
      <c r="I945" s="849">
        <v>6799634.43</v>
      </c>
      <c r="J945" s="849">
        <v>9640410.05</v>
      </c>
      <c r="K945" s="849">
        <v>4652358.87</v>
      </c>
      <c r="L945" s="849">
        <v>5323087.83</v>
      </c>
      <c r="M945" s="849">
        <v>5849809.97</v>
      </c>
      <c r="N945" s="849">
        <v>6790500.31</v>
      </c>
      <c r="O945" s="849">
        <v>7424150.01</v>
      </c>
      <c r="P945" s="849">
        <v>7689975.88</v>
      </c>
      <c r="Q945" s="849">
        <v>0.0</v>
      </c>
      <c r="R945" s="849">
        <v>0.0</v>
      </c>
      <c r="S945" s="849">
        <v>824905.56</v>
      </c>
      <c r="T945" s="849">
        <v>824905.56</v>
      </c>
      <c r="U945" s="849">
        <v>0.0</v>
      </c>
      <c r="V945" s="849">
        <v>0.0</v>
      </c>
      <c r="W945" s="849">
        <v>0.0</v>
      </c>
      <c r="X945" s="849">
        <v>0.0</v>
      </c>
      <c r="Y945" s="849">
        <v>0.0</v>
      </c>
      <c r="Z945" s="849">
        <v>0.0</v>
      </c>
      <c r="AA945" s="849">
        <v>0.0</v>
      </c>
      <c r="AB945" s="849">
        <v>0.0</v>
      </c>
      <c r="AC945" s="849">
        <v>0.0</v>
      </c>
      <c r="AD945" s="849">
        <v>0.0</v>
      </c>
      <c r="AE945" s="849">
        <v>0.0</v>
      </c>
      <c r="AF945" s="849">
        <v>0.0</v>
      </c>
      <c r="AG945" s="849">
        <v>0.0</v>
      </c>
      <c r="AH945" s="849">
        <v>0.0</v>
      </c>
      <c r="AI945" s="849">
        <v>0.0</v>
      </c>
      <c r="AJ945" s="794" t="str">
        <f t="shared" ref="AJ945:AK945" si="1887">C945</f>
        <v>G65200</v>
      </c>
      <c r="AK945" s="794" t="str">
        <f t="shared" si="1887"/>
        <v>COUT-CAM. OCCASION GROS</v>
      </c>
      <c r="AL945" s="794">
        <f t="array" ref="AL945">IFERROR(INDEX(G945:R945,1,MATCH(Parametres!$B$3,G$1:R$1,0)-1)*IF(OR(F945="L",F945="S",F945="I"),-1,1),"")</f>
        <v>6790500.31</v>
      </c>
      <c r="AM945" s="794">
        <f t="shared" si="4"/>
        <v>633649.7</v>
      </c>
      <c r="AN945" s="794">
        <f t="array" ref="AN945">INDEX(G945:R945,1,MATCH(Parametres!$B$3,G$1:R$1,0))*IF(OR(F945="L",F945="S",F945="I"),-1,1)</f>
        <v>7424150.01</v>
      </c>
      <c r="AO945" s="853" t="str">
        <f>+VLOOKUP($AJ945,Data_Validation!$A:$D,1,0)</f>
        <v>G65200</v>
      </c>
      <c r="AP945" s="853" t="str">
        <f>+VLOOKUP($AJ945,Data_Validation!$A:$D,3,0)</f>
        <v>Véhicules usagés</v>
      </c>
      <c r="AQ945" s="853" t="str">
        <f>+VLOOKUP($AJ945,Data_Validation!$A:$D,4,0)</f>
        <v>Ventes au Gros</v>
      </c>
      <c r="AR945" s="853" t="s">
        <v>728</v>
      </c>
      <c r="AS945" s="853" t="str">
        <f>+VLOOKUP($AJ945,Data_Validation!$A:$E,5,0)</f>
        <v/>
      </c>
      <c r="AT945" s="794" t="str">
        <f t="shared" ref="AT945:AU945" si="1888">C945</f>
        <v>G65200</v>
      </c>
      <c r="AU945" s="854" t="str">
        <f t="shared" si="1888"/>
        <v>COUT-CAM. OCCASION GROS</v>
      </c>
      <c r="AV945" s="794">
        <f t="array" ref="AV945">IFERROR(INDEX(V945:AG945,1,MATCH(Parametres!$B$3,V$1:AG$1,0)-1)*IF(OR(C945="L",C945="S",C945="I"),-1,1),"")</f>
        <v>0</v>
      </c>
      <c r="AW945" s="794">
        <f t="shared" si="6"/>
        <v>0</v>
      </c>
      <c r="AX945" s="794">
        <f t="array" ref="AX945">INDEX(V945:AG945,1,MATCH(Parametres!$B$3,V$1:AG$1,0))*IF(OR(C945="L",C945="S",C945="I"),-1,1)</f>
        <v>0</v>
      </c>
      <c r="AY945" s="853" t="s">
        <v>772</v>
      </c>
      <c r="AZ945" s="853" t="str">
        <f>+VLOOKUP($AJ945,Data_Validation!$A:$E,5,0)</f>
        <v/>
      </c>
    </row>
    <row r="946" ht="15.0" customHeight="1">
      <c r="A946" s="849" t="s">
        <v>1239</v>
      </c>
      <c r="B946" s="849">
        <v>2026.0</v>
      </c>
      <c r="C946" s="849" t="s">
        <v>3092</v>
      </c>
      <c r="D946" s="849" t="s">
        <v>3093</v>
      </c>
      <c r="E946" s="849" t="s">
        <v>2072</v>
      </c>
      <c r="F946" s="849" t="s">
        <v>2855</v>
      </c>
      <c r="G946" s="849">
        <v>6696533.33</v>
      </c>
      <c r="H946" s="849">
        <v>7234033.33</v>
      </c>
      <c r="I946" s="849">
        <v>1.017434333E7</v>
      </c>
      <c r="J946" s="849">
        <v>1.597805333E7</v>
      </c>
      <c r="K946" s="849">
        <v>1.789097333E7</v>
      </c>
      <c r="L946" s="849">
        <v>1.964139833E7</v>
      </c>
      <c r="M946" s="849">
        <v>2.138489833E7</v>
      </c>
      <c r="N946" s="849">
        <v>2.251426333E7</v>
      </c>
      <c r="O946" s="849">
        <v>2.288676333E7</v>
      </c>
      <c r="P946" s="849">
        <v>2.367276333E7</v>
      </c>
      <c r="Q946" s="849">
        <v>0.0</v>
      </c>
      <c r="R946" s="849">
        <v>0.0</v>
      </c>
      <c r="S946" s="849">
        <v>2542973.7</v>
      </c>
      <c r="T946" s="849">
        <v>2542973.7</v>
      </c>
      <c r="U946" s="849">
        <v>0.0</v>
      </c>
      <c r="V946" s="849">
        <v>0.0</v>
      </c>
      <c r="W946" s="849">
        <v>0.0</v>
      </c>
      <c r="X946" s="849">
        <v>0.0</v>
      </c>
      <c r="Y946" s="849">
        <v>0.0</v>
      </c>
      <c r="Z946" s="849">
        <v>0.0</v>
      </c>
      <c r="AA946" s="849">
        <v>0.0</v>
      </c>
      <c r="AB946" s="849">
        <v>0.0</v>
      </c>
      <c r="AC946" s="849">
        <v>0.0</v>
      </c>
      <c r="AD946" s="849">
        <v>0.0</v>
      </c>
      <c r="AE946" s="849">
        <v>0.0</v>
      </c>
      <c r="AF946" s="849">
        <v>0.0</v>
      </c>
      <c r="AG946" s="849">
        <v>0.0</v>
      </c>
      <c r="AH946" s="849">
        <v>0.0</v>
      </c>
      <c r="AI946" s="849">
        <v>0.0</v>
      </c>
      <c r="AJ946" s="794" t="str">
        <f t="shared" ref="AJ946:AK946" si="1889">C946</f>
        <v>G65201</v>
      </c>
      <c r="AK946" s="794" t="str">
        <f t="shared" si="1889"/>
        <v>COUT - WHOLESALE W</v>
      </c>
      <c r="AL946" s="794">
        <f t="array" ref="AL946">IFERROR(INDEX(G946:R946,1,MATCH(Parametres!$B$3,G$1:R$1,0)-1)*IF(OR(F946="L",F946="S",F946="I"),-1,1),"")</f>
        <v>22514263.33</v>
      </c>
      <c r="AM946" s="794">
        <f t="shared" si="4"/>
        <v>372500</v>
      </c>
      <c r="AN946" s="794">
        <f t="array" ref="AN946">INDEX(G946:R946,1,MATCH(Parametres!$B$3,G$1:R$1,0))*IF(OR(F946="L",F946="S",F946="I"),-1,1)</f>
        <v>22886763.33</v>
      </c>
      <c r="AO946" s="853" t="str">
        <f>+VLOOKUP($AJ946,Data_Validation!$A:$D,1,0)</f>
        <v>G65201</v>
      </c>
      <c r="AP946" s="853" t="str">
        <f>+VLOOKUP($AJ946,Data_Validation!$A:$D,3,0)</f>
        <v>Wholesale autres</v>
      </c>
      <c r="AQ946" s="853" t="str">
        <f>+VLOOKUP($AJ946,Data_Validation!$A:$D,4,0)</f>
        <v>Wholesale Luxueux</v>
      </c>
      <c r="AR946" s="853" t="s">
        <v>728</v>
      </c>
      <c r="AS946" s="853" t="str">
        <f>+VLOOKUP($AJ946,Data_Validation!$A:$E,5,0)</f>
        <v/>
      </c>
      <c r="AT946" s="794" t="str">
        <f t="shared" ref="AT946:AU946" si="1890">C946</f>
        <v>G65201</v>
      </c>
      <c r="AU946" s="854" t="str">
        <f t="shared" si="1890"/>
        <v>COUT - WHOLESALE W</v>
      </c>
      <c r="AV946" s="794">
        <f t="array" ref="AV946">IFERROR(INDEX(V946:AG946,1,MATCH(Parametres!$B$3,V$1:AG$1,0)-1)*IF(OR(C946="L",C946="S",C946="I"),-1,1),"")</f>
        <v>0</v>
      </c>
      <c r="AW946" s="794">
        <f t="shared" si="6"/>
        <v>0</v>
      </c>
      <c r="AX946" s="794">
        <f t="array" ref="AX946">INDEX(V946:AG946,1,MATCH(Parametres!$B$3,V$1:AG$1,0))*IF(OR(C946="L",C946="S",C946="I"),-1,1)</f>
        <v>0</v>
      </c>
      <c r="AY946" s="853" t="s">
        <v>772</v>
      </c>
      <c r="AZ946" s="853" t="str">
        <f>+VLOOKUP($AJ946,Data_Validation!$A:$E,5,0)</f>
        <v/>
      </c>
    </row>
    <row r="947" ht="15.0" customHeight="1">
      <c r="A947" s="849" t="s">
        <v>1239</v>
      </c>
      <c r="B947" s="849">
        <v>2026.0</v>
      </c>
      <c r="C947" s="849" t="s">
        <v>3094</v>
      </c>
      <c r="D947" s="849" t="s">
        <v>2652</v>
      </c>
      <c r="E947" s="849" t="s">
        <v>2072</v>
      </c>
      <c r="F947" s="849" t="s">
        <v>2855</v>
      </c>
      <c r="G947" s="849">
        <v>0.0</v>
      </c>
      <c r="H947" s="849">
        <v>0.0</v>
      </c>
      <c r="I947" s="849">
        <v>0.0</v>
      </c>
      <c r="J947" s="849">
        <v>0.0</v>
      </c>
      <c r="K947" s="849">
        <v>1473800.0</v>
      </c>
      <c r="L947" s="849">
        <v>2064800.0</v>
      </c>
      <c r="M947" s="849">
        <v>2064800.0</v>
      </c>
      <c r="N947" s="849">
        <v>2064800.0</v>
      </c>
      <c r="O947" s="849">
        <v>2064800.0</v>
      </c>
      <c r="P947" s="849">
        <v>2064800.0</v>
      </c>
      <c r="Q947" s="849">
        <v>0.0</v>
      </c>
      <c r="R947" s="849">
        <v>0.0</v>
      </c>
      <c r="S947" s="849">
        <v>229422.22</v>
      </c>
      <c r="T947" s="849">
        <v>229422.22</v>
      </c>
      <c r="U947" s="849">
        <v>0.0</v>
      </c>
      <c r="V947" s="849">
        <v>0.0</v>
      </c>
      <c r="W947" s="849">
        <v>0.0</v>
      </c>
      <c r="X947" s="849">
        <v>0.0</v>
      </c>
      <c r="Y947" s="849">
        <v>0.0</v>
      </c>
      <c r="Z947" s="849">
        <v>0.0</v>
      </c>
      <c r="AA947" s="849">
        <v>0.0</v>
      </c>
      <c r="AB947" s="849">
        <v>0.0</v>
      </c>
      <c r="AC947" s="849">
        <v>0.0</v>
      </c>
      <c r="AD947" s="849">
        <v>0.0</v>
      </c>
      <c r="AE947" s="849">
        <v>0.0</v>
      </c>
      <c r="AF947" s="849">
        <v>0.0</v>
      </c>
      <c r="AG947" s="849">
        <v>0.0</v>
      </c>
      <c r="AH947" s="849">
        <v>0.0</v>
      </c>
      <c r="AI947" s="849">
        <v>0.0</v>
      </c>
      <c r="AJ947" s="794" t="str">
        <f t="shared" ref="AJ947:AK947" si="1891">C947</f>
        <v>G65202</v>
      </c>
      <c r="AK947" s="794" t="str">
        <f t="shared" si="1891"/>
        <v>VTES- WHOLESALES M</v>
      </c>
      <c r="AL947" s="794">
        <f t="array" ref="AL947">IFERROR(INDEX(G947:R947,1,MATCH(Parametres!$B$3,G$1:R$1,0)-1)*IF(OR(F947="L",F947="S",F947="I"),-1,1),"")</f>
        <v>2064800</v>
      </c>
      <c r="AM947" s="794">
        <f t="shared" si="4"/>
        <v>0</v>
      </c>
      <c r="AN947" s="794">
        <f t="array" ref="AN947">INDEX(G947:R947,1,MATCH(Parametres!$B$3,G$1:R$1,0))*IF(OR(F947="L",F947="S",F947="I"),-1,1)</f>
        <v>2064800</v>
      </c>
      <c r="AO947" s="853" t="str">
        <f>+VLOOKUP($AJ947,Data_Validation!$A:$D,1,0)</f>
        <v>G65202</v>
      </c>
      <c r="AP947" s="853" t="str">
        <f>+VLOOKUP($AJ947,Data_Validation!$A:$D,3,0)</f>
        <v>Wholesale autres</v>
      </c>
      <c r="AQ947" s="853" t="str">
        <f>+VLOOKUP($AJ947,Data_Validation!$A:$D,4,0)</f>
        <v>Wholesale Luxueux</v>
      </c>
      <c r="AR947" s="853" t="s">
        <v>728</v>
      </c>
      <c r="AS947" s="853" t="str">
        <f>+VLOOKUP($AJ947,Data_Validation!$A:$E,5,0)</f>
        <v/>
      </c>
      <c r="AT947" s="794" t="str">
        <f t="shared" ref="AT947:AU947" si="1892">C947</f>
        <v>G65202</v>
      </c>
      <c r="AU947" s="854" t="str">
        <f t="shared" si="1892"/>
        <v>VTES- WHOLESALES M</v>
      </c>
      <c r="AV947" s="794">
        <f t="array" ref="AV947">IFERROR(INDEX(V947:AG947,1,MATCH(Parametres!$B$3,V$1:AG$1,0)-1)*IF(OR(C947="L",C947="S",C947="I"),-1,1),"")</f>
        <v>0</v>
      </c>
      <c r="AW947" s="794">
        <f t="shared" si="6"/>
        <v>0</v>
      </c>
      <c r="AX947" s="794">
        <f t="array" ref="AX947">INDEX(V947:AG947,1,MATCH(Parametres!$B$3,V$1:AG$1,0))*IF(OR(C947="L",C947="S",C947="I"),-1,1)</f>
        <v>0</v>
      </c>
      <c r="AY947" s="853" t="s">
        <v>772</v>
      </c>
      <c r="AZ947" s="853" t="str">
        <f>+VLOOKUP($AJ947,Data_Validation!$A:$E,5,0)</f>
        <v/>
      </c>
    </row>
    <row r="948" ht="15.0" customHeight="1">
      <c r="A948" s="849" t="s">
        <v>1239</v>
      </c>
      <c r="B948" s="849">
        <v>2026.0</v>
      </c>
      <c r="C948" s="849" t="s">
        <v>3095</v>
      </c>
      <c r="D948" s="849" t="s">
        <v>3096</v>
      </c>
      <c r="E948" s="849" t="s">
        <v>768</v>
      </c>
      <c r="F948" s="849" t="s">
        <v>2855</v>
      </c>
      <c r="G948" s="849">
        <v>0.0</v>
      </c>
      <c r="H948" s="849">
        <v>0.0</v>
      </c>
      <c r="I948" s="849">
        <v>0.0</v>
      </c>
      <c r="J948" s="849">
        <v>0.0</v>
      </c>
      <c r="K948" s="849">
        <v>0.0</v>
      </c>
      <c r="L948" s="849">
        <v>0.0</v>
      </c>
      <c r="M948" s="849">
        <v>0.0</v>
      </c>
      <c r="N948" s="849">
        <v>0.0</v>
      </c>
      <c r="O948" s="849">
        <v>0.0</v>
      </c>
      <c r="P948" s="849">
        <v>0.0</v>
      </c>
      <c r="Q948" s="849">
        <v>0.0</v>
      </c>
      <c r="R948" s="849">
        <v>0.0</v>
      </c>
      <c r="S948" s="849">
        <v>0.0</v>
      </c>
      <c r="T948" s="849">
        <v>0.0</v>
      </c>
      <c r="U948" s="849">
        <v>0.0</v>
      </c>
      <c r="V948" s="849">
        <v>0.0</v>
      </c>
      <c r="W948" s="849">
        <v>0.0</v>
      </c>
      <c r="X948" s="849">
        <v>0.0</v>
      </c>
      <c r="Y948" s="849">
        <v>0.0</v>
      </c>
      <c r="Z948" s="849">
        <v>0.0</v>
      </c>
      <c r="AA948" s="849">
        <v>0.0</v>
      </c>
      <c r="AB948" s="849">
        <v>0.0</v>
      </c>
      <c r="AC948" s="849">
        <v>0.0</v>
      </c>
      <c r="AD948" s="849">
        <v>0.0</v>
      </c>
      <c r="AE948" s="849">
        <v>0.0</v>
      </c>
      <c r="AF948" s="849">
        <v>0.0</v>
      </c>
      <c r="AG948" s="849">
        <v>0.0</v>
      </c>
      <c r="AH948" s="849">
        <v>0.0</v>
      </c>
      <c r="AI948" s="849">
        <v>0.0</v>
      </c>
      <c r="AJ948" s="794" t="str">
        <f t="shared" ref="AJ948:AK948" si="1893">C948</f>
        <v>G65300</v>
      </c>
      <c r="AK948" s="794" t="str">
        <f t="shared" si="1893"/>
        <v>RECTIFICATION/STOCK/TRUCK</v>
      </c>
      <c r="AL948" s="794">
        <f t="array" ref="AL948">IFERROR(INDEX(G948:R948,1,MATCH(Parametres!$B$3,G$1:R$1,0)-1)*IF(OR(F948="L",F948="S",F948="I"),-1,1),"")</f>
        <v>0</v>
      </c>
      <c r="AM948" s="794">
        <f t="shared" si="4"/>
        <v>0</v>
      </c>
      <c r="AN948" s="794">
        <f t="array" ref="AN948">INDEX(G948:R948,1,MATCH(Parametres!$B$3,G$1:R$1,0))*IF(OR(F948="L",F948="S",F948="I"),-1,1)</f>
        <v>0</v>
      </c>
      <c r="AO948" s="853" t="str">
        <f>+VLOOKUP($AJ948,Data_Validation!$A:$D,1,0)</f>
        <v>G65300</v>
      </c>
      <c r="AP948" s="853" t="str">
        <f>+VLOOKUP($AJ948,Data_Validation!$A:$D,3,0)</f>
        <v/>
      </c>
      <c r="AQ948" s="853" t="str">
        <f>+VLOOKUP($AJ948,Data_Validation!$A:$D,4,0)</f>
        <v/>
      </c>
      <c r="AR948" s="853" t="s">
        <v>728</v>
      </c>
      <c r="AS948" s="853" t="str">
        <f>+VLOOKUP($AJ948,Data_Validation!$A:$E,5,0)</f>
        <v/>
      </c>
      <c r="AT948" s="794" t="str">
        <f t="shared" ref="AT948:AU948" si="1894">C948</f>
        <v>G65300</v>
      </c>
      <c r="AU948" s="854" t="str">
        <f t="shared" si="1894"/>
        <v>RECTIFICATION/STOCK/TRUCK</v>
      </c>
      <c r="AV948" s="794">
        <f t="array" ref="AV948">IFERROR(INDEX(V948:AG948,1,MATCH(Parametres!$B$3,V$1:AG$1,0)-1)*IF(OR(C948="L",C948="S",C948="I"),-1,1),"")</f>
        <v>0</v>
      </c>
      <c r="AW948" s="794">
        <f t="shared" si="6"/>
        <v>0</v>
      </c>
      <c r="AX948" s="794">
        <f t="array" ref="AX948">INDEX(V948:AG948,1,MATCH(Parametres!$B$3,V$1:AG$1,0))*IF(OR(C948="L",C948="S",C948="I"),-1,1)</f>
        <v>0</v>
      </c>
      <c r="AY948" s="853" t="s">
        <v>772</v>
      </c>
      <c r="AZ948" s="853" t="str">
        <f>+VLOOKUP($AJ948,Data_Validation!$A:$E,5,0)</f>
        <v/>
      </c>
    </row>
    <row r="949" ht="15.0" customHeight="1">
      <c r="A949" s="849" t="s">
        <v>1239</v>
      </c>
      <c r="B949" s="849">
        <v>2026.0</v>
      </c>
      <c r="C949" s="849" t="s">
        <v>3097</v>
      </c>
      <c r="D949" s="849" t="s">
        <v>3098</v>
      </c>
      <c r="E949" s="849" t="s">
        <v>768</v>
      </c>
      <c r="F949" s="849" t="s">
        <v>2855</v>
      </c>
      <c r="G949" s="849">
        <v>0.0</v>
      </c>
      <c r="H949" s="849">
        <v>0.0</v>
      </c>
      <c r="I949" s="849">
        <v>0.0</v>
      </c>
      <c r="J949" s="849">
        <v>0.0</v>
      </c>
      <c r="K949" s="849">
        <v>0.0</v>
      </c>
      <c r="L949" s="849">
        <v>0.0</v>
      </c>
      <c r="M949" s="849">
        <v>0.0</v>
      </c>
      <c r="N949" s="849">
        <v>0.0</v>
      </c>
      <c r="O949" s="849">
        <v>0.0</v>
      </c>
      <c r="P949" s="849">
        <v>0.0</v>
      </c>
      <c r="Q949" s="849">
        <v>0.0</v>
      </c>
      <c r="R949" s="849">
        <v>0.0</v>
      </c>
      <c r="S949" s="849">
        <v>0.0</v>
      </c>
      <c r="T949" s="849">
        <v>0.0</v>
      </c>
      <c r="U949" s="849">
        <v>0.0</v>
      </c>
      <c r="V949" s="849">
        <v>0.0</v>
      </c>
      <c r="W949" s="849">
        <v>0.0</v>
      </c>
      <c r="X949" s="849">
        <v>0.0</v>
      </c>
      <c r="Y949" s="849">
        <v>0.0</v>
      </c>
      <c r="Z949" s="849">
        <v>0.0</v>
      </c>
      <c r="AA949" s="849">
        <v>0.0</v>
      </c>
      <c r="AB949" s="849">
        <v>0.0</v>
      </c>
      <c r="AC949" s="849">
        <v>0.0</v>
      </c>
      <c r="AD949" s="849">
        <v>0.0</v>
      </c>
      <c r="AE949" s="849">
        <v>0.0</v>
      </c>
      <c r="AF949" s="849">
        <v>0.0</v>
      </c>
      <c r="AG949" s="849">
        <v>0.0</v>
      </c>
      <c r="AH949" s="849">
        <v>0.0</v>
      </c>
      <c r="AI949" s="849">
        <v>0.0</v>
      </c>
      <c r="AJ949" s="794" t="str">
        <f t="shared" ref="AJ949:AK949" si="1895">C949</f>
        <v>G65301</v>
      </c>
      <c r="AK949" s="794" t="str">
        <f t="shared" si="1895"/>
        <v>COUT- PRT ANTIROUILLE US</v>
      </c>
      <c r="AL949" s="794">
        <f t="array" ref="AL949">IFERROR(INDEX(G949:R949,1,MATCH(Parametres!$B$3,G$1:R$1,0)-1)*IF(OR(F949="L",F949="S",F949="I"),-1,1),"")</f>
        <v>0</v>
      </c>
      <c r="AM949" s="794">
        <f t="shared" si="4"/>
        <v>0</v>
      </c>
      <c r="AN949" s="794">
        <f t="array" ref="AN949">INDEX(G949:R949,1,MATCH(Parametres!$B$3,G$1:R$1,0))*IF(OR(F949="L",F949="S",F949="I"),-1,1)</f>
        <v>0</v>
      </c>
      <c r="AO949" s="853" t="str">
        <f>+VLOOKUP($AJ949,Data_Validation!$A:$D,1,0)</f>
        <v>#N/A</v>
      </c>
      <c r="AP949" s="853" t="str">
        <f>+VLOOKUP($AJ949,Data_Validation!$A:$D,3,0)</f>
        <v>#N/A</v>
      </c>
      <c r="AQ949" s="853" t="str">
        <f>+VLOOKUP($AJ949,Data_Validation!$A:$D,4,0)</f>
        <v>#N/A</v>
      </c>
      <c r="AR949" s="853" t="s">
        <v>728</v>
      </c>
      <c r="AS949" s="853" t="str">
        <f>+VLOOKUP($AJ949,Data_Validation!$A:$E,5,0)</f>
        <v>#N/A</v>
      </c>
      <c r="AT949" s="794" t="str">
        <f t="shared" ref="AT949:AU949" si="1896">C949</f>
        <v>G65301</v>
      </c>
      <c r="AU949" s="854" t="str">
        <f t="shared" si="1896"/>
        <v>COUT- PRT ANTIROUILLE US</v>
      </c>
      <c r="AV949" s="794">
        <f t="array" ref="AV949">IFERROR(INDEX(V949:AG949,1,MATCH(Parametres!$B$3,V$1:AG$1,0)-1)*IF(OR(C949="L",C949="S",C949="I"),-1,1),"")</f>
        <v>0</v>
      </c>
      <c r="AW949" s="794">
        <f t="shared" si="6"/>
        <v>0</v>
      </c>
      <c r="AX949" s="794">
        <f t="array" ref="AX949">INDEX(V949:AG949,1,MATCH(Parametres!$B$3,V$1:AG$1,0))*IF(OR(C949="L",C949="S",C949="I"),-1,1)</f>
        <v>0</v>
      </c>
      <c r="AY949" s="853" t="s">
        <v>772</v>
      </c>
      <c r="AZ949" s="853" t="str">
        <f>+VLOOKUP($AJ949,Data_Validation!$A:$E,5,0)</f>
        <v>#N/A</v>
      </c>
    </row>
    <row r="950" ht="15.0" customHeight="1">
      <c r="A950" s="849" t="s">
        <v>1239</v>
      </c>
      <c r="B950" s="849">
        <v>2026.0</v>
      </c>
      <c r="C950" s="849" t="s">
        <v>3099</v>
      </c>
      <c r="D950" s="849" t="s">
        <v>3100</v>
      </c>
      <c r="E950" s="849" t="s">
        <v>768</v>
      </c>
      <c r="F950" s="849" t="s">
        <v>2855</v>
      </c>
      <c r="G950" s="849">
        <v>0.0</v>
      </c>
      <c r="H950" s="849">
        <v>0.0</v>
      </c>
      <c r="I950" s="849">
        <v>0.0</v>
      </c>
      <c r="J950" s="849">
        <v>0.0</v>
      </c>
      <c r="K950" s="849">
        <v>0.0</v>
      </c>
      <c r="L950" s="849">
        <v>0.0</v>
      </c>
      <c r="M950" s="849">
        <v>0.0</v>
      </c>
      <c r="N950" s="849">
        <v>0.0</v>
      </c>
      <c r="O950" s="849">
        <v>0.0</v>
      </c>
      <c r="P950" s="849">
        <v>0.0</v>
      </c>
      <c r="Q950" s="849">
        <v>0.0</v>
      </c>
      <c r="R950" s="849">
        <v>0.0</v>
      </c>
      <c r="S950" s="849">
        <v>0.0</v>
      </c>
      <c r="T950" s="849">
        <v>0.0</v>
      </c>
      <c r="U950" s="849">
        <v>0.0</v>
      </c>
      <c r="V950" s="849">
        <v>0.0</v>
      </c>
      <c r="W950" s="849">
        <v>0.0</v>
      </c>
      <c r="X950" s="849">
        <v>0.0</v>
      </c>
      <c r="Y950" s="849">
        <v>0.0</v>
      </c>
      <c r="Z950" s="849">
        <v>0.0</v>
      </c>
      <c r="AA950" s="849">
        <v>0.0</v>
      </c>
      <c r="AB950" s="849">
        <v>0.0</v>
      </c>
      <c r="AC950" s="849">
        <v>0.0</v>
      </c>
      <c r="AD950" s="849">
        <v>0.0</v>
      </c>
      <c r="AE950" s="849">
        <v>0.0</v>
      </c>
      <c r="AF950" s="849">
        <v>0.0</v>
      </c>
      <c r="AG950" s="849">
        <v>0.0</v>
      </c>
      <c r="AH950" s="849">
        <v>0.0</v>
      </c>
      <c r="AI950" s="849">
        <v>0.0</v>
      </c>
      <c r="AJ950" s="794" t="str">
        <f t="shared" ref="AJ950:AK950" si="1897">C950</f>
        <v>G65305</v>
      </c>
      <c r="AK950" s="794" t="str">
        <f t="shared" si="1897"/>
        <v>COUT-PRT DOMINO-TAG USAGE</v>
      </c>
      <c r="AL950" s="794">
        <f t="array" ref="AL950">IFERROR(INDEX(G950:R950,1,MATCH(Parametres!$B$3,G$1:R$1,0)-1)*IF(OR(F950="L",F950="S",F950="I"),-1,1),"")</f>
        <v>0</v>
      </c>
      <c r="AM950" s="794">
        <f t="shared" si="4"/>
        <v>0</v>
      </c>
      <c r="AN950" s="794">
        <f t="array" ref="AN950">INDEX(G950:R950,1,MATCH(Parametres!$B$3,G$1:R$1,0))*IF(OR(F950="L",F950="S",F950="I"),-1,1)</f>
        <v>0</v>
      </c>
      <c r="AO950" s="853" t="str">
        <f>+VLOOKUP($AJ950,Data_Validation!$A:$D,1,0)</f>
        <v>#N/A</v>
      </c>
      <c r="AP950" s="853" t="str">
        <f>+VLOOKUP($AJ950,Data_Validation!$A:$D,3,0)</f>
        <v>#N/A</v>
      </c>
      <c r="AQ950" s="853" t="str">
        <f>+VLOOKUP($AJ950,Data_Validation!$A:$D,4,0)</f>
        <v>#N/A</v>
      </c>
      <c r="AR950" s="853" t="s">
        <v>728</v>
      </c>
      <c r="AS950" s="853" t="str">
        <f>+VLOOKUP($AJ950,Data_Validation!$A:$E,5,0)</f>
        <v>#N/A</v>
      </c>
      <c r="AT950" s="794" t="str">
        <f t="shared" ref="AT950:AU950" si="1898">C950</f>
        <v>G65305</v>
      </c>
      <c r="AU950" s="854" t="str">
        <f t="shared" si="1898"/>
        <v>COUT-PRT DOMINO-TAG USAGE</v>
      </c>
      <c r="AV950" s="794">
        <f t="array" ref="AV950">IFERROR(INDEX(V950:AG950,1,MATCH(Parametres!$B$3,V$1:AG$1,0)-1)*IF(OR(C950="L",C950="S",C950="I"),-1,1),"")</f>
        <v>0</v>
      </c>
      <c r="AW950" s="794">
        <f t="shared" si="6"/>
        <v>0</v>
      </c>
      <c r="AX950" s="794">
        <f t="array" ref="AX950">INDEX(V950:AG950,1,MATCH(Parametres!$B$3,V$1:AG$1,0))*IF(OR(C950="L",C950="S",C950="I"),-1,1)</f>
        <v>0</v>
      </c>
      <c r="AY950" s="853" t="s">
        <v>772</v>
      </c>
      <c r="AZ950" s="853" t="str">
        <f>+VLOOKUP($AJ950,Data_Validation!$A:$E,5,0)</f>
        <v>#N/A</v>
      </c>
    </row>
    <row r="951" ht="15.0" customHeight="1">
      <c r="A951" s="849" t="s">
        <v>1239</v>
      </c>
      <c r="B951" s="849">
        <v>2026.0</v>
      </c>
      <c r="C951" s="849" t="s">
        <v>3101</v>
      </c>
      <c r="D951" s="849" t="s">
        <v>3102</v>
      </c>
      <c r="E951" s="849" t="s">
        <v>768</v>
      </c>
      <c r="F951" s="849" t="s">
        <v>2855</v>
      </c>
      <c r="G951" s="849">
        <v>18498.0</v>
      </c>
      <c r="H951" s="849">
        <v>22917.76</v>
      </c>
      <c r="I951" s="849">
        <v>31986.76</v>
      </c>
      <c r="J951" s="849">
        <v>54598.76</v>
      </c>
      <c r="K951" s="849">
        <v>72597.76</v>
      </c>
      <c r="L951" s="849">
        <v>89481.76</v>
      </c>
      <c r="M951" s="849">
        <v>89481.76</v>
      </c>
      <c r="N951" s="849">
        <v>99492.76</v>
      </c>
      <c r="O951" s="849">
        <v>100451.76</v>
      </c>
      <c r="P951" s="849">
        <v>100451.76</v>
      </c>
      <c r="Q951" s="849">
        <v>0.0</v>
      </c>
      <c r="R951" s="849">
        <v>0.0</v>
      </c>
      <c r="S951" s="849">
        <v>11161.31</v>
      </c>
      <c r="T951" s="849">
        <v>11161.31</v>
      </c>
      <c r="U951" s="849">
        <v>0.0</v>
      </c>
      <c r="V951" s="849">
        <v>0.0</v>
      </c>
      <c r="W951" s="849">
        <v>0.0</v>
      </c>
      <c r="X951" s="849">
        <v>0.0</v>
      </c>
      <c r="Y951" s="849">
        <v>0.0</v>
      </c>
      <c r="Z951" s="849">
        <v>0.0</v>
      </c>
      <c r="AA951" s="849">
        <v>0.0</v>
      </c>
      <c r="AB951" s="849">
        <v>0.0</v>
      </c>
      <c r="AC951" s="849">
        <v>0.0</v>
      </c>
      <c r="AD951" s="849">
        <v>0.0</v>
      </c>
      <c r="AE951" s="849">
        <v>0.0</v>
      </c>
      <c r="AF951" s="849">
        <v>0.0</v>
      </c>
      <c r="AG951" s="849">
        <v>0.0</v>
      </c>
      <c r="AH951" s="849">
        <v>0.0</v>
      </c>
      <c r="AI951" s="849">
        <v>0.0</v>
      </c>
      <c r="AJ951" s="794" t="str">
        <f t="shared" ref="AJ951:AK951" si="1899">C951</f>
        <v>G65400</v>
      </c>
      <c r="AK951" s="794" t="str">
        <f t="shared" si="1899"/>
        <v>COUT-PLAN PROTECTION USAG</v>
      </c>
      <c r="AL951" s="794">
        <f t="array" ref="AL951">IFERROR(INDEX(G951:R951,1,MATCH(Parametres!$B$3,G$1:R$1,0)-1)*IF(OR(F951="L",F951="S",F951="I"),-1,1),"")</f>
        <v>99492.76</v>
      </c>
      <c r="AM951" s="794">
        <f t="shared" si="4"/>
        <v>959</v>
      </c>
      <c r="AN951" s="794">
        <f t="array" ref="AN951">INDEX(G951:R951,1,MATCH(Parametres!$B$3,G$1:R$1,0))*IF(OR(F951="L",F951="S",F951="I"),-1,1)</f>
        <v>100451.76</v>
      </c>
      <c r="AO951" s="853" t="str">
        <f>+VLOOKUP($AJ951,Data_Validation!$A:$D,1,0)</f>
        <v>G65400</v>
      </c>
      <c r="AP951" s="853" t="str">
        <f>+VLOOKUP($AJ951,Data_Validation!$A:$D,3,0)</f>
        <v>Véhicules usagés</v>
      </c>
      <c r="AQ951" s="853" t="str">
        <f>+VLOOKUP($AJ951,Data_Validation!$A:$D,4,0)</f>
        <v>Rev. Protections</v>
      </c>
      <c r="AR951" s="853" t="s">
        <v>728</v>
      </c>
      <c r="AS951" s="853" t="str">
        <f>+VLOOKUP($AJ951,Data_Validation!$A:$E,5,0)</f>
        <v/>
      </c>
      <c r="AT951" s="794" t="str">
        <f t="shared" ref="AT951:AU951" si="1900">C951</f>
        <v>G65400</v>
      </c>
      <c r="AU951" s="854" t="str">
        <f t="shared" si="1900"/>
        <v>COUT-PLAN PROTECTION USAG</v>
      </c>
      <c r="AV951" s="794">
        <f t="array" ref="AV951">IFERROR(INDEX(V951:AG951,1,MATCH(Parametres!$B$3,V$1:AG$1,0)-1)*IF(OR(C951="L",C951="S",C951="I"),-1,1),"")</f>
        <v>0</v>
      </c>
      <c r="AW951" s="794">
        <f t="shared" si="6"/>
        <v>0</v>
      </c>
      <c r="AX951" s="794">
        <f t="array" ref="AX951">INDEX(V951:AG951,1,MATCH(Parametres!$B$3,V$1:AG$1,0))*IF(OR(C951="L",C951="S",C951="I"),-1,1)</f>
        <v>0</v>
      </c>
      <c r="AY951" s="853" t="s">
        <v>772</v>
      </c>
      <c r="AZ951" s="853" t="str">
        <f>+VLOOKUP($AJ951,Data_Validation!$A:$E,5,0)</f>
        <v/>
      </c>
    </row>
    <row r="952" ht="15.0" customHeight="1">
      <c r="A952" s="849" t="s">
        <v>1239</v>
      </c>
      <c r="B952" s="849">
        <v>2026.0</v>
      </c>
      <c r="C952" s="849" t="s">
        <v>3103</v>
      </c>
      <c r="D952" s="849" t="s">
        <v>3104</v>
      </c>
      <c r="E952" s="849" t="s">
        <v>768</v>
      </c>
      <c r="F952" s="849" t="s">
        <v>2855</v>
      </c>
      <c r="G952" s="849">
        <v>0.0</v>
      </c>
      <c r="H952" s="849">
        <v>0.0</v>
      </c>
      <c r="I952" s="849">
        <v>0.0</v>
      </c>
      <c r="J952" s="849">
        <v>0.0</v>
      </c>
      <c r="K952" s="849">
        <v>0.0</v>
      </c>
      <c r="L952" s="849">
        <v>0.0</v>
      </c>
      <c r="M952" s="849">
        <v>5911.0</v>
      </c>
      <c r="N952" s="849">
        <v>6168.43</v>
      </c>
      <c r="O952" s="849">
        <v>6168.43</v>
      </c>
      <c r="P952" s="849">
        <v>6168.43</v>
      </c>
      <c r="Q952" s="849">
        <v>0.0</v>
      </c>
      <c r="R952" s="849">
        <v>0.0</v>
      </c>
      <c r="S952" s="849">
        <v>685.38</v>
      </c>
      <c r="T952" s="849">
        <v>685.38</v>
      </c>
      <c r="U952" s="849">
        <v>0.0</v>
      </c>
      <c r="V952" s="849">
        <v>0.0</v>
      </c>
      <c r="W952" s="849">
        <v>0.0</v>
      </c>
      <c r="X952" s="849">
        <v>0.0</v>
      </c>
      <c r="Y952" s="849">
        <v>0.0</v>
      </c>
      <c r="Z952" s="849">
        <v>0.0</v>
      </c>
      <c r="AA952" s="849">
        <v>0.0</v>
      </c>
      <c r="AB952" s="849">
        <v>0.0</v>
      </c>
      <c r="AC952" s="849">
        <v>0.0</v>
      </c>
      <c r="AD952" s="849">
        <v>0.0</v>
      </c>
      <c r="AE952" s="849">
        <v>0.0</v>
      </c>
      <c r="AF952" s="849">
        <v>0.0</v>
      </c>
      <c r="AG952" s="849">
        <v>0.0</v>
      </c>
      <c r="AH952" s="849">
        <v>0.0</v>
      </c>
      <c r="AI952" s="849">
        <v>0.0</v>
      </c>
      <c r="AJ952" s="794" t="str">
        <f t="shared" ref="AJ952:AK952" si="1901">C952</f>
        <v>G65401</v>
      </c>
      <c r="AK952" s="794" t="str">
        <f t="shared" si="1901"/>
        <v>COUT ANTIROUILLE USAGE</v>
      </c>
      <c r="AL952" s="794">
        <f t="array" ref="AL952">IFERROR(INDEX(G952:R952,1,MATCH(Parametres!$B$3,G$1:R$1,0)-1)*IF(OR(F952="L",F952="S",F952="I"),-1,1),"")</f>
        <v>6168.43</v>
      </c>
      <c r="AM952" s="794">
        <f t="shared" si="4"/>
        <v>0</v>
      </c>
      <c r="AN952" s="794">
        <f t="array" ref="AN952">INDEX(G952:R952,1,MATCH(Parametres!$B$3,G$1:R$1,0))*IF(OR(F952="L",F952="S",F952="I"),-1,1)</f>
        <v>6168.43</v>
      </c>
      <c r="AO952" s="853" t="str">
        <f>+VLOOKUP($AJ952,Data_Validation!$A:$D,1,0)</f>
        <v>G65401</v>
      </c>
      <c r="AP952" s="853" t="str">
        <f>+VLOOKUP($AJ952,Data_Validation!$A:$D,3,0)</f>
        <v>Véhicules usagés</v>
      </c>
      <c r="AQ952" s="853" t="str">
        <f>+VLOOKUP($AJ952,Data_Validation!$A:$D,4,0)</f>
        <v>Rev. Protections</v>
      </c>
      <c r="AR952" s="853" t="s">
        <v>728</v>
      </c>
      <c r="AS952" s="853" t="str">
        <f>+VLOOKUP($AJ952,Data_Validation!$A:$E,5,0)</f>
        <v/>
      </c>
      <c r="AT952" s="794" t="str">
        <f t="shared" ref="AT952:AU952" si="1902">C952</f>
        <v>G65401</v>
      </c>
      <c r="AU952" s="854" t="str">
        <f t="shared" si="1902"/>
        <v>COUT ANTIROUILLE USAGE</v>
      </c>
      <c r="AV952" s="794">
        <f t="array" ref="AV952">IFERROR(INDEX(V952:AG952,1,MATCH(Parametres!$B$3,V$1:AG$1,0)-1)*IF(OR(C952="L",C952="S",C952="I"),-1,1),"")</f>
        <v>0</v>
      </c>
      <c r="AW952" s="794">
        <f t="shared" si="6"/>
        <v>0</v>
      </c>
      <c r="AX952" s="794">
        <f t="array" ref="AX952">INDEX(V952:AG952,1,MATCH(Parametres!$B$3,V$1:AG$1,0))*IF(OR(C952="L",C952="S",C952="I"),-1,1)</f>
        <v>0</v>
      </c>
      <c r="AY952" s="853" t="s">
        <v>772</v>
      </c>
      <c r="AZ952" s="853" t="str">
        <f>+VLOOKUP($AJ952,Data_Validation!$A:$E,5,0)</f>
        <v/>
      </c>
    </row>
    <row r="953" ht="15.0" customHeight="1">
      <c r="A953" s="849" t="s">
        <v>1239</v>
      </c>
      <c r="B953" s="849">
        <v>2026.0</v>
      </c>
      <c r="C953" s="849" t="s">
        <v>3105</v>
      </c>
      <c r="D953" s="849" t="s">
        <v>3106</v>
      </c>
      <c r="E953" s="849" t="s">
        <v>768</v>
      </c>
      <c r="F953" s="849" t="s">
        <v>2855</v>
      </c>
      <c r="G953" s="849">
        <v>0.0</v>
      </c>
      <c r="H953" s="849">
        <v>0.0</v>
      </c>
      <c r="I953" s="849">
        <v>0.0</v>
      </c>
      <c r="J953" s="849">
        <v>0.0</v>
      </c>
      <c r="K953" s="849">
        <v>0.0</v>
      </c>
      <c r="L953" s="849">
        <v>0.0</v>
      </c>
      <c r="M953" s="849">
        <v>0.0</v>
      </c>
      <c r="N953" s="849">
        <v>0.0</v>
      </c>
      <c r="O953" s="849">
        <v>0.0</v>
      </c>
      <c r="P953" s="849">
        <v>0.0</v>
      </c>
      <c r="Q953" s="849">
        <v>0.0</v>
      </c>
      <c r="R953" s="849">
        <v>0.0</v>
      </c>
      <c r="S953" s="849">
        <v>0.0</v>
      </c>
      <c r="T953" s="849">
        <v>0.0</v>
      </c>
      <c r="U953" s="849">
        <v>0.0</v>
      </c>
      <c r="V953" s="849">
        <v>0.0</v>
      </c>
      <c r="W953" s="849">
        <v>0.0</v>
      </c>
      <c r="X953" s="849">
        <v>0.0</v>
      </c>
      <c r="Y953" s="849">
        <v>0.0</v>
      </c>
      <c r="Z953" s="849">
        <v>0.0</v>
      </c>
      <c r="AA953" s="849">
        <v>0.0</v>
      </c>
      <c r="AB953" s="849">
        <v>0.0</v>
      </c>
      <c r="AC953" s="849">
        <v>0.0</v>
      </c>
      <c r="AD953" s="849">
        <v>0.0</v>
      </c>
      <c r="AE953" s="849">
        <v>0.0</v>
      </c>
      <c r="AF953" s="849">
        <v>0.0</v>
      </c>
      <c r="AG953" s="849">
        <v>0.0</v>
      </c>
      <c r="AH953" s="849">
        <v>0.0</v>
      </c>
      <c r="AI953" s="849">
        <v>0.0</v>
      </c>
      <c r="AJ953" s="794" t="str">
        <f t="shared" ref="AJ953:AK953" si="1903">C953</f>
        <v>G65403</v>
      </c>
      <c r="AK953" s="794" t="str">
        <f t="shared" si="1903"/>
        <v>COUT VITRE-PEINT-TISS- US</v>
      </c>
      <c r="AL953" s="794">
        <f t="array" ref="AL953">IFERROR(INDEX(G953:R953,1,MATCH(Parametres!$B$3,G$1:R$1,0)-1)*IF(OR(F953="L",F953="S",F953="I"),-1,1),"")</f>
        <v>0</v>
      </c>
      <c r="AM953" s="794">
        <f t="shared" si="4"/>
        <v>0</v>
      </c>
      <c r="AN953" s="794">
        <f t="array" ref="AN953">INDEX(G953:R953,1,MATCH(Parametres!$B$3,G$1:R$1,0))*IF(OR(F953="L",F953="S",F953="I"),-1,1)</f>
        <v>0</v>
      </c>
      <c r="AO953" s="853" t="str">
        <f>+VLOOKUP($AJ953,Data_Validation!$A:$D,1,0)</f>
        <v>#N/A</v>
      </c>
      <c r="AP953" s="853" t="str">
        <f>+VLOOKUP($AJ953,Data_Validation!$A:$D,3,0)</f>
        <v>#N/A</v>
      </c>
      <c r="AQ953" s="853" t="str">
        <f>+VLOOKUP($AJ953,Data_Validation!$A:$D,4,0)</f>
        <v>#N/A</v>
      </c>
      <c r="AR953" s="853" t="s">
        <v>728</v>
      </c>
      <c r="AS953" s="853" t="str">
        <f>+VLOOKUP($AJ953,Data_Validation!$A:$E,5,0)</f>
        <v>#N/A</v>
      </c>
      <c r="AT953" s="794" t="str">
        <f t="shared" ref="AT953:AU953" si="1904">C953</f>
        <v>G65403</v>
      </c>
      <c r="AU953" s="854" t="str">
        <f t="shared" si="1904"/>
        <v>COUT VITRE-PEINT-TISS- US</v>
      </c>
      <c r="AV953" s="794">
        <f t="array" ref="AV953">IFERROR(INDEX(V953:AG953,1,MATCH(Parametres!$B$3,V$1:AG$1,0)-1)*IF(OR(C953="L",C953="S",C953="I"),-1,1),"")</f>
        <v>0</v>
      </c>
      <c r="AW953" s="794">
        <f t="shared" si="6"/>
        <v>0</v>
      </c>
      <c r="AX953" s="794">
        <f t="array" ref="AX953">INDEX(V953:AG953,1,MATCH(Parametres!$B$3,V$1:AG$1,0))*IF(OR(C953="L",C953="S",C953="I"),-1,1)</f>
        <v>0</v>
      </c>
      <c r="AY953" s="853" t="s">
        <v>772</v>
      </c>
      <c r="AZ953" s="853" t="str">
        <f>+VLOOKUP($AJ953,Data_Validation!$A:$E,5,0)</f>
        <v>#N/A</v>
      </c>
    </row>
    <row r="954" ht="15.0" customHeight="1">
      <c r="A954" s="849" t="s">
        <v>1239</v>
      </c>
      <c r="B954" s="849">
        <v>2026.0</v>
      </c>
      <c r="C954" s="849" t="s">
        <v>3107</v>
      </c>
      <c r="D954" s="849" t="s">
        <v>3108</v>
      </c>
      <c r="E954" s="849" t="s">
        <v>768</v>
      </c>
      <c r="F954" s="849" t="s">
        <v>2855</v>
      </c>
      <c r="G954" s="849">
        <v>0.0</v>
      </c>
      <c r="H954" s="849">
        <v>0.0</v>
      </c>
      <c r="I954" s="849">
        <v>0.0</v>
      </c>
      <c r="J954" s="849">
        <v>0.0</v>
      </c>
      <c r="K954" s="849">
        <v>0.0</v>
      </c>
      <c r="L954" s="849">
        <v>0.0</v>
      </c>
      <c r="M954" s="849">
        <v>760.0</v>
      </c>
      <c r="N954" s="849">
        <v>760.0</v>
      </c>
      <c r="O954" s="849">
        <v>760.0</v>
      </c>
      <c r="P954" s="849">
        <v>760.0</v>
      </c>
      <c r="Q954" s="849">
        <v>0.0</v>
      </c>
      <c r="R954" s="849">
        <v>0.0</v>
      </c>
      <c r="S954" s="849">
        <v>84.44</v>
      </c>
      <c r="T954" s="849">
        <v>84.44</v>
      </c>
      <c r="U954" s="849">
        <v>0.0</v>
      </c>
      <c r="V954" s="849">
        <v>0.0</v>
      </c>
      <c r="W954" s="849">
        <v>0.0</v>
      </c>
      <c r="X954" s="849">
        <v>0.0</v>
      </c>
      <c r="Y954" s="849">
        <v>0.0</v>
      </c>
      <c r="Z954" s="849">
        <v>0.0</v>
      </c>
      <c r="AA954" s="849">
        <v>0.0</v>
      </c>
      <c r="AB954" s="849">
        <v>0.0</v>
      </c>
      <c r="AC954" s="849">
        <v>0.0</v>
      </c>
      <c r="AD954" s="849">
        <v>0.0</v>
      </c>
      <c r="AE954" s="849">
        <v>0.0</v>
      </c>
      <c r="AF954" s="849">
        <v>0.0</v>
      </c>
      <c r="AG954" s="849">
        <v>0.0</v>
      </c>
      <c r="AH954" s="849">
        <v>0.0</v>
      </c>
      <c r="AI954" s="849">
        <v>0.0</v>
      </c>
      <c r="AJ954" s="794" t="str">
        <f t="shared" ref="AJ954:AK954" si="1905">C954</f>
        <v>G65405</v>
      </c>
      <c r="AK954" s="794" t="str">
        <f t="shared" si="1905"/>
        <v>COUT ANTIVOL-TAG -OCC</v>
      </c>
      <c r="AL954" s="794">
        <f t="array" ref="AL954">IFERROR(INDEX(G954:R954,1,MATCH(Parametres!$B$3,G$1:R$1,0)-1)*IF(OR(F954="L",F954="S",F954="I"),-1,1),"")</f>
        <v>760</v>
      </c>
      <c r="AM954" s="794">
        <f t="shared" si="4"/>
        <v>0</v>
      </c>
      <c r="AN954" s="794">
        <f t="array" ref="AN954">INDEX(G954:R954,1,MATCH(Parametres!$B$3,G$1:R$1,0))*IF(OR(F954="L",F954="S",F954="I"),-1,1)</f>
        <v>760</v>
      </c>
      <c r="AO954" s="853" t="str">
        <f>+VLOOKUP($AJ954,Data_Validation!$A:$D,1,0)</f>
        <v>G65405</v>
      </c>
      <c r="AP954" s="853" t="str">
        <f>+VLOOKUP($AJ954,Data_Validation!$A:$D,3,0)</f>
        <v>Véhicules usagés</v>
      </c>
      <c r="AQ954" s="853" t="str">
        <f>+VLOOKUP($AJ954,Data_Validation!$A:$D,4,0)</f>
        <v>Rev. Protections</v>
      </c>
      <c r="AR954" s="853" t="s">
        <v>728</v>
      </c>
      <c r="AS954" s="853" t="str">
        <f>+VLOOKUP($AJ954,Data_Validation!$A:$E,5,0)</f>
        <v/>
      </c>
      <c r="AT954" s="794" t="str">
        <f t="shared" ref="AT954:AU954" si="1906">C954</f>
        <v>G65405</v>
      </c>
      <c r="AU954" s="854" t="str">
        <f t="shared" si="1906"/>
        <v>COUT ANTIVOL-TAG -OCC</v>
      </c>
      <c r="AV954" s="794">
        <f t="array" ref="AV954">IFERROR(INDEX(V954:AG954,1,MATCH(Parametres!$B$3,V$1:AG$1,0)-1)*IF(OR(C954="L",C954="S",C954="I"),-1,1),"")</f>
        <v>0</v>
      </c>
      <c r="AW954" s="794">
        <f t="shared" si="6"/>
        <v>0</v>
      </c>
      <c r="AX954" s="794">
        <f t="array" ref="AX954">INDEX(V954:AG954,1,MATCH(Parametres!$B$3,V$1:AG$1,0))*IF(OR(C954="L",C954="S",C954="I"),-1,1)</f>
        <v>0</v>
      </c>
      <c r="AY954" s="853" t="s">
        <v>772</v>
      </c>
      <c r="AZ954" s="853" t="str">
        <f>+VLOOKUP($AJ954,Data_Validation!$A:$E,5,0)</f>
        <v/>
      </c>
    </row>
    <row r="955" ht="15.0" customHeight="1">
      <c r="A955" s="849" t="s">
        <v>1239</v>
      </c>
      <c r="B955" s="849">
        <v>2026.0</v>
      </c>
      <c r="C955" s="849" t="s">
        <v>3109</v>
      </c>
      <c r="D955" s="849" t="s">
        <v>3110</v>
      </c>
      <c r="E955" s="849" t="s">
        <v>768</v>
      </c>
      <c r="F955" s="849" t="s">
        <v>2855</v>
      </c>
      <c r="G955" s="849">
        <v>0.0</v>
      </c>
      <c r="H955" s="849">
        <v>0.0</v>
      </c>
      <c r="I955" s="849">
        <v>0.0</v>
      </c>
      <c r="J955" s="849">
        <v>0.0</v>
      </c>
      <c r="K955" s="849">
        <v>0.0</v>
      </c>
      <c r="L955" s="849">
        <v>0.0</v>
      </c>
      <c r="M955" s="849">
        <v>0.0</v>
      </c>
      <c r="N955" s="849">
        <v>0.0</v>
      </c>
      <c r="O955" s="849">
        <v>0.0</v>
      </c>
      <c r="P955" s="849">
        <v>0.0</v>
      </c>
      <c r="Q955" s="849">
        <v>0.0</v>
      </c>
      <c r="R955" s="849">
        <v>0.0</v>
      </c>
      <c r="S955" s="849">
        <v>0.0</v>
      </c>
      <c r="T955" s="849">
        <v>0.0</v>
      </c>
      <c r="U955" s="849">
        <v>0.0</v>
      </c>
      <c r="V955" s="849">
        <v>0.0</v>
      </c>
      <c r="W955" s="849">
        <v>0.0</v>
      </c>
      <c r="X955" s="849">
        <v>0.0</v>
      </c>
      <c r="Y955" s="849">
        <v>0.0</v>
      </c>
      <c r="Z955" s="849">
        <v>0.0</v>
      </c>
      <c r="AA955" s="849">
        <v>0.0</v>
      </c>
      <c r="AB955" s="849">
        <v>0.0</v>
      </c>
      <c r="AC955" s="849">
        <v>0.0</v>
      </c>
      <c r="AD955" s="849">
        <v>0.0</v>
      </c>
      <c r="AE955" s="849">
        <v>0.0</v>
      </c>
      <c r="AF955" s="849">
        <v>0.0</v>
      </c>
      <c r="AG955" s="849">
        <v>0.0</v>
      </c>
      <c r="AH955" s="849">
        <v>0.0</v>
      </c>
      <c r="AI955" s="849">
        <v>0.0</v>
      </c>
      <c r="AJ955" s="794" t="str">
        <f t="shared" ref="AJ955:AK955" si="1907">C955</f>
        <v>G65410</v>
      </c>
      <c r="AK955" s="794" t="str">
        <f t="shared" si="1907"/>
        <v>C/V - PL PROTECT GM USAGE</v>
      </c>
      <c r="AL955" s="794">
        <f t="array" ref="AL955">IFERROR(INDEX(G955:R955,1,MATCH(Parametres!$B$3,G$1:R$1,0)-1)*IF(OR(F955="L",F955="S",F955="I"),-1,1),"")</f>
        <v>0</v>
      </c>
      <c r="AM955" s="794">
        <f t="shared" si="4"/>
        <v>0</v>
      </c>
      <c r="AN955" s="794">
        <f t="array" ref="AN955">INDEX(G955:R955,1,MATCH(Parametres!$B$3,G$1:R$1,0))*IF(OR(F955="L",F955="S",F955="I"),-1,1)</f>
        <v>0</v>
      </c>
      <c r="AO955" s="853" t="str">
        <f>+VLOOKUP($AJ955,Data_Validation!$A:$D,1,0)</f>
        <v>#N/A</v>
      </c>
      <c r="AP955" s="853" t="str">
        <f>+VLOOKUP($AJ955,Data_Validation!$A:$D,3,0)</f>
        <v>#N/A</v>
      </c>
      <c r="AQ955" s="853" t="str">
        <f>+VLOOKUP($AJ955,Data_Validation!$A:$D,4,0)</f>
        <v>#N/A</v>
      </c>
      <c r="AR955" s="853" t="s">
        <v>728</v>
      </c>
      <c r="AS955" s="853" t="str">
        <f>+VLOOKUP($AJ955,Data_Validation!$A:$E,5,0)</f>
        <v>#N/A</v>
      </c>
      <c r="AT955" s="794" t="str">
        <f t="shared" ref="AT955:AU955" si="1908">C955</f>
        <v>G65410</v>
      </c>
      <c r="AU955" s="854" t="str">
        <f t="shared" si="1908"/>
        <v>C/V - PL PROTECT GM USAGE</v>
      </c>
      <c r="AV955" s="794">
        <f t="array" ref="AV955">IFERROR(INDEX(V955:AG955,1,MATCH(Parametres!$B$3,V$1:AG$1,0)-1)*IF(OR(C955="L",C955="S",C955="I"),-1,1),"")</f>
        <v>0</v>
      </c>
      <c r="AW955" s="794">
        <f t="shared" si="6"/>
        <v>0</v>
      </c>
      <c r="AX955" s="794">
        <f t="array" ref="AX955">INDEX(V955:AG955,1,MATCH(Parametres!$B$3,V$1:AG$1,0))*IF(OR(C955="L",C955="S",C955="I"),-1,1)</f>
        <v>0</v>
      </c>
      <c r="AY955" s="853" t="s">
        <v>772</v>
      </c>
      <c r="AZ955" s="853" t="str">
        <f>+VLOOKUP($AJ955,Data_Validation!$A:$E,5,0)</f>
        <v>#N/A</v>
      </c>
    </row>
    <row r="956" ht="15.0" customHeight="1">
      <c r="A956" s="849" t="s">
        <v>1239</v>
      </c>
      <c r="B956" s="849">
        <v>2026.0</v>
      </c>
      <c r="C956" s="849" t="s">
        <v>3111</v>
      </c>
      <c r="D956" s="849" t="s">
        <v>3112</v>
      </c>
      <c r="E956" s="849" t="s">
        <v>768</v>
      </c>
      <c r="F956" s="849" t="s">
        <v>2855</v>
      </c>
      <c r="G956" s="849">
        <v>0.0</v>
      </c>
      <c r="H956" s="849">
        <v>0.0</v>
      </c>
      <c r="I956" s="849">
        <v>0.0</v>
      </c>
      <c r="J956" s="849">
        <v>0.0</v>
      </c>
      <c r="K956" s="849">
        <v>0.0</v>
      </c>
      <c r="L956" s="849">
        <v>0.0</v>
      </c>
      <c r="M956" s="849">
        <v>0.0</v>
      </c>
      <c r="N956" s="849">
        <v>0.0</v>
      </c>
      <c r="O956" s="849">
        <v>0.0</v>
      </c>
      <c r="P956" s="849">
        <v>0.0</v>
      </c>
      <c r="Q956" s="849">
        <v>0.0</v>
      </c>
      <c r="R956" s="849">
        <v>0.0</v>
      </c>
      <c r="S956" s="849">
        <v>0.0</v>
      </c>
      <c r="T956" s="849">
        <v>0.0</v>
      </c>
      <c r="U956" s="849">
        <v>0.0</v>
      </c>
      <c r="V956" s="849">
        <v>0.0</v>
      </c>
      <c r="W956" s="849">
        <v>0.0</v>
      </c>
      <c r="X956" s="849">
        <v>0.0</v>
      </c>
      <c r="Y956" s="849">
        <v>0.0</v>
      </c>
      <c r="Z956" s="849">
        <v>0.0</v>
      </c>
      <c r="AA956" s="849">
        <v>0.0</v>
      </c>
      <c r="AB956" s="849">
        <v>0.0</v>
      </c>
      <c r="AC956" s="849">
        <v>0.0</v>
      </c>
      <c r="AD956" s="849">
        <v>0.0</v>
      </c>
      <c r="AE956" s="849">
        <v>0.0</v>
      </c>
      <c r="AF956" s="849">
        <v>0.0</v>
      </c>
      <c r="AG956" s="849">
        <v>0.0</v>
      </c>
      <c r="AH956" s="849">
        <v>0.0</v>
      </c>
      <c r="AI956" s="849">
        <v>0.0</v>
      </c>
      <c r="AJ956" s="794" t="str">
        <f t="shared" ref="AJ956:AK956" si="1909">C956</f>
        <v>G65411</v>
      </c>
      <c r="AK956" s="794" t="str">
        <f t="shared" si="1909"/>
        <v>COUT -PR PNEUS-JANTE USAG</v>
      </c>
      <c r="AL956" s="794">
        <f t="array" ref="AL956">IFERROR(INDEX(G956:R956,1,MATCH(Parametres!$B$3,G$1:R$1,0)-1)*IF(OR(F956="L",F956="S",F956="I"),-1,1),"")</f>
        <v>0</v>
      </c>
      <c r="AM956" s="794">
        <f t="shared" si="4"/>
        <v>0</v>
      </c>
      <c r="AN956" s="794">
        <f t="array" ref="AN956">INDEX(G956:R956,1,MATCH(Parametres!$B$3,G$1:R$1,0))*IF(OR(F956="L",F956="S",F956="I"),-1,1)</f>
        <v>0</v>
      </c>
      <c r="AO956" s="853" t="str">
        <f>+VLOOKUP($AJ956,Data_Validation!$A:$D,1,0)</f>
        <v>#N/A</v>
      </c>
      <c r="AP956" s="853" t="str">
        <f>+VLOOKUP($AJ956,Data_Validation!$A:$D,3,0)</f>
        <v>#N/A</v>
      </c>
      <c r="AQ956" s="853" t="str">
        <f>+VLOOKUP($AJ956,Data_Validation!$A:$D,4,0)</f>
        <v>#N/A</v>
      </c>
      <c r="AR956" s="853" t="s">
        <v>728</v>
      </c>
      <c r="AS956" s="853" t="str">
        <f>+VLOOKUP($AJ956,Data_Validation!$A:$E,5,0)</f>
        <v>#N/A</v>
      </c>
      <c r="AT956" s="794" t="str">
        <f t="shared" ref="AT956:AU956" si="1910">C956</f>
        <v>G65411</v>
      </c>
      <c r="AU956" s="854" t="str">
        <f t="shared" si="1910"/>
        <v>COUT -PR PNEUS-JANTE USAG</v>
      </c>
      <c r="AV956" s="794">
        <f t="array" ref="AV956">IFERROR(INDEX(V956:AG956,1,MATCH(Parametres!$B$3,V$1:AG$1,0)-1)*IF(OR(C956="L",C956="S",C956="I"),-1,1),"")</f>
        <v>0</v>
      </c>
      <c r="AW956" s="794">
        <f t="shared" si="6"/>
        <v>0</v>
      </c>
      <c r="AX956" s="794">
        <f t="array" ref="AX956">INDEX(V956:AG956,1,MATCH(Parametres!$B$3,V$1:AG$1,0))*IF(OR(C956="L",C956="S",C956="I"),-1,1)</f>
        <v>0</v>
      </c>
      <c r="AY956" s="853" t="s">
        <v>772</v>
      </c>
      <c r="AZ956" s="853" t="str">
        <f>+VLOOKUP($AJ956,Data_Validation!$A:$E,5,0)</f>
        <v>#N/A</v>
      </c>
    </row>
    <row r="957" ht="15.0" customHeight="1">
      <c r="A957" s="849" t="s">
        <v>1239</v>
      </c>
      <c r="B957" s="849">
        <v>2026.0</v>
      </c>
      <c r="C957" s="849" t="s">
        <v>3113</v>
      </c>
      <c r="D957" s="849" t="s">
        <v>3114</v>
      </c>
      <c r="E957" s="849" t="s">
        <v>768</v>
      </c>
      <c r="F957" s="849" t="s">
        <v>2855</v>
      </c>
      <c r="G957" s="849">
        <v>0.0</v>
      </c>
      <c r="H957" s="849">
        <v>0.0</v>
      </c>
      <c r="I957" s="849">
        <v>0.0</v>
      </c>
      <c r="J957" s="849">
        <v>0.0</v>
      </c>
      <c r="K957" s="849">
        <v>0.0</v>
      </c>
      <c r="L957" s="849">
        <v>0.0</v>
      </c>
      <c r="M957" s="849">
        <v>0.0</v>
      </c>
      <c r="N957" s="849">
        <v>0.0</v>
      </c>
      <c r="O957" s="849">
        <v>0.0</v>
      </c>
      <c r="P957" s="849">
        <v>0.0</v>
      </c>
      <c r="Q957" s="849">
        <v>0.0</v>
      </c>
      <c r="R957" s="849">
        <v>0.0</v>
      </c>
      <c r="S957" s="849">
        <v>0.0</v>
      </c>
      <c r="T957" s="849">
        <v>0.0</v>
      </c>
      <c r="U957" s="849">
        <v>0.0</v>
      </c>
      <c r="V957" s="849">
        <v>0.0</v>
      </c>
      <c r="W957" s="849">
        <v>0.0</v>
      </c>
      <c r="X957" s="849">
        <v>0.0</v>
      </c>
      <c r="Y957" s="849">
        <v>0.0</v>
      </c>
      <c r="Z957" s="849">
        <v>0.0</v>
      </c>
      <c r="AA957" s="849">
        <v>0.0</v>
      </c>
      <c r="AB957" s="849">
        <v>0.0</v>
      </c>
      <c r="AC957" s="849">
        <v>0.0</v>
      </c>
      <c r="AD957" s="849">
        <v>0.0</v>
      </c>
      <c r="AE957" s="849">
        <v>0.0</v>
      </c>
      <c r="AF957" s="849">
        <v>0.0</v>
      </c>
      <c r="AG957" s="849">
        <v>0.0</v>
      </c>
      <c r="AH957" s="849">
        <v>0.0</v>
      </c>
      <c r="AI957" s="849">
        <v>0.0</v>
      </c>
      <c r="AJ957" s="794" t="str">
        <f t="shared" ref="AJ957:AK957" si="1911">C957</f>
        <v>G65412</v>
      </c>
      <c r="AK957" s="794" t="str">
        <f t="shared" si="1911"/>
        <v>COUT -PROT A L'ECART USAG</v>
      </c>
      <c r="AL957" s="794">
        <f t="array" ref="AL957">IFERROR(INDEX(G957:R957,1,MATCH(Parametres!$B$3,G$1:R$1,0)-1)*IF(OR(F957="L",F957="S",F957="I"),-1,1),"")</f>
        <v>0</v>
      </c>
      <c r="AM957" s="794">
        <f t="shared" si="4"/>
        <v>0</v>
      </c>
      <c r="AN957" s="794">
        <f t="array" ref="AN957">INDEX(G957:R957,1,MATCH(Parametres!$B$3,G$1:R$1,0))*IF(OR(F957="L",F957="S",F957="I"),-1,1)</f>
        <v>0</v>
      </c>
      <c r="AO957" s="853" t="str">
        <f>+VLOOKUP($AJ957,Data_Validation!$A:$D,1,0)</f>
        <v>#N/A</v>
      </c>
      <c r="AP957" s="853" t="str">
        <f>+VLOOKUP($AJ957,Data_Validation!$A:$D,3,0)</f>
        <v>#N/A</v>
      </c>
      <c r="AQ957" s="853" t="str">
        <f>+VLOOKUP($AJ957,Data_Validation!$A:$D,4,0)</f>
        <v>#N/A</v>
      </c>
      <c r="AR957" s="853" t="s">
        <v>728</v>
      </c>
      <c r="AS957" s="853" t="str">
        <f>+VLOOKUP($AJ957,Data_Validation!$A:$E,5,0)</f>
        <v>#N/A</v>
      </c>
      <c r="AT957" s="794" t="str">
        <f t="shared" ref="AT957:AU957" si="1912">C957</f>
        <v>G65412</v>
      </c>
      <c r="AU957" s="854" t="str">
        <f t="shared" si="1912"/>
        <v>COUT -PROT A L'ECART USAG</v>
      </c>
      <c r="AV957" s="794">
        <f t="array" ref="AV957">IFERROR(INDEX(V957:AG957,1,MATCH(Parametres!$B$3,V$1:AG$1,0)-1)*IF(OR(C957="L",C957="S",C957="I"),-1,1),"")</f>
        <v>0</v>
      </c>
      <c r="AW957" s="794">
        <f t="shared" si="6"/>
        <v>0</v>
      </c>
      <c r="AX957" s="794">
        <f t="array" ref="AX957">INDEX(V957:AG957,1,MATCH(Parametres!$B$3,V$1:AG$1,0))*IF(OR(C957="L",C957="S",C957="I"),-1,1)</f>
        <v>0</v>
      </c>
      <c r="AY957" s="853" t="s">
        <v>772</v>
      </c>
      <c r="AZ957" s="853" t="str">
        <f>+VLOOKUP($AJ957,Data_Validation!$A:$E,5,0)</f>
        <v>#N/A</v>
      </c>
    </row>
    <row r="958" ht="15.0" customHeight="1">
      <c r="A958" s="849" t="s">
        <v>1239</v>
      </c>
      <c r="B958" s="849">
        <v>2026.0</v>
      </c>
      <c r="C958" s="849" t="s">
        <v>3115</v>
      </c>
      <c r="D958" s="849" t="s">
        <v>3116</v>
      </c>
      <c r="E958" s="849" t="s">
        <v>768</v>
      </c>
      <c r="F958" s="849" t="s">
        <v>2855</v>
      </c>
      <c r="G958" s="849">
        <v>0.0</v>
      </c>
      <c r="H958" s="849">
        <v>0.0</v>
      </c>
      <c r="I958" s="849">
        <v>0.0</v>
      </c>
      <c r="J958" s="849">
        <v>0.0</v>
      </c>
      <c r="K958" s="849">
        <v>0.0</v>
      </c>
      <c r="L958" s="849">
        <v>0.0</v>
      </c>
      <c r="M958" s="849">
        <v>0.0</v>
      </c>
      <c r="N958" s="849">
        <v>0.0</v>
      </c>
      <c r="O958" s="849">
        <v>0.0</v>
      </c>
      <c r="P958" s="849">
        <v>0.0</v>
      </c>
      <c r="Q958" s="849">
        <v>0.0</v>
      </c>
      <c r="R958" s="849">
        <v>0.0</v>
      </c>
      <c r="S958" s="849">
        <v>0.0</v>
      </c>
      <c r="T958" s="849">
        <v>0.0</v>
      </c>
      <c r="U958" s="849">
        <v>0.0</v>
      </c>
      <c r="V958" s="849">
        <v>0.0</v>
      </c>
      <c r="W958" s="849">
        <v>0.0</v>
      </c>
      <c r="X958" s="849">
        <v>0.0</v>
      </c>
      <c r="Y958" s="849">
        <v>0.0</v>
      </c>
      <c r="Z958" s="849">
        <v>0.0</v>
      </c>
      <c r="AA958" s="849">
        <v>0.0</v>
      </c>
      <c r="AB958" s="849">
        <v>0.0</v>
      </c>
      <c r="AC958" s="849">
        <v>0.0</v>
      </c>
      <c r="AD958" s="849">
        <v>0.0</v>
      </c>
      <c r="AE958" s="849">
        <v>0.0</v>
      </c>
      <c r="AF958" s="849">
        <v>0.0</v>
      </c>
      <c r="AG958" s="849">
        <v>0.0</v>
      </c>
      <c r="AH958" s="849">
        <v>0.0</v>
      </c>
      <c r="AI958" s="849">
        <v>0.0</v>
      </c>
      <c r="AJ958" s="794" t="str">
        <f t="shared" ref="AJ958:AK958" si="1913">C958</f>
        <v>G65413</v>
      </c>
      <c r="AK958" s="794" t="str">
        <f t="shared" si="1913"/>
        <v>COUT -MULTI PROTECT USAGE</v>
      </c>
      <c r="AL958" s="794">
        <f t="array" ref="AL958">IFERROR(INDEX(G958:R958,1,MATCH(Parametres!$B$3,G$1:R$1,0)-1)*IF(OR(F958="L",F958="S",F958="I"),-1,1),"")</f>
        <v>0</v>
      </c>
      <c r="AM958" s="794">
        <f t="shared" si="4"/>
        <v>0</v>
      </c>
      <c r="AN958" s="794">
        <f t="array" ref="AN958">INDEX(G958:R958,1,MATCH(Parametres!$B$3,G$1:R$1,0))*IF(OR(F958="L",F958="S",F958="I"),-1,1)</f>
        <v>0</v>
      </c>
      <c r="AO958" s="853" t="str">
        <f>+VLOOKUP($AJ958,Data_Validation!$A:$D,1,0)</f>
        <v>#N/A</v>
      </c>
      <c r="AP958" s="853" t="str">
        <f>+VLOOKUP($AJ958,Data_Validation!$A:$D,3,0)</f>
        <v>#N/A</v>
      </c>
      <c r="AQ958" s="853" t="str">
        <f>+VLOOKUP($AJ958,Data_Validation!$A:$D,4,0)</f>
        <v>#N/A</v>
      </c>
      <c r="AR958" s="853" t="s">
        <v>728</v>
      </c>
      <c r="AS958" s="853" t="str">
        <f>+VLOOKUP($AJ958,Data_Validation!$A:$E,5,0)</f>
        <v>#N/A</v>
      </c>
      <c r="AT958" s="794" t="str">
        <f t="shared" ref="AT958:AU958" si="1914">C958</f>
        <v>G65413</v>
      </c>
      <c r="AU958" s="854" t="str">
        <f t="shared" si="1914"/>
        <v>COUT -MULTI PROTECT USAGE</v>
      </c>
      <c r="AV958" s="794">
        <f t="array" ref="AV958">IFERROR(INDEX(V958:AG958,1,MATCH(Parametres!$B$3,V$1:AG$1,0)-1)*IF(OR(C958="L",C958="S",C958="I"),-1,1),"")</f>
        <v>0</v>
      </c>
      <c r="AW958" s="794">
        <f t="shared" si="6"/>
        <v>0</v>
      </c>
      <c r="AX958" s="794">
        <f t="array" ref="AX958">INDEX(V958:AG958,1,MATCH(Parametres!$B$3,V$1:AG$1,0))*IF(OR(C958="L",C958="S",C958="I"),-1,1)</f>
        <v>0</v>
      </c>
      <c r="AY958" s="853" t="s">
        <v>772</v>
      </c>
      <c r="AZ958" s="853" t="str">
        <f>+VLOOKUP($AJ958,Data_Validation!$A:$E,5,0)</f>
        <v>#N/A</v>
      </c>
    </row>
    <row r="959" ht="15.0" customHeight="1">
      <c r="A959" s="849" t="s">
        <v>1239</v>
      </c>
      <c r="B959" s="849">
        <v>2026.0</v>
      </c>
      <c r="C959" s="849" t="s">
        <v>3117</v>
      </c>
      <c r="D959" s="849" t="s">
        <v>3118</v>
      </c>
      <c r="E959" s="849" t="s">
        <v>768</v>
      </c>
      <c r="F959" s="849" t="s">
        <v>2855</v>
      </c>
      <c r="G959" s="849">
        <v>0.0</v>
      </c>
      <c r="H959" s="849">
        <v>0.0</v>
      </c>
      <c r="I959" s="849">
        <v>0.0</v>
      </c>
      <c r="J959" s="849">
        <v>0.0</v>
      </c>
      <c r="K959" s="849">
        <v>0.0</v>
      </c>
      <c r="L959" s="849">
        <v>0.0</v>
      </c>
      <c r="M959" s="849">
        <v>0.0</v>
      </c>
      <c r="N959" s="849">
        <v>0.0</v>
      </c>
      <c r="O959" s="849">
        <v>0.0</v>
      </c>
      <c r="P959" s="849">
        <v>0.0</v>
      </c>
      <c r="Q959" s="849">
        <v>0.0</v>
      </c>
      <c r="R959" s="849">
        <v>0.0</v>
      </c>
      <c r="S959" s="849">
        <v>0.0</v>
      </c>
      <c r="T959" s="849">
        <v>0.0</v>
      </c>
      <c r="U959" s="849">
        <v>0.0</v>
      </c>
      <c r="V959" s="849">
        <v>0.0</v>
      </c>
      <c r="W959" s="849">
        <v>0.0</v>
      </c>
      <c r="X959" s="849">
        <v>0.0</v>
      </c>
      <c r="Y959" s="849">
        <v>0.0</v>
      </c>
      <c r="Z959" s="849">
        <v>0.0</v>
      </c>
      <c r="AA959" s="849">
        <v>0.0</v>
      </c>
      <c r="AB959" s="849">
        <v>0.0</v>
      </c>
      <c r="AC959" s="849">
        <v>0.0</v>
      </c>
      <c r="AD959" s="849">
        <v>0.0</v>
      </c>
      <c r="AE959" s="849">
        <v>0.0</v>
      </c>
      <c r="AF959" s="849">
        <v>0.0</v>
      </c>
      <c r="AG959" s="849">
        <v>0.0</v>
      </c>
      <c r="AH959" s="849">
        <v>0.0</v>
      </c>
      <c r="AI959" s="849">
        <v>0.0</v>
      </c>
      <c r="AJ959" s="794" t="str">
        <f t="shared" ref="AJ959:AK959" si="1915">C959</f>
        <v>G65414</v>
      </c>
      <c r="AK959" s="794" t="str">
        <f t="shared" si="1915"/>
        <v>COUT -PRT USURE USAGE</v>
      </c>
      <c r="AL959" s="794">
        <f t="array" ref="AL959">IFERROR(INDEX(G959:R959,1,MATCH(Parametres!$B$3,G$1:R$1,0)-1)*IF(OR(F959="L",F959="S",F959="I"),-1,1),"")</f>
        <v>0</v>
      </c>
      <c r="AM959" s="794">
        <f t="shared" si="4"/>
        <v>0</v>
      </c>
      <c r="AN959" s="794">
        <f t="array" ref="AN959">INDEX(G959:R959,1,MATCH(Parametres!$B$3,G$1:R$1,0))*IF(OR(F959="L",F959="S",F959="I"),-1,1)</f>
        <v>0</v>
      </c>
      <c r="AO959" s="853" t="str">
        <f>+VLOOKUP($AJ959,Data_Validation!$A:$D,1,0)</f>
        <v>#N/A</v>
      </c>
      <c r="AP959" s="853" t="str">
        <f>+VLOOKUP($AJ959,Data_Validation!$A:$D,3,0)</f>
        <v>#N/A</v>
      </c>
      <c r="AQ959" s="853" t="str">
        <f>+VLOOKUP($AJ959,Data_Validation!$A:$D,4,0)</f>
        <v>#N/A</v>
      </c>
      <c r="AR959" s="853" t="s">
        <v>728</v>
      </c>
      <c r="AS959" s="853" t="str">
        <f>+VLOOKUP($AJ959,Data_Validation!$A:$E,5,0)</f>
        <v>#N/A</v>
      </c>
      <c r="AT959" s="794" t="str">
        <f t="shared" ref="AT959:AU959" si="1916">C959</f>
        <v>G65414</v>
      </c>
      <c r="AU959" s="854" t="str">
        <f t="shared" si="1916"/>
        <v>COUT -PRT USURE USAGE</v>
      </c>
      <c r="AV959" s="794">
        <f t="array" ref="AV959">IFERROR(INDEX(V959:AG959,1,MATCH(Parametres!$B$3,V$1:AG$1,0)-1)*IF(OR(C959="L",C959="S",C959="I"),-1,1),"")</f>
        <v>0</v>
      </c>
      <c r="AW959" s="794">
        <f t="shared" si="6"/>
        <v>0</v>
      </c>
      <c r="AX959" s="794">
        <f t="array" ref="AX959">INDEX(V959:AG959,1,MATCH(Parametres!$B$3,V$1:AG$1,0))*IF(OR(C959="L",C959="S",C959="I"),-1,1)</f>
        <v>0</v>
      </c>
      <c r="AY959" s="853" t="s">
        <v>772</v>
      </c>
      <c r="AZ959" s="853" t="str">
        <f>+VLOOKUP($AJ959,Data_Validation!$A:$E,5,0)</f>
        <v>#N/A</v>
      </c>
    </row>
    <row r="960" ht="15.0" customHeight="1">
      <c r="A960" s="849" t="s">
        <v>1239</v>
      </c>
      <c r="B960" s="849">
        <v>2026.0</v>
      </c>
      <c r="C960" s="849" t="s">
        <v>3119</v>
      </c>
      <c r="D960" s="849" t="s">
        <v>3120</v>
      </c>
      <c r="E960" s="849" t="s">
        <v>2072</v>
      </c>
      <c r="F960" s="849" t="s">
        <v>2855</v>
      </c>
      <c r="G960" s="849">
        <v>0.0</v>
      </c>
      <c r="H960" s="849">
        <v>0.0</v>
      </c>
      <c r="I960" s="849">
        <v>0.0</v>
      </c>
      <c r="J960" s="849">
        <v>0.0</v>
      </c>
      <c r="K960" s="849">
        <v>0.0</v>
      </c>
      <c r="L960" s="849">
        <v>0.0</v>
      </c>
      <c r="M960" s="849">
        <v>0.0</v>
      </c>
      <c r="N960" s="849">
        <v>0.0</v>
      </c>
      <c r="O960" s="849">
        <v>0.0</v>
      </c>
      <c r="P960" s="849">
        <v>0.0</v>
      </c>
      <c r="Q960" s="849">
        <v>0.0</v>
      </c>
      <c r="R960" s="849">
        <v>0.0</v>
      </c>
      <c r="S960" s="849">
        <v>0.0</v>
      </c>
      <c r="T960" s="849">
        <v>0.0</v>
      </c>
      <c r="U960" s="849">
        <v>0.0</v>
      </c>
      <c r="V960" s="849">
        <v>0.0</v>
      </c>
      <c r="W960" s="849">
        <v>0.0</v>
      </c>
      <c r="X960" s="849">
        <v>0.0</v>
      </c>
      <c r="Y960" s="849">
        <v>0.0</v>
      </c>
      <c r="Z960" s="849">
        <v>0.0</v>
      </c>
      <c r="AA960" s="849">
        <v>0.0</v>
      </c>
      <c r="AB960" s="849">
        <v>0.0</v>
      </c>
      <c r="AC960" s="849">
        <v>0.0</v>
      </c>
      <c r="AD960" s="849">
        <v>0.0</v>
      </c>
      <c r="AE960" s="849">
        <v>0.0</v>
      </c>
      <c r="AF960" s="849">
        <v>0.0</v>
      </c>
      <c r="AG960" s="849">
        <v>0.0</v>
      </c>
      <c r="AH960" s="849">
        <v>0.0</v>
      </c>
      <c r="AI960" s="849">
        <v>0.0</v>
      </c>
      <c r="AJ960" s="794" t="str">
        <f t="shared" ref="AJ960:AK960" si="1917">C960</f>
        <v>G65500</v>
      </c>
      <c r="AK960" s="794" t="str">
        <f t="shared" si="1917"/>
        <v>RETOUR DE LOCATION-COUT</v>
      </c>
      <c r="AL960" s="794">
        <f t="array" ref="AL960">IFERROR(INDEX(G960:R960,1,MATCH(Parametres!$B$3,G$1:R$1,0)-1)*IF(OR(F960="L",F960="S",F960="I"),-1,1),"")</f>
        <v>0</v>
      </c>
      <c r="AM960" s="794">
        <f t="shared" si="4"/>
        <v>0</v>
      </c>
      <c r="AN960" s="794">
        <f t="array" ref="AN960">INDEX(G960:R960,1,MATCH(Parametres!$B$3,G$1:R$1,0))*IF(OR(F960="L",F960="S",F960="I"),-1,1)</f>
        <v>0</v>
      </c>
      <c r="AO960" s="853" t="str">
        <f>+VLOOKUP($AJ960,Data_Validation!$A:$D,1,0)</f>
        <v>G65500</v>
      </c>
      <c r="AP960" s="853" t="str">
        <f>+VLOOKUP($AJ960,Data_Validation!$A:$D,3,0)</f>
        <v>Véhicules usagés</v>
      </c>
      <c r="AQ960" s="853" t="str">
        <f>+VLOOKUP($AJ960,Data_Validation!$A:$D,4,0)</f>
        <v>Rev. Protections</v>
      </c>
      <c r="AR960" s="853" t="s">
        <v>728</v>
      </c>
      <c r="AS960" s="853" t="str">
        <f>+VLOOKUP($AJ960,Data_Validation!$A:$E,5,0)</f>
        <v/>
      </c>
      <c r="AT960" s="794" t="str">
        <f t="shared" ref="AT960:AU960" si="1918">C960</f>
        <v>G65500</v>
      </c>
      <c r="AU960" s="854" t="str">
        <f t="shared" si="1918"/>
        <v>RETOUR DE LOCATION-COUT</v>
      </c>
      <c r="AV960" s="794">
        <f t="array" ref="AV960">IFERROR(INDEX(V960:AG960,1,MATCH(Parametres!$B$3,V$1:AG$1,0)-1)*IF(OR(C960="L",C960="S",C960="I"),-1,1),"")</f>
        <v>0</v>
      </c>
      <c r="AW960" s="794">
        <f t="shared" si="6"/>
        <v>0</v>
      </c>
      <c r="AX960" s="794">
        <f t="array" ref="AX960">INDEX(V960:AG960,1,MATCH(Parametres!$B$3,V$1:AG$1,0))*IF(OR(C960="L",C960="S",C960="I"),-1,1)</f>
        <v>0</v>
      </c>
      <c r="AY960" s="853" t="s">
        <v>772</v>
      </c>
      <c r="AZ960" s="853" t="str">
        <f>+VLOOKUP($AJ960,Data_Validation!$A:$E,5,0)</f>
        <v/>
      </c>
    </row>
    <row r="961" ht="15.0" customHeight="1">
      <c r="A961" s="849" t="s">
        <v>1239</v>
      </c>
      <c r="B961" s="849">
        <v>2026.0</v>
      </c>
      <c r="C961" s="849" t="s">
        <v>3121</v>
      </c>
      <c r="D961" s="849" t="s">
        <v>3122</v>
      </c>
      <c r="E961" s="849" t="s">
        <v>768</v>
      </c>
      <c r="F961" s="849" t="s">
        <v>2855</v>
      </c>
      <c r="G961" s="849">
        <v>0.0</v>
      </c>
      <c r="H961" s="849">
        <v>0.0</v>
      </c>
      <c r="I961" s="849">
        <v>0.0</v>
      </c>
      <c r="J961" s="849">
        <v>0.0</v>
      </c>
      <c r="K961" s="849">
        <v>0.0</v>
      </c>
      <c r="L961" s="849">
        <v>0.0</v>
      </c>
      <c r="M961" s="849">
        <v>0.0</v>
      </c>
      <c r="N961" s="849">
        <v>0.0</v>
      </c>
      <c r="O961" s="849">
        <v>0.0</v>
      </c>
      <c r="P961" s="849">
        <v>0.0</v>
      </c>
      <c r="Q961" s="849">
        <v>0.0</v>
      </c>
      <c r="R961" s="849">
        <v>0.0</v>
      </c>
      <c r="S961" s="849">
        <v>0.0</v>
      </c>
      <c r="T961" s="849">
        <v>0.0</v>
      </c>
      <c r="U961" s="849">
        <v>0.0</v>
      </c>
      <c r="V961" s="849">
        <v>0.0</v>
      </c>
      <c r="W961" s="849">
        <v>0.0</v>
      </c>
      <c r="X961" s="849">
        <v>0.0</v>
      </c>
      <c r="Y961" s="849">
        <v>0.0</v>
      </c>
      <c r="Z961" s="849">
        <v>0.0</v>
      </c>
      <c r="AA961" s="849">
        <v>0.0</v>
      </c>
      <c r="AB961" s="849">
        <v>0.0</v>
      </c>
      <c r="AC961" s="849">
        <v>0.0</v>
      </c>
      <c r="AD961" s="849">
        <v>0.0</v>
      </c>
      <c r="AE961" s="849">
        <v>0.0</v>
      </c>
      <c r="AF961" s="849">
        <v>0.0</v>
      </c>
      <c r="AG961" s="849">
        <v>0.0</v>
      </c>
      <c r="AH961" s="849">
        <v>0.0</v>
      </c>
      <c r="AI961" s="849">
        <v>0.0</v>
      </c>
      <c r="AJ961" s="794" t="str">
        <f t="shared" ref="AJ961:AK961" si="1919">C961</f>
        <v>G65510</v>
      </c>
      <c r="AK961" s="794" t="str">
        <f t="shared" si="1919"/>
        <v>COUT -PRT SERV VEH USAGE</v>
      </c>
      <c r="AL961" s="794">
        <f t="array" ref="AL961">IFERROR(INDEX(G961:R961,1,MATCH(Parametres!$B$3,G$1:R$1,0)-1)*IF(OR(F961="L",F961="S",F961="I"),-1,1),"")</f>
        <v>0</v>
      </c>
      <c r="AM961" s="794">
        <f t="shared" si="4"/>
        <v>0</v>
      </c>
      <c r="AN961" s="794">
        <f t="array" ref="AN961">INDEX(G961:R961,1,MATCH(Parametres!$B$3,G$1:R$1,0))*IF(OR(F961="L",F961="S",F961="I"),-1,1)</f>
        <v>0</v>
      </c>
      <c r="AO961" s="853" t="str">
        <f>+VLOOKUP($AJ961,Data_Validation!$A:$D,1,0)</f>
        <v>#N/A</v>
      </c>
      <c r="AP961" s="853" t="str">
        <f>+VLOOKUP($AJ961,Data_Validation!$A:$D,3,0)</f>
        <v>#N/A</v>
      </c>
      <c r="AQ961" s="853" t="str">
        <f>+VLOOKUP($AJ961,Data_Validation!$A:$D,4,0)</f>
        <v>#N/A</v>
      </c>
      <c r="AR961" s="853" t="s">
        <v>728</v>
      </c>
      <c r="AS961" s="853" t="str">
        <f>+VLOOKUP($AJ961,Data_Validation!$A:$E,5,0)</f>
        <v>#N/A</v>
      </c>
      <c r="AT961" s="794" t="str">
        <f t="shared" ref="AT961:AU961" si="1920">C961</f>
        <v>G65510</v>
      </c>
      <c r="AU961" s="854" t="str">
        <f t="shared" si="1920"/>
        <v>COUT -PRT SERV VEH USAGE</v>
      </c>
      <c r="AV961" s="794">
        <f t="array" ref="AV961">IFERROR(INDEX(V961:AG961,1,MATCH(Parametres!$B$3,V$1:AG$1,0)-1)*IF(OR(C961="L",C961="S",C961="I"),-1,1),"")</f>
        <v>0</v>
      </c>
      <c r="AW961" s="794">
        <f t="shared" si="6"/>
        <v>0</v>
      </c>
      <c r="AX961" s="794">
        <f t="array" ref="AX961">INDEX(V961:AG961,1,MATCH(Parametres!$B$3,V$1:AG$1,0))*IF(OR(C961="L",C961="S",C961="I"),-1,1)</f>
        <v>0</v>
      </c>
      <c r="AY961" s="853" t="s">
        <v>772</v>
      </c>
      <c r="AZ961" s="853" t="str">
        <f>+VLOOKUP($AJ961,Data_Validation!$A:$E,5,0)</f>
        <v>#N/A</v>
      </c>
    </row>
    <row r="962" ht="15.0" customHeight="1">
      <c r="A962" s="849" t="s">
        <v>1239</v>
      </c>
      <c r="B962" s="849">
        <v>2026.0</v>
      </c>
      <c r="C962" s="849" t="s">
        <v>3123</v>
      </c>
      <c r="D962" s="849" t="s">
        <v>3124</v>
      </c>
      <c r="E962" s="849" t="s">
        <v>768</v>
      </c>
      <c r="F962" s="849" t="s">
        <v>2855</v>
      </c>
      <c r="G962" s="849">
        <v>0.0</v>
      </c>
      <c r="H962" s="849">
        <v>0.0</v>
      </c>
      <c r="I962" s="849">
        <v>0.0</v>
      </c>
      <c r="J962" s="849">
        <v>0.0</v>
      </c>
      <c r="K962" s="849">
        <v>0.0</v>
      </c>
      <c r="L962" s="849">
        <v>0.0</v>
      </c>
      <c r="M962" s="849">
        <v>0.0</v>
      </c>
      <c r="N962" s="849">
        <v>0.0</v>
      </c>
      <c r="O962" s="849">
        <v>0.0</v>
      </c>
      <c r="P962" s="849">
        <v>0.0</v>
      </c>
      <c r="Q962" s="849">
        <v>0.0</v>
      </c>
      <c r="R962" s="849">
        <v>0.0</v>
      </c>
      <c r="S962" s="849">
        <v>0.0</v>
      </c>
      <c r="T962" s="849">
        <v>0.0</v>
      </c>
      <c r="U962" s="849">
        <v>0.0</v>
      </c>
      <c r="V962" s="849">
        <v>0.0</v>
      </c>
      <c r="W962" s="849">
        <v>0.0</v>
      </c>
      <c r="X962" s="849">
        <v>0.0</v>
      </c>
      <c r="Y962" s="849">
        <v>0.0</v>
      </c>
      <c r="Z962" s="849">
        <v>0.0</v>
      </c>
      <c r="AA962" s="849">
        <v>0.0</v>
      </c>
      <c r="AB962" s="849">
        <v>0.0</v>
      </c>
      <c r="AC962" s="849">
        <v>0.0</v>
      </c>
      <c r="AD962" s="849">
        <v>0.0</v>
      </c>
      <c r="AE962" s="849">
        <v>0.0</v>
      </c>
      <c r="AF962" s="849">
        <v>0.0</v>
      </c>
      <c r="AG962" s="849">
        <v>0.0</v>
      </c>
      <c r="AH962" s="849">
        <v>0.0</v>
      </c>
      <c r="AI962" s="849">
        <v>0.0</v>
      </c>
      <c r="AJ962" s="794" t="str">
        <f t="shared" ref="AJ962:AK962" si="1921">C962</f>
        <v>G65511</v>
      </c>
      <c r="AK962" s="794" t="str">
        <f t="shared" si="1921"/>
        <v>COUT -PRT PNEUS -JA USAGE</v>
      </c>
      <c r="AL962" s="794">
        <f t="array" ref="AL962">IFERROR(INDEX(G962:R962,1,MATCH(Parametres!$B$3,G$1:R$1,0)-1)*IF(OR(F962="L",F962="S",F962="I"),-1,1),"")</f>
        <v>0</v>
      </c>
      <c r="AM962" s="794">
        <f t="shared" si="4"/>
        <v>0</v>
      </c>
      <c r="AN962" s="794">
        <f t="array" ref="AN962">INDEX(G962:R962,1,MATCH(Parametres!$B$3,G$1:R$1,0))*IF(OR(F962="L",F962="S",F962="I"),-1,1)</f>
        <v>0</v>
      </c>
      <c r="AO962" s="853" t="str">
        <f>+VLOOKUP($AJ962,Data_Validation!$A:$D,1,0)</f>
        <v>#N/A</v>
      </c>
      <c r="AP962" s="853" t="str">
        <f>+VLOOKUP($AJ962,Data_Validation!$A:$D,3,0)</f>
        <v>#N/A</v>
      </c>
      <c r="AQ962" s="853" t="str">
        <f>+VLOOKUP($AJ962,Data_Validation!$A:$D,4,0)</f>
        <v>#N/A</v>
      </c>
      <c r="AR962" s="853" t="s">
        <v>728</v>
      </c>
      <c r="AS962" s="853" t="str">
        <f>+VLOOKUP($AJ962,Data_Validation!$A:$E,5,0)</f>
        <v>#N/A</v>
      </c>
      <c r="AT962" s="794" t="str">
        <f t="shared" ref="AT962:AU962" si="1922">C962</f>
        <v>G65511</v>
      </c>
      <c r="AU962" s="854" t="str">
        <f t="shared" si="1922"/>
        <v>COUT -PRT PNEUS -JA USAGE</v>
      </c>
      <c r="AV962" s="794">
        <f t="array" ref="AV962">IFERROR(INDEX(V962:AG962,1,MATCH(Parametres!$B$3,V$1:AG$1,0)-1)*IF(OR(C962="L",C962="S",C962="I"),-1,1),"")</f>
        <v>0</v>
      </c>
      <c r="AW962" s="794">
        <f t="shared" si="6"/>
        <v>0</v>
      </c>
      <c r="AX962" s="794">
        <f t="array" ref="AX962">INDEX(V962:AG962,1,MATCH(Parametres!$B$3,V$1:AG$1,0))*IF(OR(C962="L",C962="S",C962="I"),-1,1)</f>
        <v>0</v>
      </c>
      <c r="AY962" s="853" t="s">
        <v>772</v>
      </c>
      <c r="AZ962" s="853" t="str">
        <f>+VLOOKUP($AJ962,Data_Validation!$A:$E,5,0)</f>
        <v>#N/A</v>
      </c>
    </row>
    <row r="963" ht="15.0" customHeight="1">
      <c r="A963" s="849" t="s">
        <v>1239</v>
      </c>
      <c r="B963" s="849">
        <v>2026.0</v>
      </c>
      <c r="C963" s="849" t="s">
        <v>3125</v>
      </c>
      <c r="D963" s="849" t="s">
        <v>3126</v>
      </c>
      <c r="E963" s="849" t="s">
        <v>768</v>
      </c>
      <c r="F963" s="849" t="s">
        <v>2855</v>
      </c>
      <c r="G963" s="849">
        <v>0.0</v>
      </c>
      <c r="H963" s="849">
        <v>0.0</v>
      </c>
      <c r="I963" s="849">
        <v>0.0</v>
      </c>
      <c r="J963" s="849">
        <v>0.0</v>
      </c>
      <c r="K963" s="849">
        <v>0.0</v>
      </c>
      <c r="L963" s="849">
        <v>0.0</v>
      </c>
      <c r="M963" s="849">
        <v>0.0</v>
      </c>
      <c r="N963" s="849">
        <v>0.0</v>
      </c>
      <c r="O963" s="849">
        <v>0.0</v>
      </c>
      <c r="P963" s="849">
        <v>0.0</v>
      </c>
      <c r="Q963" s="849">
        <v>0.0</v>
      </c>
      <c r="R963" s="849">
        <v>0.0</v>
      </c>
      <c r="S963" s="849">
        <v>0.0</v>
      </c>
      <c r="T963" s="849">
        <v>0.0</v>
      </c>
      <c r="U963" s="849">
        <v>0.0</v>
      </c>
      <c r="V963" s="849">
        <v>0.0</v>
      </c>
      <c r="W963" s="849">
        <v>0.0</v>
      </c>
      <c r="X963" s="849">
        <v>0.0</v>
      </c>
      <c r="Y963" s="849">
        <v>0.0</v>
      </c>
      <c r="Z963" s="849">
        <v>0.0</v>
      </c>
      <c r="AA963" s="849">
        <v>0.0</v>
      </c>
      <c r="AB963" s="849">
        <v>0.0</v>
      </c>
      <c r="AC963" s="849">
        <v>0.0</v>
      </c>
      <c r="AD963" s="849">
        <v>0.0</v>
      </c>
      <c r="AE963" s="849">
        <v>0.0</v>
      </c>
      <c r="AF963" s="849">
        <v>0.0</v>
      </c>
      <c r="AG963" s="849">
        <v>0.0</v>
      </c>
      <c r="AH963" s="849">
        <v>0.0</v>
      </c>
      <c r="AI963" s="849">
        <v>0.0</v>
      </c>
      <c r="AJ963" s="794" t="str">
        <f t="shared" ref="AJ963:AK963" si="1923">C963</f>
        <v>G65512</v>
      </c>
      <c r="AK963" s="794" t="str">
        <f t="shared" si="1923"/>
        <v>COUT -PRT PERTE TOT USAGE</v>
      </c>
      <c r="AL963" s="794">
        <f t="array" ref="AL963">IFERROR(INDEX(G963:R963,1,MATCH(Parametres!$B$3,G$1:R$1,0)-1)*IF(OR(F963="L",F963="S",F963="I"),-1,1),"")</f>
        <v>0</v>
      </c>
      <c r="AM963" s="794">
        <f t="shared" si="4"/>
        <v>0</v>
      </c>
      <c r="AN963" s="794">
        <f t="array" ref="AN963">INDEX(G963:R963,1,MATCH(Parametres!$B$3,G$1:R$1,0))*IF(OR(F963="L",F963="S",F963="I"),-1,1)</f>
        <v>0</v>
      </c>
      <c r="AO963" s="853" t="str">
        <f>+VLOOKUP($AJ963,Data_Validation!$A:$D,1,0)</f>
        <v>#N/A</v>
      </c>
      <c r="AP963" s="853" t="str">
        <f>+VLOOKUP($AJ963,Data_Validation!$A:$D,3,0)</f>
        <v>#N/A</v>
      </c>
      <c r="AQ963" s="853" t="str">
        <f>+VLOOKUP($AJ963,Data_Validation!$A:$D,4,0)</f>
        <v>#N/A</v>
      </c>
      <c r="AR963" s="853" t="s">
        <v>728</v>
      </c>
      <c r="AS963" s="853" t="str">
        <f>+VLOOKUP($AJ963,Data_Validation!$A:$E,5,0)</f>
        <v>#N/A</v>
      </c>
      <c r="AT963" s="794" t="str">
        <f t="shared" ref="AT963:AU963" si="1924">C963</f>
        <v>G65512</v>
      </c>
      <c r="AU963" s="854" t="str">
        <f t="shared" si="1924"/>
        <v>COUT -PRT PERTE TOT USAGE</v>
      </c>
      <c r="AV963" s="794">
        <f t="array" ref="AV963">IFERROR(INDEX(V963:AG963,1,MATCH(Parametres!$B$3,V$1:AG$1,0)-1)*IF(OR(C963="L",C963="S",C963="I"),-1,1),"")</f>
        <v>0</v>
      </c>
      <c r="AW963" s="794">
        <f t="shared" si="6"/>
        <v>0</v>
      </c>
      <c r="AX963" s="794">
        <f t="array" ref="AX963">INDEX(V963:AG963,1,MATCH(Parametres!$B$3,V$1:AG$1,0))*IF(OR(C963="L",C963="S",C963="I"),-1,1)</f>
        <v>0</v>
      </c>
      <c r="AY963" s="853" t="s">
        <v>772</v>
      </c>
      <c r="AZ963" s="853" t="str">
        <f>+VLOOKUP($AJ963,Data_Validation!$A:$E,5,0)</f>
        <v>#N/A</v>
      </c>
    </row>
    <row r="964" ht="15.0" customHeight="1">
      <c r="A964" s="849" t="s">
        <v>1239</v>
      </c>
      <c r="B964" s="849">
        <v>2026.0</v>
      </c>
      <c r="C964" s="849" t="s">
        <v>3127</v>
      </c>
      <c r="D964" s="849" t="s">
        <v>3128</v>
      </c>
      <c r="E964" s="849" t="s">
        <v>768</v>
      </c>
      <c r="F964" s="849" t="s">
        <v>2855</v>
      </c>
      <c r="G964" s="849">
        <v>0.0</v>
      </c>
      <c r="H964" s="849">
        <v>0.0</v>
      </c>
      <c r="I964" s="849">
        <v>0.0</v>
      </c>
      <c r="J964" s="849">
        <v>0.0</v>
      </c>
      <c r="K964" s="849">
        <v>0.0</v>
      </c>
      <c r="L964" s="849">
        <v>0.0</v>
      </c>
      <c r="M964" s="849">
        <v>0.0</v>
      </c>
      <c r="N964" s="849">
        <v>0.0</v>
      </c>
      <c r="O964" s="849">
        <v>0.0</v>
      </c>
      <c r="P964" s="849">
        <v>0.0</v>
      </c>
      <c r="Q964" s="849">
        <v>0.0</v>
      </c>
      <c r="R964" s="849">
        <v>0.0</v>
      </c>
      <c r="S964" s="849">
        <v>0.0</v>
      </c>
      <c r="T964" s="849">
        <v>0.0</v>
      </c>
      <c r="U964" s="849">
        <v>0.0</v>
      </c>
      <c r="V964" s="849">
        <v>0.0</v>
      </c>
      <c r="W964" s="849">
        <v>0.0</v>
      </c>
      <c r="X964" s="849">
        <v>0.0</v>
      </c>
      <c r="Y964" s="849">
        <v>0.0</v>
      </c>
      <c r="Z964" s="849">
        <v>0.0</v>
      </c>
      <c r="AA964" s="849">
        <v>0.0</v>
      </c>
      <c r="AB964" s="849">
        <v>0.0</v>
      </c>
      <c r="AC964" s="849">
        <v>0.0</v>
      </c>
      <c r="AD964" s="849">
        <v>0.0</v>
      </c>
      <c r="AE964" s="849">
        <v>0.0</v>
      </c>
      <c r="AF964" s="849">
        <v>0.0</v>
      </c>
      <c r="AG964" s="849">
        <v>0.0</v>
      </c>
      <c r="AH964" s="849">
        <v>0.0</v>
      </c>
      <c r="AI964" s="849">
        <v>0.0</v>
      </c>
      <c r="AJ964" s="794" t="str">
        <f t="shared" ref="AJ964:AK964" si="1925">C964</f>
        <v>G65513</v>
      </c>
      <c r="AK964" s="794" t="str">
        <f t="shared" si="1925"/>
        <v>COUT -PRT REMPL CLE-USAGE</v>
      </c>
      <c r="AL964" s="794">
        <f t="array" ref="AL964">IFERROR(INDEX(G964:R964,1,MATCH(Parametres!$B$3,G$1:R$1,0)-1)*IF(OR(F964="L",F964="S",F964="I"),-1,1),"")</f>
        <v>0</v>
      </c>
      <c r="AM964" s="794">
        <f t="shared" si="4"/>
        <v>0</v>
      </c>
      <c r="AN964" s="794">
        <f t="array" ref="AN964">INDEX(G964:R964,1,MATCH(Parametres!$B$3,G$1:R$1,0))*IF(OR(F964="L",F964="S",F964="I"),-1,1)</f>
        <v>0</v>
      </c>
      <c r="AO964" s="853" t="str">
        <f>+VLOOKUP($AJ964,Data_Validation!$A:$D,1,0)</f>
        <v>#N/A</v>
      </c>
      <c r="AP964" s="853" t="str">
        <f>+VLOOKUP($AJ964,Data_Validation!$A:$D,3,0)</f>
        <v>#N/A</v>
      </c>
      <c r="AQ964" s="853" t="str">
        <f>+VLOOKUP($AJ964,Data_Validation!$A:$D,4,0)</f>
        <v>#N/A</v>
      </c>
      <c r="AR964" s="853" t="s">
        <v>728</v>
      </c>
      <c r="AS964" s="853" t="str">
        <f>+VLOOKUP($AJ964,Data_Validation!$A:$E,5,0)</f>
        <v>#N/A</v>
      </c>
      <c r="AT964" s="794" t="str">
        <f t="shared" ref="AT964:AU964" si="1926">C964</f>
        <v>G65513</v>
      </c>
      <c r="AU964" s="854" t="str">
        <f t="shared" si="1926"/>
        <v>COUT -PRT REMPL CLE-USAGE</v>
      </c>
      <c r="AV964" s="794">
        <f t="array" ref="AV964">IFERROR(INDEX(V964:AG964,1,MATCH(Parametres!$B$3,V$1:AG$1,0)-1)*IF(OR(C964="L",C964="S",C964="I"),-1,1),"")</f>
        <v>0</v>
      </c>
      <c r="AW964" s="794">
        <f t="shared" si="6"/>
        <v>0</v>
      </c>
      <c r="AX964" s="794">
        <f t="array" ref="AX964">INDEX(V964:AG964,1,MATCH(Parametres!$B$3,V$1:AG$1,0))*IF(OR(C964="L",C964="S",C964="I"),-1,1)</f>
        <v>0</v>
      </c>
      <c r="AY964" s="853" t="s">
        <v>772</v>
      </c>
      <c r="AZ964" s="853" t="str">
        <f>+VLOOKUP($AJ964,Data_Validation!$A:$E,5,0)</f>
        <v>#N/A</v>
      </c>
    </row>
    <row r="965" ht="15.0" customHeight="1">
      <c r="A965" s="849" t="s">
        <v>1239</v>
      </c>
      <c r="B965" s="849">
        <v>2026.0</v>
      </c>
      <c r="C965" s="849" t="s">
        <v>3129</v>
      </c>
      <c r="D965" s="849" t="s">
        <v>3130</v>
      </c>
      <c r="E965" s="849" t="s">
        <v>768</v>
      </c>
      <c r="F965" s="849" t="s">
        <v>2855</v>
      </c>
      <c r="G965" s="849">
        <v>1523.9</v>
      </c>
      <c r="H965" s="849">
        <v>1523.9</v>
      </c>
      <c r="I965" s="849">
        <v>2473.8</v>
      </c>
      <c r="J965" s="849">
        <v>2473.8</v>
      </c>
      <c r="K965" s="849">
        <v>2473.8</v>
      </c>
      <c r="L965" s="849">
        <v>2473.8</v>
      </c>
      <c r="M965" s="849">
        <v>2473.8</v>
      </c>
      <c r="N965" s="849">
        <v>6127.8</v>
      </c>
      <c r="O965" s="849">
        <v>6127.8</v>
      </c>
      <c r="P965" s="849">
        <v>6127.8</v>
      </c>
      <c r="Q965" s="849">
        <v>0.0</v>
      </c>
      <c r="R965" s="849">
        <v>0.0</v>
      </c>
      <c r="S965" s="849">
        <v>680.87</v>
      </c>
      <c r="T965" s="849">
        <v>680.87</v>
      </c>
      <c r="U965" s="849">
        <v>0.0</v>
      </c>
      <c r="V965" s="849">
        <v>0.0</v>
      </c>
      <c r="W965" s="849">
        <v>0.0</v>
      </c>
      <c r="X965" s="849">
        <v>0.0</v>
      </c>
      <c r="Y965" s="849">
        <v>0.0</v>
      </c>
      <c r="Z965" s="849">
        <v>0.0</v>
      </c>
      <c r="AA965" s="849">
        <v>0.0</v>
      </c>
      <c r="AB965" s="849">
        <v>0.0</v>
      </c>
      <c r="AC965" s="849">
        <v>0.0</v>
      </c>
      <c r="AD965" s="849">
        <v>0.0</v>
      </c>
      <c r="AE965" s="849">
        <v>0.0</v>
      </c>
      <c r="AF965" s="849">
        <v>0.0</v>
      </c>
      <c r="AG965" s="849">
        <v>0.0</v>
      </c>
      <c r="AH965" s="849">
        <v>0.0</v>
      </c>
      <c r="AI965" s="849">
        <v>0.0</v>
      </c>
      <c r="AJ965" s="794" t="str">
        <f t="shared" ref="AJ965:AK965" si="1927">C965</f>
        <v>G65600</v>
      </c>
      <c r="AK965" s="794" t="str">
        <f t="shared" si="1927"/>
        <v>COUT-REMPLACEMENT USAGES</v>
      </c>
      <c r="AL965" s="794">
        <f t="array" ref="AL965">IFERROR(INDEX(G965:R965,1,MATCH(Parametres!$B$3,G$1:R$1,0)-1)*IF(OR(F965="L",F965="S",F965="I"),-1,1),"")</f>
        <v>6127.8</v>
      </c>
      <c r="AM965" s="794">
        <f t="shared" si="4"/>
        <v>0</v>
      </c>
      <c r="AN965" s="794">
        <f t="array" ref="AN965">INDEX(G965:R965,1,MATCH(Parametres!$B$3,G$1:R$1,0))*IF(OR(F965="L",F965="S",F965="I"),-1,1)</f>
        <v>6127.8</v>
      </c>
      <c r="AO965" s="853" t="str">
        <f>+VLOOKUP($AJ965,Data_Validation!$A:$D,1,0)</f>
        <v>G65600</v>
      </c>
      <c r="AP965" s="853" t="str">
        <f>+VLOOKUP($AJ965,Data_Validation!$A:$D,3,0)</f>
        <v>Véhicules usagés</v>
      </c>
      <c r="AQ965" s="853" t="str">
        <f>+VLOOKUP($AJ965,Data_Validation!$A:$D,4,0)</f>
        <v>Rev. Protections</v>
      </c>
      <c r="AR965" s="853" t="s">
        <v>728</v>
      </c>
      <c r="AS965" s="853" t="str">
        <f>+VLOOKUP($AJ965,Data_Validation!$A:$E,5,0)</f>
        <v/>
      </c>
      <c r="AT965" s="794" t="str">
        <f t="shared" ref="AT965:AU965" si="1928">C965</f>
        <v>G65600</v>
      </c>
      <c r="AU965" s="854" t="str">
        <f t="shared" si="1928"/>
        <v>COUT-REMPLACEMENT USAGES</v>
      </c>
      <c r="AV965" s="794">
        <f t="array" ref="AV965">IFERROR(INDEX(V965:AG965,1,MATCH(Parametres!$B$3,V$1:AG$1,0)-1)*IF(OR(C965="L",C965="S",C965="I"),-1,1),"")</f>
        <v>0</v>
      </c>
      <c r="AW965" s="794">
        <f t="shared" si="6"/>
        <v>0</v>
      </c>
      <c r="AX965" s="794">
        <f t="array" ref="AX965">INDEX(V965:AG965,1,MATCH(Parametres!$B$3,V$1:AG$1,0))*IF(OR(C965="L",C965="S",C965="I"),-1,1)</f>
        <v>0</v>
      </c>
      <c r="AY965" s="853" t="s">
        <v>772</v>
      </c>
      <c r="AZ965" s="853" t="str">
        <f>+VLOOKUP($AJ965,Data_Validation!$A:$E,5,0)</f>
        <v/>
      </c>
    </row>
    <row r="966" ht="15.0" customHeight="1">
      <c r="A966" s="849" t="s">
        <v>1239</v>
      </c>
      <c r="B966" s="849">
        <v>2026.0</v>
      </c>
      <c r="C966" s="849" t="s">
        <v>3131</v>
      </c>
      <c r="D966" s="849" t="s">
        <v>3132</v>
      </c>
      <c r="E966" s="849" t="s">
        <v>2855</v>
      </c>
      <c r="F966" s="849" t="s">
        <v>2855</v>
      </c>
      <c r="G966" s="849">
        <v>0.0</v>
      </c>
      <c r="H966" s="849">
        <v>11481.43</v>
      </c>
      <c r="I966" s="849">
        <v>11481.43</v>
      </c>
      <c r="J966" s="849">
        <v>11481.43</v>
      </c>
      <c r="K966" s="849">
        <v>0.0</v>
      </c>
      <c r="L966" s="849">
        <v>0.0</v>
      </c>
      <c r="M966" s="849">
        <v>0.0</v>
      </c>
      <c r="N966" s="849">
        <v>0.0</v>
      </c>
      <c r="O966" s="849">
        <v>0.0</v>
      </c>
      <c r="P966" s="849">
        <v>0.0</v>
      </c>
      <c r="Q966" s="849">
        <v>0.0</v>
      </c>
      <c r="R966" s="849">
        <v>0.0</v>
      </c>
      <c r="S966" s="849">
        <v>0.0</v>
      </c>
      <c r="T966" s="849">
        <v>0.0</v>
      </c>
      <c r="U966" s="849">
        <v>0.0</v>
      </c>
      <c r="V966" s="849">
        <v>0.0</v>
      </c>
      <c r="W966" s="849">
        <v>0.0</v>
      </c>
      <c r="X966" s="849">
        <v>0.0</v>
      </c>
      <c r="Y966" s="849">
        <v>0.0</v>
      </c>
      <c r="Z966" s="849">
        <v>0.0</v>
      </c>
      <c r="AA966" s="849">
        <v>0.0</v>
      </c>
      <c r="AB966" s="849">
        <v>0.0</v>
      </c>
      <c r="AC966" s="849">
        <v>0.0</v>
      </c>
      <c r="AD966" s="849">
        <v>0.0</v>
      </c>
      <c r="AE966" s="849">
        <v>0.0</v>
      </c>
      <c r="AF966" s="849">
        <v>0.0</v>
      </c>
      <c r="AG966" s="849">
        <v>0.0</v>
      </c>
      <c r="AH966" s="849">
        <v>0.0</v>
      </c>
      <c r="AI966" s="849">
        <v>0.0</v>
      </c>
      <c r="AJ966" s="794" t="str">
        <f t="shared" ref="AJ966:AK966" si="1929">C966</f>
        <v>G65601</v>
      </c>
      <c r="AK966" s="794" t="str">
        <f t="shared" si="1929"/>
        <v>COUT VEH U.S.A</v>
      </c>
      <c r="AL966" s="794">
        <f t="array" ref="AL966">IFERROR(INDEX(G966:R966,1,MATCH(Parametres!$B$3,G$1:R$1,0)-1)*IF(OR(F966="L",F966="S",F966="I"),-1,1),"")</f>
        <v>0</v>
      </c>
      <c r="AM966" s="794">
        <f t="shared" si="4"/>
        <v>0</v>
      </c>
      <c r="AN966" s="794">
        <f t="array" ref="AN966">INDEX(G966:R966,1,MATCH(Parametres!$B$3,G$1:R$1,0))*IF(OR(F966="L",F966="S",F966="I"),-1,1)</f>
        <v>0</v>
      </c>
      <c r="AO966" s="853" t="str">
        <f>+VLOOKUP($AJ966,Data_Validation!$A:$D,1,0)</f>
        <v>G65601</v>
      </c>
      <c r="AP966" s="853" t="str">
        <f>+VLOOKUP($AJ966,Data_Validation!$A:$D,3,0)</f>
        <v>Wholesale autres</v>
      </c>
      <c r="AQ966" s="853" t="str">
        <f>+VLOOKUP($AJ966,Data_Validation!$A:$D,4,0)</f>
        <v>Wholesale USA</v>
      </c>
      <c r="AR966" s="853" t="s">
        <v>728</v>
      </c>
      <c r="AS966" s="853" t="str">
        <f>+VLOOKUP($AJ966,Data_Validation!$A:$E,5,0)</f>
        <v/>
      </c>
      <c r="AT966" s="794" t="str">
        <f t="shared" ref="AT966:AU966" si="1930">C966</f>
        <v>G65601</v>
      </c>
      <c r="AU966" s="854" t="str">
        <f t="shared" si="1930"/>
        <v>COUT VEH U.S.A</v>
      </c>
      <c r="AV966" s="794">
        <f t="array" ref="AV966">IFERROR(INDEX(V966:AG966,1,MATCH(Parametres!$B$3,V$1:AG$1,0)-1)*IF(OR(C966="L",C966="S",C966="I"),-1,1),"")</f>
        <v>0</v>
      </c>
      <c r="AW966" s="794">
        <f t="shared" si="6"/>
        <v>0</v>
      </c>
      <c r="AX966" s="794">
        <f t="array" ref="AX966">INDEX(V966:AG966,1,MATCH(Parametres!$B$3,V$1:AG$1,0))*IF(OR(C966="L",C966="S",C966="I"),-1,1)</f>
        <v>0</v>
      </c>
      <c r="AY966" s="853" t="s">
        <v>772</v>
      </c>
      <c r="AZ966" s="853" t="str">
        <f>+VLOOKUP($AJ966,Data_Validation!$A:$E,5,0)</f>
        <v/>
      </c>
    </row>
    <row r="967" ht="15.0" customHeight="1">
      <c r="A967" s="849" t="s">
        <v>1239</v>
      </c>
      <c r="B967" s="849">
        <v>2026.0</v>
      </c>
      <c r="C967" s="849" t="s">
        <v>3133</v>
      </c>
      <c r="D967" s="849" t="s">
        <v>3134</v>
      </c>
      <c r="E967" s="849" t="s">
        <v>768</v>
      </c>
      <c r="F967" s="849" t="s">
        <v>2855</v>
      </c>
      <c r="G967" s="849">
        <v>0.0</v>
      </c>
      <c r="H967" s="849">
        <v>0.0</v>
      </c>
      <c r="I967" s="849">
        <v>0.0</v>
      </c>
      <c r="J967" s="849">
        <v>0.0</v>
      </c>
      <c r="K967" s="849">
        <v>0.0</v>
      </c>
      <c r="L967" s="849">
        <v>0.0</v>
      </c>
      <c r="M967" s="849">
        <v>0.0</v>
      </c>
      <c r="N967" s="849">
        <v>0.0</v>
      </c>
      <c r="O967" s="849">
        <v>0.0</v>
      </c>
      <c r="P967" s="849">
        <v>0.0</v>
      </c>
      <c r="Q967" s="849">
        <v>0.0</v>
      </c>
      <c r="R967" s="849">
        <v>0.0</v>
      </c>
      <c r="S967" s="849">
        <v>0.0</v>
      </c>
      <c r="T967" s="849">
        <v>0.0</v>
      </c>
      <c r="U967" s="849">
        <v>0.0</v>
      </c>
      <c r="V967" s="849">
        <v>0.0</v>
      </c>
      <c r="W967" s="849">
        <v>0.0</v>
      </c>
      <c r="X967" s="849">
        <v>0.0</v>
      </c>
      <c r="Y967" s="849">
        <v>0.0</v>
      </c>
      <c r="Z967" s="849">
        <v>0.0</v>
      </c>
      <c r="AA967" s="849">
        <v>0.0</v>
      </c>
      <c r="AB967" s="849">
        <v>0.0</v>
      </c>
      <c r="AC967" s="849">
        <v>0.0</v>
      </c>
      <c r="AD967" s="849">
        <v>0.0</v>
      </c>
      <c r="AE967" s="849">
        <v>0.0</v>
      </c>
      <c r="AF967" s="849">
        <v>0.0</v>
      </c>
      <c r="AG967" s="849">
        <v>0.0</v>
      </c>
      <c r="AH967" s="849">
        <v>0.0</v>
      </c>
      <c r="AI967" s="849">
        <v>0.0</v>
      </c>
      <c r="AJ967" s="794" t="str">
        <f t="shared" ref="AJ967:AK967" si="1931">C967</f>
        <v>G65602</v>
      </c>
      <c r="AK967" s="794" t="str">
        <f t="shared" si="1931"/>
        <v>COUT VENTE USA -AJUSTMENT</v>
      </c>
      <c r="AL967" s="794">
        <f t="array" ref="AL967">IFERROR(INDEX(G967:R967,1,MATCH(Parametres!$B$3,G$1:R$1,0)-1)*IF(OR(F967="L",F967="S",F967="I"),-1,1),"")</f>
        <v>0</v>
      </c>
      <c r="AM967" s="794">
        <f t="shared" si="4"/>
        <v>0</v>
      </c>
      <c r="AN967" s="794">
        <f t="array" ref="AN967">INDEX(G967:R967,1,MATCH(Parametres!$B$3,G$1:R$1,0))*IF(OR(F967="L",F967="S",F967="I"),-1,1)</f>
        <v>0</v>
      </c>
      <c r="AO967" s="853" t="str">
        <f>+VLOOKUP($AJ967,Data_Validation!$A:$D,1,0)</f>
        <v>G65602</v>
      </c>
      <c r="AP967" s="853" t="str">
        <f>+VLOOKUP($AJ967,Data_Validation!$A:$D,3,0)</f>
        <v>Wholesale autres</v>
      </c>
      <c r="AQ967" s="853" t="str">
        <f>+VLOOKUP($AJ967,Data_Validation!$A:$D,4,0)</f>
        <v>Wholesale USA</v>
      </c>
      <c r="AR967" s="853" t="s">
        <v>728</v>
      </c>
      <c r="AS967" s="853" t="str">
        <f>+VLOOKUP($AJ967,Data_Validation!$A:$E,5,0)</f>
        <v/>
      </c>
      <c r="AT967" s="794" t="str">
        <f t="shared" ref="AT967:AU967" si="1932">C967</f>
        <v>G65602</v>
      </c>
      <c r="AU967" s="854" t="str">
        <f t="shared" si="1932"/>
        <v>COUT VENTE USA -AJUSTMENT</v>
      </c>
      <c r="AV967" s="794">
        <f t="array" ref="AV967">IFERROR(INDEX(V967:AG967,1,MATCH(Parametres!$B$3,V$1:AG$1,0)-1)*IF(OR(C967="L",C967="S",C967="I"),-1,1),"")</f>
        <v>0</v>
      </c>
      <c r="AW967" s="794">
        <f t="shared" si="6"/>
        <v>0</v>
      </c>
      <c r="AX967" s="794">
        <f t="array" ref="AX967">INDEX(V967:AG967,1,MATCH(Parametres!$B$3,V$1:AG$1,0))*IF(OR(C967="L",C967="S",C967="I"),-1,1)</f>
        <v>0</v>
      </c>
      <c r="AY967" s="853" t="s">
        <v>772</v>
      </c>
      <c r="AZ967" s="853" t="str">
        <f>+VLOOKUP($AJ967,Data_Validation!$A:$E,5,0)</f>
        <v/>
      </c>
    </row>
    <row r="968" ht="15.0" customHeight="1">
      <c r="A968" s="849" t="s">
        <v>1239</v>
      </c>
      <c r="B968" s="849">
        <v>2026.0</v>
      </c>
      <c r="C968" s="849" t="s">
        <v>3135</v>
      </c>
      <c r="D968" s="849" t="s">
        <v>3136</v>
      </c>
      <c r="E968" s="849" t="s">
        <v>2072</v>
      </c>
      <c r="F968" s="849" t="s">
        <v>2855</v>
      </c>
      <c r="G968" s="849">
        <v>1824174.62</v>
      </c>
      <c r="H968" s="849">
        <v>3633133.52</v>
      </c>
      <c r="I968" s="849">
        <v>7320041.87</v>
      </c>
      <c r="J968" s="849">
        <v>1.156966859E7</v>
      </c>
      <c r="K968" s="849">
        <v>1.480810308E7</v>
      </c>
      <c r="L968" s="849">
        <v>1.783950209E7</v>
      </c>
      <c r="M968" s="849">
        <v>1.991742407E7</v>
      </c>
      <c r="N968" s="849">
        <v>2.352238124E7</v>
      </c>
      <c r="O968" s="849">
        <v>2.415229966E7</v>
      </c>
      <c r="P968" s="849">
        <v>2.415229921E7</v>
      </c>
      <c r="Q968" s="849">
        <v>0.0</v>
      </c>
      <c r="R968" s="849">
        <v>0.0</v>
      </c>
      <c r="S968" s="849">
        <v>2683588.85</v>
      </c>
      <c r="T968" s="849">
        <v>2683588.85</v>
      </c>
      <c r="U968" s="849">
        <v>0.0</v>
      </c>
      <c r="V968" s="849">
        <v>0.0</v>
      </c>
      <c r="W968" s="849">
        <v>0.0</v>
      </c>
      <c r="X968" s="849">
        <v>0.0</v>
      </c>
      <c r="Y968" s="849">
        <v>0.0</v>
      </c>
      <c r="Z968" s="849">
        <v>0.0</v>
      </c>
      <c r="AA968" s="849">
        <v>0.0</v>
      </c>
      <c r="AB968" s="849">
        <v>0.0</v>
      </c>
      <c r="AC968" s="849">
        <v>0.0</v>
      </c>
      <c r="AD968" s="849">
        <v>0.0</v>
      </c>
      <c r="AE968" s="849">
        <v>0.0</v>
      </c>
      <c r="AF968" s="849">
        <v>0.0</v>
      </c>
      <c r="AG968" s="849">
        <v>0.0</v>
      </c>
      <c r="AH968" s="849">
        <v>0.0</v>
      </c>
      <c r="AI968" s="849">
        <v>0.0</v>
      </c>
      <c r="AJ968" s="794" t="str">
        <f t="shared" ref="AJ968:AK968" si="1933">C968</f>
        <v>G65603</v>
      </c>
      <c r="AK968" s="794" t="str">
        <f t="shared" si="1933"/>
        <v>COUTANT VENTES USA</v>
      </c>
      <c r="AL968" s="794">
        <f t="array" ref="AL968">IFERROR(INDEX(G968:R968,1,MATCH(Parametres!$B$3,G$1:R$1,0)-1)*IF(OR(F968="L",F968="S",F968="I"),-1,1),"")</f>
        <v>23522381.24</v>
      </c>
      <c r="AM968" s="794">
        <f t="shared" si="4"/>
        <v>629918.42</v>
      </c>
      <c r="AN968" s="794">
        <f t="array" ref="AN968">INDEX(G968:R968,1,MATCH(Parametres!$B$3,G$1:R$1,0))*IF(OR(F968="L",F968="S",F968="I"),-1,1)</f>
        <v>24152299.66</v>
      </c>
      <c r="AO968" s="853" t="str">
        <f>+VLOOKUP($AJ968,Data_Validation!$A:$D,1,0)</f>
        <v>G65603</v>
      </c>
      <c r="AP968" s="853" t="str">
        <f>+VLOOKUP($AJ968,Data_Validation!$A:$D,3,0)</f>
        <v>Wholesale autres</v>
      </c>
      <c r="AQ968" s="853" t="str">
        <f>+VLOOKUP($AJ968,Data_Validation!$A:$D,4,0)</f>
        <v>Wholesale USA</v>
      </c>
      <c r="AR968" s="853" t="s">
        <v>728</v>
      </c>
      <c r="AS968" s="853" t="str">
        <f>+VLOOKUP($AJ968,Data_Validation!$A:$E,5,0)</f>
        <v/>
      </c>
      <c r="AT968" s="794" t="str">
        <f t="shared" ref="AT968:AU968" si="1934">C968</f>
        <v>G65603</v>
      </c>
      <c r="AU968" s="854" t="str">
        <f t="shared" si="1934"/>
        <v>COUTANT VENTES USA</v>
      </c>
      <c r="AV968" s="794">
        <f t="array" ref="AV968">IFERROR(INDEX(V968:AG968,1,MATCH(Parametres!$B$3,V$1:AG$1,0)-1)*IF(OR(C968="L",C968="S",C968="I"),-1,1),"")</f>
        <v>0</v>
      </c>
      <c r="AW968" s="794">
        <f t="shared" si="6"/>
        <v>0</v>
      </c>
      <c r="AX968" s="794">
        <f t="array" ref="AX968">INDEX(V968:AG968,1,MATCH(Parametres!$B$3,V$1:AG$1,0))*IF(OR(C968="L",C968="S",C968="I"),-1,1)</f>
        <v>0</v>
      </c>
      <c r="AY968" s="853" t="s">
        <v>772</v>
      </c>
      <c r="AZ968" s="853" t="str">
        <f>+VLOOKUP($AJ968,Data_Validation!$A:$E,5,0)</f>
        <v/>
      </c>
    </row>
    <row r="969" ht="15.0" customHeight="1">
      <c r="A969" s="849" t="s">
        <v>1239</v>
      </c>
      <c r="B969" s="849">
        <v>2026.0</v>
      </c>
      <c r="C969" s="849" t="s">
        <v>3137</v>
      </c>
      <c r="D969" s="849" t="s">
        <v>3138</v>
      </c>
      <c r="E969" s="849" t="s">
        <v>2072</v>
      </c>
      <c r="F969" s="849" t="s">
        <v>2855</v>
      </c>
      <c r="G969" s="849">
        <v>0.0</v>
      </c>
      <c r="H969" s="849">
        <v>0.0</v>
      </c>
      <c r="I969" s="849">
        <v>0.0</v>
      </c>
      <c r="J969" s="849">
        <v>0.0</v>
      </c>
      <c r="K969" s="849">
        <v>3688515.75</v>
      </c>
      <c r="L969" s="849">
        <v>5629910.83</v>
      </c>
      <c r="M969" s="849">
        <v>7128148.58</v>
      </c>
      <c r="N969" s="849">
        <v>8932635.07</v>
      </c>
      <c r="O969" s="849">
        <v>1.029580307E7</v>
      </c>
      <c r="P969" s="849">
        <v>1.077084142E7</v>
      </c>
      <c r="Q969" s="849">
        <v>0.0</v>
      </c>
      <c r="R969" s="849">
        <v>0.0</v>
      </c>
      <c r="S969" s="849">
        <v>1143978.12</v>
      </c>
      <c r="T969" s="849">
        <v>1143978.12</v>
      </c>
      <c r="U969" s="849">
        <v>0.0</v>
      </c>
      <c r="V969" s="849">
        <v>0.0</v>
      </c>
      <c r="W969" s="849">
        <v>0.0</v>
      </c>
      <c r="X969" s="849">
        <v>0.0</v>
      </c>
      <c r="Y969" s="849">
        <v>0.0</v>
      </c>
      <c r="Z969" s="849">
        <v>0.0</v>
      </c>
      <c r="AA969" s="849">
        <v>0.0</v>
      </c>
      <c r="AB969" s="849">
        <v>0.0</v>
      </c>
      <c r="AC969" s="849">
        <v>0.0</v>
      </c>
      <c r="AD969" s="849">
        <v>0.0</v>
      </c>
      <c r="AE969" s="849">
        <v>0.0</v>
      </c>
      <c r="AF969" s="849">
        <v>0.0</v>
      </c>
      <c r="AG969" s="849">
        <v>0.0</v>
      </c>
      <c r="AH969" s="849">
        <v>0.0</v>
      </c>
      <c r="AI969" s="849">
        <v>0.0</v>
      </c>
      <c r="AJ969" s="794" t="str">
        <f t="shared" ref="AJ969:AK969" si="1935">C969</f>
        <v>G656031</v>
      </c>
      <c r="AK969" s="794" t="str">
        <f t="shared" si="1935"/>
        <v>COUT VENTES INTERCO USA</v>
      </c>
      <c r="AL969" s="794">
        <f t="array" ref="AL969">IFERROR(INDEX(G969:R969,1,MATCH(Parametres!$B$3,G$1:R$1,0)-1)*IF(OR(F969="L",F969="S",F969="I"),-1,1),"")</f>
        <v>8932635.07</v>
      </c>
      <c r="AM969" s="794">
        <f t="shared" si="4"/>
        <v>1363168</v>
      </c>
      <c r="AN969" s="794">
        <f t="array" ref="AN969">INDEX(G969:R969,1,MATCH(Parametres!$B$3,G$1:R$1,0))*IF(OR(F969="L",F969="S",F969="I"),-1,1)</f>
        <v>10295803.07</v>
      </c>
      <c r="AO969" s="853" t="str">
        <f>+VLOOKUP($AJ969,Data_Validation!$A:$D,1,0)</f>
        <v>G656031</v>
      </c>
      <c r="AP969" s="853" t="str">
        <f>+VLOOKUP($AJ969,Data_Validation!$A:$D,3,0)</f>
        <v/>
      </c>
      <c r="AQ969" s="853" t="str">
        <f>+VLOOKUP($AJ969,Data_Validation!$A:$D,4,0)</f>
        <v/>
      </c>
      <c r="AR969" s="853" t="s">
        <v>728</v>
      </c>
      <c r="AS969" s="853" t="str">
        <f>+VLOOKUP($AJ969,Data_Validation!$A:$E,5,0)</f>
        <v/>
      </c>
      <c r="AT969" s="794" t="str">
        <f t="shared" ref="AT969:AU969" si="1936">C969</f>
        <v>G656031</v>
      </c>
      <c r="AU969" s="854" t="str">
        <f t="shared" si="1936"/>
        <v>COUT VENTES INTERCO USA</v>
      </c>
      <c r="AV969" s="794">
        <f t="array" ref="AV969">IFERROR(INDEX(V969:AG969,1,MATCH(Parametres!$B$3,V$1:AG$1,0)-1)*IF(OR(C969="L",C969="S",C969="I"),-1,1),"")</f>
        <v>0</v>
      </c>
      <c r="AW969" s="794">
        <f t="shared" si="6"/>
        <v>0</v>
      </c>
      <c r="AX969" s="794">
        <f t="array" ref="AX969">INDEX(V969:AG969,1,MATCH(Parametres!$B$3,V$1:AG$1,0))*IF(OR(C969="L",C969="S",C969="I"),-1,1)</f>
        <v>0</v>
      </c>
      <c r="AY969" s="853" t="s">
        <v>772</v>
      </c>
      <c r="AZ969" s="853" t="str">
        <f>+VLOOKUP($AJ969,Data_Validation!$A:$E,5,0)</f>
        <v/>
      </c>
    </row>
    <row r="970" ht="15.0" customHeight="1">
      <c r="A970" s="849" t="s">
        <v>1239</v>
      </c>
      <c r="B970" s="849">
        <v>2026.0</v>
      </c>
      <c r="C970" s="849" t="s">
        <v>3139</v>
      </c>
      <c r="D970" s="849" t="s">
        <v>3140</v>
      </c>
      <c r="E970" s="849" t="s">
        <v>2072</v>
      </c>
      <c r="F970" s="849" t="s">
        <v>2855</v>
      </c>
      <c r="G970" s="849">
        <v>0.0</v>
      </c>
      <c r="H970" s="849">
        <v>0.0</v>
      </c>
      <c r="I970" s="849">
        <v>0.0</v>
      </c>
      <c r="J970" s="849">
        <v>0.0</v>
      </c>
      <c r="K970" s="849">
        <v>7618583.32</v>
      </c>
      <c r="L970" s="849">
        <v>8208159.97</v>
      </c>
      <c r="M970" s="849">
        <v>9019416.53</v>
      </c>
      <c r="N970" s="849">
        <v>9918803.98</v>
      </c>
      <c r="O970" s="849">
        <v>1.046560381E7</v>
      </c>
      <c r="P970" s="849">
        <v>1.064565092E7</v>
      </c>
      <c r="Q970" s="849">
        <v>0.0</v>
      </c>
      <c r="R970" s="849">
        <v>0.0</v>
      </c>
      <c r="S970" s="849">
        <v>1162844.87</v>
      </c>
      <c r="T970" s="849">
        <v>1162844.87</v>
      </c>
      <c r="U970" s="849">
        <v>0.0</v>
      </c>
      <c r="V970" s="849">
        <v>0.0</v>
      </c>
      <c r="W970" s="849">
        <v>0.0</v>
      </c>
      <c r="X970" s="849">
        <v>0.0</v>
      </c>
      <c r="Y970" s="849">
        <v>0.0</v>
      </c>
      <c r="Z970" s="849">
        <v>0.0</v>
      </c>
      <c r="AA970" s="849">
        <v>0.0</v>
      </c>
      <c r="AB970" s="849">
        <v>0.0</v>
      </c>
      <c r="AC970" s="849">
        <v>0.0</v>
      </c>
      <c r="AD970" s="849">
        <v>0.0</v>
      </c>
      <c r="AE970" s="849">
        <v>0.0</v>
      </c>
      <c r="AF970" s="849">
        <v>0.0</v>
      </c>
      <c r="AG970" s="849">
        <v>0.0</v>
      </c>
      <c r="AH970" s="849">
        <v>0.0</v>
      </c>
      <c r="AI970" s="849">
        <v>0.0</v>
      </c>
      <c r="AJ970" s="794" t="str">
        <f t="shared" ref="AJ970:AK970" si="1937">C970</f>
        <v>G65605</v>
      </c>
      <c r="AK970" s="794" t="str">
        <f t="shared" si="1937"/>
        <v>COUT VENTE WHL CANADA</v>
      </c>
      <c r="AL970" s="794">
        <f t="array" ref="AL970">IFERROR(INDEX(G970:R970,1,MATCH(Parametres!$B$3,G$1:R$1,0)-1)*IF(OR(F970="L",F970="S",F970="I"),-1,1),"")</f>
        <v>9918803.98</v>
      </c>
      <c r="AM970" s="794">
        <f t="shared" si="4"/>
        <v>546799.83</v>
      </c>
      <c r="AN970" s="794">
        <f t="array" ref="AN970">INDEX(G970:R970,1,MATCH(Parametres!$B$3,G$1:R$1,0))*IF(OR(F970="L",F970="S",F970="I"),-1,1)</f>
        <v>10465603.81</v>
      </c>
      <c r="AO970" s="853" t="str">
        <f>+VLOOKUP($AJ970,Data_Validation!$A:$D,1,0)</f>
        <v>G65605</v>
      </c>
      <c r="AP970" s="853" t="str">
        <f>+VLOOKUP($AJ970,Data_Validation!$A:$D,3,0)</f>
        <v>Wholesale autres</v>
      </c>
      <c r="AQ970" s="853" t="str">
        <f>+VLOOKUP($AJ970,Data_Validation!$A:$D,4,0)</f>
        <v>Wholesale Canada</v>
      </c>
      <c r="AR970" s="853" t="s">
        <v>728</v>
      </c>
      <c r="AS970" s="853" t="str">
        <f>+VLOOKUP($AJ970,Data_Validation!$A:$E,5,0)</f>
        <v/>
      </c>
      <c r="AT970" s="794" t="str">
        <f t="shared" ref="AT970:AU970" si="1938">C970</f>
        <v>G65605</v>
      </c>
      <c r="AU970" s="854" t="str">
        <f t="shared" si="1938"/>
        <v>COUT VENTE WHL CANADA</v>
      </c>
      <c r="AV970" s="794">
        <f t="array" ref="AV970">IFERROR(INDEX(V970:AG970,1,MATCH(Parametres!$B$3,V$1:AG$1,0)-1)*IF(OR(C970="L",C970="S",C970="I"),-1,1),"")</f>
        <v>0</v>
      </c>
      <c r="AW970" s="794">
        <f t="shared" si="6"/>
        <v>0</v>
      </c>
      <c r="AX970" s="794">
        <f t="array" ref="AX970">INDEX(V970:AG970,1,MATCH(Parametres!$B$3,V$1:AG$1,0))*IF(OR(C970="L",C970="S",C970="I"),-1,1)</f>
        <v>0</v>
      </c>
      <c r="AY970" s="853" t="s">
        <v>772</v>
      </c>
      <c r="AZ970" s="853" t="str">
        <f>+VLOOKUP($AJ970,Data_Validation!$A:$E,5,0)</f>
        <v/>
      </c>
    </row>
    <row r="971" ht="15.0" customHeight="1">
      <c r="A971" s="849" t="s">
        <v>1239</v>
      </c>
      <c r="B971" s="849">
        <v>2026.0</v>
      </c>
      <c r="C971" s="849" t="s">
        <v>3141</v>
      </c>
      <c r="D971" s="849" t="s">
        <v>3142</v>
      </c>
      <c r="E971" s="849" t="s">
        <v>768</v>
      </c>
      <c r="F971" s="849" t="s">
        <v>2855</v>
      </c>
      <c r="G971" s="849">
        <v>13446.01</v>
      </c>
      <c r="H971" s="849">
        <v>29099.53</v>
      </c>
      <c r="I971" s="849">
        <v>45415.22</v>
      </c>
      <c r="J971" s="849">
        <v>64137.92</v>
      </c>
      <c r="K971" s="849">
        <v>77049.0</v>
      </c>
      <c r="L971" s="849">
        <v>93388.15</v>
      </c>
      <c r="M971" s="849">
        <v>110506.13</v>
      </c>
      <c r="N971" s="849">
        <v>123975.0</v>
      </c>
      <c r="O971" s="849">
        <v>139320.18</v>
      </c>
      <c r="P971" s="849">
        <v>144729.36</v>
      </c>
      <c r="Q971" s="849">
        <v>0.0</v>
      </c>
      <c r="R971" s="849">
        <v>0.0</v>
      </c>
      <c r="S971" s="849">
        <v>15480.02</v>
      </c>
      <c r="T971" s="849">
        <v>15480.02</v>
      </c>
      <c r="U971" s="849">
        <v>0.0</v>
      </c>
      <c r="V971" s="849">
        <v>0.0</v>
      </c>
      <c r="W971" s="849">
        <v>0.0</v>
      </c>
      <c r="X971" s="849">
        <v>0.0</v>
      </c>
      <c r="Y971" s="849">
        <v>0.0</v>
      </c>
      <c r="Z971" s="849">
        <v>0.0</v>
      </c>
      <c r="AA971" s="849">
        <v>0.0</v>
      </c>
      <c r="AB971" s="849">
        <v>0.0</v>
      </c>
      <c r="AC971" s="849">
        <v>0.0</v>
      </c>
      <c r="AD971" s="849">
        <v>0.0</v>
      </c>
      <c r="AE971" s="849">
        <v>0.0</v>
      </c>
      <c r="AF971" s="849">
        <v>0.0</v>
      </c>
      <c r="AG971" s="849">
        <v>0.0</v>
      </c>
      <c r="AH971" s="849">
        <v>0.0</v>
      </c>
      <c r="AI971" s="849">
        <v>0.0</v>
      </c>
      <c r="AJ971" s="794" t="str">
        <f t="shared" ref="AJ971:AK971" si="1939">C971</f>
        <v>G66010</v>
      </c>
      <c r="AK971" s="794" t="str">
        <f t="shared" si="1939"/>
        <v>COUT CLIENT VOIT CAM LEG.</v>
      </c>
      <c r="AL971" s="794">
        <f t="array" ref="AL971">IFERROR(INDEX(G971:R971,1,MATCH(Parametres!$B$3,G$1:R$1,0)-1)*IF(OR(F971="L",F971="S",F971="I"),-1,1),"")</f>
        <v>123975</v>
      </c>
      <c r="AM971" s="794">
        <f t="shared" si="4"/>
        <v>15345.18</v>
      </c>
      <c r="AN971" s="794">
        <f t="array" ref="AN971">INDEX(G971:R971,1,MATCH(Parametres!$B$3,G$1:R$1,0))*IF(OR(F971="L",F971="S",F971="I"),-1,1)</f>
        <v>139320.18</v>
      </c>
      <c r="AO971" s="853" t="str">
        <f>+VLOOKUP($AJ971,Data_Validation!$A:$D,1,0)</f>
        <v>G66010</v>
      </c>
      <c r="AP971" s="853" t="str">
        <f>+VLOOKUP($AJ971,Data_Validation!$A:$D,3,0)</f>
        <v>Service</v>
      </c>
      <c r="AQ971" s="853" t="str">
        <f>+VLOOKUP($AJ971,Data_Validation!$A:$D,4,0)</f>
        <v>M/O Client</v>
      </c>
      <c r="AR971" s="853" t="s">
        <v>728</v>
      </c>
      <c r="AS971" s="853" t="str">
        <f>+VLOOKUP($AJ971,Data_Validation!$A:$E,5,0)</f>
        <v/>
      </c>
      <c r="AT971" s="794" t="str">
        <f t="shared" ref="AT971:AU971" si="1940">C971</f>
        <v>G66010</v>
      </c>
      <c r="AU971" s="854" t="str">
        <f t="shared" si="1940"/>
        <v>COUT CLIENT VOIT CAM LEG.</v>
      </c>
      <c r="AV971" s="794">
        <f t="array" ref="AV971">IFERROR(INDEX(V971:AG971,1,MATCH(Parametres!$B$3,V$1:AG$1,0)-1)*IF(OR(C971="L",C971="S",C971="I"),-1,1),"")</f>
        <v>0</v>
      </c>
      <c r="AW971" s="794">
        <f t="shared" si="6"/>
        <v>0</v>
      </c>
      <c r="AX971" s="794">
        <f t="array" ref="AX971">INDEX(V971:AG971,1,MATCH(Parametres!$B$3,V$1:AG$1,0))*IF(OR(C971="L",C971="S",C971="I"),-1,1)</f>
        <v>0</v>
      </c>
      <c r="AY971" s="853" t="s">
        <v>772</v>
      </c>
      <c r="AZ971" s="853" t="str">
        <f>+VLOOKUP($AJ971,Data_Validation!$A:$E,5,0)</f>
        <v/>
      </c>
    </row>
    <row r="972" ht="15.0" customHeight="1">
      <c r="A972" s="849" t="s">
        <v>1239</v>
      </c>
      <c r="B972" s="849">
        <v>2026.0</v>
      </c>
      <c r="C972" s="849" t="s">
        <v>3143</v>
      </c>
      <c r="D972" s="849" t="s">
        <v>3144</v>
      </c>
      <c r="E972" s="849" t="s">
        <v>768</v>
      </c>
      <c r="F972" s="849" t="s">
        <v>2855</v>
      </c>
      <c r="G972" s="849">
        <v>0.0</v>
      </c>
      <c r="H972" s="849">
        <v>0.0</v>
      </c>
      <c r="I972" s="849">
        <v>0.0</v>
      </c>
      <c r="J972" s="849">
        <v>0.0</v>
      </c>
      <c r="K972" s="849">
        <v>0.0</v>
      </c>
      <c r="L972" s="849">
        <v>3.25</v>
      </c>
      <c r="M972" s="849">
        <v>3.25</v>
      </c>
      <c r="N972" s="849">
        <v>71.05</v>
      </c>
      <c r="O972" s="849">
        <v>71.05</v>
      </c>
      <c r="P972" s="849">
        <v>87.26</v>
      </c>
      <c r="Q972" s="849">
        <v>0.0</v>
      </c>
      <c r="R972" s="849">
        <v>0.0</v>
      </c>
      <c r="S972" s="849">
        <v>7.89</v>
      </c>
      <c r="T972" s="849">
        <v>7.89</v>
      </c>
      <c r="U972" s="849">
        <v>0.0</v>
      </c>
      <c r="V972" s="849">
        <v>0.0</v>
      </c>
      <c r="W972" s="849">
        <v>0.0</v>
      </c>
      <c r="X972" s="849">
        <v>0.0</v>
      </c>
      <c r="Y972" s="849">
        <v>0.0</v>
      </c>
      <c r="Z972" s="849">
        <v>0.0</v>
      </c>
      <c r="AA972" s="849">
        <v>0.0</v>
      </c>
      <c r="AB972" s="849">
        <v>0.0</v>
      </c>
      <c r="AC972" s="849">
        <v>0.0</v>
      </c>
      <c r="AD972" s="849">
        <v>0.0</v>
      </c>
      <c r="AE972" s="849">
        <v>0.0</v>
      </c>
      <c r="AF972" s="849">
        <v>0.0</v>
      </c>
      <c r="AG972" s="849">
        <v>0.0</v>
      </c>
      <c r="AH972" s="849">
        <v>0.0</v>
      </c>
      <c r="AI972" s="849">
        <v>0.0</v>
      </c>
      <c r="AJ972" s="794" t="str">
        <f t="shared" ref="AJ972:AK972" si="1941">C972</f>
        <v>G66015</v>
      </c>
      <c r="AK972" s="794" t="str">
        <f t="shared" si="1941"/>
        <v>COUT ESTHETIQUE CLIENT</v>
      </c>
      <c r="AL972" s="794">
        <f t="array" ref="AL972">IFERROR(INDEX(G972:R972,1,MATCH(Parametres!$B$3,G$1:R$1,0)-1)*IF(OR(F972="L",F972="S",F972="I"),-1,1),"")</f>
        <v>71.05</v>
      </c>
      <c r="AM972" s="794">
        <f t="shared" si="4"/>
        <v>0</v>
      </c>
      <c r="AN972" s="794">
        <f t="array" ref="AN972">INDEX(G972:R972,1,MATCH(Parametres!$B$3,G$1:R$1,0))*IF(OR(F972="L",F972="S",F972="I"),-1,1)</f>
        <v>71.05</v>
      </c>
      <c r="AO972" s="853" t="str">
        <f>+VLOOKUP($AJ972,Data_Validation!$A:$D,1,0)</f>
        <v>G66015</v>
      </c>
      <c r="AP972" s="853" t="str">
        <f>+VLOOKUP($AJ972,Data_Validation!$A:$D,3,0)</f>
        <v>Service</v>
      </c>
      <c r="AQ972" s="853" t="str">
        <f>+VLOOKUP($AJ972,Data_Validation!$A:$D,4,0)</f>
        <v>M/O Client</v>
      </c>
      <c r="AR972" s="853" t="s">
        <v>728</v>
      </c>
      <c r="AS972" s="853" t="str">
        <f>+VLOOKUP($AJ972,Data_Validation!$A:$E,5,0)</f>
        <v/>
      </c>
      <c r="AT972" s="794" t="str">
        <f t="shared" ref="AT972:AU972" si="1942">C972</f>
        <v>G66015</v>
      </c>
      <c r="AU972" s="854" t="str">
        <f t="shared" si="1942"/>
        <v>COUT ESTHETIQUE CLIENT</v>
      </c>
      <c r="AV972" s="794">
        <f t="array" ref="AV972">IFERROR(INDEX(V972:AG972,1,MATCH(Parametres!$B$3,V$1:AG$1,0)-1)*IF(OR(C972="L",C972="S",C972="I"),-1,1),"")</f>
        <v>0</v>
      </c>
      <c r="AW972" s="794">
        <f t="shared" si="6"/>
        <v>0</v>
      </c>
      <c r="AX972" s="794">
        <f t="array" ref="AX972">INDEX(V972:AG972,1,MATCH(Parametres!$B$3,V$1:AG$1,0))*IF(OR(C972="L",C972="S",C972="I"),-1,1)</f>
        <v>0</v>
      </c>
      <c r="AY972" s="853" t="s">
        <v>772</v>
      </c>
      <c r="AZ972" s="853" t="str">
        <f>+VLOOKUP($AJ972,Data_Validation!$A:$E,5,0)</f>
        <v/>
      </c>
    </row>
    <row r="973" ht="15.0" customHeight="1">
      <c r="A973" s="849" t="s">
        <v>1239</v>
      </c>
      <c r="B973" s="849">
        <v>2026.0</v>
      </c>
      <c r="C973" s="849" t="s">
        <v>3145</v>
      </c>
      <c r="D973" s="849" t="s">
        <v>3146</v>
      </c>
      <c r="E973" s="849" t="s">
        <v>768</v>
      </c>
      <c r="F973" s="849" t="s">
        <v>2855</v>
      </c>
      <c r="G973" s="849">
        <v>0.0</v>
      </c>
      <c r="H973" s="849">
        <v>0.0</v>
      </c>
      <c r="I973" s="849">
        <v>0.0</v>
      </c>
      <c r="J973" s="849">
        <v>0.0</v>
      </c>
      <c r="K973" s="849">
        <v>0.0</v>
      </c>
      <c r="L973" s="849">
        <v>0.0</v>
      </c>
      <c r="M973" s="849">
        <v>0.0</v>
      </c>
      <c r="N973" s="849">
        <v>0.0</v>
      </c>
      <c r="O973" s="849">
        <v>0.0</v>
      </c>
      <c r="P973" s="849">
        <v>0.0</v>
      </c>
      <c r="Q973" s="849">
        <v>0.0</v>
      </c>
      <c r="R973" s="849">
        <v>0.0</v>
      </c>
      <c r="S973" s="849">
        <v>0.0</v>
      </c>
      <c r="T973" s="849">
        <v>0.0</v>
      </c>
      <c r="U973" s="849">
        <v>0.0</v>
      </c>
      <c r="V973" s="849">
        <v>0.0</v>
      </c>
      <c r="W973" s="849">
        <v>0.0</v>
      </c>
      <c r="X973" s="849">
        <v>0.0</v>
      </c>
      <c r="Y973" s="849">
        <v>0.0</v>
      </c>
      <c r="Z973" s="849">
        <v>0.0</v>
      </c>
      <c r="AA973" s="849">
        <v>0.0</v>
      </c>
      <c r="AB973" s="849">
        <v>0.0</v>
      </c>
      <c r="AC973" s="849">
        <v>0.0</v>
      </c>
      <c r="AD973" s="849">
        <v>0.0</v>
      </c>
      <c r="AE973" s="849">
        <v>0.0</v>
      </c>
      <c r="AF973" s="849">
        <v>0.0</v>
      </c>
      <c r="AG973" s="849">
        <v>0.0</v>
      </c>
      <c r="AH973" s="849">
        <v>0.0</v>
      </c>
      <c r="AI973" s="849">
        <v>0.0</v>
      </c>
      <c r="AJ973" s="794" t="str">
        <f t="shared" ref="AJ973:AK973" si="1943">C973</f>
        <v>G66020</v>
      </c>
      <c r="AK973" s="794" t="str">
        <f t="shared" si="1943"/>
        <v>COUT CON.SER.VOIT CAM LEG</v>
      </c>
      <c r="AL973" s="794">
        <f t="array" ref="AL973">IFERROR(INDEX(G973:R973,1,MATCH(Parametres!$B$3,G$1:R$1,0)-1)*IF(OR(F973="L",F973="S",F973="I"),-1,1),"")</f>
        <v>0</v>
      </c>
      <c r="AM973" s="794">
        <f t="shared" si="4"/>
        <v>0</v>
      </c>
      <c r="AN973" s="794">
        <f t="array" ref="AN973">INDEX(G973:R973,1,MATCH(Parametres!$B$3,G$1:R$1,0))*IF(OR(F973="L",F973="S",F973="I"),-1,1)</f>
        <v>0</v>
      </c>
      <c r="AO973" s="853" t="str">
        <f>+VLOOKUP($AJ973,Data_Validation!$A:$D,1,0)</f>
        <v>G66020</v>
      </c>
      <c r="AP973" s="853" t="str">
        <f>+VLOOKUP($AJ973,Data_Validation!$A:$D,3,0)</f>
        <v>Service</v>
      </c>
      <c r="AQ973" s="853" t="str">
        <f>+VLOOKUP($AJ973,Data_Validation!$A:$D,4,0)</f>
        <v>M/O Garantie</v>
      </c>
      <c r="AR973" s="853" t="s">
        <v>728</v>
      </c>
      <c r="AS973" s="853" t="str">
        <f>+VLOOKUP($AJ973,Data_Validation!$A:$E,5,0)</f>
        <v/>
      </c>
      <c r="AT973" s="794" t="str">
        <f t="shared" ref="AT973:AU973" si="1944">C973</f>
        <v>G66020</v>
      </c>
      <c r="AU973" s="854" t="str">
        <f t="shared" si="1944"/>
        <v>COUT CON.SER.VOIT CAM LEG</v>
      </c>
      <c r="AV973" s="794">
        <f t="array" ref="AV973">IFERROR(INDEX(V973:AG973,1,MATCH(Parametres!$B$3,V$1:AG$1,0)-1)*IF(OR(C973="L",C973="S",C973="I"),-1,1),"")</f>
        <v>0</v>
      </c>
      <c r="AW973" s="794">
        <f t="shared" si="6"/>
        <v>0</v>
      </c>
      <c r="AX973" s="794">
        <f t="array" ref="AX973">INDEX(V973:AG973,1,MATCH(Parametres!$B$3,V$1:AG$1,0))*IF(OR(C973="L",C973="S",C973="I"),-1,1)</f>
        <v>0</v>
      </c>
      <c r="AY973" s="853" t="s">
        <v>772</v>
      </c>
      <c r="AZ973" s="853" t="str">
        <f>+VLOOKUP($AJ973,Data_Validation!$A:$E,5,0)</f>
        <v/>
      </c>
    </row>
    <row r="974" ht="15.0" customHeight="1">
      <c r="A974" s="849" t="s">
        <v>1239</v>
      </c>
      <c r="B974" s="849">
        <v>2026.0</v>
      </c>
      <c r="C974" s="849" t="s">
        <v>3147</v>
      </c>
      <c r="D974" s="849" t="s">
        <v>3148</v>
      </c>
      <c r="E974" s="849" t="s">
        <v>768</v>
      </c>
      <c r="F974" s="849" t="s">
        <v>2855</v>
      </c>
      <c r="G974" s="849">
        <v>0.0</v>
      </c>
      <c r="H974" s="849">
        <v>0.0</v>
      </c>
      <c r="I974" s="849">
        <v>0.0</v>
      </c>
      <c r="J974" s="849">
        <v>0.0</v>
      </c>
      <c r="K974" s="849">
        <v>0.0</v>
      </c>
      <c r="L974" s="849">
        <v>0.0</v>
      </c>
      <c r="M974" s="849">
        <v>0.0</v>
      </c>
      <c r="N974" s="849">
        <v>0.0</v>
      </c>
      <c r="O974" s="849">
        <v>0.0</v>
      </c>
      <c r="P974" s="849">
        <v>0.0</v>
      </c>
      <c r="Q974" s="849">
        <v>0.0</v>
      </c>
      <c r="R974" s="849">
        <v>0.0</v>
      </c>
      <c r="S974" s="849">
        <v>0.0</v>
      </c>
      <c r="T974" s="849">
        <v>0.0</v>
      </c>
      <c r="U974" s="849">
        <v>0.0</v>
      </c>
      <c r="V974" s="849">
        <v>0.0</v>
      </c>
      <c r="W974" s="849">
        <v>0.0</v>
      </c>
      <c r="X974" s="849">
        <v>0.0</v>
      </c>
      <c r="Y974" s="849">
        <v>0.0</v>
      </c>
      <c r="Z974" s="849">
        <v>0.0</v>
      </c>
      <c r="AA974" s="849">
        <v>0.0</v>
      </c>
      <c r="AB974" s="849">
        <v>0.0</v>
      </c>
      <c r="AC974" s="849">
        <v>0.0</v>
      </c>
      <c r="AD974" s="849">
        <v>0.0</v>
      </c>
      <c r="AE974" s="849">
        <v>0.0</v>
      </c>
      <c r="AF974" s="849">
        <v>0.0</v>
      </c>
      <c r="AG974" s="849">
        <v>0.0</v>
      </c>
      <c r="AH974" s="849">
        <v>0.0</v>
      </c>
      <c r="AI974" s="849">
        <v>0.0</v>
      </c>
      <c r="AJ974" s="794" t="str">
        <f t="shared" ref="AJ974:AK974" si="1945">C974</f>
        <v>G66030</v>
      </c>
      <c r="AK974" s="794" t="str">
        <f t="shared" si="1945"/>
        <v>COUT-M.D.PLAN PROT.A.AUTO</v>
      </c>
      <c r="AL974" s="794">
        <f t="array" ref="AL974">IFERROR(INDEX(G974:R974,1,MATCH(Parametres!$B$3,G$1:R$1,0)-1)*IF(OR(F974="L",F974="S",F974="I"),-1,1),"")</f>
        <v>0</v>
      </c>
      <c r="AM974" s="794">
        <f t="shared" si="4"/>
        <v>0</v>
      </c>
      <c r="AN974" s="794">
        <f t="array" ref="AN974">INDEX(G974:R974,1,MATCH(Parametres!$B$3,G$1:R$1,0))*IF(OR(F974="L",F974="S",F974="I"),-1,1)</f>
        <v>0</v>
      </c>
      <c r="AO974" s="853" t="str">
        <f>+VLOOKUP($AJ974,Data_Validation!$A:$D,1,0)</f>
        <v>#N/A</v>
      </c>
      <c r="AP974" s="853" t="str">
        <f>+VLOOKUP($AJ974,Data_Validation!$A:$D,3,0)</f>
        <v>#N/A</v>
      </c>
      <c r="AQ974" s="853" t="str">
        <f>+VLOOKUP($AJ974,Data_Validation!$A:$D,4,0)</f>
        <v>#N/A</v>
      </c>
      <c r="AR974" s="853" t="s">
        <v>728</v>
      </c>
      <c r="AS974" s="853" t="str">
        <f>+VLOOKUP($AJ974,Data_Validation!$A:$E,5,0)</f>
        <v>#N/A</v>
      </c>
      <c r="AT974" s="794" t="str">
        <f t="shared" ref="AT974:AU974" si="1946">C974</f>
        <v>G66030</v>
      </c>
      <c r="AU974" s="854" t="str">
        <f t="shared" si="1946"/>
        <v>COUT-M.D.PLAN PROT.A.AUTO</v>
      </c>
      <c r="AV974" s="794">
        <f t="array" ref="AV974">IFERROR(INDEX(V974:AG974,1,MATCH(Parametres!$B$3,V$1:AG$1,0)-1)*IF(OR(C974="L",C974="S",C974="I"),-1,1),"")</f>
        <v>0</v>
      </c>
      <c r="AW974" s="794">
        <f t="shared" si="6"/>
        <v>0</v>
      </c>
      <c r="AX974" s="794">
        <f t="array" ref="AX974">INDEX(V974:AG974,1,MATCH(Parametres!$B$3,V$1:AG$1,0))*IF(OR(C974="L",C974="S",C974="I"),-1,1)</f>
        <v>0</v>
      </c>
      <c r="AY974" s="853" t="s">
        <v>772</v>
      </c>
      <c r="AZ974" s="853" t="str">
        <f>+VLOOKUP($AJ974,Data_Validation!$A:$E,5,0)</f>
        <v>#N/A</v>
      </c>
    </row>
    <row r="975" ht="15.0" customHeight="1">
      <c r="A975" s="849" t="s">
        <v>1239</v>
      </c>
      <c r="B975" s="849">
        <v>2026.0</v>
      </c>
      <c r="C975" s="849" t="s">
        <v>3149</v>
      </c>
      <c r="D975" s="849" t="s">
        <v>3150</v>
      </c>
      <c r="E975" s="849" t="s">
        <v>768</v>
      </c>
      <c r="F975" s="849" t="s">
        <v>2855</v>
      </c>
      <c r="G975" s="849">
        <v>518.16</v>
      </c>
      <c r="H975" s="849">
        <v>817.18</v>
      </c>
      <c r="I975" s="849">
        <v>937.18</v>
      </c>
      <c r="J975" s="849">
        <v>1459.1</v>
      </c>
      <c r="K975" s="849">
        <v>2870.89</v>
      </c>
      <c r="L975" s="849">
        <v>3656.76</v>
      </c>
      <c r="M975" s="849">
        <v>4083.31</v>
      </c>
      <c r="N975" s="849">
        <v>4505.42</v>
      </c>
      <c r="O975" s="849">
        <v>5093.74</v>
      </c>
      <c r="P975" s="849">
        <v>5411.13</v>
      </c>
      <c r="Q975" s="849">
        <v>0.0</v>
      </c>
      <c r="R975" s="849">
        <v>0.0</v>
      </c>
      <c r="S975" s="849">
        <v>565.97</v>
      </c>
      <c r="T975" s="849">
        <v>565.97</v>
      </c>
      <c r="U975" s="849">
        <v>0.0</v>
      </c>
      <c r="V975" s="849">
        <v>0.0</v>
      </c>
      <c r="W975" s="849">
        <v>0.0</v>
      </c>
      <c r="X975" s="849">
        <v>0.0</v>
      </c>
      <c r="Y975" s="849">
        <v>0.0</v>
      </c>
      <c r="Z975" s="849">
        <v>0.0</v>
      </c>
      <c r="AA975" s="849">
        <v>0.0</v>
      </c>
      <c r="AB975" s="849">
        <v>0.0</v>
      </c>
      <c r="AC975" s="849">
        <v>0.0</v>
      </c>
      <c r="AD975" s="849">
        <v>0.0</v>
      </c>
      <c r="AE975" s="849">
        <v>0.0</v>
      </c>
      <c r="AF975" s="849">
        <v>0.0</v>
      </c>
      <c r="AG975" s="849">
        <v>0.0</v>
      </c>
      <c r="AH975" s="849">
        <v>0.0</v>
      </c>
      <c r="AI975" s="849">
        <v>0.0</v>
      </c>
      <c r="AJ975" s="794" t="str">
        <f t="shared" ref="AJ975:AK975" si="1947">C975</f>
        <v>G66040</v>
      </c>
      <c r="AK975" s="794" t="str">
        <f t="shared" si="1947"/>
        <v>COUT SER RAP.VOIT CAM LEG</v>
      </c>
      <c r="AL975" s="794">
        <f t="array" ref="AL975">IFERROR(INDEX(G975:R975,1,MATCH(Parametres!$B$3,G$1:R$1,0)-1)*IF(OR(F975="L",F975="S",F975="I"),-1,1),"")</f>
        <v>4505.42</v>
      </c>
      <c r="AM975" s="794">
        <f t="shared" si="4"/>
        <v>588.32</v>
      </c>
      <c r="AN975" s="794">
        <f t="array" ref="AN975">INDEX(G975:R975,1,MATCH(Parametres!$B$3,G$1:R$1,0))*IF(OR(F975="L",F975="S",F975="I"),-1,1)</f>
        <v>5093.74</v>
      </c>
      <c r="AO975" s="853" t="str">
        <f>+VLOOKUP($AJ975,Data_Validation!$A:$D,1,0)</f>
        <v>G66040</v>
      </c>
      <c r="AP975" s="853" t="str">
        <f>+VLOOKUP($AJ975,Data_Validation!$A:$D,3,0)</f>
        <v>Service</v>
      </c>
      <c r="AQ975" s="853" t="str">
        <f>+VLOOKUP($AJ975,Data_Validation!$A:$D,4,0)</f>
        <v>M/O Client</v>
      </c>
      <c r="AR975" s="853" t="s">
        <v>728</v>
      </c>
      <c r="AS975" s="853" t="str">
        <f>+VLOOKUP($AJ975,Data_Validation!$A:$E,5,0)</f>
        <v/>
      </c>
      <c r="AT975" s="794" t="str">
        <f t="shared" ref="AT975:AU975" si="1948">C975</f>
        <v>G66040</v>
      </c>
      <c r="AU975" s="854" t="str">
        <f t="shared" si="1948"/>
        <v>COUT SER RAP.VOIT CAM LEG</v>
      </c>
      <c r="AV975" s="794">
        <f t="array" ref="AV975">IFERROR(INDEX(V975:AG975,1,MATCH(Parametres!$B$3,V$1:AG$1,0)-1)*IF(OR(C975="L",C975="S",C975="I"),-1,1),"")</f>
        <v>0</v>
      </c>
      <c r="AW975" s="794">
        <f t="shared" si="6"/>
        <v>0</v>
      </c>
      <c r="AX975" s="794">
        <f t="array" ref="AX975">INDEX(V975:AG975,1,MATCH(Parametres!$B$3,V$1:AG$1,0))*IF(OR(C975="L",C975="S",C975="I"),-1,1)</f>
        <v>0</v>
      </c>
      <c r="AY975" s="853" t="s">
        <v>772</v>
      </c>
      <c r="AZ975" s="853" t="str">
        <f>+VLOOKUP($AJ975,Data_Validation!$A:$E,5,0)</f>
        <v/>
      </c>
    </row>
    <row r="976" ht="15.0" customHeight="1">
      <c r="A976" s="849" t="s">
        <v>1239</v>
      </c>
      <c r="B976" s="849">
        <v>2026.0</v>
      </c>
      <c r="C976" s="849" t="s">
        <v>3151</v>
      </c>
      <c r="D976" s="849" t="s">
        <v>3152</v>
      </c>
      <c r="E976" s="849" t="s">
        <v>768</v>
      </c>
      <c r="F976" s="849" t="s">
        <v>2855</v>
      </c>
      <c r="G976" s="849">
        <v>0.0</v>
      </c>
      <c r="H976" s="849">
        <v>0.0</v>
      </c>
      <c r="I976" s="849">
        <v>0.0</v>
      </c>
      <c r="J976" s="849">
        <v>0.0</v>
      </c>
      <c r="K976" s="849">
        <v>0.0</v>
      </c>
      <c r="L976" s="849">
        <v>0.0</v>
      </c>
      <c r="M976" s="849">
        <v>0.0</v>
      </c>
      <c r="N976" s="849">
        <v>0.0</v>
      </c>
      <c r="O976" s="849">
        <v>0.0</v>
      </c>
      <c r="P976" s="849">
        <v>0.0</v>
      </c>
      <c r="Q976" s="849">
        <v>0.0</v>
      </c>
      <c r="R976" s="849">
        <v>0.0</v>
      </c>
      <c r="S976" s="849">
        <v>0.0</v>
      </c>
      <c r="T976" s="849">
        <v>0.0</v>
      </c>
      <c r="U976" s="849">
        <v>0.0</v>
      </c>
      <c r="V976" s="849">
        <v>0.0</v>
      </c>
      <c r="W976" s="849">
        <v>0.0</v>
      </c>
      <c r="X976" s="849">
        <v>0.0</v>
      </c>
      <c r="Y976" s="849">
        <v>0.0</v>
      </c>
      <c r="Z976" s="849">
        <v>0.0</v>
      </c>
      <c r="AA976" s="849">
        <v>0.0</v>
      </c>
      <c r="AB976" s="849">
        <v>0.0</v>
      </c>
      <c r="AC976" s="849">
        <v>0.0</v>
      </c>
      <c r="AD976" s="849">
        <v>0.0</v>
      </c>
      <c r="AE976" s="849">
        <v>0.0</v>
      </c>
      <c r="AF976" s="849">
        <v>0.0</v>
      </c>
      <c r="AG976" s="849">
        <v>0.0</v>
      </c>
      <c r="AH976" s="849">
        <v>0.0</v>
      </c>
      <c r="AI976" s="849">
        <v>0.0</v>
      </c>
      <c r="AJ976" s="794" t="str">
        <f t="shared" ref="AJ976:AK976" si="1949">C976</f>
        <v>G66050</v>
      </c>
      <c r="AK976" s="794" t="str">
        <f t="shared" si="1949"/>
        <v>COUT M-0 ELECTRIQUE   CLT</v>
      </c>
      <c r="AL976" s="794">
        <f t="array" ref="AL976">IFERROR(INDEX(G976:R976,1,MATCH(Parametres!$B$3,G$1:R$1,0)-1)*IF(OR(F976="L",F976="S",F976="I"),-1,1),"")</f>
        <v>0</v>
      </c>
      <c r="AM976" s="794">
        <f t="shared" si="4"/>
        <v>0</v>
      </c>
      <c r="AN976" s="794">
        <f t="array" ref="AN976">INDEX(G976:R976,1,MATCH(Parametres!$B$3,G$1:R$1,0))*IF(OR(F976="L",F976="S",F976="I"),-1,1)</f>
        <v>0</v>
      </c>
      <c r="AO976" s="853" t="str">
        <f>+VLOOKUP($AJ976,Data_Validation!$A:$D,1,0)</f>
        <v>#N/A</v>
      </c>
      <c r="AP976" s="853" t="str">
        <f>+VLOOKUP($AJ976,Data_Validation!$A:$D,3,0)</f>
        <v>#N/A</v>
      </c>
      <c r="AQ976" s="853" t="str">
        <f>+VLOOKUP($AJ976,Data_Validation!$A:$D,4,0)</f>
        <v>#N/A</v>
      </c>
      <c r="AR976" s="853" t="s">
        <v>728</v>
      </c>
      <c r="AS976" s="853" t="str">
        <f>+VLOOKUP($AJ976,Data_Validation!$A:$E,5,0)</f>
        <v>#N/A</v>
      </c>
      <c r="AT976" s="794" t="str">
        <f t="shared" ref="AT976:AU976" si="1950">C976</f>
        <v>G66050</v>
      </c>
      <c r="AU976" s="854" t="str">
        <f t="shared" si="1950"/>
        <v>COUT M-0 ELECTRIQUE   CLT</v>
      </c>
      <c r="AV976" s="794">
        <f t="array" ref="AV976">IFERROR(INDEX(V976:AG976,1,MATCH(Parametres!$B$3,V$1:AG$1,0)-1)*IF(OR(C976="L",C976="S",C976="I"),-1,1),"")</f>
        <v>0</v>
      </c>
      <c r="AW976" s="794">
        <f t="shared" si="6"/>
        <v>0</v>
      </c>
      <c r="AX976" s="794">
        <f t="array" ref="AX976">INDEX(V976:AG976,1,MATCH(Parametres!$B$3,V$1:AG$1,0))*IF(OR(C976="L",C976="S",C976="I"),-1,1)</f>
        <v>0</v>
      </c>
      <c r="AY976" s="853" t="s">
        <v>772</v>
      </c>
      <c r="AZ976" s="853" t="str">
        <f>+VLOOKUP($AJ976,Data_Validation!$A:$E,5,0)</f>
        <v>#N/A</v>
      </c>
    </row>
    <row r="977" ht="15.0" customHeight="1">
      <c r="A977" s="849" t="s">
        <v>1239</v>
      </c>
      <c r="B977" s="849">
        <v>2026.0</v>
      </c>
      <c r="C977" s="849" t="s">
        <v>3153</v>
      </c>
      <c r="D977" s="849" t="s">
        <v>3154</v>
      </c>
      <c r="E977" s="849" t="s">
        <v>768</v>
      </c>
      <c r="F977" s="849" t="s">
        <v>2855</v>
      </c>
      <c r="G977" s="849">
        <v>20932.87</v>
      </c>
      <c r="H977" s="849">
        <v>42417.59</v>
      </c>
      <c r="I977" s="849">
        <v>67392.46</v>
      </c>
      <c r="J977" s="849">
        <v>93090.14</v>
      </c>
      <c r="K977" s="849">
        <v>109633.39</v>
      </c>
      <c r="L977" s="849">
        <v>114844.03</v>
      </c>
      <c r="M977" s="849">
        <v>121207.03</v>
      </c>
      <c r="N977" s="849">
        <v>125683.29</v>
      </c>
      <c r="O977" s="849">
        <v>131626.74</v>
      </c>
      <c r="P977" s="849">
        <v>133330.04</v>
      </c>
      <c r="Q977" s="849">
        <v>0.0</v>
      </c>
      <c r="R977" s="849">
        <v>0.0</v>
      </c>
      <c r="S977" s="849">
        <v>14625.19</v>
      </c>
      <c r="T977" s="849">
        <v>14625.19</v>
      </c>
      <c r="U977" s="849">
        <v>0.0</v>
      </c>
      <c r="V977" s="849">
        <v>0.0</v>
      </c>
      <c r="W977" s="849">
        <v>0.0</v>
      </c>
      <c r="X977" s="849">
        <v>0.0</v>
      </c>
      <c r="Y977" s="849">
        <v>0.0</v>
      </c>
      <c r="Z977" s="849">
        <v>0.0</v>
      </c>
      <c r="AA977" s="849">
        <v>0.0</v>
      </c>
      <c r="AB977" s="849">
        <v>0.0</v>
      </c>
      <c r="AC977" s="849">
        <v>0.0</v>
      </c>
      <c r="AD977" s="849">
        <v>0.0</v>
      </c>
      <c r="AE977" s="849">
        <v>0.0</v>
      </c>
      <c r="AF977" s="849">
        <v>0.0</v>
      </c>
      <c r="AG977" s="849">
        <v>0.0</v>
      </c>
      <c r="AH977" s="849">
        <v>0.0</v>
      </c>
      <c r="AI977" s="849">
        <v>0.0</v>
      </c>
      <c r="AJ977" s="794" t="str">
        <f t="shared" ref="AJ977:AK977" si="1951">C977</f>
        <v>G66110</v>
      </c>
      <c r="AK977" s="794" t="str">
        <f t="shared" si="1951"/>
        <v>COUT M-D'O CLIENT S.A.A.Q</v>
      </c>
      <c r="AL977" s="794">
        <f t="array" ref="AL977">IFERROR(INDEX(G977:R977,1,MATCH(Parametres!$B$3,G$1:R$1,0)-1)*IF(OR(F977="L",F977="S",F977="I"),-1,1),"")</f>
        <v>125683.29</v>
      </c>
      <c r="AM977" s="794">
        <f t="shared" si="4"/>
        <v>5943.45</v>
      </c>
      <c r="AN977" s="794">
        <f t="array" ref="AN977">INDEX(G977:R977,1,MATCH(Parametres!$B$3,G$1:R$1,0))*IF(OR(F977="L",F977="S",F977="I"),-1,1)</f>
        <v>131626.74</v>
      </c>
      <c r="AO977" s="853" t="str">
        <f>+VLOOKUP($AJ977,Data_Validation!$A:$D,1,0)</f>
        <v>G66110</v>
      </c>
      <c r="AP977" s="853" t="str">
        <f>+VLOOKUP($AJ977,Data_Validation!$A:$D,3,0)</f>
        <v>SAAQ</v>
      </c>
      <c r="AQ977" s="853" t="str">
        <f>+VLOOKUP($AJ977,Data_Validation!$A:$D,4,0)</f>
        <v>Inspection - Véhicules Légers</v>
      </c>
      <c r="AR977" s="853" t="s">
        <v>728</v>
      </c>
      <c r="AS977" s="853" t="str">
        <f>+VLOOKUP($AJ977,Data_Validation!$A:$E,5,0)</f>
        <v/>
      </c>
      <c r="AT977" s="794" t="str">
        <f t="shared" ref="AT977:AU977" si="1952">C977</f>
        <v>G66110</v>
      </c>
      <c r="AU977" s="854" t="str">
        <f t="shared" si="1952"/>
        <v>COUT M-D'O CLIENT S.A.A.Q</v>
      </c>
      <c r="AV977" s="794">
        <f t="array" ref="AV977">IFERROR(INDEX(V977:AG977,1,MATCH(Parametres!$B$3,V$1:AG$1,0)-1)*IF(OR(C977="L",C977="S",C977="I"),-1,1),"")</f>
        <v>0</v>
      </c>
      <c r="AW977" s="794">
        <f t="shared" si="6"/>
        <v>0</v>
      </c>
      <c r="AX977" s="794">
        <f t="array" ref="AX977">INDEX(V977:AG977,1,MATCH(Parametres!$B$3,V$1:AG$1,0))*IF(OR(C977="L",C977="S",C977="I"),-1,1)</f>
        <v>0</v>
      </c>
      <c r="AY977" s="853" t="s">
        <v>772</v>
      </c>
      <c r="AZ977" s="853" t="str">
        <f>+VLOOKUP($AJ977,Data_Validation!$A:$E,5,0)</f>
        <v/>
      </c>
    </row>
    <row r="978" ht="15.0" customHeight="1">
      <c r="A978" s="849" t="s">
        <v>1239</v>
      </c>
      <c r="B978" s="849">
        <v>2026.0</v>
      </c>
      <c r="C978" s="849" t="s">
        <v>3155</v>
      </c>
      <c r="D978" s="849" t="s">
        <v>3156</v>
      </c>
      <c r="E978" s="849" t="s">
        <v>768</v>
      </c>
      <c r="F978" s="849" t="s">
        <v>2855</v>
      </c>
      <c r="G978" s="849">
        <v>0.0</v>
      </c>
      <c r="H978" s="849">
        <v>0.0</v>
      </c>
      <c r="I978" s="849">
        <v>0.0</v>
      </c>
      <c r="J978" s="849">
        <v>0.0</v>
      </c>
      <c r="K978" s="849">
        <v>0.0</v>
      </c>
      <c r="L978" s="849">
        <v>0.0</v>
      </c>
      <c r="M978" s="849">
        <v>0.0</v>
      </c>
      <c r="N978" s="849">
        <v>0.0</v>
      </c>
      <c r="O978" s="849">
        <v>0.0</v>
      </c>
      <c r="P978" s="849">
        <v>0.0</v>
      </c>
      <c r="Q978" s="849">
        <v>0.0</v>
      </c>
      <c r="R978" s="849">
        <v>0.0</v>
      </c>
      <c r="S978" s="849">
        <v>0.0</v>
      </c>
      <c r="T978" s="849">
        <v>0.0</v>
      </c>
      <c r="U978" s="849">
        <v>0.0</v>
      </c>
      <c r="V978" s="849">
        <v>0.0</v>
      </c>
      <c r="W978" s="849">
        <v>0.0</v>
      </c>
      <c r="X978" s="849">
        <v>0.0</v>
      </c>
      <c r="Y978" s="849">
        <v>0.0</v>
      </c>
      <c r="Z978" s="849">
        <v>0.0</v>
      </c>
      <c r="AA978" s="849">
        <v>0.0</v>
      </c>
      <c r="AB978" s="849">
        <v>0.0</v>
      </c>
      <c r="AC978" s="849">
        <v>0.0</v>
      </c>
      <c r="AD978" s="849">
        <v>0.0</v>
      </c>
      <c r="AE978" s="849">
        <v>0.0</v>
      </c>
      <c r="AF978" s="849">
        <v>0.0</v>
      </c>
      <c r="AG978" s="849">
        <v>0.0</v>
      </c>
      <c r="AH978" s="849">
        <v>0.0</v>
      </c>
      <c r="AI978" s="849">
        <v>0.0</v>
      </c>
      <c r="AJ978" s="794" t="str">
        <f t="shared" ref="AJ978:AK978" si="1953">C978</f>
        <v>G66111</v>
      </c>
      <c r="AK978" s="794" t="str">
        <f t="shared" si="1953"/>
        <v>COUT M-O CLIENT FLOTTES</v>
      </c>
      <c r="AL978" s="794">
        <f t="array" ref="AL978">IFERROR(INDEX(G978:R978,1,MATCH(Parametres!$B$3,G$1:R$1,0)-1)*IF(OR(F978="L",F978="S",F978="I"),-1,1),"")</f>
        <v>0</v>
      </c>
      <c r="AM978" s="794">
        <f t="shared" si="4"/>
        <v>0</v>
      </c>
      <c r="AN978" s="794">
        <f t="array" ref="AN978">INDEX(G978:R978,1,MATCH(Parametres!$B$3,G$1:R$1,0))*IF(OR(F978="L",F978="S",F978="I"),-1,1)</f>
        <v>0</v>
      </c>
      <c r="AO978" s="853" t="str">
        <f>+VLOOKUP($AJ978,Data_Validation!$A:$D,1,0)</f>
        <v>#N/A</v>
      </c>
      <c r="AP978" s="853" t="str">
        <f>+VLOOKUP($AJ978,Data_Validation!$A:$D,3,0)</f>
        <v>#N/A</v>
      </c>
      <c r="AQ978" s="853" t="str">
        <f>+VLOOKUP($AJ978,Data_Validation!$A:$D,4,0)</f>
        <v>#N/A</v>
      </c>
      <c r="AR978" s="853" t="s">
        <v>728</v>
      </c>
      <c r="AS978" s="853" t="str">
        <f>+VLOOKUP($AJ978,Data_Validation!$A:$E,5,0)</f>
        <v>#N/A</v>
      </c>
      <c r="AT978" s="794" t="str">
        <f t="shared" ref="AT978:AU978" si="1954">C978</f>
        <v>G66111</v>
      </c>
      <c r="AU978" s="854" t="str">
        <f t="shared" si="1954"/>
        <v>COUT M-O CLIENT FLOTTES</v>
      </c>
      <c r="AV978" s="794">
        <f t="array" ref="AV978">IFERROR(INDEX(V978:AG978,1,MATCH(Parametres!$B$3,V$1:AG$1,0)-1)*IF(OR(C978="L",C978="S",C978="I"),-1,1),"")</f>
        <v>0</v>
      </c>
      <c r="AW978" s="794">
        <f t="shared" si="6"/>
        <v>0</v>
      </c>
      <c r="AX978" s="794">
        <f t="array" ref="AX978">INDEX(V978:AG978,1,MATCH(Parametres!$B$3,V$1:AG$1,0))*IF(OR(C978="L",C978="S",C978="I"),-1,1)</f>
        <v>0</v>
      </c>
      <c r="AY978" s="853" t="s">
        <v>772</v>
      </c>
      <c r="AZ978" s="853" t="str">
        <f>+VLOOKUP($AJ978,Data_Validation!$A:$E,5,0)</f>
        <v>#N/A</v>
      </c>
    </row>
    <row r="979" ht="15.0" customHeight="1">
      <c r="A979" s="849" t="s">
        <v>1239</v>
      </c>
      <c r="B979" s="849">
        <v>2026.0</v>
      </c>
      <c r="C979" s="849" t="s">
        <v>3157</v>
      </c>
      <c r="D979" s="849" t="s">
        <v>3158</v>
      </c>
      <c r="E979" s="849" t="s">
        <v>768</v>
      </c>
      <c r="F979" s="849" t="s">
        <v>2855</v>
      </c>
      <c r="G979" s="849">
        <v>0.0</v>
      </c>
      <c r="H979" s="849">
        <v>0.0</v>
      </c>
      <c r="I979" s="849">
        <v>0.0</v>
      </c>
      <c r="J979" s="849">
        <v>0.0</v>
      </c>
      <c r="K979" s="849">
        <v>0.0</v>
      </c>
      <c r="L979" s="849">
        <v>0.0</v>
      </c>
      <c r="M979" s="849">
        <v>0.0</v>
      </c>
      <c r="N979" s="849">
        <v>0.0</v>
      </c>
      <c r="O979" s="849">
        <v>0.0</v>
      </c>
      <c r="P979" s="849">
        <v>0.0</v>
      </c>
      <c r="Q979" s="849">
        <v>0.0</v>
      </c>
      <c r="R979" s="849">
        <v>0.0</v>
      </c>
      <c r="S979" s="849">
        <v>0.0</v>
      </c>
      <c r="T979" s="849">
        <v>0.0</v>
      </c>
      <c r="U979" s="849">
        <v>0.0</v>
      </c>
      <c r="V979" s="849">
        <v>0.0</v>
      </c>
      <c r="W979" s="849">
        <v>0.0</v>
      </c>
      <c r="X979" s="849">
        <v>0.0</v>
      </c>
      <c r="Y979" s="849">
        <v>0.0</v>
      </c>
      <c r="Z979" s="849">
        <v>0.0</v>
      </c>
      <c r="AA979" s="849">
        <v>0.0</v>
      </c>
      <c r="AB979" s="849">
        <v>0.0</v>
      </c>
      <c r="AC979" s="849">
        <v>0.0</v>
      </c>
      <c r="AD979" s="849">
        <v>0.0</v>
      </c>
      <c r="AE979" s="849">
        <v>0.0</v>
      </c>
      <c r="AF979" s="849">
        <v>0.0</v>
      </c>
      <c r="AG979" s="849">
        <v>0.0</v>
      </c>
      <c r="AH979" s="849">
        <v>0.0</v>
      </c>
      <c r="AI979" s="849">
        <v>0.0</v>
      </c>
      <c r="AJ979" s="794" t="str">
        <f t="shared" ref="AJ979:AK979" si="1955">C979</f>
        <v>G66120</v>
      </c>
      <c r="AK979" s="794" t="str">
        <f t="shared" si="1955"/>
        <v>COUT CLAIM CAMIONS MOYEN</v>
      </c>
      <c r="AL979" s="794">
        <f t="array" ref="AL979">IFERROR(INDEX(G979:R979,1,MATCH(Parametres!$B$3,G$1:R$1,0)-1)*IF(OR(F979="L",F979="S",F979="I"),-1,1),"")</f>
        <v>0</v>
      </c>
      <c r="AM979" s="794">
        <f t="shared" si="4"/>
        <v>0</v>
      </c>
      <c r="AN979" s="794">
        <f t="array" ref="AN979">INDEX(G979:R979,1,MATCH(Parametres!$B$3,G$1:R$1,0))*IF(OR(F979="L",F979="S",F979="I"),-1,1)</f>
        <v>0</v>
      </c>
      <c r="AO979" s="853" t="str">
        <f>+VLOOKUP($AJ979,Data_Validation!$A:$D,1,0)</f>
        <v>G66120</v>
      </c>
      <c r="AP979" s="853" t="str">
        <f>+VLOOKUP($AJ979,Data_Validation!$A:$D,3,0)</f>
        <v>SAAQ</v>
      </c>
      <c r="AQ979" s="853" t="str">
        <f>+VLOOKUP($AJ979,Data_Validation!$A:$D,4,0)</f>
        <v>Inspection - Véhicules Interne</v>
      </c>
      <c r="AR979" s="853" t="s">
        <v>728</v>
      </c>
      <c r="AS979" s="853" t="str">
        <f>+VLOOKUP($AJ979,Data_Validation!$A:$E,5,0)</f>
        <v/>
      </c>
      <c r="AT979" s="794" t="str">
        <f t="shared" ref="AT979:AU979" si="1956">C979</f>
        <v>G66120</v>
      </c>
      <c r="AU979" s="854" t="str">
        <f t="shared" si="1956"/>
        <v>COUT CLAIM CAMIONS MOYEN</v>
      </c>
      <c r="AV979" s="794">
        <f t="array" ref="AV979">IFERROR(INDEX(V979:AG979,1,MATCH(Parametres!$B$3,V$1:AG$1,0)-1)*IF(OR(C979="L",C979="S",C979="I"),-1,1),"")</f>
        <v>0</v>
      </c>
      <c r="AW979" s="794">
        <f t="shared" si="6"/>
        <v>0</v>
      </c>
      <c r="AX979" s="794">
        <f t="array" ref="AX979">INDEX(V979:AG979,1,MATCH(Parametres!$B$3,V$1:AG$1,0))*IF(OR(C979="L",C979="S",C979="I"),-1,1)</f>
        <v>0</v>
      </c>
      <c r="AY979" s="853" t="s">
        <v>772</v>
      </c>
      <c r="AZ979" s="853" t="str">
        <f>+VLOOKUP($AJ979,Data_Validation!$A:$E,5,0)</f>
        <v/>
      </c>
    </row>
    <row r="980" ht="15.0" customHeight="1">
      <c r="A980" s="849" t="s">
        <v>1239</v>
      </c>
      <c r="B980" s="849">
        <v>2026.0</v>
      </c>
      <c r="C980" s="849" t="s">
        <v>3159</v>
      </c>
      <c r="D980" s="849" t="s">
        <v>3160</v>
      </c>
      <c r="E980" s="849" t="s">
        <v>768</v>
      </c>
      <c r="F980" s="849" t="s">
        <v>2855</v>
      </c>
      <c r="G980" s="849">
        <v>0.0</v>
      </c>
      <c r="H980" s="849">
        <v>0.0</v>
      </c>
      <c r="I980" s="849">
        <v>0.0</v>
      </c>
      <c r="J980" s="849">
        <v>0.0</v>
      </c>
      <c r="K980" s="849">
        <v>6127.11</v>
      </c>
      <c r="L980" s="849">
        <v>23905.25</v>
      </c>
      <c r="M980" s="849">
        <v>42839.58</v>
      </c>
      <c r="N980" s="849">
        <v>58299.6</v>
      </c>
      <c r="O980" s="849">
        <v>73198.44</v>
      </c>
      <c r="P980" s="849">
        <v>79203.66</v>
      </c>
      <c r="Q980" s="849">
        <v>0.0</v>
      </c>
      <c r="R980" s="849">
        <v>0.0</v>
      </c>
      <c r="S980" s="849">
        <v>8133.16</v>
      </c>
      <c r="T980" s="849">
        <v>8133.16</v>
      </c>
      <c r="U980" s="849">
        <v>0.0</v>
      </c>
      <c r="V980" s="849">
        <v>0.0</v>
      </c>
      <c r="W980" s="849">
        <v>0.0</v>
      </c>
      <c r="X980" s="849">
        <v>0.0</v>
      </c>
      <c r="Y980" s="849">
        <v>0.0</v>
      </c>
      <c r="Z980" s="849">
        <v>0.0</v>
      </c>
      <c r="AA980" s="849">
        <v>0.0</v>
      </c>
      <c r="AB980" s="849">
        <v>0.0</v>
      </c>
      <c r="AC980" s="849">
        <v>0.0</v>
      </c>
      <c r="AD980" s="849">
        <v>0.0</v>
      </c>
      <c r="AE980" s="849">
        <v>0.0</v>
      </c>
      <c r="AF980" s="849">
        <v>0.0</v>
      </c>
      <c r="AG980" s="849">
        <v>0.0</v>
      </c>
      <c r="AH980" s="849">
        <v>0.0</v>
      </c>
      <c r="AI980" s="849">
        <v>0.0</v>
      </c>
      <c r="AJ980" s="794" t="str">
        <f t="shared" ref="AJ980:AK980" si="1957">C980</f>
        <v>G66140</v>
      </c>
      <c r="AK980" s="794" t="str">
        <f t="shared" si="1957"/>
        <v>COUT SER RAP.CAMION MOYEN</v>
      </c>
      <c r="AL980" s="794">
        <f t="array" ref="AL980">IFERROR(INDEX(G980:R980,1,MATCH(Parametres!$B$3,G$1:R$1,0)-1)*IF(OR(F980="L",F980="S",F980="I"),-1,1),"")</f>
        <v>58299.6</v>
      </c>
      <c r="AM980" s="794">
        <f t="shared" si="4"/>
        <v>14898.84</v>
      </c>
      <c r="AN980" s="794">
        <f t="array" ref="AN980">INDEX(G980:R980,1,MATCH(Parametres!$B$3,G$1:R$1,0))*IF(OR(F980="L",F980="S",F980="I"),-1,1)</f>
        <v>73198.44</v>
      </c>
      <c r="AO980" s="853" t="str">
        <f>+VLOOKUP($AJ980,Data_Validation!$A:$D,1,0)</f>
        <v>G66140</v>
      </c>
      <c r="AP980" s="853" t="str">
        <f>+VLOOKUP($AJ980,Data_Validation!$A:$D,3,0)</f>
        <v>SAAQ</v>
      </c>
      <c r="AQ980" s="853" t="str">
        <f>+VLOOKUP($AJ980,Data_Validation!$A:$D,4,0)</f>
        <v>Inspection - Véhicules Lourds</v>
      </c>
      <c r="AR980" s="853" t="s">
        <v>728</v>
      </c>
      <c r="AS980" s="853" t="str">
        <f>+VLOOKUP($AJ980,Data_Validation!$A:$E,5,0)</f>
        <v/>
      </c>
      <c r="AT980" s="794" t="str">
        <f t="shared" ref="AT980:AU980" si="1958">C980</f>
        <v>G66140</v>
      </c>
      <c r="AU980" s="854" t="str">
        <f t="shared" si="1958"/>
        <v>COUT SER RAP.CAMION MOYEN</v>
      </c>
      <c r="AV980" s="794">
        <f t="array" ref="AV980">IFERROR(INDEX(V980:AG980,1,MATCH(Parametres!$B$3,V$1:AG$1,0)-1)*IF(OR(C980="L",C980="S",C980="I"),-1,1),"")</f>
        <v>0</v>
      </c>
      <c r="AW980" s="794">
        <f t="shared" si="6"/>
        <v>0</v>
      </c>
      <c r="AX980" s="794">
        <f t="array" ref="AX980">INDEX(V980:AG980,1,MATCH(Parametres!$B$3,V$1:AG$1,0))*IF(OR(C980="L",C980="S",C980="I"),-1,1)</f>
        <v>0</v>
      </c>
      <c r="AY980" s="853" t="s">
        <v>772</v>
      </c>
      <c r="AZ980" s="853" t="str">
        <f>+VLOOKUP($AJ980,Data_Validation!$A:$E,5,0)</f>
        <v/>
      </c>
    </row>
    <row r="981" ht="15.0" customHeight="1">
      <c r="A981" s="849" t="s">
        <v>1239</v>
      </c>
      <c r="B981" s="849">
        <v>2026.0</v>
      </c>
      <c r="C981" s="849" t="s">
        <v>3161</v>
      </c>
      <c r="D981" s="849" t="s">
        <v>3162</v>
      </c>
      <c r="E981" s="849" t="s">
        <v>768</v>
      </c>
      <c r="F981" s="849" t="s">
        <v>2855</v>
      </c>
      <c r="G981" s="849">
        <v>0.0</v>
      </c>
      <c r="H981" s="849">
        <v>0.0</v>
      </c>
      <c r="I981" s="849">
        <v>0.0</v>
      </c>
      <c r="J981" s="849">
        <v>0.0</v>
      </c>
      <c r="K981" s="849">
        <v>0.0</v>
      </c>
      <c r="L981" s="849">
        <v>0.0</v>
      </c>
      <c r="M981" s="849">
        <v>0.0</v>
      </c>
      <c r="N981" s="849">
        <v>0.0</v>
      </c>
      <c r="O981" s="849">
        <v>0.0</v>
      </c>
      <c r="P981" s="849">
        <v>0.0</v>
      </c>
      <c r="Q981" s="849">
        <v>0.0</v>
      </c>
      <c r="R981" s="849">
        <v>0.0</v>
      </c>
      <c r="S981" s="849">
        <v>0.0</v>
      </c>
      <c r="T981" s="849">
        <v>0.0</v>
      </c>
      <c r="U981" s="849">
        <v>0.0</v>
      </c>
      <c r="V981" s="849">
        <v>0.0</v>
      </c>
      <c r="W981" s="849">
        <v>0.0</v>
      </c>
      <c r="X981" s="849">
        <v>0.0</v>
      </c>
      <c r="Y981" s="849">
        <v>0.0</v>
      </c>
      <c r="Z981" s="849">
        <v>0.0</v>
      </c>
      <c r="AA981" s="849">
        <v>0.0</v>
      </c>
      <c r="AB981" s="849">
        <v>0.0</v>
      </c>
      <c r="AC981" s="849">
        <v>0.0</v>
      </c>
      <c r="AD981" s="849">
        <v>0.0</v>
      </c>
      <c r="AE981" s="849">
        <v>0.0</v>
      </c>
      <c r="AF981" s="849">
        <v>0.0</v>
      </c>
      <c r="AG981" s="849">
        <v>0.0</v>
      </c>
      <c r="AH981" s="849">
        <v>0.0</v>
      </c>
      <c r="AI981" s="849">
        <v>0.0</v>
      </c>
      <c r="AJ981" s="794" t="str">
        <f t="shared" ref="AJ981:AK981" si="1959">C981</f>
        <v>G66150</v>
      </c>
      <c r="AK981" s="794" t="str">
        <f t="shared" si="1959"/>
        <v>COUT M-O ELECTIQUE FLOTTE</v>
      </c>
      <c r="AL981" s="794">
        <f t="array" ref="AL981">IFERROR(INDEX(G981:R981,1,MATCH(Parametres!$B$3,G$1:R$1,0)-1)*IF(OR(F981="L",F981="S",F981="I"),-1,1),"")</f>
        <v>0</v>
      </c>
      <c r="AM981" s="794">
        <f t="shared" si="4"/>
        <v>0</v>
      </c>
      <c r="AN981" s="794">
        <f t="array" ref="AN981">INDEX(G981:R981,1,MATCH(Parametres!$B$3,G$1:R$1,0))*IF(OR(F981="L",F981="S",F981="I"),-1,1)</f>
        <v>0</v>
      </c>
      <c r="AO981" s="853" t="str">
        <f>+VLOOKUP($AJ981,Data_Validation!$A:$D,1,0)</f>
        <v>#N/A</v>
      </c>
      <c r="AP981" s="853" t="str">
        <f>+VLOOKUP($AJ981,Data_Validation!$A:$D,3,0)</f>
        <v>#N/A</v>
      </c>
      <c r="AQ981" s="853" t="str">
        <f>+VLOOKUP($AJ981,Data_Validation!$A:$D,4,0)</f>
        <v>#N/A</v>
      </c>
      <c r="AR981" s="853" t="s">
        <v>728</v>
      </c>
      <c r="AS981" s="853" t="str">
        <f>+VLOOKUP($AJ981,Data_Validation!$A:$E,5,0)</f>
        <v>#N/A</v>
      </c>
      <c r="AT981" s="794" t="str">
        <f t="shared" ref="AT981:AU981" si="1960">C981</f>
        <v>G66150</v>
      </c>
      <c r="AU981" s="854" t="str">
        <f t="shared" si="1960"/>
        <v>COUT M-O ELECTIQUE FLOTTE</v>
      </c>
      <c r="AV981" s="794">
        <f t="array" ref="AV981">IFERROR(INDEX(V981:AG981,1,MATCH(Parametres!$B$3,V$1:AG$1,0)-1)*IF(OR(C981="L",C981="S",C981="I"),-1,1),"")</f>
        <v>0</v>
      </c>
      <c r="AW981" s="794">
        <f t="shared" si="6"/>
        <v>0</v>
      </c>
      <c r="AX981" s="794">
        <f t="array" ref="AX981">INDEX(V981:AG981,1,MATCH(Parametres!$B$3,V$1:AG$1,0))*IF(OR(C981="L",C981="S",C981="I"),-1,1)</f>
        <v>0</v>
      </c>
      <c r="AY981" s="853" t="s">
        <v>772</v>
      </c>
      <c r="AZ981" s="853" t="str">
        <f>+VLOOKUP($AJ981,Data_Validation!$A:$E,5,0)</f>
        <v>#N/A</v>
      </c>
    </row>
    <row r="982" ht="15.0" customHeight="1">
      <c r="A982" s="849" t="s">
        <v>1239</v>
      </c>
      <c r="B982" s="849">
        <v>2026.0</v>
      </c>
      <c r="C982" s="849" t="s">
        <v>3163</v>
      </c>
      <c r="D982" s="849" t="s">
        <v>3164</v>
      </c>
      <c r="E982" s="849" t="s">
        <v>768</v>
      </c>
      <c r="F982" s="849" t="s">
        <v>2855</v>
      </c>
      <c r="G982" s="849">
        <v>14191.43</v>
      </c>
      <c r="H982" s="849">
        <v>29244.7</v>
      </c>
      <c r="I982" s="849">
        <v>50520.5</v>
      </c>
      <c r="J982" s="849">
        <v>67066.95</v>
      </c>
      <c r="K982" s="849">
        <v>77880.88</v>
      </c>
      <c r="L982" s="849">
        <v>105207.05</v>
      </c>
      <c r="M982" s="849">
        <v>120217.07</v>
      </c>
      <c r="N982" s="849">
        <v>141418.87</v>
      </c>
      <c r="O982" s="849">
        <v>153701.49</v>
      </c>
      <c r="P982" s="849">
        <v>157394.68</v>
      </c>
      <c r="Q982" s="849">
        <v>0.0</v>
      </c>
      <c r="R982" s="849">
        <v>0.0</v>
      </c>
      <c r="S982" s="849">
        <v>17077.94</v>
      </c>
      <c r="T982" s="849">
        <v>17077.94</v>
      </c>
      <c r="U982" s="849">
        <v>0.0</v>
      </c>
      <c r="V982" s="849">
        <v>0.0</v>
      </c>
      <c r="W982" s="849">
        <v>0.0</v>
      </c>
      <c r="X982" s="849">
        <v>0.0</v>
      </c>
      <c r="Y982" s="849">
        <v>0.0</v>
      </c>
      <c r="Z982" s="849">
        <v>0.0</v>
      </c>
      <c r="AA982" s="849">
        <v>0.0</v>
      </c>
      <c r="AB982" s="849">
        <v>0.0</v>
      </c>
      <c r="AC982" s="849">
        <v>0.0</v>
      </c>
      <c r="AD982" s="849">
        <v>0.0</v>
      </c>
      <c r="AE982" s="849">
        <v>0.0</v>
      </c>
      <c r="AF982" s="849">
        <v>0.0</v>
      </c>
      <c r="AG982" s="849">
        <v>0.0</v>
      </c>
      <c r="AH982" s="849">
        <v>0.0</v>
      </c>
      <c r="AI982" s="849">
        <v>0.0</v>
      </c>
      <c r="AJ982" s="794" t="str">
        <f t="shared" ref="AJ982:AK982" si="1961">C982</f>
        <v>G66200</v>
      </c>
      <c r="AK982" s="794" t="str">
        <f t="shared" si="1961"/>
        <v>COUT-M.D. GARANTIE</v>
      </c>
      <c r="AL982" s="794">
        <f t="array" ref="AL982">IFERROR(INDEX(G982:R982,1,MATCH(Parametres!$B$3,G$1:R$1,0)-1)*IF(OR(F982="L",F982="S",F982="I"),-1,1),"")</f>
        <v>141418.87</v>
      </c>
      <c r="AM982" s="794">
        <f t="shared" si="4"/>
        <v>12282.62</v>
      </c>
      <c r="AN982" s="794">
        <f t="array" ref="AN982">INDEX(G982:R982,1,MATCH(Parametres!$B$3,G$1:R$1,0))*IF(OR(F982="L",F982="S",F982="I"),-1,1)</f>
        <v>153701.49</v>
      </c>
      <c r="AO982" s="853" t="str">
        <f>+VLOOKUP($AJ982,Data_Validation!$A:$D,1,0)</f>
        <v>G66200</v>
      </c>
      <c r="AP982" s="853" t="str">
        <f>+VLOOKUP($AJ982,Data_Validation!$A:$D,3,0)</f>
        <v>Service</v>
      </c>
      <c r="AQ982" s="853" t="str">
        <f>+VLOOKUP($AJ982,Data_Validation!$A:$D,4,0)</f>
        <v>M/O Garantie</v>
      </c>
      <c r="AR982" s="853" t="s">
        <v>728</v>
      </c>
      <c r="AS982" s="853" t="str">
        <f>+VLOOKUP($AJ982,Data_Validation!$A:$E,5,0)</f>
        <v/>
      </c>
      <c r="AT982" s="794" t="str">
        <f t="shared" ref="AT982:AU982" si="1962">C982</f>
        <v>G66200</v>
      </c>
      <c r="AU982" s="854" t="str">
        <f t="shared" si="1962"/>
        <v>COUT-M.D. GARANTIE</v>
      </c>
      <c r="AV982" s="794">
        <f t="array" ref="AV982">IFERROR(INDEX(V982:AG982,1,MATCH(Parametres!$B$3,V$1:AG$1,0)-1)*IF(OR(C982="L",C982="S",C982="I"),-1,1),"")</f>
        <v>0</v>
      </c>
      <c r="AW982" s="794">
        <f t="shared" si="6"/>
        <v>0</v>
      </c>
      <c r="AX982" s="794">
        <f t="array" ref="AX982">INDEX(V982:AG982,1,MATCH(Parametres!$B$3,V$1:AG$1,0))*IF(OR(C982="L",C982="S",C982="I"),-1,1)</f>
        <v>0</v>
      </c>
      <c r="AY982" s="853" t="s">
        <v>772</v>
      </c>
      <c r="AZ982" s="853" t="str">
        <f>+VLOOKUP($AJ982,Data_Validation!$A:$E,5,0)</f>
        <v/>
      </c>
    </row>
    <row r="983" ht="15.0" customHeight="1">
      <c r="A983" s="849" t="s">
        <v>1239</v>
      </c>
      <c r="B983" s="849">
        <v>2026.0</v>
      </c>
      <c r="C983" s="849" t="s">
        <v>3165</v>
      </c>
      <c r="D983" s="849" t="s">
        <v>3166</v>
      </c>
      <c r="E983" s="849" t="s">
        <v>768</v>
      </c>
      <c r="F983" s="849" t="s">
        <v>2855</v>
      </c>
      <c r="G983" s="849">
        <v>13086.47</v>
      </c>
      <c r="H983" s="849">
        <v>27742.02</v>
      </c>
      <c r="I983" s="849">
        <v>45448.12</v>
      </c>
      <c r="J983" s="849">
        <v>63048.71</v>
      </c>
      <c r="K983" s="849">
        <v>78622.61</v>
      </c>
      <c r="L983" s="849">
        <v>96597.02</v>
      </c>
      <c r="M983" s="849">
        <v>110820.52</v>
      </c>
      <c r="N983" s="849">
        <v>123704.96</v>
      </c>
      <c r="O983" s="849">
        <v>139890.45</v>
      </c>
      <c r="P983" s="849">
        <v>144114.88</v>
      </c>
      <c r="Q983" s="849">
        <v>0.0</v>
      </c>
      <c r="R983" s="849">
        <v>0.0</v>
      </c>
      <c r="S983" s="849">
        <v>15543.38</v>
      </c>
      <c r="T983" s="849">
        <v>15543.38</v>
      </c>
      <c r="U983" s="849">
        <v>0.0</v>
      </c>
      <c r="V983" s="849">
        <v>0.0</v>
      </c>
      <c r="W983" s="849">
        <v>0.0</v>
      </c>
      <c r="X983" s="849">
        <v>0.0</v>
      </c>
      <c r="Y983" s="849">
        <v>0.0</v>
      </c>
      <c r="Z983" s="849">
        <v>0.0</v>
      </c>
      <c r="AA983" s="849">
        <v>0.0</v>
      </c>
      <c r="AB983" s="849">
        <v>0.0</v>
      </c>
      <c r="AC983" s="849">
        <v>0.0</v>
      </c>
      <c r="AD983" s="849">
        <v>0.0</v>
      </c>
      <c r="AE983" s="849">
        <v>0.0</v>
      </c>
      <c r="AF983" s="849">
        <v>0.0</v>
      </c>
      <c r="AG983" s="849">
        <v>0.0</v>
      </c>
      <c r="AH983" s="849">
        <v>0.0</v>
      </c>
      <c r="AI983" s="849">
        <v>0.0</v>
      </c>
      <c r="AJ983" s="794" t="str">
        <f t="shared" ref="AJ983:AK983" si="1963">C983</f>
        <v>G66300</v>
      </c>
      <c r="AK983" s="794" t="str">
        <f t="shared" si="1963"/>
        <v>COUT-M.D. INTERNE</v>
      </c>
      <c r="AL983" s="794">
        <f t="array" ref="AL983">IFERROR(INDEX(G983:R983,1,MATCH(Parametres!$B$3,G$1:R$1,0)-1)*IF(OR(F983="L",F983="S",F983="I"),-1,1),"")</f>
        <v>123704.96</v>
      </c>
      <c r="AM983" s="794">
        <f t="shared" si="4"/>
        <v>16185.49</v>
      </c>
      <c r="AN983" s="794">
        <f t="array" ref="AN983">INDEX(G983:R983,1,MATCH(Parametres!$B$3,G$1:R$1,0))*IF(OR(F983="L",F983="S",F983="I"),-1,1)</f>
        <v>139890.45</v>
      </c>
      <c r="AO983" s="853" t="str">
        <f>+VLOOKUP($AJ983,Data_Validation!$A:$D,1,0)</f>
        <v>G66300</v>
      </c>
      <c r="AP983" s="853" t="str">
        <f>+VLOOKUP($AJ983,Data_Validation!$A:$D,3,0)</f>
        <v>Service</v>
      </c>
      <c r="AQ983" s="853" t="str">
        <f>+VLOOKUP($AJ983,Data_Validation!$A:$D,4,0)</f>
        <v>M/O Interne</v>
      </c>
      <c r="AR983" s="853" t="s">
        <v>728</v>
      </c>
      <c r="AS983" s="853" t="str">
        <f>+VLOOKUP($AJ983,Data_Validation!$A:$E,5,0)</f>
        <v/>
      </c>
      <c r="AT983" s="794" t="str">
        <f t="shared" ref="AT983:AU983" si="1964">C983</f>
        <v>G66300</v>
      </c>
      <c r="AU983" s="854" t="str">
        <f t="shared" si="1964"/>
        <v>COUT-M.D. INTERNE</v>
      </c>
      <c r="AV983" s="794">
        <f t="array" ref="AV983">IFERROR(INDEX(V983:AG983,1,MATCH(Parametres!$B$3,V$1:AG$1,0)-1)*IF(OR(C983="L",C983="S",C983="I"),-1,1),"")</f>
        <v>0</v>
      </c>
      <c r="AW983" s="794">
        <f t="shared" si="6"/>
        <v>0</v>
      </c>
      <c r="AX983" s="794">
        <f t="array" ref="AX983">INDEX(V983:AG983,1,MATCH(Parametres!$B$3,V$1:AG$1,0))*IF(OR(C983="L",C983="S",C983="I"),-1,1)</f>
        <v>0</v>
      </c>
      <c r="AY983" s="853" t="s">
        <v>772</v>
      </c>
      <c r="AZ983" s="853" t="str">
        <f>+VLOOKUP($AJ983,Data_Validation!$A:$E,5,0)</f>
        <v/>
      </c>
    </row>
    <row r="984" ht="15.0" customHeight="1">
      <c r="A984" s="849" t="s">
        <v>1239</v>
      </c>
      <c r="B984" s="849">
        <v>2026.0</v>
      </c>
      <c r="C984" s="849" t="s">
        <v>3167</v>
      </c>
      <c r="D984" s="849" t="s">
        <v>3168</v>
      </c>
      <c r="E984" s="849" t="s">
        <v>768</v>
      </c>
      <c r="F984" s="849" t="s">
        <v>2855</v>
      </c>
      <c r="G984" s="849">
        <v>0.0</v>
      </c>
      <c r="H984" s="849">
        <v>0.0</v>
      </c>
      <c r="I984" s="849">
        <v>0.0</v>
      </c>
      <c r="J984" s="849">
        <v>0.0</v>
      </c>
      <c r="K984" s="849">
        <v>0.0</v>
      </c>
      <c r="L984" s="849">
        <v>0.0</v>
      </c>
      <c r="M984" s="849">
        <v>0.0</v>
      </c>
      <c r="N984" s="849">
        <v>0.0</v>
      </c>
      <c r="O984" s="849">
        <v>0.0</v>
      </c>
      <c r="P984" s="849">
        <v>2868.7</v>
      </c>
      <c r="Q984" s="849">
        <v>0.0</v>
      </c>
      <c r="R984" s="849">
        <v>0.0</v>
      </c>
      <c r="S984" s="849">
        <v>0.0</v>
      </c>
      <c r="T984" s="849">
        <v>0.0</v>
      </c>
      <c r="U984" s="849">
        <v>0.0</v>
      </c>
      <c r="V984" s="849">
        <v>0.0</v>
      </c>
      <c r="W984" s="849">
        <v>0.0</v>
      </c>
      <c r="X984" s="849">
        <v>0.0</v>
      </c>
      <c r="Y984" s="849">
        <v>0.0</v>
      </c>
      <c r="Z984" s="849">
        <v>0.0</v>
      </c>
      <c r="AA984" s="849">
        <v>0.0</v>
      </c>
      <c r="AB984" s="849">
        <v>0.0</v>
      </c>
      <c r="AC984" s="849">
        <v>0.0</v>
      </c>
      <c r="AD984" s="849">
        <v>0.0</v>
      </c>
      <c r="AE984" s="849">
        <v>0.0</v>
      </c>
      <c r="AF984" s="849">
        <v>0.0</v>
      </c>
      <c r="AG984" s="849">
        <v>0.0</v>
      </c>
      <c r="AH984" s="849">
        <v>0.0</v>
      </c>
      <c r="AI984" s="849">
        <v>0.0</v>
      </c>
      <c r="AJ984" s="794" t="str">
        <f t="shared" ref="AJ984:AK984" si="1965">C984</f>
        <v>G66305</v>
      </c>
      <c r="AK984" s="794" t="str">
        <f t="shared" si="1965"/>
        <v>COUT ESTHETIQUE INTERNE</v>
      </c>
      <c r="AL984" s="794">
        <f t="array" ref="AL984">IFERROR(INDEX(G984:R984,1,MATCH(Parametres!$B$3,G$1:R$1,0)-1)*IF(OR(F984="L",F984="S",F984="I"),-1,1),"")</f>
        <v>0</v>
      </c>
      <c r="AM984" s="794">
        <f t="shared" si="4"/>
        <v>0</v>
      </c>
      <c r="AN984" s="794">
        <f t="array" ref="AN984">INDEX(G984:R984,1,MATCH(Parametres!$B$3,G$1:R$1,0))*IF(OR(F984="L",F984="S",F984="I"),-1,1)</f>
        <v>0</v>
      </c>
      <c r="AO984" s="853" t="str">
        <f>+VLOOKUP($AJ984,Data_Validation!$A:$D,1,0)</f>
        <v>#N/A</v>
      </c>
      <c r="AP984" s="853" t="str">
        <f>+VLOOKUP($AJ984,Data_Validation!$A:$D,3,0)</f>
        <v>#N/A</v>
      </c>
      <c r="AQ984" s="853" t="str">
        <f>+VLOOKUP($AJ984,Data_Validation!$A:$D,4,0)</f>
        <v>#N/A</v>
      </c>
      <c r="AR984" s="853" t="s">
        <v>728</v>
      </c>
      <c r="AS984" s="853" t="str">
        <f>+VLOOKUP($AJ984,Data_Validation!$A:$E,5,0)</f>
        <v>#N/A</v>
      </c>
      <c r="AT984" s="794" t="str">
        <f t="shared" ref="AT984:AU984" si="1966">C984</f>
        <v>G66305</v>
      </c>
      <c r="AU984" s="854" t="str">
        <f t="shared" si="1966"/>
        <v>COUT ESTHETIQUE INTERNE</v>
      </c>
      <c r="AV984" s="794">
        <f t="array" ref="AV984">IFERROR(INDEX(V984:AG984,1,MATCH(Parametres!$B$3,V$1:AG$1,0)-1)*IF(OR(C984="L",C984="S",C984="I"),-1,1),"")</f>
        <v>0</v>
      </c>
      <c r="AW984" s="794">
        <f t="shared" si="6"/>
        <v>0</v>
      </c>
      <c r="AX984" s="794">
        <f t="array" ref="AX984">INDEX(V984:AG984,1,MATCH(Parametres!$B$3,V$1:AG$1,0))*IF(OR(C984="L",C984="S",C984="I"),-1,1)</f>
        <v>0</v>
      </c>
      <c r="AY984" s="853" t="s">
        <v>772</v>
      </c>
      <c r="AZ984" s="853" t="str">
        <f>+VLOOKUP($AJ984,Data_Validation!$A:$E,5,0)</f>
        <v>#N/A</v>
      </c>
    </row>
    <row r="985" ht="15.0" customHeight="1">
      <c r="A985" s="849" t="s">
        <v>1239</v>
      </c>
      <c r="B985" s="849">
        <v>2026.0</v>
      </c>
      <c r="C985" s="849" t="s">
        <v>3169</v>
      </c>
      <c r="D985" s="849" t="s">
        <v>3170</v>
      </c>
      <c r="E985" s="849" t="s">
        <v>768</v>
      </c>
      <c r="F985" s="849" t="s">
        <v>2855</v>
      </c>
      <c r="G985" s="849">
        <v>481.76</v>
      </c>
      <c r="H985" s="849">
        <v>594.08</v>
      </c>
      <c r="I985" s="849">
        <v>664.46</v>
      </c>
      <c r="J985" s="849">
        <v>705.77</v>
      </c>
      <c r="K985" s="849">
        <v>830.53</v>
      </c>
      <c r="L985" s="849">
        <v>830.53</v>
      </c>
      <c r="M985" s="849">
        <v>1007.73</v>
      </c>
      <c r="N985" s="849">
        <v>1220.79</v>
      </c>
      <c r="O985" s="849">
        <v>1220.79</v>
      </c>
      <c r="P985" s="849">
        <v>1220.79</v>
      </c>
      <c r="Q985" s="849">
        <v>0.0</v>
      </c>
      <c r="R985" s="849">
        <v>0.0</v>
      </c>
      <c r="S985" s="849">
        <v>135.64</v>
      </c>
      <c r="T985" s="849">
        <v>135.64</v>
      </c>
      <c r="U985" s="849">
        <v>0.0</v>
      </c>
      <c r="V985" s="849">
        <v>0.0</v>
      </c>
      <c r="W985" s="849">
        <v>0.0</v>
      </c>
      <c r="X985" s="849">
        <v>0.0</v>
      </c>
      <c r="Y985" s="849">
        <v>0.0</v>
      </c>
      <c r="Z985" s="849">
        <v>0.0</v>
      </c>
      <c r="AA985" s="849">
        <v>0.0</v>
      </c>
      <c r="AB985" s="849">
        <v>0.0</v>
      </c>
      <c r="AC985" s="849">
        <v>0.0</v>
      </c>
      <c r="AD985" s="849">
        <v>0.0</v>
      </c>
      <c r="AE985" s="849">
        <v>0.0</v>
      </c>
      <c r="AF985" s="849">
        <v>0.0</v>
      </c>
      <c r="AG985" s="849">
        <v>0.0</v>
      </c>
      <c r="AH985" s="849">
        <v>0.0</v>
      </c>
      <c r="AI985" s="849">
        <v>0.0</v>
      </c>
      <c r="AJ985" s="794" t="str">
        <f t="shared" ref="AJ985:AK985" si="1967">C985</f>
        <v>G66320</v>
      </c>
      <c r="AK985" s="794" t="str">
        <f t="shared" si="1967"/>
        <v>COUT-MO INTERNE CAM MOYEN</v>
      </c>
      <c r="AL985" s="794">
        <f t="array" ref="AL985">IFERROR(INDEX(G985:R985,1,MATCH(Parametres!$B$3,G$1:R$1,0)-1)*IF(OR(F985="L",F985="S",F985="I"),-1,1),"")</f>
        <v>1220.79</v>
      </c>
      <c r="AM985" s="794">
        <f t="shared" si="4"/>
        <v>0</v>
      </c>
      <c r="AN985" s="794">
        <f t="array" ref="AN985">INDEX(G985:R985,1,MATCH(Parametres!$B$3,G$1:R$1,0))*IF(OR(F985="L",F985="S",F985="I"),-1,1)</f>
        <v>1220.79</v>
      </c>
      <c r="AO985" s="853" t="str">
        <f>+VLOOKUP($AJ985,Data_Validation!$A:$D,1,0)</f>
        <v>G66320</v>
      </c>
      <c r="AP985" s="853" t="str">
        <f>+VLOOKUP($AJ985,Data_Validation!$A:$D,3,0)</f>
        <v>SAAQ</v>
      </c>
      <c r="AQ985" s="853" t="str">
        <f>+VLOOKUP($AJ985,Data_Validation!$A:$D,4,0)</f>
        <v>Inspection - Véhicules Interne</v>
      </c>
      <c r="AR985" s="853" t="s">
        <v>728</v>
      </c>
      <c r="AS985" s="853" t="str">
        <f>+VLOOKUP($AJ985,Data_Validation!$A:$E,5,0)</f>
        <v/>
      </c>
      <c r="AT985" s="794" t="str">
        <f t="shared" ref="AT985:AU985" si="1968">C985</f>
        <v>G66320</v>
      </c>
      <c r="AU985" s="854" t="str">
        <f t="shared" si="1968"/>
        <v>COUT-MO INTERNE CAM MOYEN</v>
      </c>
      <c r="AV985" s="794">
        <f t="array" ref="AV985">IFERROR(INDEX(V985:AG985,1,MATCH(Parametres!$B$3,V$1:AG$1,0)-1)*IF(OR(C985="L",C985="S",C985="I"),-1,1),"")</f>
        <v>0</v>
      </c>
      <c r="AW985" s="794">
        <f t="shared" si="6"/>
        <v>0</v>
      </c>
      <c r="AX985" s="794">
        <f t="array" ref="AX985">INDEX(V985:AG985,1,MATCH(Parametres!$B$3,V$1:AG$1,0))*IF(OR(C985="L",C985="S",C985="I"),-1,1)</f>
        <v>0</v>
      </c>
      <c r="AY985" s="853" t="s">
        <v>772</v>
      </c>
      <c r="AZ985" s="853" t="str">
        <f>+VLOOKUP($AJ985,Data_Validation!$A:$E,5,0)</f>
        <v/>
      </c>
    </row>
    <row r="986" ht="15.0" customHeight="1">
      <c r="A986" s="849" t="s">
        <v>1239</v>
      </c>
      <c r="B986" s="849">
        <v>2026.0</v>
      </c>
      <c r="C986" s="849" t="s">
        <v>3171</v>
      </c>
      <c r="D986" s="849" t="s">
        <v>3172</v>
      </c>
      <c r="E986" s="849" t="s">
        <v>768</v>
      </c>
      <c r="F986" s="849" t="s">
        <v>2855</v>
      </c>
      <c r="G986" s="849">
        <v>3682.15</v>
      </c>
      <c r="H986" s="849">
        <v>8560.87</v>
      </c>
      <c r="I986" s="849">
        <v>15429.87</v>
      </c>
      <c r="J986" s="849">
        <v>19268.74</v>
      </c>
      <c r="K986" s="849">
        <v>22629.65</v>
      </c>
      <c r="L986" s="849">
        <v>26304.38</v>
      </c>
      <c r="M986" s="849">
        <v>28991.73</v>
      </c>
      <c r="N986" s="849">
        <v>32830.91</v>
      </c>
      <c r="O986" s="849">
        <v>36198.5</v>
      </c>
      <c r="P986" s="849">
        <v>36970.98</v>
      </c>
      <c r="Q986" s="849">
        <v>0.0</v>
      </c>
      <c r="R986" s="849">
        <v>0.0</v>
      </c>
      <c r="S986" s="849">
        <v>4022.06</v>
      </c>
      <c r="T986" s="849">
        <v>4022.06</v>
      </c>
      <c r="U986" s="849">
        <v>0.0</v>
      </c>
      <c r="V986" s="849">
        <v>0.0</v>
      </c>
      <c r="W986" s="849">
        <v>0.0</v>
      </c>
      <c r="X986" s="849">
        <v>0.0</v>
      </c>
      <c r="Y986" s="849">
        <v>0.0</v>
      </c>
      <c r="Z986" s="849">
        <v>0.0</v>
      </c>
      <c r="AA986" s="849">
        <v>0.0</v>
      </c>
      <c r="AB986" s="849">
        <v>0.0</v>
      </c>
      <c r="AC986" s="849">
        <v>0.0</v>
      </c>
      <c r="AD986" s="849">
        <v>0.0</v>
      </c>
      <c r="AE986" s="849">
        <v>0.0</v>
      </c>
      <c r="AF986" s="849">
        <v>0.0</v>
      </c>
      <c r="AG986" s="849">
        <v>0.0</v>
      </c>
      <c r="AH986" s="849">
        <v>0.0</v>
      </c>
      <c r="AI986" s="849">
        <v>0.0</v>
      </c>
      <c r="AJ986" s="794" t="str">
        <f t="shared" ref="AJ986:AK986" si="1969">C986</f>
        <v>G66400</v>
      </c>
      <c r="AK986" s="794" t="str">
        <f t="shared" si="1969"/>
        <v>COUT-M.D. INSP.</v>
      </c>
      <c r="AL986" s="794">
        <f t="array" ref="AL986">IFERROR(INDEX(G986:R986,1,MATCH(Parametres!$B$3,G$1:R$1,0)-1)*IF(OR(F986="L",F986="S",F986="I"),-1,1),"")</f>
        <v>32830.91</v>
      </c>
      <c r="AM986" s="794">
        <f t="shared" si="4"/>
        <v>3367.59</v>
      </c>
      <c r="AN986" s="794">
        <f t="array" ref="AN986">INDEX(G986:R986,1,MATCH(Parametres!$B$3,G$1:R$1,0))*IF(OR(F986="L",F986="S",F986="I"),-1,1)</f>
        <v>36198.5</v>
      </c>
      <c r="AO986" s="853" t="str">
        <f>+VLOOKUP($AJ986,Data_Validation!$A:$D,1,0)</f>
        <v>G66400</v>
      </c>
      <c r="AP986" s="853" t="str">
        <f>+VLOOKUP($AJ986,Data_Validation!$A:$D,3,0)</f>
        <v>Service</v>
      </c>
      <c r="AQ986" s="853" t="str">
        <f>+VLOOKUP($AJ986,Data_Validation!$A:$D,4,0)</f>
        <v>M/O Interne</v>
      </c>
      <c r="AR986" s="853" t="s">
        <v>728</v>
      </c>
      <c r="AS986" s="853" t="str">
        <f>+VLOOKUP($AJ986,Data_Validation!$A:$E,5,0)</f>
        <v/>
      </c>
      <c r="AT986" s="794" t="str">
        <f t="shared" ref="AT986:AU986" si="1970">C986</f>
        <v>G66400</v>
      </c>
      <c r="AU986" s="854" t="str">
        <f t="shared" si="1970"/>
        <v>COUT-M.D. INSP.</v>
      </c>
      <c r="AV986" s="794">
        <f t="array" ref="AV986">IFERROR(INDEX(V986:AG986,1,MATCH(Parametres!$B$3,V$1:AG$1,0)-1)*IF(OR(C986="L",C986="S",C986="I"),-1,1),"")</f>
        <v>0</v>
      </c>
      <c r="AW986" s="794">
        <f t="shared" si="6"/>
        <v>0</v>
      </c>
      <c r="AX986" s="794">
        <f t="array" ref="AX986">INDEX(V986:AG986,1,MATCH(Parametres!$B$3,V$1:AG$1,0))*IF(OR(C986="L",C986="S",C986="I"),-1,1)</f>
        <v>0</v>
      </c>
      <c r="AY986" s="853" t="s">
        <v>772</v>
      </c>
      <c r="AZ986" s="853" t="str">
        <f>+VLOOKUP($AJ986,Data_Validation!$A:$E,5,0)</f>
        <v/>
      </c>
    </row>
    <row r="987" ht="15.0" customHeight="1">
      <c r="A987" s="849" t="s">
        <v>1239</v>
      </c>
      <c r="B987" s="849">
        <v>2026.0</v>
      </c>
      <c r="C987" s="849" t="s">
        <v>3173</v>
      </c>
      <c r="D987" s="849" t="s">
        <v>3174</v>
      </c>
      <c r="E987" s="849" t="s">
        <v>768</v>
      </c>
      <c r="F987" s="849" t="s">
        <v>2855</v>
      </c>
      <c r="G987" s="849">
        <v>0.0</v>
      </c>
      <c r="H987" s="849">
        <v>0.0</v>
      </c>
      <c r="I987" s="849">
        <v>0.0</v>
      </c>
      <c r="J987" s="849">
        <v>0.0</v>
      </c>
      <c r="K987" s="849">
        <v>0.0</v>
      </c>
      <c r="L987" s="849">
        <v>0.0</v>
      </c>
      <c r="M987" s="849">
        <v>0.0</v>
      </c>
      <c r="N987" s="849">
        <v>0.0</v>
      </c>
      <c r="O987" s="849">
        <v>0.0</v>
      </c>
      <c r="P987" s="849">
        <v>0.0</v>
      </c>
      <c r="Q987" s="849">
        <v>0.0</v>
      </c>
      <c r="R987" s="849">
        <v>0.0</v>
      </c>
      <c r="S987" s="849">
        <v>0.0</v>
      </c>
      <c r="T987" s="849">
        <v>0.0</v>
      </c>
      <c r="U987" s="849">
        <v>0.0</v>
      </c>
      <c r="V987" s="849">
        <v>0.0</v>
      </c>
      <c r="W987" s="849">
        <v>0.0</v>
      </c>
      <c r="X987" s="849">
        <v>0.0</v>
      </c>
      <c r="Y987" s="849">
        <v>0.0</v>
      </c>
      <c r="Z987" s="849">
        <v>0.0</v>
      </c>
      <c r="AA987" s="849">
        <v>0.0</v>
      </c>
      <c r="AB987" s="849">
        <v>0.0</v>
      </c>
      <c r="AC987" s="849">
        <v>0.0</v>
      </c>
      <c r="AD987" s="849">
        <v>0.0</v>
      </c>
      <c r="AE987" s="849">
        <v>0.0</v>
      </c>
      <c r="AF987" s="849">
        <v>0.0</v>
      </c>
      <c r="AG987" s="849">
        <v>0.0</v>
      </c>
      <c r="AH987" s="849">
        <v>0.0</v>
      </c>
      <c r="AI987" s="849">
        <v>0.0</v>
      </c>
      <c r="AJ987" s="794" t="str">
        <f t="shared" ref="AJ987:AK987" si="1971">C987</f>
        <v>G66420</v>
      </c>
      <c r="AK987" s="794" t="str">
        <f t="shared" si="1971"/>
        <v>COUT-MO INSPECTON PDI</v>
      </c>
      <c r="AL987" s="794">
        <f t="array" ref="AL987">IFERROR(INDEX(G987:R987,1,MATCH(Parametres!$B$3,G$1:R$1,0)-1)*IF(OR(F987="L",F987="S",F987="I"),-1,1),"")</f>
        <v>0</v>
      </c>
      <c r="AM987" s="794">
        <f t="shared" si="4"/>
        <v>0</v>
      </c>
      <c r="AN987" s="794">
        <f t="array" ref="AN987">INDEX(G987:R987,1,MATCH(Parametres!$B$3,G$1:R$1,0))*IF(OR(F987="L",F987="S",F987="I"),-1,1)</f>
        <v>0</v>
      </c>
      <c r="AO987" s="853" t="str">
        <f>+VLOOKUP($AJ987,Data_Validation!$A:$D,1,0)</f>
        <v>#N/A</v>
      </c>
      <c r="AP987" s="853" t="str">
        <f>+VLOOKUP($AJ987,Data_Validation!$A:$D,3,0)</f>
        <v>#N/A</v>
      </c>
      <c r="AQ987" s="853" t="str">
        <f>+VLOOKUP($AJ987,Data_Validation!$A:$D,4,0)</f>
        <v>#N/A</v>
      </c>
      <c r="AR987" s="853" t="s">
        <v>728</v>
      </c>
      <c r="AS987" s="853" t="str">
        <f>+VLOOKUP($AJ987,Data_Validation!$A:$E,5,0)</f>
        <v>#N/A</v>
      </c>
      <c r="AT987" s="794" t="str">
        <f t="shared" ref="AT987:AU987" si="1972">C987</f>
        <v>G66420</v>
      </c>
      <c r="AU987" s="854" t="str">
        <f t="shared" si="1972"/>
        <v>COUT-MO INSPECTON PDI</v>
      </c>
      <c r="AV987" s="794">
        <f t="array" ref="AV987">IFERROR(INDEX(V987:AG987,1,MATCH(Parametres!$B$3,V$1:AG$1,0)-1)*IF(OR(C987="L",C987="S",C987="I"),-1,1),"")</f>
        <v>0</v>
      </c>
      <c r="AW987" s="794">
        <f t="shared" si="6"/>
        <v>0</v>
      </c>
      <c r="AX987" s="794">
        <f t="array" ref="AX987">INDEX(V987:AG987,1,MATCH(Parametres!$B$3,V$1:AG$1,0))*IF(OR(C987="L",C987="S",C987="I"),-1,1)</f>
        <v>0</v>
      </c>
      <c r="AY987" s="853" t="s">
        <v>772</v>
      </c>
      <c r="AZ987" s="853" t="str">
        <f>+VLOOKUP($AJ987,Data_Validation!$A:$E,5,0)</f>
        <v>#N/A</v>
      </c>
    </row>
    <row r="988" ht="15.0" customHeight="1">
      <c r="A988" s="849" t="s">
        <v>1239</v>
      </c>
      <c r="B988" s="849">
        <v>2026.0</v>
      </c>
      <c r="C988" s="849" t="s">
        <v>3175</v>
      </c>
      <c r="D988" s="849" t="s">
        <v>3176</v>
      </c>
      <c r="E988" s="849" t="s">
        <v>768</v>
      </c>
      <c r="F988" s="849" t="s">
        <v>2855</v>
      </c>
      <c r="G988" s="849">
        <v>-249.81</v>
      </c>
      <c r="H988" s="849">
        <v>-2752.08</v>
      </c>
      <c r="I988" s="849">
        <v>969.52</v>
      </c>
      <c r="J988" s="849">
        <v>9033.72</v>
      </c>
      <c r="K988" s="849">
        <v>8671.65</v>
      </c>
      <c r="L988" s="849">
        <v>9332.99</v>
      </c>
      <c r="M988" s="849">
        <v>9492.4</v>
      </c>
      <c r="N988" s="849">
        <v>14887.04</v>
      </c>
      <c r="O988" s="849">
        <v>14887.04</v>
      </c>
      <c r="P988" s="849">
        <v>14887.04</v>
      </c>
      <c r="Q988" s="849">
        <v>0.0</v>
      </c>
      <c r="R988" s="849">
        <v>0.0</v>
      </c>
      <c r="S988" s="849">
        <v>1654.12</v>
      </c>
      <c r="T988" s="849">
        <v>1654.12</v>
      </c>
      <c r="U988" s="849">
        <v>0.0</v>
      </c>
      <c r="V988" s="849">
        <v>0.0</v>
      </c>
      <c r="W988" s="849">
        <v>0.0</v>
      </c>
      <c r="X988" s="849">
        <v>0.0</v>
      </c>
      <c r="Y988" s="849">
        <v>0.0</v>
      </c>
      <c r="Z988" s="849">
        <v>0.0</v>
      </c>
      <c r="AA988" s="849">
        <v>0.0</v>
      </c>
      <c r="AB988" s="849">
        <v>0.0</v>
      </c>
      <c r="AC988" s="849">
        <v>0.0</v>
      </c>
      <c r="AD988" s="849">
        <v>0.0</v>
      </c>
      <c r="AE988" s="849">
        <v>0.0</v>
      </c>
      <c r="AF988" s="849">
        <v>0.0</v>
      </c>
      <c r="AG988" s="849">
        <v>0.0</v>
      </c>
      <c r="AH988" s="849">
        <v>0.0</v>
      </c>
      <c r="AI988" s="849">
        <v>0.0</v>
      </c>
      <c r="AJ988" s="794" t="str">
        <f t="shared" ref="AJ988:AK988" si="1973">C988</f>
        <v>G66500</v>
      </c>
      <c r="AK988" s="794" t="str">
        <f t="shared" si="1973"/>
        <v>TEMPS PERDU SERVICE</v>
      </c>
      <c r="AL988" s="794">
        <f t="array" ref="AL988">IFERROR(INDEX(G988:R988,1,MATCH(Parametres!$B$3,G$1:R$1,0)-1)*IF(OR(F988="L",F988="S",F988="I"),-1,1),"")</f>
        <v>14887.04</v>
      </c>
      <c r="AM988" s="794">
        <f t="shared" si="4"/>
        <v>0</v>
      </c>
      <c r="AN988" s="794">
        <f t="array" ref="AN988">INDEX(G988:R988,1,MATCH(Parametres!$B$3,G$1:R$1,0))*IF(OR(F988="L",F988="S",F988="I"),-1,1)</f>
        <v>14887.04</v>
      </c>
      <c r="AO988" s="853" t="str">
        <f>+VLOOKUP($AJ988,Data_Validation!$A:$D,1,0)</f>
        <v>G66500</v>
      </c>
      <c r="AP988" s="853" t="str">
        <f>+VLOOKUP($AJ988,Data_Validation!$A:$D,3,0)</f>
        <v>Service</v>
      </c>
      <c r="AQ988" s="853" t="str">
        <f>+VLOOKUP($AJ988,Data_Validation!$A:$D,4,0)</f>
        <v>Ajustement M/O</v>
      </c>
      <c r="AR988" s="853" t="s">
        <v>728</v>
      </c>
      <c r="AS988" s="853" t="str">
        <f>+VLOOKUP($AJ988,Data_Validation!$A:$E,5,0)</f>
        <v/>
      </c>
      <c r="AT988" s="794" t="str">
        <f t="shared" ref="AT988:AU988" si="1974">C988</f>
        <v>G66500</v>
      </c>
      <c r="AU988" s="854" t="str">
        <f t="shared" si="1974"/>
        <v>TEMPS PERDU SERVICE</v>
      </c>
      <c r="AV988" s="794">
        <f t="array" ref="AV988">IFERROR(INDEX(V988:AG988,1,MATCH(Parametres!$B$3,V$1:AG$1,0)-1)*IF(OR(C988="L",C988="S",C988="I"),-1,1),"")</f>
        <v>0</v>
      </c>
      <c r="AW988" s="794">
        <f t="shared" si="6"/>
        <v>0</v>
      </c>
      <c r="AX988" s="794">
        <f t="array" ref="AX988">INDEX(V988:AG988,1,MATCH(Parametres!$B$3,V$1:AG$1,0))*IF(OR(C988="L",C988="S",C988="I"),-1,1)</f>
        <v>0</v>
      </c>
      <c r="AY988" s="853" t="s">
        <v>772</v>
      </c>
      <c r="AZ988" s="853" t="str">
        <f>+VLOOKUP($AJ988,Data_Validation!$A:$E,5,0)</f>
        <v/>
      </c>
    </row>
    <row r="989" ht="15.0" customHeight="1">
      <c r="A989" s="849" t="s">
        <v>1239</v>
      </c>
      <c r="B989" s="849">
        <v>2026.0</v>
      </c>
      <c r="C989" s="849" t="s">
        <v>3177</v>
      </c>
      <c r="D989" s="849" t="s">
        <v>3178</v>
      </c>
      <c r="E989" s="849" t="s">
        <v>768</v>
      </c>
      <c r="F989" s="849" t="s">
        <v>2855</v>
      </c>
      <c r="G989" s="849">
        <v>0.0</v>
      </c>
      <c r="H989" s="849">
        <v>0.0</v>
      </c>
      <c r="I989" s="849">
        <v>0.0</v>
      </c>
      <c r="J989" s="849">
        <v>0.0</v>
      </c>
      <c r="K989" s="849">
        <v>0.0</v>
      </c>
      <c r="L989" s="849">
        <v>0.0</v>
      </c>
      <c r="M989" s="849">
        <v>1417.39</v>
      </c>
      <c r="N989" s="849">
        <v>3440.71</v>
      </c>
      <c r="O989" s="849">
        <v>3440.71</v>
      </c>
      <c r="P989" s="849">
        <v>3440.71</v>
      </c>
      <c r="Q989" s="849">
        <v>0.0</v>
      </c>
      <c r="R989" s="849">
        <v>0.0</v>
      </c>
      <c r="S989" s="849">
        <v>382.3</v>
      </c>
      <c r="T989" s="849">
        <v>382.3</v>
      </c>
      <c r="U989" s="849">
        <v>0.0</v>
      </c>
      <c r="V989" s="849">
        <v>0.0</v>
      </c>
      <c r="W989" s="849">
        <v>0.0</v>
      </c>
      <c r="X989" s="849">
        <v>0.0</v>
      </c>
      <c r="Y989" s="849">
        <v>0.0</v>
      </c>
      <c r="Z989" s="849">
        <v>0.0</v>
      </c>
      <c r="AA989" s="849">
        <v>0.0</v>
      </c>
      <c r="AB989" s="849">
        <v>0.0</v>
      </c>
      <c r="AC989" s="849">
        <v>0.0</v>
      </c>
      <c r="AD989" s="849">
        <v>0.0</v>
      </c>
      <c r="AE989" s="849">
        <v>0.0</v>
      </c>
      <c r="AF989" s="849">
        <v>0.0</v>
      </c>
      <c r="AG989" s="849">
        <v>0.0</v>
      </c>
      <c r="AH989" s="849">
        <v>0.0</v>
      </c>
      <c r="AI989" s="849">
        <v>0.0</v>
      </c>
      <c r="AJ989" s="794" t="str">
        <f t="shared" ref="AJ989:AK989" si="1975">C989</f>
        <v>G66507</v>
      </c>
      <c r="AK989" s="794" t="str">
        <f t="shared" si="1975"/>
        <v>TEMPS PERDU SAAQ</v>
      </c>
      <c r="AL989" s="794">
        <f t="array" ref="AL989">IFERROR(INDEX(G989:R989,1,MATCH(Parametres!$B$3,G$1:R$1,0)-1)*IF(OR(F989="L",F989="S",F989="I"),-1,1),"")</f>
        <v>3440.71</v>
      </c>
      <c r="AM989" s="794">
        <f t="shared" si="4"/>
        <v>0</v>
      </c>
      <c r="AN989" s="794">
        <f t="array" ref="AN989">INDEX(G989:R989,1,MATCH(Parametres!$B$3,G$1:R$1,0))*IF(OR(F989="L",F989="S",F989="I"),-1,1)</f>
        <v>3440.71</v>
      </c>
      <c r="AO989" s="853" t="str">
        <f>+VLOOKUP($AJ989,Data_Validation!$A:$D,1,0)</f>
        <v>G66507</v>
      </c>
      <c r="AP989" s="853" t="str">
        <f>+VLOOKUP($AJ989,Data_Validation!$A:$D,3,0)</f>
        <v>SAAQ</v>
      </c>
      <c r="AQ989" s="853" t="str">
        <f>+VLOOKUP($AJ989,Data_Validation!$A:$D,4,0)</f>
        <v>Ajustement M/O SAAQ</v>
      </c>
      <c r="AR989" s="853" t="s">
        <v>728</v>
      </c>
      <c r="AS989" s="853" t="str">
        <f>+VLOOKUP($AJ989,Data_Validation!$A:$E,5,0)</f>
        <v/>
      </c>
      <c r="AT989" s="794" t="str">
        <f t="shared" ref="AT989:AU989" si="1976">C989</f>
        <v>G66507</v>
      </c>
      <c r="AU989" s="854" t="str">
        <f t="shared" si="1976"/>
        <v>TEMPS PERDU SAAQ</v>
      </c>
      <c r="AV989" s="794">
        <f t="array" ref="AV989">IFERROR(INDEX(V989:AG989,1,MATCH(Parametres!$B$3,V$1:AG$1,0)-1)*IF(OR(C989="L",C989="S",C989="I"),-1,1),"")</f>
        <v>0</v>
      </c>
      <c r="AW989" s="794">
        <f t="shared" si="6"/>
        <v>0</v>
      </c>
      <c r="AX989" s="794">
        <f t="array" ref="AX989">INDEX(V989:AG989,1,MATCH(Parametres!$B$3,V$1:AG$1,0))*IF(OR(C989="L",C989="S",C989="I"),-1,1)</f>
        <v>0</v>
      </c>
      <c r="AY989" s="853" t="s">
        <v>772</v>
      </c>
      <c r="AZ989" s="853" t="str">
        <f>+VLOOKUP($AJ989,Data_Validation!$A:$E,5,0)</f>
        <v/>
      </c>
    </row>
    <row r="990" ht="15.0" customHeight="1">
      <c r="A990" s="849" t="s">
        <v>1239</v>
      </c>
      <c r="B990" s="849">
        <v>2026.0</v>
      </c>
      <c r="C990" s="849" t="s">
        <v>3179</v>
      </c>
      <c r="D990" s="849" t="s">
        <v>3180</v>
      </c>
      <c r="E990" s="849" t="s">
        <v>768</v>
      </c>
      <c r="F990" s="849" t="s">
        <v>2855</v>
      </c>
      <c r="G990" s="849">
        <v>3932.85</v>
      </c>
      <c r="H990" s="849">
        <v>16561.11</v>
      </c>
      <c r="I990" s="849">
        <v>30890.93</v>
      </c>
      <c r="J990" s="849">
        <v>38338.85</v>
      </c>
      <c r="K990" s="849">
        <v>49545.99</v>
      </c>
      <c r="L990" s="849">
        <v>58561.65</v>
      </c>
      <c r="M990" s="849">
        <v>65919.59</v>
      </c>
      <c r="N990" s="849">
        <v>79048.0</v>
      </c>
      <c r="O990" s="849">
        <v>86405.46</v>
      </c>
      <c r="P990" s="849">
        <v>89041.71</v>
      </c>
      <c r="Q990" s="849">
        <v>0.0</v>
      </c>
      <c r="R990" s="849">
        <v>0.0</v>
      </c>
      <c r="S990" s="849">
        <v>9600.61</v>
      </c>
      <c r="T990" s="849">
        <v>9600.61</v>
      </c>
      <c r="U990" s="849">
        <v>0.0</v>
      </c>
      <c r="V990" s="849">
        <v>0.0</v>
      </c>
      <c r="W990" s="849">
        <v>0.0</v>
      </c>
      <c r="X990" s="849">
        <v>0.0</v>
      </c>
      <c r="Y990" s="849">
        <v>0.0</v>
      </c>
      <c r="Z990" s="849">
        <v>0.0</v>
      </c>
      <c r="AA990" s="849">
        <v>0.0</v>
      </c>
      <c r="AB990" s="849">
        <v>0.0</v>
      </c>
      <c r="AC990" s="849">
        <v>0.0</v>
      </c>
      <c r="AD990" s="849">
        <v>0.0</v>
      </c>
      <c r="AE990" s="849">
        <v>0.0</v>
      </c>
      <c r="AF990" s="849">
        <v>0.0</v>
      </c>
      <c r="AG990" s="849">
        <v>0.0</v>
      </c>
      <c r="AH990" s="849">
        <v>0.0</v>
      </c>
      <c r="AI990" s="849">
        <v>0.0</v>
      </c>
      <c r="AJ990" s="794" t="str">
        <f t="shared" ref="AJ990:AK990" si="1977">C990</f>
        <v>G66600</v>
      </c>
      <c r="AK990" s="794" t="str">
        <f t="shared" si="1977"/>
        <v>COUT-SOUS-CONTRATS SERV.</v>
      </c>
      <c r="AL990" s="794">
        <f t="array" ref="AL990">IFERROR(INDEX(G990:R990,1,MATCH(Parametres!$B$3,G$1:R$1,0)-1)*IF(OR(F990="L",F990="S",F990="I"),-1,1),"")</f>
        <v>79048</v>
      </c>
      <c r="AM990" s="794">
        <f t="shared" si="4"/>
        <v>7357.46</v>
      </c>
      <c r="AN990" s="794">
        <f t="array" ref="AN990">INDEX(G990:R990,1,MATCH(Parametres!$B$3,G$1:R$1,0))*IF(OR(F990="L",F990="S",F990="I"),-1,1)</f>
        <v>86405.46</v>
      </c>
      <c r="AO990" s="853" t="str">
        <f>+VLOOKUP($AJ990,Data_Validation!$A:$D,1,0)</f>
        <v>G66600</v>
      </c>
      <c r="AP990" s="853" t="str">
        <f>+VLOOKUP($AJ990,Data_Validation!$A:$D,3,0)</f>
        <v>Service</v>
      </c>
      <c r="AQ990" s="853" t="str">
        <f>+VLOOKUP($AJ990,Data_Validation!$A:$D,4,0)</f>
        <v>Sous-traitement</v>
      </c>
      <c r="AR990" s="853" t="s">
        <v>728</v>
      </c>
      <c r="AS990" s="853" t="str">
        <f>+VLOOKUP($AJ990,Data_Validation!$A:$E,5,0)</f>
        <v/>
      </c>
      <c r="AT990" s="794" t="str">
        <f t="shared" ref="AT990:AU990" si="1978">C990</f>
        <v>G66600</v>
      </c>
      <c r="AU990" s="854" t="str">
        <f t="shared" si="1978"/>
        <v>COUT-SOUS-CONTRATS SERV.</v>
      </c>
      <c r="AV990" s="794">
        <f t="array" ref="AV990">IFERROR(INDEX(V990:AG990,1,MATCH(Parametres!$B$3,V$1:AG$1,0)-1)*IF(OR(C990="L",C990="S",C990="I"),-1,1),"")</f>
        <v>0</v>
      </c>
      <c r="AW990" s="794">
        <f t="shared" si="6"/>
        <v>0</v>
      </c>
      <c r="AX990" s="794">
        <f t="array" ref="AX990">INDEX(V990:AG990,1,MATCH(Parametres!$B$3,V$1:AG$1,0))*IF(OR(C990="L",C990="S",C990="I"),-1,1)</f>
        <v>0</v>
      </c>
      <c r="AY990" s="853" t="s">
        <v>772</v>
      </c>
      <c r="AZ990" s="853" t="str">
        <f>+VLOOKUP($AJ990,Data_Validation!$A:$E,5,0)</f>
        <v/>
      </c>
    </row>
    <row r="991" ht="15.0" customHeight="1">
      <c r="A991" s="849" t="s">
        <v>1239</v>
      </c>
      <c r="B991" s="849">
        <v>2026.0</v>
      </c>
      <c r="C991" s="849" t="s">
        <v>3181</v>
      </c>
      <c r="D991" s="849" t="s">
        <v>3182</v>
      </c>
      <c r="E991" s="849" t="s">
        <v>768</v>
      </c>
      <c r="F991" s="849" t="s">
        <v>2855</v>
      </c>
      <c r="G991" s="849">
        <v>0.0</v>
      </c>
      <c r="H991" s="849">
        <v>0.0</v>
      </c>
      <c r="I991" s="849">
        <v>0.0</v>
      </c>
      <c r="J991" s="849">
        <v>0.0</v>
      </c>
      <c r="K991" s="849">
        <v>0.0</v>
      </c>
      <c r="L991" s="849">
        <v>0.0</v>
      </c>
      <c r="M991" s="849">
        <v>0.0</v>
      </c>
      <c r="N991" s="849">
        <v>0.0</v>
      </c>
      <c r="O991" s="849">
        <v>0.0</v>
      </c>
      <c r="P991" s="849">
        <v>0.0</v>
      </c>
      <c r="Q991" s="849">
        <v>0.0</v>
      </c>
      <c r="R991" s="849">
        <v>0.0</v>
      </c>
      <c r="S991" s="849">
        <v>0.0</v>
      </c>
      <c r="T991" s="849">
        <v>0.0</v>
      </c>
      <c r="U991" s="849">
        <v>0.0</v>
      </c>
      <c r="V991" s="849">
        <v>0.0</v>
      </c>
      <c r="W991" s="849">
        <v>0.0</v>
      </c>
      <c r="X991" s="849">
        <v>0.0</v>
      </c>
      <c r="Y991" s="849">
        <v>0.0</v>
      </c>
      <c r="Z991" s="849">
        <v>0.0</v>
      </c>
      <c r="AA991" s="849">
        <v>0.0</v>
      </c>
      <c r="AB991" s="849">
        <v>0.0</v>
      </c>
      <c r="AC991" s="849">
        <v>0.0</v>
      </c>
      <c r="AD991" s="849">
        <v>0.0</v>
      </c>
      <c r="AE991" s="849">
        <v>0.0</v>
      </c>
      <c r="AF991" s="849">
        <v>0.0</v>
      </c>
      <c r="AG991" s="849">
        <v>0.0</v>
      </c>
      <c r="AH991" s="849">
        <v>0.0</v>
      </c>
      <c r="AI991" s="849">
        <v>0.0</v>
      </c>
      <c r="AJ991" s="794" t="str">
        <f t="shared" ref="AJ991:AK991" si="1979">C991</f>
        <v>G66610</v>
      </c>
      <c r="AK991" s="794" t="str">
        <f t="shared" si="1979"/>
        <v>COUT-SOUS-TRAITANCE SAAQ</v>
      </c>
      <c r="AL991" s="794">
        <f t="array" ref="AL991">IFERROR(INDEX(G991:R991,1,MATCH(Parametres!$B$3,G$1:R$1,0)-1)*IF(OR(F991="L",F991="S",F991="I"),-1,1),"")</f>
        <v>0</v>
      </c>
      <c r="AM991" s="794">
        <f t="shared" si="4"/>
        <v>0</v>
      </c>
      <c r="AN991" s="794">
        <f t="array" ref="AN991">INDEX(G991:R991,1,MATCH(Parametres!$B$3,G$1:R$1,0))*IF(OR(F991="L",F991="S",F991="I"),-1,1)</f>
        <v>0</v>
      </c>
      <c r="AO991" s="853" t="str">
        <f>+VLOOKUP($AJ991,Data_Validation!$A:$D,1,0)</f>
        <v>G66610</v>
      </c>
      <c r="AP991" s="853" t="str">
        <f>+VLOOKUP($AJ991,Data_Validation!$A:$D,3,0)</f>
        <v>SAAQ</v>
      </c>
      <c r="AQ991" s="853" t="str">
        <f>+VLOOKUP($AJ991,Data_Validation!$A:$D,4,0)</f>
        <v>Inspection - Véhicules Interne</v>
      </c>
      <c r="AR991" s="853" t="s">
        <v>728</v>
      </c>
      <c r="AS991" s="853" t="str">
        <f>+VLOOKUP($AJ991,Data_Validation!$A:$E,5,0)</f>
        <v/>
      </c>
      <c r="AT991" s="794" t="str">
        <f t="shared" ref="AT991:AU991" si="1980">C991</f>
        <v>G66610</v>
      </c>
      <c r="AU991" s="854" t="str">
        <f t="shared" si="1980"/>
        <v>COUT-SOUS-TRAITANCE SAAQ</v>
      </c>
      <c r="AV991" s="794">
        <f t="array" ref="AV991">IFERROR(INDEX(V991:AG991,1,MATCH(Parametres!$B$3,V$1:AG$1,0)-1)*IF(OR(C991="L",C991="S",C991="I"),-1,1),"")</f>
        <v>0</v>
      </c>
      <c r="AW991" s="794">
        <f t="shared" si="6"/>
        <v>0</v>
      </c>
      <c r="AX991" s="794">
        <f t="array" ref="AX991">INDEX(V991:AG991,1,MATCH(Parametres!$B$3,V$1:AG$1,0))*IF(OR(C991="L",C991="S",C991="I"),-1,1)</f>
        <v>0</v>
      </c>
      <c r="AY991" s="853" t="s">
        <v>772</v>
      </c>
      <c r="AZ991" s="853" t="str">
        <f>+VLOOKUP($AJ991,Data_Validation!$A:$E,5,0)</f>
        <v/>
      </c>
    </row>
    <row r="992" ht="15.0" customHeight="1">
      <c r="A992" s="849" t="s">
        <v>1239</v>
      </c>
      <c r="B992" s="849">
        <v>2026.0</v>
      </c>
      <c r="C992" s="849" t="s">
        <v>3183</v>
      </c>
      <c r="D992" s="849" t="s">
        <v>3184</v>
      </c>
      <c r="E992" s="849" t="s">
        <v>768</v>
      </c>
      <c r="F992" s="849" t="s">
        <v>2855</v>
      </c>
      <c r="G992" s="849">
        <v>0.0</v>
      </c>
      <c r="H992" s="849">
        <v>0.0</v>
      </c>
      <c r="I992" s="849">
        <v>0.0</v>
      </c>
      <c r="J992" s="849">
        <v>0.0</v>
      </c>
      <c r="K992" s="849">
        <v>0.0</v>
      </c>
      <c r="L992" s="849">
        <v>0.0</v>
      </c>
      <c r="M992" s="849">
        <v>0.0</v>
      </c>
      <c r="N992" s="849">
        <v>0.0</v>
      </c>
      <c r="O992" s="849">
        <v>0.0</v>
      </c>
      <c r="P992" s="849">
        <v>0.0</v>
      </c>
      <c r="Q992" s="849">
        <v>0.0</v>
      </c>
      <c r="R992" s="849">
        <v>0.0</v>
      </c>
      <c r="S992" s="849">
        <v>0.0</v>
      </c>
      <c r="T992" s="849">
        <v>0.0</v>
      </c>
      <c r="U992" s="849">
        <v>0.0</v>
      </c>
      <c r="V992" s="849">
        <v>0.0</v>
      </c>
      <c r="W992" s="849">
        <v>0.0</v>
      </c>
      <c r="X992" s="849">
        <v>0.0</v>
      </c>
      <c r="Y992" s="849">
        <v>0.0</v>
      </c>
      <c r="Z992" s="849">
        <v>0.0</v>
      </c>
      <c r="AA992" s="849">
        <v>0.0</v>
      </c>
      <c r="AB992" s="849">
        <v>0.0</v>
      </c>
      <c r="AC992" s="849">
        <v>0.0</v>
      </c>
      <c r="AD992" s="849">
        <v>0.0</v>
      </c>
      <c r="AE992" s="849">
        <v>0.0</v>
      </c>
      <c r="AF992" s="849">
        <v>0.0</v>
      </c>
      <c r="AG992" s="849">
        <v>0.0</v>
      </c>
      <c r="AH992" s="849">
        <v>0.0</v>
      </c>
      <c r="AI992" s="849">
        <v>0.0</v>
      </c>
      <c r="AJ992" s="794" t="str">
        <f t="shared" ref="AJ992:AK992" si="1981">C992</f>
        <v>G66611</v>
      </c>
      <c r="AK992" s="794" t="str">
        <f t="shared" si="1981"/>
        <v>SUPER VITRE COUT SUBLET</v>
      </c>
      <c r="AL992" s="794">
        <f t="array" ref="AL992">IFERROR(INDEX(G992:R992,1,MATCH(Parametres!$B$3,G$1:R$1,0)-1)*IF(OR(F992="L",F992="S",F992="I"),-1,1),"")</f>
        <v>0</v>
      </c>
      <c r="AM992" s="794">
        <f t="shared" si="4"/>
        <v>0</v>
      </c>
      <c r="AN992" s="794">
        <f t="array" ref="AN992">INDEX(G992:R992,1,MATCH(Parametres!$B$3,G$1:R$1,0))*IF(OR(F992="L",F992="S",F992="I"),-1,1)</f>
        <v>0</v>
      </c>
      <c r="AO992" s="853" t="str">
        <f>+VLOOKUP($AJ992,Data_Validation!$A:$D,1,0)</f>
        <v>#N/A</v>
      </c>
      <c r="AP992" s="853" t="str">
        <f>+VLOOKUP($AJ992,Data_Validation!$A:$D,3,0)</f>
        <v>#N/A</v>
      </c>
      <c r="AQ992" s="853" t="str">
        <f>+VLOOKUP($AJ992,Data_Validation!$A:$D,4,0)</f>
        <v>#N/A</v>
      </c>
      <c r="AR992" s="853" t="s">
        <v>728</v>
      </c>
      <c r="AS992" s="853" t="str">
        <f>+VLOOKUP($AJ992,Data_Validation!$A:$E,5,0)</f>
        <v>#N/A</v>
      </c>
      <c r="AT992" s="794" t="str">
        <f t="shared" ref="AT992:AU992" si="1982">C992</f>
        <v>G66611</v>
      </c>
      <c r="AU992" s="854" t="str">
        <f t="shared" si="1982"/>
        <v>SUPER VITRE COUT SUBLET</v>
      </c>
      <c r="AV992" s="794">
        <f t="array" ref="AV992">IFERROR(INDEX(V992:AG992,1,MATCH(Parametres!$B$3,V$1:AG$1,0)-1)*IF(OR(C992="L",C992="S",C992="I"),-1,1),"")</f>
        <v>0</v>
      </c>
      <c r="AW992" s="794">
        <f t="shared" si="6"/>
        <v>0</v>
      </c>
      <c r="AX992" s="794">
        <f t="array" ref="AX992">INDEX(V992:AG992,1,MATCH(Parametres!$B$3,V$1:AG$1,0))*IF(OR(C992="L",C992="S",C992="I"),-1,1)</f>
        <v>0</v>
      </c>
      <c r="AY992" s="853" t="s">
        <v>772</v>
      </c>
      <c r="AZ992" s="853" t="str">
        <f>+VLOOKUP($AJ992,Data_Validation!$A:$E,5,0)</f>
        <v>#N/A</v>
      </c>
    </row>
    <row r="993" ht="15.0" customHeight="1">
      <c r="A993" s="849" t="s">
        <v>1239</v>
      </c>
      <c r="B993" s="849">
        <v>2026.0</v>
      </c>
      <c r="C993" s="849" t="s">
        <v>3185</v>
      </c>
      <c r="D993" s="849" t="s">
        <v>3186</v>
      </c>
      <c r="E993" s="849" t="s">
        <v>768</v>
      </c>
      <c r="F993" s="849" t="s">
        <v>2855</v>
      </c>
      <c r="G993" s="849">
        <v>40254.79</v>
      </c>
      <c r="H993" s="849">
        <v>81742.2</v>
      </c>
      <c r="I993" s="849">
        <v>111760.52</v>
      </c>
      <c r="J993" s="849">
        <v>138837.42</v>
      </c>
      <c r="K993" s="849">
        <v>157385.72</v>
      </c>
      <c r="L993" s="849">
        <v>196092.61</v>
      </c>
      <c r="M993" s="849">
        <v>230262.99</v>
      </c>
      <c r="N993" s="849">
        <v>264285.86</v>
      </c>
      <c r="O993" s="849">
        <v>303525.53</v>
      </c>
      <c r="P993" s="849">
        <v>314832.6</v>
      </c>
      <c r="Q993" s="849">
        <v>0.0</v>
      </c>
      <c r="R993" s="849">
        <v>0.0</v>
      </c>
      <c r="S993" s="849">
        <v>33725.06</v>
      </c>
      <c r="T993" s="849">
        <v>33725.06</v>
      </c>
      <c r="U993" s="849">
        <v>0.0</v>
      </c>
      <c r="V993" s="849">
        <v>0.0</v>
      </c>
      <c r="W993" s="849">
        <v>0.0</v>
      </c>
      <c r="X993" s="849">
        <v>0.0</v>
      </c>
      <c r="Y993" s="849">
        <v>0.0</v>
      </c>
      <c r="Z993" s="849">
        <v>0.0</v>
      </c>
      <c r="AA993" s="849">
        <v>0.0</v>
      </c>
      <c r="AB993" s="849">
        <v>0.0</v>
      </c>
      <c r="AC993" s="849">
        <v>0.0</v>
      </c>
      <c r="AD993" s="849">
        <v>0.0</v>
      </c>
      <c r="AE993" s="849">
        <v>0.0</v>
      </c>
      <c r="AF993" s="849">
        <v>0.0</v>
      </c>
      <c r="AG993" s="849">
        <v>0.0</v>
      </c>
      <c r="AH993" s="849">
        <v>0.0</v>
      </c>
      <c r="AI993" s="849">
        <v>0.0</v>
      </c>
      <c r="AJ993" s="794" t="str">
        <f t="shared" ref="AJ993:AK993" si="1983">C993</f>
        <v>G66710</v>
      </c>
      <c r="AK993" s="794" t="str">
        <f t="shared" si="1983"/>
        <v>COUT P&amp;A SERV.CLIENT AUTO</v>
      </c>
      <c r="AL993" s="794">
        <f t="array" ref="AL993">IFERROR(INDEX(G993:R993,1,MATCH(Parametres!$B$3,G$1:R$1,0)-1)*IF(OR(F993="L",F993="S",F993="I"),-1,1),"")</f>
        <v>264285.86</v>
      </c>
      <c r="AM993" s="794">
        <f t="shared" si="4"/>
        <v>39239.67</v>
      </c>
      <c r="AN993" s="794">
        <f t="array" ref="AN993">INDEX(G993:R993,1,MATCH(Parametres!$B$3,G$1:R$1,0))*IF(OR(F993="L",F993="S",F993="I"),-1,1)</f>
        <v>303525.53</v>
      </c>
      <c r="AO993" s="853" t="str">
        <f>+VLOOKUP($AJ993,Data_Validation!$A:$D,1,0)</f>
        <v>G66710</v>
      </c>
      <c r="AP993" s="853" t="str">
        <f>+VLOOKUP($AJ993,Data_Validation!$A:$D,3,0)</f>
        <v>Pièces</v>
      </c>
      <c r="AQ993" s="853" t="str">
        <f>+VLOOKUP($AJ993,Data_Validation!$A:$D,4,0)</f>
        <v>Pièces Ro Clients</v>
      </c>
      <c r="AR993" s="853" t="s">
        <v>728</v>
      </c>
      <c r="AS993" s="853" t="str">
        <f>+VLOOKUP($AJ993,Data_Validation!$A:$E,5,0)</f>
        <v/>
      </c>
      <c r="AT993" s="794" t="str">
        <f t="shared" ref="AT993:AU993" si="1984">C993</f>
        <v>G66710</v>
      </c>
      <c r="AU993" s="854" t="str">
        <f t="shared" si="1984"/>
        <v>COUT P&amp;A SERV.CLIENT AUTO</v>
      </c>
      <c r="AV993" s="794">
        <f t="array" ref="AV993">IFERROR(INDEX(V993:AG993,1,MATCH(Parametres!$B$3,V$1:AG$1,0)-1)*IF(OR(C993="L",C993="S",C993="I"),-1,1),"")</f>
        <v>0</v>
      </c>
      <c r="AW993" s="794">
        <f t="shared" si="6"/>
        <v>0</v>
      </c>
      <c r="AX993" s="794">
        <f t="array" ref="AX993">INDEX(V993:AG993,1,MATCH(Parametres!$B$3,V$1:AG$1,0))*IF(OR(C993="L",C993="S",C993="I"),-1,1)</f>
        <v>0</v>
      </c>
      <c r="AY993" s="853" t="s">
        <v>772</v>
      </c>
      <c r="AZ993" s="853" t="str">
        <f>+VLOOKUP($AJ993,Data_Validation!$A:$E,5,0)</f>
        <v/>
      </c>
    </row>
    <row r="994" ht="15.0" customHeight="1">
      <c r="A994" s="849" t="s">
        <v>1239</v>
      </c>
      <c r="B994" s="849">
        <v>2026.0</v>
      </c>
      <c r="C994" s="849" t="s">
        <v>3187</v>
      </c>
      <c r="D994" s="849" t="s">
        <v>3188</v>
      </c>
      <c r="E994" s="849" t="s">
        <v>768</v>
      </c>
      <c r="F994" s="849" t="s">
        <v>2855</v>
      </c>
      <c r="G994" s="849">
        <v>0.0</v>
      </c>
      <c r="H994" s="849">
        <v>0.0</v>
      </c>
      <c r="I994" s="849">
        <v>0.0</v>
      </c>
      <c r="J994" s="849">
        <v>0.0</v>
      </c>
      <c r="K994" s="849">
        <v>0.0</v>
      </c>
      <c r="L994" s="849">
        <v>0.0</v>
      </c>
      <c r="M994" s="849">
        <v>0.0</v>
      </c>
      <c r="N994" s="849">
        <v>0.0</v>
      </c>
      <c r="O994" s="849">
        <v>0.0</v>
      </c>
      <c r="P994" s="849">
        <v>0.0</v>
      </c>
      <c r="Q994" s="849">
        <v>0.0</v>
      </c>
      <c r="R994" s="849">
        <v>0.0</v>
      </c>
      <c r="S994" s="849">
        <v>0.0</v>
      </c>
      <c r="T994" s="849">
        <v>0.0</v>
      </c>
      <c r="U994" s="849">
        <v>0.0</v>
      </c>
      <c r="V994" s="849">
        <v>0.0</v>
      </c>
      <c r="W994" s="849">
        <v>0.0</v>
      </c>
      <c r="X994" s="849">
        <v>0.0</v>
      </c>
      <c r="Y994" s="849">
        <v>0.0</v>
      </c>
      <c r="Z994" s="849">
        <v>0.0</v>
      </c>
      <c r="AA994" s="849">
        <v>0.0</v>
      </c>
      <c r="AB994" s="849">
        <v>0.0</v>
      </c>
      <c r="AC994" s="849">
        <v>0.0</v>
      </c>
      <c r="AD994" s="849">
        <v>0.0</v>
      </c>
      <c r="AE994" s="849">
        <v>0.0</v>
      </c>
      <c r="AF994" s="849">
        <v>0.0</v>
      </c>
      <c r="AG994" s="849">
        <v>0.0</v>
      </c>
      <c r="AH994" s="849">
        <v>0.0</v>
      </c>
      <c r="AI994" s="849">
        <v>0.0</v>
      </c>
      <c r="AJ994" s="794" t="str">
        <f t="shared" ref="AJ994:AK994" si="1985">C994</f>
        <v>G66720</v>
      </c>
      <c r="AK994" s="794" t="str">
        <f t="shared" si="1985"/>
        <v>COUT-P&amp;A SERV.PL.PROT.AUT</v>
      </c>
      <c r="AL994" s="794">
        <f t="array" ref="AL994">IFERROR(INDEX(G994:R994,1,MATCH(Parametres!$B$3,G$1:R$1,0)-1)*IF(OR(F994="L",F994="S",F994="I"),-1,1),"")</f>
        <v>0</v>
      </c>
      <c r="AM994" s="794">
        <f t="shared" si="4"/>
        <v>0</v>
      </c>
      <c r="AN994" s="794">
        <f t="array" ref="AN994">INDEX(G994:R994,1,MATCH(Parametres!$B$3,G$1:R$1,0))*IF(OR(F994="L",F994="S",F994="I"),-1,1)</f>
        <v>0</v>
      </c>
      <c r="AO994" s="853" t="str">
        <f>+VLOOKUP($AJ994,Data_Validation!$A:$D,1,0)</f>
        <v>G66720</v>
      </c>
      <c r="AP994" s="853" t="str">
        <f>+VLOOKUP($AJ994,Data_Validation!$A:$D,3,0)</f>
        <v>Pièces</v>
      </c>
      <c r="AQ994" s="853" t="str">
        <f>+VLOOKUP($AJ994,Data_Validation!$A:$D,4,0)</f>
        <v>Pièces Ro Clients</v>
      </c>
      <c r="AR994" s="853" t="s">
        <v>728</v>
      </c>
      <c r="AS994" s="853" t="str">
        <f>+VLOOKUP($AJ994,Data_Validation!$A:$E,5,0)</f>
        <v/>
      </c>
      <c r="AT994" s="794" t="str">
        <f t="shared" ref="AT994:AU994" si="1986">C994</f>
        <v>G66720</v>
      </c>
      <c r="AU994" s="854" t="str">
        <f t="shared" si="1986"/>
        <v>COUT-P&amp;A SERV.PL.PROT.AUT</v>
      </c>
      <c r="AV994" s="794">
        <f t="array" ref="AV994">IFERROR(INDEX(V994:AG994,1,MATCH(Parametres!$B$3,V$1:AG$1,0)-1)*IF(OR(C994="L",C994="S",C994="I"),-1,1),"")</f>
        <v>0</v>
      </c>
      <c r="AW994" s="794">
        <f t="shared" si="6"/>
        <v>0</v>
      </c>
      <c r="AX994" s="794">
        <f t="array" ref="AX994">INDEX(V994:AG994,1,MATCH(Parametres!$B$3,V$1:AG$1,0))*IF(OR(C994="L",C994="S",C994="I"),-1,1)</f>
        <v>0</v>
      </c>
      <c r="AY994" s="853" t="s">
        <v>772</v>
      </c>
      <c r="AZ994" s="853" t="str">
        <f>+VLOOKUP($AJ994,Data_Validation!$A:$E,5,0)</f>
        <v/>
      </c>
    </row>
    <row r="995" ht="15.0" customHeight="1">
      <c r="A995" s="849" t="s">
        <v>1239</v>
      </c>
      <c r="B995" s="849">
        <v>2026.0</v>
      </c>
      <c r="C995" s="849" t="s">
        <v>3189</v>
      </c>
      <c r="D995" s="849" t="s">
        <v>3190</v>
      </c>
      <c r="E995" s="849" t="s">
        <v>768</v>
      </c>
      <c r="F995" s="849" t="s">
        <v>2855</v>
      </c>
      <c r="G995" s="849">
        <v>0.0</v>
      </c>
      <c r="H995" s="849">
        <v>0.0</v>
      </c>
      <c r="I995" s="849">
        <v>0.0</v>
      </c>
      <c r="J995" s="849">
        <v>0.0</v>
      </c>
      <c r="K995" s="849">
        <v>0.0</v>
      </c>
      <c r="L995" s="849">
        <v>0.0</v>
      </c>
      <c r="M995" s="849">
        <v>0.0</v>
      </c>
      <c r="N995" s="849">
        <v>0.0</v>
      </c>
      <c r="O995" s="849">
        <v>0.0</v>
      </c>
      <c r="P995" s="849">
        <v>0.0</v>
      </c>
      <c r="Q995" s="849">
        <v>0.0</v>
      </c>
      <c r="R995" s="849">
        <v>0.0</v>
      </c>
      <c r="S995" s="849">
        <v>0.0</v>
      </c>
      <c r="T995" s="849">
        <v>0.0</v>
      </c>
      <c r="U995" s="849">
        <v>0.0</v>
      </c>
      <c r="V995" s="849">
        <v>0.0</v>
      </c>
      <c r="W995" s="849">
        <v>0.0</v>
      </c>
      <c r="X995" s="849">
        <v>0.0</v>
      </c>
      <c r="Y995" s="849">
        <v>0.0</v>
      </c>
      <c r="Z995" s="849">
        <v>0.0</v>
      </c>
      <c r="AA995" s="849">
        <v>0.0</v>
      </c>
      <c r="AB995" s="849">
        <v>0.0</v>
      </c>
      <c r="AC995" s="849">
        <v>0.0</v>
      </c>
      <c r="AD995" s="849">
        <v>0.0</v>
      </c>
      <c r="AE995" s="849">
        <v>0.0</v>
      </c>
      <c r="AF995" s="849">
        <v>0.0</v>
      </c>
      <c r="AG995" s="849">
        <v>0.0</v>
      </c>
      <c r="AH995" s="849">
        <v>0.0</v>
      </c>
      <c r="AI995" s="849">
        <v>0.0</v>
      </c>
      <c r="AJ995" s="794" t="str">
        <f t="shared" ref="AJ995:AK995" si="1987">C995</f>
        <v>G66740</v>
      </c>
      <c r="AK995" s="794" t="str">
        <f t="shared" si="1987"/>
        <v>P&amp;A GOOD VOIT CAM LEGER</v>
      </c>
      <c r="AL995" s="794">
        <f t="array" ref="AL995">IFERROR(INDEX(G995:R995,1,MATCH(Parametres!$B$3,G$1:R$1,0)-1)*IF(OR(F995="L",F995="S",F995="I"),-1,1),"")</f>
        <v>0</v>
      </c>
      <c r="AM995" s="794">
        <f t="shared" si="4"/>
        <v>0</v>
      </c>
      <c r="AN995" s="794">
        <f t="array" ref="AN995">INDEX(G995:R995,1,MATCH(Parametres!$B$3,G$1:R$1,0))*IF(OR(F995="L",F995="S",F995="I"),-1,1)</f>
        <v>0</v>
      </c>
      <c r="AO995" s="853" t="str">
        <f>+VLOOKUP($AJ995,Data_Validation!$A:$D,1,0)</f>
        <v>G66740</v>
      </c>
      <c r="AP995" s="853" t="str">
        <f>+VLOOKUP($AJ995,Data_Validation!$A:$D,3,0)</f>
        <v/>
      </c>
      <c r="AQ995" s="853" t="str">
        <f>+VLOOKUP($AJ995,Data_Validation!$A:$D,4,0)</f>
        <v/>
      </c>
      <c r="AR995" s="853" t="s">
        <v>728</v>
      </c>
      <c r="AS995" s="853" t="str">
        <f>+VLOOKUP($AJ995,Data_Validation!$A:$E,5,0)</f>
        <v/>
      </c>
      <c r="AT995" s="794" t="str">
        <f t="shared" ref="AT995:AU995" si="1988">C995</f>
        <v>G66740</v>
      </c>
      <c r="AU995" s="854" t="str">
        <f t="shared" si="1988"/>
        <v>P&amp;A GOOD VOIT CAM LEGER</v>
      </c>
      <c r="AV995" s="794">
        <f t="array" ref="AV995">IFERROR(INDEX(V995:AG995,1,MATCH(Parametres!$B$3,V$1:AG$1,0)-1)*IF(OR(C995="L",C995="S",C995="I"),-1,1),"")</f>
        <v>0</v>
      </c>
      <c r="AW995" s="794">
        <f t="shared" si="6"/>
        <v>0</v>
      </c>
      <c r="AX995" s="794">
        <f t="array" ref="AX995">INDEX(V995:AG995,1,MATCH(Parametres!$B$3,V$1:AG$1,0))*IF(OR(C995="L",C995="S",C995="I"),-1,1)</f>
        <v>0</v>
      </c>
      <c r="AY995" s="853" t="s">
        <v>772</v>
      </c>
      <c r="AZ995" s="853" t="str">
        <f>+VLOOKUP($AJ995,Data_Validation!$A:$E,5,0)</f>
        <v/>
      </c>
    </row>
    <row r="996" ht="15.0" customHeight="1">
      <c r="A996" s="849" t="s">
        <v>1239</v>
      </c>
      <c r="B996" s="849">
        <v>2026.0</v>
      </c>
      <c r="C996" s="849" t="s">
        <v>3191</v>
      </c>
      <c r="D996" s="849" t="s">
        <v>3192</v>
      </c>
      <c r="E996" s="849" t="s">
        <v>768</v>
      </c>
      <c r="F996" s="849" t="s">
        <v>2855</v>
      </c>
      <c r="G996" s="849">
        <v>0.0</v>
      </c>
      <c r="H996" s="849">
        <v>0.0</v>
      </c>
      <c r="I996" s="849">
        <v>0.0</v>
      </c>
      <c r="J996" s="849">
        <v>0.0</v>
      </c>
      <c r="K996" s="849">
        <v>0.0</v>
      </c>
      <c r="L996" s="849">
        <v>0.0</v>
      </c>
      <c r="M996" s="849">
        <v>0.0</v>
      </c>
      <c r="N996" s="849">
        <v>0.0</v>
      </c>
      <c r="O996" s="849">
        <v>0.0</v>
      </c>
      <c r="P996" s="849">
        <v>0.0</v>
      </c>
      <c r="Q996" s="849">
        <v>0.0</v>
      </c>
      <c r="R996" s="849">
        <v>0.0</v>
      </c>
      <c r="S996" s="849">
        <v>0.0</v>
      </c>
      <c r="T996" s="849">
        <v>0.0</v>
      </c>
      <c r="U996" s="849">
        <v>0.0</v>
      </c>
      <c r="V996" s="849">
        <v>0.0</v>
      </c>
      <c r="W996" s="849">
        <v>0.0</v>
      </c>
      <c r="X996" s="849">
        <v>0.0</v>
      </c>
      <c r="Y996" s="849">
        <v>0.0</v>
      </c>
      <c r="Z996" s="849">
        <v>0.0</v>
      </c>
      <c r="AA996" s="849">
        <v>0.0</v>
      </c>
      <c r="AB996" s="849">
        <v>0.0</v>
      </c>
      <c r="AC996" s="849">
        <v>0.0</v>
      </c>
      <c r="AD996" s="849">
        <v>0.0</v>
      </c>
      <c r="AE996" s="849">
        <v>0.0</v>
      </c>
      <c r="AF996" s="849">
        <v>0.0</v>
      </c>
      <c r="AG996" s="849">
        <v>0.0</v>
      </c>
      <c r="AH996" s="849">
        <v>0.0</v>
      </c>
      <c r="AI996" s="849">
        <v>0.0</v>
      </c>
      <c r="AJ996" s="794" t="str">
        <f t="shared" ref="AJ996:AK996" si="1989">C996</f>
        <v>G66800</v>
      </c>
      <c r="AK996" s="794" t="str">
        <f t="shared" si="1989"/>
        <v>COUT-VOIT.OCC.EN GROS-DET</v>
      </c>
      <c r="AL996" s="794">
        <f t="array" ref="AL996">IFERROR(INDEX(G996:R996,1,MATCH(Parametres!$B$3,G$1:R$1,0)-1)*IF(OR(F996="L",F996="S",F996="I"),-1,1),"")</f>
        <v>0</v>
      </c>
      <c r="AM996" s="794">
        <f t="shared" si="4"/>
        <v>0</v>
      </c>
      <c r="AN996" s="794">
        <f t="array" ref="AN996">INDEX(G996:R996,1,MATCH(Parametres!$B$3,G$1:R$1,0))*IF(OR(F996="L",F996="S",F996="I"),-1,1)</f>
        <v>0</v>
      </c>
      <c r="AO996" s="853" t="str">
        <f>+VLOOKUP($AJ996,Data_Validation!$A:$D,1,0)</f>
        <v>G66800</v>
      </c>
      <c r="AP996" s="853" t="str">
        <f>+VLOOKUP($AJ996,Data_Validation!$A:$D,3,0)</f>
        <v/>
      </c>
      <c r="AQ996" s="853" t="str">
        <f>+VLOOKUP($AJ996,Data_Validation!$A:$D,4,0)</f>
        <v/>
      </c>
      <c r="AR996" s="853" t="s">
        <v>728</v>
      </c>
      <c r="AS996" s="853" t="str">
        <f>+VLOOKUP($AJ996,Data_Validation!$A:$E,5,0)</f>
        <v/>
      </c>
      <c r="AT996" s="794" t="str">
        <f t="shared" ref="AT996:AU996" si="1990">C996</f>
        <v>G66800</v>
      </c>
      <c r="AU996" s="854" t="str">
        <f t="shared" si="1990"/>
        <v>COUT-VOIT.OCC.EN GROS-DET</v>
      </c>
      <c r="AV996" s="794">
        <f t="array" ref="AV996">IFERROR(INDEX(V996:AG996,1,MATCH(Parametres!$B$3,V$1:AG$1,0)-1)*IF(OR(C996="L",C996="S",C996="I"),-1,1),"")</f>
        <v>0</v>
      </c>
      <c r="AW996" s="794">
        <f t="shared" si="6"/>
        <v>0</v>
      </c>
      <c r="AX996" s="794">
        <f t="array" ref="AX996">INDEX(V996:AG996,1,MATCH(Parametres!$B$3,V$1:AG$1,0))*IF(OR(C996="L",C996="S",C996="I"),-1,1)</f>
        <v>0</v>
      </c>
      <c r="AY996" s="853" t="s">
        <v>772</v>
      </c>
      <c r="AZ996" s="853" t="str">
        <f>+VLOOKUP($AJ996,Data_Validation!$A:$E,5,0)</f>
        <v/>
      </c>
    </row>
    <row r="997" ht="15.0" customHeight="1">
      <c r="A997" s="849" t="s">
        <v>1239</v>
      </c>
      <c r="B997" s="849">
        <v>2026.0</v>
      </c>
      <c r="C997" s="849" t="s">
        <v>3193</v>
      </c>
      <c r="D997" s="849" t="s">
        <v>3194</v>
      </c>
      <c r="E997" s="849" t="s">
        <v>768</v>
      </c>
      <c r="F997" s="849" t="s">
        <v>2855</v>
      </c>
      <c r="G997" s="849">
        <v>0.0</v>
      </c>
      <c r="H997" s="849">
        <v>0.0</v>
      </c>
      <c r="I997" s="849">
        <v>0.0</v>
      </c>
      <c r="J997" s="849">
        <v>0.0</v>
      </c>
      <c r="K997" s="849">
        <v>0.0</v>
      </c>
      <c r="L997" s="849">
        <v>0.0</v>
      </c>
      <c r="M997" s="849">
        <v>0.0</v>
      </c>
      <c r="N997" s="849">
        <v>0.0</v>
      </c>
      <c r="O997" s="849">
        <v>0.0</v>
      </c>
      <c r="P997" s="849">
        <v>0.0</v>
      </c>
      <c r="Q997" s="849">
        <v>0.0</v>
      </c>
      <c r="R997" s="849">
        <v>0.0</v>
      </c>
      <c r="S997" s="849">
        <v>0.0</v>
      </c>
      <c r="T997" s="849">
        <v>0.0</v>
      </c>
      <c r="U997" s="849">
        <v>0.0</v>
      </c>
      <c r="V997" s="849">
        <v>0.0</v>
      </c>
      <c r="W997" s="849">
        <v>0.0</v>
      </c>
      <c r="X997" s="849">
        <v>0.0</v>
      </c>
      <c r="Y997" s="849">
        <v>0.0</v>
      </c>
      <c r="Z997" s="849">
        <v>0.0</v>
      </c>
      <c r="AA997" s="849">
        <v>0.0</v>
      </c>
      <c r="AB997" s="849">
        <v>0.0</v>
      </c>
      <c r="AC997" s="849">
        <v>0.0</v>
      </c>
      <c r="AD997" s="849">
        <v>0.0</v>
      </c>
      <c r="AE997" s="849">
        <v>0.0</v>
      </c>
      <c r="AF997" s="849">
        <v>0.0</v>
      </c>
      <c r="AG997" s="849">
        <v>0.0</v>
      </c>
      <c r="AH997" s="849">
        <v>0.0</v>
      </c>
      <c r="AI997" s="849">
        <v>0.0</v>
      </c>
      <c r="AJ997" s="794" t="str">
        <f t="shared" ref="AJ997:AK997" si="1991">C997</f>
        <v>G66810</v>
      </c>
      <c r="AK997" s="794" t="str">
        <f t="shared" si="1991"/>
        <v>COUT-P&amp;A SERV.CLIENT CAM.</v>
      </c>
      <c r="AL997" s="794">
        <f t="array" ref="AL997">IFERROR(INDEX(G997:R997,1,MATCH(Parametres!$B$3,G$1:R$1,0)-1)*IF(OR(F997="L",F997="S",F997="I"),-1,1),"")</f>
        <v>0</v>
      </c>
      <c r="AM997" s="794">
        <f t="shared" si="4"/>
        <v>0</v>
      </c>
      <c r="AN997" s="794">
        <f t="array" ref="AN997">INDEX(G997:R997,1,MATCH(Parametres!$B$3,G$1:R$1,0))*IF(OR(F997="L",F997="S",F997="I"),-1,1)</f>
        <v>0</v>
      </c>
      <c r="AO997" s="853" t="str">
        <f>+VLOOKUP($AJ997,Data_Validation!$A:$D,1,0)</f>
        <v>G66810</v>
      </c>
      <c r="AP997" s="853" t="str">
        <f>+VLOOKUP($AJ997,Data_Validation!$A:$D,3,0)</f>
        <v/>
      </c>
      <c r="AQ997" s="853" t="str">
        <f>+VLOOKUP($AJ997,Data_Validation!$A:$D,4,0)</f>
        <v/>
      </c>
      <c r="AR997" s="853" t="s">
        <v>728</v>
      </c>
      <c r="AS997" s="853" t="str">
        <f>+VLOOKUP($AJ997,Data_Validation!$A:$E,5,0)</f>
        <v/>
      </c>
      <c r="AT997" s="794" t="str">
        <f t="shared" ref="AT997:AU997" si="1992">C997</f>
        <v>G66810</v>
      </c>
      <c r="AU997" s="854" t="str">
        <f t="shared" si="1992"/>
        <v>COUT-P&amp;A SERV.CLIENT CAM.</v>
      </c>
      <c r="AV997" s="794">
        <f t="array" ref="AV997">IFERROR(INDEX(V997:AG997,1,MATCH(Parametres!$B$3,V$1:AG$1,0)-1)*IF(OR(C997="L",C997="S",C997="I"),-1,1),"")</f>
        <v>0</v>
      </c>
      <c r="AW997" s="794">
        <f t="shared" si="6"/>
        <v>0</v>
      </c>
      <c r="AX997" s="794">
        <f t="array" ref="AX997">INDEX(V997:AG997,1,MATCH(Parametres!$B$3,V$1:AG$1,0))*IF(OR(C997="L",C997="S",C997="I"),-1,1)</f>
        <v>0</v>
      </c>
      <c r="AY997" s="853" t="s">
        <v>772</v>
      </c>
      <c r="AZ997" s="853" t="str">
        <f>+VLOOKUP($AJ997,Data_Validation!$A:$E,5,0)</f>
        <v/>
      </c>
    </row>
    <row r="998" ht="15.0" customHeight="1">
      <c r="A998" s="849" t="s">
        <v>1239</v>
      </c>
      <c r="B998" s="849">
        <v>2026.0</v>
      </c>
      <c r="C998" s="849" t="s">
        <v>3195</v>
      </c>
      <c r="D998" s="849" t="s">
        <v>3196</v>
      </c>
      <c r="E998" s="849" t="s">
        <v>768</v>
      </c>
      <c r="F998" s="849" t="s">
        <v>2855</v>
      </c>
      <c r="G998" s="849">
        <v>0.0</v>
      </c>
      <c r="H998" s="849">
        <v>0.0</v>
      </c>
      <c r="I998" s="849">
        <v>0.0</v>
      </c>
      <c r="J998" s="849">
        <v>0.0</v>
      </c>
      <c r="K998" s="849">
        <v>0.0</v>
      </c>
      <c r="L998" s="849">
        <v>0.0</v>
      </c>
      <c r="M998" s="849">
        <v>0.0</v>
      </c>
      <c r="N998" s="849">
        <v>0.0</v>
      </c>
      <c r="O998" s="849">
        <v>0.0</v>
      </c>
      <c r="P998" s="849">
        <v>0.0</v>
      </c>
      <c r="Q998" s="849">
        <v>0.0</v>
      </c>
      <c r="R998" s="849">
        <v>0.0</v>
      </c>
      <c r="S998" s="849">
        <v>0.0</v>
      </c>
      <c r="T998" s="849">
        <v>0.0</v>
      </c>
      <c r="U998" s="849">
        <v>0.0</v>
      </c>
      <c r="V998" s="849">
        <v>0.0</v>
      </c>
      <c r="W998" s="849">
        <v>0.0</v>
      </c>
      <c r="X998" s="849">
        <v>0.0</v>
      </c>
      <c r="Y998" s="849">
        <v>0.0</v>
      </c>
      <c r="Z998" s="849">
        <v>0.0</v>
      </c>
      <c r="AA998" s="849">
        <v>0.0</v>
      </c>
      <c r="AB998" s="849">
        <v>0.0</v>
      </c>
      <c r="AC998" s="849">
        <v>0.0</v>
      </c>
      <c r="AD998" s="849">
        <v>0.0</v>
      </c>
      <c r="AE998" s="849">
        <v>0.0</v>
      </c>
      <c r="AF998" s="849">
        <v>0.0</v>
      </c>
      <c r="AG998" s="849">
        <v>0.0</v>
      </c>
      <c r="AH998" s="849">
        <v>0.0</v>
      </c>
      <c r="AI998" s="849">
        <v>0.0</v>
      </c>
      <c r="AJ998" s="794" t="str">
        <f t="shared" ref="AJ998:AK998" si="1993">C998</f>
        <v>G66840</v>
      </c>
      <c r="AK998" s="794" t="str">
        <f t="shared" si="1993"/>
        <v>COUT-P&amp;A GOODWRENCH CAM.</v>
      </c>
      <c r="AL998" s="794">
        <f t="array" ref="AL998">IFERROR(INDEX(G998:R998,1,MATCH(Parametres!$B$3,G$1:R$1,0)-1)*IF(OR(F998="L",F998="S",F998="I"),-1,1),"")</f>
        <v>0</v>
      </c>
      <c r="AM998" s="794">
        <f t="shared" si="4"/>
        <v>0</v>
      </c>
      <c r="AN998" s="855">
        <f t="array" ref="AN998">INDEX(G998:R998,1,MATCH(Parametres!$B$3,G$1:R$1,0))*IF(OR(F998="L",F998="S",F998="I"),-1,1)</f>
        <v>0</v>
      </c>
      <c r="AO998" s="853" t="str">
        <f>+VLOOKUP($AJ998,Data_Validation!$A:$D,1,0)</f>
        <v>#N/A</v>
      </c>
      <c r="AP998" s="853" t="str">
        <f>+VLOOKUP($AJ998,Data_Validation!$A:$D,3,0)</f>
        <v>#N/A</v>
      </c>
      <c r="AQ998" s="853" t="str">
        <f>+VLOOKUP($AJ998,Data_Validation!$A:$D,4,0)</f>
        <v>#N/A</v>
      </c>
      <c r="AR998" s="853" t="s">
        <v>728</v>
      </c>
      <c r="AS998" s="853" t="str">
        <f>+VLOOKUP($AJ998,Data_Validation!$A:$E,5,0)</f>
        <v>#N/A</v>
      </c>
      <c r="AT998" s="794" t="str">
        <f t="shared" ref="AT998:AU998" si="1994">C998</f>
        <v>G66840</v>
      </c>
      <c r="AU998" s="854" t="str">
        <f t="shared" si="1994"/>
        <v>COUT-P&amp;A GOODWRENCH CAM.</v>
      </c>
      <c r="AV998" s="794">
        <f t="array" ref="AV998">IFERROR(INDEX(V998:AG998,1,MATCH(Parametres!$B$3,V$1:AG$1,0)-1)*IF(OR(C998="L",C998="S",C998="I"),-1,1),"")</f>
        <v>0</v>
      </c>
      <c r="AW998" s="794">
        <f t="shared" si="6"/>
        <v>0</v>
      </c>
      <c r="AX998" s="794">
        <f t="array" ref="AX998">INDEX(V998:AG998,1,MATCH(Parametres!$B$3,V$1:AG$1,0))*IF(OR(C998="L",C998="S",C998="I"),-1,1)</f>
        <v>0</v>
      </c>
      <c r="AY998" s="853" t="s">
        <v>772</v>
      </c>
      <c r="AZ998" s="853" t="str">
        <f>+VLOOKUP($AJ998,Data_Validation!$A:$E,5,0)</f>
        <v>#N/A</v>
      </c>
    </row>
    <row r="999" ht="15.0" customHeight="1">
      <c r="A999" s="849" t="s">
        <v>1239</v>
      </c>
      <c r="B999" s="849">
        <v>2026.0</v>
      </c>
      <c r="C999" s="849" t="s">
        <v>3197</v>
      </c>
      <c r="D999" s="849" t="s">
        <v>3198</v>
      </c>
      <c r="E999" s="849" t="s">
        <v>768</v>
      </c>
      <c r="F999" s="849" t="s">
        <v>2855</v>
      </c>
      <c r="G999" s="849">
        <v>1697.93</v>
      </c>
      <c r="H999" s="849">
        <v>605.93</v>
      </c>
      <c r="I999" s="849">
        <v>2814.77</v>
      </c>
      <c r="J999" s="849">
        <v>6319.61</v>
      </c>
      <c r="K999" s="849">
        <v>8033.4</v>
      </c>
      <c r="L999" s="849">
        <v>10284.52</v>
      </c>
      <c r="M999" s="849">
        <v>10284.52</v>
      </c>
      <c r="N999" s="849">
        <v>14481.63</v>
      </c>
      <c r="O999" s="849">
        <v>17307.04</v>
      </c>
      <c r="P999" s="849">
        <v>17307.04</v>
      </c>
      <c r="Q999" s="849">
        <v>0.0</v>
      </c>
      <c r="R999" s="849">
        <v>0.0</v>
      </c>
      <c r="S999" s="849">
        <v>1923.0</v>
      </c>
      <c r="T999" s="849">
        <v>1923.0</v>
      </c>
      <c r="U999" s="849">
        <v>0.0</v>
      </c>
      <c r="V999" s="849">
        <v>0.0</v>
      </c>
      <c r="W999" s="849">
        <v>0.0</v>
      </c>
      <c r="X999" s="849">
        <v>0.0</v>
      </c>
      <c r="Y999" s="849">
        <v>0.0</v>
      </c>
      <c r="Z999" s="849">
        <v>0.0</v>
      </c>
      <c r="AA999" s="849">
        <v>0.0</v>
      </c>
      <c r="AB999" s="849">
        <v>0.0</v>
      </c>
      <c r="AC999" s="849">
        <v>0.0</v>
      </c>
      <c r="AD999" s="849">
        <v>0.0</v>
      </c>
      <c r="AE999" s="849">
        <v>0.0</v>
      </c>
      <c r="AF999" s="849">
        <v>0.0</v>
      </c>
      <c r="AG999" s="849">
        <v>0.0</v>
      </c>
      <c r="AH999" s="849">
        <v>0.0</v>
      </c>
      <c r="AI999" s="849">
        <v>0.0</v>
      </c>
      <c r="AJ999" s="794" t="str">
        <f t="shared" ref="AJ999:AK999" si="1995">C999</f>
        <v>G66900</v>
      </c>
      <c r="AK999" s="794" t="str">
        <f t="shared" si="1995"/>
        <v>COUT MATERIEL ATELIER</v>
      </c>
      <c r="AL999" s="794">
        <f t="array" ref="AL999">IFERROR(INDEX(G999:R999,1,MATCH(Parametres!$B$3,G$1:R$1,0)-1)*IF(OR(F999="L",F999="S",F999="I"),-1,1),"")</f>
        <v>14481.63</v>
      </c>
      <c r="AM999" s="794">
        <f t="shared" si="4"/>
        <v>2825.41</v>
      </c>
      <c r="AN999" s="794">
        <f t="array" ref="AN999">INDEX(G999:R999,1,MATCH(Parametres!$B$3,G$1:R$1,0))*IF(OR(F999="L",F999="S",F999="I"),-1,1)</f>
        <v>17307.04</v>
      </c>
      <c r="AO999" s="853" t="str">
        <f>+VLOOKUP($AJ999,Data_Validation!$A:$D,1,0)</f>
        <v>G66900</v>
      </c>
      <c r="AP999" s="853" t="str">
        <f>+VLOOKUP($AJ999,Data_Validation!$A:$D,3,0)</f>
        <v>Service</v>
      </c>
      <c r="AQ999" s="853" t="str">
        <f>+VLOOKUP($AJ999,Data_Validation!$A:$D,4,0)</f>
        <v>Sous-traitement</v>
      </c>
      <c r="AR999" s="853" t="s">
        <v>728</v>
      </c>
      <c r="AS999" s="853" t="str">
        <f>+VLOOKUP($AJ999,Data_Validation!$A:$E,5,0)</f>
        <v/>
      </c>
      <c r="AT999" s="794" t="str">
        <f t="shared" ref="AT999:AU999" si="1996">C999</f>
        <v>G66900</v>
      </c>
      <c r="AU999" s="854" t="str">
        <f t="shared" si="1996"/>
        <v>COUT MATERIEL ATELIER</v>
      </c>
      <c r="AV999" s="794">
        <f t="array" ref="AV999">IFERROR(INDEX(V999:AG999,1,MATCH(Parametres!$B$3,V$1:AG$1,0)-1)*IF(OR(C999="L",C999="S",C999="I"),-1,1),"")</f>
        <v>0</v>
      </c>
      <c r="AW999" s="794">
        <f t="shared" si="6"/>
        <v>0</v>
      </c>
      <c r="AX999" s="794">
        <f t="array" ref="AX999">INDEX(V999:AG999,1,MATCH(Parametres!$B$3,V$1:AG$1,0))*IF(OR(C999="L",C999="S",C999="I"),-1,1)</f>
        <v>0</v>
      </c>
      <c r="AY999" s="853" t="s">
        <v>772</v>
      </c>
      <c r="AZ999" s="853" t="str">
        <f>+VLOOKUP($AJ999,Data_Validation!$A:$E,5,0)</f>
        <v/>
      </c>
    </row>
    <row r="1000" ht="15.0" customHeight="1">
      <c r="A1000" s="849" t="s">
        <v>1239</v>
      </c>
      <c r="B1000" s="849">
        <v>2026.0</v>
      </c>
      <c r="C1000" s="849" t="s">
        <v>1125</v>
      </c>
      <c r="D1000" s="849" t="s">
        <v>3199</v>
      </c>
      <c r="E1000" s="849" t="s">
        <v>768</v>
      </c>
      <c r="F1000" s="849" t="s">
        <v>2855</v>
      </c>
      <c r="G1000" s="849">
        <v>0.0</v>
      </c>
      <c r="H1000" s="849">
        <v>0.0</v>
      </c>
      <c r="I1000" s="849">
        <v>0.0</v>
      </c>
      <c r="J1000" s="849">
        <v>0.0</v>
      </c>
      <c r="K1000" s="849">
        <v>1266.73</v>
      </c>
      <c r="L1000" s="849">
        <v>3705.88</v>
      </c>
      <c r="M1000" s="849">
        <v>5244.04</v>
      </c>
      <c r="N1000" s="849">
        <v>5880.21</v>
      </c>
      <c r="O1000" s="849">
        <v>8725.38</v>
      </c>
      <c r="P1000" s="849">
        <v>9256.49</v>
      </c>
      <c r="Q1000" s="849">
        <v>0.0</v>
      </c>
      <c r="R1000" s="849">
        <v>0.0</v>
      </c>
      <c r="S1000" s="849">
        <v>969.49</v>
      </c>
      <c r="T1000" s="849">
        <v>969.49</v>
      </c>
      <c r="U1000" s="849">
        <v>0.0</v>
      </c>
      <c r="V1000" s="849">
        <v>0.0</v>
      </c>
      <c r="W1000" s="849">
        <v>0.0</v>
      </c>
      <c r="X1000" s="849">
        <v>0.0</v>
      </c>
      <c r="Y1000" s="849">
        <v>0.0</v>
      </c>
      <c r="Z1000" s="849">
        <v>0.0</v>
      </c>
      <c r="AA1000" s="849">
        <v>0.0</v>
      </c>
      <c r="AB1000" s="849">
        <v>0.0</v>
      </c>
      <c r="AC1000" s="849">
        <v>0.0</v>
      </c>
      <c r="AD1000" s="849">
        <v>0.0</v>
      </c>
      <c r="AE1000" s="849">
        <v>0.0</v>
      </c>
      <c r="AF1000" s="849">
        <v>0.0</v>
      </c>
      <c r="AG1000" s="849">
        <v>0.0</v>
      </c>
      <c r="AH1000" s="849">
        <v>0.0</v>
      </c>
      <c r="AI1000" s="849">
        <v>0.0</v>
      </c>
      <c r="AJ1000" s="794" t="str">
        <f t="shared" ref="AJ1000:AK1000" si="1997">C1000</f>
        <v>G67000</v>
      </c>
      <c r="AK1000" s="794" t="str">
        <f t="shared" si="1997"/>
        <v>COUT-M.D. PEINTURE</v>
      </c>
      <c r="AL1000" s="794">
        <f t="array" ref="AL1000">IFERROR(INDEX(G1000:R1000,1,MATCH(Parametres!$B$3,G$1:R$1,0)-1)*IF(OR(F1000="L",F1000="S",F1000="I"),-1,1),"")</f>
        <v>5880.21</v>
      </c>
      <c r="AM1000" s="794">
        <f t="shared" si="4"/>
        <v>2845.17</v>
      </c>
      <c r="AN1000" s="794">
        <f t="array" ref="AN1000">INDEX(G1000:R1000,1,MATCH(Parametres!$B$3,G$1:R$1,0))*IF(OR(F1000="L",F1000="S",F1000="I"),-1,1)</f>
        <v>8725.38</v>
      </c>
      <c r="AO1000" s="853" t="str">
        <f>+VLOOKUP($AJ1000,Data_Validation!$A:$D,1,0)</f>
        <v>G67000</v>
      </c>
      <c r="AP1000" s="853" t="str">
        <f>+VLOOKUP($AJ1000,Data_Validation!$A:$D,3,0)</f>
        <v>Carrosserie</v>
      </c>
      <c r="AQ1000" s="853" t="str">
        <f>+VLOOKUP($AJ1000,Data_Validation!$A:$D,4,0)</f>
        <v>Carrosserie Clients</v>
      </c>
      <c r="AR1000" s="853" t="s">
        <v>728</v>
      </c>
      <c r="AS1000" s="853" t="str">
        <f>+VLOOKUP($AJ1000,Data_Validation!$A:$E,5,0)</f>
        <v/>
      </c>
      <c r="AT1000" s="794" t="str">
        <f t="shared" ref="AT1000:AU1000" si="1998">C1000</f>
        <v>G67000</v>
      </c>
      <c r="AU1000" s="854" t="str">
        <f t="shared" si="1998"/>
        <v>COUT-M.D. PEINTURE</v>
      </c>
      <c r="AV1000" s="794">
        <f t="array" ref="AV1000">IFERROR(INDEX(V1000:AG1000,1,MATCH(Parametres!$B$3,V$1:AG$1,0)-1)*IF(OR(C1000="L",C1000="S",C1000="I"),-1,1),"")</f>
        <v>0</v>
      </c>
      <c r="AW1000" s="794">
        <f t="shared" si="6"/>
        <v>0</v>
      </c>
      <c r="AX1000" s="794">
        <f t="array" ref="AX1000">INDEX(V1000:AG1000,1,MATCH(Parametres!$B$3,V$1:AG$1,0))*IF(OR(C1000="L",C1000="S",C1000="I"),-1,1)</f>
        <v>0</v>
      </c>
      <c r="AY1000" s="853" t="s">
        <v>772</v>
      </c>
      <c r="AZ1000" s="853" t="str">
        <f>+VLOOKUP($AJ1000,Data_Validation!$A:$E,5,0)</f>
        <v/>
      </c>
    </row>
    <row r="1001" ht="15.0" customHeight="1">
      <c r="A1001" s="849" t="s">
        <v>1239</v>
      </c>
      <c r="B1001" s="849">
        <v>2026.0</v>
      </c>
      <c r="C1001" s="849" t="s">
        <v>1175</v>
      </c>
      <c r="D1001" s="849" t="s">
        <v>3200</v>
      </c>
      <c r="E1001" s="849" t="s">
        <v>768</v>
      </c>
      <c r="F1001" s="849" t="s">
        <v>2855</v>
      </c>
      <c r="G1001" s="849">
        <v>0.0</v>
      </c>
      <c r="H1001" s="849">
        <v>0.0</v>
      </c>
      <c r="I1001" s="849">
        <v>0.0</v>
      </c>
      <c r="J1001" s="849">
        <v>0.0</v>
      </c>
      <c r="K1001" s="849">
        <v>2406.76</v>
      </c>
      <c r="L1001" s="849">
        <v>4008.48</v>
      </c>
      <c r="M1001" s="849">
        <v>6256.59</v>
      </c>
      <c r="N1001" s="849">
        <v>7178.19</v>
      </c>
      <c r="O1001" s="849">
        <v>8788.37</v>
      </c>
      <c r="P1001" s="849">
        <v>8955.41</v>
      </c>
      <c r="Q1001" s="849">
        <v>0.0</v>
      </c>
      <c r="R1001" s="849">
        <v>0.0</v>
      </c>
      <c r="S1001" s="849">
        <v>976.49</v>
      </c>
      <c r="T1001" s="849">
        <v>976.49</v>
      </c>
      <c r="U1001" s="849">
        <v>0.0</v>
      </c>
      <c r="V1001" s="849">
        <v>0.0</v>
      </c>
      <c r="W1001" s="849">
        <v>0.0</v>
      </c>
      <c r="X1001" s="849">
        <v>0.0</v>
      </c>
      <c r="Y1001" s="849">
        <v>0.0</v>
      </c>
      <c r="Z1001" s="849">
        <v>0.0</v>
      </c>
      <c r="AA1001" s="849">
        <v>0.0</v>
      </c>
      <c r="AB1001" s="849">
        <v>0.0</v>
      </c>
      <c r="AC1001" s="849">
        <v>0.0</v>
      </c>
      <c r="AD1001" s="849">
        <v>0.0</v>
      </c>
      <c r="AE1001" s="849">
        <v>0.0</v>
      </c>
      <c r="AF1001" s="849">
        <v>0.0</v>
      </c>
      <c r="AG1001" s="849">
        <v>0.0</v>
      </c>
      <c r="AH1001" s="849">
        <v>0.0</v>
      </c>
      <c r="AI1001" s="849">
        <v>0.0</v>
      </c>
      <c r="AJ1001" s="794" t="str">
        <f t="shared" ref="AJ1001:AK1001" si="1999">C1001</f>
        <v>G67005</v>
      </c>
      <c r="AK1001" s="794" t="str">
        <f t="shared" si="1999"/>
        <v>COUT -M.O CONCES. PEINTUR</v>
      </c>
      <c r="AL1001" s="794">
        <f t="array" ref="AL1001">IFERROR(INDEX(G1001:R1001,1,MATCH(Parametres!$B$3,G$1:R$1,0)-1)*IF(OR(F1001="L",F1001="S",F1001="I"),-1,1),"")</f>
        <v>7178.19</v>
      </c>
      <c r="AM1001" s="794">
        <f t="shared" si="4"/>
        <v>1610.18</v>
      </c>
      <c r="AN1001" s="794">
        <f t="array" ref="AN1001">INDEX(G1001:R1001,1,MATCH(Parametres!$B$3,G$1:R$1,0))*IF(OR(F1001="L",F1001="S",F1001="I"),-1,1)</f>
        <v>8788.37</v>
      </c>
      <c r="AO1001" s="853" t="str">
        <f>+VLOOKUP($AJ1001,Data_Validation!$A:$D,1,0)</f>
        <v>G67005</v>
      </c>
      <c r="AP1001" s="853" t="str">
        <f>+VLOOKUP($AJ1001,Data_Validation!$A:$D,3,0)</f>
        <v>Carrosserie</v>
      </c>
      <c r="AQ1001" s="853" t="str">
        <f>+VLOOKUP($AJ1001,Data_Validation!$A:$D,4,0)</f>
        <v>Carrosserie Concessions</v>
      </c>
      <c r="AR1001" s="853" t="s">
        <v>728</v>
      </c>
      <c r="AS1001" s="853" t="str">
        <f>+VLOOKUP($AJ1001,Data_Validation!$A:$E,5,0)</f>
        <v/>
      </c>
      <c r="AT1001" s="794" t="str">
        <f t="shared" ref="AT1001:AU1001" si="2000">C1001</f>
        <v>G67005</v>
      </c>
      <c r="AU1001" s="854" t="str">
        <f t="shared" si="2000"/>
        <v>COUT -M.O CONCES. PEINTUR</v>
      </c>
      <c r="AV1001" s="794">
        <f t="array" ref="AV1001">IFERROR(INDEX(V1001:AG1001,1,MATCH(Parametres!$B$3,V$1:AG$1,0)-1)*IF(OR(C1001="L",C1001="S",C1001="I"),-1,1),"")</f>
        <v>0</v>
      </c>
      <c r="AW1001" s="794">
        <f t="shared" si="6"/>
        <v>0</v>
      </c>
      <c r="AX1001" s="794">
        <f t="array" ref="AX1001">INDEX(V1001:AG1001,1,MATCH(Parametres!$B$3,V$1:AG$1,0))*IF(OR(C1001="L",C1001="S",C1001="I"),-1,1)</f>
        <v>0</v>
      </c>
      <c r="AY1001" s="853" t="s">
        <v>772</v>
      </c>
      <c r="AZ1001" s="853" t="str">
        <f>+VLOOKUP($AJ1001,Data_Validation!$A:$E,5,0)</f>
        <v/>
      </c>
    </row>
    <row r="1002" ht="15.0" customHeight="1">
      <c r="A1002" s="849" t="s">
        <v>1239</v>
      </c>
      <c r="B1002" s="849">
        <v>2026.0</v>
      </c>
      <c r="C1002" s="849" t="s">
        <v>1122</v>
      </c>
      <c r="D1002" s="849" t="s">
        <v>3201</v>
      </c>
      <c r="E1002" s="849" t="s">
        <v>768</v>
      </c>
      <c r="F1002" s="849" t="s">
        <v>2855</v>
      </c>
      <c r="G1002" s="849">
        <v>19730.26</v>
      </c>
      <c r="H1002" s="849">
        <v>41519.22</v>
      </c>
      <c r="I1002" s="849">
        <v>61660.73</v>
      </c>
      <c r="J1002" s="849">
        <v>100877.37</v>
      </c>
      <c r="K1002" s="849">
        <v>107269.34</v>
      </c>
      <c r="L1002" s="849">
        <v>114935.97</v>
      </c>
      <c r="M1002" s="849">
        <v>124356.83</v>
      </c>
      <c r="N1002" s="849">
        <v>134962.57</v>
      </c>
      <c r="O1002" s="849">
        <v>147281.43</v>
      </c>
      <c r="P1002" s="849">
        <v>149776.22</v>
      </c>
      <c r="Q1002" s="849">
        <v>0.0</v>
      </c>
      <c r="R1002" s="849">
        <v>0.0</v>
      </c>
      <c r="S1002" s="849">
        <v>16364.6</v>
      </c>
      <c r="T1002" s="849">
        <v>16364.6</v>
      </c>
      <c r="U1002" s="849">
        <v>0.0</v>
      </c>
      <c r="V1002" s="849">
        <v>0.0</v>
      </c>
      <c r="W1002" s="849">
        <v>0.0</v>
      </c>
      <c r="X1002" s="849">
        <v>0.0</v>
      </c>
      <c r="Y1002" s="849">
        <v>0.0</v>
      </c>
      <c r="Z1002" s="849">
        <v>0.0</v>
      </c>
      <c r="AA1002" s="849">
        <v>0.0</v>
      </c>
      <c r="AB1002" s="849">
        <v>0.0</v>
      </c>
      <c r="AC1002" s="849">
        <v>0.0</v>
      </c>
      <c r="AD1002" s="849">
        <v>0.0</v>
      </c>
      <c r="AE1002" s="849">
        <v>0.0</v>
      </c>
      <c r="AF1002" s="849">
        <v>0.0</v>
      </c>
      <c r="AG1002" s="849">
        <v>0.0</v>
      </c>
      <c r="AH1002" s="849">
        <v>0.0</v>
      </c>
      <c r="AI1002" s="849">
        <v>0.0</v>
      </c>
      <c r="AJ1002" s="794" t="str">
        <f t="shared" ref="AJ1002:AK1002" si="2001">C1002</f>
        <v>G67100</v>
      </c>
      <c r="AK1002" s="794" t="str">
        <f t="shared" si="2001"/>
        <v>COUT-M.D. CARROSSERIE</v>
      </c>
      <c r="AL1002" s="794">
        <f t="array" ref="AL1002">IFERROR(INDEX(G1002:R1002,1,MATCH(Parametres!$B$3,G$1:R$1,0)-1)*IF(OR(F1002="L",F1002="S",F1002="I"),-1,1),"")</f>
        <v>134962.57</v>
      </c>
      <c r="AM1002" s="794">
        <f t="shared" si="4"/>
        <v>12318.86</v>
      </c>
      <c r="AN1002" s="794">
        <f t="array" ref="AN1002">INDEX(G1002:R1002,1,MATCH(Parametres!$B$3,G$1:R$1,0))*IF(OR(F1002="L",F1002="S",F1002="I"),-1,1)</f>
        <v>147281.43</v>
      </c>
      <c r="AO1002" s="853" t="str">
        <f>+VLOOKUP($AJ1002,Data_Validation!$A:$D,1,0)</f>
        <v>G67100</v>
      </c>
      <c r="AP1002" s="853" t="str">
        <f>+VLOOKUP($AJ1002,Data_Validation!$A:$D,3,0)</f>
        <v>Carrosserie</v>
      </c>
      <c r="AQ1002" s="853" t="str">
        <f>+VLOOKUP($AJ1002,Data_Validation!$A:$D,4,0)</f>
        <v>Carrosserie Clients</v>
      </c>
      <c r="AR1002" s="853" t="s">
        <v>728</v>
      </c>
      <c r="AS1002" s="853" t="str">
        <f>+VLOOKUP($AJ1002,Data_Validation!$A:$E,5,0)</f>
        <v/>
      </c>
      <c r="AT1002" s="794" t="str">
        <f t="shared" ref="AT1002:AU1002" si="2002">C1002</f>
        <v>G67100</v>
      </c>
      <c r="AU1002" s="854" t="str">
        <f t="shared" si="2002"/>
        <v>COUT-M.D. CARROSSERIE</v>
      </c>
      <c r="AV1002" s="794">
        <f t="array" ref="AV1002">IFERROR(INDEX(V1002:AG1002,1,MATCH(Parametres!$B$3,V$1:AG$1,0)-1)*IF(OR(C1002="L",C1002="S",C1002="I"),-1,1),"")</f>
        <v>0</v>
      </c>
      <c r="AW1002" s="794">
        <f t="shared" si="6"/>
        <v>0</v>
      </c>
      <c r="AX1002" s="794">
        <f t="array" ref="AX1002">INDEX(V1002:AG1002,1,MATCH(Parametres!$B$3,V$1:AG$1,0))*IF(OR(C1002="L",C1002="S",C1002="I"),-1,1)</f>
        <v>0</v>
      </c>
      <c r="AY1002" s="853" t="s">
        <v>772</v>
      </c>
      <c r="AZ1002" s="853" t="str">
        <f>+VLOOKUP($AJ1002,Data_Validation!$A:$E,5,0)</f>
        <v/>
      </c>
    </row>
    <row r="1003" ht="15.0" customHeight="1">
      <c r="A1003" s="849" t="s">
        <v>1239</v>
      </c>
      <c r="B1003" s="849">
        <v>2026.0</v>
      </c>
      <c r="C1003" s="849" t="s">
        <v>1172</v>
      </c>
      <c r="D1003" s="849" t="s">
        <v>3202</v>
      </c>
      <c r="E1003" s="849" t="s">
        <v>768</v>
      </c>
      <c r="F1003" s="849" t="s">
        <v>2855</v>
      </c>
      <c r="G1003" s="849">
        <v>0.0</v>
      </c>
      <c r="H1003" s="849">
        <v>0.0</v>
      </c>
      <c r="I1003" s="849">
        <v>0.0</v>
      </c>
      <c r="J1003" s="849">
        <v>0.0</v>
      </c>
      <c r="K1003" s="849">
        <v>5591.54</v>
      </c>
      <c r="L1003" s="849">
        <v>11000.09</v>
      </c>
      <c r="M1003" s="849">
        <v>19383.18</v>
      </c>
      <c r="N1003" s="849">
        <v>24728.02</v>
      </c>
      <c r="O1003" s="849">
        <v>29276.72</v>
      </c>
      <c r="P1003" s="849">
        <v>30223.61</v>
      </c>
      <c r="Q1003" s="849">
        <v>0.0</v>
      </c>
      <c r="R1003" s="849">
        <v>0.0</v>
      </c>
      <c r="S1003" s="849">
        <v>3252.97</v>
      </c>
      <c r="T1003" s="849">
        <v>3252.97</v>
      </c>
      <c r="U1003" s="849">
        <v>0.0</v>
      </c>
      <c r="V1003" s="849">
        <v>0.0</v>
      </c>
      <c r="W1003" s="849">
        <v>0.0</v>
      </c>
      <c r="X1003" s="849">
        <v>0.0</v>
      </c>
      <c r="Y1003" s="849">
        <v>0.0</v>
      </c>
      <c r="Z1003" s="849">
        <v>0.0</v>
      </c>
      <c r="AA1003" s="849">
        <v>0.0</v>
      </c>
      <c r="AB1003" s="849">
        <v>0.0</v>
      </c>
      <c r="AC1003" s="849">
        <v>0.0</v>
      </c>
      <c r="AD1003" s="849">
        <v>0.0</v>
      </c>
      <c r="AE1003" s="849">
        <v>0.0</v>
      </c>
      <c r="AF1003" s="849">
        <v>0.0</v>
      </c>
      <c r="AG1003" s="849">
        <v>0.0</v>
      </c>
      <c r="AH1003" s="849">
        <v>0.0</v>
      </c>
      <c r="AI1003" s="849">
        <v>0.0</v>
      </c>
      <c r="AJ1003" s="794" t="str">
        <f t="shared" ref="AJ1003:AK1003" si="2003">C1003</f>
        <v>G67105</v>
      </c>
      <c r="AK1003" s="794" t="str">
        <f t="shared" si="2003"/>
        <v>COUT-M.O CONCES. -BODY</v>
      </c>
      <c r="AL1003" s="794">
        <f t="array" ref="AL1003">IFERROR(INDEX(G1003:R1003,1,MATCH(Parametres!$B$3,G$1:R$1,0)-1)*IF(OR(F1003="L",F1003="S",F1003="I"),-1,1),"")</f>
        <v>24728.02</v>
      </c>
      <c r="AM1003" s="794">
        <f t="shared" si="4"/>
        <v>4548.7</v>
      </c>
      <c r="AN1003" s="855">
        <f t="array" ref="AN1003">INDEX(G1003:R1003,1,MATCH(Parametres!$B$3,G$1:R$1,0))*IF(OR(F1003="L",F1003="S",F1003="I"),-1,1)</f>
        <v>29276.72</v>
      </c>
      <c r="AO1003" s="853" t="str">
        <f>+VLOOKUP($AJ1003,Data_Validation!$A:$D,1,0)</f>
        <v>G67105</v>
      </c>
      <c r="AP1003" s="853" t="str">
        <f>+VLOOKUP($AJ1003,Data_Validation!$A:$D,3,0)</f>
        <v>Carrosserie</v>
      </c>
      <c r="AQ1003" s="853" t="str">
        <f>+VLOOKUP($AJ1003,Data_Validation!$A:$D,4,0)</f>
        <v>Carrosserie Concessions</v>
      </c>
      <c r="AR1003" s="853" t="s">
        <v>728</v>
      </c>
      <c r="AS1003" s="853" t="str">
        <f>+VLOOKUP($AJ1003,Data_Validation!$A:$E,5,0)</f>
        <v/>
      </c>
      <c r="AT1003" s="794" t="str">
        <f t="shared" ref="AT1003:AU1003" si="2004">C1003</f>
        <v>G67105</v>
      </c>
      <c r="AU1003" s="854" t="str">
        <f t="shared" si="2004"/>
        <v>COUT-M.O CONCES. -BODY</v>
      </c>
      <c r="AV1003" s="794">
        <f t="array" ref="AV1003">IFERROR(INDEX(V1003:AG1003,1,MATCH(Parametres!$B$3,V$1:AG$1,0)-1)*IF(OR(C1003="L",C1003="S",C1003="I"),-1,1),"")</f>
        <v>0</v>
      </c>
      <c r="AW1003" s="794">
        <f t="shared" si="6"/>
        <v>0</v>
      </c>
      <c r="AX1003" s="794">
        <f t="array" ref="AX1003">INDEX(V1003:AG1003,1,MATCH(Parametres!$B$3,V$1:AG$1,0))*IF(OR(C1003="L",C1003="S",C1003="I"),-1,1)</f>
        <v>0</v>
      </c>
      <c r="AY1003" s="853" t="s">
        <v>772</v>
      </c>
      <c r="AZ1003" s="853" t="str">
        <f>+VLOOKUP($AJ1003,Data_Validation!$A:$E,5,0)</f>
        <v/>
      </c>
    </row>
    <row r="1004" ht="15.0" customHeight="1">
      <c r="A1004" s="849" t="s">
        <v>1239</v>
      </c>
      <c r="B1004" s="849">
        <v>2026.0</v>
      </c>
      <c r="C1004" s="849" t="s">
        <v>1128</v>
      </c>
      <c r="D1004" s="849" t="s">
        <v>3203</v>
      </c>
      <c r="E1004" s="849" t="s">
        <v>768</v>
      </c>
      <c r="F1004" s="849" t="s">
        <v>2855</v>
      </c>
      <c r="G1004" s="849">
        <v>0.0</v>
      </c>
      <c r="H1004" s="849">
        <v>0.0</v>
      </c>
      <c r="I1004" s="849">
        <v>0.0</v>
      </c>
      <c r="J1004" s="849">
        <v>0.0</v>
      </c>
      <c r="K1004" s="849">
        <v>236.84</v>
      </c>
      <c r="L1004" s="849">
        <v>934.73</v>
      </c>
      <c r="M1004" s="849">
        <v>1847.09</v>
      </c>
      <c r="N1004" s="849">
        <v>1902.53</v>
      </c>
      <c r="O1004" s="849">
        <v>2310.82</v>
      </c>
      <c r="P1004" s="849">
        <v>2342.68</v>
      </c>
      <c r="Q1004" s="849">
        <v>0.0</v>
      </c>
      <c r="R1004" s="849">
        <v>0.0</v>
      </c>
      <c r="S1004" s="849">
        <v>256.76</v>
      </c>
      <c r="T1004" s="849">
        <v>256.76</v>
      </c>
      <c r="U1004" s="849">
        <v>0.0</v>
      </c>
      <c r="V1004" s="849">
        <v>0.0</v>
      </c>
      <c r="W1004" s="849">
        <v>0.0</v>
      </c>
      <c r="X1004" s="849">
        <v>0.0</v>
      </c>
      <c r="Y1004" s="849">
        <v>0.0</v>
      </c>
      <c r="Z1004" s="849">
        <v>0.0</v>
      </c>
      <c r="AA1004" s="849">
        <v>0.0</v>
      </c>
      <c r="AB1004" s="849">
        <v>0.0</v>
      </c>
      <c r="AC1004" s="849">
        <v>0.0</v>
      </c>
      <c r="AD1004" s="849">
        <v>0.0</v>
      </c>
      <c r="AE1004" s="849">
        <v>0.0</v>
      </c>
      <c r="AF1004" s="849">
        <v>0.0</v>
      </c>
      <c r="AG1004" s="849">
        <v>0.0</v>
      </c>
      <c r="AH1004" s="849">
        <v>0.0</v>
      </c>
      <c r="AI1004" s="849">
        <v>0.0</v>
      </c>
      <c r="AJ1004" s="794" t="str">
        <f t="shared" ref="AJ1004:AK1004" si="2005">C1004</f>
        <v>G67110</v>
      </c>
      <c r="AK1004" s="794" t="str">
        <f t="shared" si="2005"/>
        <v>COUT - M.O MEC CLT BODY</v>
      </c>
      <c r="AL1004" s="794">
        <f t="array" ref="AL1004">IFERROR(INDEX(G1004:R1004,1,MATCH(Parametres!$B$3,G$1:R$1,0)-1)*IF(OR(F1004="L",F1004="S",F1004="I"),-1,1),"")</f>
        <v>1902.53</v>
      </c>
      <c r="AM1004" s="794">
        <f t="shared" si="4"/>
        <v>408.29</v>
      </c>
      <c r="AN1004" s="794">
        <f t="array" ref="AN1004">INDEX(G1004:R1004,1,MATCH(Parametres!$B$3,G$1:R$1,0))*IF(OR(F1004="L",F1004="S",F1004="I"),-1,1)</f>
        <v>2310.82</v>
      </c>
      <c r="AO1004" s="853" t="str">
        <f>+VLOOKUP($AJ1004,Data_Validation!$A:$D,1,0)</f>
        <v>G67110</v>
      </c>
      <c r="AP1004" s="853" t="str">
        <f>+VLOOKUP($AJ1004,Data_Validation!$A:$D,3,0)</f>
        <v>Carrosserie</v>
      </c>
      <c r="AQ1004" s="853" t="str">
        <f>+VLOOKUP($AJ1004,Data_Validation!$A:$D,4,0)</f>
        <v>Carrosserie Clients</v>
      </c>
      <c r="AR1004" s="853" t="s">
        <v>728</v>
      </c>
      <c r="AS1004" s="853" t="str">
        <f>+VLOOKUP($AJ1004,Data_Validation!$A:$E,5,0)</f>
        <v/>
      </c>
      <c r="AT1004" s="794" t="str">
        <f t="shared" ref="AT1004:AU1004" si="2006">C1004</f>
        <v>G67110</v>
      </c>
      <c r="AU1004" s="854" t="str">
        <f t="shared" si="2006"/>
        <v>COUT - M.O MEC CLT BODY</v>
      </c>
      <c r="AV1004" s="794">
        <f t="array" ref="AV1004">IFERROR(INDEX(V1004:AG1004,1,MATCH(Parametres!$B$3,V$1:AG$1,0)-1)*IF(OR(C1004="L",C1004="S",C1004="I"),-1,1),"")</f>
        <v>0</v>
      </c>
      <c r="AW1004" s="794">
        <f t="shared" si="6"/>
        <v>0</v>
      </c>
      <c r="AX1004" s="794">
        <f t="array" ref="AX1004">INDEX(V1004:AG1004,1,MATCH(Parametres!$B$3,V$1:AG$1,0))*IF(OR(C1004="L",C1004="S",C1004="I"),-1,1)</f>
        <v>0</v>
      </c>
      <c r="AY1004" s="853" t="s">
        <v>772</v>
      </c>
      <c r="AZ1004" s="853" t="str">
        <f>+VLOOKUP($AJ1004,Data_Validation!$A:$E,5,0)</f>
        <v/>
      </c>
    </row>
    <row r="1005" ht="15.0" customHeight="1">
      <c r="A1005" s="849" t="s">
        <v>1239</v>
      </c>
      <c r="B1005" s="849">
        <v>2026.0</v>
      </c>
      <c r="C1005" s="849" t="s">
        <v>1178</v>
      </c>
      <c r="D1005" s="849" t="s">
        <v>3204</v>
      </c>
      <c r="E1005" s="849" t="s">
        <v>768</v>
      </c>
      <c r="F1005" s="849" t="s">
        <v>2855</v>
      </c>
      <c r="G1005" s="849">
        <v>0.0</v>
      </c>
      <c r="H1005" s="849">
        <v>0.0</v>
      </c>
      <c r="I1005" s="849">
        <v>0.0</v>
      </c>
      <c r="J1005" s="849">
        <v>0.0</v>
      </c>
      <c r="K1005" s="849">
        <v>9.71</v>
      </c>
      <c r="L1005" s="849">
        <v>9.71</v>
      </c>
      <c r="M1005" s="849">
        <v>9.71</v>
      </c>
      <c r="N1005" s="849">
        <v>9.71</v>
      </c>
      <c r="O1005" s="849">
        <v>9.71</v>
      </c>
      <c r="P1005" s="849">
        <v>9.71</v>
      </c>
      <c r="Q1005" s="849">
        <v>0.0</v>
      </c>
      <c r="R1005" s="849">
        <v>0.0</v>
      </c>
      <c r="S1005" s="849">
        <v>1.08</v>
      </c>
      <c r="T1005" s="849">
        <v>1.08</v>
      </c>
      <c r="U1005" s="849">
        <v>0.0</v>
      </c>
      <c r="V1005" s="849">
        <v>0.0</v>
      </c>
      <c r="W1005" s="849">
        <v>0.0</v>
      </c>
      <c r="X1005" s="849">
        <v>0.0</v>
      </c>
      <c r="Y1005" s="849">
        <v>0.0</v>
      </c>
      <c r="Z1005" s="849">
        <v>0.0</v>
      </c>
      <c r="AA1005" s="849">
        <v>0.0</v>
      </c>
      <c r="AB1005" s="849">
        <v>0.0</v>
      </c>
      <c r="AC1005" s="849">
        <v>0.0</v>
      </c>
      <c r="AD1005" s="849">
        <v>0.0</v>
      </c>
      <c r="AE1005" s="849">
        <v>0.0</v>
      </c>
      <c r="AF1005" s="849">
        <v>0.0</v>
      </c>
      <c r="AG1005" s="849">
        <v>0.0</v>
      </c>
      <c r="AH1005" s="849">
        <v>0.0</v>
      </c>
      <c r="AI1005" s="849">
        <v>0.0</v>
      </c>
      <c r="AJ1005" s="794" t="str">
        <f t="shared" ref="AJ1005:AK1005" si="2007">C1005</f>
        <v>G67115</v>
      </c>
      <c r="AK1005" s="794" t="str">
        <f t="shared" si="2007"/>
        <v>COUT -M.O CONCES MEC-BODY</v>
      </c>
      <c r="AL1005" s="794">
        <f t="array" ref="AL1005">IFERROR(INDEX(G1005:R1005,1,MATCH(Parametres!$B$3,G$1:R$1,0)-1)*IF(OR(F1005="L",F1005="S",F1005="I"),-1,1),"")</f>
        <v>9.71</v>
      </c>
      <c r="AM1005" s="794">
        <f t="shared" si="4"/>
        <v>0</v>
      </c>
      <c r="AN1005" s="794">
        <f t="array" ref="AN1005">INDEX(G1005:R1005,1,MATCH(Parametres!$B$3,G$1:R$1,0))*IF(OR(F1005="L",F1005="S",F1005="I"),-1,1)</f>
        <v>9.71</v>
      </c>
      <c r="AO1005" s="853" t="str">
        <f>+VLOOKUP($AJ1005,Data_Validation!$A:$D,1,0)</f>
        <v>G67115</v>
      </c>
      <c r="AP1005" s="853" t="str">
        <f>+VLOOKUP($AJ1005,Data_Validation!$A:$D,3,0)</f>
        <v>Carrosserie</v>
      </c>
      <c r="AQ1005" s="853" t="str">
        <f>+VLOOKUP($AJ1005,Data_Validation!$A:$D,4,0)</f>
        <v>Carrosserie Concessions</v>
      </c>
      <c r="AR1005" s="853" t="s">
        <v>728</v>
      </c>
      <c r="AS1005" s="853" t="str">
        <f>+VLOOKUP($AJ1005,Data_Validation!$A:$E,5,0)</f>
        <v/>
      </c>
      <c r="AT1005" s="794" t="str">
        <f t="shared" ref="AT1005:AU1005" si="2008">C1005</f>
        <v>G67115</v>
      </c>
      <c r="AU1005" s="854" t="str">
        <f t="shared" si="2008"/>
        <v>COUT -M.O CONCES MEC-BODY</v>
      </c>
      <c r="AV1005" s="794">
        <f t="array" ref="AV1005">IFERROR(INDEX(V1005:AG1005,1,MATCH(Parametres!$B$3,V$1:AG$1,0)-1)*IF(OR(C1005="L",C1005="S",C1005="I"),-1,1),"")</f>
        <v>0</v>
      </c>
      <c r="AW1005" s="794">
        <f t="shared" si="6"/>
        <v>0</v>
      </c>
      <c r="AX1005" s="794">
        <f t="array" ref="AX1005">INDEX(V1005:AG1005,1,MATCH(Parametres!$B$3,V$1:AG$1,0))*IF(OR(C1005="L",C1005="S",C1005="I"),-1,1)</f>
        <v>0</v>
      </c>
      <c r="AY1005" s="853" t="s">
        <v>772</v>
      </c>
      <c r="AZ1005" s="853" t="str">
        <f>+VLOOKUP($AJ1005,Data_Validation!$A:$E,5,0)</f>
        <v/>
      </c>
    </row>
    <row r="1006" ht="15.0" customHeight="1">
      <c r="A1006" s="849" t="s">
        <v>1239</v>
      </c>
      <c r="B1006" s="849">
        <v>2026.0</v>
      </c>
      <c r="C1006" s="849" t="s">
        <v>1195</v>
      </c>
      <c r="D1006" s="849" t="s">
        <v>3205</v>
      </c>
      <c r="E1006" s="849" t="s">
        <v>768</v>
      </c>
      <c r="F1006" s="849" t="s">
        <v>2855</v>
      </c>
      <c r="G1006" s="849">
        <v>0.0</v>
      </c>
      <c r="H1006" s="849">
        <v>0.0</v>
      </c>
      <c r="I1006" s="849">
        <v>0.0</v>
      </c>
      <c r="J1006" s="849">
        <v>0.0</v>
      </c>
      <c r="K1006" s="849">
        <v>0.0</v>
      </c>
      <c r="L1006" s="849">
        <v>0.0</v>
      </c>
      <c r="M1006" s="849">
        <v>0.0</v>
      </c>
      <c r="N1006" s="849">
        <v>0.0</v>
      </c>
      <c r="O1006" s="849">
        <v>0.0</v>
      </c>
      <c r="P1006" s="849">
        <v>0.0</v>
      </c>
      <c r="Q1006" s="849">
        <v>0.0</v>
      </c>
      <c r="R1006" s="849">
        <v>0.0</v>
      </c>
      <c r="S1006" s="849">
        <v>0.0</v>
      </c>
      <c r="T1006" s="849">
        <v>0.0</v>
      </c>
      <c r="U1006" s="849">
        <v>0.0</v>
      </c>
      <c r="V1006" s="849">
        <v>0.0</v>
      </c>
      <c r="W1006" s="849">
        <v>0.0</v>
      </c>
      <c r="X1006" s="849">
        <v>0.0</v>
      </c>
      <c r="Y1006" s="849">
        <v>0.0</v>
      </c>
      <c r="Z1006" s="849">
        <v>0.0</v>
      </c>
      <c r="AA1006" s="849">
        <v>0.0</v>
      </c>
      <c r="AB1006" s="849">
        <v>0.0</v>
      </c>
      <c r="AC1006" s="849">
        <v>0.0</v>
      </c>
      <c r="AD1006" s="849">
        <v>0.0</v>
      </c>
      <c r="AE1006" s="849">
        <v>0.0</v>
      </c>
      <c r="AF1006" s="849">
        <v>0.0</v>
      </c>
      <c r="AG1006" s="849">
        <v>0.0</v>
      </c>
      <c r="AH1006" s="849">
        <v>0.0</v>
      </c>
      <c r="AI1006" s="849">
        <v>0.0</v>
      </c>
      <c r="AJ1006" s="794" t="str">
        <f t="shared" ref="AJ1006:AK1006" si="2009">C1006</f>
        <v>G67125</v>
      </c>
      <c r="AK1006" s="794" t="str">
        <f t="shared" si="2009"/>
        <v>**RISTOURNE M.O CONC.BODY</v>
      </c>
      <c r="AL1006" s="794">
        <f t="array" ref="AL1006">IFERROR(INDEX(G1006:R1006,1,MATCH(Parametres!$B$3,G$1:R$1,0)-1)*IF(OR(F1006="L",F1006="S",F1006="I"),-1,1),"")</f>
        <v>0</v>
      </c>
      <c r="AM1006" s="794">
        <f t="shared" si="4"/>
        <v>0</v>
      </c>
      <c r="AN1006" s="794">
        <f t="array" ref="AN1006">INDEX(G1006:R1006,1,MATCH(Parametres!$B$3,G$1:R$1,0))*IF(OR(F1006="L",F1006="S",F1006="I"),-1,1)</f>
        <v>0</v>
      </c>
      <c r="AO1006" s="853" t="str">
        <f>+VLOOKUP($AJ1006,Data_Validation!$A:$D,1,0)</f>
        <v>G67125</v>
      </c>
      <c r="AP1006" s="853" t="str">
        <f>+VLOOKUP($AJ1006,Data_Validation!$A:$D,3,0)</f>
        <v>Carrosserie</v>
      </c>
      <c r="AQ1006" s="853" t="str">
        <f>+VLOOKUP($AJ1006,Data_Validation!$A:$D,4,0)</f>
        <v>Carrosserie Concessions</v>
      </c>
      <c r="AR1006" s="853" t="s">
        <v>728</v>
      </c>
      <c r="AS1006" s="853" t="str">
        <f>+VLOOKUP($AJ1006,Data_Validation!$A:$E,5,0)</f>
        <v/>
      </c>
      <c r="AT1006" s="794" t="str">
        <f t="shared" ref="AT1006:AU1006" si="2010">C1006</f>
        <v>G67125</v>
      </c>
      <c r="AU1006" s="854" t="str">
        <f t="shared" si="2010"/>
        <v>**RISTOURNE M.O CONC.BODY</v>
      </c>
      <c r="AV1006" s="794">
        <f t="array" ref="AV1006">IFERROR(INDEX(V1006:AG1006,1,MATCH(Parametres!$B$3,V$1:AG$1,0)-1)*IF(OR(C1006="L",C1006="S",C1006="I"),-1,1),"")</f>
        <v>0</v>
      </c>
      <c r="AW1006" s="794">
        <f t="shared" si="6"/>
        <v>0</v>
      </c>
      <c r="AX1006" s="794">
        <f t="array" ref="AX1006">INDEX(V1006:AG1006,1,MATCH(Parametres!$B$3,V$1:AG$1,0))*IF(OR(C1006="L",C1006="S",C1006="I"),-1,1)</f>
        <v>0</v>
      </c>
      <c r="AY1006" s="853" t="s">
        <v>772</v>
      </c>
      <c r="AZ1006" s="853" t="str">
        <f>+VLOOKUP($AJ1006,Data_Validation!$A:$E,5,0)</f>
        <v/>
      </c>
    </row>
    <row r="1007" ht="15.0" customHeight="1">
      <c r="A1007" s="849" t="s">
        <v>1239</v>
      </c>
      <c r="B1007" s="849">
        <v>2026.0</v>
      </c>
      <c r="C1007" s="849" t="s">
        <v>1167</v>
      </c>
      <c r="D1007" s="849" t="s">
        <v>3206</v>
      </c>
      <c r="E1007" s="849" t="s">
        <v>768</v>
      </c>
      <c r="F1007" s="849" t="s">
        <v>2855</v>
      </c>
      <c r="G1007" s="849">
        <v>145.79</v>
      </c>
      <c r="H1007" s="849">
        <v>145.79</v>
      </c>
      <c r="I1007" s="849">
        <v>145.79</v>
      </c>
      <c r="J1007" s="849">
        <v>277.94</v>
      </c>
      <c r="K1007" s="849">
        <v>277.94</v>
      </c>
      <c r="L1007" s="849">
        <v>277.94</v>
      </c>
      <c r="M1007" s="849">
        <v>277.94</v>
      </c>
      <c r="N1007" s="849">
        <v>559.96</v>
      </c>
      <c r="O1007" s="849">
        <v>559.96</v>
      </c>
      <c r="P1007" s="849">
        <v>752.19</v>
      </c>
      <c r="Q1007" s="849">
        <v>0.0</v>
      </c>
      <c r="R1007" s="849">
        <v>0.0</v>
      </c>
      <c r="S1007" s="849">
        <v>62.22</v>
      </c>
      <c r="T1007" s="849">
        <v>62.22</v>
      </c>
      <c r="U1007" s="849">
        <v>0.0</v>
      </c>
      <c r="V1007" s="849">
        <v>0.0</v>
      </c>
      <c r="W1007" s="849">
        <v>0.0</v>
      </c>
      <c r="X1007" s="849">
        <v>0.0</v>
      </c>
      <c r="Y1007" s="849">
        <v>0.0</v>
      </c>
      <c r="Z1007" s="849">
        <v>0.0</v>
      </c>
      <c r="AA1007" s="849">
        <v>0.0</v>
      </c>
      <c r="AB1007" s="849">
        <v>0.0</v>
      </c>
      <c r="AC1007" s="849">
        <v>0.0</v>
      </c>
      <c r="AD1007" s="849">
        <v>0.0</v>
      </c>
      <c r="AE1007" s="849">
        <v>0.0</v>
      </c>
      <c r="AF1007" s="849">
        <v>0.0</v>
      </c>
      <c r="AG1007" s="849">
        <v>0.0</v>
      </c>
      <c r="AH1007" s="849">
        <v>0.0</v>
      </c>
      <c r="AI1007" s="849">
        <v>0.0</v>
      </c>
      <c r="AJ1007" s="794" t="str">
        <f t="shared" ref="AJ1007:AK1007" si="2011">C1007</f>
        <v>G67200</v>
      </c>
      <c r="AK1007" s="794" t="str">
        <f t="shared" si="2011"/>
        <v>COUT-M.D. B.CLAIM</v>
      </c>
      <c r="AL1007" s="794">
        <f t="array" ref="AL1007">IFERROR(INDEX(G1007:R1007,1,MATCH(Parametres!$B$3,G$1:R$1,0)-1)*IF(OR(F1007="L",F1007="S",F1007="I"),-1,1),"")</f>
        <v>559.96</v>
      </c>
      <c r="AM1007" s="794">
        <f t="shared" si="4"/>
        <v>0</v>
      </c>
      <c r="AN1007" s="855">
        <f t="array" ref="AN1007">INDEX(G1007:R1007,1,MATCH(Parametres!$B$3,G$1:R$1,0))*IF(OR(F1007="L",F1007="S",F1007="I"),-1,1)</f>
        <v>559.96</v>
      </c>
      <c r="AO1007" s="853" t="str">
        <f>+VLOOKUP($AJ1007,Data_Validation!$A:$D,1,0)</f>
        <v>G67200</v>
      </c>
      <c r="AP1007" s="853" t="str">
        <f>+VLOOKUP($AJ1007,Data_Validation!$A:$D,3,0)</f>
        <v>Carrosserie</v>
      </c>
      <c r="AQ1007" s="853" t="str">
        <f>+VLOOKUP($AJ1007,Data_Validation!$A:$D,4,0)</f>
        <v>Carrosserie Interne</v>
      </c>
      <c r="AR1007" s="853" t="s">
        <v>728</v>
      </c>
      <c r="AS1007" s="853" t="str">
        <f>+VLOOKUP($AJ1007,Data_Validation!$A:$E,5,0)</f>
        <v/>
      </c>
      <c r="AT1007" s="794" t="str">
        <f t="shared" ref="AT1007:AU1007" si="2012">C1007</f>
        <v>G67200</v>
      </c>
      <c r="AU1007" s="854" t="str">
        <f t="shared" si="2012"/>
        <v>COUT-M.D. B.CLAIM</v>
      </c>
      <c r="AV1007" s="794">
        <f t="array" ref="AV1007">IFERROR(INDEX(V1007:AG1007,1,MATCH(Parametres!$B$3,V$1:AG$1,0)-1)*IF(OR(C1007="L",C1007="S",C1007="I"),-1,1),"")</f>
        <v>0</v>
      </c>
      <c r="AW1007" s="794">
        <f t="shared" si="6"/>
        <v>0</v>
      </c>
      <c r="AX1007" s="794">
        <f t="array" ref="AX1007">INDEX(V1007:AG1007,1,MATCH(Parametres!$B$3,V$1:AG$1,0))*IF(OR(C1007="L",C1007="S",C1007="I"),-1,1)</f>
        <v>0</v>
      </c>
      <c r="AY1007" s="853" t="s">
        <v>772</v>
      </c>
      <c r="AZ1007" s="853" t="str">
        <f>+VLOOKUP($AJ1007,Data_Validation!$A:$E,5,0)</f>
        <v/>
      </c>
    </row>
    <row r="1008" ht="15.0" customHeight="1">
      <c r="A1008" s="849" t="s">
        <v>1239</v>
      </c>
      <c r="B1008" s="849">
        <v>2026.0</v>
      </c>
      <c r="C1008" s="849" t="s">
        <v>1146</v>
      </c>
      <c r="D1008" s="849" t="s">
        <v>3207</v>
      </c>
      <c r="E1008" s="849" t="s">
        <v>768</v>
      </c>
      <c r="F1008" s="849" t="s">
        <v>2855</v>
      </c>
      <c r="G1008" s="849">
        <v>1978.84</v>
      </c>
      <c r="H1008" s="849">
        <v>6111.77</v>
      </c>
      <c r="I1008" s="849">
        <v>10074.3</v>
      </c>
      <c r="J1008" s="849">
        <v>13220.18</v>
      </c>
      <c r="K1008" s="849">
        <v>16185.95</v>
      </c>
      <c r="L1008" s="849">
        <v>18157.95</v>
      </c>
      <c r="M1008" s="849">
        <v>21697.4</v>
      </c>
      <c r="N1008" s="849">
        <v>23010.21</v>
      </c>
      <c r="O1008" s="849">
        <v>25055.67</v>
      </c>
      <c r="P1008" s="849">
        <v>25117.1</v>
      </c>
      <c r="Q1008" s="849">
        <v>0.0</v>
      </c>
      <c r="R1008" s="849">
        <v>0.0</v>
      </c>
      <c r="S1008" s="849">
        <v>2783.96</v>
      </c>
      <c r="T1008" s="849">
        <v>2783.96</v>
      </c>
      <c r="U1008" s="849">
        <v>0.0</v>
      </c>
      <c r="V1008" s="849">
        <v>0.0</v>
      </c>
      <c r="W1008" s="849">
        <v>0.0</v>
      </c>
      <c r="X1008" s="849">
        <v>0.0</v>
      </c>
      <c r="Y1008" s="849">
        <v>0.0</v>
      </c>
      <c r="Z1008" s="849">
        <v>0.0</v>
      </c>
      <c r="AA1008" s="849">
        <v>0.0</v>
      </c>
      <c r="AB1008" s="849">
        <v>0.0</v>
      </c>
      <c r="AC1008" s="849">
        <v>0.0</v>
      </c>
      <c r="AD1008" s="849">
        <v>0.0</v>
      </c>
      <c r="AE1008" s="849">
        <v>0.0</v>
      </c>
      <c r="AF1008" s="849">
        <v>0.0</v>
      </c>
      <c r="AG1008" s="849">
        <v>0.0</v>
      </c>
      <c r="AH1008" s="849">
        <v>0.0</v>
      </c>
      <c r="AI1008" s="849">
        <v>0.0</v>
      </c>
      <c r="AJ1008" s="794" t="str">
        <f t="shared" ref="AJ1008:AK1008" si="2013">C1008</f>
        <v>G67300</v>
      </c>
      <c r="AK1008" s="794" t="str">
        <f t="shared" si="2013"/>
        <v>COUT-M.D. BODY INT.</v>
      </c>
      <c r="AL1008" s="794">
        <f t="array" ref="AL1008">IFERROR(INDEX(G1008:R1008,1,MATCH(Parametres!$B$3,G$1:R$1,0)-1)*IF(OR(F1008="L",F1008="S",F1008="I"),-1,1),"")</f>
        <v>23010.21</v>
      </c>
      <c r="AM1008" s="794">
        <f t="shared" si="4"/>
        <v>2045.46</v>
      </c>
      <c r="AN1008" s="794">
        <f t="array" ref="AN1008">INDEX(G1008:R1008,1,MATCH(Parametres!$B$3,G$1:R$1,0))*IF(OR(F1008="L",F1008="S",F1008="I"),-1,1)</f>
        <v>25055.67</v>
      </c>
      <c r="AO1008" s="853" t="str">
        <f>+VLOOKUP($AJ1008,Data_Validation!$A:$D,1,0)</f>
        <v>G67300</v>
      </c>
      <c r="AP1008" s="853" t="str">
        <f>+VLOOKUP($AJ1008,Data_Validation!$A:$D,3,0)</f>
        <v>Carrosserie</v>
      </c>
      <c r="AQ1008" s="853" t="str">
        <f>+VLOOKUP($AJ1008,Data_Validation!$A:$D,4,0)</f>
        <v>Carrosserie Interne</v>
      </c>
      <c r="AR1008" s="853" t="s">
        <v>728</v>
      </c>
      <c r="AS1008" s="853" t="str">
        <f>+VLOOKUP($AJ1008,Data_Validation!$A:$E,5,0)</f>
        <v/>
      </c>
      <c r="AT1008" s="794" t="str">
        <f t="shared" ref="AT1008:AU1008" si="2014">C1008</f>
        <v>G67300</v>
      </c>
      <c r="AU1008" s="854" t="str">
        <f t="shared" si="2014"/>
        <v>COUT-M.D. BODY INT.</v>
      </c>
      <c r="AV1008" s="794">
        <f t="array" ref="AV1008">IFERROR(INDEX(V1008:AG1008,1,MATCH(Parametres!$B$3,V$1:AG$1,0)-1)*IF(OR(C1008="L",C1008="S",C1008="I"),-1,1),"")</f>
        <v>0</v>
      </c>
      <c r="AW1008" s="794">
        <f t="shared" si="6"/>
        <v>0</v>
      </c>
      <c r="AX1008" s="794">
        <f t="array" ref="AX1008">INDEX(V1008:AG1008,1,MATCH(Parametres!$B$3,V$1:AG$1,0))*IF(OR(C1008="L",C1008="S",C1008="I"),-1,1)</f>
        <v>0</v>
      </c>
      <c r="AY1008" s="853" t="s">
        <v>772</v>
      </c>
      <c r="AZ1008" s="853" t="str">
        <f>+VLOOKUP($AJ1008,Data_Validation!$A:$E,5,0)</f>
        <v/>
      </c>
    </row>
    <row r="1009" ht="15.0" customHeight="1">
      <c r="A1009" s="849" t="s">
        <v>1239</v>
      </c>
      <c r="B1009" s="849">
        <v>2026.0</v>
      </c>
      <c r="C1009" s="849" t="s">
        <v>1149</v>
      </c>
      <c r="D1009" s="849" t="s">
        <v>3208</v>
      </c>
      <c r="E1009" s="849" t="s">
        <v>768</v>
      </c>
      <c r="F1009" s="849" t="s">
        <v>2855</v>
      </c>
      <c r="G1009" s="849">
        <v>0.0</v>
      </c>
      <c r="H1009" s="849">
        <v>0.0</v>
      </c>
      <c r="I1009" s="849">
        <v>0.0</v>
      </c>
      <c r="J1009" s="849">
        <v>0.0</v>
      </c>
      <c r="K1009" s="849">
        <v>246.26</v>
      </c>
      <c r="L1009" s="849">
        <v>663.68</v>
      </c>
      <c r="M1009" s="849">
        <v>1026.49</v>
      </c>
      <c r="N1009" s="849">
        <v>1212.67</v>
      </c>
      <c r="O1009" s="849">
        <v>1688.25</v>
      </c>
      <c r="P1009" s="849">
        <v>1748.94</v>
      </c>
      <c r="Q1009" s="849">
        <v>0.0</v>
      </c>
      <c r="R1009" s="849">
        <v>0.0</v>
      </c>
      <c r="S1009" s="849">
        <v>187.58</v>
      </c>
      <c r="T1009" s="849">
        <v>187.58</v>
      </c>
      <c r="U1009" s="849">
        <v>0.0</v>
      </c>
      <c r="V1009" s="849">
        <v>0.0</v>
      </c>
      <c r="W1009" s="849">
        <v>0.0</v>
      </c>
      <c r="X1009" s="849">
        <v>0.0</v>
      </c>
      <c r="Y1009" s="849">
        <v>0.0</v>
      </c>
      <c r="Z1009" s="849">
        <v>0.0</v>
      </c>
      <c r="AA1009" s="849">
        <v>0.0</v>
      </c>
      <c r="AB1009" s="849">
        <v>0.0</v>
      </c>
      <c r="AC1009" s="849">
        <v>0.0</v>
      </c>
      <c r="AD1009" s="849">
        <v>0.0</v>
      </c>
      <c r="AE1009" s="849">
        <v>0.0</v>
      </c>
      <c r="AF1009" s="849">
        <v>0.0</v>
      </c>
      <c r="AG1009" s="849">
        <v>0.0</v>
      </c>
      <c r="AH1009" s="849">
        <v>0.0</v>
      </c>
      <c r="AI1009" s="849">
        <v>0.0</v>
      </c>
      <c r="AJ1009" s="794" t="str">
        <f t="shared" ref="AJ1009:AK1009" si="2015">C1009</f>
        <v>G67303</v>
      </c>
      <c r="AK1009" s="794" t="str">
        <f t="shared" si="2015"/>
        <v>COUT-M.D. PEINTURE INT.</v>
      </c>
      <c r="AL1009" s="794">
        <f t="array" ref="AL1009">IFERROR(INDEX(G1009:R1009,1,MATCH(Parametres!$B$3,G$1:R$1,0)-1)*IF(OR(F1009="L",F1009="S",F1009="I"),-1,1),"")</f>
        <v>1212.67</v>
      </c>
      <c r="AM1009" s="794">
        <f t="shared" si="4"/>
        <v>475.58</v>
      </c>
      <c r="AN1009" s="794">
        <f t="array" ref="AN1009">INDEX(G1009:R1009,1,MATCH(Parametres!$B$3,G$1:R$1,0))*IF(OR(F1009="L",F1009="S",F1009="I"),-1,1)</f>
        <v>1688.25</v>
      </c>
      <c r="AO1009" s="853" t="str">
        <f>+VLOOKUP($AJ1009,Data_Validation!$A:$D,1,0)</f>
        <v>G67303</v>
      </c>
      <c r="AP1009" s="853" t="str">
        <f>+VLOOKUP($AJ1009,Data_Validation!$A:$D,3,0)</f>
        <v>Carrosserie</v>
      </c>
      <c r="AQ1009" s="853" t="str">
        <f>+VLOOKUP($AJ1009,Data_Validation!$A:$D,4,0)</f>
        <v>Carrosserie Interne</v>
      </c>
      <c r="AR1009" s="853" t="s">
        <v>728</v>
      </c>
      <c r="AS1009" s="853" t="str">
        <f>+VLOOKUP($AJ1009,Data_Validation!$A:$E,5,0)</f>
        <v/>
      </c>
      <c r="AT1009" s="794" t="str">
        <f t="shared" ref="AT1009:AU1009" si="2016">C1009</f>
        <v>G67303</v>
      </c>
      <c r="AU1009" s="854" t="str">
        <f t="shared" si="2016"/>
        <v>COUT-M.D. PEINTURE INT.</v>
      </c>
      <c r="AV1009" s="794">
        <f t="array" ref="AV1009">IFERROR(INDEX(V1009:AG1009,1,MATCH(Parametres!$B$3,V$1:AG$1,0)-1)*IF(OR(C1009="L",C1009="S",C1009="I"),-1,1),"")</f>
        <v>0</v>
      </c>
      <c r="AW1009" s="794">
        <f t="shared" si="6"/>
        <v>0</v>
      </c>
      <c r="AX1009" s="794">
        <f t="array" ref="AX1009">INDEX(V1009:AG1009,1,MATCH(Parametres!$B$3,V$1:AG$1,0))*IF(OR(C1009="L",C1009="S",C1009="I"),-1,1)</f>
        <v>0</v>
      </c>
      <c r="AY1009" s="853" t="s">
        <v>772</v>
      </c>
      <c r="AZ1009" s="853" t="str">
        <f>+VLOOKUP($AJ1009,Data_Validation!$A:$E,5,0)</f>
        <v/>
      </c>
    </row>
    <row r="1010" ht="15.0" customHeight="1">
      <c r="A1010" s="849" t="s">
        <v>1239</v>
      </c>
      <c r="B1010" s="849">
        <v>2026.0</v>
      </c>
      <c r="C1010" s="849" t="s">
        <v>1152</v>
      </c>
      <c r="D1010" s="849" t="s">
        <v>3209</v>
      </c>
      <c r="E1010" s="849" t="s">
        <v>768</v>
      </c>
      <c r="F1010" s="849" t="s">
        <v>2855</v>
      </c>
      <c r="G1010" s="849">
        <v>0.0</v>
      </c>
      <c r="H1010" s="849">
        <v>0.0</v>
      </c>
      <c r="I1010" s="849">
        <v>0.0</v>
      </c>
      <c r="J1010" s="849">
        <v>0.0</v>
      </c>
      <c r="K1010" s="849">
        <v>0.0</v>
      </c>
      <c r="L1010" s="849">
        <v>0.0</v>
      </c>
      <c r="M1010" s="849">
        <v>0.0</v>
      </c>
      <c r="N1010" s="849">
        <v>0.0</v>
      </c>
      <c r="O1010" s="849">
        <v>750.23</v>
      </c>
      <c r="P1010" s="849">
        <v>750.23</v>
      </c>
      <c r="Q1010" s="849">
        <v>0.0</v>
      </c>
      <c r="R1010" s="849">
        <v>0.0</v>
      </c>
      <c r="S1010" s="849">
        <v>83.36</v>
      </c>
      <c r="T1010" s="849">
        <v>83.36</v>
      </c>
      <c r="U1010" s="849">
        <v>0.0</v>
      </c>
      <c r="V1010" s="849">
        <v>0.0</v>
      </c>
      <c r="W1010" s="849">
        <v>0.0</v>
      </c>
      <c r="X1010" s="849">
        <v>0.0</v>
      </c>
      <c r="Y1010" s="849">
        <v>0.0</v>
      </c>
      <c r="Z1010" s="849">
        <v>0.0</v>
      </c>
      <c r="AA1010" s="849">
        <v>0.0</v>
      </c>
      <c r="AB1010" s="849">
        <v>0.0</v>
      </c>
      <c r="AC1010" s="849">
        <v>0.0</v>
      </c>
      <c r="AD1010" s="849">
        <v>0.0</v>
      </c>
      <c r="AE1010" s="849">
        <v>0.0</v>
      </c>
      <c r="AF1010" s="849">
        <v>0.0</v>
      </c>
      <c r="AG1010" s="849">
        <v>0.0</v>
      </c>
      <c r="AH1010" s="849">
        <v>0.0</v>
      </c>
      <c r="AI1010" s="849">
        <v>0.0</v>
      </c>
      <c r="AJ1010" s="794" t="str">
        <f t="shared" ref="AJ1010:AK1010" si="2017">C1010</f>
        <v>G67313</v>
      </c>
      <c r="AK1010" s="794" t="str">
        <f t="shared" si="2017"/>
        <v>COUT -M.O MEC INTERN-BODY</v>
      </c>
      <c r="AL1010" s="794">
        <f t="array" ref="AL1010">IFERROR(INDEX(G1010:R1010,1,MATCH(Parametres!$B$3,G$1:R$1,0)-1)*IF(OR(F1010="L",F1010="S",F1010="I"),-1,1),"")</f>
        <v>0</v>
      </c>
      <c r="AM1010" s="794">
        <f t="shared" si="4"/>
        <v>750.23</v>
      </c>
      <c r="AN1010" s="794">
        <f t="array" ref="AN1010">INDEX(G1010:R1010,1,MATCH(Parametres!$B$3,G$1:R$1,0))*IF(OR(F1010="L",F1010="S",F1010="I"),-1,1)</f>
        <v>750.23</v>
      </c>
      <c r="AO1010" s="853" t="str">
        <f>+VLOOKUP($AJ1010,Data_Validation!$A:$D,1,0)</f>
        <v>G67313</v>
      </c>
      <c r="AP1010" s="853" t="str">
        <f>+VLOOKUP($AJ1010,Data_Validation!$A:$D,3,0)</f>
        <v>Carrosserie</v>
      </c>
      <c r="AQ1010" s="853" t="str">
        <f>+VLOOKUP($AJ1010,Data_Validation!$A:$D,4,0)</f>
        <v>Carrosserie Interne</v>
      </c>
      <c r="AR1010" s="853" t="s">
        <v>728</v>
      </c>
      <c r="AS1010" s="853" t="str">
        <f>+VLOOKUP($AJ1010,Data_Validation!$A:$E,5,0)</f>
        <v/>
      </c>
      <c r="AT1010" s="794" t="str">
        <f t="shared" ref="AT1010:AU1010" si="2018">C1010</f>
        <v>G67313</v>
      </c>
      <c r="AU1010" s="854" t="str">
        <f t="shared" si="2018"/>
        <v>COUT -M.O MEC INTERN-BODY</v>
      </c>
      <c r="AV1010" s="794">
        <f t="array" ref="AV1010">IFERROR(INDEX(V1010:AG1010,1,MATCH(Parametres!$B$3,V$1:AG$1,0)-1)*IF(OR(C1010="L",C1010="S",C1010="I"),-1,1),"")</f>
        <v>0</v>
      </c>
      <c r="AW1010" s="794">
        <f t="shared" si="6"/>
        <v>0</v>
      </c>
      <c r="AX1010" s="794">
        <f t="array" ref="AX1010">INDEX(V1010:AG1010,1,MATCH(Parametres!$B$3,V$1:AG$1,0))*IF(OR(C1010="L",C1010="S",C1010="I"),-1,1)</f>
        <v>0</v>
      </c>
      <c r="AY1010" s="853" t="s">
        <v>772</v>
      </c>
      <c r="AZ1010" s="853" t="str">
        <f>+VLOOKUP($AJ1010,Data_Validation!$A:$E,5,0)</f>
        <v/>
      </c>
    </row>
    <row r="1011" ht="15.0" customHeight="1">
      <c r="A1011" s="849" t="s">
        <v>1239</v>
      </c>
      <c r="B1011" s="849">
        <v>2026.0</v>
      </c>
      <c r="C1011" s="849" t="s">
        <v>1196</v>
      </c>
      <c r="D1011" s="849" t="s">
        <v>3210</v>
      </c>
      <c r="E1011" s="849" t="s">
        <v>768</v>
      </c>
      <c r="F1011" s="849" t="s">
        <v>2855</v>
      </c>
      <c r="G1011" s="849">
        <v>-2076.17</v>
      </c>
      <c r="H1011" s="849">
        <v>1683.98</v>
      </c>
      <c r="I1011" s="849">
        <v>6440.11</v>
      </c>
      <c r="J1011" s="849">
        <v>10406.6</v>
      </c>
      <c r="K1011" s="849">
        <v>13512.44</v>
      </c>
      <c r="L1011" s="849">
        <v>14653.47</v>
      </c>
      <c r="M1011" s="849">
        <v>15667.64</v>
      </c>
      <c r="N1011" s="849">
        <v>17178.51</v>
      </c>
      <c r="O1011" s="849">
        <v>17178.51</v>
      </c>
      <c r="P1011" s="849">
        <v>17178.51</v>
      </c>
      <c r="Q1011" s="849">
        <v>0.0</v>
      </c>
      <c r="R1011" s="849">
        <v>0.0</v>
      </c>
      <c r="S1011" s="849">
        <v>1908.72</v>
      </c>
      <c r="T1011" s="849">
        <v>1908.72</v>
      </c>
      <c r="U1011" s="849">
        <v>0.0</v>
      </c>
      <c r="V1011" s="849">
        <v>0.0</v>
      </c>
      <c r="W1011" s="849">
        <v>0.0</v>
      </c>
      <c r="X1011" s="849">
        <v>0.0</v>
      </c>
      <c r="Y1011" s="849">
        <v>0.0</v>
      </c>
      <c r="Z1011" s="849">
        <v>0.0</v>
      </c>
      <c r="AA1011" s="849">
        <v>0.0</v>
      </c>
      <c r="AB1011" s="849">
        <v>0.0</v>
      </c>
      <c r="AC1011" s="849">
        <v>0.0</v>
      </c>
      <c r="AD1011" s="849">
        <v>0.0</v>
      </c>
      <c r="AE1011" s="849">
        <v>0.0</v>
      </c>
      <c r="AF1011" s="849">
        <v>0.0</v>
      </c>
      <c r="AG1011" s="849">
        <v>0.0</v>
      </c>
      <c r="AH1011" s="849">
        <v>0.0</v>
      </c>
      <c r="AI1011" s="849">
        <v>0.0</v>
      </c>
      <c r="AJ1011" s="794" t="str">
        <f t="shared" ref="AJ1011:AK1011" si="2019">C1011</f>
        <v>G67500</v>
      </c>
      <c r="AK1011" s="794" t="str">
        <f t="shared" si="2019"/>
        <v>TEMPS PERDU CARROSSERIE</v>
      </c>
      <c r="AL1011" s="794">
        <f t="array" ref="AL1011">IFERROR(INDEX(G1011:R1011,1,MATCH(Parametres!$B$3,G$1:R$1,0)-1)*IF(OR(F1011="L",F1011="S",F1011="I"),-1,1),"")</f>
        <v>17178.51</v>
      </c>
      <c r="AM1011" s="794">
        <f t="shared" si="4"/>
        <v>0</v>
      </c>
      <c r="AN1011" s="794">
        <f t="array" ref="AN1011">INDEX(G1011:R1011,1,MATCH(Parametres!$B$3,G$1:R$1,0))*IF(OR(F1011="L",F1011="S",F1011="I"),-1,1)</f>
        <v>17178.51</v>
      </c>
      <c r="AO1011" s="853" t="str">
        <f>+VLOOKUP($AJ1011,Data_Validation!$A:$D,1,0)</f>
        <v>G67500</v>
      </c>
      <c r="AP1011" s="853" t="str">
        <f>+VLOOKUP($AJ1011,Data_Validation!$A:$D,3,0)</f>
        <v>Carrosserie</v>
      </c>
      <c r="AQ1011" s="853" t="str">
        <f>+VLOOKUP($AJ1011,Data_Validation!$A:$D,4,0)</f>
        <v>Ajustement M/O Carrosserie</v>
      </c>
      <c r="AR1011" s="853" t="s">
        <v>728</v>
      </c>
      <c r="AS1011" s="853" t="str">
        <f>+VLOOKUP($AJ1011,Data_Validation!$A:$E,5,0)</f>
        <v/>
      </c>
      <c r="AT1011" s="794" t="str">
        <f t="shared" ref="AT1011:AU1011" si="2020">C1011</f>
        <v>G67500</v>
      </c>
      <c r="AU1011" s="854" t="str">
        <f t="shared" si="2020"/>
        <v>TEMPS PERDU CARROSSERIE</v>
      </c>
      <c r="AV1011" s="794">
        <f t="array" ref="AV1011">IFERROR(INDEX(V1011:AG1011,1,MATCH(Parametres!$B$3,V$1:AG$1,0)-1)*IF(OR(C1011="L",C1011="S",C1011="I"),-1,1),"")</f>
        <v>0</v>
      </c>
      <c r="AW1011" s="794">
        <f t="shared" si="6"/>
        <v>0</v>
      </c>
      <c r="AX1011" s="794">
        <f t="array" ref="AX1011">INDEX(V1011:AG1011,1,MATCH(Parametres!$B$3,V$1:AG$1,0))*IF(OR(C1011="L",C1011="S",C1011="I"),-1,1)</f>
        <v>0</v>
      </c>
      <c r="AY1011" s="853" t="s">
        <v>772</v>
      </c>
      <c r="AZ1011" s="853" t="str">
        <f>+VLOOKUP($AJ1011,Data_Validation!$A:$E,5,0)</f>
        <v/>
      </c>
    </row>
    <row r="1012" ht="15.0" customHeight="1">
      <c r="A1012" s="849" t="s">
        <v>1239</v>
      </c>
      <c r="B1012" s="849">
        <v>2026.0</v>
      </c>
      <c r="C1012" s="849" t="s">
        <v>1140</v>
      </c>
      <c r="D1012" s="849" t="s">
        <v>3211</v>
      </c>
      <c r="E1012" s="849" t="s">
        <v>768</v>
      </c>
      <c r="F1012" s="849" t="s">
        <v>2855</v>
      </c>
      <c r="G1012" s="849">
        <v>72114.69</v>
      </c>
      <c r="H1012" s="849">
        <v>142583.76</v>
      </c>
      <c r="I1012" s="849">
        <v>197462.96</v>
      </c>
      <c r="J1012" s="849">
        <v>229534.23</v>
      </c>
      <c r="K1012" s="849">
        <v>255722.15</v>
      </c>
      <c r="L1012" s="849">
        <v>293738.59</v>
      </c>
      <c r="M1012" s="849">
        <v>329272.23</v>
      </c>
      <c r="N1012" s="849">
        <v>360496.79</v>
      </c>
      <c r="O1012" s="849">
        <v>410409.53</v>
      </c>
      <c r="P1012" s="849">
        <v>424127.39</v>
      </c>
      <c r="Q1012" s="849">
        <v>0.0</v>
      </c>
      <c r="R1012" s="849">
        <v>0.0</v>
      </c>
      <c r="S1012" s="849">
        <v>45601.06</v>
      </c>
      <c r="T1012" s="849">
        <v>45601.06</v>
      </c>
      <c r="U1012" s="849">
        <v>0.0</v>
      </c>
      <c r="V1012" s="849">
        <v>0.0</v>
      </c>
      <c r="W1012" s="849">
        <v>0.0</v>
      </c>
      <c r="X1012" s="849">
        <v>0.0</v>
      </c>
      <c r="Y1012" s="849">
        <v>0.0</v>
      </c>
      <c r="Z1012" s="849">
        <v>0.0</v>
      </c>
      <c r="AA1012" s="849">
        <v>0.0</v>
      </c>
      <c r="AB1012" s="849">
        <v>0.0</v>
      </c>
      <c r="AC1012" s="849">
        <v>0.0</v>
      </c>
      <c r="AD1012" s="849">
        <v>0.0</v>
      </c>
      <c r="AE1012" s="849">
        <v>0.0</v>
      </c>
      <c r="AF1012" s="849">
        <v>0.0</v>
      </c>
      <c r="AG1012" s="849">
        <v>0.0</v>
      </c>
      <c r="AH1012" s="849">
        <v>0.0</v>
      </c>
      <c r="AI1012" s="849">
        <v>0.0</v>
      </c>
      <c r="AJ1012" s="794" t="str">
        <f t="shared" ref="AJ1012:AK1012" si="2021">C1012</f>
        <v>G67600</v>
      </c>
      <c r="AK1012" s="794" t="str">
        <f t="shared" si="2021"/>
        <v>COUT-REP.SOUS-TRAIT.BODY</v>
      </c>
      <c r="AL1012" s="794">
        <f t="array" ref="AL1012">IFERROR(INDEX(G1012:R1012,1,MATCH(Parametres!$B$3,G$1:R$1,0)-1)*IF(OR(F1012="L",F1012="S",F1012="I"),-1,1),"")</f>
        <v>360496.79</v>
      </c>
      <c r="AM1012" s="794">
        <f t="shared" si="4"/>
        <v>49912.74</v>
      </c>
      <c r="AN1012" s="794">
        <f t="array" ref="AN1012">INDEX(G1012:R1012,1,MATCH(Parametres!$B$3,G$1:R$1,0))*IF(OR(F1012="L",F1012="S",F1012="I"),-1,1)</f>
        <v>410409.53</v>
      </c>
      <c r="AO1012" s="853" t="str">
        <f>+VLOOKUP($AJ1012,Data_Validation!$A:$D,1,0)</f>
        <v>G67600</v>
      </c>
      <c r="AP1012" s="853" t="str">
        <f>+VLOOKUP($AJ1012,Data_Validation!$A:$D,3,0)</f>
        <v>Carrosserie</v>
      </c>
      <c r="AQ1012" s="853" t="str">
        <f>+VLOOKUP($AJ1012,Data_Validation!$A:$D,4,0)</f>
        <v>Carrosserie Clients</v>
      </c>
      <c r="AR1012" s="853" t="s">
        <v>728</v>
      </c>
      <c r="AS1012" s="853" t="str">
        <f>+VLOOKUP($AJ1012,Data_Validation!$A:$E,5,0)</f>
        <v/>
      </c>
      <c r="AT1012" s="794" t="str">
        <f t="shared" ref="AT1012:AU1012" si="2022">C1012</f>
        <v>G67600</v>
      </c>
      <c r="AU1012" s="854" t="str">
        <f t="shared" si="2022"/>
        <v>COUT-REP.SOUS-TRAIT.BODY</v>
      </c>
      <c r="AV1012" s="794">
        <f t="array" ref="AV1012">IFERROR(INDEX(V1012:AG1012,1,MATCH(Parametres!$B$3,V$1:AG$1,0)-1)*IF(OR(C1012="L",C1012="S",C1012="I"),-1,1),"")</f>
        <v>0</v>
      </c>
      <c r="AW1012" s="794">
        <f t="shared" si="6"/>
        <v>0</v>
      </c>
      <c r="AX1012" s="794">
        <f t="array" ref="AX1012">INDEX(V1012:AG1012,1,MATCH(Parametres!$B$3,V$1:AG$1,0))*IF(OR(C1012="L",C1012="S",C1012="I"),-1,1)</f>
        <v>0</v>
      </c>
      <c r="AY1012" s="853" t="s">
        <v>772</v>
      </c>
      <c r="AZ1012" s="853" t="str">
        <f>+VLOOKUP($AJ1012,Data_Validation!$A:$E,5,0)</f>
        <v/>
      </c>
    </row>
    <row r="1013" ht="15.0" customHeight="1">
      <c r="A1013" s="849" t="s">
        <v>1239</v>
      </c>
      <c r="B1013" s="849">
        <v>2026.0</v>
      </c>
      <c r="C1013" s="849" t="s">
        <v>1164</v>
      </c>
      <c r="D1013" s="849" t="s">
        <v>3212</v>
      </c>
      <c r="E1013" s="849" t="s">
        <v>768</v>
      </c>
      <c r="F1013" s="849" t="s">
        <v>2855</v>
      </c>
      <c r="G1013" s="849">
        <v>0.0</v>
      </c>
      <c r="H1013" s="849">
        <v>0.0</v>
      </c>
      <c r="I1013" s="849">
        <v>0.0</v>
      </c>
      <c r="J1013" s="849">
        <v>0.0</v>
      </c>
      <c r="K1013" s="849">
        <v>0.0</v>
      </c>
      <c r="L1013" s="849">
        <v>0.0</v>
      </c>
      <c r="M1013" s="849">
        <v>0.0</v>
      </c>
      <c r="N1013" s="849">
        <v>0.0</v>
      </c>
      <c r="O1013" s="849">
        <v>0.0</v>
      </c>
      <c r="P1013" s="849">
        <v>0.0</v>
      </c>
      <c r="Q1013" s="849">
        <v>0.0</v>
      </c>
      <c r="R1013" s="849">
        <v>0.0</v>
      </c>
      <c r="S1013" s="849">
        <v>0.0</v>
      </c>
      <c r="T1013" s="849">
        <v>0.0</v>
      </c>
      <c r="U1013" s="849">
        <v>0.0</v>
      </c>
      <c r="V1013" s="849">
        <v>0.0</v>
      </c>
      <c r="W1013" s="849">
        <v>0.0</v>
      </c>
      <c r="X1013" s="849">
        <v>0.0</v>
      </c>
      <c r="Y1013" s="849">
        <v>0.0</v>
      </c>
      <c r="Z1013" s="849">
        <v>0.0</v>
      </c>
      <c r="AA1013" s="849">
        <v>0.0</v>
      </c>
      <c r="AB1013" s="849">
        <v>0.0</v>
      </c>
      <c r="AC1013" s="849">
        <v>0.0</v>
      </c>
      <c r="AD1013" s="849">
        <v>0.0</v>
      </c>
      <c r="AE1013" s="849">
        <v>0.0</v>
      </c>
      <c r="AF1013" s="849">
        <v>0.0</v>
      </c>
      <c r="AG1013" s="849">
        <v>0.0</v>
      </c>
      <c r="AH1013" s="849">
        <v>0.0</v>
      </c>
      <c r="AI1013" s="849">
        <v>0.0</v>
      </c>
      <c r="AJ1013" s="794" t="str">
        <f t="shared" ref="AJ1013:AK1013" si="2023">C1013</f>
        <v>G67603</v>
      </c>
      <c r="AK1013" s="794" t="str">
        <f t="shared" si="2023"/>
        <v>COUT - S.T. INTERN-BODY</v>
      </c>
      <c r="AL1013" s="794">
        <f t="array" ref="AL1013">IFERROR(INDEX(G1013:R1013,1,MATCH(Parametres!$B$3,G$1:R$1,0)-1)*IF(OR(F1013="L",F1013="S",F1013="I"),-1,1),"")</f>
        <v>0</v>
      </c>
      <c r="AM1013" s="794">
        <f t="shared" si="4"/>
        <v>0</v>
      </c>
      <c r="AN1013" s="794">
        <f t="array" ref="AN1013">INDEX(G1013:R1013,1,MATCH(Parametres!$B$3,G$1:R$1,0))*IF(OR(F1013="L",F1013="S",F1013="I"),-1,1)</f>
        <v>0</v>
      </c>
      <c r="AO1013" s="853" t="str">
        <f>+VLOOKUP($AJ1013,Data_Validation!$A:$D,1,0)</f>
        <v>G67603</v>
      </c>
      <c r="AP1013" s="853" t="str">
        <f>+VLOOKUP($AJ1013,Data_Validation!$A:$D,3,0)</f>
        <v>Carrosserie</v>
      </c>
      <c r="AQ1013" s="853" t="str">
        <f>+VLOOKUP($AJ1013,Data_Validation!$A:$D,4,0)</f>
        <v>Carrosserie Interne</v>
      </c>
      <c r="AR1013" s="853" t="s">
        <v>728</v>
      </c>
      <c r="AS1013" s="853" t="str">
        <f>+VLOOKUP($AJ1013,Data_Validation!$A:$E,5,0)</f>
        <v/>
      </c>
      <c r="AT1013" s="794" t="str">
        <f t="shared" ref="AT1013:AU1013" si="2024">C1013</f>
        <v>G67603</v>
      </c>
      <c r="AU1013" s="854" t="str">
        <f t="shared" si="2024"/>
        <v>COUT - S.T. INTERN-BODY</v>
      </c>
      <c r="AV1013" s="794">
        <f t="array" ref="AV1013">IFERROR(INDEX(V1013:AG1013,1,MATCH(Parametres!$B$3,V$1:AG$1,0)-1)*IF(OR(C1013="L",C1013="S",C1013="I"),-1,1),"")</f>
        <v>0</v>
      </c>
      <c r="AW1013" s="794">
        <f t="shared" si="6"/>
        <v>0</v>
      </c>
      <c r="AX1013" s="794">
        <f t="array" ref="AX1013">INDEX(V1013:AG1013,1,MATCH(Parametres!$B$3,V$1:AG$1,0))*IF(OR(C1013="L",C1013="S",C1013="I"),-1,1)</f>
        <v>0</v>
      </c>
      <c r="AY1013" s="853" t="s">
        <v>772</v>
      </c>
      <c r="AZ1013" s="853" t="str">
        <f>+VLOOKUP($AJ1013,Data_Validation!$A:$E,5,0)</f>
        <v/>
      </c>
    </row>
    <row r="1014" ht="15.0" customHeight="1">
      <c r="A1014" s="849" t="s">
        <v>1239</v>
      </c>
      <c r="B1014" s="849">
        <v>2026.0</v>
      </c>
      <c r="C1014" s="849" t="s">
        <v>1190</v>
      </c>
      <c r="D1014" s="849" t="s">
        <v>3213</v>
      </c>
      <c r="E1014" s="849" t="s">
        <v>768</v>
      </c>
      <c r="F1014" s="849" t="s">
        <v>2855</v>
      </c>
      <c r="G1014" s="849">
        <v>0.0</v>
      </c>
      <c r="H1014" s="849">
        <v>0.0</v>
      </c>
      <c r="I1014" s="849">
        <v>0.0</v>
      </c>
      <c r="J1014" s="849">
        <v>0.0</v>
      </c>
      <c r="K1014" s="849">
        <v>5087.09</v>
      </c>
      <c r="L1014" s="849">
        <v>5357.09</v>
      </c>
      <c r="M1014" s="849">
        <v>6017.09</v>
      </c>
      <c r="N1014" s="849">
        <v>6182.09</v>
      </c>
      <c r="O1014" s="849">
        <v>7012.09</v>
      </c>
      <c r="P1014" s="849">
        <v>7012.09</v>
      </c>
      <c r="Q1014" s="849">
        <v>0.0</v>
      </c>
      <c r="R1014" s="849">
        <v>0.0</v>
      </c>
      <c r="S1014" s="849">
        <v>779.12</v>
      </c>
      <c r="T1014" s="849">
        <v>779.12</v>
      </c>
      <c r="U1014" s="849">
        <v>0.0</v>
      </c>
      <c r="V1014" s="849">
        <v>0.0</v>
      </c>
      <c r="W1014" s="849">
        <v>0.0</v>
      </c>
      <c r="X1014" s="849">
        <v>0.0</v>
      </c>
      <c r="Y1014" s="849">
        <v>0.0</v>
      </c>
      <c r="Z1014" s="849">
        <v>0.0</v>
      </c>
      <c r="AA1014" s="849">
        <v>0.0</v>
      </c>
      <c r="AB1014" s="849">
        <v>0.0</v>
      </c>
      <c r="AC1014" s="849">
        <v>0.0</v>
      </c>
      <c r="AD1014" s="849">
        <v>0.0</v>
      </c>
      <c r="AE1014" s="849">
        <v>0.0</v>
      </c>
      <c r="AF1014" s="849">
        <v>0.0</v>
      </c>
      <c r="AG1014" s="849">
        <v>0.0</v>
      </c>
      <c r="AH1014" s="849">
        <v>0.0</v>
      </c>
      <c r="AI1014" s="849">
        <v>0.0</v>
      </c>
      <c r="AJ1014" s="794" t="str">
        <f t="shared" ref="AJ1014:AK1014" si="2025">C1014</f>
        <v>G67605</v>
      </c>
      <c r="AK1014" s="794" t="str">
        <f t="shared" si="2025"/>
        <v>COUT -S.T CONCES. BODY</v>
      </c>
      <c r="AL1014" s="794">
        <f t="array" ref="AL1014">IFERROR(INDEX(G1014:R1014,1,MATCH(Parametres!$B$3,G$1:R$1,0)-1)*IF(OR(F1014="L",F1014="S",F1014="I"),-1,1),"")</f>
        <v>6182.09</v>
      </c>
      <c r="AM1014" s="794">
        <f t="shared" si="4"/>
        <v>830</v>
      </c>
      <c r="AN1014" s="794">
        <f t="array" ref="AN1014">INDEX(G1014:R1014,1,MATCH(Parametres!$B$3,G$1:R$1,0))*IF(OR(F1014="L",F1014="S",F1014="I"),-1,1)</f>
        <v>7012.09</v>
      </c>
      <c r="AO1014" s="853" t="str">
        <f>+VLOOKUP($AJ1014,Data_Validation!$A:$D,1,0)</f>
        <v>G67605</v>
      </c>
      <c r="AP1014" s="853" t="str">
        <f>+VLOOKUP($AJ1014,Data_Validation!$A:$D,3,0)</f>
        <v>Carrosserie</v>
      </c>
      <c r="AQ1014" s="853" t="str">
        <f>+VLOOKUP($AJ1014,Data_Validation!$A:$D,4,0)</f>
        <v>Carrosserie Concessions</v>
      </c>
      <c r="AR1014" s="853" t="s">
        <v>728</v>
      </c>
      <c r="AS1014" s="853" t="str">
        <f>+VLOOKUP($AJ1014,Data_Validation!$A:$E,5,0)</f>
        <v/>
      </c>
      <c r="AT1014" s="794" t="str">
        <f t="shared" ref="AT1014:AU1014" si="2026">C1014</f>
        <v>G67605</v>
      </c>
      <c r="AU1014" s="854" t="str">
        <f t="shared" si="2026"/>
        <v>COUT -S.T CONCES. BODY</v>
      </c>
      <c r="AV1014" s="794">
        <f t="array" ref="AV1014">IFERROR(INDEX(V1014:AG1014,1,MATCH(Parametres!$B$3,V$1:AG$1,0)-1)*IF(OR(C1014="L",C1014="S",C1014="I"),-1,1),"")</f>
        <v>0</v>
      </c>
      <c r="AW1014" s="794">
        <f t="shared" si="6"/>
        <v>0</v>
      </c>
      <c r="AX1014" s="794">
        <f t="array" ref="AX1014">INDEX(V1014:AG1014,1,MATCH(Parametres!$B$3,V$1:AG$1,0))*IF(OR(C1014="L",C1014="S",C1014="I"),-1,1)</f>
        <v>0</v>
      </c>
      <c r="AY1014" s="853" t="s">
        <v>772</v>
      </c>
      <c r="AZ1014" s="853" t="str">
        <f>+VLOOKUP($AJ1014,Data_Validation!$A:$E,5,0)</f>
        <v/>
      </c>
    </row>
    <row r="1015" ht="15.0" customHeight="1">
      <c r="A1015" s="849" t="s">
        <v>1239</v>
      </c>
      <c r="B1015" s="849">
        <v>2026.0</v>
      </c>
      <c r="C1015" s="849" t="s">
        <v>1131</v>
      </c>
      <c r="D1015" s="849" t="s">
        <v>3214</v>
      </c>
      <c r="E1015" s="849" t="s">
        <v>768</v>
      </c>
      <c r="F1015" s="849" t="s">
        <v>2855</v>
      </c>
      <c r="G1015" s="849">
        <v>0.0</v>
      </c>
      <c r="H1015" s="849">
        <v>0.0</v>
      </c>
      <c r="I1015" s="849">
        <v>0.0</v>
      </c>
      <c r="J1015" s="849">
        <v>0.0</v>
      </c>
      <c r="K1015" s="849">
        <v>0.0</v>
      </c>
      <c r="L1015" s="849">
        <v>0.0</v>
      </c>
      <c r="M1015" s="849">
        <v>0.0</v>
      </c>
      <c r="N1015" s="849">
        <v>0.0</v>
      </c>
      <c r="O1015" s="849">
        <v>0.0</v>
      </c>
      <c r="P1015" s="849">
        <v>0.0</v>
      </c>
      <c r="Q1015" s="849">
        <v>0.0</v>
      </c>
      <c r="R1015" s="849">
        <v>0.0</v>
      </c>
      <c r="S1015" s="849">
        <v>0.0</v>
      </c>
      <c r="T1015" s="849">
        <v>0.0</v>
      </c>
      <c r="U1015" s="849">
        <v>0.0</v>
      </c>
      <c r="V1015" s="849">
        <v>0.0</v>
      </c>
      <c r="W1015" s="849">
        <v>0.0</v>
      </c>
      <c r="X1015" s="849">
        <v>0.0</v>
      </c>
      <c r="Y1015" s="849">
        <v>0.0</v>
      </c>
      <c r="Z1015" s="849">
        <v>0.0</v>
      </c>
      <c r="AA1015" s="849">
        <v>0.0</v>
      </c>
      <c r="AB1015" s="849">
        <v>0.0</v>
      </c>
      <c r="AC1015" s="849">
        <v>0.0</v>
      </c>
      <c r="AD1015" s="849">
        <v>0.0</v>
      </c>
      <c r="AE1015" s="849">
        <v>0.0</v>
      </c>
      <c r="AF1015" s="849">
        <v>0.0</v>
      </c>
      <c r="AG1015" s="849">
        <v>0.0</v>
      </c>
      <c r="AH1015" s="849">
        <v>0.0</v>
      </c>
      <c r="AI1015" s="849">
        <v>0.0</v>
      </c>
      <c r="AJ1015" s="794" t="str">
        <f t="shared" ref="AJ1015:AK1015" si="2027">C1015</f>
        <v>G67610</v>
      </c>
      <c r="AK1015" s="794" t="str">
        <f t="shared" si="2027"/>
        <v>COUT-PCS.S-T BODY -CLIENT</v>
      </c>
      <c r="AL1015" s="794">
        <f t="array" ref="AL1015">IFERROR(INDEX(G1015:R1015,1,MATCH(Parametres!$B$3,G$1:R$1,0)-1)*IF(OR(F1015="L",F1015="S",F1015="I"),-1,1),"")</f>
        <v>0</v>
      </c>
      <c r="AM1015" s="794">
        <f t="shared" si="4"/>
        <v>0</v>
      </c>
      <c r="AN1015" s="794">
        <f t="array" ref="AN1015">INDEX(G1015:R1015,1,MATCH(Parametres!$B$3,G$1:R$1,0))*IF(OR(F1015="L",F1015="S",F1015="I"),-1,1)</f>
        <v>0</v>
      </c>
      <c r="AO1015" s="853" t="str">
        <f>+VLOOKUP($AJ1015,Data_Validation!$A:$D,1,0)</f>
        <v>G67610</v>
      </c>
      <c r="AP1015" s="853" t="str">
        <f>+VLOOKUP($AJ1015,Data_Validation!$A:$D,3,0)</f>
        <v>Carrosserie</v>
      </c>
      <c r="AQ1015" s="853" t="str">
        <f>+VLOOKUP($AJ1015,Data_Validation!$A:$D,4,0)</f>
        <v>Carrosserie Clients</v>
      </c>
      <c r="AR1015" s="853" t="s">
        <v>728</v>
      </c>
      <c r="AS1015" s="853" t="str">
        <f>+VLOOKUP($AJ1015,Data_Validation!$A:$E,5,0)</f>
        <v/>
      </c>
      <c r="AT1015" s="794" t="str">
        <f t="shared" ref="AT1015:AU1015" si="2028">C1015</f>
        <v>G67610</v>
      </c>
      <c r="AU1015" s="854" t="str">
        <f t="shared" si="2028"/>
        <v>COUT-PCS.S-T BODY -CLIENT</v>
      </c>
      <c r="AV1015" s="794">
        <f t="array" ref="AV1015">IFERROR(INDEX(V1015:AG1015,1,MATCH(Parametres!$B$3,V$1:AG$1,0)-1)*IF(OR(C1015="L",C1015="S",C1015="I"),-1,1),"")</f>
        <v>0</v>
      </c>
      <c r="AW1015" s="794">
        <f t="shared" si="6"/>
        <v>0</v>
      </c>
      <c r="AX1015" s="794">
        <f t="array" ref="AX1015">INDEX(V1015:AG1015,1,MATCH(Parametres!$B$3,V$1:AG$1,0))*IF(OR(C1015="L",C1015="S",C1015="I"),-1,1)</f>
        <v>0</v>
      </c>
      <c r="AY1015" s="853" t="s">
        <v>772</v>
      </c>
      <c r="AZ1015" s="853" t="str">
        <f>+VLOOKUP($AJ1015,Data_Validation!$A:$E,5,0)</f>
        <v/>
      </c>
    </row>
    <row r="1016" ht="15.0" customHeight="1">
      <c r="A1016" s="849" t="s">
        <v>1239</v>
      </c>
      <c r="B1016" s="849">
        <v>2026.0</v>
      </c>
      <c r="C1016" s="849" t="s">
        <v>1155</v>
      </c>
      <c r="D1016" s="849" t="s">
        <v>3215</v>
      </c>
      <c r="E1016" s="849" t="s">
        <v>768</v>
      </c>
      <c r="F1016" s="849" t="s">
        <v>2855</v>
      </c>
      <c r="G1016" s="849">
        <v>0.0</v>
      </c>
      <c r="H1016" s="849">
        <v>0.0</v>
      </c>
      <c r="I1016" s="849">
        <v>0.0</v>
      </c>
      <c r="J1016" s="849">
        <v>0.0</v>
      </c>
      <c r="K1016" s="849">
        <v>0.0</v>
      </c>
      <c r="L1016" s="849">
        <v>0.0</v>
      </c>
      <c r="M1016" s="849">
        <v>0.0</v>
      </c>
      <c r="N1016" s="849">
        <v>0.0</v>
      </c>
      <c r="O1016" s="849">
        <v>0.0</v>
      </c>
      <c r="P1016" s="849">
        <v>0.0</v>
      </c>
      <c r="Q1016" s="849">
        <v>0.0</v>
      </c>
      <c r="R1016" s="849">
        <v>0.0</v>
      </c>
      <c r="S1016" s="849">
        <v>0.0</v>
      </c>
      <c r="T1016" s="849">
        <v>0.0</v>
      </c>
      <c r="U1016" s="849">
        <v>0.0</v>
      </c>
      <c r="V1016" s="849">
        <v>0.0</v>
      </c>
      <c r="W1016" s="849">
        <v>0.0</v>
      </c>
      <c r="X1016" s="849">
        <v>0.0</v>
      </c>
      <c r="Y1016" s="849">
        <v>0.0</v>
      </c>
      <c r="Z1016" s="849">
        <v>0.0</v>
      </c>
      <c r="AA1016" s="849">
        <v>0.0</v>
      </c>
      <c r="AB1016" s="849">
        <v>0.0</v>
      </c>
      <c r="AC1016" s="849">
        <v>0.0</v>
      </c>
      <c r="AD1016" s="849">
        <v>0.0</v>
      </c>
      <c r="AE1016" s="849">
        <v>0.0</v>
      </c>
      <c r="AF1016" s="849">
        <v>0.0</v>
      </c>
      <c r="AG1016" s="849">
        <v>0.0</v>
      </c>
      <c r="AH1016" s="849">
        <v>0.0</v>
      </c>
      <c r="AI1016" s="849">
        <v>0.0</v>
      </c>
      <c r="AJ1016" s="794" t="str">
        <f t="shared" ref="AJ1016:AK1016" si="2029">C1016</f>
        <v>G67613</v>
      </c>
      <c r="AK1016" s="794" t="str">
        <f t="shared" si="2029"/>
        <v>COUT -PIECES INTERN -BODY</v>
      </c>
      <c r="AL1016" s="794">
        <f t="array" ref="AL1016">IFERROR(INDEX(G1016:R1016,1,MATCH(Parametres!$B$3,G$1:R$1,0)-1)*IF(OR(F1016="L",F1016="S",F1016="I"),-1,1),"")</f>
        <v>0</v>
      </c>
      <c r="AM1016" s="794">
        <f t="shared" si="4"/>
        <v>0</v>
      </c>
      <c r="AN1016" s="794">
        <f t="array" ref="AN1016">INDEX(G1016:R1016,1,MATCH(Parametres!$B$3,G$1:R$1,0))*IF(OR(F1016="L",F1016="S",F1016="I"),-1,1)</f>
        <v>0</v>
      </c>
      <c r="AO1016" s="853" t="str">
        <f>+VLOOKUP($AJ1016,Data_Validation!$A:$D,1,0)</f>
        <v>G67613</v>
      </c>
      <c r="AP1016" s="853" t="str">
        <f>+VLOOKUP($AJ1016,Data_Validation!$A:$D,3,0)</f>
        <v>Carrosserie</v>
      </c>
      <c r="AQ1016" s="853" t="str">
        <f>+VLOOKUP($AJ1016,Data_Validation!$A:$D,4,0)</f>
        <v>Carrosserie Interne</v>
      </c>
      <c r="AR1016" s="853" t="s">
        <v>728</v>
      </c>
      <c r="AS1016" s="853" t="str">
        <f>+VLOOKUP($AJ1016,Data_Validation!$A:$E,5,0)</f>
        <v/>
      </c>
      <c r="AT1016" s="794" t="str">
        <f t="shared" ref="AT1016:AU1016" si="2030">C1016</f>
        <v>G67613</v>
      </c>
      <c r="AU1016" s="854" t="str">
        <f t="shared" si="2030"/>
        <v>COUT -PIECES INTERN -BODY</v>
      </c>
      <c r="AV1016" s="794">
        <f t="array" ref="AV1016">IFERROR(INDEX(V1016:AG1016,1,MATCH(Parametres!$B$3,V$1:AG$1,0)-1)*IF(OR(C1016="L",C1016="S",C1016="I"),-1,1),"")</f>
        <v>0</v>
      </c>
      <c r="AW1016" s="794">
        <f t="shared" si="6"/>
        <v>0</v>
      </c>
      <c r="AX1016" s="794">
        <f t="array" ref="AX1016">INDEX(V1016:AG1016,1,MATCH(Parametres!$B$3,V$1:AG$1,0))*IF(OR(C1016="L",C1016="S",C1016="I"),-1,1)</f>
        <v>0</v>
      </c>
      <c r="AY1016" s="853" t="s">
        <v>772</v>
      </c>
      <c r="AZ1016" s="853" t="str">
        <f>+VLOOKUP($AJ1016,Data_Validation!$A:$E,5,0)</f>
        <v/>
      </c>
    </row>
    <row r="1017" ht="15.0" customHeight="1">
      <c r="A1017" s="849" t="s">
        <v>1239</v>
      </c>
      <c r="B1017" s="849">
        <v>2026.0</v>
      </c>
      <c r="C1017" s="849" t="s">
        <v>1181</v>
      </c>
      <c r="D1017" s="849" t="s">
        <v>3216</v>
      </c>
      <c r="E1017" s="849" t="s">
        <v>768</v>
      </c>
      <c r="F1017" s="849" t="s">
        <v>2855</v>
      </c>
      <c r="G1017" s="849">
        <v>0.0</v>
      </c>
      <c r="H1017" s="849">
        <v>0.0</v>
      </c>
      <c r="I1017" s="849">
        <v>0.0</v>
      </c>
      <c r="J1017" s="849">
        <v>0.0</v>
      </c>
      <c r="K1017" s="849">
        <v>0.0</v>
      </c>
      <c r="L1017" s="849">
        <v>0.0</v>
      </c>
      <c r="M1017" s="849">
        <v>0.0</v>
      </c>
      <c r="N1017" s="849">
        <v>0.0</v>
      </c>
      <c r="O1017" s="849">
        <v>0.0</v>
      </c>
      <c r="P1017" s="849">
        <v>0.0</v>
      </c>
      <c r="Q1017" s="849">
        <v>0.0</v>
      </c>
      <c r="R1017" s="849">
        <v>0.0</v>
      </c>
      <c r="S1017" s="849">
        <v>0.0</v>
      </c>
      <c r="T1017" s="849">
        <v>0.0</v>
      </c>
      <c r="U1017" s="849">
        <v>0.0</v>
      </c>
      <c r="V1017" s="849">
        <v>0.0</v>
      </c>
      <c r="W1017" s="849">
        <v>0.0</v>
      </c>
      <c r="X1017" s="849">
        <v>0.0</v>
      </c>
      <c r="Y1017" s="849">
        <v>0.0</v>
      </c>
      <c r="Z1017" s="849">
        <v>0.0</v>
      </c>
      <c r="AA1017" s="849">
        <v>0.0</v>
      </c>
      <c r="AB1017" s="849">
        <v>0.0</v>
      </c>
      <c r="AC1017" s="849">
        <v>0.0</v>
      </c>
      <c r="AD1017" s="849">
        <v>0.0</v>
      </c>
      <c r="AE1017" s="849">
        <v>0.0</v>
      </c>
      <c r="AF1017" s="849">
        <v>0.0</v>
      </c>
      <c r="AG1017" s="849">
        <v>0.0</v>
      </c>
      <c r="AH1017" s="849">
        <v>0.0</v>
      </c>
      <c r="AI1017" s="849">
        <v>0.0</v>
      </c>
      <c r="AJ1017" s="794" t="str">
        <f t="shared" ref="AJ1017:AK1017" si="2031">C1017</f>
        <v>G67615</v>
      </c>
      <c r="AK1017" s="794" t="str">
        <f t="shared" si="2031"/>
        <v>COUT - S-T PCS CONCES-BOD</v>
      </c>
      <c r="AL1017" s="794">
        <f t="array" ref="AL1017">IFERROR(INDEX(G1017:R1017,1,MATCH(Parametres!$B$3,G$1:R$1,0)-1)*IF(OR(F1017="L",F1017="S",F1017="I"),-1,1),"")</f>
        <v>0</v>
      </c>
      <c r="AM1017" s="794">
        <f t="shared" si="4"/>
        <v>0</v>
      </c>
      <c r="AN1017" s="794">
        <f t="array" ref="AN1017">INDEX(G1017:R1017,1,MATCH(Parametres!$B$3,G$1:R$1,0))*IF(OR(F1017="L",F1017="S",F1017="I"),-1,1)</f>
        <v>0</v>
      </c>
      <c r="AO1017" s="853" t="str">
        <f>+VLOOKUP($AJ1017,Data_Validation!$A:$D,1,0)</f>
        <v>G67615</v>
      </c>
      <c r="AP1017" s="853" t="str">
        <f>+VLOOKUP($AJ1017,Data_Validation!$A:$D,3,0)</f>
        <v>Carrosserie</v>
      </c>
      <c r="AQ1017" s="853" t="str">
        <f>+VLOOKUP($AJ1017,Data_Validation!$A:$D,4,0)</f>
        <v>Carrosserie Concessions</v>
      </c>
      <c r="AR1017" s="853" t="s">
        <v>728</v>
      </c>
      <c r="AS1017" s="853" t="str">
        <f>+VLOOKUP($AJ1017,Data_Validation!$A:$E,5,0)</f>
        <v/>
      </c>
      <c r="AT1017" s="794" t="str">
        <f t="shared" ref="AT1017:AU1017" si="2032">C1017</f>
        <v>G67615</v>
      </c>
      <c r="AU1017" s="854" t="str">
        <f t="shared" si="2032"/>
        <v>COUT - S-T PCS CONCES-BOD</v>
      </c>
      <c r="AV1017" s="794">
        <f t="array" ref="AV1017">IFERROR(INDEX(V1017:AG1017,1,MATCH(Parametres!$B$3,V$1:AG$1,0)-1)*IF(OR(C1017="L",C1017="S",C1017="I"),-1,1),"")</f>
        <v>0</v>
      </c>
      <c r="AW1017" s="794">
        <f t="shared" si="6"/>
        <v>0</v>
      </c>
      <c r="AX1017" s="794">
        <f t="array" ref="AX1017">INDEX(V1017:AG1017,1,MATCH(Parametres!$B$3,V$1:AG$1,0))*IF(OR(C1017="L",C1017="S",C1017="I"),-1,1)</f>
        <v>0</v>
      </c>
      <c r="AY1017" s="853" t="s">
        <v>772</v>
      </c>
      <c r="AZ1017" s="853" t="str">
        <f>+VLOOKUP($AJ1017,Data_Validation!$A:$E,5,0)</f>
        <v/>
      </c>
    </row>
    <row r="1018" ht="15.0" customHeight="1">
      <c r="A1018" s="849" t="s">
        <v>1239</v>
      </c>
      <c r="B1018" s="849">
        <v>2026.0</v>
      </c>
      <c r="C1018" s="849" t="s">
        <v>1143</v>
      </c>
      <c r="D1018" s="849" t="s">
        <v>3217</v>
      </c>
      <c r="E1018" s="849" t="s">
        <v>768</v>
      </c>
      <c r="F1018" s="849" t="s">
        <v>2855</v>
      </c>
      <c r="G1018" s="849">
        <v>0.0</v>
      </c>
      <c r="H1018" s="849">
        <v>0.0</v>
      </c>
      <c r="I1018" s="849">
        <v>0.0</v>
      </c>
      <c r="J1018" s="849">
        <v>0.0</v>
      </c>
      <c r="K1018" s="849">
        <v>0.0</v>
      </c>
      <c r="L1018" s="849">
        <v>1486.33</v>
      </c>
      <c r="M1018" s="849">
        <v>1486.33</v>
      </c>
      <c r="N1018" s="849">
        <v>1486.33</v>
      </c>
      <c r="O1018" s="849">
        <v>1486.33</v>
      </c>
      <c r="P1018" s="849">
        <v>1486.33</v>
      </c>
      <c r="Q1018" s="849">
        <v>0.0</v>
      </c>
      <c r="R1018" s="849">
        <v>0.0</v>
      </c>
      <c r="S1018" s="849">
        <v>165.15</v>
      </c>
      <c r="T1018" s="849">
        <v>165.15</v>
      </c>
      <c r="U1018" s="849">
        <v>0.0</v>
      </c>
      <c r="V1018" s="849">
        <v>0.0</v>
      </c>
      <c r="W1018" s="849">
        <v>0.0</v>
      </c>
      <c r="X1018" s="849">
        <v>0.0</v>
      </c>
      <c r="Y1018" s="849">
        <v>0.0</v>
      </c>
      <c r="Z1018" s="849">
        <v>0.0</v>
      </c>
      <c r="AA1018" s="849">
        <v>0.0</v>
      </c>
      <c r="AB1018" s="849">
        <v>0.0</v>
      </c>
      <c r="AC1018" s="849">
        <v>0.0</v>
      </c>
      <c r="AD1018" s="849">
        <v>0.0</v>
      </c>
      <c r="AE1018" s="849">
        <v>0.0</v>
      </c>
      <c r="AF1018" s="849">
        <v>0.0</v>
      </c>
      <c r="AG1018" s="849">
        <v>0.0</v>
      </c>
      <c r="AH1018" s="849">
        <v>0.0</v>
      </c>
      <c r="AI1018" s="849">
        <v>0.0</v>
      </c>
      <c r="AJ1018" s="794" t="str">
        <f t="shared" ref="AJ1018:AK1018" si="2033">C1018</f>
        <v>G67620</v>
      </c>
      <c r="AK1018" s="794" t="str">
        <f t="shared" si="2033"/>
        <v>COUT -LOC.COURTOIS - BODY</v>
      </c>
      <c r="AL1018" s="794">
        <f t="array" ref="AL1018">IFERROR(INDEX(G1018:R1018,1,MATCH(Parametres!$B$3,G$1:R$1,0)-1)*IF(OR(F1018="L",F1018="S",F1018="I"),-1,1),"")</f>
        <v>1486.33</v>
      </c>
      <c r="AM1018" s="794">
        <f t="shared" si="4"/>
        <v>0</v>
      </c>
      <c r="AN1018" s="794">
        <f t="array" ref="AN1018">INDEX(G1018:R1018,1,MATCH(Parametres!$B$3,G$1:R$1,0))*IF(OR(F1018="L",F1018="S",F1018="I"),-1,1)</f>
        <v>1486.33</v>
      </c>
      <c r="AO1018" s="853" t="str">
        <f>+VLOOKUP($AJ1018,Data_Validation!$A:$D,1,0)</f>
        <v>G67620</v>
      </c>
      <c r="AP1018" s="853" t="str">
        <f>+VLOOKUP($AJ1018,Data_Validation!$A:$D,3,0)</f>
        <v>Carrosserie</v>
      </c>
      <c r="AQ1018" s="853" t="str">
        <f>+VLOOKUP($AJ1018,Data_Validation!$A:$D,4,0)</f>
        <v>Carrosserie Clients</v>
      </c>
      <c r="AR1018" s="853" t="s">
        <v>728</v>
      </c>
      <c r="AS1018" s="853" t="str">
        <f>+VLOOKUP($AJ1018,Data_Validation!$A:$E,5,0)</f>
        <v/>
      </c>
      <c r="AT1018" s="794" t="str">
        <f t="shared" ref="AT1018:AU1018" si="2034">C1018</f>
        <v>G67620</v>
      </c>
      <c r="AU1018" s="854" t="str">
        <f t="shared" si="2034"/>
        <v>COUT -LOC.COURTOIS - BODY</v>
      </c>
      <c r="AV1018" s="794">
        <f t="array" ref="AV1018">IFERROR(INDEX(V1018:AG1018,1,MATCH(Parametres!$B$3,V$1:AG$1,0)-1)*IF(OR(C1018="L",C1018="S",C1018="I"),-1,1),"")</f>
        <v>0</v>
      </c>
      <c r="AW1018" s="794">
        <f t="shared" si="6"/>
        <v>0</v>
      </c>
      <c r="AX1018" s="794">
        <f t="array" ref="AX1018">INDEX(V1018:AG1018,1,MATCH(Parametres!$B$3,V$1:AG$1,0))*IF(OR(C1018="L",C1018="S",C1018="I"),-1,1)</f>
        <v>0</v>
      </c>
      <c r="AY1018" s="853" t="s">
        <v>772</v>
      </c>
      <c r="AZ1018" s="853" t="str">
        <f>+VLOOKUP($AJ1018,Data_Validation!$A:$E,5,0)</f>
        <v/>
      </c>
    </row>
    <row r="1019" ht="15.0" customHeight="1">
      <c r="A1019" s="849" t="s">
        <v>1239</v>
      </c>
      <c r="B1019" s="849">
        <v>2026.0</v>
      </c>
      <c r="C1019" s="849" t="s">
        <v>1169</v>
      </c>
      <c r="D1019" s="849" t="s">
        <v>3218</v>
      </c>
      <c r="E1019" s="849" t="s">
        <v>768</v>
      </c>
      <c r="F1019" s="849" t="s">
        <v>2855</v>
      </c>
      <c r="G1019" s="849">
        <v>0.0</v>
      </c>
      <c r="H1019" s="849">
        <v>0.0</v>
      </c>
      <c r="I1019" s="849">
        <v>0.0</v>
      </c>
      <c r="J1019" s="849">
        <v>0.0</v>
      </c>
      <c r="K1019" s="849">
        <v>0.0</v>
      </c>
      <c r="L1019" s="849">
        <v>0.0</v>
      </c>
      <c r="M1019" s="849">
        <v>0.0</v>
      </c>
      <c r="N1019" s="849">
        <v>0.0</v>
      </c>
      <c r="O1019" s="849">
        <v>0.0</v>
      </c>
      <c r="P1019" s="849">
        <v>0.0</v>
      </c>
      <c r="Q1019" s="849">
        <v>0.0</v>
      </c>
      <c r="R1019" s="849">
        <v>0.0</v>
      </c>
      <c r="S1019" s="849">
        <v>0.0</v>
      </c>
      <c r="T1019" s="849">
        <v>0.0</v>
      </c>
      <c r="U1019" s="849">
        <v>0.0</v>
      </c>
      <c r="V1019" s="849">
        <v>0.0</v>
      </c>
      <c r="W1019" s="849">
        <v>0.0</v>
      </c>
      <c r="X1019" s="849">
        <v>0.0</v>
      </c>
      <c r="Y1019" s="849">
        <v>0.0</v>
      </c>
      <c r="Z1019" s="849">
        <v>0.0</v>
      </c>
      <c r="AA1019" s="849">
        <v>0.0</v>
      </c>
      <c r="AB1019" s="849">
        <v>0.0</v>
      </c>
      <c r="AC1019" s="849">
        <v>0.0</v>
      </c>
      <c r="AD1019" s="849">
        <v>0.0</v>
      </c>
      <c r="AE1019" s="849">
        <v>0.0</v>
      </c>
      <c r="AF1019" s="849">
        <v>0.0</v>
      </c>
      <c r="AG1019" s="849">
        <v>0.0</v>
      </c>
      <c r="AH1019" s="849">
        <v>0.0</v>
      </c>
      <c r="AI1019" s="849">
        <v>0.0</v>
      </c>
      <c r="AJ1019" s="794" t="str">
        <f t="shared" ref="AJ1019:AK1019" si="2035">C1019</f>
        <v>G67623</v>
      </c>
      <c r="AK1019" s="794" t="str">
        <f t="shared" si="2035"/>
        <v>COUT -LOC COURT INT-BODY</v>
      </c>
      <c r="AL1019" s="794">
        <f t="array" ref="AL1019">IFERROR(INDEX(G1019:R1019,1,MATCH(Parametres!$B$3,G$1:R$1,0)-1)*IF(OR(F1019="L",F1019="S",F1019="I"),-1,1),"")</f>
        <v>0</v>
      </c>
      <c r="AM1019" s="794">
        <f t="shared" si="4"/>
        <v>0</v>
      </c>
      <c r="AN1019" s="794">
        <f t="array" ref="AN1019">INDEX(G1019:R1019,1,MATCH(Parametres!$B$3,G$1:R$1,0))*IF(OR(F1019="L",F1019="S",F1019="I"),-1,1)</f>
        <v>0</v>
      </c>
      <c r="AO1019" s="853" t="str">
        <f>+VLOOKUP($AJ1019,Data_Validation!$A:$D,1,0)</f>
        <v>G67623</v>
      </c>
      <c r="AP1019" s="853" t="str">
        <f>+VLOOKUP($AJ1019,Data_Validation!$A:$D,3,0)</f>
        <v/>
      </c>
      <c r="AQ1019" s="853" t="str">
        <f>+VLOOKUP($AJ1019,Data_Validation!$A:$D,4,0)</f>
        <v/>
      </c>
      <c r="AR1019" s="853" t="s">
        <v>728</v>
      </c>
      <c r="AS1019" s="853" t="str">
        <f>+VLOOKUP($AJ1019,Data_Validation!$A:$E,5,0)</f>
        <v/>
      </c>
      <c r="AT1019" s="794" t="str">
        <f t="shared" ref="AT1019:AU1019" si="2036">C1019</f>
        <v>G67623</v>
      </c>
      <c r="AU1019" s="854" t="str">
        <f t="shared" si="2036"/>
        <v>COUT -LOC COURT INT-BODY</v>
      </c>
      <c r="AV1019" s="794">
        <f t="array" ref="AV1019">IFERROR(INDEX(V1019:AG1019,1,MATCH(Parametres!$B$3,V$1:AG$1,0)-1)*IF(OR(C1019="L",C1019="S",C1019="I"),-1,1),"")</f>
        <v>0</v>
      </c>
      <c r="AW1019" s="794">
        <f t="shared" si="6"/>
        <v>0</v>
      </c>
      <c r="AX1019" s="794">
        <f t="array" ref="AX1019">INDEX(V1019:AG1019,1,MATCH(Parametres!$B$3,V$1:AG$1,0))*IF(OR(C1019="L",C1019="S",C1019="I"),-1,1)</f>
        <v>0</v>
      </c>
      <c r="AY1019" s="853" t="s">
        <v>772</v>
      </c>
      <c r="AZ1019" s="853" t="str">
        <f>+VLOOKUP($AJ1019,Data_Validation!$A:$E,5,0)</f>
        <v/>
      </c>
    </row>
    <row r="1020" ht="15.0" customHeight="1">
      <c r="A1020" s="849" t="s">
        <v>1239</v>
      </c>
      <c r="B1020" s="849">
        <v>2026.0</v>
      </c>
      <c r="C1020" s="849" t="s">
        <v>1192</v>
      </c>
      <c r="D1020" s="849" t="s">
        <v>3219</v>
      </c>
      <c r="E1020" s="849" t="s">
        <v>768</v>
      </c>
      <c r="F1020" s="849" t="s">
        <v>2855</v>
      </c>
      <c r="G1020" s="849">
        <v>0.0</v>
      </c>
      <c r="H1020" s="849">
        <v>0.0</v>
      </c>
      <c r="I1020" s="849">
        <v>0.0</v>
      </c>
      <c r="J1020" s="849">
        <v>0.0</v>
      </c>
      <c r="K1020" s="849">
        <v>0.0</v>
      </c>
      <c r="L1020" s="849">
        <v>0.0</v>
      </c>
      <c r="M1020" s="849">
        <v>0.0</v>
      </c>
      <c r="N1020" s="849">
        <v>0.0</v>
      </c>
      <c r="O1020" s="849">
        <v>0.0</v>
      </c>
      <c r="P1020" s="849">
        <v>0.0</v>
      </c>
      <c r="Q1020" s="849">
        <v>0.0</v>
      </c>
      <c r="R1020" s="849">
        <v>0.0</v>
      </c>
      <c r="S1020" s="849">
        <v>0.0</v>
      </c>
      <c r="T1020" s="849">
        <v>0.0</v>
      </c>
      <c r="U1020" s="849">
        <v>0.0</v>
      </c>
      <c r="V1020" s="849">
        <v>0.0</v>
      </c>
      <c r="W1020" s="849">
        <v>0.0</v>
      </c>
      <c r="X1020" s="849">
        <v>0.0</v>
      </c>
      <c r="Y1020" s="849">
        <v>0.0</v>
      </c>
      <c r="Z1020" s="849">
        <v>0.0</v>
      </c>
      <c r="AA1020" s="849">
        <v>0.0</v>
      </c>
      <c r="AB1020" s="849">
        <v>0.0</v>
      </c>
      <c r="AC1020" s="849">
        <v>0.0</v>
      </c>
      <c r="AD1020" s="849">
        <v>0.0</v>
      </c>
      <c r="AE1020" s="849">
        <v>0.0</v>
      </c>
      <c r="AF1020" s="849">
        <v>0.0</v>
      </c>
      <c r="AG1020" s="849">
        <v>0.0</v>
      </c>
      <c r="AH1020" s="849">
        <v>0.0</v>
      </c>
      <c r="AI1020" s="849">
        <v>0.0</v>
      </c>
      <c r="AJ1020" s="794" t="str">
        <f t="shared" ref="AJ1020:AK1020" si="2037">C1020</f>
        <v>G67625</v>
      </c>
      <c r="AK1020" s="794" t="str">
        <f t="shared" si="2037"/>
        <v>COUT - LOC COURT CONCES B</v>
      </c>
      <c r="AL1020" s="794">
        <f t="array" ref="AL1020">IFERROR(INDEX(G1020:R1020,1,MATCH(Parametres!$B$3,G$1:R$1,0)-1)*IF(OR(F1020="L",F1020="S",F1020="I"),-1,1),"")</f>
        <v>0</v>
      </c>
      <c r="AM1020" s="794">
        <f t="shared" si="4"/>
        <v>0</v>
      </c>
      <c r="AN1020" s="794">
        <f t="array" ref="AN1020">INDEX(G1020:R1020,1,MATCH(Parametres!$B$3,G$1:R$1,0))*IF(OR(F1020="L",F1020="S",F1020="I"),-1,1)</f>
        <v>0</v>
      </c>
      <c r="AO1020" s="853" t="str">
        <f>+VLOOKUP($AJ1020,Data_Validation!$A:$D,1,0)</f>
        <v>G67625</v>
      </c>
      <c r="AP1020" s="853" t="str">
        <f>+VLOOKUP($AJ1020,Data_Validation!$A:$D,3,0)</f>
        <v/>
      </c>
      <c r="AQ1020" s="853" t="str">
        <f>+VLOOKUP($AJ1020,Data_Validation!$A:$D,4,0)</f>
        <v/>
      </c>
      <c r="AR1020" s="853" t="s">
        <v>728</v>
      </c>
      <c r="AS1020" s="853" t="str">
        <f>+VLOOKUP($AJ1020,Data_Validation!$A:$E,5,0)</f>
        <v/>
      </c>
      <c r="AT1020" s="794" t="str">
        <f t="shared" ref="AT1020:AU1020" si="2038">C1020</f>
        <v>G67625</v>
      </c>
      <c r="AU1020" s="854" t="str">
        <f t="shared" si="2038"/>
        <v>COUT - LOC COURT CONCES B</v>
      </c>
      <c r="AV1020" s="794">
        <f t="array" ref="AV1020">IFERROR(INDEX(V1020:AG1020,1,MATCH(Parametres!$B$3,V$1:AG$1,0)-1)*IF(OR(C1020="L",C1020="S",C1020="I"),-1,1),"")</f>
        <v>0</v>
      </c>
      <c r="AW1020" s="794">
        <f t="shared" si="6"/>
        <v>0</v>
      </c>
      <c r="AX1020" s="794">
        <f t="array" ref="AX1020">INDEX(V1020:AG1020,1,MATCH(Parametres!$B$3,V$1:AG$1,0))*IF(OR(C1020="L",C1020="S",C1020="I"),-1,1)</f>
        <v>0</v>
      </c>
      <c r="AY1020" s="853" t="s">
        <v>772</v>
      </c>
      <c r="AZ1020" s="853" t="str">
        <f>+VLOOKUP($AJ1020,Data_Validation!$A:$E,5,0)</f>
        <v/>
      </c>
    </row>
    <row r="1021" ht="15.0" customHeight="1">
      <c r="A1021" s="849" t="s">
        <v>1239</v>
      </c>
      <c r="B1021" s="849">
        <v>2026.0</v>
      </c>
      <c r="C1021" s="849" t="s">
        <v>3220</v>
      </c>
      <c r="D1021" s="849" t="s">
        <v>3221</v>
      </c>
      <c r="E1021" s="849" t="s">
        <v>768</v>
      </c>
      <c r="F1021" s="849" t="s">
        <v>2855</v>
      </c>
      <c r="G1021" s="849">
        <v>0.0</v>
      </c>
      <c r="H1021" s="849">
        <v>0.0</v>
      </c>
      <c r="I1021" s="849">
        <v>0.0</v>
      </c>
      <c r="J1021" s="849">
        <v>0.0</v>
      </c>
      <c r="K1021" s="849">
        <v>49.03</v>
      </c>
      <c r="L1021" s="849">
        <v>49.03</v>
      </c>
      <c r="M1021" s="849">
        <v>49.03</v>
      </c>
      <c r="N1021" s="849">
        <v>49.03</v>
      </c>
      <c r="O1021" s="849">
        <v>49.03</v>
      </c>
      <c r="P1021" s="849">
        <v>49.03</v>
      </c>
      <c r="Q1021" s="849">
        <v>0.0</v>
      </c>
      <c r="R1021" s="849">
        <v>0.0</v>
      </c>
      <c r="S1021" s="849">
        <v>5.45</v>
      </c>
      <c r="T1021" s="849">
        <v>5.45</v>
      </c>
      <c r="U1021" s="849">
        <v>0.0</v>
      </c>
      <c r="V1021" s="849">
        <v>0.0</v>
      </c>
      <c r="W1021" s="849">
        <v>0.0</v>
      </c>
      <c r="X1021" s="849">
        <v>0.0</v>
      </c>
      <c r="Y1021" s="849">
        <v>0.0</v>
      </c>
      <c r="Z1021" s="849">
        <v>0.0</v>
      </c>
      <c r="AA1021" s="849">
        <v>0.0</v>
      </c>
      <c r="AB1021" s="849">
        <v>0.0</v>
      </c>
      <c r="AC1021" s="849">
        <v>0.0</v>
      </c>
      <c r="AD1021" s="849">
        <v>0.0</v>
      </c>
      <c r="AE1021" s="849">
        <v>0.0</v>
      </c>
      <c r="AF1021" s="849">
        <v>0.0</v>
      </c>
      <c r="AG1021" s="849">
        <v>0.0</v>
      </c>
      <c r="AH1021" s="849">
        <v>0.0</v>
      </c>
      <c r="AI1021" s="849">
        <v>0.0</v>
      </c>
      <c r="AJ1021" s="794" t="str">
        <f t="shared" ref="AJ1021:AK1021" si="2039">C1021</f>
        <v>G67700</v>
      </c>
      <c r="AK1021" s="794" t="str">
        <f t="shared" si="2039"/>
        <v>COUT P&amp;A CLIENT CARROSSER</v>
      </c>
      <c r="AL1021" s="794">
        <f t="array" ref="AL1021">IFERROR(INDEX(G1021:R1021,1,MATCH(Parametres!$B$3,G$1:R$1,0)-1)*IF(OR(F1021="L",F1021="S",F1021="I"),-1,1),"")</f>
        <v>49.03</v>
      </c>
      <c r="AM1021" s="794">
        <f t="shared" si="4"/>
        <v>0</v>
      </c>
      <c r="AN1021" s="794">
        <f t="array" ref="AN1021">INDEX(G1021:R1021,1,MATCH(Parametres!$B$3,G$1:R$1,0))*IF(OR(F1021="L",F1021="S",F1021="I"),-1,1)</f>
        <v>49.03</v>
      </c>
      <c r="AO1021" s="853" t="str">
        <f>+VLOOKUP($AJ1021,Data_Validation!$A:$D,1,0)</f>
        <v>G67700</v>
      </c>
      <c r="AP1021" s="853" t="str">
        <f>+VLOOKUP($AJ1021,Data_Validation!$A:$D,3,0)</f>
        <v>Pièces</v>
      </c>
      <c r="AQ1021" s="853" t="str">
        <f>+VLOOKUP($AJ1021,Data_Validation!$A:$D,4,0)</f>
        <v>Pièces Ro Carrosserie</v>
      </c>
      <c r="AR1021" s="853" t="s">
        <v>728</v>
      </c>
      <c r="AS1021" s="853" t="str">
        <f>+VLOOKUP($AJ1021,Data_Validation!$A:$E,5,0)</f>
        <v/>
      </c>
      <c r="AT1021" s="794" t="str">
        <f t="shared" ref="AT1021:AU1021" si="2040">C1021</f>
        <v>G67700</v>
      </c>
      <c r="AU1021" s="854" t="str">
        <f t="shared" si="2040"/>
        <v>COUT P&amp;A CLIENT CARROSSER</v>
      </c>
      <c r="AV1021" s="794">
        <f t="array" ref="AV1021">IFERROR(INDEX(V1021:AG1021,1,MATCH(Parametres!$B$3,V$1:AG$1,0)-1)*IF(OR(C1021="L",C1021="S",C1021="I"),-1,1),"")</f>
        <v>0</v>
      </c>
      <c r="AW1021" s="794">
        <f t="shared" si="6"/>
        <v>0</v>
      </c>
      <c r="AX1021" s="794">
        <f t="array" ref="AX1021">INDEX(V1021:AG1021,1,MATCH(Parametres!$B$3,V$1:AG$1,0))*IF(OR(C1021="L",C1021="S",C1021="I"),-1,1)</f>
        <v>0</v>
      </c>
      <c r="AY1021" s="853" t="s">
        <v>772</v>
      </c>
      <c r="AZ1021" s="853" t="str">
        <f>+VLOOKUP($AJ1021,Data_Validation!$A:$E,5,0)</f>
        <v/>
      </c>
    </row>
    <row r="1022" ht="15.0" customHeight="1">
      <c r="A1022" s="849" t="s">
        <v>1239</v>
      </c>
      <c r="B1022" s="849">
        <v>2026.0</v>
      </c>
      <c r="C1022" s="849" t="s">
        <v>3222</v>
      </c>
      <c r="D1022" s="849" t="s">
        <v>3223</v>
      </c>
      <c r="E1022" s="849" t="s">
        <v>768</v>
      </c>
      <c r="F1022" s="849" t="s">
        <v>2855</v>
      </c>
      <c r="G1022" s="849">
        <v>0.0</v>
      </c>
      <c r="H1022" s="849">
        <v>0.0</v>
      </c>
      <c r="I1022" s="849">
        <v>0.0</v>
      </c>
      <c r="J1022" s="849">
        <v>0.0</v>
      </c>
      <c r="K1022" s="849">
        <v>0.0</v>
      </c>
      <c r="L1022" s="849">
        <v>0.0</v>
      </c>
      <c r="M1022" s="849">
        <v>0.0</v>
      </c>
      <c r="N1022" s="849">
        <v>0.0</v>
      </c>
      <c r="O1022" s="849">
        <v>0.0</v>
      </c>
      <c r="P1022" s="849">
        <v>0.0</v>
      </c>
      <c r="Q1022" s="849">
        <v>0.0</v>
      </c>
      <c r="R1022" s="849">
        <v>0.0</v>
      </c>
      <c r="S1022" s="849">
        <v>0.0</v>
      </c>
      <c r="T1022" s="849">
        <v>0.0</v>
      </c>
      <c r="U1022" s="849">
        <v>0.0</v>
      </c>
      <c r="V1022" s="849">
        <v>0.0</v>
      </c>
      <c r="W1022" s="849">
        <v>0.0</v>
      </c>
      <c r="X1022" s="849">
        <v>0.0</v>
      </c>
      <c r="Y1022" s="849">
        <v>0.0</v>
      </c>
      <c r="Z1022" s="849">
        <v>0.0</v>
      </c>
      <c r="AA1022" s="849">
        <v>0.0</v>
      </c>
      <c r="AB1022" s="849">
        <v>0.0</v>
      </c>
      <c r="AC1022" s="849">
        <v>0.0</v>
      </c>
      <c r="AD1022" s="849">
        <v>0.0</v>
      </c>
      <c r="AE1022" s="849">
        <v>0.0</v>
      </c>
      <c r="AF1022" s="849">
        <v>0.0</v>
      </c>
      <c r="AG1022" s="849">
        <v>0.0</v>
      </c>
      <c r="AH1022" s="849">
        <v>0.0</v>
      </c>
      <c r="AI1022" s="849">
        <v>0.0</v>
      </c>
      <c r="AJ1022" s="794" t="str">
        <f t="shared" ref="AJ1022:AK1022" si="2041">C1022</f>
        <v>G67800</v>
      </c>
      <c r="AK1022" s="794" t="str">
        <f t="shared" si="2041"/>
        <v>COUT-PCE BODY CLIENT CAM</v>
      </c>
      <c r="AL1022" s="794">
        <f t="array" ref="AL1022">IFERROR(INDEX(G1022:R1022,1,MATCH(Parametres!$B$3,G$1:R$1,0)-1)*IF(OR(F1022="L",F1022="S",F1022="I"),-1,1),"")</f>
        <v>0</v>
      </c>
      <c r="AM1022" s="794">
        <f t="shared" si="4"/>
        <v>0</v>
      </c>
      <c r="AN1022" s="794">
        <f t="array" ref="AN1022">INDEX(G1022:R1022,1,MATCH(Parametres!$B$3,G$1:R$1,0))*IF(OR(F1022="L",F1022="S",F1022="I"),-1,1)</f>
        <v>0</v>
      </c>
      <c r="AO1022" s="853" t="str">
        <f>+VLOOKUP($AJ1022,Data_Validation!$A:$D,1,0)</f>
        <v>G67800</v>
      </c>
      <c r="AP1022" s="853" t="str">
        <f>+VLOOKUP($AJ1022,Data_Validation!$A:$D,3,0)</f>
        <v/>
      </c>
      <c r="AQ1022" s="853" t="str">
        <f>+VLOOKUP($AJ1022,Data_Validation!$A:$D,4,0)</f>
        <v/>
      </c>
      <c r="AR1022" s="853" t="s">
        <v>728</v>
      </c>
      <c r="AS1022" s="853" t="str">
        <f>+VLOOKUP($AJ1022,Data_Validation!$A:$E,5,0)</f>
        <v/>
      </c>
      <c r="AT1022" s="794" t="str">
        <f t="shared" ref="AT1022:AU1022" si="2042">C1022</f>
        <v>G67800</v>
      </c>
      <c r="AU1022" s="854" t="str">
        <f t="shared" si="2042"/>
        <v>COUT-PCE BODY CLIENT CAM</v>
      </c>
      <c r="AV1022" s="794">
        <f t="array" ref="AV1022">IFERROR(INDEX(V1022:AG1022,1,MATCH(Parametres!$B$3,V$1:AG$1,0)-1)*IF(OR(C1022="L",C1022="S",C1022="I"),-1,1),"")</f>
        <v>0</v>
      </c>
      <c r="AW1022" s="794">
        <f t="shared" si="6"/>
        <v>0</v>
      </c>
      <c r="AX1022" s="794">
        <f t="array" ref="AX1022">INDEX(V1022:AG1022,1,MATCH(Parametres!$B$3,V$1:AG$1,0))*IF(OR(C1022="L",C1022="S",C1022="I"),-1,1)</f>
        <v>0</v>
      </c>
      <c r="AY1022" s="853" t="s">
        <v>772</v>
      </c>
      <c r="AZ1022" s="853" t="str">
        <f>+VLOOKUP($AJ1022,Data_Validation!$A:$E,5,0)</f>
        <v/>
      </c>
    </row>
    <row r="1023" ht="15.0" customHeight="1">
      <c r="A1023" s="849" t="s">
        <v>1239</v>
      </c>
      <c r="B1023" s="849">
        <v>2026.0</v>
      </c>
      <c r="C1023" s="849" t="s">
        <v>3224</v>
      </c>
      <c r="D1023" s="849" t="s">
        <v>3225</v>
      </c>
      <c r="E1023" s="849" t="s">
        <v>768</v>
      </c>
      <c r="F1023" s="849" t="s">
        <v>2855</v>
      </c>
      <c r="G1023" s="849">
        <v>0.0</v>
      </c>
      <c r="H1023" s="849">
        <v>0.0</v>
      </c>
      <c r="I1023" s="849">
        <v>0.0</v>
      </c>
      <c r="J1023" s="849">
        <v>0.0</v>
      </c>
      <c r="K1023" s="849">
        <v>0.0</v>
      </c>
      <c r="L1023" s="849">
        <v>0.0</v>
      </c>
      <c r="M1023" s="849">
        <v>0.0</v>
      </c>
      <c r="N1023" s="849">
        <v>0.0</v>
      </c>
      <c r="O1023" s="849">
        <v>0.0</v>
      </c>
      <c r="P1023" s="849">
        <v>0.0</v>
      </c>
      <c r="Q1023" s="849">
        <v>0.0</v>
      </c>
      <c r="R1023" s="849">
        <v>0.0</v>
      </c>
      <c r="S1023" s="849">
        <v>0.0</v>
      </c>
      <c r="T1023" s="849">
        <v>0.0</v>
      </c>
      <c r="U1023" s="849">
        <v>0.0</v>
      </c>
      <c r="V1023" s="849">
        <v>0.0</v>
      </c>
      <c r="W1023" s="849">
        <v>0.0</v>
      </c>
      <c r="X1023" s="849">
        <v>0.0</v>
      </c>
      <c r="Y1023" s="849">
        <v>0.0</v>
      </c>
      <c r="Z1023" s="849">
        <v>0.0</v>
      </c>
      <c r="AA1023" s="849">
        <v>0.0</v>
      </c>
      <c r="AB1023" s="849">
        <v>0.0</v>
      </c>
      <c r="AC1023" s="849">
        <v>0.0</v>
      </c>
      <c r="AD1023" s="849">
        <v>0.0</v>
      </c>
      <c r="AE1023" s="849">
        <v>0.0</v>
      </c>
      <c r="AF1023" s="849">
        <v>0.0</v>
      </c>
      <c r="AG1023" s="849">
        <v>0.0</v>
      </c>
      <c r="AH1023" s="849">
        <v>0.0</v>
      </c>
      <c r="AI1023" s="849">
        <v>0.0</v>
      </c>
      <c r="AJ1023" s="794" t="str">
        <f t="shared" ref="AJ1023:AK1023" si="2043">C1023</f>
        <v>G67840</v>
      </c>
      <c r="AK1023" s="794" t="str">
        <f t="shared" si="2043"/>
        <v>COUT-P&amp;A GOODW CAM MOYEN</v>
      </c>
      <c r="AL1023" s="794">
        <f t="array" ref="AL1023">IFERROR(INDEX(G1023:R1023,1,MATCH(Parametres!$B$3,G$1:R$1,0)-1)*IF(OR(F1023="L",F1023="S",F1023="I"),-1,1),"")</f>
        <v>0</v>
      </c>
      <c r="AM1023" s="794">
        <f t="shared" si="4"/>
        <v>0</v>
      </c>
      <c r="AN1023" s="794">
        <f t="array" ref="AN1023">INDEX(G1023:R1023,1,MATCH(Parametres!$B$3,G$1:R$1,0))*IF(OR(F1023="L",F1023="S",F1023="I"),-1,1)</f>
        <v>0</v>
      </c>
      <c r="AO1023" s="853" t="str">
        <f>+VLOOKUP($AJ1023,Data_Validation!$A:$D,1,0)</f>
        <v>#N/A</v>
      </c>
      <c r="AP1023" s="853" t="str">
        <f>+VLOOKUP($AJ1023,Data_Validation!$A:$D,3,0)</f>
        <v>#N/A</v>
      </c>
      <c r="AQ1023" s="853" t="str">
        <f>+VLOOKUP($AJ1023,Data_Validation!$A:$D,4,0)</f>
        <v>#N/A</v>
      </c>
      <c r="AR1023" s="853" t="s">
        <v>728</v>
      </c>
      <c r="AS1023" s="853" t="str">
        <f>+VLOOKUP($AJ1023,Data_Validation!$A:$E,5,0)</f>
        <v>#N/A</v>
      </c>
      <c r="AT1023" s="794" t="str">
        <f t="shared" ref="AT1023:AU1023" si="2044">C1023</f>
        <v>G67840</v>
      </c>
      <c r="AU1023" s="854" t="str">
        <f t="shared" si="2044"/>
        <v>COUT-P&amp;A GOODW CAM MOYEN</v>
      </c>
      <c r="AV1023" s="794">
        <f t="array" ref="AV1023">IFERROR(INDEX(V1023:AG1023,1,MATCH(Parametres!$B$3,V$1:AG$1,0)-1)*IF(OR(C1023="L",C1023="S",C1023="I"),-1,1),"")</f>
        <v>0</v>
      </c>
      <c r="AW1023" s="794">
        <f t="shared" si="6"/>
        <v>0</v>
      </c>
      <c r="AX1023" s="794">
        <f t="array" ref="AX1023">INDEX(V1023:AG1023,1,MATCH(Parametres!$B$3,V$1:AG$1,0))*IF(OR(C1023="L",C1023="S",C1023="I"),-1,1)</f>
        <v>0</v>
      </c>
      <c r="AY1023" s="853" t="s">
        <v>772</v>
      </c>
      <c r="AZ1023" s="853" t="str">
        <f>+VLOOKUP($AJ1023,Data_Validation!$A:$E,5,0)</f>
        <v>#N/A</v>
      </c>
    </row>
    <row r="1024" ht="15.0" customHeight="1">
      <c r="A1024" s="849" t="s">
        <v>1239</v>
      </c>
      <c r="B1024" s="849">
        <v>2026.0</v>
      </c>
      <c r="C1024" s="849" t="s">
        <v>1134</v>
      </c>
      <c r="D1024" s="849" t="s">
        <v>3226</v>
      </c>
      <c r="E1024" s="849" t="s">
        <v>768</v>
      </c>
      <c r="F1024" s="849" t="s">
        <v>2855</v>
      </c>
      <c r="G1024" s="849">
        <v>14720.33</v>
      </c>
      <c r="H1024" s="849">
        <v>34336.69</v>
      </c>
      <c r="I1024" s="849">
        <v>49738.05</v>
      </c>
      <c r="J1024" s="849">
        <v>81691.16</v>
      </c>
      <c r="K1024" s="849">
        <v>88785.44</v>
      </c>
      <c r="L1024" s="849">
        <v>95870.11</v>
      </c>
      <c r="M1024" s="849">
        <v>102457.29</v>
      </c>
      <c r="N1024" s="849">
        <v>108314.23</v>
      </c>
      <c r="O1024" s="849">
        <v>118902.22</v>
      </c>
      <c r="P1024" s="849">
        <v>120485.94</v>
      </c>
      <c r="Q1024" s="849">
        <v>0.0</v>
      </c>
      <c r="R1024" s="849">
        <v>0.0</v>
      </c>
      <c r="S1024" s="849">
        <v>13211.36</v>
      </c>
      <c r="T1024" s="849">
        <v>13211.36</v>
      </c>
      <c r="U1024" s="849">
        <v>0.0</v>
      </c>
      <c r="V1024" s="849">
        <v>0.0</v>
      </c>
      <c r="W1024" s="849">
        <v>0.0</v>
      </c>
      <c r="X1024" s="849">
        <v>0.0</v>
      </c>
      <c r="Y1024" s="849">
        <v>0.0</v>
      </c>
      <c r="Z1024" s="849">
        <v>0.0</v>
      </c>
      <c r="AA1024" s="849">
        <v>0.0</v>
      </c>
      <c r="AB1024" s="849">
        <v>0.0</v>
      </c>
      <c r="AC1024" s="849">
        <v>0.0</v>
      </c>
      <c r="AD1024" s="849">
        <v>0.0</v>
      </c>
      <c r="AE1024" s="849">
        <v>0.0</v>
      </c>
      <c r="AF1024" s="849">
        <v>0.0</v>
      </c>
      <c r="AG1024" s="849">
        <v>0.0</v>
      </c>
      <c r="AH1024" s="849">
        <v>0.0</v>
      </c>
      <c r="AI1024" s="849">
        <v>0.0</v>
      </c>
      <c r="AJ1024" s="794" t="str">
        <f t="shared" ref="AJ1024:AK1024" si="2045">C1024</f>
        <v>G67900</v>
      </c>
      <c r="AK1024" s="794" t="str">
        <f t="shared" si="2045"/>
        <v>COUT-PEINTURE CARROSSERIE</v>
      </c>
      <c r="AL1024" s="794">
        <f t="array" ref="AL1024">IFERROR(INDEX(G1024:R1024,1,MATCH(Parametres!$B$3,G$1:R$1,0)-1)*IF(OR(F1024="L",F1024="S",F1024="I"),-1,1),"")</f>
        <v>108314.23</v>
      </c>
      <c r="AM1024" s="794">
        <f t="shared" si="4"/>
        <v>10587.99</v>
      </c>
      <c r="AN1024" s="794">
        <f t="array" ref="AN1024">INDEX(G1024:R1024,1,MATCH(Parametres!$B$3,G$1:R$1,0))*IF(OR(F1024="L",F1024="S",F1024="I"),-1,1)</f>
        <v>118902.22</v>
      </c>
      <c r="AO1024" s="853" t="str">
        <f>+VLOOKUP($AJ1024,Data_Validation!$A:$D,1,0)</f>
        <v>G67900</v>
      </c>
      <c r="AP1024" s="853" t="str">
        <f>+VLOOKUP($AJ1024,Data_Validation!$A:$D,3,0)</f>
        <v>Carrosserie</v>
      </c>
      <c r="AQ1024" s="853" t="str">
        <f>+VLOOKUP($AJ1024,Data_Validation!$A:$D,4,0)</f>
        <v>Carrosserie Clients</v>
      </c>
      <c r="AR1024" s="853" t="s">
        <v>728</v>
      </c>
      <c r="AS1024" s="853" t="str">
        <f>+VLOOKUP($AJ1024,Data_Validation!$A:$E,5,0)</f>
        <v/>
      </c>
      <c r="AT1024" s="794" t="str">
        <f t="shared" ref="AT1024:AU1024" si="2046">C1024</f>
        <v>G67900</v>
      </c>
      <c r="AU1024" s="854" t="str">
        <f t="shared" si="2046"/>
        <v>COUT-PEINTURE CARROSSERIE</v>
      </c>
      <c r="AV1024" s="794">
        <f t="array" ref="AV1024">IFERROR(INDEX(V1024:AG1024,1,MATCH(Parametres!$B$3,V$1:AG$1,0)-1)*IF(OR(C1024="L",C1024="S",C1024="I"),-1,1),"")</f>
        <v>0</v>
      </c>
      <c r="AW1024" s="794">
        <f t="shared" si="6"/>
        <v>0</v>
      </c>
      <c r="AX1024" s="794">
        <f t="array" ref="AX1024">INDEX(V1024:AG1024,1,MATCH(Parametres!$B$3,V$1:AG$1,0))*IF(OR(C1024="L",C1024="S",C1024="I"),-1,1)</f>
        <v>0</v>
      </c>
      <c r="AY1024" s="853" t="s">
        <v>772</v>
      </c>
      <c r="AZ1024" s="853" t="str">
        <f>+VLOOKUP($AJ1024,Data_Validation!$A:$E,5,0)</f>
        <v/>
      </c>
    </row>
    <row r="1025" ht="15.0" customHeight="1">
      <c r="A1025" s="849" t="s">
        <v>1239</v>
      </c>
      <c r="B1025" s="849">
        <v>2026.0</v>
      </c>
      <c r="C1025" s="849" t="s">
        <v>1158</v>
      </c>
      <c r="D1025" s="849" t="s">
        <v>3227</v>
      </c>
      <c r="E1025" s="849" t="s">
        <v>768</v>
      </c>
      <c r="F1025" s="849" t="s">
        <v>2855</v>
      </c>
      <c r="G1025" s="849">
        <v>0.0</v>
      </c>
      <c r="H1025" s="849">
        <v>0.0</v>
      </c>
      <c r="I1025" s="849">
        <v>0.0</v>
      </c>
      <c r="J1025" s="849">
        <v>0.0</v>
      </c>
      <c r="K1025" s="849">
        <v>144.72</v>
      </c>
      <c r="L1025" s="849">
        <v>604.91</v>
      </c>
      <c r="M1025" s="849">
        <v>1041.71</v>
      </c>
      <c r="N1025" s="849">
        <v>2056.25</v>
      </c>
      <c r="O1025" s="849">
        <v>2639.23</v>
      </c>
      <c r="P1025" s="849">
        <v>2734.73</v>
      </c>
      <c r="Q1025" s="849">
        <v>0.0</v>
      </c>
      <c r="R1025" s="849">
        <v>0.0</v>
      </c>
      <c r="S1025" s="849">
        <v>293.25</v>
      </c>
      <c r="T1025" s="849">
        <v>293.25</v>
      </c>
      <c r="U1025" s="849">
        <v>0.0</v>
      </c>
      <c r="V1025" s="849">
        <v>0.0</v>
      </c>
      <c r="W1025" s="849">
        <v>0.0</v>
      </c>
      <c r="X1025" s="849">
        <v>0.0</v>
      </c>
      <c r="Y1025" s="849">
        <v>0.0</v>
      </c>
      <c r="Z1025" s="849">
        <v>0.0</v>
      </c>
      <c r="AA1025" s="849">
        <v>0.0</v>
      </c>
      <c r="AB1025" s="849">
        <v>0.0</v>
      </c>
      <c r="AC1025" s="849">
        <v>0.0</v>
      </c>
      <c r="AD1025" s="849">
        <v>0.0</v>
      </c>
      <c r="AE1025" s="849">
        <v>0.0</v>
      </c>
      <c r="AF1025" s="849">
        <v>0.0</v>
      </c>
      <c r="AG1025" s="849">
        <v>0.0</v>
      </c>
      <c r="AH1025" s="849">
        <v>0.0</v>
      </c>
      <c r="AI1025" s="849">
        <v>0.0</v>
      </c>
      <c r="AJ1025" s="794" t="str">
        <f t="shared" ref="AJ1025:AK1025" si="2047">C1025</f>
        <v>G67903</v>
      </c>
      <c r="AK1025" s="794" t="str">
        <f t="shared" si="2047"/>
        <v>COUT - PEINT. INTERN-BODY</v>
      </c>
      <c r="AL1025" s="794">
        <f t="array" ref="AL1025">IFERROR(INDEX(G1025:R1025,1,MATCH(Parametres!$B$3,G$1:R$1,0)-1)*IF(OR(F1025="L",F1025="S",F1025="I"),-1,1),"")</f>
        <v>2056.25</v>
      </c>
      <c r="AM1025" s="794">
        <f t="shared" si="4"/>
        <v>582.98</v>
      </c>
      <c r="AN1025" s="794">
        <f t="array" ref="AN1025">INDEX(G1025:R1025,1,MATCH(Parametres!$B$3,G$1:R$1,0))*IF(OR(F1025="L",F1025="S",F1025="I"),-1,1)</f>
        <v>2639.23</v>
      </c>
      <c r="AO1025" s="853" t="str">
        <f>+VLOOKUP($AJ1025,Data_Validation!$A:$D,1,0)</f>
        <v>G67903</v>
      </c>
      <c r="AP1025" s="853" t="str">
        <f>+VLOOKUP($AJ1025,Data_Validation!$A:$D,3,0)</f>
        <v>Carrosserie</v>
      </c>
      <c r="AQ1025" s="853" t="str">
        <f>+VLOOKUP($AJ1025,Data_Validation!$A:$D,4,0)</f>
        <v>Carrosserie Interne</v>
      </c>
      <c r="AR1025" s="853" t="s">
        <v>728</v>
      </c>
      <c r="AS1025" s="853" t="str">
        <f>+VLOOKUP($AJ1025,Data_Validation!$A:$E,5,0)</f>
        <v/>
      </c>
      <c r="AT1025" s="794" t="str">
        <f t="shared" ref="AT1025:AU1025" si="2048">C1025</f>
        <v>G67903</v>
      </c>
      <c r="AU1025" s="854" t="str">
        <f t="shared" si="2048"/>
        <v>COUT - PEINT. INTERN-BODY</v>
      </c>
      <c r="AV1025" s="794">
        <f t="array" ref="AV1025">IFERROR(INDEX(V1025:AG1025,1,MATCH(Parametres!$B$3,V$1:AG$1,0)-1)*IF(OR(C1025="L",C1025="S",C1025="I"),-1,1),"")</f>
        <v>0</v>
      </c>
      <c r="AW1025" s="794">
        <f t="shared" si="6"/>
        <v>0</v>
      </c>
      <c r="AX1025" s="794">
        <f t="array" ref="AX1025">INDEX(V1025:AG1025,1,MATCH(Parametres!$B$3,V$1:AG$1,0))*IF(OR(C1025="L",C1025="S",C1025="I"),-1,1)</f>
        <v>0</v>
      </c>
      <c r="AY1025" s="853" t="s">
        <v>772</v>
      </c>
      <c r="AZ1025" s="853" t="str">
        <f>+VLOOKUP($AJ1025,Data_Validation!$A:$E,5,0)</f>
        <v/>
      </c>
    </row>
    <row r="1026" ht="15.0" customHeight="1">
      <c r="A1026" s="849" t="s">
        <v>1239</v>
      </c>
      <c r="B1026" s="849">
        <v>2026.0</v>
      </c>
      <c r="C1026" s="849" t="s">
        <v>1184</v>
      </c>
      <c r="D1026" s="849" t="s">
        <v>3228</v>
      </c>
      <c r="E1026" s="849" t="s">
        <v>768</v>
      </c>
      <c r="F1026" s="849" t="s">
        <v>2855</v>
      </c>
      <c r="G1026" s="849">
        <v>0.0</v>
      </c>
      <c r="H1026" s="849">
        <v>0.0</v>
      </c>
      <c r="I1026" s="849">
        <v>0.0</v>
      </c>
      <c r="J1026" s="849">
        <v>0.0</v>
      </c>
      <c r="K1026" s="849">
        <v>5172.5</v>
      </c>
      <c r="L1026" s="849">
        <v>12665.99</v>
      </c>
      <c r="M1026" s="849">
        <v>16965.19</v>
      </c>
      <c r="N1026" s="849">
        <v>20886.9</v>
      </c>
      <c r="O1026" s="849">
        <v>24053.26</v>
      </c>
      <c r="P1026" s="849">
        <v>24395.94</v>
      </c>
      <c r="Q1026" s="849">
        <v>0.0</v>
      </c>
      <c r="R1026" s="849">
        <v>0.0</v>
      </c>
      <c r="S1026" s="849">
        <v>2672.58</v>
      </c>
      <c r="T1026" s="849">
        <v>2672.58</v>
      </c>
      <c r="U1026" s="849">
        <v>0.0</v>
      </c>
      <c r="V1026" s="849">
        <v>0.0</v>
      </c>
      <c r="W1026" s="849">
        <v>0.0</v>
      </c>
      <c r="X1026" s="849">
        <v>0.0</v>
      </c>
      <c r="Y1026" s="849">
        <v>0.0</v>
      </c>
      <c r="Z1026" s="849">
        <v>0.0</v>
      </c>
      <c r="AA1026" s="849">
        <v>0.0</v>
      </c>
      <c r="AB1026" s="849">
        <v>0.0</v>
      </c>
      <c r="AC1026" s="849">
        <v>0.0</v>
      </c>
      <c r="AD1026" s="849">
        <v>0.0</v>
      </c>
      <c r="AE1026" s="849">
        <v>0.0</v>
      </c>
      <c r="AF1026" s="849">
        <v>0.0</v>
      </c>
      <c r="AG1026" s="849">
        <v>0.0</v>
      </c>
      <c r="AH1026" s="849">
        <v>0.0</v>
      </c>
      <c r="AI1026" s="849">
        <v>0.0</v>
      </c>
      <c r="AJ1026" s="794" t="str">
        <f t="shared" ref="AJ1026:AK1026" si="2049">C1026</f>
        <v>G67905</v>
      </c>
      <c r="AK1026" s="794" t="str">
        <f t="shared" si="2049"/>
        <v>COUT - PEINT CONC-BODY</v>
      </c>
      <c r="AL1026" s="794">
        <f t="array" ref="AL1026">IFERROR(INDEX(G1026:R1026,1,MATCH(Parametres!$B$3,G$1:R$1,0)-1)*IF(OR(F1026="L",F1026="S",F1026="I"),-1,1),"")</f>
        <v>20886.9</v>
      </c>
      <c r="AM1026" s="794">
        <f t="shared" si="4"/>
        <v>3166.36</v>
      </c>
      <c r="AN1026" s="794">
        <f t="array" ref="AN1026">INDEX(G1026:R1026,1,MATCH(Parametres!$B$3,G$1:R$1,0))*IF(OR(F1026="L",F1026="S",F1026="I"),-1,1)</f>
        <v>24053.26</v>
      </c>
      <c r="AO1026" s="853" t="str">
        <f>+VLOOKUP($AJ1026,Data_Validation!$A:$D,1,0)</f>
        <v>G67905</v>
      </c>
      <c r="AP1026" s="853" t="str">
        <f>+VLOOKUP($AJ1026,Data_Validation!$A:$D,3,0)</f>
        <v>Carrosserie</v>
      </c>
      <c r="AQ1026" s="853" t="str">
        <f>+VLOOKUP($AJ1026,Data_Validation!$A:$D,4,0)</f>
        <v>Carrosserie Concessions</v>
      </c>
      <c r="AR1026" s="853" t="s">
        <v>728</v>
      </c>
      <c r="AS1026" s="853" t="str">
        <f>+VLOOKUP($AJ1026,Data_Validation!$A:$E,5,0)</f>
        <v/>
      </c>
      <c r="AT1026" s="794" t="str">
        <f t="shared" ref="AT1026:AU1026" si="2050">C1026</f>
        <v>G67905</v>
      </c>
      <c r="AU1026" s="854" t="str">
        <f t="shared" si="2050"/>
        <v>COUT - PEINT CONC-BODY</v>
      </c>
      <c r="AV1026" s="794">
        <f t="array" ref="AV1026">IFERROR(INDEX(V1026:AG1026,1,MATCH(Parametres!$B$3,V$1:AG$1,0)-1)*IF(OR(C1026="L",C1026="S",C1026="I"),-1,1),"")</f>
        <v>0</v>
      </c>
      <c r="AW1026" s="794">
        <f t="shared" si="6"/>
        <v>0</v>
      </c>
      <c r="AX1026" s="794">
        <f t="array" ref="AX1026">INDEX(V1026:AG1026,1,MATCH(Parametres!$B$3,V$1:AG$1,0))*IF(OR(C1026="L",C1026="S",C1026="I"),-1,1)</f>
        <v>0</v>
      </c>
      <c r="AY1026" s="853" t="s">
        <v>772</v>
      </c>
      <c r="AZ1026" s="853" t="str">
        <f>+VLOOKUP($AJ1026,Data_Validation!$A:$E,5,0)</f>
        <v/>
      </c>
    </row>
    <row r="1027" ht="15.0" customHeight="1">
      <c r="A1027" s="849" t="s">
        <v>1239</v>
      </c>
      <c r="B1027" s="849">
        <v>2026.0</v>
      </c>
      <c r="C1027" s="849" t="s">
        <v>1137</v>
      </c>
      <c r="D1027" s="849" t="s">
        <v>3229</v>
      </c>
      <c r="E1027" s="849" t="s">
        <v>768</v>
      </c>
      <c r="F1027" s="849" t="s">
        <v>2855</v>
      </c>
      <c r="G1027" s="849">
        <v>0.0</v>
      </c>
      <c r="H1027" s="849">
        <v>0.0</v>
      </c>
      <c r="I1027" s="849">
        <v>0.0</v>
      </c>
      <c r="J1027" s="849">
        <v>0.0</v>
      </c>
      <c r="K1027" s="849">
        <v>2097.55</v>
      </c>
      <c r="L1027" s="849">
        <v>7486.2</v>
      </c>
      <c r="M1027" s="849">
        <v>10691.89</v>
      </c>
      <c r="N1027" s="849">
        <v>13259.36</v>
      </c>
      <c r="O1027" s="849">
        <v>21674.87</v>
      </c>
      <c r="P1027" s="849">
        <v>23583.25</v>
      </c>
      <c r="Q1027" s="849">
        <v>0.0</v>
      </c>
      <c r="R1027" s="849">
        <v>0.0</v>
      </c>
      <c r="S1027" s="849">
        <v>2408.32</v>
      </c>
      <c r="T1027" s="849">
        <v>2408.32</v>
      </c>
      <c r="U1027" s="849">
        <v>0.0</v>
      </c>
      <c r="V1027" s="849">
        <v>0.0</v>
      </c>
      <c r="W1027" s="849">
        <v>0.0</v>
      </c>
      <c r="X1027" s="849">
        <v>0.0</v>
      </c>
      <c r="Y1027" s="849">
        <v>0.0</v>
      </c>
      <c r="Z1027" s="849">
        <v>0.0</v>
      </c>
      <c r="AA1027" s="849">
        <v>0.0</v>
      </c>
      <c r="AB1027" s="849">
        <v>0.0</v>
      </c>
      <c r="AC1027" s="849">
        <v>0.0</v>
      </c>
      <c r="AD1027" s="849">
        <v>0.0</v>
      </c>
      <c r="AE1027" s="849">
        <v>0.0</v>
      </c>
      <c r="AF1027" s="849">
        <v>0.0</v>
      </c>
      <c r="AG1027" s="849">
        <v>0.0</v>
      </c>
      <c r="AH1027" s="849">
        <v>0.0</v>
      </c>
      <c r="AI1027" s="849">
        <v>0.0</v>
      </c>
      <c r="AJ1027" s="794" t="str">
        <f t="shared" ref="AJ1027:AK1027" si="2051">C1027</f>
        <v>G67910</v>
      </c>
      <c r="AK1027" s="794" t="str">
        <f t="shared" si="2051"/>
        <v>COUT -M-ATELIER CLT-BODY</v>
      </c>
      <c r="AL1027" s="794">
        <f t="array" ref="AL1027">IFERROR(INDEX(G1027:R1027,1,MATCH(Parametres!$B$3,G$1:R$1,0)-1)*IF(OR(F1027="L",F1027="S",F1027="I"),-1,1),"")</f>
        <v>13259.36</v>
      </c>
      <c r="AM1027" s="794">
        <f t="shared" si="4"/>
        <v>8415.51</v>
      </c>
      <c r="AN1027" s="794">
        <f t="array" ref="AN1027">INDEX(G1027:R1027,1,MATCH(Parametres!$B$3,G$1:R$1,0))*IF(OR(F1027="L",F1027="S",F1027="I"),-1,1)</f>
        <v>21674.87</v>
      </c>
      <c r="AO1027" s="853" t="str">
        <f>+VLOOKUP($AJ1027,Data_Validation!$A:$D,1,0)</f>
        <v>G67910</v>
      </c>
      <c r="AP1027" s="853" t="str">
        <f>+VLOOKUP($AJ1027,Data_Validation!$A:$D,3,0)</f>
        <v>Carrosserie</v>
      </c>
      <c r="AQ1027" s="853" t="str">
        <f>+VLOOKUP($AJ1027,Data_Validation!$A:$D,4,0)</f>
        <v>Carrosserie Clients</v>
      </c>
      <c r="AR1027" s="853" t="s">
        <v>728</v>
      </c>
      <c r="AS1027" s="853" t="str">
        <f>+VLOOKUP($AJ1027,Data_Validation!$A:$E,5,0)</f>
        <v/>
      </c>
      <c r="AT1027" s="794" t="str">
        <f t="shared" ref="AT1027:AU1027" si="2052">C1027</f>
        <v>G67910</v>
      </c>
      <c r="AU1027" s="854" t="str">
        <f t="shared" si="2052"/>
        <v>COUT -M-ATELIER CLT-BODY</v>
      </c>
      <c r="AV1027" s="794">
        <f t="array" ref="AV1027">IFERROR(INDEX(V1027:AG1027,1,MATCH(Parametres!$B$3,V$1:AG$1,0)-1)*IF(OR(C1027="L",C1027="S",C1027="I"),-1,1),"")</f>
        <v>0</v>
      </c>
      <c r="AW1027" s="794">
        <f t="shared" si="6"/>
        <v>0</v>
      </c>
      <c r="AX1027" s="794">
        <f t="array" ref="AX1027">INDEX(V1027:AG1027,1,MATCH(Parametres!$B$3,V$1:AG$1,0))*IF(OR(C1027="L",C1027="S",C1027="I"),-1,1)</f>
        <v>0</v>
      </c>
      <c r="AY1027" s="853" t="s">
        <v>772</v>
      </c>
      <c r="AZ1027" s="853" t="str">
        <f>+VLOOKUP($AJ1027,Data_Validation!$A:$E,5,0)</f>
        <v/>
      </c>
    </row>
    <row r="1028" ht="15.0" customHeight="1">
      <c r="A1028" s="849" t="s">
        <v>1239</v>
      </c>
      <c r="B1028" s="849">
        <v>2026.0</v>
      </c>
      <c r="C1028" s="849" t="s">
        <v>1161</v>
      </c>
      <c r="D1028" s="849" t="s">
        <v>3230</v>
      </c>
      <c r="E1028" s="849" t="s">
        <v>768</v>
      </c>
      <c r="F1028" s="849" t="s">
        <v>2855</v>
      </c>
      <c r="G1028" s="849">
        <v>0.0</v>
      </c>
      <c r="H1028" s="849">
        <v>0.0</v>
      </c>
      <c r="I1028" s="849">
        <v>0.0</v>
      </c>
      <c r="J1028" s="849">
        <v>0.0</v>
      </c>
      <c r="K1028" s="849">
        <v>135.33</v>
      </c>
      <c r="L1028" s="849">
        <v>430.08</v>
      </c>
      <c r="M1028" s="849">
        <v>576.52</v>
      </c>
      <c r="N1028" s="849">
        <v>1023.78</v>
      </c>
      <c r="O1028" s="849">
        <v>1317.17</v>
      </c>
      <c r="P1028" s="849">
        <v>1347.59</v>
      </c>
      <c r="Q1028" s="849">
        <v>0.0</v>
      </c>
      <c r="R1028" s="849">
        <v>0.0</v>
      </c>
      <c r="S1028" s="849">
        <v>146.35</v>
      </c>
      <c r="T1028" s="849">
        <v>146.35</v>
      </c>
      <c r="U1028" s="849">
        <v>0.0</v>
      </c>
      <c r="V1028" s="849">
        <v>0.0</v>
      </c>
      <c r="W1028" s="849">
        <v>0.0</v>
      </c>
      <c r="X1028" s="849">
        <v>0.0</v>
      </c>
      <c r="Y1028" s="849">
        <v>0.0</v>
      </c>
      <c r="Z1028" s="849">
        <v>0.0</v>
      </c>
      <c r="AA1028" s="849">
        <v>0.0</v>
      </c>
      <c r="AB1028" s="849">
        <v>0.0</v>
      </c>
      <c r="AC1028" s="849">
        <v>0.0</v>
      </c>
      <c r="AD1028" s="849">
        <v>0.0</v>
      </c>
      <c r="AE1028" s="849">
        <v>0.0</v>
      </c>
      <c r="AF1028" s="849">
        <v>0.0</v>
      </c>
      <c r="AG1028" s="849">
        <v>0.0</v>
      </c>
      <c r="AH1028" s="849">
        <v>0.0</v>
      </c>
      <c r="AI1028" s="849">
        <v>0.0</v>
      </c>
      <c r="AJ1028" s="794" t="str">
        <f t="shared" ref="AJ1028:AK1028" si="2053">C1028</f>
        <v>G67913</v>
      </c>
      <c r="AK1028" s="794" t="str">
        <f t="shared" si="2053"/>
        <v>COUT -M. ATEL.INTERN-BODY</v>
      </c>
      <c r="AL1028" s="794">
        <f t="array" ref="AL1028">IFERROR(INDEX(G1028:R1028,1,MATCH(Parametres!$B$3,G$1:R$1,0)-1)*IF(OR(F1028="L",F1028="S",F1028="I"),-1,1),"")</f>
        <v>1023.78</v>
      </c>
      <c r="AM1028" s="794">
        <f t="shared" si="4"/>
        <v>293.39</v>
      </c>
      <c r="AN1028" s="794">
        <f t="array" ref="AN1028">INDEX(G1028:R1028,1,MATCH(Parametres!$B$3,G$1:R$1,0))*IF(OR(F1028="L",F1028="S",F1028="I"),-1,1)</f>
        <v>1317.17</v>
      </c>
      <c r="AO1028" s="853" t="str">
        <f>+VLOOKUP($AJ1028,Data_Validation!$A:$D,1,0)</f>
        <v>G67913</v>
      </c>
      <c r="AP1028" s="853" t="str">
        <f>+VLOOKUP($AJ1028,Data_Validation!$A:$D,3,0)</f>
        <v>Carrosserie</v>
      </c>
      <c r="AQ1028" s="853" t="str">
        <f>+VLOOKUP($AJ1028,Data_Validation!$A:$D,4,0)</f>
        <v>Carrosserie Interne</v>
      </c>
      <c r="AR1028" s="853" t="s">
        <v>728</v>
      </c>
      <c r="AS1028" s="853" t="str">
        <f>+VLOOKUP($AJ1028,Data_Validation!$A:$E,5,0)</f>
        <v/>
      </c>
      <c r="AT1028" s="794" t="str">
        <f t="shared" ref="AT1028:AU1028" si="2054">C1028</f>
        <v>G67913</v>
      </c>
      <c r="AU1028" s="854" t="str">
        <f t="shared" si="2054"/>
        <v>COUT -M. ATEL.INTERN-BODY</v>
      </c>
      <c r="AV1028" s="794">
        <f t="array" ref="AV1028">IFERROR(INDEX(V1028:AG1028,1,MATCH(Parametres!$B$3,V$1:AG$1,0)-1)*IF(OR(C1028="L",C1028="S",C1028="I"),-1,1),"")</f>
        <v>0</v>
      </c>
      <c r="AW1028" s="794">
        <f t="shared" si="6"/>
        <v>0</v>
      </c>
      <c r="AX1028" s="794">
        <f t="array" ref="AX1028">INDEX(V1028:AG1028,1,MATCH(Parametres!$B$3,V$1:AG$1,0))*IF(OR(C1028="L",C1028="S",C1028="I"),-1,1)</f>
        <v>0</v>
      </c>
      <c r="AY1028" s="853" t="s">
        <v>772</v>
      </c>
      <c r="AZ1028" s="853" t="str">
        <f>+VLOOKUP($AJ1028,Data_Validation!$A:$E,5,0)</f>
        <v/>
      </c>
    </row>
    <row r="1029" ht="15.0" customHeight="1">
      <c r="A1029" s="849" t="s">
        <v>1239</v>
      </c>
      <c r="B1029" s="849">
        <v>2026.0</v>
      </c>
      <c r="C1029" s="849" t="s">
        <v>1187</v>
      </c>
      <c r="D1029" s="849" t="s">
        <v>3231</v>
      </c>
      <c r="E1029" s="849" t="s">
        <v>768</v>
      </c>
      <c r="F1029" s="849" t="s">
        <v>2855</v>
      </c>
      <c r="G1029" s="849">
        <v>0.0</v>
      </c>
      <c r="H1029" s="849">
        <v>0.0</v>
      </c>
      <c r="I1029" s="849">
        <v>0.0</v>
      </c>
      <c r="J1029" s="849">
        <v>0.0</v>
      </c>
      <c r="K1029" s="849">
        <v>917.14</v>
      </c>
      <c r="L1029" s="849">
        <v>4198.89</v>
      </c>
      <c r="M1029" s="849">
        <v>5956.44</v>
      </c>
      <c r="N1029" s="849">
        <v>7822.78</v>
      </c>
      <c r="O1029" s="849">
        <v>9456.83</v>
      </c>
      <c r="P1029" s="849">
        <v>9896.56</v>
      </c>
      <c r="Q1029" s="849">
        <v>0.0</v>
      </c>
      <c r="R1029" s="849">
        <v>0.0</v>
      </c>
      <c r="S1029" s="849">
        <v>1050.76</v>
      </c>
      <c r="T1029" s="849">
        <v>1050.76</v>
      </c>
      <c r="U1029" s="849">
        <v>0.0</v>
      </c>
      <c r="V1029" s="849">
        <v>0.0</v>
      </c>
      <c r="W1029" s="849">
        <v>0.0</v>
      </c>
      <c r="X1029" s="849">
        <v>0.0</v>
      </c>
      <c r="Y1029" s="849">
        <v>0.0</v>
      </c>
      <c r="Z1029" s="849">
        <v>0.0</v>
      </c>
      <c r="AA1029" s="849">
        <v>0.0</v>
      </c>
      <c r="AB1029" s="849">
        <v>0.0</v>
      </c>
      <c r="AC1029" s="849">
        <v>0.0</v>
      </c>
      <c r="AD1029" s="849">
        <v>0.0</v>
      </c>
      <c r="AE1029" s="849">
        <v>0.0</v>
      </c>
      <c r="AF1029" s="849">
        <v>0.0</v>
      </c>
      <c r="AG1029" s="849">
        <v>0.0</v>
      </c>
      <c r="AH1029" s="849">
        <v>0.0</v>
      </c>
      <c r="AI1029" s="849">
        <v>0.0</v>
      </c>
      <c r="AJ1029" s="794" t="str">
        <f t="shared" ref="AJ1029:AK1029" si="2055">C1029</f>
        <v>G67915</v>
      </c>
      <c r="AK1029" s="794" t="str">
        <f t="shared" si="2055"/>
        <v>COUT -M.A CONCES. BODY</v>
      </c>
      <c r="AL1029" s="794">
        <f t="array" ref="AL1029">IFERROR(INDEX(G1029:R1029,1,MATCH(Parametres!$B$3,G$1:R$1,0)-1)*IF(OR(F1029="L",F1029="S",F1029="I"),-1,1),"")</f>
        <v>7822.78</v>
      </c>
      <c r="AM1029" s="794">
        <f t="shared" si="4"/>
        <v>1634.05</v>
      </c>
      <c r="AN1029" s="794">
        <f t="array" ref="AN1029">INDEX(G1029:R1029,1,MATCH(Parametres!$B$3,G$1:R$1,0))*IF(OR(F1029="L",F1029="S",F1029="I"),-1,1)</f>
        <v>9456.83</v>
      </c>
      <c r="AO1029" s="853" t="str">
        <f>+VLOOKUP($AJ1029,Data_Validation!$A:$D,1,0)</f>
        <v>G67915</v>
      </c>
      <c r="AP1029" s="853" t="str">
        <f>+VLOOKUP($AJ1029,Data_Validation!$A:$D,3,0)</f>
        <v>Carrosserie</v>
      </c>
      <c r="AQ1029" s="853" t="str">
        <f>+VLOOKUP($AJ1029,Data_Validation!$A:$D,4,0)</f>
        <v>Carrosserie Concessions</v>
      </c>
      <c r="AR1029" s="853" t="s">
        <v>728</v>
      </c>
      <c r="AS1029" s="853" t="str">
        <f>+VLOOKUP($AJ1029,Data_Validation!$A:$E,5,0)</f>
        <v/>
      </c>
      <c r="AT1029" s="794" t="str">
        <f t="shared" ref="AT1029:AU1029" si="2056">C1029</f>
        <v>G67915</v>
      </c>
      <c r="AU1029" s="854" t="str">
        <f t="shared" si="2056"/>
        <v>COUT -M.A CONCES. BODY</v>
      </c>
      <c r="AV1029" s="794">
        <f t="array" ref="AV1029">IFERROR(INDEX(V1029:AG1029,1,MATCH(Parametres!$B$3,V$1:AG$1,0)-1)*IF(OR(C1029="L",C1029="S",C1029="I"),-1,1),"")</f>
        <v>0</v>
      </c>
      <c r="AW1029" s="794">
        <f t="shared" si="6"/>
        <v>0</v>
      </c>
      <c r="AX1029" s="794">
        <f t="array" ref="AX1029">INDEX(V1029:AG1029,1,MATCH(Parametres!$B$3,V$1:AG$1,0))*IF(OR(C1029="L",C1029="S",C1029="I"),-1,1)</f>
        <v>0</v>
      </c>
      <c r="AY1029" s="853" t="s">
        <v>772</v>
      </c>
      <c r="AZ1029" s="853" t="str">
        <f>+VLOOKUP($AJ1029,Data_Validation!$A:$E,5,0)</f>
        <v/>
      </c>
    </row>
    <row r="1030" ht="15.0" customHeight="1">
      <c r="A1030" s="849" t="s">
        <v>1239</v>
      </c>
      <c r="B1030" s="849">
        <v>2026.0</v>
      </c>
      <c r="C1030" s="849" t="s">
        <v>3232</v>
      </c>
      <c r="D1030" s="849" t="s">
        <v>3233</v>
      </c>
      <c r="E1030" s="849" t="s">
        <v>768</v>
      </c>
      <c r="F1030" s="849" t="s">
        <v>2855</v>
      </c>
      <c r="G1030" s="849">
        <v>39483.88</v>
      </c>
      <c r="H1030" s="849">
        <v>76073.99</v>
      </c>
      <c r="I1030" s="849">
        <v>130785.66</v>
      </c>
      <c r="J1030" s="849">
        <v>172149.29</v>
      </c>
      <c r="K1030" s="849">
        <v>191580.21</v>
      </c>
      <c r="L1030" s="849">
        <v>255802.79</v>
      </c>
      <c r="M1030" s="849">
        <v>294788.87</v>
      </c>
      <c r="N1030" s="849">
        <v>356817.75</v>
      </c>
      <c r="O1030" s="849">
        <v>386648.51</v>
      </c>
      <c r="P1030" s="849">
        <v>392533.85</v>
      </c>
      <c r="Q1030" s="849">
        <v>0.0</v>
      </c>
      <c r="R1030" s="849">
        <v>0.0</v>
      </c>
      <c r="S1030" s="849">
        <v>42960.95</v>
      </c>
      <c r="T1030" s="849">
        <v>42960.95</v>
      </c>
      <c r="U1030" s="849">
        <v>0.0</v>
      </c>
      <c r="V1030" s="849">
        <v>0.0</v>
      </c>
      <c r="W1030" s="849">
        <v>0.0</v>
      </c>
      <c r="X1030" s="849">
        <v>0.0</v>
      </c>
      <c r="Y1030" s="849">
        <v>0.0</v>
      </c>
      <c r="Z1030" s="849">
        <v>0.0</v>
      </c>
      <c r="AA1030" s="849">
        <v>0.0</v>
      </c>
      <c r="AB1030" s="849">
        <v>0.0</v>
      </c>
      <c r="AC1030" s="849">
        <v>0.0</v>
      </c>
      <c r="AD1030" s="849">
        <v>0.0</v>
      </c>
      <c r="AE1030" s="849">
        <v>0.0</v>
      </c>
      <c r="AF1030" s="849">
        <v>0.0</v>
      </c>
      <c r="AG1030" s="849">
        <v>0.0</v>
      </c>
      <c r="AH1030" s="849">
        <v>0.0</v>
      </c>
      <c r="AI1030" s="849">
        <v>0.0</v>
      </c>
      <c r="AJ1030" s="794" t="str">
        <f t="shared" ref="AJ1030:AK1030" si="2057">C1030</f>
        <v>G68000</v>
      </c>
      <c r="AK1030" s="794" t="str">
        <f t="shared" si="2057"/>
        <v>COUT-PIECE GARANTIE</v>
      </c>
      <c r="AL1030" s="794">
        <f t="array" ref="AL1030">IFERROR(INDEX(G1030:R1030,1,MATCH(Parametres!$B$3,G$1:R$1,0)-1)*IF(OR(F1030="L",F1030="S",F1030="I"),-1,1),"")</f>
        <v>356817.75</v>
      </c>
      <c r="AM1030" s="794">
        <f t="shared" si="4"/>
        <v>29830.76</v>
      </c>
      <c r="AN1030" s="794">
        <f t="array" ref="AN1030">INDEX(G1030:R1030,1,MATCH(Parametres!$B$3,G$1:R$1,0))*IF(OR(F1030="L",F1030="S",F1030="I"),-1,1)</f>
        <v>386648.51</v>
      </c>
      <c r="AO1030" s="853" t="str">
        <f>+VLOOKUP($AJ1030,Data_Validation!$A:$D,1,0)</f>
        <v>G68000</v>
      </c>
      <c r="AP1030" s="853" t="str">
        <f>+VLOOKUP($AJ1030,Data_Validation!$A:$D,3,0)</f>
        <v>Pièces</v>
      </c>
      <c r="AQ1030" s="853" t="str">
        <f>+VLOOKUP($AJ1030,Data_Validation!$A:$D,4,0)</f>
        <v>P/A Garantie</v>
      </c>
      <c r="AR1030" s="853" t="s">
        <v>728</v>
      </c>
      <c r="AS1030" s="853" t="str">
        <f>+VLOOKUP($AJ1030,Data_Validation!$A:$E,5,0)</f>
        <v/>
      </c>
      <c r="AT1030" s="794" t="str">
        <f t="shared" ref="AT1030:AU1030" si="2058">C1030</f>
        <v>G68000</v>
      </c>
      <c r="AU1030" s="854" t="str">
        <f t="shared" si="2058"/>
        <v>COUT-PIECE GARANTIE</v>
      </c>
      <c r="AV1030" s="794">
        <f t="array" ref="AV1030">IFERROR(INDEX(V1030:AG1030,1,MATCH(Parametres!$B$3,V$1:AG$1,0)-1)*IF(OR(C1030="L",C1030="S",C1030="I"),-1,1),"")</f>
        <v>0</v>
      </c>
      <c r="AW1030" s="794">
        <f t="shared" si="6"/>
        <v>0</v>
      </c>
      <c r="AX1030" s="794">
        <f t="array" ref="AX1030">INDEX(V1030:AG1030,1,MATCH(Parametres!$B$3,V$1:AG$1,0))*IF(OR(C1030="L",C1030="S",C1030="I"),-1,1)</f>
        <v>0</v>
      </c>
      <c r="AY1030" s="853" t="s">
        <v>772</v>
      </c>
      <c r="AZ1030" s="853" t="str">
        <f>+VLOOKUP($AJ1030,Data_Validation!$A:$E,5,0)</f>
        <v/>
      </c>
    </row>
    <row r="1031" ht="15.0" customHeight="1">
      <c r="A1031" s="849" t="s">
        <v>1239</v>
      </c>
      <c r="B1031" s="849">
        <v>2026.0</v>
      </c>
      <c r="C1031" s="849" t="s">
        <v>3234</v>
      </c>
      <c r="D1031" s="849" t="s">
        <v>3235</v>
      </c>
      <c r="E1031" s="849" t="s">
        <v>768</v>
      </c>
      <c r="F1031" s="849" t="s">
        <v>2855</v>
      </c>
      <c r="G1031" s="849">
        <v>0.0</v>
      </c>
      <c r="H1031" s="849">
        <v>0.0</v>
      </c>
      <c r="I1031" s="849">
        <v>0.0</v>
      </c>
      <c r="J1031" s="849">
        <v>0.0</v>
      </c>
      <c r="K1031" s="849">
        <v>0.0</v>
      </c>
      <c r="L1031" s="849">
        <v>0.0</v>
      </c>
      <c r="M1031" s="849">
        <v>0.0</v>
      </c>
      <c r="N1031" s="849">
        <v>0.0</v>
      </c>
      <c r="O1031" s="849">
        <v>0.0</v>
      </c>
      <c r="P1031" s="849">
        <v>0.0</v>
      </c>
      <c r="Q1031" s="849">
        <v>0.0</v>
      </c>
      <c r="R1031" s="849">
        <v>0.0</v>
      </c>
      <c r="S1031" s="849">
        <v>0.0</v>
      </c>
      <c r="T1031" s="849">
        <v>0.0</v>
      </c>
      <c r="U1031" s="849">
        <v>0.0</v>
      </c>
      <c r="V1031" s="849">
        <v>0.0</v>
      </c>
      <c r="W1031" s="849">
        <v>0.0</v>
      </c>
      <c r="X1031" s="849">
        <v>0.0</v>
      </c>
      <c r="Y1031" s="849">
        <v>0.0</v>
      </c>
      <c r="Z1031" s="849">
        <v>0.0</v>
      </c>
      <c r="AA1031" s="849">
        <v>0.0</v>
      </c>
      <c r="AB1031" s="849">
        <v>0.0</v>
      </c>
      <c r="AC1031" s="849">
        <v>0.0</v>
      </c>
      <c r="AD1031" s="849">
        <v>0.0</v>
      </c>
      <c r="AE1031" s="849">
        <v>0.0</v>
      </c>
      <c r="AF1031" s="849">
        <v>0.0</v>
      </c>
      <c r="AG1031" s="849">
        <v>0.0</v>
      </c>
      <c r="AH1031" s="849">
        <v>0.0</v>
      </c>
      <c r="AI1031" s="849">
        <v>0.0</v>
      </c>
      <c r="AJ1031" s="794" t="str">
        <f t="shared" ref="AJ1031:AK1031" si="2059">C1031</f>
        <v>G68020</v>
      </c>
      <c r="AK1031" s="794" t="str">
        <f t="shared" si="2059"/>
        <v>COUT-P&amp;A RECLAM.CAM MOYEN</v>
      </c>
      <c r="AL1031" s="794">
        <f t="array" ref="AL1031">IFERROR(INDEX(G1031:R1031,1,MATCH(Parametres!$B$3,G$1:R$1,0)-1)*IF(OR(F1031="L",F1031="S",F1031="I"),-1,1),"")</f>
        <v>0</v>
      </c>
      <c r="AM1031" s="794">
        <f t="shared" si="4"/>
        <v>0</v>
      </c>
      <c r="AN1031" s="794">
        <f t="array" ref="AN1031">INDEX(G1031:R1031,1,MATCH(Parametres!$B$3,G$1:R$1,0))*IF(OR(F1031="L",F1031="S",F1031="I"),-1,1)</f>
        <v>0</v>
      </c>
      <c r="AO1031" s="853" t="str">
        <f>+VLOOKUP($AJ1031,Data_Validation!$A:$D,1,0)</f>
        <v>G68020</v>
      </c>
      <c r="AP1031" s="853" t="str">
        <f>+VLOOKUP($AJ1031,Data_Validation!$A:$D,3,0)</f>
        <v>Pièces</v>
      </c>
      <c r="AQ1031" s="853" t="str">
        <f>+VLOOKUP($AJ1031,Data_Validation!$A:$D,4,0)</f>
        <v>P/A Garantie</v>
      </c>
      <c r="AR1031" s="853" t="s">
        <v>728</v>
      </c>
      <c r="AS1031" s="853" t="str">
        <f>+VLOOKUP($AJ1031,Data_Validation!$A:$E,5,0)</f>
        <v/>
      </c>
      <c r="AT1031" s="794" t="str">
        <f t="shared" ref="AT1031:AU1031" si="2060">C1031</f>
        <v>G68020</v>
      </c>
      <c r="AU1031" s="854" t="str">
        <f t="shared" si="2060"/>
        <v>COUT-P&amp;A RECLAM.CAM MOYEN</v>
      </c>
      <c r="AV1031" s="794">
        <f t="array" ref="AV1031">IFERROR(INDEX(V1031:AG1031,1,MATCH(Parametres!$B$3,V$1:AG$1,0)-1)*IF(OR(C1031="L",C1031="S",C1031="I"),-1,1),"")</f>
        <v>0</v>
      </c>
      <c r="AW1031" s="794">
        <f t="shared" si="6"/>
        <v>0</v>
      </c>
      <c r="AX1031" s="794">
        <f t="array" ref="AX1031">INDEX(V1031:AG1031,1,MATCH(Parametres!$B$3,V$1:AG$1,0))*IF(OR(C1031="L",C1031="S",C1031="I"),-1,1)</f>
        <v>0</v>
      </c>
      <c r="AY1031" s="853" t="s">
        <v>772</v>
      </c>
      <c r="AZ1031" s="853" t="str">
        <f>+VLOOKUP($AJ1031,Data_Validation!$A:$E,5,0)</f>
        <v/>
      </c>
    </row>
    <row r="1032" ht="15.0" customHeight="1">
      <c r="A1032" s="849" t="s">
        <v>1239</v>
      </c>
      <c r="B1032" s="849">
        <v>2026.0</v>
      </c>
      <c r="C1032" s="849" t="s">
        <v>3236</v>
      </c>
      <c r="D1032" s="849" t="s">
        <v>3237</v>
      </c>
      <c r="E1032" s="849" t="s">
        <v>768</v>
      </c>
      <c r="F1032" s="849" t="s">
        <v>2855</v>
      </c>
      <c r="G1032" s="849">
        <v>29709.91</v>
      </c>
      <c r="H1032" s="849">
        <v>68901.85</v>
      </c>
      <c r="I1032" s="849">
        <v>110629.82</v>
      </c>
      <c r="J1032" s="849">
        <v>157545.8</v>
      </c>
      <c r="K1032" s="849">
        <v>185833.58</v>
      </c>
      <c r="L1032" s="849">
        <v>218696.64</v>
      </c>
      <c r="M1032" s="849">
        <v>248135.07</v>
      </c>
      <c r="N1032" s="849">
        <v>274902.86</v>
      </c>
      <c r="O1032" s="849">
        <v>303969.06</v>
      </c>
      <c r="P1032" s="849">
        <v>314290.49</v>
      </c>
      <c r="Q1032" s="849">
        <v>0.0</v>
      </c>
      <c r="R1032" s="849">
        <v>0.0</v>
      </c>
      <c r="S1032" s="849">
        <v>33774.34</v>
      </c>
      <c r="T1032" s="849">
        <v>33774.34</v>
      </c>
      <c r="U1032" s="849">
        <v>0.0</v>
      </c>
      <c r="V1032" s="849">
        <v>0.0</v>
      </c>
      <c r="W1032" s="849">
        <v>0.0</v>
      </c>
      <c r="X1032" s="849">
        <v>0.0</v>
      </c>
      <c r="Y1032" s="849">
        <v>0.0</v>
      </c>
      <c r="Z1032" s="849">
        <v>0.0</v>
      </c>
      <c r="AA1032" s="849">
        <v>0.0</v>
      </c>
      <c r="AB1032" s="849">
        <v>0.0</v>
      </c>
      <c r="AC1032" s="849">
        <v>0.0</v>
      </c>
      <c r="AD1032" s="849">
        <v>0.0</v>
      </c>
      <c r="AE1032" s="849">
        <v>0.0</v>
      </c>
      <c r="AF1032" s="849">
        <v>0.0</v>
      </c>
      <c r="AG1032" s="849">
        <v>0.0</v>
      </c>
      <c r="AH1032" s="849">
        <v>0.0</v>
      </c>
      <c r="AI1032" s="849">
        <v>0.0</v>
      </c>
      <c r="AJ1032" s="794" t="str">
        <f t="shared" ref="AJ1032:AK1032" si="2061">C1032</f>
        <v>G68100</v>
      </c>
      <c r="AK1032" s="794" t="str">
        <f t="shared" si="2061"/>
        <v>COUT-PIECES INTERNE</v>
      </c>
      <c r="AL1032" s="794">
        <f t="array" ref="AL1032">IFERROR(INDEX(G1032:R1032,1,MATCH(Parametres!$B$3,G$1:R$1,0)-1)*IF(OR(F1032="L",F1032="S",F1032="I"),-1,1),"")</f>
        <v>274902.86</v>
      </c>
      <c r="AM1032" s="794">
        <f t="shared" si="4"/>
        <v>29066.2</v>
      </c>
      <c r="AN1032" s="794">
        <f t="array" ref="AN1032">INDEX(G1032:R1032,1,MATCH(Parametres!$B$3,G$1:R$1,0))*IF(OR(F1032="L",F1032="S",F1032="I"),-1,1)</f>
        <v>303969.06</v>
      </c>
      <c r="AO1032" s="853" t="str">
        <f>+VLOOKUP($AJ1032,Data_Validation!$A:$D,1,0)</f>
        <v>G68100</v>
      </c>
      <c r="AP1032" s="853" t="str">
        <f>+VLOOKUP($AJ1032,Data_Validation!$A:$D,3,0)</f>
        <v>Pièces</v>
      </c>
      <c r="AQ1032" s="853" t="str">
        <f>+VLOOKUP($AJ1032,Data_Validation!$A:$D,4,0)</f>
        <v>Ventes Internes</v>
      </c>
      <c r="AR1032" s="853" t="s">
        <v>728</v>
      </c>
      <c r="AS1032" s="853" t="str">
        <f>+VLOOKUP($AJ1032,Data_Validation!$A:$E,5,0)</f>
        <v/>
      </c>
      <c r="AT1032" s="794" t="str">
        <f t="shared" ref="AT1032:AU1032" si="2062">C1032</f>
        <v>G68100</v>
      </c>
      <c r="AU1032" s="854" t="str">
        <f t="shared" si="2062"/>
        <v>COUT-PIECES INTERNE</v>
      </c>
      <c r="AV1032" s="794">
        <f t="array" ref="AV1032">IFERROR(INDEX(V1032:AG1032,1,MATCH(Parametres!$B$3,V$1:AG$1,0)-1)*IF(OR(C1032="L",C1032="S",C1032="I"),-1,1),"")</f>
        <v>0</v>
      </c>
      <c r="AW1032" s="794">
        <f t="shared" si="6"/>
        <v>0</v>
      </c>
      <c r="AX1032" s="794">
        <f t="array" ref="AX1032">INDEX(V1032:AG1032,1,MATCH(Parametres!$B$3,V$1:AG$1,0))*IF(OR(C1032="L",C1032="S",C1032="I"),-1,1)</f>
        <v>0</v>
      </c>
      <c r="AY1032" s="853" t="s">
        <v>772</v>
      </c>
      <c r="AZ1032" s="853" t="str">
        <f>+VLOOKUP($AJ1032,Data_Validation!$A:$E,5,0)</f>
        <v/>
      </c>
    </row>
    <row r="1033" ht="15.0" customHeight="1">
      <c r="A1033" s="849" t="s">
        <v>1239</v>
      </c>
      <c r="B1033" s="849">
        <v>2026.0</v>
      </c>
      <c r="C1033" s="849" t="s">
        <v>3238</v>
      </c>
      <c r="D1033" s="849" t="s">
        <v>3239</v>
      </c>
      <c r="E1033" s="849" t="s">
        <v>768</v>
      </c>
      <c r="F1033" s="849" t="s">
        <v>2855</v>
      </c>
      <c r="G1033" s="849">
        <v>0.0</v>
      </c>
      <c r="H1033" s="849">
        <v>0.0</v>
      </c>
      <c r="I1033" s="849">
        <v>0.0</v>
      </c>
      <c r="J1033" s="849">
        <v>0.0</v>
      </c>
      <c r="K1033" s="849">
        <v>0.0</v>
      </c>
      <c r="L1033" s="849">
        <v>0.0</v>
      </c>
      <c r="M1033" s="849">
        <v>0.0</v>
      </c>
      <c r="N1033" s="849">
        <v>0.0</v>
      </c>
      <c r="O1033" s="849">
        <v>0.0</v>
      </c>
      <c r="P1033" s="849">
        <v>0.0</v>
      </c>
      <c r="Q1033" s="849">
        <v>0.0</v>
      </c>
      <c r="R1033" s="849">
        <v>0.0</v>
      </c>
      <c r="S1033" s="849">
        <v>0.0</v>
      </c>
      <c r="T1033" s="849">
        <v>0.0</v>
      </c>
      <c r="U1033" s="849">
        <v>0.0</v>
      </c>
      <c r="V1033" s="849">
        <v>0.0</v>
      </c>
      <c r="W1033" s="849">
        <v>0.0</v>
      </c>
      <c r="X1033" s="849">
        <v>0.0</v>
      </c>
      <c r="Y1033" s="849">
        <v>0.0</v>
      </c>
      <c r="Z1033" s="849">
        <v>0.0</v>
      </c>
      <c r="AA1033" s="849">
        <v>0.0</v>
      </c>
      <c r="AB1033" s="849">
        <v>0.0</v>
      </c>
      <c r="AC1033" s="849">
        <v>0.0</v>
      </c>
      <c r="AD1033" s="849">
        <v>0.0</v>
      </c>
      <c r="AE1033" s="849">
        <v>0.0</v>
      </c>
      <c r="AF1033" s="849">
        <v>0.0</v>
      </c>
      <c r="AG1033" s="849">
        <v>0.0</v>
      </c>
      <c r="AH1033" s="849">
        <v>0.0</v>
      </c>
      <c r="AI1033" s="849">
        <v>0.0</v>
      </c>
      <c r="AJ1033" s="794" t="str">
        <f t="shared" ref="AJ1033:AK1033" si="2063">C1033</f>
        <v>G68120</v>
      </c>
      <c r="AK1033" s="794" t="str">
        <f t="shared" si="2063"/>
        <v>COUT-P&amp;A INTERN CAM MOYEN</v>
      </c>
      <c r="AL1033" s="794">
        <f t="array" ref="AL1033">IFERROR(INDEX(G1033:R1033,1,MATCH(Parametres!$B$3,G$1:R$1,0)-1)*IF(OR(F1033="L",F1033="S",F1033="I"),-1,1),"")</f>
        <v>0</v>
      </c>
      <c r="AM1033" s="794">
        <f t="shared" si="4"/>
        <v>0</v>
      </c>
      <c r="AN1033" s="794">
        <f t="array" ref="AN1033">INDEX(G1033:R1033,1,MATCH(Parametres!$B$3,G$1:R$1,0))*IF(OR(F1033="L",F1033="S",F1033="I"),-1,1)</f>
        <v>0</v>
      </c>
      <c r="AO1033" s="853" t="str">
        <f>+VLOOKUP($AJ1033,Data_Validation!$A:$D,1,0)</f>
        <v>G68120</v>
      </c>
      <c r="AP1033" s="853" t="str">
        <f>+VLOOKUP($AJ1033,Data_Validation!$A:$D,3,0)</f>
        <v>Pièces</v>
      </c>
      <c r="AQ1033" s="853" t="str">
        <f>+VLOOKUP($AJ1033,Data_Validation!$A:$D,4,0)</f>
        <v>Ventes Internes</v>
      </c>
      <c r="AR1033" s="853" t="s">
        <v>728</v>
      </c>
      <c r="AS1033" s="853" t="str">
        <f>+VLOOKUP($AJ1033,Data_Validation!$A:$E,5,0)</f>
        <v/>
      </c>
      <c r="AT1033" s="794" t="str">
        <f t="shared" ref="AT1033:AU1033" si="2064">C1033</f>
        <v>G68120</v>
      </c>
      <c r="AU1033" s="854" t="str">
        <f t="shared" si="2064"/>
        <v>COUT-P&amp;A INTERN CAM MOYEN</v>
      </c>
      <c r="AV1033" s="794">
        <f t="array" ref="AV1033">IFERROR(INDEX(V1033:AG1033,1,MATCH(Parametres!$B$3,V$1:AG$1,0)-1)*IF(OR(C1033="L",C1033="S",C1033="I"),-1,1),"")</f>
        <v>0</v>
      </c>
      <c r="AW1033" s="794">
        <f t="shared" si="6"/>
        <v>0</v>
      </c>
      <c r="AX1033" s="794">
        <f t="array" ref="AX1033">INDEX(V1033:AG1033,1,MATCH(Parametres!$B$3,V$1:AG$1,0))*IF(OR(C1033="L",C1033="S",C1033="I"),-1,1)</f>
        <v>0</v>
      </c>
      <c r="AY1033" s="853" t="s">
        <v>772</v>
      </c>
      <c r="AZ1033" s="853" t="str">
        <f>+VLOOKUP($AJ1033,Data_Validation!$A:$E,5,0)</f>
        <v/>
      </c>
    </row>
    <row r="1034" ht="15.0" customHeight="1">
      <c r="A1034" s="849" t="s">
        <v>1239</v>
      </c>
      <c r="B1034" s="849">
        <v>2026.0</v>
      </c>
      <c r="C1034" s="849" t="s">
        <v>3240</v>
      </c>
      <c r="D1034" s="849" t="s">
        <v>3241</v>
      </c>
      <c r="E1034" s="849" t="s">
        <v>768</v>
      </c>
      <c r="F1034" s="849" t="s">
        <v>2855</v>
      </c>
      <c r="G1034" s="849">
        <v>21304.98</v>
      </c>
      <c r="H1034" s="849">
        <v>37077.14</v>
      </c>
      <c r="I1034" s="849">
        <v>69456.76</v>
      </c>
      <c r="J1034" s="849">
        <v>99247.83</v>
      </c>
      <c r="K1034" s="849">
        <v>128788.14</v>
      </c>
      <c r="L1034" s="849">
        <v>167695.61</v>
      </c>
      <c r="M1034" s="849">
        <v>212830.63</v>
      </c>
      <c r="N1034" s="849">
        <v>238127.33</v>
      </c>
      <c r="O1034" s="849">
        <v>262480.88</v>
      </c>
      <c r="P1034" s="849">
        <v>273142.67</v>
      </c>
      <c r="Q1034" s="849">
        <v>0.0</v>
      </c>
      <c r="R1034" s="849">
        <v>0.0</v>
      </c>
      <c r="S1034" s="849">
        <v>29164.54</v>
      </c>
      <c r="T1034" s="849">
        <v>29164.54</v>
      </c>
      <c r="U1034" s="849">
        <v>0.0</v>
      </c>
      <c r="V1034" s="849">
        <v>0.0</v>
      </c>
      <c r="W1034" s="849">
        <v>0.0</v>
      </c>
      <c r="X1034" s="849">
        <v>0.0</v>
      </c>
      <c r="Y1034" s="849">
        <v>0.0</v>
      </c>
      <c r="Z1034" s="849">
        <v>0.0</v>
      </c>
      <c r="AA1034" s="849">
        <v>0.0</v>
      </c>
      <c r="AB1034" s="849">
        <v>0.0</v>
      </c>
      <c r="AC1034" s="849">
        <v>0.0</v>
      </c>
      <c r="AD1034" s="849">
        <v>0.0</v>
      </c>
      <c r="AE1034" s="849">
        <v>0.0</v>
      </c>
      <c r="AF1034" s="849">
        <v>0.0</v>
      </c>
      <c r="AG1034" s="849">
        <v>0.0</v>
      </c>
      <c r="AH1034" s="849">
        <v>0.0</v>
      </c>
      <c r="AI1034" s="849">
        <v>0.0</v>
      </c>
      <c r="AJ1034" s="794" t="str">
        <f t="shared" ref="AJ1034:AK1034" si="2065">C1034</f>
        <v>G68200</v>
      </c>
      <c r="AK1034" s="794" t="str">
        <f t="shared" si="2065"/>
        <v>COUT-PIECES AU DETAIL</v>
      </c>
      <c r="AL1034" s="794">
        <f t="array" ref="AL1034">IFERROR(INDEX(G1034:R1034,1,MATCH(Parametres!$B$3,G$1:R$1,0)-1)*IF(OR(F1034="L",F1034="S",F1034="I"),-1,1),"")</f>
        <v>238127.33</v>
      </c>
      <c r="AM1034" s="794">
        <f t="shared" si="4"/>
        <v>24353.55</v>
      </c>
      <c r="AN1034" s="794">
        <f t="array" ref="AN1034">INDEX(G1034:R1034,1,MATCH(Parametres!$B$3,G$1:R$1,0))*IF(OR(F1034="L",F1034="S",F1034="I"),-1,1)</f>
        <v>262480.88</v>
      </c>
      <c r="AO1034" s="853" t="str">
        <f>+VLOOKUP($AJ1034,Data_Validation!$A:$D,1,0)</f>
        <v>G68200</v>
      </c>
      <c r="AP1034" s="853" t="str">
        <f>+VLOOKUP($AJ1034,Data_Validation!$A:$D,3,0)</f>
        <v>Pièces</v>
      </c>
      <c r="AQ1034" s="853" t="str">
        <f>+VLOOKUP($AJ1034,Data_Validation!$A:$D,4,0)</f>
        <v>Ventes Détails</v>
      </c>
      <c r="AR1034" s="853" t="s">
        <v>728</v>
      </c>
      <c r="AS1034" s="853" t="str">
        <f>+VLOOKUP($AJ1034,Data_Validation!$A:$E,5,0)</f>
        <v/>
      </c>
      <c r="AT1034" s="794" t="str">
        <f t="shared" ref="AT1034:AU1034" si="2066">C1034</f>
        <v>G68200</v>
      </c>
      <c r="AU1034" s="854" t="str">
        <f t="shared" si="2066"/>
        <v>COUT-PIECES AU DETAIL</v>
      </c>
      <c r="AV1034" s="794">
        <f t="array" ref="AV1034">IFERROR(INDEX(V1034:AG1034,1,MATCH(Parametres!$B$3,V$1:AG$1,0)-1)*IF(OR(C1034="L",C1034="S",C1034="I"),-1,1),"")</f>
        <v>0</v>
      </c>
      <c r="AW1034" s="794">
        <f t="shared" si="6"/>
        <v>0</v>
      </c>
      <c r="AX1034" s="794">
        <f t="array" ref="AX1034">INDEX(V1034:AG1034,1,MATCH(Parametres!$B$3,V$1:AG$1,0))*IF(OR(C1034="L",C1034="S",C1034="I"),-1,1)</f>
        <v>0</v>
      </c>
      <c r="AY1034" s="853" t="s">
        <v>772</v>
      </c>
      <c r="AZ1034" s="853" t="str">
        <f>+VLOOKUP($AJ1034,Data_Validation!$A:$E,5,0)</f>
        <v/>
      </c>
    </row>
    <row r="1035" ht="15.0" customHeight="1">
      <c r="A1035" s="849" t="s">
        <v>1239</v>
      </c>
      <c r="B1035" s="849">
        <v>2026.0</v>
      </c>
      <c r="C1035" s="849" t="s">
        <v>3242</v>
      </c>
      <c r="D1035" s="849" t="s">
        <v>3243</v>
      </c>
      <c r="E1035" s="849" t="s">
        <v>768</v>
      </c>
      <c r="F1035" s="849" t="s">
        <v>2855</v>
      </c>
      <c r="G1035" s="849">
        <v>147820.2</v>
      </c>
      <c r="H1035" s="849">
        <v>262818.71</v>
      </c>
      <c r="I1035" s="849">
        <v>371846.67</v>
      </c>
      <c r="J1035" s="849">
        <v>447721.11</v>
      </c>
      <c r="K1035" s="849">
        <v>553773.17</v>
      </c>
      <c r="L1035" s="849">
        <v>658467.67</v>
      </c>
      <c r="M1035" s="849">
        <v>772589.17</v>
      </c>
      <c r="N1035" s="849">
        <v>865849.91</v>
      </c>
      <c r="O1035" s="849">
        <v>984081.13</v>
      </c>
      <c r="P1035" s="849">
        <v>1016989.29</v>
      </c>
      <c r="Q1035" s="849">
        <v>0.0</v>
      </c>
      <c r="R1035" s="849">
        <v>0.0</v>
      </c>
      <c r="S1035" s="849">
        <v>109342.35</v>
      </c>
      <c r="T1035" s="849">
        <v>109342.35</v>
      </c>
      <c r="U1035" s="849">
        <v>0.0</v>
      </c>
      <c r="V1035" s="849">
        <v>0.0</v>
      </c>
      <c r="W1035" s="849">
        <v>0.0</v>
      </c>
      <c r="X1035" s="849">
        <v>0.0</v>
      </c>
      <c r="Y1035" s="849">
        <v>0.0</v>
      </c>
      <c r="Z1035" s="849">
        <v>0.0</v>
      </c>
      <c r="AA1035" s="849">
        <v>0.0</v>
      </c>
      <c r="AB1035" s="849">
        <v>0.0</v>
      </c>
      <c r="AC1035" s="849">
        <v>0.0</v>
      </c>
      <c r="AD1035" s="849">
        <v>0.0</v>
      </c>
      <c r="AE1035" s="849">
        <v>0.0</v>
      </c>
      <c r="AF1035" s="849">
        <v>0.0</v>
      </c>
      <c r="AG1035" s="849">
        <v>0.0</v>
      </c>
      <c r="AH1035" s="849">
        <v>0.0</v>
      </c>
      <c r="AI1035" s="849">
        <v>0.0</v>
      </c>
      <c r="AJ1035" s="794" t="str">
        <f t="shared" ref="AJ1035:AK1035" si="2067">C1035</f>
        <v>G68300</v>
      </c>
      <c r="AK1035" s="794" t="str">
        <f t="shared" si="2067"/>
        <v>COUT-PIECES EN GROS</v>
      </c>
      <c r="AL1035" s="794">
        <f t="array" ref="AL1035">IFERROR(INDEX(G1035:R1035,1,MATCH(Parametres!$B$3,G$1:R$1,0)-1)*IF(OR(F1035="L",F1035="S",F1035="I"),-1,1),"")</f>
        <v>865849.91</v>
      </c>
      <c r="AM1035" s="794">
        <f t="shared" si="4"/>
        <v>118231.22</v>
      </c>
      <c r="AN1035" s="794">
        <f t="array" ref="AN1035">INDEX(G1035:R1035,1,MATCH(Parametres!$B$3,G$1:R$1,0))*IF(OR(F1035="L",F1035="S",F1035="I"),-1,1)</f>
        <v>984081.13</v>
      </c>
      <c r="AO1035" s="853" t="str">
        <f>+VLOOKUP($AJ1035,Data_Validation!$A:$D,1,0)</f>
        <v>G68300</v>
      </c>
      <c r="AP1035" s="853" t="str">
        <f>+VLOOKUP($AJ1035,Data_Validation!$A:$D,3,0)</f>
        <v>Pièces</v>
      </c>
      <c r="AQ1035" s="853" t="str">
        <f>+VLOOKUP($AJ1035,Data_Validation!$A:$D,4,0)</f>
        <v>Ventes de Gros</v>
      </c>
      <c r="AR1035" s="853" t="s">
        <v>728</v>
      </c>
      <c r="AS1035" s="853" t="str">
        <f>+VLOOKUP($AJ1035,Data_Validation!$A:$E,5,0)</f>
        <v/>
      </c>
      <c r="AT1035" s="794" t="str">
        <f t="shared" ref="AT1035:AU1035" si="2068">C1035</f>
        <v>G68300</v>
      </c>
      <c r="AU1035" s="854" t="str">
        <f t="shared" si="2068"/>
        <v>COUT-PIECES EN GROS</v>
      </c>
      <c r="AV1035" s="794">
        <f t="array" ref="AV1035">IFERROR(INDEX(V1035:AG1035,1,MATCH(Parametres!$B$3,V$1:AG$1,0)-1)*IF(OR(C1035="L",C1035="S",C1035="I"),-1,1),"")</f>
        <v>0</v>
      </c>
      <c r="AW1035" s="794">
        <f t="shared" si="6"/>
        <v>0</v>
      </c>
      <c r="AX1035" s="794">
        <f t="array" ref="AX1035">INDEX(V1035:AG1035,1,MATCH(Parametres!$B$3,V$1:AG$1,0))*IF(OR(C1035="L",C1035="S",C1035="I"),-1,1)</f>
        <v>0</v>
      </c>
      <c r="AY1035" s="853" t="s">
        <v>772</v>
      </c>
      <c r="AZ1035" s="853" t="str">
        <f>+VLOOKUP($AJ1035,Data_Validation!$A:$E,5,0)</f>
        <v/>
      </c>
    </row>
    <row r="1036" ht="15.0" customHeight="1">
      <c r="A1036" s="849" t="s">
        <v>1239</v>
      </c>
      <c r="B1036" s="849">
        <v>2026.0</v>
      </c>
      <c r="C1036" s="849" t="s">
        <v>3244</v>
      </c>
      <c r="D1036" s="849" t="s">
        <v>3245</v>
      </c>
      <c r="E1036" s="849" t="s">
        <v>768</v>
      </c>
      <c r="F1036" s="849" t="s">
        <v>2855</v>
      </c>
      <c r="G1036" s="849">
        <v>-20065.36</v>
      </c>
      <c r="H1036" s="849">
        <v>-23303.48</v>
      </c>
      <c r="I1036" s="849">
        <v>-26562.22</v>
      </c>
      <c r="J1036" s="849">
        <v>-48976.1</v>
      </c>
      <c r="K1036" s="849">
        <v>-59789.15</v>
      </c>
      <c r="L1036" s="849">
        <v>-62199.2</v>
      </c>
      <c r="M1036" s="849">
        <v>-78658.5</v>
      </c>
      <c r="N1036" s="849">
        <v>-84034.19</v>
      </c>
      <c r="O1036" s="849">
        <v>-88623.16</v>
      </c>
      <c r="P1036" s="849">
        <v>-89444.03</v>
      </c>
      <c r="Q1036" s="849">
        <v>0.0</v>
      </c>
      <c r="R1036" s="849">
        <v>0.0</v>
      </c>
      <c r="S1036" s="849">
        <v>-9847.02</v>
      </c>
      <c r="T1036" s="849">
        <v>-9847.02</v>
      </c>
      <c r="U1036" s="849">
        <v>0.0</v>
      </c>
      <c r="V1036" s="849">
        <v>0.0</v>
      </c>
      <c r="W1036" s="849">
        <v>0.0</v>
      </c>
      <c r="X1036" s="849">
        <v>0.0</v>
      </c>
      <c r="Y1036" s="849">
        <v>0.0</v>
      </c>
      <c r="Z1036" s="849">
        <v>0.0</v>
      </c>
      <c r="AA1036" s="849">
        <v>0.0</v>
      </c>
      <c r="AB1036" s="849">
        <v>0.0</v>
      </c>
      <c r="AC1036" s="849">
        <v>0.0</v>
      </c>
      <c r="AD1036" s="849">
        <v>0.0</v>
      </c>
      <c r="AE1036" s="849">
        <v>0.0</v>
      </c>
      <c r="AF1036" s="849">
        <v>0.0</v>
      </c>
      <c r="AG1036" s="849">
        <v>0.0</v>
      </c>
      <c r="AH1036" s="849">
        <v>0.0</v>
      </c>
      <c r="AI1036" s="849">
        <v>0.0</v>
      </c>
      <c r="AJ1036" s="794" t="str">
        <f t="shared" ref="AJ1036:AK1036" si="2069">C1036</f>
        <v>G68700</v>
      </c>
      <c r="AK1036" s="794" t="str">
        <f t="shared" si="2069"/>
        <v>ESCOMPTES DE VOLUME</v>
      </c>
      <c r="AL1036" s="794">
        <f t="array" ref="AL1036">IFERROR(INDEX(G1036:R1036,1,MATCH(Parametres!$B$3,G$1:R$1,0)-1)*IF(OR(F1036="L",F1036="S",F1036="I"),-1,1),"")</f>
        <v>-84034.19</v>
      </c>
      <c r="AM1036" s="794">
        <f t="shared" si="4"/>
        <v>-4588.97</v>
      </c>
      <c r="AN1036" s="794">
        <f t="array" ref="AN1036">INDEX(G1036:R1036,1,MATCH(Parametres!$B$3,G$1:R$1,0))*IF(OR(F1036="L",F1036="S",F1036="I"),-1,1)</f>
        <v>-88623.16</v>
      </c>
      <c r="AO1036" s="853" t="str">
        <f>+VLOOKUP($AJ1036,Data_Validation!$A:$D,1,0)</f>
        <v>G68700</v>
      </c>
      <c r="AP1036" s="853" t="str">
        <f>+VLOOKUP($AJ1036,Data_Validation!$A:$D,3,0)</f>
        <v>Pièces</v>
      </c>
      <c r="AQ1036" s="853" t="str">
        <f>+VLOOKUP($AJ1036,Data_Validation!$A:$D,4,0)</f>
        <v>Escomptes</v>
      </c>
      <c r="AR1036" s="853" t="s">
        <v>728</v>
      </c>
      <c r="AS1036" s="853" t="str">
        <f>+VLOOKUP($AJ1036,Data_Validation!$A:$E,5,0)</f>
        <v/>
      </c>
      <c r="AT1036" s="794" t="str">
        <f t="shared" ref="AT1036:AU1036" si="2070">C1036</f>
        <v>G68700</v>
      </c>
      <c r="AU1036" s="854" t="str">
        <f t="shared" si="2070"/>
        <v>ESCOMPTES DE VOLUME</v>
      </c>
      <c r="AV1036" s="794">
        <f t="array" ref="AV1036">IFERROR(INDEX(V1036:AG1036,1,MATCH(Parametres!$B$3,V$1:AG$1,0)-1)*IF(OR(C1036="L",C1036="S",C1036="I"),-1,1),"")</f>
        <v>0</v>
      </c>
      <c r="AW1036" s="794">
        <f t="shared" si="6"/>
        <v>0</v>
      </c>
      <c r="AX1036" s="794">
        <f t="array" ref="AX1036">INDEX(V1036:AG1036,1,MATCH(Parametres!$B$3,V$1:AG$1,0))*IF(OR(C1036="L",C1036="S",C1036="I"),-1,1)</f>
        <v>0</v>
      </c>
      <c r="AY1036" s="853" t="s">
        <v>772</v>
      </c>
      <c r="AZ1036" s="853" t="str">
        <f>+VLOOKUP($AJ1036,Data_Validation!$A:$E,5,0)</f>
        <v/>
      </c>
    </row>
    <row r="1037" ht="15.0" customHeight="1">
      <c r="A1037" s="849" t="s">
        <v>1239</v>
      </c>
      <c r="B1037" s="849">
        <v>2026.0</v>
      </c>
      <c r="C1037" s="849" t="s">
        <v>3246</v>
      </c>
      <c r="D1037" s="849" t="s">
        <v>3247</v>
      </c>
      <c r="E1037" s="849" t="s">
        <v>768</v>
      </c>
      <c r="F1037" s="849" t="s">
        <v>2855</v>
      </c>
      <c r="G1037" s="849">
        <v>-3656.81</v>
      </c>
      <c r="H1037" s="849">
        <v>-3884.38</v>
      </c>
      <c r="I1037" s="849">
        <v>-5049.5</v>
      </c>
      <c r="J1037" s="849">
        <v>-4993.82</v>
      </c>
      <c r="K1037" s="849">
        <v>-6642.71</v>
      </c>
      <c r="L1037" s="849">
        <v>-7079.42</v>
      </c>
      <c r="M1037" s="849">
        <v>-8200.67</v>
      </c>
      <c r="N1037" s="849">
        <v>-9681.15</v>
      </c>
      <c r="O1037" s="849">
        <v>-12957.8</v>
      </c>
      <c r="P1037" s="849">
        <v>-12971.77</v>
      </c>
      <c r="Q1037" s="849">
        <v>0.0</v>
      </c>
      <c r="R1037" s="849">
        <v>0.0</v>
      </c>
      <c r="S1037" s="849">
        <v>-1439.76</v>
      </c>
      <c r="T1037" s="849">
        <v>-1439.76</v>
      </c>
      <c r="U1037" s="849">
        <v>0.0</v>
      </c>
      <c r="V1037" s="849">
        <v>0.0</v>
      </c>
      <c r="W1037" s="849">
        <v>0.0</v>
      </c>
      <c r="X1037" s="849">
        <v>0.0</v>
      </c>
      <c r="Y1037" s="849">
        <v>0.0</v>
      </c>
      <c r="Z1037" s="849">
        <v>0.0</v>
      </c>
      <c r="AA1037" s="849">
        <v>0.0</v>
      </c>
      <c r="AB1037" s="849">
        <v>0.0</v>
      </c>
      <c r="AC1037" s="849">
        <v>0.0</v>
      </c>
      <c r="AD1037" s="849">
        <v>0.0</v>
      </c>
      <c r="AE1037" s="849">
        <v>0.0</v>
      </c>
      <c r="AF1037" s="849">
        <v>0.0</v>
      </c>
      <c r="AG1037" s="849">
        <v>0.0</v>
      </c>
      <c r="AH1037" s="849">
        <v>0.0</v>
      </c>
      <c r="AI1037" s="849">
        <v>0.0</v>
      </c>
      <c r="AJ1037" s="794" t="str">
        <f t="shared" ref="AJ1037:AK1037" si="2071">C1037</f>
        <v>G68800</v>
      </c>
      <c r="AK1037" s="794" t="str">
        <f t="shared" si="2071"/>
        <v>RECTIFIC.STOCK PIECES</v>
      </c>
      <c r="AL1037" s="794">
        <f t="array" ref="AL1037">IFERROR(INDEX(G1037:R1037,1,MATCH(Parametres!$B$3,G$1:R$1,0)-1)*IF(OR(F1037="L",F1037="S",F1037="I"),-1,1),"")</f>
        <v>-9681.15</v>
      </c>
      <c r="AM1037" s="794">
        <f t="shared" si="4"/>
        <v>-3276.65</v>
      </c>
      <c r="AN1037" s="794">
        <f t="array" ref="AN1037">INDEX(G1037:R1037,1,MATCH(Parametres!$B$3,G$1:R$1,0))*IF(OR(F1037="L",F1037="S",F1037="I"),-1,1)</f>
        <v>-12957.8</v>
      </c>
      <c r="AO1037" s="853" t="str">
        <f>+VLOOKUP($AJ1037,Data_Validation!$A:$D,1,0)</f>
        <v>G68800</v>
      </c>
      <c r="AP1037" s="853" t="str">
        <f>+VLOOKUP($AJ1037,Data_Validation!$A:$D,3,0)</f>
        <v>Pièces</v>
      </c>
      <c r="AQ1037" s="853" t="str">
        <f>+VLOOKUP($AJ1037,Data_Validation!$A:$D,4,0)</f>
        <v>Rectif. Inventaire</v>
      </c>
      <c r="AR1037" s="853" t="s">
        <v>728</v>
      </c>
      <c r="AS1037" s="853" t="str">
        <f>+VLOOKUP($AJ1037,Data_Validation!$A:$E,5,0)</f>
        <v/>
      </c>
      <c r="AT1037" s="794" t="str">
        <f t="shared" ref="AT1037:AU1037" si="2072">C1037</f>
        <v>G68800</v>
      </c>
      <c r="AU1037" s="854" t="str">
        <f t="shared" si="2072"/>
        <v>RECTIFIC.STOCK PIECES</v>
      </c>
      <c r="AV1037" s="794">
        <f t="array" ref="AV1037">IFERROR(INDEX(V1037:AG1037,1,MATCH(Parametres!$B$3,V$1:AG$1,0)-1)*IF(OR(C1037="L",C1037="S",C1037="I"),-1,1),"")</f>
        <v>0</v>
      </c>
      <c r="AW1037" s="794">
        <f t="shared" si="6"/>
        <v>0</v>
      </c>
      <c r="AX1037" s="794">
        <f t="array" ref="AX1037">INDEX(V1037:AG1037,1,MATCH(Parametres!$B$3,V$1:AG$1,0))*IF(OR(C1037="L",C1037="S",C1037="I"),-1,1)</f>
        <v>0</v>
      </c>
      <c r="AY1037" s="853" t="s">
        <v>772</v>
      </c>
      <c r="AZ1037" s="853" t="str">
        <f>+VLOOKUP($AJ1037,Data_Validation!$A:$E,5,0)</f>
        <v/>
      </c>
    </row>
    <row r="1038" ht="15.0" customHeight="1">
      <c r="A1038" s="849" t="s">
        <v>1239</v>
      </c>
      <c r="B1038" s="849">
        <v>2026.0</v>
      </c>
      <c r="C1038" s="849" t="s">
        <v>3248</v>
      </c>
      <c r="D1038" s="849" t="s">
        <v>3249</v>
      </c>
      <c r="E1038" s="849" t="s">
        <v>768</v>
      </c>
      <c r="F1038" s="849" t="s">
        <v>2855</v>
      </c>
      <c r="G1038" s="849">
        <v>34926.08</v>
      </c>
      <c r="H1038" s="849">
        <v>62121.6</v>
      </c>
      <c r="I1038" s="849">
        <v>76201.22</v>
      </c>
      <c r="J1038" s="849">
        <v>97234.06</v>
      </c>
      <c r="K1038" s="849">
        <v>110391.72</v>
      </c>
      <c r="L1038" s="849">
        <v>124951.91</v>
      </c>
      <c r="M1038" s="849">
        <v>135615.26</v>
      </c>
      <c r="N1038" s="849">
        <v>151991.71</v>
      </c>
      <c r="O1038" s="849">
        <v>188232.03</v>
      </c>
      <c r="P1038" s="849">
        <v>200362.07</v>
      </c>
      <c r="Q1038" s="849">
        <v>0.0</v>
      </c>
      <c r="R1038" s="849">
        <v>0.0</v>
      </c>
      <c r="S1038" s="849">
        <v>20914.67</v>
      </c>
      <c r="T1038" s="849">
        <v>20914.67</v>
      </c>
      <c r="U1038" s="849">
        <v>0.0</v>
      </c>
      <c r="V1038" s="849">
        <v>0.0</v>
      </c>
      <c r="W1038" s="849">
        <v>0.0</v>
      </c>
      <c r="X1038" s="849">
        <v>0.0</v>
      </c>
      <c r="Y1038" s="849">
        <v>0.0</v>
      </c>
      <c r="Z1038" s="849">
        <v>0.0</v>
      </c>
      <c r="AA1038" s="849">
        <v>0.0</v>
      </c>
      <c r="AB1038" s="849">
        <v>0.0</v>
      </c>
      <c r="AC1038" s="849">
        <v>0.0</v>
      </c>
      <c r="AD1038" s="849">
        <v>0.0</v>
      </c>
      <c r="AE1038" s="849">
        <v>0.0</v>
      </c>
      <c r="AF1038" s="849">
        <v>0.0</v>
      </c>
      <c r="AG1038" s="849">
        <v>0.0</v>
      </c>
      <c r="AH1038" s="849">
        <v>0.0</v>
      </c>
      <c r="AI1038" s="849">
        <v>0.0</v>
      </c>
      <c r="AJ1038" s="794" t="str">
        <f t="shared" ref="AJ1038:AK1038" si="2073">C1038</f>
        <v>G69000</v>
      </c>
      <c r="AK1038" s="794" t="str">
        <f t="shared" si="2073"/>
        <v>COUT-PNEUS VENDUS</v>
      </c>
      <c r="AL1038" s="794">
        <f t="array" ref="AL1038">IFERROR(INDEX(G1038:R1038,1,MATCH(Parametres!$B$3,G$1:R$1,0)-1)*IF(OR(F1038="L",F1038="S",F1038="I"),-1,1),"")</f>
        <v>151991.71</v>
      </c>
      <c r="AM1038" s="794">
        <f t="shared" si="4"/>
        <v>36240.32</v>
      </c>
      <c r="AN1038" s="794">
        <f t="array" ref="AN1038">INDEX(G1038:R1038,1,MATCH(Parametres!$B$3,G$1:R$1,0))*IF(OR(F1038="L",F1038="S",F1038="I"),-1,1)</f>
        <v>188232.03</v>
      </c>
      <c r="AO1038" s="853" t="str">
        <f>+VLOOKUP($AJ1038,Data_Validation!$A:$D,1,0)</f>
        <v>G69000</v>
      </c>
      <c r="AP1038" s="853" t="str">
        <f>+VLOOKUP($AJ1038,Data_Validation!$A:$D,3,0)</f>
        <v>Pièces</v>
      </c>
      <c r="AQ1038" s="853" t="str">
        <f>+VLOOKUP($AJ1038,Data_Validation!$A:$D,4,0)</f>
        <v>Ventes Pneus</v>
      </c>
      <c r="AR1038" s="853" t="s">
        <v>728</v>
      </c>
      <c r="AS1038" s="853" t="str">
        <f>+VLOOKUP($AJ1038,Data_Validation!$A:$E,5,0)</f>
        <v/>
      </c>
      <c r="AT1038" s="794" t="str">
        <f t="shared" ref="AT1038:AU1038" si="2074">C1038</f>
        <v>G69000</v>
      </c>
      <c r="AU1038" s="854" t="str">
        <f t="shared" si="2074"/>
        <v>COUT-PNEUS VENDUS</v>
      </c>
      <c r="AV1038" s="794">
        <f t="array" ref="AV1038">IFERROR(INDEX(V1038:AG1038,1,MATCH(Parametres!$B$3,V$1:AG$1,0)-1)*IF(OR(C1038="L",C1038="S",C1038="I"),-1,1),"")</f>
        <v>0</v>
      </c>
      <c r="AW1038" s="794">
        <f t="shared" si="6"/>
        <v>0</v>
      </c>
      <c r="AX1038" s="794">
        <f t="array" ref="AX1038">INDEX(V1038:AG1038,1,MATCH(Parametres!$B$3,V$1:AG$1,0))*IF(OR(C1038="L",C1038="S",C1038="I"),-1,1)</f>
        <v>0</v>
      </c>
      <c r="AY1038" s="853" t="s">
        <v>772</v>
      </c>
      <c r="AZ1038" s="853" t="str">
        <f>+VLOOKUP($AJ1038,Data_Validation!$A:$E,5,0)</f>
        <v/>
      </c>
    </row>
    <row r="1039" ht="15.0" customHeight="1">
      <c r="A1039" s="849" t="s">
        <v>1239</v>
      </c>
      <c r="B1039" s="849">
        <v>2026.0</v>
      </c>
      <c r="C1039" s="849" t="s">
        <v>3250</v>
      </c>
      <c r="D1039" s="849" t="s">
        <v>3251</v>
      </c>
      <c r="E1039" s="849" t="s">
        <v>768</v>
      </c>
      <c r="F1039" s="849" t="s">
        <v>2855</v>
      </c>
      <c r="G1039" s="849">
        <v>6801.33</v>
      </c>
      <c r="H1039" s="849">
        <v>13763.25</v>
      </c>
      <c r="I1039" s="849">
        <v>23246.21</v>
      </c>
      <c r="J1039" s="849">
        <v>31500.2</v>
      </c>
      <c r="K1039" s="849">
        <v>39878.77</v>
      </c>
      <c r="L1039" s="849">
        <v>50694.1</v>
      </c>
      <c r="M1039" s="849">
        <v>59900.86</v>
      </c>
      <c r="N1039" s="849">
        <v>69965.3</v>
      </c>
      <c r="O1039" s="849">
        <v>80388.85</v>
      </c>
      <c r="P1039" s="849">
        <v>83125.16</v>
      </c>
      <c r="Q1039" s="849">
        <v>0.0</v>
      </c>
      <c r="R1039" s="849">
        <v>0.0</v>
      </c>
      <c r="S1039" s="849">
        <v>8932.09</v>
      </c>
      <c r="T1039" s="849">
        <v>8932.09</v>
      </c>
      <c r="U1039" s="849">
        <v>0.0</v>
      </c>
      <c r="V1039" s="849">
        <v>0.0</v>
      </c>
      <c r="W1039" s="849">
        <v>0.0</v>
      </c>
      <c r="X1039" s="849">
        <v>0.0</v>
      </c>
      <c r="Y1039" s="849">
        <v>0.0</v>
      </c>
      <c r="Z1039" s="849">
        <v>0.0</v>
      </c>
      <c r="AA1039" s="849">
        <v>0.0</v>
      </c>
      <c r="AB1039" s="849">
        <v>0.0</v>
      </c>
      <c r="AC1039" s="849">
        <v>0.0</v>
      </c>
      <c r="AD1039" s="849">
        <v>0.0</v>
      </c>
      <c r="AE1039" s="849">
        <v>0.0</v>
      </c>
      <c r="AF1039" s="849">
        <v>0.0</v>
      </c>
      <c r="AG1039" s="849">
        <v>0.0</v>
      </c>
      <c r="AH1039" s="849">
        <v>0.0</v>
      </c>
      <c r="AI1039" s="849">
        <v>0.0</v>
      </c>
      <c r="AJ1039" s="794" t="str">
        <f t="shared" ref="AJ1039:AK1039" si="2075">C1039</f>
        <v>G69100</v>
      </c>
      <c r="AK1039" s="794" t="str">
        <f t="shared" si="2075"/>
        <v>COUT-HUILES &amp; GRAISSE</v>
      </c>
      <c r="AL1039" s="794">
        <f t="array" ref="AL1039">IFERROR(INDEX(G1039:R1039,1,MATCH(Parametres!$B$3,G$1:R$1,0)-1)*IF(OR(F1039="L",F1039="S",F1039="I"),-1,1),"")</f>
        <v>69965.3</v>
      </c>
      <c r="AM1039" s="794">
        <f t="shared" si="4"/>
        <v>10423.55</v>
      </c>
      <c r="AN1039" s="794">
        <f t="array" ref="AN1039">INDEX(G1039:R1039,1,MATCH(Parametres!$B$3,G$1:R$1,0))*IF(OR(F1039="L",F1039="S",F1039="I"),-1,1)</f>
        <v>80388.85</v>
      </c>
      <c r="AO1039" s="853" t="str">
        <f>+VLOOKUP($AJ1039,Data_Validation!$A:$D,1,0)</f>
        <v>G69100</v>
      </c>
      <c r="AP1039" s="853" t="str">
        <f>+VLOOKUP($AJ1039,Data_Validation!$A:$D,3,0)</f>
        <v>Pièces</v>
      </c>
      <c r="AQ1039" s="853" t="str">
        <f>+VLOOKUP($AJ1039,Data_Validation!$A:$D,4,0)</f>
        <v>Huiles et Graisse</v>
      </c>
      <c r="AR1039" s="853" t="s">
        <v>728</v>
      </c>
      <c r="AS1039" s="853" t="str">
        <f>+VLOOKUP($AJ1039,Data_Validation!$A:$E,5,0)</f>
        <v/>
      </c>
      <c r="AT1039" s="794" t="str">
        <f t="shared" ref="AT1039:AU1039" si="2076">C1039</f>
        <v>G69100</v>
      </c>
      <c r="AU1039" s="854" t="str">
        <f t="shared" si="2076"/>
        <v>COUT-HUILES &amp; GRAISSE</v>
      </c>
      <c r="AV1039" s="794">
        <f t="array" ref="AV1039">IFERROR(INDEX(V1039:AG1039,1,MATCH(Parametres!$B$3,V$1:AG$1,0)-1)*IF(OR(C1039="L",C1039="S",C1039="I"),-1,1),"")</f>
        <v>0</v>
      </c>
      <c r="AW1039" s="794">
        <f t="shared" si="6"/>
        <v>0</v>
      </c>
      <c r="AX1039" s="794">
        <f t="array" ref="AX1039">INDEX(V1039:AG1039,1,MATCH(Parametres!$B$3,V$1:AG$1,0))*IF(OR(C1039="L",C1039="S",C1039="I"),-1,1)</f>
        <v>0</v>
      </c>
      <c r="AY1039" s="853" t="s">
        <v>772</v>
      </c>
      <c r="AZ1039" s="853" t="str">
        <f>+VLOOKUP($AJ1039,Data_Validation!$A:$E,5,0)</f>
        <v/>
      </c>
    </row>
    <row r="1040" ht="15.0" customHeight="1">
      <c r="A1040" s="849" t="s">
        <v>1239</v>
      </c>
      <c r="B1040" s="849">
        <v>2026.0</v>
      </c>
      <c r="C1040" s="849" t="s">
        <v>3252</v>
      </c>
      <c r="D1040" s="849" t="s">
        <v>3253</v>
      </c>
      <c r="E1040" s="849" t="s">
        <v>768</v>
      </c>
      <c r="F1040" s="849" t="s">
        <v>1200</v>
      </c>
      <c r="G1040" s="849">
        <v>0.0</v>
      </c>
      <c r="H1040" s="849">
        <v>0.0</v>
      </c>
      <c r="I1040" s="849">
        <v>0.0</v>
      </c>
      <c r="J1040" s="849">
        <v>0.0</v>
      </c>
      <c r="K1040" s="849">
        <v>0.0</v>
      </c>
      <c r="L1040" s="849">
        <v>0.0</v>
      </c>
      <c r="M1040" s="849">
        <v>0.0</v>
      </c>
      <c r="N1040" s="849">
        <v>0.0</v>
      </c>
      <c r="O1040" s="849">
        <v>0.0</v>
      </c>
      <c r="P1040" s="849">
        <v>0.0</v>
      </c>
      <c r="Q1040" s="849">
        <v>0.0</v>
      </c>
      <c r="R1040" s="849">
        <v>0.0</v>
      </c>
      <c r="S1040" s="849">
        <v>0.0</v>
      </c>
      <c r="T1040" s="849">
        <v>0.0</v>
      </c>
      <c r="U1040" s="849">
        <v>0.0</v>
      </c>
      <c r="V1040" s="849">
        <v>0.0</v>
      </c>
      <c r="W1040" s="849">
        <v>0.0</v>
      </c>
      <c r="X1040" s="849">
        <v>0.0</v>
      </c>
      <c r="Y1040" s="849">
        <v>0.0</v>
      </c>
      <c r="Z1040" s="849">
        <v>0.0</v>
      </c>
      <c r="AA1040" s="849">
        <v>0.0</v>
      </c>
      <c r="AB1040" s="849">
        <v>0.0</v>
      </c>
      <c r="AC1040" s="849">
        <v>0.0</v>
      </c>
      <c r="AD1040" s="849">
        <v>0.0</v>
      </c>
      <c r="AE1040" s="849">
        <v>0.0</v>
      </c>
      <c r="AF1040" s="849">
        <v>0.0</v>
      </c>
      <c r="AG1040" s="849">
        <v>0.0</v>
      </c>
      <c r="AH1040" s="849">
        <v>0.0</v>
      </c>
      <c r="AI1040" s="849">
        <v>0.0</v>
      </c>
      <c r="AJ1040" s="794" t="str">
        <f t="shared" ref="AJ1040:AK1040" si="2077">C1040</f>
        <v>G711</v>
      </c>
      <c r="AK1040" s="794" t="str">
        <f t="shared" si="2077"/>
        <v>INTERETS          -SIMPLE</v>
      </c>
      <c r="AL1040" s="794">
        <f t="array" ref="AL1040">IFERROR(INDEX(G1040:R1040,1,MATCH(Parametres!$B$3,G$1:R$1,0)-1)*IF(OR(F1040="L",F1040="S",F1040="I"),-1,1),"")</f>
        <v>0</v>
      </c>
      <c r="AM1040" s="794">
        <f t="shared" si="4"/>
        <v>0</v>
      </c>
      <c r="AN1040" s="794">
        <f t="array" ref="AN1040">INDEX(G1040:R1040,1,MATCH(Parametres!$B$3,G$1:R$1,0))*IF(OR(F1040="L",F1040="S",F1040="I"),-1,1)</f>
        <v>0</v>
      </c>
      <c r="AO1040" s="853" t="str">
        <f>+VLOOKUP($AJ1040,Data_Validation!$A:$D,1,0)</f>
        <v>#N/A</v>
      </c>
      <c r="AP1040" s="853" t="str">
        <f>+VLOOKUP($AJ1040,Data_Validation!$A:$D,3,0)</f>
        <v>#N/A</v>
      </c>
      <c r="AQ1040" s="853" t="str">
        <f>+VLOOKUP($AJ1040,Data_Validation!$A:$D,4,0)</f>
        <v>#N/A</v>
      </c>
      <c r="AR1040" s="853" t="s">
        <v>728</v>
      </c>
      <c r="AS1040" s="853" t="str">
        <f>+VLOOKUP($AJ1040,Data_Validation!$A:$E,5,0)</f>
        <v>#N/A</v>
      </c>
      <c r="AT1040" s="794" t="str">
        <f t="shared" ref="AT1040:AU1040" si="2078">C1040</f>
        <v>G711</v>
      </c>
      <c r="AU1040" s="854" t="str">
        <f t="shared" si="2078"/>
        <v>INTERETS          -SIMPLE</v>
      </c>
      <c r="AV1040" s="794">
        <f t="array" ref="AV1040">IFERROR(INDEX(V1040:AG1040,1,MATCH(Parametres!$B$3,V$1:AG$1,0)-1)*IF(OR(C1040="L",C1040="S",C1040="I"),-1,1),"")</f>
        <v>0</v>
      </c>
      <c r="AW1040" s="794">
        <f t="shared" si="6"/>
        <v>0</v>
      </c>
      <c r="AX1040" s="794">
        <f t="array" ref="AX1040">INDEX(V1040:AG1040,1,MATCH(Parametres!$B$3,V$1:AG$1,0))*IF(OR(C1040="L",C1040="S",C1040="I"),-1,1)</f>
        <v>0</v>
      </c>
      <c r="AY1040" s="853" t="s">
        <v>772</v>
      </c>
      <c r="AZ1040" s="853" t="str">
        <f>+VLOOKUP($AJ1040,Data_Validation!$A:$E,5,0)</f>
        <v>#N/A</v>
      </c>
    </row>
    <row r="1041" ht="15.0" customHeight="1">
      <c r="A1041" s="849" t="s">
        <v>1239</v>
      </c>
      <c r="B1041" s="849">
        <v>2026.0</v>
      </c>
      <c r="C1041" s="849" t="s">
        <v>3254</v>
      </c>
      <c r="D1041" s="849" t="s">
        <v>3255</v>
      </c>
      <c r="E1041" s="849" t="s">
        <v>768</v>
      </c>
      <c r="F1041" s="849" t="s">
        <v>1200</v>
      </c>
      <c r="G1041" s="849">
        <v>0.0</v>
      </c>
      <c r="H1041" s="849">
        <v>0.0</v>
      </c>
      <c r="I1041" s="849">
        <v>0.0</v>
      </c>
      <c r="J1041" s="849">
        <v>0.0</v>
      </c>
      <c r="K1041" s="849">
        <v>0.0</v>
      </c>
      <c r="L1041" s="849">
        <v>0.0</v>
      </c>
      <c r="M1041" s="849">
        <v>0.0</v>
      </c>
      <c r="N1041" s="849">
        <v>0.0</v>
      </c>
      <c r="O1041" s="849">
        <v>0.0</v>
      </c>
      <c r="P1041" s="849">
        <v>0.0</v>
      </c>
      <c r="Q1041" s="849">
        <v>0.0</v>
      </c>
      <c r="R1041" s="849">
        <v>0.0</v>
      </c>
      <c r="S1041" s="849">
        <v>0.0</v>
      </c>
      <c r="T1041" s="849">
        <v>0.0</v>
      </c>
      <c r="U1041" s="849">
        <v>0.0</v>
      </c>
      <c r="V1041" s="849">
        <v>0.0</v>
      </c>
      <c r="W1041" s="849">
        <v>0.0</v>
      </c>
      <c r="X1041" s="849">
        <v>0.0</v>
      </c>
      <c r="Y1041" s="849">
        <v>0.0</v>
      </c>
      <c r="Z1041" s="849">
        <v>0.0</v>
      </c>
      <c r="AA1041" s="849">
        <v>0.0</v>
      </c>
      <c r="AB1041" s="849">
        <v>0.0</v>
      </c>
      <c r="AC1041" s="849">
        <v>0.0</v>
      </c>
      <c r="AD1041" s="849">
        <v>0.0</v>
      </c>
      <c r="AE1041" s="849">
        <v>0.0</v>
      </c>
      <c r="AF1041" s="849">
        <v>0.0</v>
      </c>
      <c r="AG1041" s="849">
        <v>0.0</v>
      </c>
      <c r="AH1041" s="849">
        <v>0.0</v>
      </c>
      <c r="AI1041" s="849">
        <v>0.0</v>
      </c>
      <c r="AJ1041" s="794" t="str">
        <f t="shared" ref="AJ1041:AK1041" si="2079">C1041</f>
        <v>G712</v>
      </c>
      <c r="AK1041" s="794" t="str">
        <f t="shared" si="2079"/>
        <v>AMORTISSEMENT     -SIMPLE</v>
      </c>
      <c r="AL1041" s="794">
        <f t="array" ref="AL1041">IFERROR(INDEX(G1041:R1041,1,MATCH(Parametres!$B$3,G$1:R$1,0)-1)*IF(OR(F1041="L",F1041="S",F1041="I"),-1,1),"")</f>
        <v>0</v>
      </c>
      <c r="AM1041" s="794">
        <f t="shared" si="4"/>
        <v>0</v>
      </c>
      <c r="AN1041" s="794">
        <f t="array" ref="AN1041">INDEX(G1041:R1041,1,MATCH(Parametres!$B$3,G$1:R$1,0))*IF(OR(F1041="L",F1041="S",F1041="I"),-1,1)</f>
        <v>0</v>
      </c>
      <c r="AO1041" s="853" t="str">
        <f>+VLOOKUP($AJ1041,Data_Validation!$A:$D,1,0)</f>
        <v>#N/A</v>
      </c>
      <c r="AP1041" s="853" t="str">
        <f>+VLOOKUP($AJ1041,Data_Validation!$A:$D,3,0)</f>
        <v>#N/A</v>
      </c>
      <c r="AQ1041" s="853" t="str">
        <f>+VLOOKUP($AJ1041,Data_Validation!$A:$D,4,0)</f>
        <v>#N/A</v>
      </c>
      <c r="AR1041" s="853" t="s">
        <v>728</v>
      </c>
      <c r="AS1041" s="853" t="str">
        <f>+VLOOKUP($AJ1041,Data_Validation!$A:$E,5,0)</f>
        <v>#N/A</v>
      </c>
      <c r="AT1041" s="794" t="str">
        <f t="shared" ref="AT1041:AU1041" si="2080">C1041</f>
        <v>G712</v>
      </c>
      <c r="AU1041" s="854" t="str">
        <f t="shared" si="2080"/>
        <v>AMORTISSEMENT     -SIMPLE</v>
      </c>
      <c r="AV1041" s="794">
        <f t="array" ref="AV1041">IFERROR(INDEX(V1041:AG1041,1,MATCH(Parametres!$B$3,V$1:AG$1,0)-1)*IF(OR(C1041="L",C1041="S",C1041="I"),-1,1),"")</f>
        <v>0</v>
      </c>
      <c r="AW1041" s="794">
        <f t="shared" si="6"/>
        <v>0</v>
      </c>
      <c r="AX1041" s="794">
        <f t="array" ref="AX1041">INDEX(V1041:AG1041,1,MATCH(Parametres!$B$3,V$1:AG$1,0))*IF(OR(C1041="L",C1041="S",C1041="I"),-1,1)</f>
        <v>0</v>
      </c>
      <c r="AY1041" s="853" t="s">
        <v>772</v>
      </c>
      <c r="AZ1041" s="853" t="str">
        <f>+VLOOKUP($AJ1041,Data_Validation!$A:$E,5,0)</f>
        <v>#N/A</v>
      </c>
    </row>
    <row r="1042" ht="15.0" customHeight="1">
      <c r="A1042" s="849" t="s">
        <v>1239</v>
      </c>
      <c r="B1042" s="849">
        <v>2026.0</v>
      </c>
      <c r="C1042" s="849" t="s">
        <v>3256</v>
      </c>
      <c r="D1042" s="849" t="s">
        <v>3257</v>
      </c>
      <c r="E1042" s="849" t="s">
        <v>768</v>
      </c>
      <c r="F1042" s="849" t="s">
        <v>1200</v>
      </c>
      <c r="G1042" s="849">
        <v>0.0</v>
      </c>
      <c r="H1042" s="849">
        <v>0.0</v>
      </c>
      <c r="I1042" s="849">
        <v>0.0</v>
      </c>
      <c r="J1042" s="849">
        <v>0.0</v>
      </c>
      <c r="K1042" s="849">
        <v>0.0</v>
      </c>
      <c r="L1042" s="849">
        <v>0.0</v>
      </c>
      <c r="M1042" s="849">
        <v>0.0</v>
      </c>
      <c r="N1042" s="849">
        <v>0.0</v>
      </c>
      <c r="O1042" s="849">
        <v>0.0</v>
      </c>
      <c r="P1042" s="849">
        <v>0.0</v>
      </c>
      <c r="Q1042" s="849">
        <v>0.0</v>
      </c>
      <c r="R1042" s="849">
        <v>0.0</v>
      </c>
      <c r="S1042" s="849">
        <v>0.0</v>
      </c>
      <c r="T1042" s="849">
        <v>0.0</v>
      </c>
      <c r="U1042" s="849">
        <v>0.0</v>
      </c>
      <c r="V1042" s="849">
        <v>0.0</v>
      </c>
      <c r="W1042" s="849">
        <v>0.0</v>
      </c>
      <c r="X1042" s="849">
        <v>0.0</v>
      </c>
      <c r="Y1042" s="849">
        <v>0.0</v>
      </c>
      <c r="Z1042" s="849">
        <v>0.0</v>
      </c>
      <c r="AA1042" s="849">
        <v>0.0</v>
      </c>
      <c r="AB1042" s="849">
        <v>0.0</v>
      </c>
      <c r="AC1042" s="849">
        <v>0.0</v>
      </c>
      <c r="AD1042" s="849">
        <v>0.0</v>
      </c>
      <c r="AE1042" s="849">
        <v>0.0</v>
      </c>
      <c r="AF1042" s="849">
        <v>0.0</v>
      </c>
      <c r="AG1042" s="849">
        <v>0.0</v>
      </c>
      <c r="AH1042" s="849">
        <v>0.0</v>
      </c>
      <c r="AI1042" s="849">
        <v>0.0</v>
      </c>
      <c r="AJ1042" s="794" t="str">
        <f t="shared" ref="AJ1042:AK1042" si="2081">C1042</f>
        <v>G713</v>
      </c>
      <c r="AK1042" s="794" t="str">
        <f t="shared" si="2081"/>
        <v>ASSUR.VEH EN SERV.-SIMPLE</v>
      </c>
      <c r="AL1042" s="794">
        <f t="array" ref="AL1042">IFERROR(INDEX(G1042:R1042,1,MATCH(Parametres!$B$3,G$1:R$1,0)-1)*IF(OR(F1042="L",F1042="S",F1042="I"),-1,1),"")</f>
        <v>0</v>
      </c>
      <c r="AM1042" s="794">
        <f t="shared" si="4"/>
        <v>0</v>
      </c>
      <c r="AN1042" s="794">
        <f t="array" ref="AN1042">INDEX(G1042:R1042,1,MATCH(Parametres!$B$3,G$1:R$1,0))*IF(OR(F1042="L",F1042="S",F1042="I"),-1,1)</f>
        <v>0</v>
      </c>
      <c r="AO1042" s="853" t="str">
        <f>+VLOOKUP($AJ1042,Data_Validation!$A:$D,1,0)</f>
        <v>#N/A</v>
      </c>
      <c r="AP1042" s="853" t="str">
        <f>+VLOOKUP($AJ1042,Data_Validation!$A:$D,3,0)</f>
        <v>#N/A</v>
      </c>
      <c r="AQ1042" s="853" t="str">
        <f>+VLOOKUP($AJ1042,Data_Validation!$A:$D,4,0)</f>
        <v>#N/A</v>
      </c>
      <c r="AR1042" s="853" t="s">
        <v>728</v>
      </c>
      <c r="AS1042" s="853" t="str">
        <f>+VLOOKUP($AJ1042,Data_Validation!$A:$E,5,0)</f>
        <v>#N/A</v>
      </c>
      <c r="AT1042" s="794" t="str">
        <f t="shared" ref="AT1042:AU1042" si="2082">C1042</f>
        <v>G713</v>
      </c>
      <c r="AU1042" s="854" t="str">
        <f t="shared" si="2082"/>
        <v>ASSUR.VEH EN SERV.-SIMPLE</v>
      </c>
      <c r="AV1042" s="794">
        <f t="array" ref="AV1042">IFERROR(INDEX(V1042:AG1042,1,MATCH(Parametres!$B$3,V$1:AG$1,0)-1)*IF(OR(C1042="L",C1042="S",C1042="I"),-1,1),"")</f>
        <v>0</v>
      </c>
      <c r="AW1042" s="794">
        <f t="shared" si="6"/>
        <v>0</v>
      </c>
      <c r="AX1042" s="794">
        <f t="array" ref="AX1042">INDEX(V1042:AG1042,1,MATCH(Parametres!$B$3,V$1:AG$1,0))*IF(OR(C1042="L",C1042="S",C1042="I"),-1,1)</f>
        <v>0</v>
      </c>
      <c r="AY1042" s="853" t="s">
        <v>772</v>
      </c>
      <c r="AZ1042" s="853" t="str">
        <f>+VLOOKUP($AJ1042,Data_Validation!$A:$E,5,0)</f>
        <v>#N/A</v>
      </c>
    </row>
    <row r="1043" ht="15.0" customHeight="1">
      <c r="A1043" s="849" t="s">
        <v>1239</v>
      </c>
      <c r="B1043" s="849">
        <v>2026.0</v>
      </c>
      <c r="C1043" s="849" t="s">
        <v>3258</v>
      </c>
      <c r="D1043" s="849" t="s">
        <v>3259</v>
      </c>
      <c r="E1043" s="849" t="s">
        <v>768</v>
      </c>
      <c r="F1043" s="849" t="s">
        <v>1200</v>
      </c>
      <c r="G1043" s="849">
        <v>0.0</v>
      </c>
      <c r="H1043" s="849">
        <v>0.0</v>
      </c>
      <c r="I1043" s="849">
        <v>0.0</v>
      </c>
      <c r="J1043" s="849">
        <v>0.0</v>
      </c>
      <c r="K1043" s="849">
        <v>0.0</v>
      </c>
      <c r="L1043" s="849">
        <v>0.0</v>
      </c>
      <c r="M1043" s="849">
        <v>0.0</v>
      </c>
      <c r="N1043" s="849">
        <v>0.0</v>
      </c>
      <c r="O1043" s="849">
        <v>0.0</v>
      </c>
      <c r="P1043" s="849">
        <v>0.0</v>
      </c>
      <c r="Q1043" s="849">
        <v>0.0</v>
      </c>
      <c r="R1043" s="849">
        <v>0.0</v>
      </c>
      <c r="S1043" s="849">
        <v>0.0</v>
      </c>
      <c r="T1043" s="849">
        <v>0.0</v>
      </c>
      <c r="U1043" s="849">
        <v>0.0</v>
      </c>
      <c r="V1043" s="849">
        <v>0.0</v>
      </c>
      <c r="W1043" s="849">
        <v>0.0</v>
      </c>
      <c r="X1043" s="849">
        <v>0.0</v>
      </c>
      <c r="Y1043" s="849">
        <v>0.0</v>
      </c>
      <c r="Z1043" s="849">
        <v>0.0</v>
      </c>
      <c r="AA1043" s="849">
        <v>0.0</v>
      </c>
      <c r="AB1043" s="849">
        <v>0.0</v>
      </c>
      <c r="AC1043" s="849">
        <v>0.0</v>
      </c>
      <c r="AD1043" s="849">
        <v>0.0</v>
      </c>
      <c r="AE1043" s="849">
        <v>0.0</v>
      </c>
      <c r="AF1043" s="849">
        <v>0.0</v>
      </c>
      <c r="AG1043" s="849">
        <v>0.0</v>
      </c>
      <c r="AH1043" s="849">
        <v>0.0</v>
      </c>
      <c r="AI1043" s="849">
        <v>0.0</v>
      </c>
      <c r="AJ1043" s="794" t="str">
        <f t="shared" ref="AJ1043:AK1043" si="2083">C1043</f>
        <v>G714</v>
      </c>
      <c r="AK1043" s="794" t="str">
        <f t="shared" si="2083"/>
        <v>PLAQUE,TITRE,TAXES-SIMPLE</v>
      </c>
      <c r="AL1043" s="794">
        <f t="array" ref="AL1043">IFERROR(INDEX(G1043:R1043,1,MATCH(Parametres!$B$3,G$1:R$1,0)-1)*IF(OR(F1043="L",F1043="S",F1043="I"),-1,1),"")</f>
        <v>0</v>
      </c>
      <c r="AM1043" s="794">
        <f t="shared" si="4"/>
        <v>0</v>
      </c>
      <c r="AN1043" s="794">
        <f t="array" ref="AN1043">INDEX(G1043:R1043,1,MATCH(Parametres!$B$3,G$1:R$1,0))*IF(OR(F1043="L",F1043="S",F1043="I"),-1,1)</f>
        <v>0</v>
      </c>
      <c r="AO1043" s="853" t="str">
        <f>+VLOOKUP($AJ1043,Data_Validation!$A:$D,1,0)</f>
        <v>#N/A</v>
      </c>
      <c r="AP1043" s="853" t="str">
        <f>+VLOOKUP($AJ1043,Data_Validation!$A:$D,3,0)</f>
        <v>#N/A</v>
      </c>
      <c r="AQ1043" s="853" t="str">
        <f>+VLOOKUP($AJ1043,Data_Validation!$A:$D,4,0)</f>
        <v>#N/A</v>
      </c>
      <c r="AR1043" s="853" t="s">
        <v>728</v>
      </c>
      <c r="AS1043" s="853" t="str">
        <f>+VLOOKUP($AJ1043,Data_Validation!$A:$E,5,0)</f>
        <v>#N/A</v>
      </c>
      <c r="AT1043" s="794" t="str">
        <f t="shared" ref="AT1043:AU1043" si="2084">C1043</f>
        <v>G714</v>
      </c>
      <c r="AU1043" s="854" t="str">
        <f t="shared" si="2084"/>
        <v>PLAQUE,TITRE,TAXES-SIMPLE</v>
      </c>
      <c r="AV1043" s="794">
        <f t="array" ref="AV1043">IFERROR(INDEX(V1043:AG1043,1,MATCH(Parametres!$B$3,V$1:AG$1,0)-1)*IF(OR(C1043="L",C1043="S",C1043="I"),-1,1),"")</f>
        <v>0</v>
      </c>
      <c r="AW1043" s="794">
        <f t="shared" si="6"/>
        <v>0</v>
      </c>
      <c r="AX1043" s="794">
        <f t="array" ref="AX1043">INDEX(V1043:AG1043,1,MATCH(Parametres!$B$3,V$1:AG$1,0))*IF(OR(C1043="L",C1043="S",C1043="I"),-1,1)</f>
        <v>0</v>
      </c>
      <c r="AY1043" s="853" t="s">
        <v>772</v>
      </c>
      <c r="AZ1043" s="853" t="str">
        <f>+VLOOKUP($AJ1043,Data_Validation!$A:$E,5,0)</f>
        <v>#N/A</v>
      </c>
    </row>
    <row r="1044" ht="15.0" customHeight="1">
      <c r="A1044" s="849" t="s">
        <v>1239</v>
      </c>
      <c r="B1044" s="849">
        <v>2026.0</v>
      </c>
      <c r="C1044" s="849" t="s">
        <v>3260</v>
      </c>
      <c r="D1044" s="849" t="s">
        <v>3261</v>
      </c>
      <c r="E1044" s="849" t="s">
        <v>768</v>
      </c>
      <c r="F1044" s="849" t="s">
        <v>1200</v>
      </c>
      <c r="G1044" s="849">
        <v>0.0</v>
      </c>
      <c r="H1044" s="849">
        <v>0.0</v>
      </c>
      <c r="I1044" s="849">
        <v>0.0</v>
      </c>
      <c r="J1044" s="849">
        <v>0.0</v>
      </c>
      <c r="K1044" s="849">
        <v>0.0</v>
      </c>
      <c r="L1044" s="849">
        <v>0.0</v>
      </c>
      <c r="M1044" s="849">
        <v>0.0</v>
      </c>
      <c r="N1044" s="849">
        <v>0.0</v>
      </c>
      <c r="O1044" s="849">
        <v>0.0</v>
      </c>
      <c r="P1044" s="849">
        <v>0.0</v>
      </c>
      <c r="Q1044" s="849">
        <v>0.0</v>
      </c>
      <c r="R1044" s="849">
        <v>0.0</v>
      </c>
      <c r="S1044" s="849">
        <v>0.0</v>
      </c>
      <c r="T1044" s="849">
        <v>0.0</v>
      </c>
      <c r="U1044" s="849">
        <v>0.0</v>
      </c>
      <c r="V1044" s="849">
        <v>0.0</v>
      </c>
      <c r="W1044" s="849">
        <v>0.0</v>
      </c>
      <c r="X1044" s="849">
        <v>0.0</v>
      </c>
      <c r="Y1044" s="849">
        <v>0.0</v>
      </c>
      <c r="Z1044" s="849">
        <v>0.0</v>
      </c>
      <c r="AA1044" s="849">
        <v>0.0</v>
      </c>
      <c r="AB1044" s="849">
        <v>0.0</v>
      </c>
      <c r="AC1044" s="849">
        <v>0.0</v>
      </c>
      <c r="AD1044" s="849">
        <v>0.0</v>
      </c>
      <c r="AE1044" s="849">
        <v>0.0</v>
      </c>
      <c r="AF1044" s="849">
        <v>0.0</v>
      </c>
      <c r="AG1044" s="849">
        <v>0.0</v>
      </c>
      <c r="AH1044" s="849">
        <v>0.0</v>
      </c>
      <c r="AI1044" s="849">
        <v>0.0</v>
      </c>
      <c r="AJ1044" s="794" t="str">
        <f t="shared" ref="AJ1044:AK1044" si="2085">C1044</f>
        <v>G715</v>
      </c>
      <c r="AK1044" s="794" t="str">
        <f t="shared" si="2085"/>
        <v>TRAVAUX GRACIEUX  -SIMPLE</v>
      </c>
      <c r="AL1044" s="794">
        <f t="array" ref="AL1044">IFERROR(INDEX(G1044:R1044,1,MATCH(Parametres!$B$3,G$1:R$1,0)-1)*IF(OR(F1044="L",F1044="S",F1044="I"),-1,1),"")</f>
        <v>0</v>
      </c>
      <c r="AM1044" s="794">
        <f t="shared" si="4"/>
        <v>0</v>
      </c>
      <c r="AN1044" s="794">
        <f t="array" ref="AN1044">INDEX(G1044:R1044,1,MATCH(Parametres!$B$3,G$1:R$1,0))*IF(OR(F1044="L",F1044="S",F1044="I"),-1,1)</f>
        <v>0</v>
      </c>
      <c r="AO1044" s="853" t="str">
        <f>+VLOOKUP($AJ1044,Data_Validation!$A:$D,1,0)</f>
        <v>#N/A</v>
      </c>
      <c r="AP1044" s="853" t="str">
        <f>+VLOOKUP($AJ1044,Data_Validation!$A:$D,3,0)</f>
        <v>#N/A</v>
      </c>
      <c r="AQ1044" s="853" t="str">
        <f>+VLOOKUP($AJ1044,Data_Validation!$A:$D,4,0)</f>
        <v>#N/A</v>
      </c>
      <c r="AR1044" s="853" t="s">
        <v>728</v>
      </c>
      <c r="AS1044" s="853" t="str">
        <f>+VLOOKUP($AJ1044,Data_Validation!$A:$E,5,0)</f>
        <v>#N/A</v>
      </c>
      <c r="AT1044" s="794" t="str">
        <f t="shared" ref="AT1044:AU1044" si="2086">C1044</f>
        <v>G715</v>
      </c>
      <c r="AU1044" s="854" t="str">
        <f t="shared" si="2086"/>
        <v>TRAVAUX GRACIEUX  -SIMPLE</v>
      </c>
      <c r="AV1044" s="794">
        <f t="array" ref="AV1044">IFERROR(INDEX(V1044:AG1044,1,MATCH(Parametres!$B$3,V$1:AG$1,0)-1)*IF(OR(C1044="L",C1044="S",C1044="I"),-1,1),"")</f>
        <v>0</v>
      </c>
      <c r="AW1044" s="794">
        <f t="shared" si="6"/>
        <v>0</v>
      </c>
      <c r="AX1044" s="794">
        <f t="array" ref="AX1044">INDEX(V1044:AG1044,1,MATCH(Parametres!$B$3,V$1:AG$1,0))*IF(OR(C1044="L",C1044="S",C1044="I"),-1,1)</f>
        <v>0</v>
      </c>
      <c r="AY1044" s="853" t="s">
        <v>772</v>
      </c>
      <c r="AZ1044" s="853" t="str">
        <f>+VLOOKUP($AJ1044,Data_Validation!$A:$E,5,0)</f>
        <v>#N/A</v>
      </c>
    </row>
    <row r="1045" ht="15.0" customHeight="1">
      <c r="A1045" s="849" t="s">
        <v>1239</v>
      </c>
      <c r="B1045" s="849">
        <v>2026.0</v>
      </c>
      <c r="C1045" s="849" t="s">
        <v>3262</v>
      </c>
      <c r="D1045" s="849" t="s">
        <v>3263</v>
      </c>
      <c r="E1045" s="849" t="s">
        <v>768</v>
      </c>
      <c r="F1045" s="849" t="s">
        <v>1200</v>
      </c>
      <c r="G1045" s="849">
        <v>0.0</v>
      </c>
      <c r="H1045" s="849">
        <v>0.0</v>
      </c>
      <c r="I1045" s="849">
        <v>0.0</v>
      </c>
      <c r="J1045" s="849">
        <v>0.0</v>
      </c>
      <c r="K1045" s="849">
        <v>0.0</v>
      </c>
      <c r="L1045" s="849">
        <v>0.0</v>
      </c>
      <c r="M1045" s="849">
        <v>0.0</v>
      </c>
      <c r="N1045" s="849">
        <v>0.0</v>
      </c>
      <c r="O1045" s="849">
        <v>0.0</v>
      </c>
      <c r="P1045" s="849">
        <v>0.0</v>
      </c>
      <c r="Q1045" s="849">
        <v>0.0</v>
      </c>
      <c r="R1045" s="849">
        <v>0.0</v>
      </c>
      <c r="S1045" s="849">
        <v>0.0</v>
      </c>
      <c r="T1045" s="849">
        <v>0.0</v>
      </c>
      <c r="U1045" s="849">
        <v>0.0</v>
      </c>
      <c r="V1045" s="849">
        <v>0.0</v>
      </c>
      <c r="W1045" s="849">
        <v>0.0</v>
      </c>
      <c r="X1045" s="849">
        <v>0.0</v>
      </c>
      <c r="Y1045" s="849">
        <v>0.0</v>
      </c>
      <c r="Z1045" s="849">
        <v>0.0</v>
      </c>
      <c r="AA1045" s="849">
        <v>0.0</v>
      </c>
      <c r="AB1045" s="849">
        <v>0.0</v>
      </c>
      <c r="AC1045" s="849">
        <v>0.0</v>
      </c>
      <c r="AD1045" s="849">
        <v>0.0</v>
      </c>
      <c r="AE1045" s="849">
        <v>0.0</v>
      </c>
      <c r="AF1045" s="849">
        <v>0.0</v>
      </c>
      <c r="AG1045" s="849">
        <v>0.0</v>
      </c>
      <c r="AH1045" s="849">
        <v>0.0</v>
      </c>
      <c r="AI1045" s="849">
        <v>0.0</v>
      </c>
      <c r="AJ1045" s="794" t="str">
        <f t="shared" ref="AJ1045:AK1045" si="2087">C1045</f>
        <v>G716</v>
      </c>
      <c r="AK1045" s="794" t="str">
        <f t="shared" si="2087"/>
        <v>REPAR.&amp; ENTRETIEN -SIMPLE</v>
      </c>
      <c r="AL1045" s="794">
        <f t="array" ref="AL1045">IFERROR(INDEX(G1045:R1045,1,MATCH(Parametres!$B$3,G$1:R$1,0)-1)*IF(OR(F1045="L",F1045="S",F1045="I"),-1,1),"")</f>
        <v>0</v>
      </c>
      <c r="AM1045" s="794">
        <f t="shared" si="4"/>
        <v>0</v>
      </c>
      <c r="AN1045" s="794">
        <f t="array" ref="AN1045">INDEX(G1045:R1045,1,MATCH(Parametres!$B$3,G$1:R$1,0))*IF(OR(F1045="L",F1045="S",F1045="I"),-1,1)</f>
        <v>0</v>
      </c>
      <c r="AO1045" s="853" t="str">
        <f>+VLOOKUP($AJ1045,Data_Validation!$A:$D,1,0)</f>
        <v>#N/A</v>
      </c>
      <c r="AP1045" s="853" t="str">
        <f>+VLOOKUP($AJ1045,Data_Validation!$A:$D,3,0)</f>
        <v>#N/A</v>
      </c>
      <c r="AQ1045" s="853" t="str">
        <f>+VLOOKUP($AJ1045,Data_Validation!$A:$D,4,0)</f>
        <v>#N/A</v>
      </c>
      <c r="AR1045" s="853" t="s">
        <v>728</v>
      </c>
      <c r="AS1045" s="853" t="str">
        <f>+VLOOKUP($AJ1045,Data_Validation!$A:$E,5,0)</f>
        <v>#N/A</v>
      </c>
      <c r="AT1045" s="794" t="str">
        <f t="shared" ref="AT1045:AU1045" si="2088">C1045</f>
        <v>G716</v>
      </c>
      <c r="AU1045" s="854" t="str">
        <f t="shared" si="2088"/>
        <v>REPAR.&amp; ENTRETIEN -SIMPLE</v>
      </c>
      <c r="AV1045" s="794">
        <f t="array" ref="AV1045">IFERROR(INDEX(V1045:AG1045,1,MATCH(Parametres!$B$3,V$1:AG$1,0)-1)*IF(OR(C1045="L",C1045="S",C1045="I"),-1,1),"")</f>
        <v>0</v>
      </c>
      <c r="AW1045" s="794">
        <f t="shared" si="6"/>
        <v>0</v>
      </c>
      <c r="AX1045" s="794">
        <f t="array" ref="AX1045">INDEX(V1045:AG1045,1,MATCH(Parametres!$B$3,V$1:AG$1,0))*IF(OR(C1045="L",C1045="S",C1045="I"),-1,1)</f>
        <v>0</v>
      </c>
      <c r="AY1045" s="853" t="s">
        <v>772</v>
      </c>
      <c r="AZ1045" s="853" t="str">
        <f>+VLOOKUP($AJ1045,Data_Validation!$A:$E,5,0)</f>
        <v>#N/A</v>
      </c>
    </row>
    <row r="1046" ht="15.0" customHeight="1">
      <c r="A1046" s="849" t="s">
        <v>1239</v>
      </c>
      <c r="B1046" s="849">
        <v>2026.0</v>
      </c>
      <c r="C1046" s="849" t="s">
        <v>3264</v>
      </c>
      <c r="D1046" s="849" t="s">
        <v>3265</v>
      </c>
      <c r="E1046" s="849" t="s">
        <v>768</v>
      </c>
      <c r="F1046" s="849" t="s">
        <v>1200</v>
      </c>
      <c r="G1046" s="849">
        <v>0.0</v>
      </c>
      <c r="H1046" s="849">
        <v>0.0</v>
      </c>
      <c r="I1046" s="849">
        <v>0.0</v>
      </c>
      <c r="J1046" s="849">
        <v>0.0</v>
      </c>
      <c r="K1046" s="849">
        <v>0.0</v>
      </c>
      <c r="L1046" s="849">
        <v>0.0</v>
      </c>
      <c r="M1046" s="849">
        <v>0.0</v>
      </c>
      <c r="N1046" s="849">
        <v>0.0</v>
      </c>
      <c r="O1046" s="849">
        <v>0.0</v>
      </c>
      <c r="P1046" s="849">
        <v>0.0</v>
      </c>
      <c r="Q1046" s="849">
        <v>0.0</v>
      </c>
      <c r="R1046" s="849">
        <v>0.0</v>
      </c>
      <c r="S1046" s="849">
        <v>0.0</v>
      </c>
      <c r="T1046" s="849">
        <v>0.0</v>
      </c>
      <c r="U1046" s="849">
        <v>0.0</v>
      </c>
      <c r="V1046" s="849">
        <v>0.0</v>
      </c>
      <c r="W1046" s="849">
        <v>0.0</v>
      </c>
      <c r="X1046" s="849">
        <v>0.0</v>
      </c>
      <c r="Y1046" s="849">
        <v>0.0</v>
      </c>
      <c r="Z1046" s="849">
        <v>0.0</v>
      </c>
      <c r="AA1046" s="849">
        <v>0.0</v>
      </c>
      <c r="AB1046" s="849">
        <v>0.0</v>
      </c>
      <c r="AC1046" s="849">
        <v>0.0</v>
      </c>
      <c r="AD1046" s="849">
        <v>0.0</v>
      </c>
      <c r="AE1046" s="849">
        <v>0.0</v>
      </c>
      <c r="AF1046" s="849">
        <v>0.0</v>
      </c>
      <c r="AG1046" s="849">
        <v>0.0</v>
      </c>
      <c r="AH1046" s="849">
        <v>0.0</v>
      </c>
      <c r="AI1046" s="849">
        <v>0.0</v>
      </c>
      <c r="AJ1046" s="794" t="str">
        <f t="shared" ref="AJ1046:AK1046" si="2089">C1046</f>
        <v>G717</v>
      </c>
      <c r="AK1046" s="794" t="str">
        <f t="shared" si="2089"/>
        <v>PRIX LOC.UNIT.S-LOUE-SIMP</v>
      </c>
      <c r="AL1046" s="794">
        <f t="array" ref="AL1046">IFERROR(INDEX(G1046:R1046,1,MATCH(Parametres!$B$3,G$1:R$1,0)-1)*IF(OR(F1046="L",F1046="S",F1046="I"),-1,1),"")</f>
        <v>0</v>
      </c>
      <c r="AM1046" s="794">
        <f t="shared" si="4"/>
        <v>0</v>
      </c>
      <c r="AN1046" s="794">
        <f t="array" ref="AN1046">INDEX(G1046:R1046,1,MATCH(Parametres!$B$3,G$1:R$1,0))*IF(OR(F1046="L",F1046="S",F1046="I"),-1,1)</f>
        <v>0</v>
      </c>
      <c r="AO1046" s="853" t="str">
        <f>+VLOOKUP($AJ1046,Data_Validation!$A:$D,1,0)</f>
        <v>#N/A</v>
      </c>
      <c r="AP1046" s="853" t="str">
        <f>+VLOOKUP($AJ1046,Data_Validation!$A:$D,3,0)</f>
        <v>#N/A</v>
      </c>
      <c r="AQ1046" s="853" t="str">
        <f>+VLOOKUP($AJ1046,Data_Validation!$A:$D,4,0)</f>
        <v>#N/A</v>
      </c>
      <c r="AR1046" s="853" t="s">
        <v>728</v>
      </c>
      <c r="AS1046" s="853" t="str">
        <f>+VLOOKUP($AJ1046,Data_Validation!$A:$E,5,0)</f>
        <v>#N/A</v>
      </c>
      <c r="AT1046" s="794" t="str">
        <f t="shared" ref="AT1046:AU1046" si="2090">C1046</f>
        <v>G717</v>
      </c>
      <c r="AU1046" s="854" t="str">
        <f t="shared" si="2090"/>
        <v>PRIX LOC.UNIT.S-LOUE-SIMP</v>
      </c>
      <c r="AV1046" s="794">
        <f t="array" ref="AV1046">IFERROR(INDEX(V1046:AG1046,1,MATCH(Parametres!$B$3,V$1:AG$1,0)-1)*IF(OR(C1046="L",C1046="S",C1046="I"),-1,1),"")</f>
        <v>0</v>
      </c>
      <c r="AW1046" s="794">
        <f t="shared" si="6"/>
        <v>0</v>
      </c>
      <c r="AX1046" s="794">
        <f t="array" ref="AX1046">INDEX(V1046:AG1046,1,MATCH(Parametres!$B$3,V$1:AG$1,0))*IF(OR(C1046="L",C1046="S",C1046="I"),-1,1)</f>
        <v>0</v>
      </c>
      <c r="AY1046" s="853" t="s">
        <v>772</v>
      </c>
      <c r="AZ1046" s="853" t="str">
        <f>+VLOOKUP($AJ1046,Data_Validation!$A:$E,5,0)</f>
        <v>#N/A</v>
      </c>
    </row>
    <row r="1047" ht="15.0" customHeight="1">
      <c r="A1047" s="849" t="s">
        <v>1239</v>
      </c>
      <c r="B1047" s="849">
        <v>2026.0</v>
      </c>
      <c r="C1047" s="849" t="s">
        <v>3266</v>
      </c>
      <c r="D1047" s="849" t="s">
        <v>3267</v>
      </c>
      <c r="E1047" s="849" t="s">
        <v>768</v>
      </c>
      <c r="F1047" s="849" t="s">
        <v>1200</v>
      </c>
      <c r="G1047" s="849">
        <v>0.0</v>
      </c>
      <c r="H1047" s="849">
        <v>0.0</v>
      </c>
      <c r="I1047" s="849">
        <v>0.0</v>
      </c>
      <c r="J1047" s="849">
        <v>0.0</v>
      </c>
      <c r="K1047" s="849">
        <v>0.0</v>
      </c>
      <c r="L1047" s="849">
        <v>0.0</v>
      </c>
      <c r="M1047" s="849">
        <v>0.0</v>
      </c>
      <c r="N1047" s="849">
        <v>0.0</v>
      </c>
      <c r="O1047" s="849">
        <v>0.0</v>
      </c>
      <c r="P1047" s="849">
        <v>0.0</v>
      </c>
      <c r="Q1047" s="849">
        <v>0.0</v>
      </c>
      <c r="R1047" s="849">
        <v>0.0</v>
      </c>
      <c r="S1047" s="849">
        <v>0.0</v>
      </c>
      <c r="T1047" s="849">
        <v>0.0</v>
      </c>
      <c r="U1047" s="849">
        <v>0.0</v>
      </c>
      <c r="V1047" s="849">
        <v>0.0</v>
      </c>
      <c r="W1047" s="849">
        <v>0.0</v>
      </c>
      <c r="X1047" s="849">
        <v>0.0</v>
      </c>
      <c r="Y1047" s="849">
        <v>0.0</v>
      </c>
      <c r="Z1047" s="849">
        <v>0.0</v>
      </c>
      <c r="AA1047" s="849">
        <v>0.0</v>
      </c>
      <c r="AB1047" s="849">
        <v>0.0</v>
      </c>
      <c r="AC1047" s="849">
        <v>0.0</v>
      </c>
      <c r="AD1047" s="849">
        <v>0.0</v>
      </c>
      <c r="AE1047" s="849">
        <v>0.0</v>
      </c>
      <c r="AF1047" s="849">
        <v>0.0</v>
      </c>
      <c r="AG1047" s="849">
        <v>0.0</v>
      </c>
      <c r="AH1047" s="849">
        <v>0.0</v>
      </c>
      <c r="AI1047" s="849">
        <v>0.0</v>
      </c>
      <c r="AJ1047" s="794" t="str">
        <f t="shared" ref="AJ1047:AK1047" si="2091">C1047</f>
        <v>G718</v>
      </c>
      <c r="AK1047" s="794" t="str">
        <f t="shared" si="2091"/>
        <v>AUTRES            -SIMPLE</v>
      </c>
      <c r="AL1047" s="794">
        <f t="array" ref="AL1047">IFERROR(INDEX(G1047:R1047,1,MATCH(Parametres!$B$3,G$1:R$1,0)-1)*IF(OR(F1047="L",F1047="S",F1047="I"),-1,1),"")</f>
        <v>0</v>
      </c>
      <c r="AM1047" s="794">
        <f t="shared" si="4"/>
        <v>0</v>
      </c>
      <c r="AN1047" s="794">
        <f t="array" ref="AN1047">INDEX(G1047:R1047,1,MATCH(Parametres!$B$3,G$1:R$1,0))*IF(OR(F1047="L",F1047="S",F1047="I"),-1,1)</f>
        <v>0</v>
      </c>
      <c r="AO1047" s="853" t="str">
        <f>+VLOOKUP($AJ1047,Data_Validation!$A:$D,1,0)</f>
        <v>#N/A</v>
      </c>
      <c r="AP1047" s="853" t="str">
        <f>+VLOOKUP($AJ1047,Data_Validation!$A:$D,3,0)</f>
        <v>#N/A</v>
      </c>
      <c r="AQ1047" s="853" t="str">
        <f>+VLOOKUP($AJ1047,Data_Validation!$A:$D,4,0)</f>
        <v>#N/A</v>
      </c>
      <c r="AR1047" s="853" t="s">
        <v>728</v>
      </c>
      <c r="AS1047" s="853" t="str">
        <f>+VLOOKUP($AJ1047,Data_Validation!$A:$E,5,0)</f>
        <v>#N/A</v>
      </c>
      <c r="AT1047" s="794" t="str">
        <f t="shared" ref="AT1047:AU1047" si="2092">C1047</f>
        <v>G718</v>
      </c>
      <c r="AU1047" s="854" t="str">
        <f t="shared" si="2092"/>
        <v>AUTRES            -SIMPLE</v>
      </c>
      <c r="AV1047" s="794">
        <f t="array" ref="AV1047">IFERROR(INDEX(V1047:AG1047,1,MATCH(Parametres!$B$3,V$1:AG$1,0)-1)*IF(OR(C1047="L",C1047="S",C1047="I"),-1,1),"")</f>
        <v>0</v>
      </c>
      <c r="AW1047" s="794">
        <f t="shared" si="6"/>
        <v>0</v>
      </c>
      <c r="AX1047" s="794">
        <f t="array" ref="AX1047">INDEX(V1047:AG1047,1,MATCH(Parametres!$B$3,V$1:AG$1,0))*IF(OR(C1047="L",C1047="S",C1047="I"),-1,1)</f>
        <v>0</v>
      </c>
      <c r="AY1047" s="853" t="s">
        <v>772</v>
      </c>
      <c r="AZ1047" s="853" t="str">
        <f>+VLOOKUP($AJ1047,Data_Validation!$A:$E,5,0)</f>
        <v>#N/A</v>
      </c>
    </row>
    <row r="1048" ht="15.0" customHeight="1">
      <c r="A1048" s="849" t="s">
        <v>1239</v>
      </c>
      <c r="B1048" s="849">
        <v>2026.0</v>
      </c>
      <c r="C1048" s="849" t="s">
        <v>3268</v>
      </c>
      <c r="D1048" s="849" t="s">
        <v>3269</v>
      </c>
      <c r="E1048" s="849" t="s">
        <v>768</v>
      </c>
      <c r="F1048" s="849" t="s">
        <v>1200</v>
      </c>
      <c r="G1048" s="849">
        <v>0.0</v>
      </c>
      <c r="H1048" s="849">
        <v>0.0</v>
      </c>
      <c r="I1048" s="849">
        <v>0.0</v>
      </c>
      <c r="J1048" s="849">
        <v>0.0</v>
      </c>
      <c r="K1048" s="849">
        <v>0.0</v>
      </c>
      <c r="L1048" s="849">
        <v>0.0</v>
      </c>
      <c r="M1048" s="849">
        <v>0.0</v>
      </c>
      <c r="N1048" s="849">
        <v>0.0</v>
      </c>
      <c r="O1048" s="849">
        <v>0.0</v>
      </c>
      <c r="P1048" s="849">
        <v>0.0</v>
      </c>
      <c r="Q1048" s="849">
        <v>0.0</v>
      </c>
      <c r="R1048" s="849">
        <v>0.0</v>
      </c>
      <c r="S1048" s="849">
        <v>0.0</v>
      </c>
      <c r="T1048" s="849">
        <v>0.0</v>
      </c>
      <c r="U1048" s="849">
        <v>0.0</v>
      </c>
      <c r="V1048" s="849">
        <v>0.0</v>
      </c>
      <c r="W1048" s="849">
        <v>0.0</v>
      </c>
      <c r="X1048" s="849">
        <v>0.0</v>
      </c>
      <c r="Y1048" s="849">
        <v>0.0</v>
      </c>
      <c r="Z1048" s="849">
        <v>0.0</v>
      </c>
      <c r="AA1048" s="849">
        <v>0.0</v>
      </c>
      <c r="AB1048" s="849">
        <v>0.0</v>
      </c>
      <c r="AC1048" s="849">
        <v>0.0</v>
      </c>
      <c r="AD1048" s="849">
        <v>0.0</v>
      </c>
      <c r="AE1048" s="849">
        <v>0.0</v>
      </c>
      <c r="AF1048" s="849">
        <v>0.0</v>
      </c>
      <c r="AG1048" s="849">
        <v>0.0</v>
      </c>
      <c r="AH1048" s="849">
        <v>0.0</v>
      </c>
      <c r="AI1048" s="849">
        <v>0.0</v>
      </c>
      <c r="AJ1048" s="794" t="str">
        <f t="shared" ref="AJ1048:AK1048" si="2093">C1048</f>
        <v>G721</v>
      </c>
      <c r="AK1048" s="794" t="str">
        <f t="shared" si="2093"/>
        <v>INTERETS          -ALEATO</v>
      </c>
      <c r="AL1048" s="794">
        <f t="array" ref="AL1048">IFERROR(INDEX(G1048:R1048,1,MATCH(Parametres!$B$3,G$1:R$1,0)-1)*IF(OR(F1048="L",F1048="S",F1048="I"),-1,1),"")</f>
        <v>0</v>
      </c>
      <c r="AM1048" s="794">
        <f t="shared" si="4"/>
        <v>0</v>
      </c>
      <c r="AN1048" s="794">
        <f t="array" ref="AN1048">INDEX(G1048:R1048,1,MATCH(Parametres!$B$3,G$1:R$1,0))*IF(OR(F1048="L",F1048="S",F1048="I"),-1,1)</f>
        <v>0</v>
      </c>
      <c r="AO1048" s="853" t="str">
        <f>+VLOOKUP($AJ1048,Data_Validation!$A:$D,1,0)</f>
        <v>#N/A</v>
      </c>
      <c r="AP1048" s="853" t="str">
        <f>+VLOOKUP($AJ1048,Data_Validation!$A:$D,3,0)</f>
        <v>#N/A</v>
      </c>
      <c r="AQ1048" s="853" t="str">
        <f>+VLOOKUP($AJ1048,Data_Validation!$A:$D,4,0)</f>
        <v>#N/A</v>
      </c>
      <c r="AR1048" s="853" t="s">
        <v>728</v>
      </c>
      <c r="AS1048" s="853" t="str">
        <f>+VLOOKUP($AJ1048,Data_Validation!$A:$E,5,0)</f>
        <v>#N/A</v>
      </c>
      <c r="AT1048" s="794" t="str">
        <f t="shared" ref="AT1048:AU1048" si="2094">C1048</f>
        <v>G721</v>
      </c>
      <c r="AU1048" s="854" t="str">
        <f t="shared" si="2094"/>
        <v>INTERETS          -ALEATO</v>
      </c>
      <c r="AV1048" s="794">
        <f t="array" ref="AV1048">IFERROR(INDEX(V1048:AG1048,1,MATCH(Parametres!$B$3,V$1:AG$1,0)-1)*IF(OR(C1048="L",C1048="S",C1048="I"),-1,1),"")</f>
        <v>0</v>
      </c>
      <c r="AW1048" s="794">
        <f t="shared" si="6"/>
        <v>0</v>
      </c>
      <c r="AX1048" s="794">
        <f t="array" ref="AX1048">INDEX(V1048:AG1048,1,MATCH(Parametres!$B$3,V$1:AG$1,0))*IF(OR(C1048="L",C1048="S",C1048="I"),-1,1)</f>
        <v>0</v>
      </c>
      <c r="AY1048" s="853" t="s">
        <v>772</v>
      </c>
      <c r="AZ1048" s="853" t="str">
        <f>+VLOOKUP($AJ1048,Data_Validation!$A:$E,5,0)</f>
        <v>#N/A</v>
      </c>
    </row>
    <row r="1049" ht="15.0" customHeight="1">
      <c r="A1049" s="849" t="s">
        <v>1239</v>
      </c>
      <c r="B1049" s="849">
        <v>2026.0</v>
      </c>
      <c r="C1049" s="849" t="s">
        <v>3270</v>
      </c>
      <c r="D1049" s="849" t="s">
        <v>3271</v>
      </c>
      <c r="E1049" s="849" t="s">
        <v>768</v>
      </c>
      <c r="F1049" s="849" t="s">
        <v>1200</v>
      </c>
      <c r="G1049" s="849">
        <v>0.0</v>
      </c>
      <c r="H1049" s="849">
        <v>0.0</v>
      </c>
      <c r="I1049" s="849">
        <v>0.0</v>
      </c>
      <c r="J1049" s="849">
        <v>0.0</v>
      </c>
      <c r="K1049" s="849">
        <v>0.0</v>
      </c>
      <c r="L1049" s="849">
        <v>0.0</v>
      </c>
      <c r="M1049" s="849">
        <v>0.0</v>
      </c>
      <c r="N1049" s="849">
        <v>0.0</v>
      </c>
      <c r="O1049" s="849">
        <v>0.0</v>
      </c>
      <c r="P1049" s="849">
        <v>0.0</v>
      </c>
      <c r="Q1049" s="849">
        <v>0.0</v>
      </c>
      <c r="R1049" s="849">
        <v>0.0</v>
      </c>
      <c r="S1049" s="849">
        <v>0.0</v>
      </c>
      <c r="T1049" s="849">
        <v>0.0</v>
      </c>
      <c r="U1049" s="849">
        <v>0.0</v>
      </c>
      <c r="V1049" s="849">
        <v>0.0</v>
      </c>
      <c r="W1049" s="849">
        <v>0.0</v>
      </c>
      <c r="X1049" s="849">
        <v>0.0</v>
      </c>
      <c r="Y1049" s="849">
        <v>0.0</v>
      </c>
      <c r="Z1049" s="849">
        <v>0.0</v>
      </c>
      <c r="AA1049" s="849">
        <v>0.0</v>
      </c>
      <c r="AB1049" s="849">
        <v>0.0</v>
      </c>
      <c r="AC1049" s="849">
        <v>0.0</v>
      </c>
      <c r="AD1049" s="849">
        <v>0.0</v>
      </c>
      <c r="AE1049" s="849">
        <v>0.0</v>
      </c>
      <c r="AF1049" s="849">
        <v>0.0</v>
      </c>
      <c r="AG1049" s="849">
        <v>0.0</v>
      </c>
      <c r="AH1049" s="849">
        <v>0.0</v>
      </c>
      <c r="AI1049" s="849">
        <v>0.0</v>
      </c>
      <c r="AJ1049" s="794" t="str">
        <f t="shared" ref="AJ1049:AK1049" si="2095">C1049</f>
        <v>G722</v>
      </c>
      <c r="AK1049" s="794" t="str">
        <f t="shared" si="2095"/>
        <v>AMORTISSEMENT     -ALEATO</v>
      </c>
      <c r="AL1049" s="794">
        <f t="array" ref="AL1049">IFERROR(INDEX(G1049:R1049,1,MATCH(Parametres!$B$3,G$1:R$1,0)-1)*IF(OR(F1049="L",F1049="S",F1049="I"),-1,1),"")</f>
        <v>0</v>
      </c>
      <c r="AM1049" s="794">
        <f t="shared" si="4"/>
        <v>0</v>
      </c>
      <c r="AN1049" s="794">
        <f t="array" ref="AN1049">INDEX(G1049:R1049,1,MATCH(Parametres!$B$3,G$1:R$1,0))*IF(OR(F1049="L",F1049="S",F1049="I"),-1,1)</f>
        <v>0</v>
      </c>
      <c r="AO1049" s="853" t="str">
        <f>+VLOOKUP($AJ1049,Data_Validation!$A:$D,1,0)</f>
        <v>#N/A</v>
      </c>
      <c r="AP1049" s="853" t="str">
        <f>+VLOOKUP($AJ1049,Data_Validation!$A:$D,3,0)</f>
        <v>#N/A</v>
      </c>
      <c r="AQ1049" s="853" t="str">
        <f>+VLOOKUP($AJ1049,Data_Validation!$A:$D,4,0)</f>
        <v>#N/A</v>
      </c>
      <c r="AR1049" s="853" t="s">
        <v>728</v>
      </c>
      <c r="AS1049" s="853" t="str">
        <f>+VLOOKUP($AJ1049,Data_Validation!$A:$E,5,0)</f>
        <v>#N/A</v>
      </c>
      <c r="AT1049" s="794" t="str">
        <f t="shared" ref="AT1049:AU1049" si="2096">C1049</f>
        <v>G722</v>
      </c>
      <c r="AU1049" s="854" t="str">
        <f t="shared" si="2096"/>
        <v>AMORTISSEMENT     -ALEATO</v>
      </c>
      <c r="AV1049" s="794">
        <f t="array" ref="AV1049">IFERROR(INDEX(V1049:AG1049,1,MATCH(Parametres!$B$3,V$1:AG$1,0)-1)*IF(OR(C1049="L",C1049="S",C1049="I"),-1,1),"")</f>
        <v>0</v>
      </c>
      <c r="AW1049" s="794">
        <f t="shared" si="6"/>
        <v>0</v>
      </c>
      <c r="AX1049" s="794">
        <f t="array" ref="AX1049">INDEX(V1049:AG1049,1,MATCH(Parametres!$B$3,V$1:AG$1,0))*IF(OR(C1049="L",C1049="S",C1049="I"),-1,1)</f>
        <v>0</v>
      </c>
      <c r="AY1049" s="853" t="s">
        <v>772</v>
      </c>
      <c r="AZ1049" s="853" t="str">
        <f>+VLOOKUP($AJ1049,Data_Validation!$A:$E,5,0)</f>
        <v>#N/A</v>
      </c>
    </row>
    <row r="1050" ht="15.0" customHeight="1">
      <c r="A1050" s="849" t="s">
        <v>1239</v>
      </c>
      <c r="B1050" s="849">
        <v>2026.0</v>
      </c>
      <c r="C1050" s="849" t="s">
        <v>3272</v>
      </c>
      <c r="D1050" s="849" t="s">
        <v>3273</v>
      </c>
      <c r="E1050" s="849" t="s">
        <v>768</v>
      </c>
      <c r="F1050" s="849" t="s">
        <v>1200</v>
      </c>
      <c r="G1050" s="849">
        <v>0.0</v>
      </c>
      <c r="H1050" s="849">
        <v>0.0</v>
      </c>
      <c r="I1050" s="849">
        <v>0.0</v>
      </c>
      <c r="J1050" s="849">
        <v>0.0</v>
      </c>
      <c r="K1050" s="849">
        <v>0.0</v>
      </c>
      <c r="L1050" s="849">
        <v>0.0</v>
      </c>
      <c r="M1050" s="849">
        <v>0.0</v>
      </c>
      <c r="N1050" s="849">
        <v>0.0</v>
      </c>
      <c r="O1050" s="849">
        <v>0.0</v>
      </c>
      <c r="P1050" s="849">
        <v>0.0</v>
      </c>
      <c r="Q1050" s="849">
        <v>0.0</v>
      </c>
      <c r="R1050" s="849">
        <v>0.0</v>
      </c>
      <c r="S1050" s="849">
        <v>0.0</v>
      </c>
      <c r="T1050" s="849">
        <v>0.0</v>
      </c>
      <c r="U1050" s="849">
        <v>0.0</v>
      </c>
      <c r="V1050" s="849">
        <v>0.0</v>
      </c>
      <c r="W1050" s="849">
        <v>0.0</v>
      </c>
      <c r="X1050" s="849">
        <v>0.0</v>
      </c>
      <c r="Y1050" s="849">
        <v>0.0</v>
      </c>
      <c r="Z1050" s="849">
        <v>0.0</v>
      </c>
      <c r="AA1050" s="849">
        <v>0.0</v>
      </c>
      <c r="AB1050" s="849">
        <v>0.0</v>
      </c>
      <c r="AC1050" s="849">
        <v>0.0</v>
      </c>
      <c r="AD1050" s="849">
        <v>0.0</v>
      </c>
      <c r="AE1050" s="849">
        <v>0.0</v>
      </c>
      <c r="AF1050" s="849">
        <v>0.0</v>
      </c>
      <c r="AG1050" s="849">
        <v>0.0</v>
      </c>
      <c r="AH1050" s="849">
        <v>0.0</v>
      </c>
      <c r="AI1050" s="849">
        <v>0.0</v>
      </c>
      <c r="AJ1050" s="794" t="str">
        <f t="shared" ref="AJ1050:AK1050" si="2097">C1050</f>
        <v>G723</v>
      </c>
      <c r="AK1050" s="794" t="str">
        <f t="shared" si="2097"/>
        <v>ASSUR.VEH EN SERV.-ALEATO</v>
      </c>
      <c r="AL1050" s="794">
        <f t="array" ref="AL1050">IFERROR(INDEX(G1050:R1050,1,MATCH(Parametres!$B$3,G$1:R$1,0)-1)*IF(OR(F1050="L",F1050="S",F1050="I"),-1,1),"")</f>
        <v>0</v>
      </c>
      <c r="AM1050" s="794">
        <f t="shared" si="4"/>
        <v>0</v>
      </c>
      <c r="AN1050" s="794">
        <f t="array" ref="AN1050">INDEX(G1050:R1050,1,MATCH(Parametres!$B$3,G$1:R$1,0))*IF(OR(F1050="L",F1050="S",F1050="I"),-1,1)</f>
        <v>0</v>
      </c>
      <c r="AO1050" s="853" t="str">
        <f>+VLOOKUP($AJ1050,Data_Validation!$A:$D,1,0)</f>
        <v>#N/A</v>
      </c>
      <c r="AP1050" s="853" t="str">
        <f>+VLOOKUP($AJ1050,Data_Validation!$A:$D,3,0)</f>
        <v>#N/A</v>
      </c>
      <c r="AQ1050" s="853" t="str">
        <f>+VLOOKUP($AJ1050,Data_Validation!$A:$D,4,0)</f>
        <v>#N/A</v>
      </c>
      <c r="AR1050" s="853" t="s">
        <v>728</v>
      </c>
      <c r="AS1050" s="853" t="str">
        <f>+VLOOKUP($AJ1050,Data_Validation!$A:$E,5,0)</f>
        <v>#N/A</v>
      </c>
      <c r="AT1050" s="794" t="str">
        <f t="shared" ref="AT1050:AU1050" si="2098">C1050</f>
        <v>G723</v>
      </c>
      <c r="AU1050" s="854" t="str">
        <f t="shared" si="2098"/>
        <v>ASSUR.VEH EN SERV.-ALEATO</v>
      </c>
      <c r="AV1050" s="794">
        <f t="array" ref="AV1050">IFERROR(INDEX(V1050:AG1050,1,MATCH(Parametres!$B$3,V$1:AG$1,0)-1)*IF(OR(C1050="L",C1050="S",C1050="I"),-1,1),"")</f>
        <v>0</v>
      </c>
      <c r="AW1050" s="794">
        <f t="shared" si="6"/>
        <v>0</v>
      </c>
      <c r="AX1050" s="794">
        <f t="array" ref="AX1050">INDEX(V1050:AG1050,1,MATCH(Parametres!$B$3,V$1:AG$1,0))*IF(OR(C1050="L",C1050="S",C1050="I"),-1,1)</f>
        <v>0</v>
      </c>
      <c r="AY1050" s="853" t="s">
        <v>772</v>
      </c>
      <c r="AZ1050" s="853" t="str">
        <f>+VLOOKUP($AJ1050,Data_Validation!$A:$E,5,0)</f>
        <v>#N/A</v>
      </c>
    </row>
    <row r="1051" ht="15.0" customHeight="1">
      <c r="A1051" s="849" t="s">
        <v>1239</v>
      </c>
      <c r="B1051" s="849">
        <v>2026.0</v>
      </c>
      <c r="C1051" s="849" t="s">
        <v>3274</v>
      </c>
      <c r="D1051" s="849" t="s">
        <v>3275</v>
      </c>
      <c r="E1051" s="849" t="s">
        <v>768</v>
      </c>
      <c r="F1051" s="849" t="s">
        <v>1200</v>
      </c>
      <c r="G1051" s="849">
        <v>0.0</v>
      </c>
      <c r="H1051" s="849">
        <v>0.0</v>
      </c>
      <c r="I1051" s="849">
        <v>0.0</v>
      </c>
      <c r="J1051" s="849">
        <v>0.0</v>
      </c>
      <c r="K1051" s="849">
        <v>0.0</v>
      </c>
      <c r="L1051" s="849">
        <v>0.0</v>
      </c>
      <c r="M1051" s="849">
        <v>0.0</v>
      </c>
      <c r="N1051" s="849">
        <v>0.0</v>
      </c>
      <c r="O1051" s="849">
        <v>0.0</v>
      </c>
      <c r="P1051" s="849">
        <v>0.0</v>
      </c>
      <c r="Q1051" s="849">
        <v>0.0</v>
      </c>
      <c r="R1051" s="849">
        <v>0.0</v>
      </c>
      <c r="S1051" s="849">
        <v>0.0</v>
      </c>
      <c r="T1051" s="849">
        <v>0.0</v>
      </c>
      <c r="U1051" s="849">
        <v>0.0</v>
      </c>
      <c r="V1051" s="849">
        <v>0.0</v>
      </c>
      <c r="W1051" s="849">
        <v>0.0</v>
      </c>
      <c r="X1051" s="849">
        <v>0.0</v>
      </c>
      <c r="Y1051" s="849">
        <v>0.0</v>
      </c>
      <c r="Z1051" s="849">
        <v>0.0</v>
      </c>
      <c r="AA1051" s="849">
        <v>0.0</v>
      </c>
      <c r="AB1051" s="849">
        <v>0.0</v>
      </c>
      <c r="AC1051" s="849">
        <v>0.0</v>
      </c>
      <c r="AD1051" s="849">
        <v>0.0</v>
      </c>
      <c r="AE1051" s="849">
        <v>0.0</v>
      </c>
      <c r="AF1051" s="849">
        <v>0.0</v>
      </c>
      <c r="AG1051" s="849">
        <v>0.0</v>
      </c>
      <c r="AH1051" s="849">
        <v>0.0</v>
      </c>
      <c r="AI1051" s="849">
        <v>0.0</v>
      </c>
      <c r="AJ1051" s="794" t="str">
        <f t="shared" ref="AJ1051:AK1051" si="2099">C1051</f>
        <v>G724</v>
      </c>
      <c r="AK1051" s="794" t="str">
        <f t="shared" si="2099"/>
        <v>PLAQUE,TITRE,TAXES-ALEATO</v>
      </c>
      <c r="AL1051" s="794">
        <f t="array" ref="AL1051">IFERROR(INDEX(G1051:R1051,1,MATCH(Parametres!$B$3,G$1:R$1,0)-1)*IF(OR(F1051="L",F1051="S",F1051="I"),-1,1),"")</f>
        <v>0</v>
      </c>
      <c r="AM1051" s="794">
        <f t="shared" si="4"/>
        <v>0</v>
      </c>
      <c r="AN1051" s="794">
        <f t="array" ref="AN1051">INDEX(G1051:R1051,1,MATCH(Parametres!$B$3,G$1:R$1,0))*IF(OR(F1051="L",F1051="S",F1051="I"),-1,1)</f>
        <v>0</v>
      </c>
      <c r="AO1051" s="853" t="str">
        <f>+VLOOKUP($AJ1051,Data_Validation!$A:$D,1,0)</f>
        <v>#N/A</v>
      </c>
      <c r="AP1051" s="853" t="str">
        <f>+VLOOKUP($AJ1051,Data_Validation!$A:$D,3,0)</f>
        <v>#N/A</v>
      </c>
      <c r="AQ1051" s="853" t="str">
        <f>+VLOOKUP($AJ1051,Data_Validation!$A:$D,4,0)</f>
        <v>#N/A</v>
      </c>
      <c r="AR1051" s="853" t="s">
        <v>728</v>
      </c>
      <c r="AS1051" s="853" t="str">
        <f>+VLOOKUP($AJ1051,Data_Validation!$A:$E,5,0)</f>
        <v>#N/A</v>
      </c>
      <c r="AT1051" s="794" t="str">
        <f t="shared" ref="AT1051:AU1051" si="2100">C1051</f>
        <v>G724</v>
      </c>
      <c r="AU1051" s="854" t="str">
        <f t="shared" si="2100"/>
        <v>PLAQUE,TITRE,TAXES-ALEATO</v>
      </c>
      <c r="AV1051" s="794">
        <f t="array" ref="AV1051">IFERROR(INDEX(V1051:AG1051,1,MATCH(Parametres!$B$3,V$1:AG$1,0)-1)*IF(OR(C1051="L",C1051="S",C1051="I"),-1,1),"")</f>
        <v>0</v>
      </c>
      <c r="AW1051" s="794">
        <f t="shared" si="6"/>
        <v>0</v>
      </c>
      <c r="AX1051" s="794">
        <f t="array" ref="AX1051">INDEX(V1051:AG1051,1,MATCH(Parametres!$B$3,V$1:AG$1,0))*IF(OR(C1051="L",C1051="S",C1051="I"),-1,1)</f>
        <v>0</v>
      </c>
      <c r="AY1051" s="853" t="s">
        <v>772</v>
      </c>
      <c r="AZ1051" s="853" t="str">
        <f>+VLOOKUP($AJ1051,Data_Validation!$A:$E,5,0)</f>
        <v>#N/A</v>
      </c>
    </row>
    <row r="1052" ht="15.0" customHeight="1">
      <c r="A1052" s="849" t="s">
        <v>1239</v>
      </c>
      <c r="B1052" s="849">
        <v>2026.0</v>
      </c>
      <c r="C1052" s="849" t="s">
        <v>3276</v>
      </c>
      <c r="D1052" s="849" t="s">
        <v>3277</v>
      </c>
      <c r="E1052" s="849" t="s">
        <v>768</v>
      </c>
      <c r="F1052" s="849" t="s">
        <v>1200</v>
      </c>
      <c r="G1052" s="849">
        <v>0.0</v>
      </c>
      <c r="H1052" s="849">
        <v>0.0</v>
      </c>
      <c r="I1052" s="849">
        <v>0.0</v>
      </c>
      <c r="J1052" s="849">
        <v>0.0</v>
      </c>
      <c r="K1052" s="849">
        <v>0.0</v>
      </c>
      <c r="L1052" s="849">
        <v>0.0</v>
      </c>
      <c r="M1052" s="849">
        <v>0.0</v>
      </c>
      <c r="N1052" s="849">
        <v>0.0</v>
      </c>
      <c r="O1052" s="849">
        <v>0.0</v>
      </c>
      <c r="P1052" s="849">
        <v>0.0</v>
      </c>
      <c r="Q1052" s="849">
        <v>0.0</v>
      </c>
      <c r="R1052" s="849">
        <v>0.0</v>
      </c>
      <c r="S1052" s="849">
        <v>0.0</v>
      </c>
      <c r="T1052" s="849">
        <v>0.0</v>
      </c>
      <c r="U1052" s="849">
        <v>0.0</v>
      </c>
      <c r="V1052" s="849">
        <v>0.0</v>
      </c>
      <c r="W1052" s="849">
        <v>0.0</v>
      </c>
      <c r="X1052" s="849">
        <v>0.0</v>
      </c>
      <c r="Y1052" s="849">
        <v>0.0</v>
      </c>
      <c r="Z1052" s="849">
        <v>0.0</v>
      </c>
      <c r="AA1052" s="849">
        <v>0.0</v>
      </c>
      <c r="AB1052" s="849">
        <v>0.0</v>
      </c>
      <c r="AC1052" s="849">
        <v>0.0</v>
      </c>
      <c r="AD1052" s="849">
        <v>0.0</v>
      </c>
      <c r="AE1052" s="849">
        <v>0.0</v>
      </c>
      <c r="AF1052" s="849">
        <v>0.0</v>
      </c>
      <c r="AG1052" s="849">
        <v>0.0</v>
      </c>
      <c r="AH1052" s="849">
        <v>0.0</v>
      </c>
      <c r="AI1052" s="849">
        <v>0.0</v>
      </c>
      <c r="AJ1052" s="794" t="str">
        <f t="shared" ref="AJ1052:AK1052" si="2101">C1052</f>
        <v>G72402</v>
      </c>
      <c r="AK1052" s="794" t="str">
        <f t="shared" si="2101"/>
        <v>ENTRETIEN COURT TERME</v>
      </c>
      <c r="AL1052" s="794">
        <f t="array" ref="AL1052">IFERROR(INDEX(G1052:R1052,1,MATCH(Parametres!$B$3,G$1:R$1,0)-1)*IF(OR(F1052="L",F1052="S",F1052="I"),-1,1),"")</f>
        <v>0</v>
      </c>
      <c r="AM1052" s="794">
        <f t="shared" si="4"/>
        <v>0</v>
      </c>
      <c r="AN1052" s="794">
        <f t="array" ref="AN1052">INDEX(G1052:R1052,1,MATCH(Parametres!$B$3,G$1:R$1,0))*IF(OR(F1052="L",F1052="S",F1052="I"),-1,1)</f>
        <v>0</v>
      </c>
      <c r="AO1052" s="853" t="str">
        <f>+VLOOKUP($AJ1052,Data_Validation!$A:$D,1,0)</f>
        <v>#N/A</v>
      </c>
      <c r="AP1052" s="853" t="str">
        <f>+VLOOKUP($AJ1052,Data_Validation!$A:$D,3,0)</f>
        <v>#N/A</v>
      </c>
      <c r="AQ1052" s="853" t="str">
        <f>+VLOOKUP($AJ1052,Data_Validation!$A:$D,4,0)</f>
        <v>#N/A</v>
      </c>
      <c r="AR1052" s="853" t="s">
        <v>728</v>
      </c>
      <c r="AS1052" s="853" t="str">
        <f>+VLOOKUP($AJ1052,Data_Validation!$A:$E,5,0)</f>
        <v>#N/A</v>
      </c>
      <c r="AT1052" s="794" t="str">
        <f t="shared" ref="AT1052:AU1052" si="2102">C1052</f>
        <v>G72402</v>
      </c>
      <c r="AU1052" s="854" t="str">
        <f t="shared" si="2102"/>
        <v>ENTRETIEN COURT TERME</v>
      </c>
      <c r="AV1052" s="794">
        <f t="array" ref="AV1052">IFERROR(INDEX(V1052:AG1052,1,MATCH(Parametres!$B$3,V$1:AG$1,0)-1)*IF(OR(C1052="L",C1052="S",C1052="I"),-1,1),"")</f>
        <v>0</v>
      </c>
      <c r="AW1052" s="794">
        <f t="shared" si="6"/>
        <v>0</v>
      </c>
      <c r="AX1052" s="794">
        <f t="array" ref="AX1052">INDEX(V1052:AG1052,1,MATCH(Parametres!$B$3,V$1:AG$1,0))*IF(OR(C1052="L",C1052="S",C1052="I"),-1,1)</f>
        <v>0</v>
      </c>
      <c r="AY1052" s="853" t="s">
        <v>772</v>
      </c>
      <c r="AZ1052" s="853" t="str">
        <f>+VLOOKUP($AJ1052,Data_Validation!$A:$E,5,0)</f>
        <v>#N/A</v>
      </c>
    </row>
    <row r="1053" ht="15.0" customHeight="1">
      <c r="A1053" s="849" t="s">
        <v>1239</v>
      </c>
      <c r="B1053" s="849">
        <v>2026.0</v>
      </c>
      <c r="C1053" s="849" t="s">
        <v>3278</v>
      </c>
      <c r="D1053" s="849" t="s">
        <v>3279</v>
      </c>
      <c r="E1053" s="849" t="s">
        <v>768</v>
      </c>
      <c r="F1053" s="849" t="s">
        <v>1200</v>
      </c>
      <c r="G1053" s="849">
        <v>0.0</v>
      </c>
      <c r="H1053" s="849">
        <v>0.0</v>
      </c>
      <c r="I1053" s="849">
        <v>0.0</v>
      </c>
      <c r="J1053" s="849">
        <v>0.0</v>
      </c>
      <c r="K1053" s="849">
        <v>0.0</v>
      </c>
      <c r="L1053" s="849">
        <v>0.0</v>
      </c>
      <c r="M1053" s="849">
        <v>0.0</v>
      </c>
      <c r="N1053" s="849">
        <v>0.0</v>
      </c>
      <c r="O1053" s="849">
        <v>0.0</v>
      </c>
      <c r="P1053" s="849">
        <v>0.0</v>
      </c>
      <c r="Q1053" s="849">
        <v>0.0</v>
      </c>
      <c r="R1053" s="849">
        <v>0.0</v>
      </c>
      <c r="S1053" s="849">
        <v>0.0</v>
      </c>
      <c r="T1053" s="849">
        <v>0.0</v>
      </c>
      <c r="U1053" s="849">
        <v>0.0</v>
      </c>
      <c r="V1053" s="849">
        <v>0.0</v>
      </c>
      <c r="W1053" s="849">
        <v>0.0</v>
      </c>
      <c r="X1053" s="849">
        <v>0.0</v>
      </c>
      <c r="Y1053" s="849">
        <v>0.0</v>
      </c>
      <c r="Z1053" s="849">
        <v>0.0</v>
      </c>
      <c r="AA1053" s="849">
        <v>0.0</v>
      </c>
      <c r="AB1053" s="849">
        <v>0.0</v>
      </c>
      <c r="AC1053" s="849">
        <v>0.0</v>
      </c>
      <c r="AD1053" s="849">
        <v>0.0</v>
      </c>
      <c r="AE1053" s="849">
        <v>0.0</v>
      </c>
      <c r="AF1053" s="849">
        <v>0.0</v>
      </c>
      <c r="AG1053" s="849">
        <v>0.0</v>
      </c>
      <c r="AH1053" s="849">
        <v>0.0</v>
      </c>
      <c r="AI1053" s="849">
        <v>0.0</v>
      </c>
      <c r="AJ1053" s="794" t="str">
        <f t="shared" ref="AJ1053:AK1053" si="2103">C1053</f>
        <v>G725</v>
      </c>
      <c r="AK1053" s="794" t="str">
        <f t="shared" si="2103"/>
        <v>TRAVAUX GRACIEUX  -ALEATO</v>
      </c>
      <c r="AL1053" s="794">
        <f t="array" ref="AL1053">IFERROR(INDEX(G1053:R1053,1,MATCH(Parametres!$B$3,G$1:R$1,0)-1)*IF(OR(F1053="L",F1053="S",F1053="I"),-1,1),"")</f>
        <v>0</v>
      </c>
      <c r="AM1053" s="794">
        <f t="shared" si="4"/>
        <v>0</v>
      </c>
      <c r="AN1053" s="794">
        <f t="array" ref="AN1053">INDEX(G1053:R1053,1,MATCH(Parametres!$B$3,G$1:R$1,0))*IF(OR(F1053="L",F1053="S",F1053="I"),-1,1)</f>
        <v>0</v>
      </c>
      <c r="AO1053" s="853" t="str">
        <f>+VLOOKUP($AJ1053,Data_Validation!$A:$D,1,0)</f>
        <v>#N/A</v>
      </c>
      <c r="AP1053" s="853" t="str">
        <f>+VLOOKUP($AJ1053,Data_Validation!$A:$D,3,0)</f>
        <v>#N/A</v>
      </c>
      <c r="AQ1053" s="853" t="str">
        <f>+VLOOKUP($AJ1053,Data_Validation!$A:$D,4,0)</f>
        <v>#N/A</v>
      </c>
      <c r="AR1053" s="853" t="s">
        <v>728</v>
      </c>
      <c r="AS1053" s="853" t="str">
        <f>+VLOOKUP($AJ1053,Data_Validation!$A:$E,5,0)</f>
        <v>#N/A</v>
      </c>
      <c r="AT1053" s="794" t="str">
        <f t="shared" ref="AT1053:AU1053" si="2104">C1053</f>
        <v>G725</v>
      </c>
      <c r="AU1053" s="854" t="str">
        <f t="shared" si="2104"/>
        <v>TRAVAUX GRACIEUX  -ALEATO</v>
      </c>
      <c r="AV1053" s="794">
        <f t="array" ref="AV1053">IFERROR(INDEX(V1053:AG1053,1,MATCH(Parametres!$B$3,V$1:AG$1,0)-1)*IF(OR(C1053="L",C1053="S",C1053="I"),-1,1),"")</f>
        <v>0</v>
      </c>
      <c r="AW1053" s="794">
        <f t="shared" si="6"/>
        <v>0</v>
      </c>
      <c r="AX1053" s="794">
        <f t="array" ref="AX1053">INDEX(V1053:AG1053,1,MATCH(Parametres!$B$3,V$1:AG$1,0))*IF(OR(C1053="L",C1053="S",C1053="I"),-1,1)</f>
        <v>0</v>
      </c>
      <c r="AY1053" s="853" t="s">
        <v>772</v>
      </c>
      <c r="AZ1053" s="853" t="str">
        <f>+VLOOKUP($AJ1053,Data_Validation!$A:$E,5,0)</f>
        <v>#N/A</v>
      </c>
    </row>
    <row r="1054" ht="15.0" customHeight="1">
      <c r="A1054" s="849" t="s">
        <v>1239</v>
      </c>
      <c r="B1054" s="849">
        <v>2026.0</v>
      </c>
      <c r="C1054" s="849" t="s">
        <v>3280</v>
      </c>
      <c r="D1054" s="849" t="s">
        <v>3281</v>
      </c>
      <c r="E1054" s="849" t="s">
        <v>768</v>
      </c>
      <c r="F1054" s="849" t="s">
        <v>1200</v>
      </c>
      <c r="G1054" s="849">
        <v>0.0</v>
      </c>
      <c r="H1054" s="849">
        <v>0.0</v>
      </c>
      <c r="I1054" s="849">
        <v>0.0</v>
      </c>
      <c r="J1054" s="849">
        <v>0.0</v>
      </c>
      <c r="K1054" s="849">
        <v>0.0</v>
      </c>
      <c r="L1054" s="849">
        <v>0.0</v>
      </c>
      <c r="M1054" s="849">
        <v>0.0</v>
      </c>
      <c r="N1054" s="849">
        <v>0.0</v>
      </c>
      <c r="O1054" s="849">
        <v>0.0</v>
      </c>
      <c r="P1054" s="849">
        <v>0.0</v>
      </c>
      <c r="Q1054" s="849">
        <v>0.0</v>
      </c>
      <c r="R1054" s="849">
        <v>0.0</v>
      </c>
      <c r="S1054" s="849">
        <v>0.0</v>
      </c>
      <c r="T1054" s="849">
        <v>0.0</v>
      </c>
      <c r="U1054" s="849">
        <v>0.0</v>
      </c>
      <c r="V1054" s="849">
        <v>0.0</v>
      </c>
      <c r="W1054" s="849">
        <v>0.0</v>
      </c>
      <c r="X1054" s="849">
        <v>0.0</v>
      </c>
      <c r="Y1054" s="849">
        <v>0.0</v>
      </c>
      <c r="Z1054" s="849">
        <v>0.0</v>
      </c>
      <c r="AA1054" s="849">
        <v>0.0</v>
      </c>
      <c r="AB1054" s="849">
        <v>0.0</v>
      </c>
      <c r="AC1054" s="849">
        <v>0.0</v>
      </c>
      <c r="AD1054" s="849">
        <v>0.0</v>
      </c>
      <c r="AE1054" s="849">
        <v>0.0</v>
      </c>
      <c r="AF1054" s="849">
        <v>0.0</v>
      </c>
      <c r="AG1054" s="849">
        <v>0.0</v>
      </c>
      <c r="AH1054" s="849">
        <v>0.0</v>
      </c>
      <c r="AI1054" s="849">
        <v>0.0</v>
      </c>
      <c r="AJ1054" s="794" t="str">
        <f t="shared" ref="AJ1054:AK1054" si="2105">C1054</f>
        <v>G726</v>
      </c>
      <c r="AK1054" s="794" t="str">
        <f t="shared" si="2105"/>
        <v>REPAR.&amp; ENTRETIEN -ALEATO</v>
      </c>
      <c r="AL1054" s="794">
        <f t="array" ref="AL1054">IFERROR(INDEX(G1054:R1054,1,MATCH(Parametres!$B$3,G$1:R$1,0)-1)*IF(OR(F1054="L",F1054="S",F1054="I"),-1,1),"")</f>
        <v>0</v>
      </c>
      <c r="AM1054" s="794">
        <f t="shared" si="4"/>
        <v>0</v>
      </c>
      <c r="AN1054" s="794">
        <f t="array" ref="AN1054">INDEX(G1054:R1054,1,MATCH(Parametres!$B$3,G$1:R$1,0))*IF(OR(F1054="L",F1054="S",F1054="I"),-1,1)</f>
        <v>0</v>
      </c>
      <c r="AO1054" s="853" t="str">
        <f>+VLOOKUP($AJ1054,Data_Validation!$A:$D,1,0)</f>
        <v>#N/A</v>
      </c>
      <c r="AP1054" s="853" t="str">
        <f>+VLOOKUP($AJ1054,Data_Validation!$A:$D,3,0)</f>
        <v>#N/A</v>
      </c>
      <c r="AQ1054" s="853" t="str">
        <f>+VLOOKUP($AJ1054,Data_Validation!$A:$D,4,0)</f>
        <v>#N/A</v>
      </c>
      <c r="AR1054" s="853" t="s">
        <v>728</v>
      </c>
      <c r="AS1054" s="853" t="str">
        <f>+VLOOKUP($AJ1054,Data_Validation!$A:$E,5,0)</f>
        <v>#N/A</v>
      </c>
      <c r="AT1054" s="794" t="str">
        <f t="shared" ref="AT1054:AU1054" si="2106">C1054</f>
        <v>G726</v>
      </c>
      <c r="AU1054" s="854" t="str">
        <f t="shared" si="2106"/>
        <v>REPAR.&amp; ENTRETIEN -ALEATO</v>
      </c>
      <c r="AV1054" s="794">
        <f t="array" ref="AV1054">IFERROR(INDEX(V1054:AG1054,1,MATCH(Parametres!$B$3,V$1:AG$1,0)-1)*IF(OR(C1054="L",C1054="S",C1054="I"),-1,1),"")</f>
        <v>0</v>
      </c>
      <c r="AW1054" s="794">
        <f t="shared" si="6"/>
        <v>0</v>
      </c>
      <c r="AX1054" s="794">
        <f t="array" ref="AX1054">INDEX(V1054:AG1054,1,MATCH(Parametres!$B$3,V$1:AG$1,0))*IF(OR(C1054="L",C1054="S",C1054="I"),-1,1)</f>
        <v>0</v>
      </c>
      <c r="AY1054" s="853" t="s">
        <v>772</v>
      </c>
      <c r="AZ1054" s="853" t="str">
        <f>+VLOOKUP($AJ1054,Data_Validation!$A:$E,5,0)</f>
        <v>#N/A</v>
      </c>
    </row>
    <row r="1055" ht="15.0" customHeight="1">
      <c r="A1055" s="849" t="s">
        <v>1239</v>
      </c>
      <c r="B1055" s="849">
        <v>2026.0</v>
      </c>
      <c r="C1055" s="849" t="s">
        <v>3282</v>
      </c>
      <c r="D1055" s="849" t="s">
        <v>3283</v>
      </c>
      <c r="E1055" s="849" t="s">
        <v>768</v>
      </c>
      <c r="F1055" s="849" t="s">
        <v>1200</v>
      </c>
      <c r="G1055" s="849">
        <v>0.0</v>
      </c>
      <c r="H1055" s="849">
        <v>0.0</v>
      </c>
      <c r="I1055" s="849">
        <v>0.0</v>
      </c>
      <c r="J1055" s="849">
        <v>0.0</v>
      </c>
      <c r="K1055" s="849">
        <v>0.0</v>
      </c>
      <c r="L1055" s="849">
        <v>0.0</v>
      </c>
      <c r="M1055" s="849">
        <v>0.0</v>
      </c>
      <c r="N1055" s="849">
        <v>0.0</v>
      </c>
      <c r="O1055" s="849">
        <v>0.0</v>
      </c>
      <c r="P1055" s="849">
        <v>0.0</v>
      </c>
      <c r="Q1055" s="849">
        <v>0.0</v>
      </c>
      <c r="R1055" s="849">
        <v>0.0</v>
      </c>
      <c r="S1055" s="849">
        <v>0.0</v>
      </c>
      <c r="T1055" s="849">
        <v>0.0</v>
      </c>
      <c r="U1055" s="849">
        <v>0.0</v>
      </c>
      <c r="V1055" s="849">
        <v>0.0</v>
      </c>
      <c r="W1055" s="849">
        <v>0.0</v>
      </c>
      <c r="X1055" s="849">
        <v>0.0</v>
      </c>
      <c r="Y1055" s="849">
        <v>0.0</v>
      </c>
      <c r="Z1055" s="849">
        <v>0.0</v>
      </c>
      <c r="AA1055" s="849">
        <v>0.0</v>
      </c>
      <c r="AB1055" s="849">
        <v>0.0</v>
      </c>
      <c r="AC1055" s="849">
        <v>0.0</v>
      </c>
      <c r="AD1055" s="849">
        <v>0.0</v>
      </c>
      <c r="AE1055" s="849">
        <v>0.0</v>
      </c>
      <c r="AF1055" s="849">
        <v>0.0</v>
      </c>
      <c r="AG1055" s="849">
        <v>0.0</v>
      </c>
      <c r="AH1055" s="849">
        <v>0.0</v>
      </c>
      <c r="AI1055" s="849">
        <v>0.0</v>
      </c>
      <c r="AJ1055" s="794" t="str">
        <f t="shared" ref="AJ1055:AK1055" si="2107">C1055</f>
        <v>G727</v>
      </c>
      <c r="AK1055" s="794" t="str">
        <f t="shared" si="2107"/>
        <v>PRIX LOC.UNIT.S-LOUE-ALEA</v>
      </c>
      <c r="AL1055" s="794">
        <f t="array" ref="AL1055">IFERROR(INDEX(G1055:R1055,1,MATCH(Parametres!$B$3,G$1:R$1,0)-1)*IF(OR(F1055="L",F1055="S",F1055="I"),-1,1),"")</f>
        <v>0</v>
      </c>
      <c r="AM1055" s="794">
        <f t="shared" si="4"/>
        <v>0</v>
      </c>
      <c r="AN1055" s="794">
        <f t="array" ref="AN1055">INDEX(G1055:R1055,1,MATCH(Parametres!$B$3,G$1:R$1,0))*IF(OR(F1055="L",F1055="S",F1055="I"),-1,1)</f>
        <v>0</v>
      </c>
      <c r="AO1055" s="853" t="str">
        <f>+VLOOKUP($AJ1055,Data_Validation!$A:$D,1,0)</f>
        <v>#N/A</v>
      </c>
      <c r="AP1055" s="853" t="str">
        <f>+VLOOKUP($AJ1055,Data_Validation!$A:$D,3,0)</f>
        <v>#N/A</v>
      </c>
      <c r="AQ1055" s="853" t="str">
        <f>+VLOOKUP($AJ1055,Data_Validation!$A:$D,4,0)</f>
        <v>#N/A</v>
      </c>
      <c r="AR1055" s="853" t="s">
        <v>728</v>
      </c>
      <c r="AS1055" s="853" t="str">
        <f>+VLOOKUP($AJ1055,Data_Validation!$A:$E,5,0)</f>
        <v>#N/A</v>
      </c>
      <c r="AT1055" s="794" t="str">
        <f t="shared" ref="AT1055:AU1055" si="2108">C1055</f>
        <v>G727</v>
      </c>
      <c r="AU1055" s="854" t="str">
        <f t="shared" si="2108"/>
        <v>PRIX LOC.UNIT.S-LOUE-ALEA</v>
      </c>
      <c r="AV1055" s="794">
        <f t="array" ref="AV1055">IFERROR(INDEX(V1055:AG1055,1,MATCH(Parametres!$B$3,V$1:AG$1,0)-1)*IF(OR(C1055="L",C1055="S",C1055="I"),-1,1),"")</f>
        <v>0</v>
      </c>
      <c r="AW1055" s="794">
        <f t="shared" si="6"/>
        <v>0</v>
      </c>
      <c r="AX1055" s="794">
        <f t="array" ref="AX1055">INDEX(V1055:AG1055,1,MATCH(Parametres!$B$3,V$1:AG$1,0))*IF(OR(C1055="L",C1055="S",C1055="I"),-1,1)</f>
        <v>0</v>
      </c>
      <c r="AY1055" s="853" t="s">
        <v>772</v>
      </c>
      <c r="AZ1055" s="853" t="str">
        <f>+VLOOKUP($AJ1055,Data_Validation!$A:$E,5,0)</f>
        <v>#N/A</v>
      </c>
    </row>
    <row r="1056" ht="15.0" customHeight="1">
      <c r="A1056" s="849" t="s">
        <v>1239</v>
      </c>
      <c r="B1056" s="849">
        <v>2026.0</v>
      </c>
      <c r="C1056" s="849" t="s">
        <v>3284</v>
      </c>
      <c r="D1056" s="849" t="s">
        <v>3285</v>
      </c>
      <c r="E1056" s="849" t="s">
        <v>768</v>
      </c>
      <c r="F1056" s="849" t="s">
        <v>1200</v>
      </c>
      <c r="G1056" s="849">
        <v>0.0</v>
      </c>
      <c r="H1056" s="849">
        <v>0.0</v>
      </c>
      <c r="I1056" s="849">
        <v>0.0</v>
      </c>
      <c r="J1056" s="849">
        <v>0.0</v>
      </c>
      <c r="K1056" s="849">
        <v>0.0</v>
      </c>
      <c r="L1056" s="849">
        <v>0.0</v>
      </c>
      <c r="M1056" s="849">
        <v>0.0</v>
      </c>
      <c r="N1056" s="849">
        <v>0.0</v>
      </c>
      <c r="O1056" s="849">
        <v>0.0</v>
      </c>
      <c r="P1056" s="849">
        <v>0.0</v>
      </c>
      <c r="Q1056" s="849">
        <v>0.0</v>
      </c>
      <c r="R1056" s="849">
        <v>0.0</v>
      </c>
      <c r="S1056" s="849">
        <v>0.0</v>
      </c>
      <c r="T1056" s="849">
        <v>0.0</v>
      </c>
      <c r="U1056" s="849">
        <v>0.0</v>
      </c>
      <c r="V1056" s="849">
        <v>0.0</v>
      </c>
      <c r="W1056" s="849">
        <v>0.0</v>
      </c>
      <c r="X1056" s="849">
        <v>0.0</v>
      </c>
      <c r="Y1056" s="849">
        <v>0.0</v>
      </c>
      <c r="Z1056" s="849">
        <v>0.0</v>
      </c>
      <c r="AA1056" s="849">
        <v>0.0</v>
      </c>
      <c r="AB1056" s="849">
        <v>0.0</v>
      </c>
      <c r="AC1056" s="849">
        <v>0.0</v>
      </c>
      <c r="AD1056" s="849">
        <v>0.0</v>
      </c>
      <c r="AE1056" s="849">
        <v>0.0</v>
      </c>
      <c r="AF1056" s="849">
        <v>0.0</v>
      </c>
      <c r="AG1056" s="849">
        <v>0.0</v>
      </c>
      <c r="AH1056" s="849">
        <v>0.0</v>
      </c>
      <c r="AI1056" s="849">
        <v>0.0</v>
      </c>
      <c r="AJ1056" s="794" t="str">
        <f t="shared" ref="AJ1056:AK1056" si="2109">C1056</f>
        <v>G728</v>
      </c>
      <c r="AK1056" s="794" t="str">
        <f t="shared" si="2109"/>
        <v>AUTRES            -ALEATO</v>
      </c>
      <c r="AL1056" s="794">
        <f t="array" ref="AL1056">IFERROR(INDEX(G1056:R1056,1,MATCH(Parametres!$B$3,G$1:R$1,0)-1)*IF(OR(F1056="L",F1056="S",F1056="I"),-1,1),"")</f>
        <v>0</v>
      </c>
      <c r="AM1056" s="794">
        <f t="shared" si="4"/>
        <v>0</v>
      </c>
      <c r="AN1056" s="794">
        <f t="array" ref="AN1056">INDEX(G1056:R1056,1,MATCH(Parametres!$B$3,G$1:R$1,0))*IF(OR(F1056="L",F1056="S",F1056="I"),-1,1)</f>
        <v>0</v>
      </c>
      <c r="AO1056" s="853" t="str">
        <f>+VLOOKUP($AJ1056,Data_Validation!$A:$D,1,0)</f>
        <v>#N/A</v>
      </c>
      <c r="AP1056" s="853" t="str">
        <f>+VLOOKUP($AJ1056,Data_Validation!$A:$D,3,0)</f>
        <v>#N/A</v>
      </c>
      <c r="AQ1056" s="853" t="str">
        <f>+VLOOKUP($AJ1056,Data_Validation!$A:$D,4,0)</f>
        <v>#N/A</v>
      </c>
      <c r="AR1056" s="853" t="s">
        <v>728</v>
      </c>
      <c r="AS1056" s="853" t="str">
        <f>+VLOOKUP($AJ1056,Data_Validation!$A:$E,5,0)</f>
        <v>#N/A</v>
      </c>
      <c r="AT1056" s="794" t="str">
        <f t="shared" ref="AT1056:AU1056" si="2110">C1056</f>
        <v>G728</v>
      </c>
      <c r="AU1056" s="854" t="str">
        <f t="shared" si="2110"/>
        <v>AUTRES            -ALEATO</v>
      </c>
      <c r="AV1056" s="794">
        <f t="array" ref="AV1056">IFERROR(INDEX(V1056:AG1056,1,MATCH(Parametres!$B$3,V$1:AG$1,0)-1)*IF(OR(C1056="L",C1056="S",C1056="I"),-1,1),"")</f>
        <v>0</v>
      </c>
      <c r="AW1056" s="794">
        <f t="shared" si="6"/>
        <v>0</v>
      </c>
      <c r="AX1056" s="794">
        <f t="array" ref="AX1056">INDEX(V1056:AG1056,1,MATCH(Parametres!$B$3,V$1:AG$1,0))*IF(OR(C1056="L",C1056="S",C1056="I"),-1,1)</f>
        <v>0</v>
      </c>
      <c r="AY1056" s="853" t="s">
        <v>772</v>
      </c>
      <c r="AZ1056" s="853" t="str">
        <f>+VLOOKUP($AJ1056,Data_Validation!$A:$E,5,0)</f>
        <v>#N/A</v>
      </c>
    </row>
    <row r="1057" ht="15.0" customHeight="1">
      <c r="A1057" s="849" t="s">
        <v>1239</v>
      </c>
      <c r="B1057" s="849">
        <v>2026.0</v>
      </c>
      <c r="C1057" s="849" t="s">
        <v>3286</v>
      </c>
      <c r="D1057" s="849" t="s">
        <v>3287</v>
      </c>
      <c r="E1057" s="849" t="s">
        <v>768</v>
      </c>
      <c r="F1057" s="849" t="s">
        <v>1200</v>
      </c>
      <c r="G1057" s="849">
        <v>0.0</v>
      </c>
      <c r="H1057" s="849">
        <v>0.0</v>
      </c>
      <c r="I1057" s="849">
        <v>0.0</v>
      </c>
      <c r="J1057" s="849">
        <v>0.0</v>
      </c>
      <c r="K1057" s="849">
        <v>0.0</v>
      </c>
      <c r="L1057" s="849">
        <v>0.0</v>
      </c>
      <c r="M1057" s="849">
        <v>0.0</v>
      </c>
      <c r="N1057" s="849">
        <v>0.0</v>
      </c>
      <c r="O1057" s="849">
        <v>0.0</v>
      </c>
      <c r="P1057" s="849">
        <v>0.0</v>
      </c>
      <c r="Q1057" s="849">
        <v>0.0</v>
      </c>
      <c r="R1057" s="849">
        <v>0.0</v>
      </c>
      <c r="S1057" s="849">
        <v>0.0</v>
      </c>
      <c r="T1057" s="849">
        <v>0.0</v>
      </c>
      <c r="U1057" s="849">
        <v>0.0</v>
      </c>
      <c r="V1057" s="849">
        <v>0.0</v>
      </c>
      <c r="W1057" s="849">
        <v>0.0</v>
      </c>
      <c r="X1057" s="849">
        <v>0.0</v>
      </c>
      <c r="Y1057" s="849">
        <v>0.0</v>
      </c>
      <c r="Z1057" s="849">
        <v>0.0</v>
      </c>
      <c r="AA1057" s="849">
        <v>0.0</v>
      </c>
      <c r="AB1057" s="849">
        <v>0.0</v>
      </c>
      <c r="AC1057" s="849">
        <v>0.0</v>
      </c>
      <c r="AD1057" s="849">
        <v>0.0</v>
      </c>
      <c r="AE1057" s="849">
        <v>0.0</v>
      </c>
      <c r="AF1057" s="849">
        <v>0.0</v>
      </c>
      <c r="AG1057" s="849">
        <v>0.0</v>
      </c>
      <c r="AH1057" s="849">
        <v>0.0</v>
      </c>
      <c r="AI1057" s="849">
        <v>0.0</v>
      </c>
      <c r="AJ1057" s="794" t="str">
        <f t="shared" ref="AJ1057:AK1057" si="2111">C1057</f>
        <v>G73000</v>
      </c>
      <c r="AK1057" s="794" t="str">
        <f t="shared" si="2111"/>
        <v>COUT VTES VEHICULES CEDES</v>
      </c>
      <c r="AL1057" s="794">
        <f t="array" ref="AL1057">IFERROR(INDEX(G1057:R1057,1,MATCH(Parametres!$B$3,G$1:R$1,0)-1)*IF(OR(F1057="L",F1057="S",F1057="I"),-1,1),"")</f>
        <v>0</v>
      </c>
      <c r="AM1057" s="794">
        <f t="shared" si="4"/>
        <v>0</v>
      </c>
      <c r="AN1057" s="794">
        <f t="array" ref="AN1057">INDEX(G1057:R1057,1,MATCH(Parametres!$B$3,G$1:R$1,0))*IF(OR(F1057="L",F1057="S",F1057="I"),-1,1)</f>
        <v>0</v>
      </c>
      <c r="AO1057" s="853" t="str">
        <f>+VLOOKUP($AJ1057,Data_Validation!$A:$D,1,0)</f>
        <v>G73000</v>
      </c>
      <c r="AP1057" s="853" t="str">
        <f>+VLOOKUP($AJ1057,Data_Validation!$A:$D,3,0)</f>
        <v/>
      </c>
      <c r="AQ1057" s="853" t="str">
        <f>+VLOOKUP($AJ1057,Data_Validation!$A:$D,4,0)</f>
        <v/>
      </c>
      <c r="AR1057" s="853" t="s">
        <v>728</v>
      </c>
      <c r="AS1057" s="853" t="str">
        <f>+VLOOKUP($AJ1057,Data_Validation!$A:$E,5,0)</f>
        <v/>
      </c>
      <c r="AT1057" s="794" t="str">
        <f t="shared" ref="AT1057:AU1057" si="2112">C1057</f>
        <v>G73000</v>
      </c>
      <c r="AU1057" s="854" t="str">
        <f t="shared" si="2112"/>
        <v>COUT VTES VEHICULES CEDES</v>
      </c>
      <c r="AV1057" s="794">
        <f t="array" ref="AV1057">IFERROR(INDEX(V1057:AG1057,1,MATCH(Parametres!$B$3,V$1:AG$1,0)-1)*IF(OR(C1057="L",C1057="S",C1057="I"),-1,1),"")</f>
        <v>0</v>
      </c>
      <c r="AW1057" s="794">
        <f t="shared" si="6"/>
        <v>0</v>
      </c>
      <c r="AX1057" s="794">
        <f t="array" ref="AX1057">INDEX(V1057:AG1057,1,MATCH(Parametres!$B$3,V$1:AG$1,0))*IF(OR(C1057="L",C1057="S",C1057="I"),-1,1)</f>
        <v>0</v>
      </c>
      <c r="AY1057" s="853" t="s">
        <v>772</v>
      </c>
      <c r="AZ1057" s="853" t="str">
        <f>+VLOOKUP($AJ1057,Data_Validation!$A:$E,5,0)</f>
        <v/>
      </c>
    </row>
    <row r="1058" ht="15.0" customHeight="1">
      <c r="A1058" s="849" t="s">
        <v>1239</v>
      </c>
      <c r="B1058" s="849">
        <v>2026.0</v>
      </c>
      <c r="C1058" s="849" t="s">
        <v>3288</v>
      </c>
      <c r="D1058" s="849" t="s">
        <v>3289</v>
      </c>
      <c r="E1058" s="849" t="s">
        <v>768</v>
      </c>
      <c r="F1058" s="849" t="s">
        <v>1200</v>
      </c>
      <c r="G1058" s="849">
        <v>0.0</v>
      </c>
      <c r="H1058" s="849">
        <v>0.0</v>
      </c>
      <c r="I1058" s="849">
        <v>0.0</v>
      </c>
      <c r="J1058" s="849">
        <v>0.0</v>
      </c>
      <c r="K1058" s="849">
        <v>0.0</v>
      </c>
      <c r="L1058" s="849">
        <v>0.0</v>
      </c>
      <c r="M1058" s="849">
        <v>0.0</v>
      </c>
      <c r="N1058" s="849">
        <v>0.0</v>
      </c>
      <c r="O1058" s="849">
        <v>0.0</v>
      </c>
      <c r="P1058" s="849">
        <v>0.0</v>
      </c>
      <c r="Q1058" s="849">
        <v>0.0</v>
      </c>
      <c r="R1058" s="849">
        <v>0.0</v>
      </c>
      <c r="S1058" s="849">
        <v>0.0</v>
      </c>
      <c r="T1058" s="849">
        <v>0.0</v>
      </c>
      <c r="U1058" s="849">
        <v>0.0</v>
      </c>
      <c r="V1058" s="849">
        <v>0.0</v>
      </c>
      <c r="W1058" s="849">
        <v>0.0</v>
      </c>
      <c r="X1058" s="849">
        <v>0.0</v>
      </c>
      <c r="Y1058" s="849">
        <v>0.0</v>
      </c>
      <c r="Z1058" s="849">
        <v>0.0</v>
      </c>
      <c r="AA1058" s="849">
        <v>0.0</v>
      </c>
      <c r="AB1058" s="849">
        <v>0.0</v>
      </c>
      <c r="AC1058" s="849">
        <v>0.0</v>
      </c>
      <c r="AD1058" s="849">
        <v>0.0</v>
      </c>
      <c r="AE1058" s="849">
        <v>0.0</v>
      </c>
      <c r="AF1058" s="849">
        <v>0.0</v>
      </c>
      <c r="AG1058" s="849">
        <v>0.0</v>
      </c>
      <c r="AH1058" s="849">
        <v>0.0</v>
      </c>
      <c r="AI1058" s="849">
        <v>0.0</v>
      </c>
      <c r="AJ1058" s="794" t="str">
        <f t="shared" ref="AJ1058:AK1058" si="2113">C1058</f>
        <v>G731</v>
      </c>
      <c r="AK1058" s="794" t="str">
        <f t="shared" si="2113"/>
        <v>INTERETS             -C/T</v>
      </c>
      <c r="AL1058" s="794">
        <f t="array" ref="AL1058">IFERROR(INDEX(G1058:R1058,1,MATCH(Parametres!$B$3,G$1:R$1,0)-1)*IF(OR(F1058="L",F1058="S",F1058="I"),-1,1),"")</f>
        <v>0</v>
      </c>
      <c r="AM1058" s="794">
        <f t="shared" si="4"/>
        <v>0</v>
      </c>
      <c r="AN1058" s="794">
        <f t="array" ref="AN1058">INDEX(G1058:R1058,1,MATCH(Parametres!$B$3,G$1:R$1,0))*IF(OR(F1058="L",F1058="S",F1058="I"),-1,1)</f>
        <v>0</v>
      </c>
      <c r="AO1058" s="853" t="str">
        <f>+VLOOKUP($AJ1058,Data_Validation!$A:$D,1,0)</f>
        <v>#N/A</v>
      </c>
      <c r="AP1058" s="853" t="str">
        <f>+VLOOKUP($AJ1058,Data_Validation!$A:$D,3,0)</f>
        <v>#N/A</v>
      </c>
      <c r="AQ1058" s="853" t="str">
        <f>+VLOOKUP($AJ1058,Data_Validation!$A:$D,4,0)</f>
        <v>#N/A</v>
      </c>
      <c r="AR1058" s="853" t="s">
        <v>728</v>
      </c>
      <c r="AS1058" s="853" t="str">
        <f>+VLOOKUP($AJ1058,Data_Validation!$A:$E,5,0)</f>
        <v>#N/A</v>
      </c>
      <c r="AT1058" s="794" t="str">
        <f t="shared" ref="AT1058:AU1058" si="2114">C1058</f>
        <v>G731</v>
      </c>
      <c r="AU1058" s="854" t="str">
        <f t="shared" si="2114"/>
        <v>INTERETS             -C/T</v>
      </c>
      <c r="AV1058" s="794">
        <f t="array" ref="AV1058">IFERROR(INDEX(V1058:AG1058,1,MATCH(Parametres!$B$3,V$1:AG$1,0)-1)*IF(OR(C1058="L",C1058="S",C1058="I"),-1,1),"")</f>
        <v>0</v>
      </c>
      <c r="AW1058" s="794">
        <f t="shared" si="6"/>
        <v>0</v>
      </c>
      <c r="AX1058" s="794">
        <f t="array" ref="AX1058">INDEX(V1058:AG1058,1,MATCH(Parametres!$B$3,V$1:AG$1,0))*IF(OR(C1058="L",C1058="S",C1058="I"),-1,1)</f>
        <v>0</v>
      </c>
      <c r="AY1058" s="853" t="s">
        <v>772</v>
      </c>
      <c r="AZ1058" s="853" t="str">
        <f>+VLOOKUP($AJ1058,Data_Validation!$A:$E,5,0)</f>
        <v>#N/A</v>
      </c>
    </row>
    <row r="1059" ht="15.0" customHeight="1">
      <c r="A1059" s="849" t="s">
        <v>1239</v>
      </c>
      <c r="B1059" s="849">
        <v>2026.0</v>
      </c>
      <c r="C1059" s="849" t="s">
        <v>3290</v>
      </c>
      <c r="D1059" s="849" t="s">
        <v>3291</v>
      </c>
      <c r="E1059" s="849" t="s">
        <v>768</v>
      </c>
      <c r="F1059" s="849" t="s">
        <v>1200</v>
      </c>
      <c r="G1059" s="849">
        <v>0.0</v>
      </c>
      <c r="H1059" s="849">
        <v>0.0</v>
      </c>
      <c r="I1059" s="849">
        <v>0.0</v>
      </c>
      <c r="J1059" s="849">
        <v>0.0</v>
      </c>
      <c r="K1059" s="849">
        <v>0.0</v>
      </c>
      <c r="L1059" s="849">
        <v>0.0</v>
      </c>
      <c r="M1059" s="849">
        <v>0.0</v>
      </c>
      <c r="N1059" s="849">
        <v>0.0</v>
      </c>
      <c r="O1059" s="849">
        <v>0.0</v>
      </c>
      <c r="P1059" s="849">
        <v>0.0</v>
      </c>
      <c r="Q1059" s="849">
        <v>0.0</v>
      </c>
      <c r="R1059" s="849">
        <v>0.0</v>
      </c>
      <c r="S1059" s="849">
        <v>0.0</v>
      </c>
      <c r="T1059" s="849">
        <v>0.0</v>
      </c>
      <c r="U1059" s="849">
        <v>0.0</v>
      </c>
      <c r="V1059" s="849">
        <v>0.0</v>
      </c>
      <c r="W1059" s="849">
        <v>0.0</v>
      </c>
      <c r="X1059" s="849">
        <v>0.0</v>
      </c>
      <c r="Y1059" s="849">
        <v>0.0</v>
      </c>
      <c r="Z1059" s="849">
        <v>0.0</v>
      </c>
      <c r="AA1059" s="849">
        <v>0.0</v>
      </c>
      <c r="AB1059" s="849">
        <v>0.0</v>
      </c>
      <c r="AC1059" s="849">
        <v>0.0</v>
      </c>
      <c r="AD1059" s="849">
        <v>0.0</v>
      </c>
      <c r="AE1059" s="849">
        <v>0.0</v>
      </c>
      <c r="AF1059" s="849">
        <v>0.0</v>
      </c>
      <c r="AG1059" s="849">
        <v>0.0</v>
      </c>
      <c r="AH1059" s="849">
        <v>0.0</v>
      </c>
      <c r="AI1059" s="849">
        <v>0.0</v>
      </c>
      <c r="AJ1059" s="794" t="str">
        <f t="shared" ref="AJ1059:AK1059" si="2115">C1059</f>
        <v>G73100</v>
      </c>
      <c r="AK1059" s="794" t="str">
        <f t="shared" si="2115"/>
        <v>INTERETS LOCATION C/TERME</v>
      </c>
      <c r="AL1059" s="794">
        <f t="array" ref="AL1059">IFERROR(INDEX(G1059:R1059,1,MATCH(Parametres!$B$3,G$1:R$1,0)-1)*IF(OR(F1059="L",F1059="S",F1059="I"),-1,1),"")</f>
        <v>0</v>
      </c>
      <c r="AM1059" s="794">
        <f t="shared" si="4"/>
        <v>0</v>
      </c>
      <c r="AN1059" s="794">
        <f t="array" ref="AN1059">INDEX(G1059:R1059,1,MATCH(Parametres!$B$3,G$1:R$1,0))*IF(OR(F1059="L",F1059="S",F1059="I"),-1,1)</f>
        <v>0</v>
      </c>
      <c r="AO1059" s="853" t="str">
        <f>+VLOOKUP($AJ1059,Data_Validation!$A:$D,1,0)</f>
        <v>G73100</v>
      </c>
      <c r="AP1059" s="853" t="str">
        <f>+VLOOKUP($AJ1059,Data_Validation!$A:$D,3,0)</f>
        <v/>
      </c>
      <c r="AQ1059" s="853" t="str">
        <f>+VLOOKUP($AJ1059,Data_Validation!$A:$D,4,0)</f>
        <v/>
      </c>
      <c r="AR1059" s="853" t="s">
        <v>728</v>
      </c>
      <c r="AS1059" s="853" t="str">
        <f>+VLOOKUP($AJ1059,Data_Validation!$A:$E,5,0)</f>
        <v/>
      </c>
      <c r="AT1059" s="794" t="str">
        <f t="shared" ref="AT1059:AU1059" si="2116">C1059</f>
        <v>G73100</v>
      </c>
      <c r="AU1059" s="854" t="str">
        <f t="shared" si="2116"/>
        <v>INTERETS LOCATION C/TERME</v>
      </c>
      <c r="AV1059" s="794">
        <f t="array" ref="AV1059">IFERROR(INDEX(V1059:AG1059,1,MATCH(Parametres!$B$3,V$1:AG$1,0)-1)*IF(OR(C1059="L",C1059="S",C1059="I"),-1,1),"")</f>
        <v>0</v>
      </c>
      <c r="AW1059" s="794">
        <f t="shared" si="6"/>
        <v>0</v>
      </c>
      <c r="AX1059" s="794">
        <f t="array" ref="AX1059">INDEX(V1059:AG1059,1,MATCH(Parametres!$B$3,V$1:AG$1,0))*IF(OR(C1059="L",C1059="S",C1059="I"),-1,1)</f>
        <v>0</v>
      </c>
      <c r="AY1059" s="853" t="s">
        <v>772</v>
      </c>
      <c r="AZ1059" s="853" t="str">
        <f>+VLOOKUP($AJ1059,Data_Validation!$A:$E,5,0)</f>
        <v/>
      </c>
    </row>
    <row r="1060" ht="15.0" customHeight="1">
      <c r="A1060" s="849" t="s">
        <v>1239</v>
      </c>
      <c r="B1060" s="849">
        <v>2026.0</v>
      </c>
      <c r="C1060" s="849" t="s">
        <v>3292</v>
      </c>
      <c r="D1060" s="849" t="s">
        <v>3293</v>
      </c>
      <c r="E1060" s="849" t="s">
        <v>768</v>
      </c>
      <c r="F1060" s="849" t="s">
        <v>1200</v>
      </c>
      <c r="G1060" s="849">
        <v>0.0</v>
      </c>
      <c r="H1060" s="849">
        <v>0.0</v>
      </c>
      <c r="I1060" s="849">
        <v>0.0</v>
      </c>
      <c r="J1060" s="849">
        <v>0.0</v>
      </c>
      <c r="K1060" s="849">
        <v>0.0</v>
      </c>
      <c r="L1060" s="849">
        <v>0.0</v>
      </c>
      <c r="M1060" s="849">
        <v>0.0</v>
      </c>
      <c r="N1060" s="849">
        <v>0.0</v>
      </c>
      <c r="O1060" s="849">
        <v>0.0</v>
      </c>
      <c r="P1060" s="849">
        <v>0.0</v>
      </c>
      <c r="Q1060" s="849">
        <v>0.0</v>
      </c>
      <c r="R1060" s="849">
        <v>0.0</v>
      </c>
      <c r="S1060" s="849">
        <v>0.0</v>
      </c>
      <c r="T1060" s="849">
        <v>0.0</v>
      </c>
      <c r="U1060" s="849">
        <v>0.0</v>
      </c>
      <c r="V1060" s="849">
        <v>0.0</v>
      </c>
      <c r="W1060" s="849">
        <v>0.0</v>
      </c>
      <c r="X1060" s="849">
        <v>0.0</v>
      </c>
      <c r="Y1060" s="849">
        <v>0.0</v>
      </c>
      <c r="Z1060" s="849">
        <v>0.0</v>
      </c>
      <c r="AA1060" s="849">
        <v>0.0</v>
      </c>
      <c r="AB1060" s="849">
        <v>0.0</v>
      </c>
      <c r="AC1060" s="849">
        <v>0.0</v>
      </c>
      <c r="AD1060" s="849">
        <v>0.0</v>
      </c>
      <c r="AE1060" s="849">
        <v>0.0</v>
      </c>
      <c r="AF1060" s="849">
        <v>0.0</v>
      </c>
      <c r="AG1060" s="849">
        <v>0.0</v>
      </c>
      <c r="AH1060" s="849">
        <v>0.0</v>
      </c>
      <c r="AI1060" s="849">
        <v>0.0</v>
      </c>
      <c r="AJ1060" s="794" t="str">
        <f t="shared" ref="AJ1060:AK1060" si="2117">C1060</f>
        <v>G732</v>
      </c>
      <c r="AK1060" s="794" t="str">
        <f t="shared" si="2117"/>
        <v>AMORTISSEMENT        -C/T</v>
      </c>
      <c r="AL1060" s="794">
        <f t="array" ref="AL1060">IFERROR(INDEX(G1060:R1060,1,MATCH(Parametres!$B$3,G$1:R$1,0)-1)*IF(OR(F1060="L",F1060="S",F1060="I"),-1,1),"")</f>
        <v>0</v>
      </c>
      <c r="AM1060" s="794">
        <f t="shared" si="4"/>
        <v>0</v>
      </c>
      <c r="AN1060" s="794">
        <f t="array" ref="AN1060">INDEX(G1060:R1060,1,MATCH(Parametres!$B$3,G$1:R$1,0))*IF(OR(F1060="L",F1060="S",F1060="I"),-1,1)</f>
        <v>0</v>
      </c>
      <c r="AO1060" s="853" t="str">
        <f>+VLOOKUP($AJ1060,Data_Validation!$A:$D,1,0)</f>
        <v>#N/A</v>
      </c>
      <c r="AP1060" s="853" t="str">
        <f>+VLOOKUP($AJ1060,Data_Validation!$A:$D,3,0)</f>
        <v>#N/A</v>
      </c>
      <c r="AQ1060" s="853" t="str">
        <f>+VLOOKUP($AJ1060,Data_Validation!$A:$D,4,0)</f>
        <v>#N/A</v>
      </c>
      <c r="AR1060" s="853" t="s">
        <v>728</v>
      </c>
      <c r="AS1060" s="853" t="str">
        <f>+VLOOKUP($AJ1060,Data_Validation!$A:$E,5,0)</f>
        <v>#N/A</v>
      </c>
      <c r="AT1060" s="794" t="str">
        <f t="shared" ref="AT1060:AU1060" si="2118">C1060</f>
        <v>G732</v>
      </c>
      <c r="AU1060" s="854" t="str">
        <f t="shared" si="2118"/>
        <v>AMORTISSEMENT        -C/T</v>
      </c>
      <c r="AV1060" s="794">
        <f t="array" ref="AV1060">IFERROR(INDEX(V1060:AG1060,1,MATCH(Parametres!$B$3,V$1:AG$1,0)-1)*IF(OR(C1060="L",C1060="S",C1060="I"),-1,1),"")</f>
        <v>0</v>
      </c>
      <c r="AW1060" s="794">
        <f t="shared" si="6"/>
        <v>0</v>
      </c>
      <c r="AX1060" s="794">
        <f t="array" ref="AX1060">INDEX(V1060:AG1060,1,MATCH(Parametres!$B$3,V$1:AG$1,0))*IF(OR(C1060="L",C1060="S",C1060="I"),-1,1)</f>
        <v>0</v>
      </c>
      <c r="AY1060" s="853" t="s">
        <v>772</v>
      </c>
      <c r="AZ1060" s="853" t="str">
        <f>+VLOOKUP($AJ1060,Data_Validation!$A:$E,5,0)</f>
        <v>#N/A</v>
      </c>
    </row>
    <row r="1061" ht="15.0" customHeight="1">
      <c r="A1061" s="849" t="s">
        <v>1239</v>
      </c>
      <c r="B1061" s="849">
        <v>2026.0</v>
      </c>
      <c r="C1061" s="849" t="s">
        <v>3294</v>
      </c>
      <c r="D1061" s="849" t="s">
        <v>3295</v>
      </c>
      <c r="E1061" s="849" t="s">
        <v>768</v>
      </c>
      <c r="F1061" s="849" t="s">
        <v>1200</v>
      </c>
      <c r="G1061" s="849">
        <v>0.0</v>
      </c>
      <c r="H1061" s="849">
        <v>0.0</v>
      </c>
      <c r="I1061" s="849">
        <v>0.0</v>
      </c>
      <c r="J1061" s="849">
        <v>0.0</v>
      </c>
      <c r="K1061" s="849">
        <v>0.0</v>
      </c>
      <c r="L1061" s="849">
        <v>0.0</v>
      </c>
      <c r="M1061" s="849">
        <v>0.0</v>
      </c>
      <c r="N1061" s="849">
        <v>0.0</v>
      </c>
      <c r="O1061" s="849">
        <v>0.0</v>
      </c>
      <c r="P1061" s="849">
        <v>0.0</v>
      </c>
      <c r="Q1061" s="849">
        <v>0.0</v>
      </c>
      <c r="R1061" s="849">
        <v>0.0</v>
      </c>
      <c r="S1061" s="849">
        <v>0.0</v>
      </c>
      <c r="T1061" s="849">
        <v>0.0</v>
      </c>
      <c r="U1061" s="849">
        <v>0.0</v>
      </c>
      <c r="V1061" s="849">
        <v>0.0</v>
      </c>
      <c r="W1061" s="849">
        <v>0.0</v>
      </c>
      <c r="X1061" s="849">
        <v>0.0</v>
      </c>
      <c r="Y1061" s="849">
        <v>0.0</v>
      </c>
      <c r="Z1061" s="849">
        <v>0.0</v>
      </c>
      <c r="AA1061" s="849">
        <v>0.0</v>
      </c>
      <c r="AB1061" s="849">
        <v>0.0</v>
      </c>
      <c r="AC1061" s="849">
        <v>0.0</v>
      </c>
      <c r="AD1061" s="849">
        <v>0.0</v>
      </c>
      <c r="AE1061" s="849">
        <v>0.0</v>
      </c>
      <c r="AF1061" s="849">
        <v>0.0</v>
      </c>
      <c r="AG1061" s="849">
        <v>0.0</v>
      </c>
      <c r="AH1061" s="849">
        <v>0.0</v>
      </c>
      <c r="AI1061" s="849">
        <v>0.0</v>
      </c>
      <c r="AJ1061" s="794" t="str">
        <f t="shared" ref="AJ1061:AK1061" si="2119">C1061</f>
        <v>G73200</v>
      </c>
      <c r="AK1061" s="794" t="str">
        <f t="shared" si="2119"/>
        <v>AMORT. LOCATION C/TERME</v>
      </c>
      <c r="AL1061" s="794">
        <f t="array" ref="AL1061">IFERROR(INDEX(G1061:R1061,1,MATCH(Parametres!$B$3,G$1:R$1,0)-1)*IF(OR(F1061="L",F1061="S",F1061="I"),-1,1),"")</f>
        <v>0</v>
      </c>
      <c r="AM1061" s="794">
        <f t="shared" si="4"/>
        <v>0</v>
      </c>
      <c r="AN1061" s="794">
        <f t="array" ref="AN1061">INDEX(G1061:R1061,1,MATCH(Parametres!$B$3,G$1:R$1,0))*IF(OR(F1061="L",F1061="S",F1061="I"),-1,1)</f>
        <v>0</v>
      </c>
      <c r="AO1061" s="853" t="str">
        <f>+VLOOKUP($AJ1061,Data_Validation!$A:$D,1,0)</f>
        <v>G73200</v>
      </c>
      <c r="AP1061" s="853" t="str">
        <f>+VLOOKUP($AJ1061,Data_Validation!$A:$D,3,0)</f>
        <v/>
      </c>
      <c r="AQ1061" s="853" t="str">
        <f>+VLOOKUP($AJ1061,Data_Validation!$A:$D,4,0)</f>
        <v/>
      </c>
      <c r="AR1061" s="853" t="s">
        <v>728</v>
      </c>
      <c r="AS1061" s="853" t="str">
        <f>+VLOOKUP($AJ1061,Data_Validation!$A:$E,5,0)</f>
        <v/>
      </c>
      <c r="AT1061" s="794" t="str">
        <f t="shared" ref="AT1061:AU1061" si="2120">C1061</f>
        <v>G73200</v>
      </c>
      <c r="AU1061" s="854" t="str">
        <f t="shared" si="2120"/>
        <v>AMORT. LOCATION C/TERME</v>
      </c>
      <c r="AV1061" s="794">
        <f t="array" ref="AV1061">IFERROR(INDEX(V1061:AG1061,1,MATCH(Parametres!$B$3,V$1:AG$1,0)-1)*IF(OR(C1061="L",C1061="S",C1061="I"),-1,1),"")</f>
        <v>0</v>
      </c>
      <c r="AW1061" s="794">
        <f t="shared" si="6"/>
        <v>0</v>
      </c>
      <c r="AX1061" s="794">
        <f t="array" ref="AX1061">INDEX(V1061:AG1061,1,MATCH(Parametres!$B$3,V$1:AG$1,0))*IF(OR(C1061="L",C1061="S",C1061="I"),-1,1)</f>
        <v>0</v>
      </c>
      <c r="AY1061" s="853" t="s">
        <v>772</v>
      </c>
      <c r="AZ1061" s="853" t="str">
        <f>+VLOOKUP($AJ1061,Data_Validation!$A:$E,5,0)</f>
        <v/>
      </c>
    </row>
    <row r="1062" ht="15.0" customHeight="1">
      <c r="A1062" s="849" t="s">
        <v>1239</v>
      </c>
      <c r="B1062" s="849">
        <v>2026.0</v>
      </c>
      <c r="C1062" s="849" t="s">
        <v>3296</v>
      </c>
      <c r="D1062" s="849" t="s">
        <v>3297</v>
      </c>
      <c r="E1062" s="849" t="s">
        <v>768</v>
      </c>
      <c r="F1062" s="849" t="s">
        <v>1200</v>
      </c>
      <c r="G1062" s="849">
        <v>0.0</v>
      </c>
      <c r="H1062" s="849">
        <v>0.0</v>
      </c>
      <c r="I1062" s="849">
        <v>0.0</v>
      </c>
      <c r="J1062" s="849">
        <v>0.0</v>
      </c>
      <c r="K1062" s="849">
        <v>0.0</v>
      </c>
      <c r="L1062" s="849">
        <v>0.0</v>
      </c>
      <c r="M1062" s="849">
        <v>0.0</v>
      </c>
      <c r="N1062" s="849">
        <v>0.0</v>
      </c>
      <c r="O1062" s="849">
        <v>0.0</v>
      </c>
      <c r="P1062" s="849">
        <v>0.0</v>
      </c>
      <c r="Q1062" s="849">
        <v>0.0</v>
      </c>
      <c r="R1062" s="849">
        <v>0.0</v>
      </c>
      <c r="S1062" s="849">
        <v>0.0</v>
      </c>
      <c r="T1062" s="849">
        <v>0.0</v>
      </c>
      <c r="U1062" s="849">
        <v>0.0</v>
      </c>
      <c r="V1062" s="849">
        <v>0.0</v>
      </c>
      <c r="W1062" s="849">
        <v>0.0</v>
      </c>
      <c r="X1062" s="849">
        <v>0.0</v>
      </c>
      <c r="Y1062" s="849">
        <v>0.0</v>
      </c>
      <c r="Z1062" s="849">
        <v>0.0</v>
      </c>
      <c r="AA1062" s="849">
        <v>0.0</v>
      </c>
      <c r="AB1062" s="849">
        <v>0.0</v>
      </c>
      <c r="AC1062" s="849">
        <v>0.0</v>
      </c>
      <c r="AD1062" s="849">
        <v>0.0</v>
      </c>
      <c r="AE1062" s="849">
        <v>0.0</v>
      </c>
      <c r="AF1062" s="849">
        <v>0.0</v>
      </c>
      <c r="AG1062" s="849">
        <v>0.0</v>
      </c>
      <c r="AH1062" s="849">
        <v>0.0</v>
      </c>
      <c r="AI1062" s="849">
        <v>0.0</v>
      </c>
      <c r="AJ1062" s="794" t="str">
        <f t="shared" ref="AJ1062:AK1062" si="2121">C1062</f>
        <v>G733</v>
      </c>
      <c r="AK1062" s="794" t="str">
        <f t="shared" si="2121"/>
        <v>ASSUR.VEH EN SERV.   -C/T</v>
      </c>
      <c r="AL1062" s="794">
        <f t="array" ref="AL1062">IFERROR(INDEX(G1062:R1062,1,MATCH(Parametres!$B$3,G$1:R$1,0)-1)*IF(OR(F1062="L",F1062="S",F1062="I"),-1,1),"")</f>
        <v>0</v>
      </c>
      <c r="AM1062" s="794">
        <f t="shared" si="4"/>
        <v>0</v>
      </c>
      <c r="AN1062" s="794">
        <f t="array" ref="AN1062">INDEX(G1062:R1062,1,MATCH(Parametres!$B$3,G$1:R$1,0))*IF(OR(F1062="L",F1062="S",F1062="I"),-1,1)</f>
        <v>0</v>
      </c>
      <c r="AO1062" s="853" t="str">
        <f>+VLOOKUP($AJ1062,Data_Validation!$A:$D,1,0)</f>
        <v>#N/A</v>
      </c>
      <c r="AP1062" s="853" t="str">
        <f>+VLOOKUP($AJ1062,Data_Validation!$A:$D,3,0)</f>
        <v>#N/A</v>
      </c>
      <c r="AQ1062" s="853" t="str">
        <f>+VLOOKUP($AJ1062,Data_Validation!$A:$D,4,0)</f>
        <v>#N/A</v>
      </c>
      <c r="AR1062" s="853" t="s">
        <v>728</v>
      </c>
      <c r="AS1062" s="853" t="str">
        <f>+VLOOKUP($AJ1062,Data_Validation!$A:$E,5,0)</f>
        <v>#N/A</v>
      </c>
      <c r="AT1062" s="794" t="str">
        <f t="shared" ref="AT1062:AU1062" si="2122">C1062</f>
        <v>G733</v>
      </c>
      <c r="AU1062" s="854" t="str">
        <f t="shared" si="2122"/>
        <v>ASSUR.VEH EN SERV.   -C/T</v>
      </c>
      <c r="AV1062" s="794">
        <f t="array" ref="AV1062">IFERROR(INDEX(V1062:AG1062,1,MATCH(Parametres!$B$3,V$1:AG$1,0)-1)*IF(OR(C1062="L",C1062="S",C1062="I"),-1,1),"")</f>
        <v>0</v>
      </c>
      <c r="AW1062" s="794">
        <f t="shared" si="6"/>
        <v>0</v>
      </c>
      <c r="AX1062" s="794">
        <f t="array" ref="AX1062">INDEX(V1062:AG1062,1,MATCH(Parametres!$B$3,V$1:AG$1,0))*IF(OR(C1062="L",C1062="S",C1062="I"),-1,1)</f>
        <v>0</v>
      </c>
      <c r="AY1062" s="853" t="s">
        <v>772</v>
      </c>
      <c r="AZ1062" s="853" t="str">
        <f>+VLOOKUP($AJ1062,Data_Validation!$A:$E,5,0)</f>
        <v>#N/A</v>
      </c>
    </row>
    <row r="1063" ht="15.0" customHeight="1">
      <c r="A1063" s="849" t="s">
        <v>1239</v>
      </c>
      <c r="B1063" s="849">
        <v>2026.0</v>
      </c>
      <c r="C1063" s="849" t="s">
        <v>3298</v>
      </c>
      <c r="D1063" s="849" t="s">
        <v>3299</v>
      </c>
      <c r="E1063" s="849" t="s">
        <v>768</v>
      </c>
      <c r="F1063" s="849" t="s">
        <v>1200</v>
      </c>
      <c r="G1063" s="849">
        <v>0.0</v>
      </c>
      <c r="H1063" s="849">
        <v>0.0</v>
      </c>
      <c r="I1063" s="849">
        <v>0.0</v>
      </c>
      <c r="J1063" s="849">
        <v>0.0</v>
      </c>
      <c r="K1063" s="849">
        <v>0.0</v>
      </c>
      <c r="L1063" s="849">
        <v>0.0</v>
      </c>
      <c r="M1063" s="849">
        <v>0.0</v>
      </c>
      <c r="N1063" s="849">
        <v>0.0</v>
      </c>
      <c r="O1063" s="849">
        <v>0.0</v>
      </c>
      <c r="P1063" s="849">
        <v>0.0</v>
      </c>
      <c r="Q1063" s="849">
        <v>0.0</v>
      </c>
      <c r="R1063" s="849">
        <v>0.0</v>
      </c>
      <c r="S1063" s="849">
        <v>0.0</v>
      </c>
      <c r="T1063" s="849">
        <v>0.0</v>
      </c>
      <c r="U1063" s="849">
        <v>0.0</v>
      </c>
      <c r="V1063" s="849">
        <v>0.0</v>
      </c>
      <c r="W1063" s="849">
        <v>0.0</v>
      </c>
      <c r="X1063" s="849">
        <v>0.0</v>
      </c>
      <c r="Y1063" s="849">
        <v>0.0</v>
      </c>
      <c r="Z1063" s="849">
        <v>0.0</v>
      </c>
      <c r="AA1063" s="849">
        <v>0.0</v>
      </c>
      <c r="AB1063" s="849">
        <v>0.0</v>
      </c>
      <c r="AC1063" s="849">
        <v>0.0</v>
      </c>
      <c r="AD1063" s="849">
        <v>0.0</v>
      </c>
      <c r="AE1063" s="849">
        <v>0.0</v>
      </c>
      <c r="AF1063" s="849">
        <v>0.0</v>
      </c>
      <c r="AG1063" s="849">
        <v>0.0</v>
      </c>
      <c r="AH1063" s="849">
        <v>0.0</v>
      </c>
      <c r="AI1063" s="849">
        <v>0.0</v>
      </c>
      <c r="AJ1063" s="794" t="str">
        <f t="shared" ref="AJ1063:AK1063" si="2123">C1063</f>
        <v>G73300</v>
      </c>
      <c r="AK1063" s="794" t="str">
        <f t="shared" si="2123"/>
        <v>ASSURANCES COURTOISIES</v>
      </c>
      <c r="AL1063" s="794">
        <f t="array" ref="AL1063">IFERROR(INDEX(G1063:R1063,1,MATCH(Parametres!$B$3,G$1:R$1,0)-1)*IF(OR(F1063="L",F1063="S",F1063="I"),-1,1),"")</f>
        <v>0</v>
      </c>
      <c r="AM1063" s="794">
        <f t="shared" si="4"/>
        <v>0</v>
      </c>
      <c r="AN1063" s="794">
        <f t="array" ref="AN1063">INDEX(G1063:R1063,1,MATCH(Parametres!$B$3,G$1:R$1,0))*IF(OR(F1063="L",F1063="S",F1063="I"),-1,1)</f>
        <v>0</v>
      </c>
      <c r="AO1063" s="853" t="str">
        <f>+VLOOKUP($AJ1063,Data_Validation!$A:$D,1,0)</f>
        <v>#N/A</v>
      </c>
      <c r="AP1063" s="853" t="str">
        <f>+VLOOKUP($AJ1063,Data_Validation!$A:$D,3,0)</f>
        <v>#N/A</v>
      </c>
      <c r="AQ1063" s="853" t="str">
        <f>+VLOOKUP($AJ1063,Data_Validation!$A:$D,4,0)</f>
        <v>#N/A</v>
      </c>
      <c r="AR1063" s="853" t="s">
        <v>728</v>
      </c>
      <c r="AS1063" s="853" t="str">
        <f>+VLOOKUP($AJ1063,Data_Validation!$A:$E,5,0)</f>
        <v>#N/A</v>
      </c>
      <c r="AT1063" s="794" t="str">
        <f t="shared" ref="AT1063:AU1063" si="2124">C1063</f>
        <v>G73300</v>
      </c>
      <c r="AU1063" s="854" t="str">
        <f t="shared" si="2124"/>
        <v>ASSURANCES COURTOISIES</v>
      </c>
      <c r="AV1063" s="794">
        <f t="array" ref="AV1063">IFERROR(INDEX(V1063:AG1063,1,MATCH(Parametres!$B$3,V$1:AG$1,0)-1)*IF(OR(C1063="L",C1063="S",C1063="I"),-1,1),"")</f>
        <v>0</v>
      </c>
      <c r="AW1063" s="794">
        <f t="shared" si="6"/>
        <v>0</v>
      </c>
      <c r="AX1063" s="794">
        <f t="array" ref="AX1063">INDEX(V1063:AG1063,1,MATCH(Parametres!$B$3,V$1:AG$1,0))*IF(OR(C1063="L",C1063="S",C1063="I"),-1,1)</f>
        <v>0</v>
      </c>
      <c r="AY1063" s="853" t="s">
        <v>772</v>
      </c>
      <c r="AZ1063" s="853" t="str">
        <f>+VLOOKUP($AJ1063,Data_Validation!$A:$E,5,0)</f>
        <v>#N/A</v>
      </c>
    </row>
    <row r="1064" ht="15.0" customHeight="1">
      <c r="A1064" s="849" t="s">
        <v>1239</v>
      </c>
      <c r="B1064" s="849">
        <v>2026.0</v>
      </c>
      <c r="C1064" s="849" t="s">
        <v>3300</v>
      </c>
      <c r="D1064" s="849" t="s">
        <v>3301</v>
      </c>
      <c r="E1064" s="849" t="s">
        <v>768</v>
      </c>
      <c r="F1064" s="849" t="s">
        <v>1200</v>
      </c>
      <c r="G1064" s="849">
        <v>0.0</v>
      </c>
      <c r="H1064" s="849">
        <v>0.0</v>
      </c>
      <c r="I1064" s="849">
        <v>0.0</v>
      </c>
      <c r="J1064" s="849">
        <v>0.0</v>
      </c>
      <c r="K1064" s="849">
        <v>0.0</v>
      </c>
      <c r="L1064" s="849">
        <v>0.0</v>
      </c>
      <c r="M1064" s="849">
        <v>0.0</v>
      </c>
      <c r="N1064" s="849">
        <v>0.0</v>
      </c>
      <c r="O1064" s="849">
        <v>0.0</v>
      </c>
      <c r="P1064" s="849">
        <v>0.0</v>
      </c>
      <c r="Q1064" s="849">
        <v>0.0</v>
      </c>
      <c r="R1064" s="849">
        <v>0.0</v>
      </c>
      <c r="S1064" s="849">
        <v>0.0</v>
      </c>
      <c r="T1064" s="849">
        <v>0.0</v>
      </c>
      <c r="U1064" s="849">
        <v>0.0</v>
      </c>
      <c r="V1064" s="849">
        <v>0.0</v>
      </c>
      <c r="W1064" s="849">
        <v>0.0</v>
      </c>
      <c r="X1064" s="849">
        <v>0.0</v>
      </c>
      <c r="Y1064" s="849">
        <v>0.0</v>
      </c>
      <c r="Z1064" s="849">
        <v>0.0</v>
      </c>
      <c r="AA1064" s="849">
        <v>0.0</v>
      </c>
      <c r="AB1064" s="849">
        <v>0.0</v>
      </c>
      <c r="AC1064" s="849">
        <v>0.0</v>
      </c>
      <c r="AD1064" s="849">
        <v>0.0</v>
      </c>
      <c r="AE1064" s="849">
        <v>0.0</v>
      </c>
      <c r="AF1064" s="849">
        <v>0.0</v>
      </c>
      <c r="AG1064" s="849">
        <v>0.0</v>
      </c>
      <c r="AH1064" s="849">
        <v>0.0</v>
      </c>
      <c r="AI1064" s="849">
        <v>0.0</v>
      </c>
      <c r="AJ1064" s="794" t="str">
        <f t="shared" ref="AJ1064:AK1064" si="2125">C1064</f>
        <v>G734</v>
      </c>
      <c r="AK1064" s="794" t="str">
        <f t="shared" si="2125"/>
        <v>PLAQUE,TITRE,TAXES   -C/T</v>
      </c>
      <c r="AL1064" s="794">
        <f t="array" ref="AL1064">IFERROR(INDEX(G1064:R1064,1,MATCH(Parametres!$B$3,G$1:R$1,0)-1)*IF(OR(F1064="L",F1064="S",F1064="I"),-1,1),"")</f>
        <v>0</v>
      </c>
      <c r="AM1064" s="794">
        <f t="shared" si="4"/>
        <v>0</v>
      </c>
      <c r="AN1064" s="794">
        <f t="array" ref="AN1064">INDEX(G1064:R1064,1,MATCH(Parametres!$B$3,G$1:R$1,0))*IF(OR(F1064="L",F1064="S",F1064="I"),-1,1)</f>
        <v>0</v>
      </c>
      <c r="AO1064" s="853" t="str">
        <f>+VLOOKUP($AJ1064,Data_Validation!$A:$D,1,0)</f>
        <v>#N/A</v>
      </c>
      <c r="AP1064" s="853" t="str">
        <f>+VLOOKUP($AJ1064,Data_Validation!$A:$D,3,0)</f>
        <v>#N/A</v>
      </c>
      <c r="AQ1064" s="853" t="str">
        <f>+VLOOKUP($AJ1064,Data_Validation!$A:$D,4,0)</f>
        <v>#N/A</v>
      </c>
      <c r="AR1064" s="853" t="s">
        <v>728</v>
      </c>
      <c r="AS1064" s="853" t="str">
        <f>+VLOOKUP($AJ1064,Data_Validation!$A:$E,5,0)</f>
        <v>#N/A</v>
      </c>
      <c r="AT1064" s="794" t="str">
        <f t="shared" ref="AT1064:AU1064" si="2126">C1064</f>
        <v>G734</v>
      </c>
      <c r="AU1064" s="854" t="str">
        <f t="shared" si="2126"/>
        <v>PLAQUE,TITRE,TAXES   -C/T</v>
      </c>
      <c r="AV1064" s="794">
        <f t="array" ref="AV1064">IFERROR(INDEX(V1064:AG1064,1,MATCH(Parametres!$B$3,V$1:AG$1,0)-1)*IF(OR(C1064="L",C1064="S",C1064="I"),-1,1),"")</f>
        <v>0</v>
      </c>
      <c r="AW1064" s="794">
        <f t="shared" si="6"/>
        <v>0</v>
      </c>
      <c r="AX1064" s="794">
        <f t="array" ref="AX1064">INDEX(V1064:AG1064,1,MATCH(Parametres!$B$3,V$1:AG$1,0))*IF(OR(C1064="L",C1064="S",C1064="I"),-1,1)</f>
        <v>0</v>
      </c>
      <c r="AY1064" s="853" t="s">
        <v>772</v>
      </c>
      <c r="AZ1064" s="853" t="str">
        <f>+VLOOKUP($AJ1064,Data_Validation!$A:$E,5,0)</f>
        <v>#N/A</v>
      </c>
    </row>
    <row r="1065" ht="15.0" customHeight="1">
      <c r="A1065" s="849" t="s">
        <v>1239</v>
      </c>
      <c r="B1065" s="849">
        <v>2026.0</v>
      </c>
      <c r="C1065" s="849" t="s">
        <v>3302</v>
      </c>
      <c r="D1065" s="849" t="s">
        <v>3303</v>
      </c>
      <c r="E1065" s="849" t="s">
        <v>768</v>
      </c>
      <c r="F1065" s="849" t="s">
        <v>1200</v>
      </c>
      <c r="G1065" s="849">
        <v>0.0</v>
      </c>
      <c r="H1065" s="849">
        <v>0.0</v>
      </c>
      <c r="I1065" s="849">
        <v>0.0</v>
      </c>
      <c r="J1065" s="849">
        <v>0.0</v>
      </c>
      <c r="K1065" s="849">
        <v>0.0</v>
      </c>
      <c r="L1065" s="849">
        <v>0.0</v>
      </c>
      <c r="M1065" s="849">
        <v>0.0</v>
      </c>
      <c r="N1065" s="849">
        <v>0.0</v>
      </c>
      <c r="O1065" s="849">
        <v>0.0</v>
      </c>
      <c r="P1065" s="849">
        <v>0.0</v>
      </c>
      <c r="Q1065" s="849">
        <v>0.0</v>
      </c>
      <c r="R1065" s="849">
        <v>0.0</v>
      </c>
      <c r="S1065" s="849">
        <v>0.0</v>
      </c>
      <c r="T1065" s="849">
        <v>0.0</v>
      </c>
      <c r="U1065" s="849">
        <v>0.0</v>
      </c>
      <c r="V1065" s="849">
        <v>0.0</v>
      </c>
      <c r="W1065" s="849">
        <v>0.0</v>
      </c>
      <c r="X1065" s="849">
        <v>0.0</v>
      </c>
      <c r="Y1065" s="849">
        <v>0.0</v>
      </c>
      <c r="Z1065" s="849">
        <v>0.0</v>
      </c>
      <c r="AA1065" s="849">
        <v>0.0</v>
      </c>
      <c r="AB1065" s="849">
        <v>0.0</v>
      </c>
      <c r="AC1065" s="849">
        <v>0.0</v>
      </c>
      <c r="AD1065" s="849">
        <v>0.0</v>
      </c>
      <c r="AE1065" s="849">
        <v>0.0</v>
      </c>
      <c r="AF1065" s="849">
        <v>0.0</v>
      </c>
      <c r="AG1065" s="849">
        <v>0.0</v>
      </c>
      <c r="AH1065" s="849">
        <v>0.0</v>
      </c>
      <c r="AI1065" s="849">
        <v>0.0</v>
      </c>
      <c r="AJ1065" s="794" t="str">
        <f t="shared" ref="AJ1065:AK1065" si="2127">C1065</f>
        <v>G73400</v>
      </c>
      <c r="AK1065" s="794" t="str">
        <f t="shared" si="2127"/>
        <v>PLAQUES TITRES LOC.C/TERM</v>
      </c>
      <c r="AL1065" s="794">
        <f t="array" ref="AL1065">IFERROR(INDEX(G1065:R1065,1,MATCH(Parametres!$B$3,G$1:R$1,0)-1)*IF(OR(F1065="L",F1065="S",F1065="I"),-1,1),"")</f>
        <v>0</v>
      </c>
      <c r="AM1065" s="794">
        <f t="shared" si="4"/>
        <v>0</v>
      </c>
      <c r="AN1065" s="794">
        <f t="array" ref="AN1065">INDEX(G1065:R1065,1,MATCH(Parametres!$B$3,G$1:R$1,0))*IF(OR(F1065="L",F1065="S",F1065="I"),-1,1)</f>
        <v>0</v>
      </c>
      <c r="AO1065" s="853" t="str">
        <f>+VLOOKUP($AJ1065,Data_Validation!$A:$D,1,0)</f>
        <v>G73400</v>
      </c>
      <c r="AP1065" s="853" t="str">
        <f>+VLOOKUP($AJ1065,Data_Validation!$A:$D,3,0)</f>
        <v/>
      </c>
      <c r="AQ1065" s="853" t="str">
        <f>+VLOOKUP($AJ1065,Data_Validation!$A:$D,4,0)</f>
        <v/>
      </c>
      <c r="AR1065" s="853" t="s">
        <v>728</v>
      </c>
      <c r="AS1065" s="853" t="str">
        <f>+VLOOKUP($AJ1065,Data_Validation!$A:$E,5,0)</f>
        <v/>
      </c>
      <c r="AT1065" s="794" t="str">
        <f t="shared" ref="AT1065:AU1065" si="2128">C1065</f>
        <v>G73400</v>
      </c>
      <c r="AU1065" s="854" t="str">
        <f t="shared" si="2128"/>
        <v>PLAQUES TITRES LOC.C/TERM</v>
      </c>
      <c r="AV1065" s="794">
        <f t="array" ref="AV1065">IFERROR(INDEX(V1065:AG1065,1,MATCH(Parametres!$B$3,V$1:AG$1,0)-1)*IF(OR(C1065="L",C1065="S",C1065="I"),-1,1),"")</f>
        <v>0</v>
      </c>
      <c r="AW1065" s="794">
        <f t="shared" si="6"/>
        <v>0</v>
      </c>
      <c r="AX1065" s="794">
        <f t="array" ref="AX1065">INDEX(V1065:AG1065,1,MATCH(Parametres!$B$3,V$1:AG$1,0))*IF(OR(C1065="L",C1065="S",C1065="I"),-1,1)</f>
        <v>0</v>
      </c>
      <c r="AY1065" s="853" t="s">
        <v>772</v>
      </c>
      <c r="AZ1065" s="853" t="str">
        <f>+VLOOKUP($AJ1065,Data_Validation!$A:$E,5,0)</f>
        <v/>
      </c>
    </row>
    <row r="1066" ht="15.0" customHeight="1">
      <c r="A1066" s="849" t="s">
        <v>1239</v>
      </c>
      <c r="B1066" s="849">
        <v>2026.0</v>
      </c>
      <c r="C1066" s="849" t="s">
        <v>3304</v>
      </c>
      <c r="D1066" s="849" t="s">
        <v>3305</v>
      </c>
      <c r="E1066" s="849" t="s">
        <v>768</v>
      </c>
      <c r="F1066" s="849" t="s">
        <v>1200</v>
      </c>
      <c r="G1066" s="849">
        <v>0.0</v>
      </c>
      <c r="H1066" s="849">
        <v>0.0</v>
      </c>
      <c r="I1066" s="849">
        <v>0.0</v>
      </c>
      <c r="J1066" s="849">
        <v>0.0</v>
      </c>
      <c r="K1066" s="849">
        <v>0.0</v>
      </c>
      <c r="L1066" s="849">
        <v>0.0</v>
      </c>
      <c r="M1066" s="849">
        <v>0.0</v>
      </c>
      <c r="N1066" s="849">
        <v>0.0</v>
      </c>
      <c r="O1066" s="849">
        <v>0.0</v>
      </c>
      <c r="P1066" s="849">
        <v>0.0</v>
      </c>
      <c r="Q1066" s="849">
        <v>0.0</v>
      </c>
      <c r="R1066" s="849">
        <v>0.0</v>
      </c>
      <c r="S1066" s="849">
        <v>0.0</v>
      </c>
      <c r="T1066" s="849">
        <v>0.0</v>
      </c>
      <c r="U1066" s="849">
        <v>0.0</v>
      </c>
      <c r="V1066" s="849">
        <v>0.0</v>
      </c>
      <c r="W1066" s="849">
        <v>0.0</v>
      </c>
      <c r="X1066" s="849">
        <v>0.0</v>
      </c>
      <c r="Y1066" s="849">
        <v>0.0</v>
      </c>
      <c r="Z1066" s="849">
        <v>0.0</v>
      </c>
      <c r="AA1066" s="849">
        <v>0.0</v>
      </c>
      <c r="AB1066" s="849">
        <v>0.0</v>
      </c>
      <c r="AC1066" s="849">
        <v>0.0</v>
      </c>
      <c r="AD1066" s="849">
        <v>0.0</v>
      </c>
      <c r="AE1066" s="849">
        <v>0.0</v>
      </c>
      <c r="AF1066" s="849">
        <v>0.0</v>
      </c>
      <c r="AG1066" s="849">
        <v>0.0</v>
      </c>
      <c r="AH1066" s="849">
        <v>0.0</v>
      </c>
      <c r="AI1066" s="849">
        <v>0.0</v>
      </c>
      <c r="AJ1066" s="794" t="str">
        <f t="shared" ref="AJ1066:AK1066" si="2129">C1066</f>
        <v>G735</v>
      </c>
      <c r="AK1066" s="794" t="str">
        <f t="shared" si="2129"/>
        <v>TRAVAUX GRACIEUX     -C/T</v>
      </c>
      <c r="AL1066" s="794">
        <f t="array" ref="AL1066">IFERROR(INDEX(G1066:R1066,1,MATCH(Parametres!$B$3,G$1:R$1,0)-1)*IF(OR(F1066="L",F1066="S",F1066="I"),-1,1),"")</f>
        <v>0</v>
      </c>
      <c r="AM1066" s="794">
        <f t="shared" si="4"/>
        <v>0</v>
      </c>
      <c r="AN1066" s="794">
        <f t="array" ref="AN1066">INDEX(G1066:R1066,1,MATCH(Parametres!$B$3,G$1:R$1,0))*IF(OR(F1066="L",F1066="S",F1066="I"),-1,1)</f>
        <v>0</v>
      </c>
      <c r="AO1066" s="853" t="str">
        <f>+VLOOKUP($AJ1066,Data_Validation!$A:$D,1,0)</f>
        <v>#N/A</v>
      </c>
      <c r="AP1066" s="853" t="str">
        <f>+VLOOKUP($AJ1066,Data_Validation!$A:$D,3,0)</f>
        <v>#N/A</v>
      </c>
      <c r="AQ1066" s="853" t="str">
        <f>+VLOOKUP($AJ1066,Data_Validation!$A:$D,4,0)</f>
        <v>#N/A</v>
      </c>
      <c r="AR1066" s="853" t="s">
        <v>728</v>
      </c>
      <c r="AS1066" s="853" t="str">
        <f>+VLOOKUP($AJ1066,Data_Validation!$A:$E,5,0)</f>
        <v>#N/A</v>
      </c>
      <c r="AT1066" s="794" t="str">
        <f t="shared" ref="AT1066:AU1066" si="2130">C1066</f>
        <v>G735</v>
      </c>
      <c r="AU1066" s="854" t="str">
        <f t="shared" si="2130"/>
        <v>TRAVAUX GRACIEUX     -C/T</v>
      </c>
      <c r="AV1066" s="794">
        <f t="array" ref="AV1066">IFERROR(INDEX(V1066:AG1066,1,MATCH(Parametres!$B$3,V$1:AG$1,0)-1)*IF(OR(C1066="L",C1066="S",C1066="I"),-1,1),"")</f>
        <v>0</v>
      </c>
      <c r="AW1066" s="794">
        <f t="shared" si="6"/>
        <v>0</v>
      </c>
      <c r="AX1066" s="794">
        <f t="array" ref="AX1066">INDEX(V1066:AG1066,1,MATCH(Parametres!$B$3,V$1:AG$1,0))*IF(OR(C1066="L",C1066="S",C1066="I"),-1,1)</f>
        <v>0</v>
      </c>
      <c r="AY1066" s="853" t="s">
        <v>772</v>
      </c>
      <c r="AZ1066" s="853" t="str">
        <f>+VLOOKUP($AJ1066,Data_Validation!$A:$E,5,0)</f>
        <v>#N/A</v>
      </c>
    </row>
    <row r="1067" ht="15.0" customHeight="1">
      <c r="A1067" s="849" t="s">
        <v>1239</v>
      </c>
      <c r="B1067" s="849">
        <v>2026.0</v>
      </c>
      <c r="C1067" s="849" t="s">
        <v>3306</v>
      </c>
      <c r="D1067" s="849" t="s">
        <v>3307</v>
      </c>
      <c r="E1067" s="849" t="s">
        <v>768</v>
      </c>
      <c r="F1067" s="849" t="s">
        <v>1200</v>
      </c>
      <c r="G1067" s="849">
        <v>0.0</v>
      </c>
      <c r="H1067" s="849">
        <v>0.0</v>
      </c>
      <c r="I1067" s="849">
        <v>0.0</v>
      </c>
      <c r="J1067" s="849">
        <v>0.0</v>
      </c>
      <c r="K1067" s="849">
        <v>0.0</v>
      </c>
      <c r="L1067" s="849">
        <v>0.0</v>
      </c>
      <c r="M1067" s="849">
        <v>0.0</v>
      </c>
      <c r="N1067" s="849">
        <v>0.0</v>
      </c>
      <c r="O1067" s="849">
        <v>0.0</v>
      </c>
      <c r="P1067" s="849">
        <v>0.0</v>
      </c>
      <c r="Q1067" s="849">
        <v>0.0</v>
      </c>
      <c r="R1067" s="849">
        <v>0.0</v>
      </c>
      <c r="S1067" s="849">
        <v>0.0</v>
      </c>
      <c r="T1067" s="849">
        <v>0.0</v>
      </c>
      <c r="U1067" s="849">
        <v>0.0</v>
      </c>
      <c r="V1067" s="849">
        <v>0.0</v>
      </c>
      <c r="W1067" s="849">
        <v>0.0</v>
      </c>
      <c r="X1067" s="849">
        <v>0.0</v>
      </c>
      <c r="Y1067" s="849">
        <v>0.0</v>
      </c>
      <c r="Z1067" s="849">
        <v>0.0</v>
      </c>
      <c r="AA1067" s="849">
        <v>0.0</v>
      </c>
      <c r="AB1067" s="849">
        <v>0.0</v>
      </c>
      <c r="AC1067" s="849">
        <v>0.0</v>
      </c>
      <c r="AD1067" s="849">
        <v>0.0</v>
      </c>
      <c r="AE1067" s="849">
        <v>0.0</v>
      </c>
      <c r="AF1067" s="849">
        <v>0.0</v>
      </c>
      <c r="AG1067" s="849">
        <v>0.0</v>
      </c>
      <c r="AH1067" s="849">
        <v>0.0</v>
      </c>
      <c r="AI1067" s="849">
        <v>0.0</v>
      </c>
      <c r="AJ1067" s="794" t="str">
        <f t="shared" ref="AJ1067:AK1067" si="2131">C1067</f>
        <v>G736</v>
      </c>
      <c r="AK1067" s="794" t="str">
        <f t="shared" si="2131"/>
        <v>REPAR.&amp; ENTRETIEN    -C/T</v>
      </c>
      <c r="AL1067" s="794">
        <f t="array" ref="AL1067">IFERROR(INDEX(G1067:R1067,1,MATCH(Parametres!$B$3,G$1:R$1,0)-1)*IF(OR(F1067="L",F1067="S",F1067="I"),-1,1),"")</f>
        <v>0</v>
      </c>
      <c r="AM1067" s="794">
        <f t="shared" si="4"/>
        <v>0</v>
      </c>
      <c r="AN1067" s="794">
        <f t="array" ref="AN1067">INDEX(G1067:R1067,1,MATCH(Parametres!$B$3,G$1:R$1,0))*IF(OR(F1067="L",F1067="S",F1067="I"),-1,1)</f>
        <v>0</v>
      </c>
      <c r="AO1067" s="853" t="str">
        <f>+VLOOKUP($AJ1067,Data_Validation!$A:$D,1,0)</f>
        <v>#N/A</v>
      </c>
      <c r="AP1067" s="853" t="str">
        <f>+VLOOKUP($AJ1067,Data_Validation!$A:$D,3,0)</f>
        <v>#N/A</v>
      </c>
      <c r="AQ1067" s="853" t="str">
        <f>+VLOOKUP($AJ1067,Data_Validation!$A:$D,4,0)</f>
        <v>#N/A</v>
      </c>
      <c r="AR1067" s="853" t="s">
        <v>728</v>
      </c>
      <c r="AS1067" s="853" t="str">
        <f>+VLOOKUP($AJ1067,Data_Validation!$A:$E,5,0)</f>
        <v>#N/A</v>
      </c>
      <c r="AT1067" s="794" t="str">
        <f t="shared" ref="AT1067:AU1067" si="2132">C1067</f>
        <v>G736</v>
      </c>
      <c r="AU1067" s="854" t="str">
        <f t="shared" si="2132"/>
        <v>REPAR.&amp; ENTRETIEN    -C/T</v>
      </c>
      <c r="AV1067" s="794">
        <f t="array" ref="AV1067">IFERROR(INDEX(V1067:AG1067,1,MATCH(Parametres!$B$3,V$1:AG$1,0)-1)*IF(OR(C1067="L",C1067="S",C1067="I"),-1,1),"")</f>
        <v>0</v>
      </c>
      <c r="AW1067" s="794">
        <f t="shared" si="6"/>
        <v>0</v>
      </c>
      <c r="AX1067" s="794">
        <f t="array" ref="AX1067">INDEX(V1067:AG1067,1,MATCH(Parametres!$B$3,V$1:AG$1,0))*IF(OR(C1067="L",C1067="S",C1067="I"),-1,1)</f>
        <v>0</v>
      </c>
      <c r="AY1067" s="853" t="s">
        <v>772</v>
      </c>
      <c r="AZ1067" s="853" t="str">
        <f>+VLOOKUP($AJ1067,Data_Validation!$A:$E,5,0)</f>
        <v>#N/A</v>
      </c>
    </row>
    <row r="1068" ht="15.0" customHeight="1">
      <c r="A1068" s="849" t="s">
        <v>1239</v>
      </c>
      <c r="B1068" s="849">
        <v>2026.0</v>
      </c>
      <c r="C1068" s="849" t="s">
        <v>3308</v>
      </c>
      <c r="D1068" s="849" t="s">
        <v>3309</v>
      </c>
      <c r="E1068" s="849" t="s">
        <v>768</v>
      </c>
      <c r="F1068" s="849" t="s">
        <v>1200</v>
      </c>
      <c r="G1068" s="849">
        <v>0.0</v>
      </c>
      <c r="H1068" s="849">
        <v>0.0</v>
      </c>
      <c r="I1068" s="849">
        <v>0.0</v>
      </c>
      <c r="J1068" s="849">
        <v>0.0</v>
      </c>
      <c r="K1068" s="849">
        <v>0.0</v>
      </c>
      <c r="L1068" s="849">
        <v>0.0</v>
      </c>
      <c r="M1068" s="849">
        <v>0.0</v>
      </c>
      <c r="N1068" s="849">
        <v>0.0</v>
      </c>
      <c r="O1068" s="849">
        <v>0.0</v>
      </c>
      <c r="P1068" s="849">
        <v>0.0</v>
      </c>
      <c r="Q1068" s="849">
        <v>0.0</v>
      </c>
      <c r="R1068" s="849">
        <v>0.0</v>
      </c>
      <c r="S1068" s="849">
        <v>0.0</v>
      </c>
      <c r="T1068" s="849">
        <v>0.0</v>
      </c>
      <c r="U1068" s="849">
        <v>0.0</v>
      </c>
      <c r="V1068" s="849">
        <v>0.0</v>
      </c>
      <c r="W1068" s="849">
        <v>0.0</v>
      </c>
      <c r="X1068" s="849">
        <v>0.0</v>
      </c>
      <c r="Y1068" s="849">
        <v>0.0</v>
      </c>
      <c r="Z1068" s="849">
        <v>0.0</v>
      </c>
      <c r="AA1068" s="849">
        <v>0.0</v>
      </c>
      <c r="AB1068" s="849">
        <v>0.0</v>
      </c>
      <c r="AC1068" s="849">
        <v>0.0</v>
      </c>
      <c r="AD1068" s="849">
        <v>0.0</v>
      </c>
      <c r="AE1068" s="849">
        <v>0.0</v>
      </c>
      <c r="AF1068" s="849">
        <v>0.0</v>
      </c>
      <c r="AG1068" s="849">
        <v>0.0</v>
      </c>
      <c r="AH1068" s="849">
        <v>0.0</v>
      </c>
      <c r="AI1068" s="849">
        <v>0.0</v>
      </c>
      <c r="AJ1068" s="794" t="str">
        <f t="shared" ref="AJ1068:AK1068" si="2133">C1068</f>
        <v>G73600</v>
      </c>
      <c r="AK1068" s="794" t="str">
        <f t="shared" si="2133"/>
        <v>REPAR. ENTRETIEN LOC C/T</v>
      </c>
      <c r="AL1068" s="794">
        <f t="array" ref="AL1068">IFERROR(INDEX(G1068:R1068,1,MATCH(Parametres!$B$3,G$1:R$1,0)-1)*IF(OR(F1068="L",F1068="S",F1068="I"),-1,1),"")</f>
        <v>0</v>
      </c>
      <c r="AM1068" s="794">
        <f t="shared" si="4"/>
        <v>0</v>
      </c>
      <c r="AN1068" s="794">
        <f t="array" ref="AN1068">INDEX(G1068:R1068,1,MATCH(Parametres!$B$3,G$1:R$1,0))*IF(OR(F1068="L",F1068="S",F1068="I"),-1,1)</f>
        <v>0</v>
      </c>
      <c r="AO1068" s="853" t="str">
        <f>+VLOOKUP($AJ1068,Data_Validation!$A:$D,1,0)</f>
        <v>G73600</v>
      </c>
      <c r="AP1068" s="853" t="str">
        <f>+VLOOKUP($AJ1068,Data_Validation!$A:$D,3,0)</f>
        <v/>
      </c>
      <c r="AQ1068" s="853" t="str">
        <f>+VLOOKUP($AJ1068,Data_Validation!$A:$D,4,0)</f>
        <v/>
      </c>
      <c r="AR1068" s="853" t="s">
        <v>728</v>
      </c>
      <c r="AS1068" s="853" t="str">
        <f>+VLOOKUP($AJ1068,Data_Validation!$A:$E,5,0)</f>
        <v/>
      </c>
      <c r="AT1068" s="794" t="str">
        <f t="shared" ref="AT1068:AU1068" si="2134">C1068</f>
        <v>G73600</v>
      </c>
      <c r="AU1068" s="854" t="str">
        <f t="shared" si="2134"/>
        <v>REPAR. ENTRETIEN LOC C/T</v>
      </c>
      <c r="AV1068" s="794">
        <f t="array" ref="AV1068">IFERROR(INDEX(V1068:AG1068,1,MATCH(Parametres!$B$3,V$1:AG$1,0)-1)*IF(OR(C1068="L",C1068="S",C1068="I"),-1,1),"")</f>
        <v>0</v>
      </c>
      <c r="AW1068" s="794">
        <f t="shared" si="6"/>
        <v>0</v>
      </c>
      <c r="AX1068" s="794">
        <f t="array" ref="AX1068">INDEX(V1068:AG1068,1,MATCH(Parametres!$B$3,V$1:AG$1,0))*IF(OR(C1068="L",C1068="S",C1068="I"),-1,1)</f>
        <v>0</v>
      </c>
      <c r="AY1068" s="853" t="s">
        <v>772</v>
      </c>
      <c r="AZ1068" s="853" t="str">
        <f>+VLOOKUP($AJ1068,Data_Validation!$A:$E,5,0)</f>
        <v/>
      </c>
    </row>
    <row r="1069" ht="15.0" customHeight="1">
      <c r="A1069" s="849" t="s">
        <v>1239</v>
      </c>
      <c r="B1069" s="849">
        <v>2026.0</v>
      </c>
      <c r="C1069" s="849" t="s">
        <v>3310</v>
      </c>
      <c r="D1069" s="849" t="s">
        <v>3311</v>
      </c>
      <c r="E1069" s="849" t="s">
        <v>768</v>
      </c>
      <c r="F1069" s="849" t="s">
        <v>1200</v>
      </c>
      <c r="G1069" s="849">
        <v>0.0</v>
      </c>
      <c r="H1069" s="849">
        <v>0.0</v>
      </c>
      <c r="I1069" s="849">
        <v>0.0</v>
      </c>
      <c r="J1069" s="849">
        <v>0.0</v>
      </c>
      <c r="K1069" s="849">
        <v>0.0</v>
      </c>
      <c r="L1069" s="849">
        <v>0.0</v>
      </c>
      <c r="M1069" s="849">
        <v>0.0</v>
      </c>
      <c r="N1069" s="849">
        <v>0.0</v>
      </c>
      <c r="O1069" s="849">
        <v>0.0</v>
      </c>
      <c r="P1069" s="849">
        <v>0.0</v>
      </c>
      <c r="Q1069" s="849">
        <v>0.0</v>
      </c>
      <c r="R1069" s="849">
        <v>0.0</v>
      </c>
      <c r="S1069" s="849">
        <v>0.0</v>
      </c>
      <c r="T1069" s="849">
        <v>0.0</v>
      </c>
      <c r="U1069" s="849">
        <v>0.0</v>
      </c>
      <c r="V1069" s="849">
        <v>0.0</v>
      </c>
      <c r="W1069" s="849">
        <v>0.0</v>
      </c>
      <c r="X1069" s="849">
        <v>0.0</v>
      </c>
      <c r="Y1069" s="849">
        <v>0.0</v>
      </c>
      <c r="Z1069" s="849">
        <v>0.0</v>
      </c>
      <c r="AA1069" s="849">
        <v>0.0</v>
      </c>
      <c r="AB1069" s="849">
        <v>0.0</v>
      </c>
      <c r="AC1069" s="849">
        <v>0.0</v>
      </c>
      <c r="AD1069" s="849">
        <v>0.0</v>
      </c>
      <c r="AE1069" s="849">
        <v>0.0</v>
      </c>
      <c r="AF1069" s="849">
        <v>0.0</v>
      </c>
      <c r="AG1069" s="849">
        <v>0.0</v>
      </c>
      <c r="AH1069" s="849">
        <v>0.0</v>
      </c>
      <c r="AI1069" s="849">
        <v>0.0</v>
      </c>
      <c r="AJ1069" s="794" t="str">
        <f t="shared" ref="AJ1069:AK1069" si="2135">C1069</f>
        <v>G737</v>
      </c>
      <c r="AK1069" s="794" t="str">
        <f t="shared" si="2135"/>
        <v>PRIX LOC.UNIT.S-LOUE -C/T</v>
      </c>
      <c r="AL1069" s="794">
        <f t="array" ref="AL1069">IFERROR(INDEX(G1069:R1069,1,MATCH(Parametres!$B$3,G$1:R$1,0)-1)*IF(OR(F1069="L",F1069="S",F1069="I"),-1,1),"")</f>
        <v>0</v>
      </c>
      <c r="AM1069" s="794">
        <f t="shared" si="4"/>
        <v>0</v>
      </c>
      <c r="AN1069" s="794">
        <f t="array" ref="AN1069">INDEX(G1069:R1069,1,MATCH(Parametres!$B$3,G$1:R$1,0))*IF(OR(F1069="L",F1069="S",F1069="I"),-1,1)</f>
        <v>0</v>
      </c>
      <c r="AO1069" s="853" t="str">
        <f>+VLOOKUP($AJ1069,Data_Validation!$A:$D,1,0)</f>
        <v>#N/A</v>
      </c>
      <c r="AP1069" s="853" t="str">
        <f>+VLOOKUP($AJ1069,Data_Validation!$A:$D,3,0)</f>
        <v>#N/A</v>
      </c>
      <c r="AQ1069" s="853" t="str">
        <f>+VLOOKUP($AJ1069,Data_Validation!$A:$D,4,0)</f>
        <v>#N/A</v>
      </c>
      <c r="AR1069" s="853" t="s">
        <v>728</v>
      </c>
      <c r="AS1069" s="853" t="str">
        <f>+VLOOKUP($AJ1069,Data_Validation!$A:$E,5,0)</f>
        <v>#N/A</v>
      </c>
      <c r="AT1069" s="794" t="str">
        <f t="shared" ref="AT1069:AU1069" si="2136">C1069</f>
        <v>G737</v>
      </c>
      <c r="AU1069" s="854" t="str">
        <f t="shared" si="2136"/>
        <v>PRIX LOC.UNIT.S-LOUE -C/T</v>
      </c>
      <c r="AV1069" s="794">
        <f t="array" ref="AV1069">IFERROR(INDEX(V1069:AG1069,1,MATCH(Parametres!$B$3,V$1:AG$1,0)-1)*IF(OR(C1069="L",C1069="S",C1069="I"),-1,1),"")</f>
        <v>0</v>
      </c>
      <c r="AW1069" s="794">
        <f t="shared" si="6"/>
        <v>0</v>
      </c>
      <c r="AX1069" s="794">
        <f t="array" ref="AX1069">INDEX(V1069:AG1069,1,MATCH(Parametres!$B$3,V$1:AG$1,0))*IF(OR(C1069="L",C1069="S",C1069="I"),-1,1)</f>
        <v>0</v>
      </c>
      <c r="AY1069" s="853" t="s">
        <v>772</v>
      </c>
      <c r="AZ1069" s="853" t="str">
        <f>+VLOOKUP($AJ1069,Data_Validation!$A:$E,5,0)</f>
        <v>#N/A</v>
      </c>
    </row>
    <row r="1070" ht="15.0" customHeight="1">
      <c r="A1070" s="849" t="s">
        <v>1239</v>
      </c>
      <c r="B1070" s="849">
        <v>2026.0</v>
      </c>
      <c r="C1070" s="849" t="s">
        <v>3312</v>
      </c>
      <c r="D1070" s="849" t="s">
        <v>3313</v>
      </c>
      <c r="E1070" s="849" t="s">
        <v>768</v>
      </c>
      <c r="F1070" s="849" t="s">
        <v>1200</v>
      </c>
      <c r="G1070" s="849">
        <v>0.0</v>
      </c>
      <c r="H1070" s="849">
        <v>0.0</v>
      </c>
      <c r="I1070" s="849">
        <v>0.0</v>
      </c>
      <c r="J1070" s="849">
        <v>0.0</v>
      </c>
      <c r="K1070" s="849">
        <v>0.0</v>
      </c>
      <c r="L1070" s="849">
        <v>0.0</v>
      </c>
      <c r="M1070" s="849">
        <v>0.0</v>
      </c>
      <c r="N1070" s="849">
        <v>0.0</v>
      </c>
      <c r="O1070" s="849">
        <v>0.0</v>
      </c>
      <c r="P1070" s="849">
        <v>0.0</v>
      </c>
      <c r="Q1070" s="849">
        <v>0.0</v>
      </c>
      <c r="R1070" s="849">
        <v>0.0</v>
      </c>
      <c r="S1070" s="849">
        <v>0.0</v>
      </c>
      <c r="T1070" s="849">
        <v>0.0</v>
      </c>
      <c r="U1070" s="849">
        <v>0.0</v>
      </c>
      <c r="V1070" s="849">
        <v>0.0</v>
      </c>
      <c r="W1070" s="849">
        <v>0.0</v>
      </c>
      <c r="X1070" s="849">
        <v>0.0</v>
      </c>
      <c r="Y1070" s="849">
        <v>0.0</v>
      </c>
      <c r="Z1070" s="849">
        <v>0.0</v>
      </c>
      <c r="AA1070" s="849">
        <v>0.0</v>
      </c>
      <c r="AB1070" s="849">
        <v>0.0</v>
      </c>
      <c r="AC1070" s="849">
        <v>0.0</v>
      </c>
      <c r="AD1070" s="849">
        <v>0.0</v>
      </c>
      <c r="AE1070" s="849">
        <v>0.0</v>
      </c>
      <c r="AF1070" s="849">
        <v>0.0</v>
      </c>
      <c r="AG1070" s="849">
        <v>0.0</v>
      </c>
      <c r="AH1070" s="849">
        <v>0.0</v>
      </c>
      <c r="AI1070" s="849">
        <v>0.0</v>
      </c>
      <c r="AJ1070" s="794" t="str">
        <f t="shared" ref="AJ1070:AK1070" si="2137">C1070</f>
        <v>G738</v>
      </c>
      <c r="AK1070" s="794" t="str">
        <f t="shared" si="2137"/>
        <v>AUTRES               -C/T</v>
      </c>
      <c r="AL1070" s="794">
        <f t="array" ref="AL1070">IFERROR(INDEX(G1070:R1070,1,MATCH(Parametres!$B$3,G$1:R$1,0)-1)*IF(OR(F1070="L",F1070="S",F1070="I"),-1,1),"")</f>
        <v>0</v>
      </c>
      <c r="AM1070" s="794">
        <f t="shared" si="4"/>
        <v>0</v>
      </c>
      <c r="AN1070" s="794">
        <f t="array" ref="AN1070">INDEX(G1070:R1070,1,MATCH(Parametres!$B$3,G$1:R$1,0))*IF(OR(F1070="L",F1070="S",F1070="I"),-1,1)</f>
        <v>0</v>
      </c>
      <c r="AO1070" s="853" t="str">
        <f>+VLOOKUP($AJ1070,Data_Validation!$A:$D,1,0)</f>
        <v>#N/A</v>
      </c>
      <c r="AP1070" s="853" t="str">
        <f>+VLOOKUP($AJ1070,Data_Validation!$A:$D,3,0)</f>
        <v>#N/A</v>
      </c>
      <c r="AQ1070" s="853" t="str">
        <f>+VLOOKUP($AJ1070,Data_Validation!$A:$D,4,0)</f>
        <v>#N/A</v>
      </c>
      <c r="AR1070" s="853" t="s">
        <v>728</v>
      </c>
      <c r="AS1070" s="853" t="str">
        <f>+VLOOKUP($AJ1070,Data_Validation!$A:$E,5,0)</f>
        <v>#N/A</v>
      </c>
      <c r="AT1070" s="794" t="str">
        <f t="shared" ref="AT1070:AU1070" si="2138">C1070</f>
        <v>G738</v>
      </c>
      <c r="AU1070" s="854" t="str">
        <f t="shared" si="2138"/>
        <v>AUTRES               -C/T</v>
      </c>
      <c r="AV1070" s="794">
        <f t="array" ref="AV1070">IFERROR(INDEX(V1070:AG1070,1,MATCH(Parametres!$B$3,V$1:AG$1,0)-1)*IF(OR(C1070="L",C1070="S",C1070="I"),-1,1),"")</f>
        <v>0</v>
      </c>
      <c r="AW1070" s="794">
        <f t="shared" si="6"/>
        <v>0</v>
      </c>
      <c r="AX1070" s="794">
        <f t="array" ref="AX1070">INDEX(V1070:AG1070,1,MATCH(Parametres!$B$3,V$1:AG$1,0))*IF(OR(C1070="L",C1070="S",C1070="I"),-1,1)</f>
        <v>0</v>
      </c>
      <c r="AY1070" s="853" t="s">
        <v>772</v>
      </c>
      <c r="AZ1070" s="853" t="str">
        <f>+VLOOKUP($AJ1070,Data_Validation!$A:$E,5,0)</f>
        <v>#N/A</v>
      </c>
    </row>
    <row r="1071" ht="15.0" customHeight="1">
      <c r="A1071" s="849" t="s">
        <v>1239</v>
      </c>
      <c r="B1071" s="849">
        <v>2026.0</v>
      </c>
      <c r="C1071" s="849" t="s">
        <v>3314</v>
      </c>
      <c r="D1071" s="849" t="s">
        <v>3315</v>
      </c>
      <c r="E1071" s="849" t="s">
        <v>768</v>
      </c>
      <c r="F1071" s="849" t="s">
        <v>1200</v>
      </c>
      <c r="G1071" s="849">
        <v>0.0</v>
      </c>
      <c r="H1071" s="849">
        <v>0.0</v>
      </c>
      <c r="I1071" s="849">
        <v>0.0</v>
      </c>
      <c r="J1071" s="849">
        <v>0.0</v>
      </c>
      <c r="K1071" s="849">
        <v>0.0</v>
      </c>
      <c r="L1071" s="849">
        <v>0.0</v>
      </c>
      <c r="M1071" s="849">
        <v>0.0</v>
      </c>
      <c r="N1071" s="849">
        <v>0.0</v>
      </c>
      <c r="O1071" s="849">
        <v>0.0</v>
      </c>
      <c r="P1071" s="849">
        <v>0.0</v>
      </c>
      <c r="Q1071" s="849">
        <v>0.0</v>
      </c>
      <c r="R1071" s="849">
        <v>0.0</v>
      </c>
      <c r="S1071" s="849">
        <v>0.0</v>
      </c>
      <c r="T1071" s="849">
        <v>0.0</v>
      </c>
      <c r="U1071" s="849">
        <v>0.0</v>
      </c>
      <c r="V1071" s="849">
        <v>0.0</v>
      </c>
      <c r="W1071" s="849">
        <v>0.0</v>
      </c>
      <c r="X1071" s="849">
        <v>0.0</v>
      </c>
      <c r="Y1071" s="849">
        <v>0.0</v>
      </c>
      <c r="Z1071" s="849">
        <v>0.0</v>
      </c>
      <c r="AA1071" s="849">
        <v>0.0</v>
      </c>
      <c r="AB1071" s="849">
        <v>0.0</v>
      </c>
      <c r="AC1071" s="849">
        <v>0.0</v>
      </c>
      <c r="AD1071" s="849">
        <v>0.0</v>
      </c>
      <c r="AE1071" s="849">
        <v>0.0</v>
      </c>
      <c r="AF1071" s="849">
        <v>0.0</v>
      </c>
      <c r="AG1071" s="849">
        <v>0.0</v>
      </c>
      <c r="AH1071" s="849">
        <v>0.0</v>
      </c>
      <c r="AI1071" s="849">
        <v>0.0</v>
      </c>
      <c r="AJ1071" s="794" t="str">
        <f t="shared" ref="AJ1071:AK1071" si="2139">C1071</f>
        <v>G740</v>
      </c>
      <c r="AK1071" s="794" t="str">
        <f t="shared" si="2139"/>
        <v>COMM.DIRECT.F&amp;A LOC C&amp;L</v>
      </c>
      <c r="AL1071" s="794">
        <f t="array" ref="AL1071">IFERROR(INDEX(G1071:R1071,1,MATCH(Parametres!$B$3,G$1:R$1,0)-1)*IF(OR(F1071="L",F1071="S",F1071="I"),-1,1),"")</f>
        <v>0</v>
      </c>
      <c r="AM1071" s="794">
        <f t="shared" si="4"/>
        <v>0</v>
      </c>
      <c r="AN1071" s="794">
        <f t="array" ref="AN1071">INDEX(G1071:R1071,1,MATCH(Parametres!$B$3,G$1:R$1,0))*IF(OR(F1071="L",F1071="S",F1071="I"),-1,1)</f>
        <v>0</v>
      </c>
      <c r="AO1071" s="853" t="str">
        <f>+VLOOKUP($AJ1071,Data_Validation!$A:$D,1,0)</f>
        <v>#N/A</v>
      </c>
      <c r="AP1071" s="853" t="str">
        <f>+VLOOKUP($AJ1071,Data_Validation!$A:$D,3,0)</f>
        <v>#N/A</v>
      </c>
      <c r="AQ1071" s="853" t="str">
        <f>+VLOOKUP($AJ1071,Data_Validation!$A:$D,4,0)</f>
        <v>#N/A</v>
      </c>
      <c r="AR1071" s="853" t="s">
        <v>728</v>
      </c>
      <c r="AS1071" s="853" t="str">
        <f>+VLOOKUP($AJ1071,Data_Validation!$A:$E,5,0)</f>
        <v>#N/A</v>
      </c>
      <c r="AT1071" s="794" t="str">
        <f t="shared" ref="AT1071:AU1071" si="2140">C1071</f>
        <v>G740</v>
      </c>
      <c r="AU1071" s="854" t="str">
        <f t="shared" si="2140"/>
        <v>COMM.DIRECT.F&amp;A LOC C&amp;L</v>
      </c>
      <c r="AV1071" s="794">
        <f t="array" ref="AV1071">IFERROR(INDEX(V1071:AG1071,1,MATCH(Parametres!$B$3,V$1:AG$1,0)-1)*IF(OR(C1071="L",C1071="S",C1071="I"),-1,1),"")</f>
        <v>0</v>
      </c>
      <c r="AW1071" s="794">
        <f t="shared" si="6"/>
        <v>0</v>
      </c>
      <c r="AX1071" s="794">
        <f t="array" ref="AX1071">INDEX(V1071:AG1071,1,MATCH(Parametres!$B$3,V$1:AG$1,0))*IF(OR(C1071="L",C1071="S",C1071="I"),-1,1)</f>
        <v>0</v>
      </c>
      <c r="AY1071" s="853" t="s">
        <v>772</v>
      </c>
      <c r="AZ1071" s="853" t="str">
        <f>+VLOOKUP($AJ1071,Data_Validation!$A:$E,5,0)</f>
        <v>#N/A</v>
      </c>
    </row>
    <row r="1072" ht="15.0" customHeight="1">
      <c r="A1072" s="849" t="s">
        <v>1239</v>
      </c>
      <c r="B1072" s="849">
        <v>2026.0</v>
      </c>
      <c r="C1072" s="849" t="s">
        <v>3316</v>
      </c>
      <c r="D1072" s="849" t="s">
        <v>3317</v>
      </c>
      <c r="E1072" s="849" t="s">
        <v>768</v>
      </c>
      <c r="F1072" s="849" t="s">
        <v>1200</v>
      </c>
      <c r="G1072" s="849">
        <v>0.0</v>
      </c>
      <c r="H1072" s="849">
        <v>0.0</v>
      </c>
      <c r="I1072" s="849">
        <v>0.0</v>
      </c>
      <c r="J1072" s="849">
        <v>0.0</v>
      </c>
      <c r="K1072" s="849">
        <v>0.0</v>
      </c>
      <c r="L1072" s="849">
        <v>0.0</v>
      </c>
      <c r="M1072" s="849">
        <v>0.0</v>
      </c>
      <c r="N1072" s="849">
        <v>0.0</v>
      </c>
      <c r="O1072" s="849">
        <v>0.0</v>
      </c>
      <c r="P1072" s="849">
        <v>0.0</v>
      </c>
      <c r="Q1072" s="849">
        <v>0.0</v>
      </c>
      <c r="R1072" s="849">
        <v>0.0</v>
      </c>
      <c r="S1072" s="849">
        <v>0.0</v>
      </c>
      <c r="T1072" s="849">
        <v>0.0</v>
      </c>
      <c r="U1072" s="849">
        <v>0.0</v>
      </c>
      <c r="V1072" s="849">
        <v>0.0</v>
      </c>
      <c r="W1072" s="849">
        <v>0.0</v>
      </c>
      <c r="X1072" s="849">
        <v>0.0</v>
      </c>
      <c r="Y1072" s="849">
        <v>0.0</v>
      </c>
      <c r="Z1072" s="849">
        <v>0.0</v>
      </c>
      <c r="AA1072" s="849">
        <v>0.0</v>
      </c>
      <c r="AB1072" s="849">
        <v>0.0</v>
      </c>
      <c r="AC1072" s="849">
        <v>0.0</v>
      </c>
      <c r="AD1072" s="849">
        <v>0.0</v>
      </c>
      <c r="AE1072" s="849">
        <v>0.0</v>
      </c>
      <c r="AF1072" s="849">
        <v>0.0</v>
      </c>
      <c r="AG1072" s="849">
        <v>0.0</v>
      </c>
      <c r="AH1072" s="849">
        <v>0.0</v>
      </c>
      <c r="AI1072" s="849">
        <v>0.0</v>
      </c>
      <c r="AJ1072" s="794" t="str">
        <f t="shared" ref="AJ1072:AK1072" si="2141">C1072</f>
        <v>G741</v>
      </c>
      <c r="AK1072" s="794" t="str">
        <f t="shared" si="2141"/>
        <v>RETROFACT.F&amp;A LOC C&amp;L TER</v>
      </c>
      <c r="AL1072" s="794">
        <f t="array" ref="AL1072">IFERROR(INDEX(G1072:R1072,1,MATCH(Parametres!$B$3,G$1:R$1,0)-1)*IF(OR(F1072="L",F1072="S",F1072="I"),-1,1),"")</f>
        <v>0</v>
      </c>
      <c r="AM1072" s="794">
        <f t="shared" si="4"/>
        <v>0</v>
      </c>
      <c r="AN1072" s="794">
        <f t="array" ref="AN1072">INDEX(G1072:R1072,1,MATCH(Parametres!$B$3,G$1:R$1,0))*IF(OR(F1072="L",F1072="S",F1072="I"),-1,1)</f>
        <v>0</v>
      </c>
      <c r="AO1072" s="853" t="str">
        <f>+VLOOKUP($AJ1072,Data_Validation!$A:$D,1,0)</f>
        <v>#N/A</v>
      </c>
      <c r="AP1072" s="853" t="str">
        <f>+VLOOKUP($AJ1072,Data_Validation!$A:$D,3,0)</f>
        <v>#N/A</v>
      </c>
      <c r="AQ1072" s="853" t="str">
        <f>+VLOOKUP($AJ1072,Data_Validation!$A:$D,4,0)</f>
        <v>#N/A</v>
      </c>
      <c r="AR1072" s="853" t="s">
        <v>728</v>
      </c>
      <c r="AS1072" s="853" t="str">
        <f>+VLOOKUP($AJ1072,Data_Validation!$A:$E,5,0)</f>
        <v>#N/A</v>
      </c>
      <c r="AT1072" s="794" t="str">
        <f t="shared" ref="AT1072:AU1072" si="2142">C1072</f>
        <v>G741</v>
      </c>
      <c r="AU1072" s="854" t="str">
        <f t="shared" si="2142"/>
        <v>RETROFACT.F&amp;A LOC C&amp;L TER</v>
      </c>
      <c r="AV1072" s="794">
        <f t="array" ref="AV1072">IFERROR(INDEX(V1072:AG1072,1,MATCH(Parametres!$B$3,V$1:AG$1,0)-1)*IF(OR(C1072="L",C1072="S",C1072="I"),-1,1),"")</f>
        <v>0</v>
      </c>
      <c r="AW1072" s="794">
        <f t="shared" si="6"/>
        <v>0</v>
      </c>
      <c r="AX1072" s="794">
        <f t="array" ref="AX1072">INDEX(V1072:AG1072,1,MATCH(Parametres!$B$3,V$1:AG$1,0))*IF(OR(C1072="L",C1072="S",C1072="I"),-1,1)</f>
        <v>0</v>
      </c>
      <c r="AY1072" s="853" t="s">
        <v>772</v>
      </c>
      <c r="AZ1072" s="853" t="str">
        <f>+VLOOKUP($AJ1072,Data_Validation!$A:$E,5,0)</f>
        <v>#N/A</v>
      </c>
    </row>
    <row r="1073" ht="15.0" customHeight="1">
      <c r="A1073" s="849" t="s">
        <v>1239</v>
      </c>
      <c r="B1073" s="849">
        <v>2026.0</v>
      </c>
      <c r="C1073" s="849" t="s">
        <v>3318</v>
      </c>
      <c r="D1073" s="849" t="s">
        <v>3319</v>
      </c>
      <c r="E1073" s="849" t="s">
        <v>768</v>
      </c>
      <c r="F1073" s="849" t="s">
        <v>2814</v>
      </c>
      <c r="G1073" s="849">
        <v>0.0</v>
      </c>
      <c r="H1073" s="849">
        <v>0.0</v>
      </c>
      <c r="I1073" s="849">
        <v>0.0</v>
      </c>
      <c r="J1073" s="849">
        <v>0.0</v>
      </c>
      <c r="K1073" s="849">
        <v>0.0</v>
      </c>
      <c r="L1073" s="849">
        <v>0.0</v>
      </c>
      <c r="M1073" s="849">
        <v>0.0</v>
      </c>
      <c r="N1073" s="849">
        <v>0.0</v>
      </c>
      <c r="O1073" s="849">
        <v>0.0</v>
      </c>
      <c r="P1073" s="849">
        <v>0.0</v>
      </c>
      <c r="Q1073" s="849">
        <v>0.0</v>
      </c>
      <c r="R1073" s="849">
        <v>0.0</v>
      </c>
      <c r="S1073" s="849">
        <v>0.0</v>
      </c>
      <c r="T1073" s="849">
        <v>0.0</v>
      </c>
      <c r="U1073" s="849">
        <v>0.0</v>
      </c>
      <c r="V1073" s="849">
        <v>0.0</v>
      </c>
      <c r="W1073" s="849">
        <v>0.0</v>
      </c>
      <c r="X1073" s="849">
        <v>0.0</v>
      </c>
      <c r="Y1073" s="849">
        <v>0.0</v>
      </c>
      <c r="Z1073" s="849">
        <v>0.0</v>
      </c>
      <c r="AA1073" s="849">
        <v>0.0</v>
      </c>
      <c r="AB1073" s="849">
        <v>0.0</v>
      </c>
      <c r="AC1073" s="849">
        <v>0.0</v>
      </c>
      <c r="AD1073" s="849">
        <v>0.0</v>
      </c>
      <c r="AE1073" s="849">
        <v>0.0</v>
      </c>
      <c r="AF1073" s="849">
        <v>0.0</v>
      </c>
      <c r="AG1073" s="849">
        <v>0.0</v>
      </c>
      <c r="AH1073" s="849">
        <v>0.0</v>
      </c>
      <c r="AI1073" s="849">
        <v>0.0</v>
      </c>
      <c r="AJ1073" s="794" t="str">
        <f t="shared" ref="AJ1073:AK1073" si="2143">C1073</f>
        <v>G806</v>
      </c>
      <c r="AK1073" s="794" t="str">
        <f t="shared" si="2143"/>
        <v>REVENU FINANCE - NEUF</v>
      </c>
      <c r="AL1073" s="794">
        <f t="array" ref="AL1073">IFERROR(INDEX(G1073:R1073,1,MATCH(Parametres!$B$3,G$1:R$1,0)-1)*IF(OR(F1073="L",F1073="S",F1073="I"),-1,1),"")</f>
        <v>0</v>
      </c>
      <c r="AM1073" s="794">
        <f t="shared" si="4"/>
        <v>0</v>
      </c>
      <c r="AN1073" s="794">
        <f t="array" ref="AN1073">INDEX(G1073:R1073,1,MATCH(Parametres!$B$3,G$1:R$1,0))*IF(OR(F1073="L",F1073="S",F1073="I"),-1,1)</f>
        <v>0</v>
      </c>
      <c r="AO1073" s="853" t="str">
        <f>+VLOOKUP($AJ1073,Data_Validation!$A:$D,1,0)</f>
        <v>#N/A</v>
      </c>
      <c r="AP1073" s="853" t="str">
        <f>+VLOOKUP($AJ1073,Data_Validation!$A:$D,3,0)</f>
        <v>#N/A</v>
      </c>
      <c r="AQ1073" s="853" t="str">
        <f>+VLOOKUP($AJ1073,Data_Validation!$A:$D,4,0)</f>
        <v>#N/A</v>
      </c>
      <c r="AR1073" s="853" t="s">
        <v>728</v>
      </c>
      <c r="AS1073" s="853" t="str">
        <f>+VLOOKUP($AJ1073,Data_Validation!$A:$E,5,0)</f>
        <v>#N/A</v>
      </c>
      <c r="AT1073" s="794" t="str">
        <f t="shared" ref="AT1073:AU1073" si="2144">C1073</f>
        <v>G806</v>
      </c>
      <c r="AU1073" s="854" t="str">
        <f t="shared" si="2144"/>
        <v>REVENU FINANCE - NEUF</v>
      </c>
      <c r="AV1073" s="794">
        <f t="array" ref="AV1073">IFERROR(INDEX(V1073:AG1073,1,MATCH(Parametres!$B$3,V$1:AG$1,0)-1)*IF(OR(C1073="L",C1073="S",C1073="I"),-1,1),"")</f>
        <v>0</v>
      </c>
      <c r="AW1073" s="794">
        <f t="shared" si="6"/>
        <v>0</v>
      </c>
      <c r="AX1073" s="794">
        <f t="array" ref="AX1073">INDEX(V1073:AG1073,1,MATCH(Parametres!$B$3,V$1:AG$1,0))*IF(OR(C1073="L",C1073="S",C1073="I"),-1,1)</f>
        <v>0</v>
      </c>
      <c r="AY1073" s="853" t="s">
        <v>772</v>
      </c>
      <c r="AZ1073" s="853" t="str">
        <f>+VLOOKUP($AJ1073,Data_Validation!$A:$E,5,0)</f>
        <v>#N/A</v>
      </c>
    </row>
    <row r="1074" ht="15.0" customHeight="1">
      <c r="A1074" s="849" t="s">
        <v>1239</v>
      </c>
      <c r="B1074" s="849">
        <v>2026.0</v>
      </c>
      <c r="C1074" s="849" t="s">
        <v>3320</v>
      </c>
      <c r="D1074" s="849" t="s">
        <v>3321</v>
      </c>
      <c r="E1074" s="849" t="s">
        <v>768</v>
      </c>
      <c r="F1074" s="849" t="s">
        <v>2814</v>
      </c>
      <c r="G1074" s="849">
        <v>0.0</v>
      </c>
      <c r="H1074" s="849">
        <v>-291.51</v>
      </c>
      <c r="I1074" s="849">
        <v>1158.49</v>
      </c>
      <c r="J1074" s="849">
        <v>6748.1</v>
      </c>
      <c r="K1074" s="849">
        <v>8664.12</v>
      </c>
      <c r="L1074" s="849">
        <v>11124.29</v>
      </c>
      <c r="M1074" s="849">
        <v>12124.29</v>
      </c>
      <c r="N1074" s="849">
        <v>12124.29</v>
      </c>
      <c r="O1074" s="849">
        <v>11218.61</v>
      </c>
      <c r="P1074" s="849">
        <v>11218.61</v>
      </c>
      <c r="Q1074" s="849">
        <v>0.0</v>
      </c>
      <c r="R1074" s="849">
        <v>0.0</v>
      </c>
      <c r="S1074" s="849">
        <v>1246.51</v>
      </c>
      <c r="T1074" s="849">
        <v>1246.51</v>
      </c>
      <c r="U1074" s="849">
        <v>0.0</v>
      </c>
      <c r="V1074" s="849">
        <v>0.0</v>
      </c>
      <c r="W1074" s="849">
        <v>-1.0</v>
      </c>
      <c r="X1074" s="849">
        <v>1.0</v>
      </c>
      <c r="Y1074" s="849">
        <v>8.0</v>
      </c>
      <c r="Z1074" s="849">
        <v>9.0</v>
      </c>
      <c r="AA1074" s="849">
        <v>10.0</v>
      </c>
      <c r="AB1074" s="849">
        <v>11.0</v>
      </c>
      <c r="AC1074" s="849">
        <v>11.0</v>
      </c>
      <c r="AD1074" s="849">
        <v>12.0</v>
      </c>
      <c r="AE1074" s="849">
        <v>12.0</v>
      </c>
      <c r="AF1074" s="849">
        <v>0.0</v>
      </c>
      <c r="AG1074" s="849">
        <v>0.0</v>
      </c>
      <c r="AH1074" s="849">
        <v>1.0</v>
      </c>
      <c r="AI1074" s="849">
        <v>1.0</v>
      </c>
      <c r="AJ1074" s="794" t="str">
        <f t="shared" ref="AJ1074:AK1074" si="2145">C1074</f>
        <v>G80600</v>
      </c>
      <c r="AK1074" s="794" t="str">
        <f t="shared" si="2145"/>
        <v>REVENUS FINANCE VEH. NEUF</v>
      </c>
      <c r="AL1074" s="794">
        <f t="array" ref="AL1074">IFERROR(INDEX(G1074:R1074,1,MATCH(Parametres!$B$3,G$1:R$1,0)-1)*IF(OR(F1074="L",F1074="S",F1074="I"),-1,1),"")</f>
        <v>-12124.29</v>
      </c>
      <c r="AM1074" s="794">
        <f t="shared" si="4"/>
        <v>905.68</v>
      </c>
      <c r="AN1074" s="794">
        <f t="array" ref="AN1074">INDEX(G1074:R1074,1,MATCH(Parametres!$B$3,G$1:R$1,0))*IF(OR(F1074="L",F1074="S",F1074="I"),-1,1)</f>
        <v>-11218.61</v>
      </c>
      <c r="AO1074" s="853" t="str">
        <f>+VLOOKUP($AJ1074,Data_Validation!$A:$D,1,0)</f>
        <v>G80600</v>
      </c>
      <c r="AP1074" s="853" t="str">
        <f>+VLOOKUP($AJ1074,Data_Validation!$A:$D,3,0)</f>
        <v>Véhicules neufs</v>
      </c>
      <c r="AQ1074" s="853" t="str">
        <f>+VLOOKUP($AJ1074,Data_Validation!$A:$D,4,0)</f>
        <v>Rev. Finances</v>
      </c>
      <c r="AR1074" s="853" t="s">
        <v>728</v>
      </c>
      <c r="AS1074" s="853" t="str">
        <f>+VLOOKUP($AJ1074,Data_Validation!$A:$E,5,0)</f>
        <v>Oui</v>
      </c>
      <c r="AT1074" s="794" t="str">
        <f t="shared" ref="AT1074:AU1074" si="2146">C1074</f>
        <v>G80600</v>
      </c>
      <c r="AU1074" s="854" t="str">
        <f t="shared" si="2146"/>
        <v>REVENUS FINANCE VEH. NEUF</v>
      </c>
      <c r="AV1074" s="794">
        <f t="array" ref="AV1074">IFERROR(INDEX(V1074:AG1074,1,MATCH(Parametres!$B$3,V$1:AG$1,0)-1)*IF(OR(C1074="L",C1074="S",C1074="I"),-1,1),"")</f>
        <v>11</v>
      </c>
      <c r="AW1074" s="794">
        <f t="shared" si="6"/>
        <v>1</v>
      </c>
      <c r="AX1074" s="794">
        <f t="array" ref="AX1074">INDEX(V1074:AG1074,1,MATCH(Parametres!$B$3,V$1:AG$1,0))*IF(OR(C1074="L",C1074="S",C1074="I"),-1,1)</f>
        <v>12</v>
      </c>
      <c r="AY1074" s="853" t="s">
        <v>772</v>
      </c>
      <c r="AZ1074" s="853" t="str">
        <f>+VLOOKUP($AJ1074,Data_Validation!$A:$E,5,0)</f>
        <v>Oui</v>
      </c>
    </row>
    <row r="1075" ht="15.0" customHeight="1">
      <c r="A1075" s="849" t="s">
        <v>1239</v>
      </c>
      <c r="B1075" s="849">
        <v>2026.0</v>
      </c>
      <c r="C1075" s="849" t="s">
        <v>3322</v>
      </c>
      <c r="D1075" s="849" t="s">
        <v>3323</v>
      </c>
      <c r="E1075" s="849" t="s">
        <v>768</v>
      </c>
      <c r="F1075" s="849" t="s">
        <v>2814</v>
      </c>
      <c r="G1075" s="849">
        <v>0.0</v>
      </c>
      <c r="H1075" s="849">
        <v>0.0</v>
      </c>
      <c r="I1075" s="849">
        <v>0.0</v>
      </c>
      <c r="J1075" s="849">
        <v>0.0</v>
      </c>
      <c r="K1075" s="849">
        <v>0.0</v>
      </c>
      <c r="L1075" s="849">
        <v>0.0</v>
      </c>
      <c r="M1075" s="849">
        <v>0.0</v>
      </c>
      <c r="N1075" s="849">
        <v>0.0</v>
      </c>
      <c r="O1075" s="849">
        <v>0.0</v>
      </c>
      <c r="P1075" s="849">
        <v>0.0</v>
      </c>
      <c r="Q1075" s="849">
        <v>0.0</v>
      </c>
      <c r="R1075" s="849">
        <v>0.0</v>
      </c>
      <c r="S1075" s="849">
        <v>0.0</v>
      </c>
      <c r="T1075" s="849">
        <v>0.0</v>
      </c>
      <c r="U1075" s="849">
        <v>0.0</v>
      </c>
      <c r="V1075" s="849">
        <v>0.0</v>
      </c>
      <c r="W1075" s="849">
        <v>0.0</v>
      </c>
      <c r="X1075" s="849">
        <v>0.0</v>
      </c>
      <c r="Y1075" s="849">
        <v>0.0</v>
      </c>
      <c r="Z1075" s="849">
        <v>0.0</v>
      </c>
      <c r="AA1075" s="849">
        <v>0.0</v>
      </c>
      <c r="AB1075" s="849">
        <v>0.0</v>
      </c>
      <c r="AC1075" s="849">
        <v>0.0</v>
      </c>
      <c r="AD1075" s="849">
        <v>0.0</v>
      </c>
      <c r="AE1075" s="849">
        <v>0.0</v>
      </c>
      <c r="AF1075" s="849">
        <v>0.0</v>
      </c>
      <c r="AG1075" s="849">
        <v>0.0</v>
      </c>
      <c r="AH1075" s="849">
        <v>0.0</v>
      </c>
      <c r="AI1075" s="849">
        <v>0.0</v>
      </c>
      <c r="AJ1075" s="794" t="str">
        <f t="shared" ref="AJ1075:AK1075" si="2147">C1075</f>
        <v>G807</v>
      </c>
      <c r="AK1075" s="794" t="str">
        <f t="shared" si="2147"/>
        <v>COMM/ASSURANCE - NEUF</v>
      </c>
      <c r="AL1075" s="794">
        <f t="array" ref="AL1075">IFERROR(INDEX(G1075:R1075,1,MATCH(Parametres!$B$3,G$1:R$1,0)-1)*IF(OR(F1075="L",F1075="S",F1075="I"),-1,1),"")</f>
        <v>0</v>
      </c>
      <c r="AM1075" s="794">
        <f t="shared" si="4"/>
        <v>0</v>
      </c>
      <c r="AN1075" s="794">
        <f t="array" ref="AN1075">INDEX(G1075:R1075,1,MATCH(Parametres!$B$3,G$1:R$1,0))*IF(OR(F1075="L",F1075="S",F1075="I"),-1,1)</f>
        <v>0</v>
      </c>
      <c r="AO1075" s="853" t="str">
        <f>+VLOOKUP($AJ1075,Data_Validation!$A:$D,1,0)</f>
        <v>#N/A</v>
      </c>
      <c r="AP1075" s="853" t="str">
        <f>+VLOOKUP($AJ1075,Data_Validation!$A:$D,3,0)</f>
        <v>#N/A</v>
      </c>
      <c r="AQ1075" s="853" t="str">
        <f>+VLOOKUP($AJ1075,Data_Validation!$A:$D,4,0)</f>
        <v>#N/A</v>
      </c>
      <c r="AR1075" s="853" t="s">
        <v>728</v>
      </c>
      <c r="AS1075" s="853" t="str">
        <f>+VLOOKUP($AJ1075,Data_Validation!$A:$E,5,0)</f>
        <v>#N/A</v>
      </c>
      <c r="AT1075" s="794" t="str">
        <f t="shared" ref="AT1075:AU1075" si="2148">C1075</f>
        <v>G807</v>
      </c>
      <c r="AU1075" s="854" t="str">
        <f t="shared" si="2148"/>
        <v>COMM/ASSURANCE - NEUF</v>
      </c>
      <c r="AV1075" s="794">
        <f t="array" ref="AV1075">IFERROR(INDEX(V1075:AG1075,1,MATCH(Parametres!$B$3,V$1:AG$1,0)-1)*IF(OR(C1075="L",C1075="S",C1075="I"),-1,1),"")</f>
        <v>0</v>
      </c>
      <c r="AW1075" s="794">
        <f t="shared" si="6"/>
        <v>0</v>
      </c>
      <c r="AX1075" s="794">
        <f t="array" ref="AX1075">INDEX(V1075:AG1075,1,MATCH(Parametres!$B$3,V$1:AG$1,0))*IF(OR(C1075="L",C1075="S",C1075="I"),-1,1)</f>
        <v>0</v>
      </c>
      <c r="AY1075" s="853" t="s">
        <v>772</v>
      </c>
      <c r="AZ1075" s="853" t="str">
        <f>+VLOOKUP($AJ1075,Data_Validation!$A:$E,5,0)</f>
        <v>#N/A</v>
      </c>
    </row>
    <row r="1076" ht="15.0" customHeight="1">
      <c r="A1076" s="849" t="s">
        <v>1239</v>
      </c>
      <c r="B1076" s="849">
        <v>2026.0</v>
      </c>
      <c r="C1076" s="849" t="s">
        <v>3324</v>
      </c>
      <c r="D1076" s="849" t="s">
        <v>3325</v>
      </c>
      <c r="E1076" s="849" t="s">
        <v>768</v>
      </c>
      <c r="F1076" s="849" t="s">
        <v>2814</v>
      </c>
      <c r="G1076" s="849">
        <v>2016.14</v>
      </c>
      <c r="H1076" s="849">
        <v>6065.08</v>
      </c>
      <c r="I1076" s="849">
        <v>6065.08</v>
      </c>
      <c r="J1076" s="849">
        <v>9866.18</v>
      </c>
      <c r="K1076" s="849">
        <v>9866.18</v>
      </c>
      <c r="L1076" s="849">
        <v>23237.93</v>
      </c>
      <c r="M1076" s="849">
        <v>23237.93</v>
      </c>
      <c r="N1076" s="849">
        <v>23237.93</v>
      </c>
      <c r="O1076" s="849">
        <v>24732.24</v>
      </c>
      <c r="P1076" s="849">
        <v>25560.41</v>
      </c>
      <c r="Q1076" s="849">
        <v>0.0</v>
      </c>
      <c r="R1076" s="849">
        <v>0.0</v>
      </c>
      <c r="S1076" s="849">
        <v>2748.03</v>
      </c>
      <c r="T1076" s="849">
        <v>2748.03</v>
      </c>
      <c r="U1076" s="849">
        <v>0.0</v>
      </c>
      <c r="V1076" s="849">
        <v>0.0</v>
      </c>
      <c r="W1076" s="849">
        <v>0.0</v>
      </c>
      <c r="X1076" s="849">
        <v>0.0</v>
      </c>
      <c r="Y1076" s="849">
        <v>-1.0</v>
      </c>
      <c r="Z1076" s="849">
        <v>-1.0</v>
      </c>
      <c r="AA1076" s="849">
        <v>-1.0</v>
      </c>
      <c r="AB1076" s="849">
        <v>-1.0</v>
      </c>
      <c r="AC1076" s="849">
        <v>-1.0</v>
      </c>
      <c r="AD1076" s="849">
        <v>2.0</v>
      </c>
      <c r="AE1076" s="849">
        <v>2.0</v>
      </c>
      <c r="AF1076" s="849">
        <v>0.0</v>
      </c>
      <c r="AG1076" s="849">
        <v>0.0</v>
      </c>
      <c r="AH1076" s="849">
        <v>0.0</v>
      </c>
      <c r="AI1076" s="849">
        <v>0.0</v>
      </c>
      <c r="AJ1076" s="794" t="str">
        <f t="shared" ref="AJ1076:AK1076" si="2149">C1076</f>
        <v>G80700</v>
      </c>
      <c r="AK1076" s="794" t="str">
        <f t="shared" si="2149"/>
        <v>REV. ASS-VIE INVAL. NEUF</v>
      </c>
      <c r="AL1076" s="794">
        <f t="array" ref="AL1076">IFERROR(INDEX(G1076:R1076,1,MATCH(Parametres!$B$3,G$1:R$1,0)-1)*IF(OR(F1076="L",F1076="S",F1076="I"),-1,1),"")</f>
        <v>-23237.93</v>
      </c>
      <c r="AM1076" s="794">
        <f t="shared" si="4"/>
        <v>-1494.31</v>
      </c>
      <c r="AN1076" s="794">
        <f t="array" ref="AN1076">INDEX(G1076:R1076,1,MATCH(Parametres!$B$3,G$1:R$1,0))*IF(OR(F1076="L",F1076="S",F1076="I"),-1,1)</f>
        <v>-24732.24</v>
      </c>
      <c r="AO1076" s="853" t="str">
        <f>+VLOOKUP($AJ1076,Data_Validation!$A:$D,1,0)</f>
        <v>G80700</v>
      </c>
      <c r="AP1076" s="853" t="str">
        <f>+VLOOKUP($AJ1076,Data_Validation!$A:$D,3,0)</f>
        <v>Véhicules neufs</v>
      </c>
      <c r="AQ1076" s="853" t="str">
        <f>+VLOOKUP($AJ1076,Data_Validation!$A:$D,4,0)</f>
        <v>Rev. Protections</v>
      </c>
      <c r="AR1076" s="853" t="s">
        <v>728</v>
      </c>
      <c r="AS1076" s="853" t="str">
        <f>+VLOOKUP($AJ1076,Data_Validation!$A:$E,5,0)</f>
        <v>Oui</v>
      </c>
      <c r="AT1076" s="794" t="str">
        <f t="shared" ref="AT1076:AU1076" si="2150">C1076</f>
        <v>G80700</v>
      </c>
      <c r="AU1076" s="854" t="str">
        <f t="shared" si="2150"/>
        <v>REV. ASS-VIE INVAL. NEUF</v>
      </c>
      <c r="AV1076" s="794">
        <f t="array" ref="AV1076">IFERROR(INDEX(V1076:AG1076,1,MATCH(Parametres!$B$3,V$1:AG$1,0)-1)*IF(OR(C1076="L",C1076="S",C1076="I"),-1,1),"")</f>
        <v>-1</v>
      </c>
      <c r="AW1076" s="794">
        <f t="shared" si="6"/>
        <v>3</v>
      </c>
      <c r="AX1076" s="794">
        <f t="array" ref="AX1076">INDEX(V1076:AG1076,1,MATCH(Parametres!$B$3,V$1:AG$1,0))*IF(OR(C1076="L",C1076="S",C1076="I"),-1,1)</f>
        <v>2</v>
      </c>
      <c r="AY1076" s="853" t="s">
        <v>772</v>
      </c>
      <c r="AZ1076" s="853" t="str">
        <f>+VLOOKUP($AJ1076,Data_Validation!$A:$E,5,0)</f>
        <v>Oui</v>
      </c>
    </row>
    <row r="1077" ht="15.0" customHeight="1">
      <c r="A1077" s="849" t="s">
        <v>1239</v>
      </c>
      <c r="B1077" s="849">
        <v>2026.0</v>
      </c>
      <c r="C1077" s="849" t="s">
        <v>3326</v>
      </c>
      <c r="D1077" s="849" t="s">
        <v>3327</v>
      </c>
      <c r="E1077" s="849" t="s">
        <v>768</v>
      </c>
      <c r="F1077" s="849" t="s">
        <v>2814</v>
      </c>
      <c r="G1077" s="849">
        <v>0.0</v>
      </c>
      <c r="H1077" s="849">
        <v>0.0</v>
      </c>
      <c r="I1077" s="849">
        <v>0.0</v>
      </c>
      <c r="J1077" s="849">
        <v>0.0</v>
      </c>
      <c r="K1077" s="849">
        <v>0.0</v>
      </c>
      <c r="L1077" s="849">
        <v>0.0</v>
      </c>
      <c r="M1077" s="849">
        <v>0.0</v>
      </c>
      <c r="N1077" s="849">
        <v>0.0</v>
      </c>
      <c r="O1077" s="849">
        <v>0.0</v>
      </c>
      <c r="P1077" s="849">
        <v>0.0</v>
      </c>
      <c r="Q1077" s="849">
        <v>0.0</v>
      </c>
      <c r="R1077" s="849">
        <v>0.0</v>
      </c>
      <c r="S1077" s="849">
        <v>0.0</v>
      </c>
      <c r="T1077" s="849">
        <v>0.0</v>
      </c>
      <c r="U1077" s="849">
        <v>0.0</v>
      </c>
      <c r="V1077" s="849">
        <v>0.0</v>
      </c>
      <c r="W1077" s="849">
        <v>0.0</v>
      </c>
      <c r="X1077" s="849">
        <v>0.0</v>
      </c>
      <c r="Y1077" s="849">
        <v>0.0</v>
      </c>
      <c r="Z1077" s="849">
        <v>0.0</v>
      </c>
      <c r="AA1077" s="849">
        <v>0.0</v>
      </c>
      <c r="AB1077" s="849">
        <v>0.0</v>
      </c>
      <c r="AC1077" s="849">
        <v>0.0</v>
      </c>
      <c r="AD1077" s="849">
        <v>0.0</v>
      </c>
      <c r="AE1077" s="849">
        <v>0.0</v>
      </c>
      <c r="AF1077" s="849">
        <v>0.0</v>
      </c>
      <c r="AG1077" s="849">
        <v>0.0</v>
      </c>
      <c r="AH1077" s="849">
        <v>0.0</v>
      </c>
      <c r="AI1077" s="849">
        <v>0.0</v>
      </c>
      <c r="AJ1077" s="794" t="str">
        <f t="shared" ref="AJ1077:AK1077" si="2151">C1077</f>
        <v>G808</v>
      </c>
      <c r="AK1077" s="794" t="str">
        <f t="shared" si="2151"/>
        <v>REVENU FINANCEMENT USAGES</v>
      </c>
      <c r="AL1077" s="794">
        <f t="array" ref="AL1077">IFERROR(INDEX(G1077:R1077,1,MATCH(Parametres!$B$3,G$1:R$1,0)-1)*IF(OR(F1077="L",F1077="S",F1077="I"),-1,1),"")</f>
        <v>0</v>
      </c>
      <c r="AM1077" s="794">
        <f t="shared" si="4"/>
        <v>0</v>
      </c>
      <c r="AN1077" s="794">
        <f t="array" ref="AN1077">INDEX(G1077:R1077,1,MATCH(Parametres!$B$3,G$1:R$1,0))*IF(OR(F1077="L",F1077="S",F1077="I"),-1,1)</f>
        <v>0</v>
      </c>
      <c r="AO1077" s="853" t="str">
        <f>+VLOOKUP($AJ1077,Data_Validation!$A:$D,1,0)</f>
        <v>#N/A</v>
      </c>
      <c r="AP1077" s="853" t="str">
        <f>+VLOOKUP($AJ1077,Data_Validation!$A:$D,3,0)</f>
        <v>#N/A</v>
      </c>
      <c r="AQ1077" s="853" t="str">
        <f>+VLOOKUP($AJ1077,Data_Validation!$A:$D,4,0)</f>
        <v>#N/A</v>
      </c>
      <c r="AR1077" s="853" t="s">
        <v>728</v>
      </c>
      <c r="AS1077" s="853" t="str">
        <f>+VLOOKUP($AJ1077,Data_Validation!$A:$E,5,0)</f>
        <v>#N/A</v>
      </c>
      <c r="AT1077" s="794" t="str">
        <f t="shared" ref="AT1077:AU1077" si="2152">C1077</f>
        <v>G808</v>
      </c>
      <c r="AU1077" s="854" t="str">
        <f t="shared" si="2152"/>
        <v>REVENU FINANCEMENT USAGES</v>
      </c>
      <c r="AV1077" s="794">
        <f t="array" ref="AV1077">IFERROR(INDEX(V1077:AG1077,1,MATCH(Parametres!$B$3,V$1:AG$1,0)-1)*IF(OR(C1077="L",C1077="S",C1077="I"),-1,1),"")</f>
        <v>0</v>
      </c>
      <c r="AW1077" s="794">
        <f t="shared" si="6"/>
        <v>0</v>
      </c>
      <c r="AX1077" s="794">
        <f t="array" ref="AX1077">INDEX(V1077:AG1077,1,MATCH(Parametres!$B$3,V$1:AG$1,0))*IF(OR(C1077="L",C1077="S",C1077="I"),-1,1)</f>
        <v>0</v>
      </c>
      <c r="AY1077" s="853" t="s">
        <v>772</v>
      </c>
      <c r="AZ1077" s="853" t="str">
        <f>+VLOOKUP($AJ1077,Data_Validation!$A:$E,5,0)</f>
        <v>#N/A</v>
      </c>
    </row>
    <row r="1078" ht="15.0" customHeight="1">
      <c r="A1078" s="849" t="s">
        <v>1239</v>
      </c>
      <c r="B1078" s="849">
        <v>2026.0</v>
      </c>
      <c r="C1078" s="849" t="s">
        <v>3328</v>
      </c>
      <c r="D1078" s="849" t="s">
        <v>3329</v>
      </c>
      <c r="E1078" s="849" t="s">
        <v>768</v>
      </c>
      <c r="F1078" s="849" t="s">
        <v>2814</v>
      </c>
      <c r="G1078" s="849">
        <v>6932.74</v>
      </c>
      <c r="H1078" s="849">
        <v>12944.93</v>
      </c>
      <c r="I1078" s="849">
        <v>25188.84</v>
      </c>
      <c r="J1078" s="849">
        <v>34384.09</v>
      </c>
      <c r="K1078" s="849">
        <v>43238.29</v>
      </c>
      <c r="L1078" s="849">
        <v>45460.49</v>
      </c>
      <c r="M1078" s="849">
        <v>62450.49</v>
      </c>
      <c r="N1078" s="849">
        <v>77788.59</v>
      </c>
      <c r="O1078" s="849">
        <v>82045.23</v>
      </c>
      <c r="P1078" s="849">
        <v>83689.28</v>
      </c>
      <c r="Q1078" s="849">
        <v>0.0</v>
      </c>
      <c r="R1078" s="849">
        <v>0.0</v>
      </c>
      <c r="S1078" s="849">
        <v>9116.14</v>
      </c>
      <c r="T1078" s="849">
        <v>9116.14</v>
      </c>
      <c r="U1078" s="849">
        <v>0.0</v>
      </c>
      <c r="V1078" s="849">
        <v>7.0</v>
      </c>
      <c r="W1078" s="849">
        <v>11.0</v>
      </c>
      <c r="X1078" s="849">
        <v>21.0</v>
      </c>
      <c r="Y1078" s="849">
        <v>29.0</v>
      </c>
      <c r="Z1078" s="849">
        <v>41.0</v>
      </c>
      <c r="AA1078" s="849">
        <v>44.0</v>
      </c>
      <c r="AB1078" s="849">
        <v>59.0</v>
      </c>
      <c r="AC1078" s="849">
        <v>75.0</v>
      </c>
      <c r="AD1078" s="849">
        <v>78.0</v>
      </c>
      <c r="AE1078" s="849">
        <v>79.0</v>
      </c>
      <c r="AF1078" s="849">
        <v>0.0</v>
      </c>
      <c r="AG1078" s="849">
        <v>0.0</v>
      </c>
      <c r="AH1078" s="849">
        <v>9.0</v>
      </c>
      <c r="AI1078" s="849">
        <v>9.0</v>
      </c>
      <c r="AJ1078" s="794" t="str">
        <f t="shared" ref="AJ1078:AK1078" si="2153">C1078</f>
        <v>G80800</v>
      </c>
      <c r="AK1078" s="794" t="str">
        <f t="shared" si="2153"/>
        <v>REVENUS FINANCE VEH.USAGE</v>
      </c>
      <c r="AL1078" s="794">
        <f t="array" ref="AL1078">IFERROR(INDEX(G1078:R1078,1,MATCH(Parametres!$B$3,G$1:R$1,0)-1)*IF(OR(F1078="L",F1078="S",F1078="I"),-1,1),"")</f>
        <v>-77788.59</v>
      </c>
      <c r="AM1078" s="794">
        <f t="shared" si="4"/>
        <v>-4256.64</v>
      </c>
      <c r="AN1078" s="794">
        <f t="array" ref="AN1078">INDEX(G1078:R1078,1,MATCH(Parametres!$B$3,G$1:R$1,0))*IF(OR(F1078="L",F1078="S",F1078="I"),-1,1)</f>
        <v>-82045.23</v>
      </c>
      <c r="AO1078" s="853" t="str">
        <f>+VLOOKUP($AJ1078,Data_Validation!$A:$D,1,0)</f>
        <v>G80800</v>
      </c>
      <c r="AP1078" s="853" t="str">
        <f>+VLOOKUP($AJ1078,Data_Validation!$A:$D,3,0)</f>
        <v>Véhicules usagés</v>
      </c>
      <c r="AQ1078" s="853" t="str">
        <f>+VLOOKUP($AJ1078,Data_Validation!$A:$D,4,0)</f>
        <v>Rev. Finances</v>
      </c>
      <c r="AR1078" s="853" t="s">
        <v>728</v>
      </c>
      <c r="AS1078" s="853" t="str">
        <f>+VLOOKUP($AJ1078,Data_Validation!$A:$E,5,0)</f>
        <v>Oui</v>
      </c>
      <c r="AT1078" s="794" t="str">
        <f t="shared" ref="AT1078:AU1078" si="2154">C1078</f>
        <v>G80800</v>
      </c>
      <c r="AU1078" s="854" t="str">
        <f t="shared" si="2154"/>
        <v>REVENUS FINANCE VEH.USAGE</v>
      </c>
      <c r="AV1078" s="794">
        <f t="array" ref="AV1078">IFERROR(INDEX(V1078:AG1078,1,MATCH(Parametres!$B$3,V$1:AG$1,0)-1)*IF(OR(C1078="L",C1078="S",C1078="I"),-1,1),"")</f>
        <v>75</v>
      </c>
      <c r="AW1078" s="794">
        <f t="shared" si="6"/>
        <v>3</v>
      </c>
      <c r="AX1078" s="794">
        <f t="array" ref="AX1078">INDEX(V1078:AG1078,1,MATCH(Parametres!$B$3,V$1:AG$1,0))*IF(OR(C1078="L",C1078="S",C1078="I"),-1,1)</f>
        <v>78</v>
      </c>
      <c r="AY1078" s="853" t="s">
        <v>772</v>
      </c>
      <c r="AZ1078" s="853" t="str">
        <f>+VLOOKUP($AJ1078,Data_Validation!$A:$E,5,0)</f>
        <v>Oui</v>
      </c>
    </row>
    <row r="1079" ht="15.0" customHeight="1">
      <c r="A1079" s="849" t="s">
        <v>1239</v>
      </c>
      <c r="B1079" s="849">
        <v>2026.0</v>
      </c>
      <c r="C1079" s="849" t="s">
        <v>3330</v>
      </c>
      <c r="D1079" s="849" t="s">
        <v>3331</v>
      </c>
      <c r="E1079" s="849" t="s">
        <v>768</v>
      </c>
      <c r="F1079" s="849" t="s">
        <v>2814</v>
      </c>
      <c r="G1079" s="849">
        <v>0.0</v>
      </c>
      <c r="H1079" s="849">
        <v>0.0</v>
      </c>
      <c r="I1079" s="849">
        <v>0.0</v>
      </c>
      <c r="J1079" s="849">
        <v>0.0</v>
      </c>
      <c r="K1079" s="849">
        <v>0.0</v>
      </c>
      <c r="L1079" s="849">
        <v>0.0</v>
      </c>
      <c r="M1079" s="849">
        <v>0.0</v>
      </c>
      <c r="N1079" s="849">
        <v>0.0</v>
      </c>
      <c r="O1079" s="849">
        <v>0.0</v>
      </c>
      <c r="P1079" s="849">
        <v>0.0</v>
      </c>
      <c r="Q1079" s="849">
        <v>0.0</v>
      </c>
      <c r="R1079" s="849">
        <v>0.0</v>
      </c>
      <c r="S1079" s="849">
        <v>0.0</v>
      </c>
      <c r="T1079" s="849">
        <v>0.0</v>
      </c>
      <c r="U1079" s="849">
        <v>0.0</v>
      </c>
      <c r="V1079" s="849">
        <v>0.0</v>
      </c>
      <c r="W1079" s="849">
        <v>0.0</v>
      </c>
      <c r="X1079" s="849">
        <v>0.0</v>
      </c>
      <c r="Y1079" s="849">
        <v>0.0</v>
      </c>
      <c r="Z1079" s="849">
        <v>0.0</v>
      </c>
      <c r="AA1079" s="849">
        <v>0.0</v>
      </c>
      <c r="AB1079" s="849">
        <v>0.0</v>
      </c>
      <c r="AC1079" s="849">
        <v>0.0</v>
      </c>
      <c r="AD1079" s="849">
        <v>0.0</v>
      </c>
      <c r="AE1079" s="849">
        <v>0.0</v>
      </c>
      <c r="AF1079" s="849">
        <v>0.0</v>
      </c>
      <c r="AG1079" s="849">
        <v>0.0</v>
      </c>
      <c r="AH1079" s="849">
        <v>0.0</v>
      </c>
      <c r="AI1079" s="849">
        <v>0.0</v>
      </c>
      <c r="AJ1079" s="794" t="str">
        <f t="shared" ref="AJ1079:AK1079" si="2155">C1079</f>
        <v>G809</v>
      </c>
      <c r="AK1079" s="794" t="str">
        <f t="shared" si="2155"/>
        <v>COMM/ASSURANCE USAGES</v>
      </c>
      <c r="AL1079" s="794">
        <f t="array" ref="AL1079">IFERROR(INDEX(G1079:R1079,1,MATCH(Parametres!$B$3,G$1:R$1,0)-1)*IF(OR(F1079="L",F1079="S",F1079="I"),-1,1),"")</f>
        <v>0</v>
      </c>
      <c r="AM1079" s="794">
        <f t="shared" si="4"/>
        <v>0</v>
      </c>
      <c r="AN1079" s="794">
        <f t="array" ref="AN1079">INDEX(G1079:R1079,1,MATCH(Parametres!$B$3,G$1:R$1,0))*IF(OR(F1079="L",F1079="S",F1079="I"),-1,1)</f>
        <v>0</v>
      </c>
      <c r="AO1079" s="853" t="str">
        <f>+VLOOKUP($AJ1079,Data_Validation!$A:$D,1,0)</f>
        <v>#N/A</v>
      </c>
      <c r="AP1079" s="853" t="str">
        <f>+VLOOKUP($AJ1079,Data_Validation!$A:$D,3,0)</f>
        <v>#N/A</v>
      </c>
      <c r="AQ1079" s="853" t="str">
        <f>+VLOOKUP($AJ1079,Data_Validation!$A:$D,4,0)</f>
        <v>#N/A</v>
      </c>
      <c r="AR1079" s="853" t="s">
        <v>728</v>
      </c>
      <c r="AS1079" s="853" t="str">
        <f>+VLOOKUP($AJ1079,Data_Validation!$A:$E,5,0)</f>
        <v>#N/A</v>
      </c>
      <c r="AT1079" s="794" t="str">
        <f t="shared" ref="AT1079:AU1079" si="2156">C1079</f>
        <v>G809</v>
      </c>
      <c r="AU1079" s="854" t="str">
        <f t="shared" si="2156"/>
        <v>COMM/ASSURANCE USAGES</v>
      </c>
      <c r="AV1079" s="794">
        <f t="array" ref="AV1079">IFERROR(INDEX(V1079:AG1079,1,MATCH(Parametres!$B$3,V$1:AG$1,0)-1)*IF(OR(C1079="L",C1079="S",C1079="I"),-1,1),"")</f>
        <v>0</v>
      </c>
      <c r="AW1079" s="794">
        <f t="shared" si="6"/>
        <v>0</v>
      </c>
      <c r="AX1079" s="794">
        <f t="array" ref="AX1079">INDEX(V1079:AG1079,1,MATCH(Parametres!$B$3,V$1:AG$1,0))*IF(OR(C1079="L",C1079="S",C1079="I"),-1,1)</f>
        <v>0</v>
      </c>
      <c r="AY1079" s="853" t="s">
        <v>772</v>
      </c>
      <c r="AZ1079" s="853" t="str">
        <f>+VLOOKUP($AJ1079,Data_Validation!$A:$E,5,0)</f>
        <v>#N/A</v>
      </c>
    </row>
    <row r="1080" ht="15.0" customHeight="1">
      <c r="A1080" s="849" t="s">
        <v>1239</v>
      </c>
      <c r="B1080" s="849">
        <v>2026.0</v>
      </c>
      <c r="C1080" s="849" t="s">
        <v>3332</v>
      </c>
      <c r="D1080" s="849" t="s">
        <v>3333</v>
      </c>
      <c r="E1080" s="849" t="s">
        <v>768</v>
      </c>
      <c r="F1080" s="849" t="s">
        <v>2814</v>
      </c>
      <c r="G1080" s="849">
        <v>969.88</v>
      </c>
      <c r="H1080" s="849">
        <v>969.88</v>
      </c>
      <c r="I1080" s="849">
        <v>969.88</v>
      </c>
      <c r="J1080" s="849">
        <v>3540.5</v>
      </c>
      <c r="K1080" s="849">
        <v>3540.5</v>
      </c>
      <c r="L1080" s="849">
        <v>3540.5</v>
      </c>
      <c r="M1080" s="849">
        <v>3540.5</v>
      </c>
      <c r="N1080" s="849">
        <v>3540.5</v>
      </c>
      <c r="O1080" s="849">
        <v>3540.5</v>
      </c>
      <c r="P1080" s="849">
        <v>3540.5</v>
      </c>
      <c r="Q1080" s="849">
        <v>0.0</v>
      </c>
      <c r="R1080" s="849">
        <v>0.0</v>
      </c>
      <c r="S1080" s="849">
        <v>393.39</v>
      </c>
      <c r="T1080" s="849">
        <v>393.39</v>
      </c>
      <c r="U1080" s="849">
        <v>0.0</v>
      </c>
      <c r="V1080" s="849">
        <v>0.0</v>
      </c>
      <c r="W1080" s="849">
        <v>0.0</v>
      </c>
      <c r="X1080" s="849">
        <v>0.0</v>
      </c>
      <c r="Y1080" s="849">
        <v>-1.0</v>
      </c>
      <c r="Z1080" s="849">
        <v>-1.0</v>
      </c>
      <c r="AA1080" s="849">
        <v>-1.0</v>
      </c>
      <c r="AB1080" s="849">
        <v>-1.0</v>
      </c>
      <c r="AC1080" s="849">
        <v>-1.0</v>
      </c>
      <c r="AD1080" s="849">
        <v>-1.0</v>
      </c>
      <c r="AE1080" s="849">
        <v>-1.0</v>
      </c>
      <c r="AF1080" s="849">
        <v>0.0</v>
      </c>
      <c r="AG1080" s="849">
        <v>0.0</v>
      </c>
      <c r="AH1080" s="849">
        <v>0.0</v>
      </c>
      <c r="AI1080" s="849">
        <v>0.0</v>
      </c>
      <c r="AJ1080" s="794" t="str">
        <f t="shared" ref="AJ1080:AK1080" si="2157">C1080</f>
        <v>G80900</v>
      </c>
      <c r="AK1080" s="794" t="str">
        <f t="shared" si="2157"/>
        <v>REV. ASS-VIE INVAL. USAGE</v>
      </c>
      <c r="AL1080" s="794">
        <f t="array" ref="AL1080">IFERROR(INDEX(G1080:R1080,1,MATCH(Parametres!$B$3,G$1:R$1,0)-1)*IF(OR(F1080="L",F1080="S",F1080="I"),-1,1),"")</f>
        <v>-3540.5</v>
      </c>
      <c r="AM1080" s="794">
        <f t="shared" si="4"/>
        <v>0</v>
      </c>
      <c r="AN1080" s="794">
        <f t="array" ref="AN1080">INDEX(G1080:R1080,1,MATCH(Parametres!$B$3,G$1:R$1,0))*IF(OR(F1080="L",F1080="S",F1080="I"),-1,1)</f>
        <v>-3540.5</v>
      </c>
      <c r="AO1080" s="853" t="str">
        <f>+VLOOKUP($AJ1080,Data_Validation!$A:$D,1,0)</f>
        <v>G80900</v>
      </c>
      <c r="AP1080" s="853" t="str">
        <f>+VLOOKUP($AJ1080,Data_Validation!$A:$D,3,0)</f>
        <v>Véhicules usagés</v>
      </c>
      <c r="AQ1080" s="853" t="str">
        <f>+VLOOKUP($AJ1080,Data_Validation!$A:$D,4,0)</f>
        <v>Rev. Protections</v>
      </c>
      <c r="AR1080" s="853" t="s">
        <v>728</v>
      </c>
      <c r="AS1080" s="853" t="str">
        <f>+VLOOKUP($AJ1080,Data_Validation!$A:$E,5,0)</f>
        <v>Oui</v>
      </c>
      <c r="AT1080" s="794" t="str">
        <f t="shared" ref="AT1080:AU1080" si="2158">C1080</f>
        <v>G80900</v>
      </c>
      <c r="AU1080" s="854" t="str">
        <f t="shared" si="2158"/>
        <v>REV. ASS-VIE INVAL. USAGE</v>
      </c>
      <c r="AV1080" s="794">
        <f t="array" ref="AV1080">IFERROR(INDEX(V1080:AG1080,1,MATCH(Parametres!$B$3,V$1:AG$1,0)-1)*IF(OR(C1080="L",C1080="S",C1080="I"),-1,1),"")</f>
        <v>-1</v>
      </c>
      <c r="AW1080" s="794">
        <f t="shared" si="6"/>
        <v>0</v>
      </c>
      <c r="AX1080" s="794">
        <f t="array" ref="AX1080">INDEX(V1080:AG1080,1,MATCH(Parametres!$B$3,V$1:AG$1,0))*IF(OR(C1080="L",C1080="S",C1080="I"),-1,1)</f>
        <v>-1</v>
      </c>
      <c r="AY1080" s="853" t="s">
        <v>772</v>
      </c>
      <c r="AZ1080" s="853" t="str">
        <f>+VLOOKUP($AJ1080,Data_Validation!$A:$E,5,0)</f>
        <v>Oui</v>
      </c>
    </row>
    <row r="1081" ht="15.0" customHeight="1">
      <c r="A1081" s="849" t="s">
        <v>1239</v>
      </c>
      <c r="B1081" s="849">
        <v>2026.0</v>
      </c>
      <c r="C1081" s="849" t="s">
        <v>3334</v>
      </c>
      <c r="D1081" s="849" t="s">
        <v>3335</v>
      </c>
      <c r="E1081" s="849" t="s">
        <v>768</v>
      </c>
      <c r="F1081" s="849" t="s">
        <v>2426</v>
      </c>
      <c r="G1081" s="849">
        <v>0.0</v>
      </c>
      <c r="H1081" s="849">
        <v>0.0</v>
      </c>
      <c r="I1081" s="849">
        <v>0.0</v>
      </c>
      <c r="J1081" s="849">
        <v>0.0</v>
      </c>
      <c r="K1081" s="849">
        <v>0.0</v>
      </c>
      <c r="L1081" s="849">
        <v>0.0</v>
      </c>
      <c r="M1081" s="849">
        <v>0.0</v>
      </c>
      <c r="N1081" s="849">
        <v>0.0</v>
      </c>
      <c r="O1081" s="849">
        <v>0.0</v>
      </c>
      <c r="P1081" s="849">
        <v>0.0</v>
      </c>
      <c r="Q1081" s="849">
        <v>0.0</v>
      </c>
      <c r="R1081" s="849">
        <v>0.0</v>
      </c>
      <c r="S1081" s="849">
        <v>0.0</v>
      </c>
      <c r="T1081" s="849">
        <v>0.0</v>
      </c>
      <c r="U1081" s="849">
        <v>0.0</v>
      </c>
      <c r="V1081" s="849">
        <v>0.0</v>
      </c>
      <c r="W1081" s="849">
        <v>0.0</v>
      </c>
      <c r="X1081" s="849">
        <v>0.0</v>
      </c>
      <c r="Y1081" s="849">
        <v>0.0</v>
      </c>
      <c r="Z1081" s="849">
        <v>0.0</v>
      </c>
      <c r="AA1081" s="849">
        <v>0.0</v>
      </c>
      <c r="AB1081" s="849">
        <v>0.0</v>
      </c>
      <c r="AC1081" s="849">
        <v>0.0</v>
      </c>
      <c r="AD1081" s="849">
        <v>0.0</v>
      </c>
      <c r="AE1081" s="849">
        <v>0.0</v>
      </c>
      <c r="AF1081" s="849">
        <v>0.0</v>
      </c>
      <c r="AG1081" s="849">
        <v>0.0</v>
      </c>
      <c r="AH1081" s="849">
        <v>0.0</v>
      </c>
      <c r="AI1081" s="849">
        <v>0.0</v>
      </c>
      <c r="AJ1081" s="794" t="str">
        <f t="shared" ref="AJ1081:AK1081" si="2159">C1081</f>
        <v>G810</v>
      </c>
      <c r="AK1081" s="794" t="str">
        <f t="shared" si="2159"/>
        <v>VTES-ACCESSOIRES NEUF</v>
      </c>
      <c r="AL1081" s="794">
        <f t="array" ref="AL1081">IFERROR(INDEX(G1081:R1081,1,MATCH(Parametres!$B$3,G$1:R$1,0)-1)*IF(OR(F1081="L",F1081="S",F1081="I"),-1,1),"")</f>
        <v>0</v>
      </c>
      <c r="AM1081" s="794">
        <f t="shared" si="4"/>
        <v>0</v>
      </c>
      <c r="AN1081" s="794">
        <f t="array" ref="AN1081">INDEX(G1081:R1081,1,MATCH(Parametres!$B$3,G$1:R$1,0))*IF(OR(F1081="L",F1081="S",F1081="I"),-1,1)</f>
        <v>0</v>
      </c>
      <c r="AO1081" s="853" t="str">
        <f>+VLOOKUP($AJ1081,Data_Validation!$A:$D,1,0)</f>
        <v>#N/A</v>
      </c>
      <c r="AP1081" s="853" t="str">
        <f>+VLOOKUP($AJ1081,Data_Validation!$A:$D,3,0)</f>
        <v>#N/A</v>
      </c>
      <c r="AQ1081" s="853" t="str">
        <f>+VLOOKUP($AJ1081,Data_Validation!$A:$D,4,0)</f>
        <v>#N/A</v>
      </c>
      <c r="AR1081" s="853" t="s">
        <v>728</v>
      </c>
      <c r="AS1081" s="853" t="str">
        <f>+VLOOKUP($AJ1081,Data_Validation!$A:$E,5,0)</f>
        <v>#N/A</v>
      </c>
      <c r="AT1081" s="794" t="str">
        <f t="shared" ref="AT1081:AU1081" si="2160">C1081</f>
        <v>G810</v>
      </c>
      <c r="AU1081" s="854" t="str">
        <f t="shared" si="2160"/>
        <v>VTES-ACCESSOIRES NEUF</v>
      </c>
      <c r="AV1081" s="794">
        <f t="array" ref="AV1081">IFERROR(INDEX(V1081:AG1081,1,MATCH(Parametres!$B$3,V$1:AG$1,0)-1)*IF(OR(C1081="L",C1081="S",C1081="I"),-1,1),"")</f>
        <v>0</v>
      </c>
      <c r="AW1081" s="794">
        <f t="shared" si="6"/>
        <v>0</v>
      </c>
      <c r="AX1081" s="794">
        <f t="array" ref="AX1081">INDEX(V1081:AG1081,1,MATCH(Parametres!$B$3,V$1:AG$1,0))*IF(OR(C1081="L",C1081="S",C1081="I"),-1,1)</f>
        <v>0</v>
      </c>
      <c r="AY1081" s="853" t="s">
        <v>772</v>
      </c>
      <c r="AZ1081" s="853" t="str">
        <f>+VLOOKUP($AJ1081,Data_Validation!$A:$E,5,0)</f>
        <v>#N/A</v>
      </c>
    </row>
    <row r="1082" ht="15.0" customHeight="1">
      <c r="A1082" s="849" t="s">
        <v>1239</v>
      </c>
      <c r="B1082" s="849">
        <v>2026.0</v>
      </c>
      <c r="C1082" s="849" t="s">
        <v>3336</v>
      </c>
      <c r="D1082" s="849" t="s">
        <v>3337</v>
      </c>
      <c r="E1082" s="849" t="s">
        <v>768</v>
      </c>
      <c r="F1082" s="849" t="s">
        <v>2855</v>
      </c>
      <c r="G1082" s="849">
        <v>0.0</v>
      </c>
      <c r="H1082" s="849">
        <v>0.0</v>
      </c>
      <c r="I1082" s="849">
        <v>0.0</v>
      </c>
      <c r="J1082" s="849">
        <v>0.0</v>
      </c>
      <c r="K1082" s="849">
        <v>0.0</v>
      </c>
      <c r="L1082" s="849">
        <v>0.0</v>
      </c>
      <c r="M1082" s="849">
        <v>0.0</v>
      </c>
      <c r="N1082" s="849">
        <v>0.0</v>
      </c>
      <c r="O1082" s="849">
        <v>0.0</v>
      </c>
      <c r="P1082" s="849">
        <v>0.0</v>
      </c>
      <c r="Q1082" s="849">
        <v>0.0</v>
      </c>
      <c r="R1082" s="849">
        <v>0.0</v>
      </c>
      <c r="S1082" s="849">
        <v>0.0</v>
      </c>
      <c r="T1082" s="849">
        <v>0.0</v>
      </c>
      <c r="U1082" s="849">
        <v>0.0</v>
      </c>
      <c r="V1082" s="849">
        <v>0.0</v>
      </c>
      <c r="W1082" s="849">
        <v>0.0</v>
      </c>
      <c r="X1082" s="849">
        <v>0.0</v>
      </c>
      <c r="Y1082" s="849">
        <v>0.0</v>
      </c>
      <c r="Z1082" s="849">
        <v>0.0</v>
      </c>
      <c r="AA1082" s="849">
        <v>0.0</v>
      </c>
      <c r="AB1082" s="849">
        <v>0.0</v>
      </c>
      <c r="AC1082" s="849">
        <v>0.0</v>
      </c>
      <c r="AD1082" s="849">
        <v>0.0</v>
      </c>
      <c r="AE1082" s="849">
        <v>0.0</v>
      </c>
      <c r="AF1082" s="849">
        <v>0.0</v>
      </c>
      <c r="AG1082" s="849">
        <v>0.0</v>
      </c>
      <c r="AH1082" s="849">
        <v>0.0</v>
      </c>
      <c r="AI1082" s="849">
        <v>0.0</v>
      </c>
      <c r="AJ1082" s="794" t="str">
        <f t="shared" ref="AJ1082:AK1082" si="2161">C1082</f>
        <v>G810C</v>
      </c>
      <c r="AK1082" s="794" t="str">
        <f t="shared" si="2161"/>
        <v>COUT-ACCESSOIRES NEUF</v>
      </c>
      <c r="AL1082" s="794">
        <f t="array" ref="AL1082">IFERROR(INDEX(G1082:R1082,1,MATCH(Parametres!$B$3,G$1:R$1,0)-1)*IF(OR(F1082="L",F1082="S",F1082="I"),-1,1),"")</f>
        <v>0</v>
      </c>
      <c r="AM1082" s="794">
        <f t="shared" si="4"/>
        <v>0</v>
      </c>
      <c r="AN1082" s="794">
        <f t="array" ref="AN1082">INDEX(G1082:R1082,1,MATCH(Parametres!$B$3,G$1:R$1,0))*IF(OR(F1082="L",F1082="S",F1082="I"),-1,1)</f>
        <v>0</v>
      </c>
      <c r="AO1082" s="853" t="str">
        <f>+VLOOKUP($AJ1082,Data_Validation!$A:$D,1,0)</f>
        <v>#N/A</v>
      </c>
      <c r="AP1082" s="853" t="str">
        <f>+VLOOKUP($AJ1082,Data_Validation!$A:$D,3,0)</f>
        <v>#N/A</v>
      </c>
      <c r="AQ1082" s="853" t="str">
        <f>+VLOOKUP($AJ1082,Data_Validation!$A:$D,4,0)</f>
        <v>#N/A</v>
      </c>
      <c r="AR1082" s="853" t="s">
        <v>728</v>
      </c>
      <c r="AS1082" s="853" t="str">
        <f>+VLOOKUP($AJ1082,Data_Validation!$A:$E,5,0)</f>
        <v>#N/A</v>
      </c>
      <c r="AT1082" s="794" t="str">
        <f t="shared" ref="AT1082:AU1082" si="2162">C1082</f>
        <v>G810C</v>
      </c>
      <c r="AU1082" s="854" t="str">
        <f t="shared" si="2162"/>
        <v>COUT-ACCESSOIRES NEUF</v>
      </c>
      <c r="AV1082" s="794">
        <f t="array" ref="AV1082">IFERROR(INDEX(V1082:AG1082,1,MATCH(Parametres!$B$3,V$1:AG$1,0)-1)*IF(OR(C1082="L",C1082="S",C1082="I"),-1,1),"")</f>
        <v>0</v>
      </c>
      <c r="AW1082" s="794">
        <f t="shared" si="6"/>
        <v>0</v>
      </c>
      <c r="AX1082" s="794">
        <f t="array" ref="AX1082">INDEX(V1082:AG1082,1,MATCH(Parametres!$B$3,V$1:AG$1,0))*IF(OR(C1082="L",C1082="S",C1082="I"),-1,1)</f>
        <v>0</v>
      </c>
      <c r="AY1082" s="853" t="s">
        <v>772</v>
      </c>
      <c r="AZ1082" s="853" t="str">
        <f>+VLOOKUP($AJ1082,Data_Validation!$A:$E,5,0)</f>
        <v>#N/A</v>
      </c>
    </row>
    <row r="1083" ht="15.0" customHeight="1">
      <c r="A1083" s="849" t="s">
        <v>1239</v>
      </c>
      <c r="B1083" s="849">
        <v>2026.0</v>
      </c>
      <c r="C1083" s="849" t="s">
        <v>3338</v>
      </c>
      <c r="D1083" s="849" t="s">
        <v>3339</v>
      </c>
      <c r="E1083" s="849" t="s">
        <v>768</v>
      </c>
      <c r="F1083" s="849" t="s">
        <v>2426</v>
      </c>
      <c r="G1083" s="849">
        <v>0.0</v>
      </c>
      <c r="H1083" s="849">
        <v>0.0</v>
      </c>
      <c r="I1083" s="849">
        <v>0.0</v>
      </c>
      <c r="J1083" s="849">
        <v>0.0</v>
      </c>
      <c r="K1083" s="849">
        <v>0.0</v>
      </c>
      <c r="L1083" s="849">
        <v>0.0</v>
      </c>
      <c r="M1083" s="849">
        <v>0.0</v>
      </c>
      <c r="N1083" s="849">
        <v>0.0</v>
      </c>
      <c r="O1083" s="849">
        <v>0.0</v>
      </c>
      <c r="P1083" s="849">
        <v>0.0</v>
      </c>
      <c r="Q1083" s="849">
        <v>0.0</v>
      </c>
      <c r="R1083" s="849">
        <v>0.0</v>
      </c>
      <c r="S1083" s="849">
        <v>0.0</v>
      </c>
      <c r="T1083" s="849">
        <v>0.0</v>
      </c>
      <c r="U1083" s="849">
        <v>0.0</v>
      </c>
      <c r="V1083" s="849">
        <v>0.0</v>
      </c>
      <c r="W1083" s="849">
        <v>0.0</v>
      </c>
      <c r="X1083" s="849">
        <v>0.0</v>
      </c>
      <c r="Y1083" s="849">
        <v>0.0</v>
      </c>
      <c r="Z1083" s="849">
        <v>0.0</v>
      </c>
      <c r="AA1083" s="849">
        <v>0.0</v>
      </c>
      <c r="AB1083" s="849">
        <v>0.0</v>
      </c>
      <c r="AC1083" s="849">
        <v>0.0</v>
      </c>
      <c r="AD1083" s="849">
        <v>0.0</v>
      </c>
      <c r="AE1083" s="849">
        <v>0.0</v>
      </c>
      <c r="AF1083" s="849">
        <v>0.0</v>
      </c>
      <c r="AG1083" s="849">
        <v>0.0</v>
      </c>
      <c r="AH1083" s="849">
        <v>0.0</v>
      </c>
      <c r="AI1083" s="849">
        <v>0.0</v>
      </c>
      <c r="AJ1083" s="794" t="str">
        <f t="shared" ref="AJ1083:AK1083" si="2163">C1083</f>
        <v>G811</v>
      </c>
      <c r="AK1083" s="794" t="str">
        <f t="shared" si="2163"/>
        <v>VTES-ACCESSOIRES USAGE</v>
      </c>
      <c r="AL1083" s="794">
        <f t="array" ref="AL1083">IFERROR(INDEX(G1083:R1083,1,MATCH(Parametres!$B$3,G$1:R$1,0)-1)*IF(OR(F1083="L",F1083="S",F1083="I"),-1,1),"")</f>
        <v>0</v>
      </c>
      <c r="AM1083" s="794">
        <f t="shared" si="4"/>
        <v>0</v>
      </c>
      <c r="AN1083" s="794">
        <f t="array" ref="AN1083">INDEX(G1083:R1083,1,MATCH(Parametres!$B$3,G$1:R$1,0))*IF(OR(F1083="L",F1083="S",F1083="I"),-1,1)</f>
        <v>0</v>
      </c>
      <c r="AO1083" s="853" t="str">
        <f>+VLOOKUP($AJ1083,Data_Validation!$A:$D,1,0)</f>
        <v>#N/A</v>
      </c>
      <c r="AP1083" s="853" t="str">
        <f>+VLOOKUP($AJ1083,Data_Validation!$A:$D,3,0)</f>
        <v>#N/A</v>
      </c>
      <c r="AQ1083" s="853" t="str">
        <f>+VLOOKUP($AJ1083,Data_Validation!$A:$D,4,0)</f>
        <v>#N/A</v>
      </c>
      <c r="AR1083" s="853" t="s">
        <v>728</v>
      </c>
      <c r="AS1083" s="853" t="str">
        <f>+VLOOKUP($AJ1083,Data_Validation!$A:$E,5,0)</f>
        <v>#N/A</v>
      </c>
      <c r="AT1083" s="794" t="str">
        <f t="shared" ref="AT1083:AU1083" si="2164">C1083</f>
        <v>G811</v>
      </c>
      <c r="AU1083" s="854" t="str">
        <f t="shared" si="2164"/>
        <v>VTES-ACCESSOIRES USAGE</v>
      </c>
      <c r="AV1083" s="794">
        <f t="array" ref="AV1083">IFERROR(INDEX(V1083:AG1083,1,MATCH(Parametres!$B$3,V$1:AG$1,0)-1)*IF(OR(C1083="L",C1083="S",C1083="I"),-1,1),"")</f>
        <v>0</v>
      </c>
      <c r="AW1083" s="794">
        <f t="shared" si="6"/>
        <v>0</v>
      </c>
      <c r="AX1083" s="794">
        <f t="array" ref="AX1083">INDEX(V1083:AG1083,1,MATCH(Parametres!$B$3,V$1:AG$1,0))*IF(OR(C1083="L",C1083="S",C1083="I"),-1,1)</f>
        <v>0</v>
      </c>
      <c r="AY1083" s="853" t="s">
        <v>772</v>
      </c>
      <c r="AZ1083" s="853" t="str">
        <f>+VLOOKUP($AJ1083,Data_Validation!$A:$E,5,0)</f>
        <v>#N/A</v>
      </c>
    </row>
    <row r="1084" ht="15.0" customHeight="1">
      <c r="A1084" s="849" t="s">
        <v>1239</v>
      </c>
      <c r="B1084" s="849">
        <v>2026.0</v>
      </c>
      <c r="C1084" s="849" t="s">
        <v>3340</v>
      </c>
      <c r="D1084" s="849" t="s">
        <v>3341</v>
      </c>
      <c r="E1084" s="849" t="s">
        <v>768</v>
      </c>
      <c r="F1084" s="849" t="s">
        <v>2855</v>
      </c>
      <c r="G1084" s="849">
        <v>0.0</v>
      </c>
      <c r="H1084" s="849">
        <v>0.0</v>
      </c>
      <c r="I1084" s="849">
        <v>0.0</v>
      </c>
      <c r="J1084" s="849">
        <v>0.0</v>
      </c>
      <c r="K1084" s="849">
        <v>0.0</v>
      </c>
      <c r="L1084" s="849">
        <v>0.0</v>
      </c>
      <c r="M1084" s="849">
        <v>0.0</v>
      </c>
      <c r="N1084" s="849">
        <v>0.0</v>
      </c>
      <c r="O1084" s="849">
        <v>0.0</v>
      </c>
      <c r="P1084" s="849">
        <v>0.0</v>
      </c>
      <c r="Q1084" s="849">
        <v>0.0</v>
      </c>
      <c r="R1084" s="849">
        <v>0.0</v>
      </c>
      <c r="S1084" s="849">
        <v>0.0</v>
      </c>
      <c r="T1084" s="849">
        <v>0.0</v>
      </c>
      <c r="U1084" s="849">
        <v>0.0</v>
      </c>
      <c r="V1084" s="849">
        <v>0.0</v>
      </c>
      <c r="W1084" s="849">
        <v>0.0</v>
      </c>
      <c r="X1084" s="849">
        <v>0.0</v>
      </c>
      <c r="Y1084" s="849">
        <v>0.0</v>
      </c>
      <c r="Z1084" s="849">
        <v>0.0</v>
      </c>
      <c r="AA1084" s="849">
        <v>0.0</v>
      </c>
      <c r="AB1084" s="849">
        <v>0.0</v>
      </c>
      <c r="AC1084" s="849">
        <v>0.0</v>
      </c>
      <c r="AD1084" s="849">
        <v>0.0</v>
      </c>
      <c r="AE1084" s="849">
        <v>0.0</v>
      </c>
      <c r="AF1084" s="849">
        <v>0.0</v>
      </c>
      <c r="AG1084" s="849">
        <v>0.0</v>
      </c>
      <c r="AH1084" s="849">
        <v>0.0</v>
      </c>
      <c r="AI1084" s="849">
        <v>0.0</v>
      </c>
      <c r="AJ1084" s="794" t="str">
        <f t="shared" ref="AJ1084:AK1084" si="2165">C1084</f>
        <v>G811C</v>
      </c>
      <c r="AK1084" s="794" t="str">
        <f t="shared" si="2165"/>
        <v>COUT-ACCESSOIRES USAGE</v>
      </c>
      <c r="AL1084" s="794">
        <f t="array" ref="AL1084">IFERROR(INDEX(G1084:R1084,1,MATCH(Parametres!$B$3,G$1:R$1,0)-1)*IF(OR(F1084="L",F1084="S",F1084="I"),-1,1),"")</f>
        <v>0</v>
      </c>
      <c r="AM1084" s="794">
        <f t="shared" si="4"/>
        <v>0</v>
      </c>
      <c r="AN1084" s="794">
        <f t="array" ref="AN1084">INDEX(G1084:R1084,1,MATCH(Parametres!$B$3,G$1:R$1,0))*IF(OR(F1084="L",F1084="S",F1084="I"),-1,1)</f>
        <v>0</v>
      </c>
      <c r="AO1084" s="853" t="str">
        <f>+VLOOKUP($AJ1084,Data_Validation!$A:$D,1,0)</f>
        <v>#N/A</v>
      </c>
      <c r="AP1084" s="853" t="str">
        <f>+VLOOKUP($AJ1084,Data_Validation!$A:$D,3,0)</f>
        <v>#N/A</v>
      </c>
      <c r="AQ1084" s="853" t="str">
        <f>+VLOOKUP($AJ1084,Data_Validation!$A:$D,4,0)</f>
        <v>#N/A</v>
      </c>
      <c r="AR1084" s="853" t="s">
        <v>728</v>
      </c>
      <c r="AS1084" s="853" t="str">
        <f>+VLOOKUP($AJ1084,Data_Validation!$A:$E,5,0)</f>
        <v>#N/A</v>
      </c>
      <c r="AT1084" s="794" t="str">
        <f t="shared" ref="AT1084:AU1084" si="2166">C1084</f>
        <v>G811C</v>
      </c>
      <c r="AU1084" s="854" t="str">
        <f t="shared" si="2166"/>
        <v>COUT-ACCESSOIRES USAGE</v>
      </c>
      <c r="AV1084" s="794">
        <f t="array" ref="AV1084">IFERROR(INDEX(V1084:AG1084,1,MATCH(Parametres!$B$3,V$1:AG$1,0)-1)*IF(OR(C1084="L",C1084="S",C1084="I"),-1,1),"")</f>
        <v>0</v>
      </c>
      <c r="AW1084" s="794">
        <f t="shared" si="6"/>
        <v>0</v>
      </c>
      <c r="AX1084" s="794">
        <f t="array" ref="AX1084">INDEX(V1084:AG1084,1,MATCH(Parametres!$B$3,V$1:AG$1,0))*IF(OR(C1084="L",C1084="S",C1084="I"),-1,1)</f>
        <v>0</v>
      </c>
      <c r="AY1084" s="853" t="s">
        <v>772</v>
      </c>
      <c r="AZ1084" s="853" t="str">
        <f>+VLOOKUP($AJ1084,Data_Validation!$A:$E,5,0)</f>
        <v>#N/A</v>
      </c>
    </row>
    <row r="1085" ht="15.0" customHeight="1">
      <c r="A1085" s="849" t="s">
        <v>1239</v>
      </c>
      <c r="B1085" s="849">
        <v>2026.0</v>
      </c>
      <c r="C1085" s="849" t="s">
        <v>3342</v>
      </c>
      <c r="D1085" s="849" t="s">
        <v>3343</v>
      </c>
      <c r="E1085" s="849" t="s">
        <v>768</v>
      </c>
      <c r="F1085" s="849" t="s">
        <v>2814</v>
      </c>
      <c r="G1085" s="849">
        <v>0.0</v>
      </c>
      <c r="H1085" s="849">
        <v>0.0</v>
      </c>
      <c r="I1085" s="849">
        <v>0.0</v>
      </c>
      <c r="J1085" s="849">
        <v>0.0</v>
      </c>
      <c r="K1085" s="849">
        <v>0.0</v>
      </c>
      <c r="L1085" s="849">
        <v>0.0</v>
      </c>
      <c r="M1085" s="849">
        <v>0.0</v>
      </c>
      <c r="N1085" s="849">
        <v>0.0</v>
      </c>
      <c r="O1085" s="849">
        <v>0.0</v>
      </c>
      <c r="P1085" s="849">
        <v>0.0</v>
      </c>
      <c r="Q1085" s="849">
        <v>0.0</v>
      </c>
      <c r="R1085" s="849">
        <v>0.0</v>
      </c>
      <c r="S1085" s="849">
        <v>0.0</v>
      </c>
      <c r="T1085" s="849">
        <v>0.0</v>
      </c>
      <c r="U1085" s="849">
        <v>0.0</v>
      </c>
      <c r="V1085" s="849">
        <v>0.0</v>
      </c>
      <c r="W1085" s="849">
        <v>0.0</v>
      </c>
      <c r="X1085" s="849">
        <v>0.0</v>
      </c>
      <c r="Y1085" s="849">
        <v>0.0</v>
      </c>
      <c r="Z1085" s="849">
        <v>0.0</v>
      </c>
      <c r="AA1085" s="849">
        <v>0.0</v>
      </c>
      <c r="AB1085" s="849">
        <v>0.0</v>
      </c>
      <c r="AC1085" s="849">
        <v>0.0</v>
      </c>
      <c r="AD1085" s="849">
        <v>0.0</v>
      </c>
      <c r="AE1085" s="849">
        <v>0.0</v>
      </c>
      <c r="AF1085" s="849">
        <v>0.0</v>
      </c>
      <c r="AG1085" s="849">
        <v>0.0</v>
      </c>
      <c r="AH1085" s="849">
        <v>0.0</v>
      </c>
      <c r="AI1085" s="849">
        <v>0.0</v>
      </c>
      <c r="AJ1085" s="794" t="str">
        <f t="shared" ref="AJ1085:AK1085" si="2167">C1085</f>
        <v>G82200</v>
      </c>
      <c r="AK1085" s="794" t="str">
        <f t="shared" si="2167"/>
        <v>AUTRES REVENUS VEH. NEUFS</v>
      </c>
      <c r="AL1085" s="794">
        <f t="array" ref="AL1085">IFERROR(INDEX(G1085:R1085,1,MATCH(Parametres!$B$3,G$1:R$1,0)-1)*IF(OR(F1085="L",F1085="S",F1085="I"),-1,1),"")</f>
        <v>0</v>
      </c>
      <c r="AM1085" s="794">
        <f t="shared" si="4"/>
        <v>0</v>
      </c>
      <c r="AN1085" s="794">
        <f t="array" ref="AN1085">INDEX(G1085:R1085,1,MATCH(Parametres!$B$3,G$1:R$1,0))*IF(OR(F1085="L",F1085="S",F1085="I"),-1,1)</f>
        <v>0</v>
      </c>
      <c r="AO1085" s="853" t="str">
        <f>+VLOOKUP($AJ1085,Data_Validation!$A:$D,1,0)</f>
        <v>#N/A</v>
      </c>
      <c r="AP1085" s="853" t="str">
        <f>+VLOOKUP($AJ1085,Data_Validation!$A:$D,3,0)</f>
        <v>#N/A</v>
      </c>
      <c r="AQ1085" s="853" t="str">
        <f>+VLOOKUP($AJ1085,Data_Validation!$A:$D,4,0)</f>
        <v>#N/A</v>
      </c>
      <c r="AR1085" s="853" t="s">
        <v>728</v>
      </c>
      <c r="AS1085" s="853" t="str">
        <f>+VLOOKUP($AJ1085,Data_Validation!$A:$E,5,0)</f>
        <v>#N/A</v>
      </c>
      <c r="AT1085" s="794" t="str">
        <f t="shared" ref="AT1085:AU1085" si="2168">C1085</f>
        <v>G82200</v>
      </c>
      <c r="AU1085" s="854" t="str">
        <f t="shared" si="2168"/>
        <v>AUTRES REVENUS VEH. NEUFS</v>
      </c>
      <c r="AV1085" s="794">
        <f t="array" ref="AV1085">IFERROR(INDEX(V1085:AG1085,1,MATCH(Parametres!$B$3,V$1:AG$1,0)-1)*IF(OR(C1085="L",C1085="S",C1085="I"),-1,1),"")</f>
        <v>0</v>
      </c>
      <c r="AW1085" s="794">
        <f t="shared" si="6"/>
        <v>0</v>
      </c>
      <c r="AX1085" s="794">
        <f t="array" ref="AX1085">INDEX(V1085:AG1085,1,MATCH(Parametres!$B$3,V$1:AG$1,0))*IF(OR(C1085="L",C1085="S",C1085="I"),-1,1)</f>
        <v>0</v>
      </c>
      <c r="AY1085" s="853" t="s">
        <v>772</v>
      </c>
      <c r="AZ1085" s="853" t="str">
        <f>+VLOOKUP($AJ1085,Data_Validation!$A:$E,5,0)</f>
        <v>#N/A</v>
      </c>
    </row>
    <row r="1086" ht="15.0" customHeight="1">
      <c r="A1086" s="849" t="s">
        <v>1239</v>
      </c>
      <c r="B1086" s="849">
        <v>2026.0</v>
      </c>
      <c r="C1086" s="849" t="s">
        <v>3344</v>
      </c>
      <c r="D1086" s="849" t="s">
        <v>3345</v>
      </c>
      <c r="E1086" s="849" t="s">
        <v>768</v>
      </c>
      <c r="F1086" s="849" t="s">
        <v>2814</v>
      </c>
      <c r="G1086" s="849">
        <v>0.0</v>
      </c>
      <c r="H1086" s="849">
        <v>0.0</v>
      </c>
      <c r="I1086" s="849">
        <v>0.0</v>
      </c>
      <c r="J1086" s="849">
        <v>0.0</v>
      </c>
      <c r="K1086" s="849">
        <v>0.0</v>
      </c>
      <c r="L1086" s="849">
        <v>0.0</v>
      </c>
      <c r="M1086" s="849">
        <v>0.0</v>
      </c>
      <c r="N1086" s="849">
        <v>0.0</v>
      </c>
      <c r="O1086" s="849">
        <v>0.0</v>
      </c>
      <c r="P1086" s="849">
        <v>0.0</v>
      </c>
      <c r="Q1086" s="849">
        <v>0.0</v>
      </c>
      <c r="R1086" s="849">
        <v>0.0</v>
      </c>
      <c r="S1086" s="849">
        <v>0.0</v>
      </c>
      <c r="T1086" s="849">
        <v>0.0</v>
      </c>
      <c r="U1086" s="849">
        <v>0.0</v>
      </c>
      <c r="V1086" s="849">
        <v>0.0</v>
      </c>
      <c r="W1086" s="849">
        <v>0.0</v>
      </c>
      <c r="X1086" s="849">
        <v>0.0</v>
      </c>
      <c r="Y1086" s="849">
        <v>0.0</v>
      </c>
      <c r="Z1086" s="849">
        <v>0.0</v>
      </c>
      <c r="AA1086" s="849">
        <v>0.0</v>
      </c>
      <c r="AB1086" s="849">
        <v>0.0</v>
      </c>
      <c r="AC1086" s="849">
        <v>0.0</v>
      </c>
      <c r="AD1086" s="849">
        <v>0.0</v>
      </c>
      <c r="AE1086" s="849">
        <v>0.0</v>
      </c>
      <c r="AF1086" s="849">
        <v>0.0</v>
      </c>
      <c r="AG1086" s="849">
        <v>0.0</v>
      </c>
      <c r="AH1086" s="849">
        <v>0.0</v>
      </c>
      <c r="AI1086" s="849">
        <v>0.0</v>
      </c>
      <c r="AJ1086" s="794" t="str">
        <f t="shared" ref="AJ1086:AK1086" si="2169">C1086</f>
        <v>G82300</v>
      </c>
      <c r="AK1086" s="794" t="str">
        <f t="shared" si="2169"/>
        <v>AUTRES REVENUS VEH.USAGÉS</v>
      </c>
      <c r="AL1086" s="794">
        <f t="array" ref="AL1086">IFERROR(INDEX(G1086:R1086,1,MATCH(Parametres!$B$3,G$1:R$1,0)-1)*IF(OR(F1086="L",F1086="S",F1086="I"),-1,1),"")</f>
        <v>0</v>
      </c>
      <c r="AM1086" s="794">
        <f t="shared" si="4"/>
        <v>0</v>
      </c>
      <c r="AN1086" s="794">
        <f t="array" ref="AN1086">INDEX(G1086:R1086,1,MATCH(Parametres!$B$3,G$1:R$1,0))*IF(OR(F1086="L",F1086="S",F1086="I"),-1,1)</f>
        <v>0</v>
      </c>
      <c r="AO1086" s="853" t="str">
        <f>+VLOOKUP($AJ1086,Data_Validation!$A:$D,1,0)</f>
        <v>#N/A</v>
      </c>
      <c r="AP1086" s="853" t="str">
        <f>+VLOOKUP($AJ1086,Data_Validation!$A:$D,3,0)</f>
        <v>#N/A</v>
      </c>
      <c r="AQ1086" s="853" t="str">
        <f>+VLOOKUP($AJ1086,Data_Validation!$A:$D,4,0)</f>
        <v>#N/A</v>
      </c>
      <c r="AR1086" s="853" t="s">
        <v>728</v>
      </c>
      <c r="AS1086" s="853" t="str">
        <f>+VLOOKUP($AJ1086,Data_Validation!$A:$E,5,0)</f>
        <v>#N/A</v>
      </c>
      <c r="AT1086" s="794" t="str">
        <f t="shared" ref="AT1086:AU1086" si="2170">C1086</f>
        <v>G82300</v>
      </c>
      <c r="AU1086" s="854" t="str">
        <f t="shared" si="2170"/>
        <v>AUTRES REVENUS VEH.USAGÉS</v>
      </c>
      <c r="AV1086" s="794">
        <f t="array" ref="AV1086">IFERROR(INDEX(V1086:AG1086,1,MATCH(Parametres!$B$3,V$1:AG$1,0)-1)*IF(OR(C1086="L",C1086="S",C1086="I"),-1,1),"")</f>
        <v>0</v>
      </c>
      <c r="AW1086" s="794">
        <f t="shared" si="6"/>
        <v>0</v>
      </c>
      <c r="AX1086" s="794">
        <f t="array" ref="AX1086">INDEX(V1086:AG1086,1,MATCH(Parametres!$B$3,V$1:AG$1,0))*IF(OR(C1086="L",C1086="S",C1086="I"),-1,1)</f>
        <v>0</v>
      </c>
      <c r="AY1086" s="853" t="s">
        <v>772</v>
      </c>
      <c r="AZ1086" s="853" t="str">
        <f>+VLOOKUP($AJ1086,Data_Validation!$A:$E,5,0)</f>
        <v>#N/A</v>
      </c>
    </row>
    <row r="1087" ht="15.0" customHeight="1">
      <c r="A1087" s="849" t="s">
        <v>1239</v>
      </c>
      <c r="B1087" s="849">
        <v>2026.0</v>
      </c>
      <c r="C1087" s="849" t="s">
        <v>3346</v>
      </c>
      <c r="D1087" s="849" t="s">
        <v>3347</v>
      </c>
      <c r="E1087" s="849" t="s">
        <v>768</v>
      </c>
      <c r="F1087" s="849" t="s">
        <v>1200</v>
      </c>
      <c r="G1087" s="849">
        <v>0.0</v>
      </c>
      <c r="H1087" s="849">
        <v>0.0</v>
      </c>
      <c r="I1087" s="849">
        <v>0.0</v>
      </c>
      <c r="J1087" s="849">
        <v>0.0</v>
      </c>
      <c r="K1087" s="849">
        <v>0.0</v>
      </c>
      <c r="L1087" s="849">
        <v>0.0</v>
      </c>
      <c r="M1087" s="849">
        <v>0.0</v>
      </c>
      <c r="N1087" s="849">
        <v>0.0</v>
      </c>
      <c r="O1087" s="849">
        <v>0.0</v>
      </c>
      <c r="P1087" s="849">
        <v>0.0</v>
      </c>
      <c r="Q1087" s="849">
        <v>0.0</v>
      </c>
      <c r="R1087" s="849">
        <v>0.0</v>
      </c>
      <c r="S1087" s="849">
        <v>0.0</v>
      </c>
      <c r="T1087" s="849">
        <v>0.0</v>
      </c>
      <c r="U1087" s="849">
        <v>0.0</v>
      </c>
      <c r="V1087" s="849">
        <v>0.0</v>
      </c>
      <c r="W1087" s="849">
        <v>0.0</v>
      </c>
      <c r="X1087" s="849">
        <v>0.0</v>
      </c>
      <c r="Y1087" s="849">
        <v>0.0</v>
      </c>
      <c r="Z1087" s="849">
        <v>0.0</v>
      </c>
      <c r="AA1087" s="849">
        <v>0.0</v>
      </c>
      <c r="AB1087" s="849">
        <v>0.0</v>
      </c>
      <c r="AC1087" s="849">
        <v>0.0</v>
      </c>
      <c r="AD1087" s="849">
        <v>0.0</v>
      </c>
      <c r="AE1087" s="849">
        <v>0.0</v>
      </c>
      <c r="AF1087" s="849">
        <v>0.0</v>
      </c>
      <c r="AG1087" s="849">
        <v>0.0</v>
      </c>
      <c r="AH1087" s="849">
        <v>0.0</v>
      </c>
      <c r="AI1087" s="849">
        <v>0.0</v>
      </c>
      <c r="AJ1087" s="794" t="str">
        <f t="shared" ref="AJ1087:AK1087" si="2171">C1087</f>
        <v>G850</v>
      </c>
      <c r="AK1087" s="794" t="str">
        <f t="shared" si="2171"/>
        <v>RETROFACTURATION F&amp;A NEUF</v>
      </c>
      <c r="AL1087" s="794">
        <f t="array" ref="AL1087">IFERROR(INDEX(G1087:R1087,1,MATCH(Parametres!$B$3,G$1:R$1,0)-1)*IF(OR(F1087="L",F1087="S",F1087="I"),-1,1),"")</f>
        <v>0</v>
      </c>
      <c r="AM1087" s="794">
        <f t="shared" si="4"/>
        <v>0</v>
      </c>
      <c r="AN1087" s="794">
        <f t="array" ref="AN1087">INDEX(G1087:R1087,1,MATCH(Parametres!$B$3,G$1:R$1,0))*IF(OR(F1087="L",F1087="S",F1087="I"),-1,1)</f>
        <v>0</v>
      </c>
      <c r="AO1087" s="853" t="str">
        <f>+VLOOKUP($AJ1087,Data_Validation!$A:$D,1,0)</f>
        <v>#N/A</v>
      </c>
      <c r="AP1087" s="853" t="str">
        <f>+VLOOKUP($AJ1087,Data_Validation!$A:$D,3,0)</f>
        <v>#N/A</v>
      </c>
      <c r="AQ1087" s="853" t="str">
        <f>+VLOOKUP($AJ1087,Data_Validation!$A:$D,4,0)</f>
        <v>#N/A</v>
      </c>
      <c r="AR1087" s="853" t="s">
        <v>728</v>
      </c>
      <c r="AS1087" s="853" t="str">
        <f>+VLOOKUP($AJ1087,Data_Validation!$A:$E,5,0)</f>
        <v>#N/A</v>
      </c>
      <c r="AT1087" s="794" t="str">
        <f t="shared" ref="AT1087:AU1087" si="2172">C1087</f>
        <v>G850</v>
      </c>
      <c r="AU1087" s="854" t="str">
        <f t="shared" si="2172"/>
        <v>RETROFACTURATION F&amp;A NEUF</v>
      </c>
      <c r="AV1087" s="794">
        <f t="array" ref="AV1087">IFERROR(INDEX(V1087:AG1087,1,MATCH(Parametres!$B$3,V$1:AG$1,0)-1)*IF(OR(C1087="L",C1087="S",C1087="I"),-1,1),"")</f>
        <v>0</v>
      </c>
      <c r="AW1087" s="794">
        <f t="shared" si="6"/>
        <v>0</v>
      </c>
      <c r="AX1087" s="794">
        <f t="array" ref="AX1087">INDEX(V1087:AG1087,1,MATCH(Parametres!$B$3,V$1:AG$1,0))*IF(OR(C1087="L",C1087="S",C1087="I"),-1,1)</f>
        <v>0</v>
      </c>
      <c r="AY1087" s="853" t="s">
        <v>772</v>
      </c>
      <c r="AZ1087" s="853" t="str">
        <f>+VLOOKUP($AJ1087,Data_Validation!$A:$E,5,0)</f>
        <v>#N/A</v>
      </c>
    </row>
    <row r="1088" ht="15.0" customHeight="1">
      <c r="A1088" s="849" t="s">
        <v>1239</v>
      </c>
      <c r="B1088" s="849">
        <v>2026.0</v>
      </c>
      <c r="C1088" s="849" t="s">
        <v>3348</v>
      </c>
      <c r="D1088" s="849" t="s">
        <v>3349</v>
      </c>
      <c r="E1088" s="849" t="s">
        <v>768</v>
      </c>
      <c r="F1088" s="849" t="s">
        <v>1200</v>
      </c>
      <c r="G1088" s="849">
        <v>0.0</v>
      </c>
      <c r="H1088" s="849">
        <v>0.0</v>
      </c>
      <c r="I1088" s="849">
        <v>0.0</v>
      </c>
      <c r="J1088" s="849">
        <v>0.0</v>
      </c>
      <c r="K1088" s="849">
        <v>0.0</v>
      </c>
      <c r="L1088" s="849">
        <v>0.0</v>
      </c>
      <c r="M1088" s="849">
        <v>0.0</v>
      </c>
      <c r="N1088" s="849">
        <v>0.0</v>
      </c>
      <c r="O1088" s="849">
        <v>0.0</v>
      </c>
      <c r="P1088" s="849">
        <v>0.0</v>
      </c>
      <c r="Q1088" s="849">
        <v>0.0</v>
      </c>
      <c r="R1088" s="849">
        <v>0.0</v>
      </c>
      <c r="S1088" s="849">
        <v>0.0</v>
      </c>
      <c r="T1088" s="849">
        <v>0.0</v>
      </c>
      <c r="U1088" s="849">
        <v>0.0</v>
      </c>
      <c r="V1088" s="849">
        <v>0.0</v>
      </c>
      <c r="W1088" s="849">
        <v>0.0</v>
      </c>
      <c r="X1088" s="849">
        <v>0.0</v>
      </c>
      <c r="Y1088" s="849">
        <v>0.0</v>
      </c>
      <c r="Z1088" s="849">
        <v>0.0</v>
      </c>
      <c r="AA1088" s="849">
        <v>0.0</v>
      </c>
      <c r="AB1088" s="849">
        <v>0.0</v>
      </c>
      <c r="AC1088" s="849">
        <v>0.0</v>
      </c>
      <c r="AD1088" s="849">
        <v>0.0</v>
      </c>
      <c r="AE1088" s="849">
        <v>0.0</v>
      </c>
      <c r="AF1088" s="849">
        <v>0.0</v>
      </c>
      <c r="AG1088" s="849">
        <v>0.0</v>
      </c>
      <c r="AH1088" s="849">
        <v>0.0</v>
      </c>
      <c r="AI1088" s="849">
        <v>0.0</v>
      </c>
      <c r="AJ1088" s="794" t="str">
        <f t="shared" ref="AJ1088:AK1088" si="2173">C1088</f>
        <v>G851</v>
      </c>
      <c r="AK1088" s="794" t="str">
        <f t="shared" si="2173"/>
        <v>RETROFACTURATION F&amp;A USAG</v>
      </c>
      <c r="AL1088" s="794">
        <f t="array" ref="AL1088">IFERROR(INDEX(G1088:R1088,1,MATCH(Parametres!$B$3,G$1:R$1,0)-1)*IF(OR(F1088="L",F1088="S",F1088="I"),-1,1),"")</f>
        <v>0</v>
      </c>
      <c r="AM1088" s="794">
        <f t="shared" si="4"/>
        <v>0</v>
      </c>
      <c r="AN1088" s="794">
        <f t="array" ref="AN1088">INDEX(G1088:R1088,1,MATCH(Parametres!$B$3,G$1:R$1,0))*IF(OR(F1088="L",F1088="S",F1088="I"),-1,1)</f>
        <v>0</v>
      </c>
      <c r="AO1088" s="853" t="str">
        <f>+VLOOKUP($AJ1088,Data_Validation!$A:$D,1,0)</f>
        <v>#N/A</v>
      </c>
      <c r="AP1088" s="853" t="str">
        <f>+VLOOKUP($AJ1088,Data_Validation!$A:$D,3,0)</f>
        <v>#N/A</v>
      </c>
      <c r="AQ1088" s="853" t="str">
        <f>+VLOOKUP($AJ1088,Data_Validation!$A:$D,4,0)</f>
        <v>#N/A</v>
      </c>
      <c r="AR1088" s="853" t="s">
        <v>728</v>
      </c>
      <c r="AS1088" s="853" t="str">
        <f>+VLOOKUP($AJ1088,Data_Validation!$A:$E,5,0)</f>
        <v>#N/A</v>
      </c>
      <c r="AT1088" s="794" t="str">
        <f t="shared" ref="AT1088:AU1088" si="2174">C1088</f>
        <v>G851</v>
      </c>
      <c r="AU1088" s="854" t="str">
        <f t="shared" si="2174"/>
        <v>RETROFACTURATION F&amp;A USAG</v>
      </c>
      <c r="AV1088" s="794">
        <f t="array" ref="AV1088">IFERROR(INDEX(V1088:AG1088,1,MATCH(Parametres!$B$3,V$1:AG$1,0)-1)*IF(OR(C1088="L",C1088="S",C1088="I"),-1,1),"")</f>
        <v>0</v>
      </c>
      <c r="AW1088" s="794">
        <f t="shared" si="6"/>
        <v>0</v>
      </c>
      <c r="AX1088" s="794">
        <f t="array" ref="AX1088">INDEX(V1088:AG1088,1,MATCH(Parametres!$B$3,V$1:AG$1,0))*IF(OR(C1088="L",C1088="S",C1088="I"),-1,1)</f>
        <v>0</v>
      </c>
      <c r="AY1088" s="853" t="s">
        <v>772</v>
      </c>
      <c r="AZ1088" s="853" t="str">
        <f>+VLOOKUP($AJ1088,Data_Validation!$A:$E,5,0)</f>
        <v>#N/A</v>
      </c>
    </row>
    <row r="1089" ht="15.0" customHeight="1">
      <c r="A1089" s="849" t="s">
        <v>1239</v>
      </c>
      <c r="B1089" s="849">
        <v>2026.0</v>
      </c>
      <c r="C1089" s="849" t="s">
        <v>3350</v>
      </c>
      <c r="D1089" s="849" t="s">
        <v>3351</v>
      </c>
      <c r="E1089" s="849" t="s">
        <v>768</v>
      </c>
      <c r="F1089" s="849" t="s">
        <v>1200</v>
      </c>
      <c r="G1089" s="849">
        <v>0.0</v>
      </c>
      <c r="H1089" s="849">
        <v>0.0</v>
      </c>
      <c r="I1089" s="849">
        <v>0.0</v>
      </c>
      <c r="J1089" s="849">
        <v>0.0</v>
      </c>
      <c r="K1089" s="849">
        <v>0.0</v>
      </c>
      <c r="L1089" s="849">
        <v>0.0</v>
      </c>
      <c r="M1089" s="849">
        <v>0.0</v>
      </c>
      <c r="N1089" s="849">
        <v>0.0</v>
      </c>
      <c r="O1089" s="849">
        <v>0.0</v>
      </c>
      <c r="P1089" s="849">
        <v>0.0</v>
      </c>
      <c r="Q1089" s="849">
        <v>0.0</v>
      </c>
      <c r="R1089" s="849">
        <v>0.0</v>
      </c>
      <c r="S1089" s="849">
        <v>0.0</v>
      </c>
      <c r="T1089" s="849">
        <v>0.0</v>
      </c>
      <c r="U1089" s="849">
        <v>0.0</v>
      </c>
      <c r="V1089" s="849">
        <v>0.0</v>
      </c>
      <c r="W1089" s="849">
        <v>0.0</v>
      </c>
      <c r="X1089" s="849">
        <v>0.0</v>
      </c>
      <c r="Y1089" s="849">
        <v>0.0</v>
      </c>
      <c r="Z1089" s="849">
        <v>0.0</v>
      </c>
      <c r="AA1089" s="849">
        <v>0.0</v>
      </c>
      <c r="AB1089" s="849">
        <v>0.0</v>
      </c>
      <c r="AC1089" s="849">
        <v>0.0</v>
      </c>
      <c r="AD1089" s="849">
        <v>0.0</v>
      </c>
      <c r="AE1089" s="849">
        <v>0.0</v>
      </c>
      <c r="AF1089" s="849">
        <v>0.0</v>
      </c>
      <c r="AG1089" s="849">
        <v>0.0</v>
      </c>
      <c r="AH1089" s="849">
        <v>0.0</v>
      </c>
      <c r="AI1089" s="849">
        <v>0.0</v>
      </c>
      <c r="AJ1089" s="794" t="str">
        <f t="shared" ref="AJ1089:AK1089" si="2175">C1089</f>
        <v>G853</v>
      </c>
      <c r="AK1089" s="794" t="str">
        <f t="shared" si="2175"/>
        <v>PERTE REPOSSESSION NEUF</v>
      </c>
      <c r="AL1089" s="794">
        <f t="array" ref="AL1089">IFERROR(INDEX(G1089:R1089,1,MATCH(Parametres!$B$3,G$1:R$1,0)-1)*IF(OR(F1089="L",F1089="S",F1089="I"),-1,1),"")</f>
        <v>0</v>
      </c>
      <c r="AM1089" s="794">
        <f t="shared" si="4"/>
        <v>0</v>
      </c>
      <c r="AN1089" s="794">
        <f t="array" ref="AN1089">INDEX(G1089:R1089,1,MATCH(Parametres!$B$3,G$1:R$1,0))*IF(OR(F1089="L",F1089="S",F1089="I"),-1,1)</f>
        <v>0</v>
      </c>
      <c r="AO1089" s="853" t="str">
        <f>+VLOOKUP($AJ1089,Data_Validation!$A:$D,1,0)</f>
        <v>#N/A</v>
      </c>
      <c r="AP1089" s="853" t="str">
        <f>+VLOOKUP($AJ1089,Data_Validation!$A:$D,3,0)</f>
        <v>#N/A</v>
      </c>
      <c r="AQ1089" s="853" t="str">
        <f>+VLOOKUP($AJ1089,Data_Validation!$A:$D,4,0)</f>
        <v>#N/A</v>
      </c>
      <c r="AR1089" s="853" t="s">
        <v>728</v>
      </c>
      <c r="AS1089" s="853" t="str">
        <f>+VLOOKUP($AJ1089,Data_Validation!$A:$E,5,0)</f>
        <v>#N/A</v>
      </c>
      <c r="AT1089" s="794" t="str">
        <f t="shared" ref="AT1089:AU1089" si="2176">C1089</f>
        <v>G853</v>
      </c>
      <c r="AU1089" s="854" t="str">
        <f t="shared" si="2176"/>
        <v>PERTE REPOSSESSION NEUF</v>
      </c>
      <c r="AV1089" s="794">
        <f t="array" ref="AV1089">IFERROR(INDEX(V1089:AG1089,1,MATCH(Parametres!$B$3,V$1:AG$1,0)-1)*IF(OR(C1089="L",C1089="S",C1089="I"),-1,1),"")</f>
        <v>0</v>
      </c>
      <c r="AW1089" s="794">
        <f t="shared" si="6"/>
        <v>0</v>
      </c>
      <c r="AX1089" s="794">
        <f t="array" ref="AX1089">INDEX(V1089:AG1089,1,MATCH(Parametres!$B$3,V$1:AG$1,0))*IF(OR(C1089="L",C1089="S",C1089="I"),-1,1)</f>
        <v>0</v>
      </c>
      <c r="AY1089" s="853" t="s">
        <v>772</v>
      </c>
      <c r="AZ1089" s="853" t="str">
        <f>+VLOOKUP($AJ1089,Data_Validation!$A:$E,5,0)</f>
        <v>#N/A</v>
      </c>
    </row>
    <row r="1090" ht="15.0" customHeight="1">
      <c r="A1090" s="849" t="s">
        <v>1239</v>
      </c>
      <c r="B1090" s="849">
        <v>2026.0</v>
      </c>
      <c r="C1090" s="849" t="s">
        <v>3352</v>
      </c>
      <c r="D1090" s="849" t="s">
        <v>3351</v>
      </c>
      <c r="E1090" s="849" t="s">
        <v>768</v>
      </c>
      <c r="F1090" s="849" t="s">
        <v>1200</v>
      </c>
      <c r="G1090" s="849">
        <v>0.0</v>
      </c>
      <c r="H1090" s="849">
        <v>0.0</v>
      </c>
      <c r="I1090" s="849">
        <v>0.0</v>
      </c>
      <c r="J1090" s="849">
        <v>0.0</v>
      </c>
      <c r="K1090" s="849">
        <v>0.0</v>
      </c>
      <c r="L1090" s="849">
        <v>0.0</v>
      </c>
      <c r="M1090" s="849">
        <v>0.0</v>
      </c>
      <c r="N1090" s="849">
        <v>0.0</v>
      </c>
      <c r="O1090" s="849">
        <v>0.0</v>
      </c>
      <c r="P1090" s="849">
        <v>0.0</v>
      </c>
      <c r="Q1090" s="849">
        <v>0.0</v>
      </c>
      <c r="R1090" s="849">
        <v>0.0</v>
      </c>
      <c r="S1090" s="849">
        <v>0.0</v>
      </c>
      <c r="T1090" s="849">
        <v>0.0</v>
      </c>
      <c r="U1090" s="849">
        <v>0.0</v>
      </c>
      <c r="V1090" s="849">
        <v>0.0</v>
      </c>
      <c r="W1090" s="849">
        <v>0.0</v>
      </c>
      <c r="X1090" s="849">
        <v>0.0</v>
      </c>
      <c r="Y1090" s="849">
        <v>0.0</v>
      </c>
      <c r="Z1090" s="849">
        <v>0.0</v>
      </c>
      <c r="AA1090" s="849">
        <v>0.0</v>
      </c>
      <c r="AB1090" s="849">
        <v>0.0</v>
      </c>
      <c r="AC1090" s="849">
        <v>0.0</v>
      </c>
      <c r="AD1090" s="849">
        <v>0.0</v>
      </c>
      <c r="AE1090" s="849">
        <v>0.0</v>
      </c>
      <c r="AF1090" s="849">
        <v>0.0</v>
      </c>
      <c r="AG1090" s="849">
        <v>0.0</v>
      </c>
      <c r="AH1090" s="849">
        <v>0.0</v>
      </c>
      <c r="AI1090" s="849">
        <v>0.0</v>
      </c>
      <c r="AJ1090" s="794" t="str">
        <f t="shared" ref="AJ1090:AK1090" si="2177">C1090</f>
        <v>G85300</v>
      </c>
      <c r="AK1090" s="794" t="str">
        <f t="shared" si="2177"/>
        <v>PERTE REPOSSESSION NEUF</v>
      </c>
      <c r="AL1090" s="794">
        <f t="array" ref="AL1090">IFERROR(INDEX(G1090:R1090,1,MATCH(Parametres!$B$3,G$1:R$1,0)-1)*IF(OR(F1090="L",F1090="S",F1090="I"),-1,1),"")</f>
        <v>0</v>
      </c>
      <c r="AM1090" s="794">
        <f t="shared" si="4"/>
        <v>0</v>
      </c>
      <c r="AN1090" s="794">
        <f t="array" ref="AN1090">INDEX(G1090:R1090,1,MATCH(Parametres!$B$3,G$1:R$1,0))*IF(OR(F1090="L",F1090="S",F1090="I"),-1,1)</f>
        <v>0</v>
      </c>
      <c r="AO1090" s="853" t="str">
        <f>+VLOOKUP($AJ1090,Data_Validation!$A:$D,1,0)</f>
        <v>G85300</v>
      </c>
      <c r="AP1090" s="853" t="str">
        <f>+VLOOKUP($AJ1090,Data_Validation!$A:$D,3,0)</f>
        <v/>
      </c>
      <c r="AQ1090" s="853" t="str">
        <f>+VLOOKUP($AJ1090,Data_Validation!$A:$D,4,0)</f>
        <v/>
      </c>
      <c r="AR1090" s="853" t="s">
        <v>728</v>
      </c>
      <c r="AS1090" s="853" t="str">
        <f>+VLOOKUP($AJ1090,Data_Validation!$A:$E,5,0)</f>
        <v/>
      </c>
      <c r="AT1090" s="794" t="str">
        <f t="shared" ref="AT1090:AU1090" si="2178">C1090</f>
        <v>G85300</v>
      </c>
      <c r="AU1090" s="854" t="str">
        <f t="shared" si="2178"/>
        <v>PERTE REPOSSESSION NEUF</v>
      </c>
      <c r="AV1090" s="794">
        <f t="array" ref="AV1090">IFERROR(INDEX(V1090:AG1090,1,MATCH(Parametres!$B$3,V$1:AG$1,0)-1)*IF(OR(C1090="L",C1090="S",C1090="I"),-1,1),"")</f>
        <v>0</v>
      </c>
      <c r="AW1090" s="794">
        <f t="shared" si="6"/>
        <v>0</v>
      </c>
      <c r="AX1090" s="794">
        <f t="array" ref="AX1090">INDEX(V1090:AG1090,1,MATCH(Parametres!$B$3,V$1:AG$1,0))*IF(OR(C1090="L",C1090="S",C1090="I"),-1,1)</f>
        <v>0</v>
      </c>
      <c r="AY1090" s="853" t="s">
        <v>772</v>
      </c>
      <c r="AZ1090" s="853" t="str">
        <f>+VLOOKUP($AJ1090,Data_Validation!$A:$E,5,0)</f>
        <v/>
      </c>
    </row>
    <row r="1091" ht="15.0" customHeight="1">
      <c r="A1091" s="849" t="s">
        <v>1239</v>
      </c>
      <c r="B1091" s="849">
        <v>2026.0</v>
      </c>
      <c r="C1091" s="849" t="s">
        <v>3353</v>
      </c>
      <c r="D1091" s="849" t="s">
        <v>3354</v>
      </c>
      <c r="E1091" s="849" t="s">
        <v>768</v>
      </c>
      <c r="F1091" s="849" t="s">
        <v>1200</v>
      </c>
      <c r="G1091" s="849">
        <v>0.0</v>
      </c>
      <c r="H1091" s="849">
        <v>0.0</v>
      </c>
      <c r="I1091" s="849">
        <v>0.0</v>
      </c>
      <c r="J1091" s="849">
        <v>0.0</v>
      </c>
      <c r="K1091" s="849">
        <v>0.0</v>
      </c>
      <c r="L1091" s="849">
        <v>0.0</v>
      </c>
      <c r="M1091" s="849">
        <v>0.0</v>
      </c>
      <c r="N1091" s="849">
        <v>0.0</v>
      </c>
      <c r="O1091" s="849">
        <v>0.0</v>
      </c>
      <c r="P1091" s="849">
        <v>0.0</v>
      </c>
      <c r="Q1091" s="849">
        <v>0.0</v>
      </c>
      <c r="R1091" s="849">
        <v>0.0</v>
      </c>
      <c r="S1091" s="849">
        <v>0.0</v>
      </c>
      <c r="T1091" s="849">
        <v>0.0</v>
      </c>
      <c r="U1091" s="849">
        <v>0.0</v>
      </c>
      <c r="V1091" s="849">
        <v>0.0</v>
      </c>
      <c r="W1091" s="849">
        <v>0.0</v>
      </c>
      <c r="X1091" s="849">
        <v>0.0</v>
      </c>
      <c r="Y1091" s="849">
        <v>0.0</v>
      </c>
      <c r="Z1091" s="849">
        <v>0.0</v>
      </c>
      <c r="AA1091" s="849">
        <v>0.0</v>
      </c>
      <c r="AB1091" s="849">
        <v>0.0</v>
      </c>
      <c r="AC1091" s="849">
        <v>0.0</v>
      </c>
      <c r="AD1091" s="849">
        <v>0.0</v>
      </c>
      <c r="AE1091" s="849">
        <v>0.0</v>
      </c>
      <c r="AF1091" s="849">
        <v>0.0</v>
      </c>
      <c r="AG1091" s="849">
        <v>0.0</v>
      </c>
      <c r="AH1091" s="849">
        <v>0.0</v>
      </c>
      <c r="AI1091" s="849">
        <v>0.0</v>
      </c>
      <c r="AJ1091" s="794" t="str">
        <f t="shared" ref="AJ1091:AK1091" si="2179">C1091</f>
        <v>G854</v>
      </c>
      <c r="AK1091" s="794" t="str">
        <f t="shared" si="2179"/>
        <v>PERTE REPOSSESSION USAG</v>
      </c>
      <c r="AL1091" s="794">
        <f t="array" ref="AL1091">IFERROR(INDEX(G1091:R1091,1,MATCH(Parametres!$B$3,G$1:R$1,0)-1)*IF(OR(F1091="L",F1091="S",F1091="I"),-1,1),"")</f>
        <v>0</v>
      </c>
      <c r="AM1091" s="794">
        <f t="shared" si="4"/>
        <v>0</v>
      </c>
      <c r="AN1091" s="794">
        <f t="array" ref="AN1091">INDEX(G1091:R1091,1,MATCH(Parametres!$B$3,G$1:R$1,0))*IF(OR(F1091="L",F1091="S",F1091="I"),-1,1)</f>
        <v>0</v>
      </c>
      <c r="AO1091" s="853" t="str">
        <f>+VLOOKUP($AJ1091,Data_Validation!$A:$D,1,0)</f>
        <v>#N/A</v>
      </c>
      <c r="AP1091" s="853" t="str">
        <f>+VLOOKUP($AJ1091,Data_Validation!$A:$D,3,0)</f>
        <v>#N/A</v>
      </c>
      <c r="AQ1091" s="853" t="str">
        <f>+VLOOKUP($AJ1091,Data_Validation!$A:$D,4,0)</f>
        <v>#N/A</v>
      </c>
      <c r="AR1091" s="853" t="s">
        <v>728</v>
      </c>
      <c r="AS1091" s="853" t="str">
        <f>+VLOOKUP($AJ1091,Data_Validation!$A:$E,5,0)</f>
        <v>#N/A</v>
      </c>
      <c r="AT1091" s="794" t="str">
        <f t="shared" ref="AT1091:AU1091" si="2180">C1091</f>
        <v>G854</v>
      </c>
      <c r="AU1091" s="854" t="str">
        <f t="shared" si="2180"/>
        <v>PERTE REPOSSESSION USAG</v>
      </c>
      <c r="AV1091" s="794">
        <f t="array" ref="AV1091">IFERROR(INDEX(V1091:AG1091,1,MATCH(Parametres!$B$3,V$1:AG$1,0)-1)*IF(OR(C1091="L",C1091="S",C1091="I"),-1,1),"")</f>
        <v>0</v>
      </c>
      <c r="AW1091" s="794">
        <f t="shared" si="6"/>
        <v>0</v>
      </c>
      <c r="AX1091" s="794">
        <f t="array" ref="AX1091">INDEX(V1091:AG1091,1,MATCH(Parametres!$B$3,V$1:AG$1,0))*IF(OR(C1091="L",C1091="S",C1091="I"),-1,1)</f>
        <v>0</v>
      </c>
      <c r="AY1091" s="853" t="s">
        <v>772</v>
      </c>
      <c r="AZ1091" s="853" t="str">
        <f>+VLOOKUP($AJ1091,Data_Validation!$A:$E,5,0)</f>
        <v>#N/A</v>
      </c>
    </row>
    <row r="1092" ht="15.0" customHeight="1">
      <c r="A1092" s="849" t="s">
        <v>1239</v>
      </c>
      <c r="B1092" s="849">
        <v>2026.0</v>
      </c>
      <c r="C1092" s="849" t="s">
        <v>3355</v>
      </c>
      <c r="D1092" s="849" t="s">
        <v>3356</v>
      </c>
      <c r="E1092" s="849" t="s">
        <v>768</v>
      </c>
      <c r="F1092" s="849" t="s">
        <v>1200</v>
      </c>
      <c r="G1092" s="849">
        <v>0.0</v>
      </c>
      <c r="H1092" s="849">
        <v>0.0</v>
      </c>
      <c r="I1092" s="849">
        <v>0.0</v>
      </c>
      <c r="J1092" s="849">
        <v>0.0</v>
      </c>
      <c r="K1092" s="849">
        <v>0.0</v>
      </c>
      <c r="L1092" s="849">
        <v>0.0</v>
      </c>
      <c r="M1092" s="849">
        <v>0.0</v>
      </c>
      <c r="N1092" s="849">
        <v>0.0</v>
      </c>
      <c r="O1092" s="849">
        <v>0.0</v>
      </c>
      <c r="P1092" s="849">
        <v>0.0</v>
      </c>
      <c r="Q1092" s="849">
        <v>0.0</v>
      </c>
      <c r="R1092" s="849">
        <v>0.0</v>
      </c>
      <c r="S1092" s="849">
        <v>0.0</v>
      </c>
      <c r="T1092" s="849">
        <v>0.0</v>
      </c>
      <c r="U1092" s="849">
        <v>0.0</v>
      </c>
      <c r="V1092" s="849">
        <v>0.0</v>
      </c>
      <c r="W1092" s="849">
        <v>0.0</v>
      </c>
      <c r="X1092" s="849">
        <v>0.0</v>
      </c>
      <c r="Y1092" s="849">
        <v>0.0</v>
      </c>
      <c r="Z1092" s="849">
        <v>0.0</v>
      </c>
      <c r="AA1092" s="849">
        <v>0.0</v>
      </c>
      <c r="AB1092" s="849">
        <v>0.0</v>
      </c>
      <c r="AC1092" s="849">
        <v>0.0</v>
      </c>
      <c r="AD1092" s="849">
        <v>0.0</v>
      </c>
      <c r="AE1092" s="849">
        <v>0.0</v>
      </c>
      <c r="AF1092" s="849">
        <v>0.0</v>
      </c>
      <c r="AG1092" s="849">
        <v>0.0</v>
      </c>
      <c r="AH1092" s="849">
        <v>0.0</v>
      </c>
      <c r="AI1092" s="849">
        <v>0.0</v>
      </c>
      <c r="AJ1092" s="794" t="str">
        <f t="shared" ref="AJ1092:AK1092" si="2181">C1092</f>
        <v>G85400</v>
      </c>
      <c r="AK1092" s="794" t="str">
        <f t="shared" si="2181"/>
        <v>PERTE REPOSSESSION USAGE</v>
      </c>
      <c r="AL1092" s="794">
        <f t="array" ref="AL1092">IFERROR(INDEX(G1092:R1092,1,MATCH(Parametres!$B$3,G$1:R$1,0)-1)*IF(OR(F1092="L",F1092="S",F1092="I"),-1,1),"")</f>
        <v>0</v>
      </c>
      <c r="AM1092" s="794">
        <f t="shared" si="4"/>
        <v>0</v>
      </c>
      <c r="AN1092" s="794">
        <f t="array" ref="AN1092">INDEX(G1092:R1092,1,MATCH(Parametres!$B$3,G$1:R$1,0))*IF(OR(F1092="L",F1092="S",F1092="I"),-1,1)</f>
        <v>0</v>
      </c>
      <c r="AO1092" s="853" t="str">
        <f>+VLOOKUP($AJ1092,Data_Validation!$A:$D,1,0)</f>
        <v>G85400</v>
      </c>
      <c r="AP1092" s="853" t="str">
        <f>+VLOOKUP($AJ1092,Data_Validation!$A:$D,3,0)</f>
        <v/>
      </c>
      <c r="AQ1092" s="853" t="str">
        <f>+VLOOKUP($AJ1092,Data_Validation!$A:$D,4,0)</f>
        <v/>
      </c>
      <c r="AR1092" s="853" t="s">
        <v>728</v>
      </c>
      <c r="AS1092" s="853" t="str">
        <f>+VLOOKUP($AJ1092,Data_Validation!$A:$E,5,0)</f>
        <v/>
      </c>
      <c r="AT1092" s="794" t="str">
        <f t="shared" ref="AT1092:AU1092" si="2182">C1092</f>
        <v>G85400</v>
      </c>
      <c r="AU1092" s="854" t="str">
        <f t="shared" si="2182"/>
        <v>PERTE REPOSSESSION USAGE</v>
      </c>
      <c r="AV1092" s="794">
        <f t="array" ref="AV1092">IFERROR(INDEX(V1092:AG1092,1,MATCH(Parametres!$B$3,V$1:AG$1,0)-1)*IF(OR(C1092="L",C1092="S",C1092="I"),-1,1),"")</f>
        <v>0</v>
      </c>
      <c r="AW1092" s="794">
        <f t="shared" si="6"/>
        <v>0</v>
      </c>
      <c r="AX1092" s="794">
        <f t="array" ref="AX1092">INDEX(V1092:AG1092,1,MATCH(Parametres!$B$3,V$1:AG$1,0))*IF(OR(C1092="L",C1092="S",C1092="I"),-1,1)</f>
        <v>0</v>
      </c>
      <c r="AY1092" s="853" t="s">
        <v>772</v>
      </c>
      <c r="AZ1092" s="853" t="str">
        <f>+VLOOKUP($AJ1092,Data_Validation!$A:$E,5,0)</f>
        <v/>
      </c>
    </row>
    <row r="1093" ht="15.0" customHeight="1">
      <c r="A1093" s="849" t="s">
        <v>1239</v>
      </c>
      <c r="B1093" s="849">
        <v>2026.0</v>
      </c>
      <c r="C1093" s="849" t="s">
        <v>3357</v>
      </c>
      <c r="D1093" s="849" t="s">
        <v>3358</v>
      </c>
      <c r="E1093" s="849" t="s">
        <v>768</v>
      </c>
      <c r="F1093" s="849" t="s">
        <v>1200</v>
      </c>
      <c r="G1093" s="849">
        <v>0.0</v>
      </c>
      <c r="H1093" s="849">
        <v>0.0</v>
      </c>
      <c r="I1093" s="849">
        <v>0.0</v>
      </c>
      <c r="J1093" s="849">
        <v>0.0</v>
      </c>
      <c r="K1093" s="849">
        <v>0.0</v>
      </c>
      <c r="L1093" s="849">
        <v>0.0</v>
      </c>
      <c r="M1093" s="849">
        <v>0.0</v>
      </c>
      <c r="N1093" s="849">
        <v>0.0</v>
      </c>
      <c r="O1093" s="849">
        <v>0.0</v>
      </c>
      <c r="P1093" s="849">
        <v>0.0</v>
      </c>
      <c r="Q1093" s="849">
        <v>0.0</v>
      </c>
      <c r="R1093" s="849">
        <v>0.0</v>
      </c>
      <c r="S1093" s="849">
        <v>0.0</v>
      </c>
      <c r="T1093" s="849">
        <v>0.0</v>
      </c>
      <c r="U1093" s="849">
        <v>0.0</v>
      </c>
      <c r="V1093" s="849">
        <v>0.0</v>
      </c>
      <c r="W1093" s="849">
        <v>0.0</v>
      </c>
      <c r="X1093" s="849">
        <v>0.0</v>
      </c>
      <c r="Y1093" s="849">
        <v>0.0</v>
      </c>
      <c r="Z1093" s="849">
        <v>0.0</v>
      </c>
      <c r="AA1093" s="849">
        <v>0.0</v>
      </c>
      <c r="AB1093" s="849">
        <v>0.0</v>
      </c>
      <c r="AC1093" s="849">
        <v>0.0</v>
      </c>
      <c r="AD1093" s="849">
        <v>0.0</v>
      </c>
      <c r="AE1093" s="849">
        <v>0.0</v>
      </c>
      <c r="AF1093" s="849">
        <v>0.0</v>
      </c>
      <c r="AG1093" s="849">
        <v>0.0</v>
      </c>
      <c r="AH1093" s="849">
        <v>0.0</v>
      </c>
      <c r="AI1093" s="849">
        <v>0.0</v>
      </c>
      <c r="AJ1093" s="794" t="str">
        <f t="shared" ref="AJ1093:AK1093" si="2183">C1093</f>
        <v>G855</v>
      </c>
      <c r="AK1093" s="794" t="str">
        <f t="shared" si="2183"/>
        <v>REMUNERATION F&amp;A NEUF</v>
      </c>
      <c r="AL1093" s="794">
        <f t="array" ref="AL1093">IFERROR(INDEX(G1093:R1093,1,MATCH(Parametres!$B$3,G$1:R$1,0)-1)*IF(OR(F1093="L",F1093="S",F1093="I"),-1,1),"")</f>
        <v>0</v>
      </c>
      <c r="AM1093" s="794">
        <f t="shared" si="4"/>
        <v>0</v>
      </c>
      <c r="AN1093" s="794">
        <f t="array" ref="AN1093">INDEX(G1093:R1093,1,MATCH(Parametres!$B$3,G$1:R$1,0))*IF(OR(F1093="L",F1093="S",F1093="I"),-1,1)</f>
        <v>0</v>
      </c>
      <c r="AO1093" s="853" t="str">
        <f>+VLOOKUP($AJ1093,Data_Validation!$A:$D,1,0)</f>
        <v>#N/A</v>
      </c>
      <c r="AP1093" s="853" t="str">
        <f>+VLOOKUP($AJ1093,Data_Validation!$A:$D,3,0)</f>
        <v>#N/A</v>
      </c>
      <c r="AQ1093" s="853" t="str">
        <f>+VLOOKUP($AJ1093,Data_Validation!$A:$D,4,0)</f>
        <v>#N/A</v>
      </c>
      <c r="AR1093" s="853" t="s">
        <v>728</v>
      </c>
      <c r="AS1093" s="853" t="str">
        <f>+VLOOKUP($AJ1093,Data_Validation!$A:$E,5,0)</f>
        <v>#N/A</v>
      </c>
      <c r="AT1093" s="794" t="str">
        <f t="shared" ref="AT1093:AU1093" si="2184">C1093</f>
        <v>G855</v>
      </c>
      <c r="AU1093" s="854" t="str">
        <f t="shared" si="2184"/>
        <v>REMUNERATION F&amp;A NEUF</v>
      </c>
      <c r="AV1093" s="794">
        <f t="array" ref="AV1093">IFERROR(INDEX(V1093:AG1093,1,MATCH(Parametres!$B$3,V$1:AG$1,0)-1)*IF(OR(C1093="L",C1093="S",C1093="I"),-1,1),"")</f>
        <v>0</v>
      </c>
      <c r="AW1093" s="794">
        <f t="shared" si="6"/>
        <v>0</v>
      </c>
      <c r="AX1093" s="794">
        <f t="array" ref="AX1093">INDEX(V1093:AG1093,1,MATCH(Parametres!$B$3,V$1:AG$1,0))*IF(OR(C1093="L",C1093="S",C1093="I"),-1,1)</f>
        <v>0</v>
      </c>
      <c r="AY1093" s="853" t="s">
        <v>772</v>
      </c>
      <c r="AZ1093" s="853" t="str">
        <f>+VLOOKUP($AJ1093,Data_Validation!$A:$E,5,0)</f>
        <v>#N/A</v>
      </c>
    </row>
    <row r="1094" ht="15.0" customHeight="1">
      <c r="A1094" s="849" t="s">
        <v>1239</v>
      </c>
      <c r="B1094" s="849">
        <v>2026.0</v>
      </c>
      <c r="C1094" s="849" t="s">
        <v>3359</v>
      </c>
      <c r="D1094" s="849" t="s">
        <v>3360</v>
      </c>
      <c r="E1094" s="849" t="s">
        <v>768</v>
      </c>
      <c r="F1094" s="849" t="s">
        <v>1200</v>
      </c>
      <c r="G1094" s="849">
        <v>12958.69</v>
      </c>
      <c r="H1094" s="849">
        <v>21768.99</v>
      </c>
      <c r="I1094" s="849">
        <v>32787.4</v>
      </c>
      <c r="J1094" s="849">
        <v>57498.72</v>
      </c>
      <c r="K1094" s="849">
        <v>68000.55</v>
      </c>
      <c r="L1094" s="849">
        <v>83684.16</v>
      </c>
      <c r="M1094" s="849">
        <v>96110.74</v>
      </c>
      <c r="N1094" s="849">
        <v>105171.33</v>
      </c>
      <c r="O1094" s="849">
        <v>119305.37</v>
      </c>
      <c r="P1094" s="849">
        <v>122239.59</v>
      </c>
      <c r="Q1094" s="849">
        <v>0.0</v>
      </c>
      <c r="R1094" s="849">
        <v>0.0</v>
      </c>
      <c r="S1094" s="849">
        <v>13256.15</v>
      </c>
      <c r="T1094" s="849">
        <v>13256.15</v>
      </c>
      <c r="U1094" s="849">
        <v>0.0</v>
      </c>
      <c r="V1094" s="849">
        <v>0.0</v>
      </c>
      <c r="W1094" s="849">
        <v>0.0</v>
      </c>
      <c r="X1094" s="849">
        <v>0.0</v>
      </c>
      <c r="Y1094" s="849">
        <v>0.0</v>
      </c>
      <c r="Z1094" s="849">
        <v>0.0</v>
      </c>
      <c r="AA1094" s="849">
        <v>0.0</v>
      </c>
      <c r="AB1094" s="849">
        <v>0.0</v>
      </c>
      <c r="AC1094" s="849">
        <v>0.0</v>
      </c>
      <c r="AD1094" s="849">
        <v>0.0</v>
      </c>
      <c r="AE1094" s="849">
        <v>0.0</v>
      </c>
      <c r="AF1094" s="849">
        <v>0.0</v>
      </c>
      <c r="AG1094" s="849">
        <v>0.0</v>
      </c>
      <c r="AH1094" s="849">
        <v>0.0</v>
      </c>
      <c r="AI1094" s="849">
        <v>0.0</v>
      </c>
      <c r="AJ1094" s="794" t="str">
        <f t="shared" ref="AJ1094:AK1094" si="2185">C1094</f>
        <v>G85500</v>
      </c>
      <c r="AK1094" s="794" t="str">
        <f t="shared" si="2185"/>
        <v>REMUNERATION F&amp;I NEUF</v>
      </c>
      <c r="AL1094" s="794">
        <f t="array" ref="AL1094">IFERROR(INDEX(G1094:R1094,1,MATCH(Parametres!$B$3,G$1:R$1,0)-1)*IF(OR(F1094="L",F1094="S",F1094="I"),-1,1),"")</f>
        <v>105171.33</v>
      </c>
      <c r="AM1094" s="794">
        <f t="shared" si="4"/>
        <v>14134.04</v>
      </c>
      <c r="AN1094" s="794">
        <f t="array" ref="AN1094">INDEX(G1094:R1094,1,MATCH(Parametres!$B$3,G$1:R$1,0))*IF(OR(F1094="L",F1094="S",F1094="I"),-1,1)</f>
        <v>119305.37</v>
      </c>
      <c r="AO1094" s="853" t="str">
        <f>+VLOOKUP($AJ1094,Data_Validation!$A:$D,1,0)</f>
        <v>G85500</v>
      </c>
      <c r="AP1094" s="853" t="str">
        <f>+VLOOKUP($AJ1094,Data_Validation!$A:$D,3,0)</f>
        <v>Véhicules neufs</v>
      </c>
      <c r="AQ1094" s="853" t="str">
        <f>+VLOOKUP($AJ1094,Data_Validation!$A:$D,4,0)</f>
        <v>Comm. F&amp;I</v>
      </c>
      <c r="AR1094" s="853" t="s">
        <v>728</v>
      </c>
      <c r="AS1094" s="853" t="str">
        <f>+VLOOKUP($AJ1094,Data_Validation!$A:$E,5,0)</f>
        <v/>
      </c>
      <c r="AT1094" s="794" t="str">
        <f t="shared" ref="AT1094:AU1094" si="2186">C1094</f>
        <v>G85500</v>
      </c>
      <c r="AU1094" s="854" t="str">
        <f t="shared" si="2186"/>
        <v>REMUNERATION F&amp;I NEUF</v>
      </c>
      <c r="AV1094" s="794">
        <f t="array" ref="AV1094">IFERROR(INDEX(V1094:AG1094,1,MATCH(Parametres!$B$3,V$1:AG$1,0)-1)*IF(OR(C1094="L",C1094="S",C1094="I"),-1,1),"")</f>
        <v>0</v>
      </c>
      <c r="AW1094" s="794">
        <f t="shared" si="6"/>
        <v>0</v>
      </c>
      <c r="AX1094" s="794">
        <f t="array" ref="AX1094">INDEX(V1094:AG1094,1,MATCH(Parametres!$B$3,V$1:AG$1,0))*IF(OR(C1094="L",C1094="S",C1094="I"),-1,1)</f>
        <v>0</v>
      </c>
      <c r="AY1094" s="853" t="s">
        <v>772</v>
      </c>
      <c r="AZ1094" s="853" t="str">
        <f>+VLOOKUP($AJ1094,Data_Validation!$A:$E,5,0)</f>
        <v/>
      </c>
    </row>
    <row r="1095" ht="15.0" customHeight="1">
      <c r="A1095" s="849" t="s">
        <v>1239</v>
      </c>
      <c r="B1095" s="849">
        <v>2026.0</v>
      </c>
      <c r="C1095" s="849" t="s">
        <v>3361</v>
      </c>
      <c r="D1095" s="849" t="s">
        <v>3362</v>
      </c>
      <c r="E1095" s="849" t="s">
        <v>768</v>
      </c>
      <c r="F1095" s="849" t="s">
        <v>1200</v>
      </c>
      <c r="G1095" s="849">
        <v>0.0</v>
      </c>
      <c r="H1095" s="849">
        <v>0.0</v>
      </c>
      <c r="I1095" s="849">
        <v>0.0</v>
      </c>
      <c r="J1095" s="849">
        <v>0.0</v>
      </c>
      <c r="K1095" s="849">
        <v>0.0</v>
      </c>
      <c r="L1095" s="849">
        <v>0.0</v>
      </c>
      <c r="M1095" s="849">
        <v>0.0</v>
      </c>
      <c r="N1095" s="849">
        <v>0.0</v>
      </c>
      <c r="O1095" s="849">
        <v>0.0</v>
      </c>
      <c r="P1095" s="849">
        <v>0.0</v>
      </c>
      <c r="Q1095" s="849">
        <v>0.0</v>
      </c>
      <c r="R1095" s="849">
        <v>0.0</v>
      </c>
      <c r="S1095" s="849">
        <v>0.0</v>
      </c>
      <c r="T1095" s="849">
        <v>0.0</v>
      </c>
      <c r="U1095" s="849">
        <v>0.0</v>
      </c>
      <c r="V1095" s="849">
        <v>0.0</v>
      </c>
      <c r="W1095" s="849">
        <v>0.0</v>
      </c>
      <c r="X1095" s="849">
        <v>0.0</v>
      </c>
      <c r="Y1095" s="849">
        <v>0.0</v>
      </c>
      <c r="Z1095" s="849">
        <v>0.0</v>
      </c>
      <c r="AA1095" s="849">
        <v>0.0</v>
      </c>
      <c r="AB1095" s="849">
        <v>0.0</v>
      </c>
      <c r="AC1095" s="849">
        <v>0.0</v>
      </c>
      <c r="AD1095" s="849">
        <v>0.0</v>
      </c>
      <c r="AE1095" s="849">
        <v>0.0</v>
      </c>
      <c r="AF1095" s="849">
        <v>0.0</v>
      </c>
      <c r="AG1095" s="849">
        <v>0.0</v>
      </c>
      <c r="AH1095" s="849">
        <v>0.0</v>
      </c>
      <c r="AI1095" s="849">
        <v>0.0</v>
      </c>
      <c r="AJ1095" s="794" t="str">
        <f t="shared" ref="AJ1095:AK1095" si="2187">C1095</f>
        <v>G856</v>
      </c>
      <c r="AK1095" s="794" t="str">
        <f t="shared" si="2187"/>
        <v>REMUNERATION F&amp;A USAGE</v>
      </c>
      <c r="AL1095" s="794">
        <f t="array" ref="AL1095">IFERROR(INDEX(G1095:R1095,1,MATCH(Parametres!$B$3,G$1:R$1,0)-1)*IF(OR(F1095="L",F1095="S",F1095="I"),-1,1),"")</f>
        <v>0</v>
      </c>
      <c r="AM1095" s="794">
        <f t="shared" si="4"/>
        <v>0</v>
      </c>
      <c r="AN1095" s="794">
        <f t="array" ref="AN1095">INDEX(G1095:R1095,1,MATCH(Parametres!$B$3,G$1:R$1,0))*IF(OR(F1095="L",F1095="S",F1095="I"),-1,1)</f>
        <v>0</v>
      </c>
      <c r="AO1095" s="853" t="str">
        <f>+VLOOKUP($AJ1095,Data_Validation!$A:$D,1,0)</f>
        <v>#N/A</v>
      </c>
      <c r="AP1095" s="853" t="str">
        <f>+VLOOKUP($AJ1095,Data_Validation!$A:$D,3,0)</f>
        <v>#N/A</v>
      </c>
      <c r="AQ1095" s="853" t="str">
        <f>+VLOOKUP($AJ1095,Data_Validation!$A:$D,4,0)</f>
        <v>#N/A</v>
      </c>
      <c r="AR1095" s="853" t="s">
        <v>728</v>
      </c>
      <c r="AS1095" s="853" t="str">
        <f>+VLOOKUP($AJ1095,Data_Validation!$A:$E,5,0)</f>
        <v>#N/A</v>
      </c>
      <c r="AT1095" s="794" t="str">
        <f t="shared" ref="AT1095:AU1095" si="2188">C1095</f>
        <v>G856</v>
      </c>
      <c r="AU1095" s="854" t="str">
        <f t="shared" si="2188"/>
        <v>REMUNERATION F&amp;A USAGE</v>
      </c>
      <c r="AV1095" s="794">
        <f t="array" ref="AV1095">IFERROR(INDEX(V1095:AG1095,1,MATCH(Parametres!$B$3,V$1:AG$1,0)-1)*IF(OR(C1095="L",C1095="S",C1095="I"),-1,1),"")</f>
        <v>0</v>
      </c>
      <c r="AW1095" s="794">
        <f t="shared" si="6"/>
        <v>0</v>
      </c>
      <c r="AX1095" s="794">
        <f t="array" ref="AX1095">INDEX(V1095:AG1095,1,MATCH(Parametres!$B$3,V$1:AG$1,0))*IF(OR(C1095="L",C1095="S",C1095="I"),-1,1)</f>
        <v>0</v>
      </c>
      <c r="AY1095" s="853" t="s">
        <v>772</v>
      </c>
      <c r="AZ1095" s="853" t="str">
        <f>+VLOOKUP($AJ1095,Data_Validation!$A:$E,5,0)</f>
        <v>#N/A</v>
      </c>
    </row>
    <row r="1096" ht="15.0" customHeight="1">
      <c r="A1096" s="849" t="s">
        <v>1239</v>
      </c>
      <c r="B1096" s="849">
        <v>2026.0</v>
      </c>
      <c r="C1096" s="849" t="s">
        <v>3363</v>
      </c>
      <c r="D1096" s="849" t="s">
        <v>3364</v>
      </c>
      <c r="E1096" s="849" t="s">
        <v>768</v>
      </c>
      <c r="F1096" s="849" t="s">
        <v>1200</v>
      </c>
      <c r="G1096" s="849">
        <v>6574.65</v>
      </c>
      <c r="H1096" s="849">
        <v>9305.95</v>
      </c>
      <c r="I1096" s="849">
        <v>13960.22</v>
      </c>
      <c r="J1096" s="849">
        <v>21591.39</v>
      </c>
      <c r="K1096" s="849">
        <v>27429.56</v>
      </c>
      <c r="L1096" s="849">
        <v>31922.66</v>
      </c>
      <c r="M1096" s="849">
        <v>36714.02</v>
      </c>
      <c r="N1096" s="849">
        <v>42473.25</v>
      </c>
      <c r="O1096" s="849">
        <v>45011.85</v>
      </c>
      <c r="P1096" s="849">
        <v>45587.27</v>
      </c>
      <c r="Q1096" s="849">
        <v>0.0</v>
      </c>
      <c r="R1096" s="849">
        <v>0.0</v>
      </c>
      <c r="S1096" s="849">
        <v>5001.32</v>
      </c>
      <c r="T1096" s="849">
        <v>5001.32</v>
      </c>
      <c r="U1096" s="849">
        <v>0.0</v>
      </c>
      <c r="V1096" s="849">
        <v>0.0</v>
      </c>
      <c r="W1096" s="849">
        <v>0.0</v>
      </c>
      <c r="X1096" s="849">
        <v>0.0</v>
      </c>
      <c r="Y1096" s="849">
        <v>0.0</v>
      </c>
      <c r="Z1096" s="849">
        <v>0.0</v>
      </c>
      <c r="AA1096" s="849">
        <v>0.0</v>
      </c>
      <c r="AB1096" s="849">
        <v>0.0</v>
      </c>
      <c r="AC1096" s="849">
        <v>0.0</v>
      </c>
      <c r="AD1096" s="849">
        <v>0.0</v>
      </c>
      <c r="AE1096" s="849">
        <v>0.0</v>
      </c>
      <c r="AF1096" s="849">
        <v>0.0</v>
      </c>
      <c r="AG1096" s="849">
        <v>0.0</v>
      </c>
      <c r="AH1096" s="849">
        <v>0.0</v>
      </c>
      <c r="AI1096" s="849">
        <v>0.0</v>
      </c>
      <c r="AJ1096" s="794" t="str">
        <f t="shared" ref="AJ1096:AK1096" si="2189">C1096</f>
        <v>G85600</v>
      </c>
      <c r="AK1096" s="794" t="str">
        <f t="shared" si="2189"/>
        <v>REMUNERATION F&amp;I USAGE</v>
      </c>
      <c r="AL1096" s="794">
        <f t="array" ref="AL1096">IFERROR(INDEX(G1096:R1096,1,MATCH(Parametres!$B$3,G$1:R$1,0)-1)*IF(OR(F1096="L",F1096="S",F1096="I"),-1,1),"")</f>
        <v>42473.25</v>
      </c>
      <c r="AM1096" s="794">
        <f t="shared" si="4"/>
        <v>2538.6</v>
      </c>
      <c r="AN1096" s="794">
        <f t="array" ref="AN1096">INDEX(G1096:R1096,1,MATCH(Parametres!$B$3,G$1:R$1,0))*IF(OR(F1096="L",F1096="S",F1096="I"),-1,1)</f>
        <v>45011.85</v>
      </c>
      <c r="AO1096" s="853" t="str">
        <f>+VLOOKUP($AJ1096,Data_Validation!$A:$D,1,0)</f>
        <v>G85600</v>
      </c>
      <c r="AP1096" s="853" t="str">
        <f>+VLOOKUP($AJ1096,Data_Validation!$A:$D,3,0)</f>
        <v>Véhicules usagés</v>
      </c>
      <c r="AQ1096" s="853" t="str">
        <f>+VLOOKUP($AJ1096,Data_Validation!$A:$D,4,0)</f>
        <v>Comm. F&amp;I</v>
      </c>
      <c r="AR1096" s="853" t="s">
        <v>728</v>
      </c>
      <c r="AS1096" s="853" t="str">
        <f>+VLOOKUP($AJ1096,Data_Validation!$A:$E,5,0)</f>
        <v/>
      </c>
      <c r="AT1096" s="794" t="str">
        <f t="shared" ref="AT1096:AU1096" si="2190">C1096</f>
        <v>G85600</v>
      </c>
      <c r="AU1096" s="854" t="str">
        <f t="shared" si="2190"/>
        <v>REMUNERATION F&amp;I USAGE</v>
      </c>
      <c r="AV1096" s="794">
        <f t="array" ref="AV1096">IFERROR(INDEX(V1096:AG1096,1,MATCH(Parametres!$B$3,V$1:AG$1,0)-1)*IF(OR(C1096="L",C1096="S",C1096="I"),-1,1),"")</f>
        <v>0</v>
      </c>
      <c r="AW1096" s="794">
        <f t="shared" si="6"/>
        <v>0</v>
      </c>
      <c r="AX1096" s="794">
        <f t="array" ref="AX1096">INDEX(V1096:AG1096,1,MATCH(Parametres!$B$3,V$1:AG$1,0))*IF(OR(C1096="L",C1096="S",C1096="I"),-1,1)</f>
        <v>0</v>
      </c>
      <c r="AY1096" s="853" t="s">
        <v>772</v>
      </c>
      <c r="AZ1096" s="853" t="str">
        <f>+VLOOKUP($AJ1096,Data_Validation!$A:$E,5,0)</f>
        <v/>
      </c>
    </row>
    <row r="1097" ht="15.0" customHeight="1">
      <c r="A1097" s="849" t="s">
        <v>1239</v>
      </c>
      <c r="B1097" s="849">
        <v>2026.0</v>
      </c>
      <c r="C1097" s="849" t="s">
        <v>3365</v>
      </c>
      <c r="D1097" s="849" t="s">
        <v>3343</v>
      </c>
      <c r="E1097" s="849" t="s">
        <v>768</v>
      </c>
      <c r="F1097" s="849" t="s">
        <v>1200</v>
      </c>
      <c r="G1097" s="849">
        <v>0.0</v>
      </c>
      <c r="H1097" s="849">
        <v>0.0</v>
      </c>
      <c r="I1097" s="849">
        <v>0.0</v>
      </c>
      <c r="J1097" s="849">
        <v>0.0</v>
      </c>
      <c r="K1097" s="849">
        <v>0.0</v>
      </c>
      <c r="L1097" s="849">
        <v>0.0</v>
      </c>
      <c r="M1097" s="849">
        <v>0.0</v>
      </c>
      <c r="N1097" s="849">
        <v>0.0</v>
      </c>
      <c r="O1097" s="849">
        <v>0.0</v>
      </c>
      <c r="P1097" s="849">
        <v>0.0</v>
      </c>
      <c r="Q1097" s="849">
        <v>0.0</v>
      </c>
      <c r="R1097" s="849">
        <v>0.0</v>
      </c>
      <c r="S1097" s="849">
        <v>0.0</v>
      </c>
      <c r="T1097" s="849">
        <v>0.0</v>
      </c>
      <c r="U1097" s="849">
        <v>0.0</v>
      </c>
      <c r="V1097" s="849">
        <v>0.0</v>
      </c>
      <c r="W1097" s="849">
        <v>0.0</v>
      </c>
      <c r="X1097" s="849">
        <v>0.0</v>
      </c>
      <c r="Y1097" s="849">
        <v>0.0</v>
      </c>
      <c r="Z1097" s="849">
        <v>0.0</v>
      </c>
      <c r="AA1097" s="849">
        <v>0.0</v>
      </c>
      <c r="AB1097" s="849">
        <v>0.0</v>
      </c>
      <c r="AC1097" s="849">
        <v>0.0</v>
      </c>
      <c r="AD1097" s="849">
        <v>0.0</v>
      </c>
      <c r="AE1097" s="849">
        <v>0.0</v>
      </c>
      <c r="AF1097" s="849">
        <v>0.0</v>
      </c>
      <c r="AG1097" s="849">
        <v>0.0</v>
      </c>
      <c r="AH1097" s="849">
        <v>0.0</v>
      </c>
      <c r="AI1097" s="849">
        <v>0.0</v>
      </c>
      <c r="AJ1097" s="794" t="str">
        <f t="shared" ref="AJ1097:AK1097" si="2191">C1097</f>
        <v>G87200</v>
      </c>
      <c r="AK1097" s="794" t="str">
        <f t="shared" si="2191"/>
        <v>AUTRES REVENUS VEH. NEUFS</v>
      </c>
      <c r="AL1097" s="794">
        <f t="array" ref="AL1097">IFERROR(INDEX(G1097:R1097,1,MATCH(Parametres!$B$3,G$1:R$1,0)-1)*IF(OR(F1097="L",F1097="S",F1097="I"),-1,1),"")</f>
        <v>0</v>
      </c>
      <c r="AM1097" s="794">
        <f t="shared" si="4"/>
        <v>0</v>
      </c>
      <c r="AN1097" s="794">
        <f t="array" ref="AN1097">INDEX(G1097:R1097,1,MATCH(Parametres!$B$3,G$1:R$1,0))*IF(OR(F1097="L",F1097="S",F1097="I"),-1,1)</f>
        <v>0</v>
      </c>
      <c r="AO1097" s="853" t="str">
        <f>+VLOOKUP($AJ1097,Data_Validation!$A:$D,1,0)</f>
        <v>#N/A</v>
      </c>
      <c r="AP1097" s="853" t="str">
        <f>+VLOOKUP($AJ1097,Data_Validation!$A:$D,3,0)</f>
        <v>#N/A</v>
      </c>
      <c r="AQ1097" s="853" t="str">
        <f>+VLOOKUP($AJ1097,Data_Validation!$A:$D,4,0)</f>
        <v>#N/A</v>
      </c>
      <c r="AR1097" s="853" t="s">
        <v>728</v>
      </c>
      <c r="AS1097" s="853" t="str">
        <f>+VLOOKUP($AJ1097,Data_Validation!$A:$E,5,0)</f>
        <v>#N/A</v>
      </c>
      <c r="AT1097" s="794" t="str">
        <f t="shared" ref="AT1097:AU1097" si="2192">C1097</f>
        <v>G87200</v>
      </c>
      <c r="AU1097" s="854" t="str">
        <f t="shared" si="2192"/>
        <v>AUTRES REVENUS VEH. NEUFS</v>
      </c>
      <c r="AV1097" s="794">
        <f t="array" ref="AV1097">IFERROR(INDEX(V1097:AG1097,1,MATCH(Parametres!$B$3,V$1:AG$1,0)-1)*IF(OR(C1097="L",C1097="S",C1097="I"),-1,1),"")</f>
        <v>0</v>
      </c>
      <c r="AW1097" s="794">
        <f t="shared" si="6"/>
        <v>0</v>
      </c>
      <c r="AX1097" s="794">
        <f t="array" ref="AX1097">INDEX(V1097:AG1097,1,MATCH(Parametres!$B$3,V$1:AG$1,0))*IF(OR(C1097="L",C1097="S",C1097="I"),-1,1)</f>
        <v>0</v>
      </c>
      <c r="AY1097" s="853" t="s">
        <v>772</v>
      </c>
      <c r="AZ1097" s="853" t="str">
        <f>+VLOOKUP($AJ1097,Data_Validation!$A:$E,5,0)</f>
        <v>#N/A</v>
      </c>
    </row>
    <row r="1098" ht="15.0" customHeight="1">
      <c r="A1098" s="849" t="s">
        <v>1239</v>
      </c>
      <c r="B1098" s="849">
        <v>2026.0</v>
      </c>
      <c r="C1098" s="849" t="s">
        <v>3366</v>
      </c>
      <c r="D1098" s="849" t="s">
        <v>3367</v>
      </c>
      <c r="E1098" s="849" t="s">
        <v>768</v>
      </c>
      <c r="F1098" s="849" t="s">
        <v>1200</v>
      </c>
      <c r="G1098" s="849">
        <v>0.0</v>
      </c>
      <c r="H1098" s="849">
        <v>0.0</v>
      </c>
      <c r="I1098" s="849">
        <v>0.0</v>
      </c>
      <c r="J1098" s="849">
        <v>0.0</v>
      </c>
      <c r="K1098" s="849">
        <v>0.0</v>
      </c>
      <c r="L1098" s="849">
        <v>0.0</v>
      </c>
      <c r="M1098" s="849">
        <v>0.0</v>
      </c>
      <c r="N1098" s="849">
        <v>0.0</v>
      </c>
      <c r="O1098" s="849">
        <v>0.0</v>
      </c>
      <c r="P1098" s="849">
        <v>0.0</v>
      </c>
      <c r="Q1098" s="849">
        <v>0.0</v>
      </c>
      <c r="R1098" s="849">
        <v>0.0</v>
      </c>
      <c r="S1098" s="849">
        <v>0.0</v>
      </c>
      <c r="T1098" s="849">
        <v>0.0</v>
      </c>
      <c r="U1098" s="849">
        <v>0.0</v>
      </c>
      <c r="V1098" s="849">
        <v>0.0</v>
      </c>
      <c r="W1098" s="849">
        <v>0.0</v>
      </c>
      <c r="X1098" s="849">
        <v>0.0</v>
      </c>
      <c r="Y1098" s="849">
        <v>0.0</v>
      </c>
      <c r="Z1098" s="849">
        <v>0.0</v>
      </c>
      <c r="AA1098" s="849">
        <v>0.0</v>
      </c>
      <c r="AB1098" s="849">
        <v>0.0</v>
      </c>
      <c r="AC1098" s="849">
        <v>0.0</v>
      </c>
      <c r="AD1098" s="849">
        <v>0.0</v>
      </c>
      <c r="AE1098" s="849">
        <v>0.0</v>
      </c>
      <c r="AF1098" s="849">
        <v>0.0</v>
      </c>
      <c r="AG1098" s="849">
        <v>0.0</v>
      </c>
      <c r="AH1098" s="849">
        <v>0.0</v>
      </c>
      <c r="AI1098" s="849">
        <v>0.0</v>
      </c>
      <c r="AJ1098" s="794" t="str">
        <f t="shared" ref="AJ1098:AK1098" si="2193">C1098</f>
        <v>G87300</v>
      </c>
      <c r="AK1098" s="794" t="str">
        <f t="shared" si="2193"/>
        <v>AUTRES REVENUS VEH.USAGES</v>
      </c>
      <c r="AL1098" s="794">
        <f t="array" ref="AL1098">IFERROR(INDEX(G1098:R1098,1,MATCH(Parametres!$B$3,G$1:R$1,0)-1)*IF(OR(F1098="L",F1098="S",F1098="I"),-1,1),"")</f>
        <v>0</v>
      </c>
      <c r="AM1098" s="794">
        <f t="shared" si="4"/>
        <v>0</v>
      </c>
      <c r="AN1098" s="794">
        <f t="array" ref="AN1098">INDEX(G1098:R1098,1,MATCH(Parametres!$B$3,G$1:R$1,0))*IF(OR(F1098="L",F1098="S",F1098="I"),-1,1)</f>
        <v>0</v>
      </c>
      <c r="AO1098" s="853" t="str">
        <f>+VLOOKUP($AJ1098,Data_Validation!$A:$D,1,0)</f>
        <v>#N/A</v>
      </c>
      <c r="AP1098" s="853" t="str">
        <f>+VLOOKUP($AJ1098,Data_Validation!$A:$D,3,0)</f>
        <v>#N/A</v>
      </c>
      <c r="AQ1098" s="853" t="str">
        <f>+VLOOKUP($AJ1098,Data_Validation!$A:$D,4,0)</f>
        <v>#N/A</v>
      </c>
      <c r="AR1098" s="853" t="s">
        <v>728</v>
      </c>
      <c r="AS1098" s="853" t="str">
        <f>+VLOOKUP($AJ1098,Data_Validation!$A:$E,5,0)</f>
        <v>#N/A</v>
      </c>
      <c r="AT1098" s="794" t="str">
        <f t="shared" ref="AT1098:AU1098" si="2194">C1098</f>
        <v>G87300</v>
      </c>
      <c r="AU1098" s="854" t="str">
        <f t="shared" si="2194"/>
        <v>AUTRES REVENUS VEH.USAGES</v>
      </c>
      <c r="AV1098" s="794">
        <f t="array" ref="AV1098">IFERROR(INDEX(V1098:AG1098,1,MATCH(Parametres!$B$3,V$1:AG$1,0)-1)*IF(OR(C1098="L",C1098="S",C1098="I"),-1,1),"")</f>
        <v>0</v>
      </c>
      <c r="AW1098" s="794">
        <f t="shared" si="6"/>
        <v>0</v>
      </c>
      <c r="AX1098" s="794">
        <f t="array" ref="AX1098">INDEX(V1098:AG1098,1,MATCH(Parametres!$B$3,V$1:AG$1,0))*IF(OR(C1098="L",C1098="S",C1098="I"),-1,1)</f>
        <v>0</v>
      </c>
      <c r="AY1098" s="853" t="s">
        <v>772</v>
      </c>
      <c r="AZ1098" s="853" t="str">
        <f>+VLOOKUP($AJ1098,Data_Validation!$A:$E,5,0)</f>
        <v>#N/A</v>
      </c>
    </row>
    <row r="1099" ht="15.0" customHeight="1">
      <c r="A1099" s="849" t="s">
        <v>1239</v>
      </c>
      <c r="B1099" s="849">
        <v>2026.0</v>
      </c>
      <c r="C1099" s="849" t="s">
        <v>3368</v>
      </c>
      <c r="D1099" s="849" t="s">
        <v>3369</v>
      </c>
      <c r="E1099" s="849" t="s">
        <v>768</v>
      </c>
      <c r="F1099" s="849" t="s">
        <v>2814</v>
      </c>
      <c r="G1099" s="849">
        <v>0.0</v>
      </c>
      <c r="H1099" s="849">
        <v>0.0</v>
      </c>
      <c r="I1099" s="849">
        <v>0.0</v>
      </c>
      <c r="J1099" s="849">
        <v>0.0</v>
      </c>
      <c r="K1099" s="849">
        <v>0.0</v>
      </c>
      <c r="L1099" s="849">
        <v>0.0</v>
      </c>
      <c r="M1099" s="849">
        <v>0.0</v>
      </c>
      <c r="N1099" s="849">
        <v>0.0</v>
      </c>
      <c r="O1099" s="849">
        <v>0.0</v>
      </c>
      <c r="P1099" s="849">
        <v>0.0</v>
      </c>
      <c r="Q1099" s="849">
        <v>0.0</v>
      </c>
      <c r="R1099" s="849">
        <v>0.0</v>
      </c>
      <c r="S1099" s="849">
        <v>0.0</v>
      </c>
      <c r="T1099" s="849">
        <v>0.0</v>
      </c>
      <c r="U1099" s="849">
        <v>0.0</v>
      </c>
      <c r="V1099" s="849">
        <v>0.0</v>
      </c>
      <c r="W1099" s="849">
        <v>0.0</v>
      </c>
      <c r="X1099" s="849">
        <v>0.0</v>
      </c>
      <c r="Y1099" s="849">
        <v>0.0</v>
      </c>
      <c r="Z1099" s="849">
        <v>0.0</v>
      </c>
      <c r="AA1099" s="849">
        <v>0.0</v>
      </c>
      <c r="AB1099" s="849">
        <v>0.0</v>
      </c>
      <c r="AC1099" s="849">
        <v>0.0</v>
      </c>
      <c r="AD1099" s="849">
        <v>0.0</v>
      </c>
      <c r="AE1099" s="849">
        <v>0.0</v>
      </c>
      <c r="AF1099" s="849">
        <v>0.0</v>
      </c>
      <c r="AG1099" s="849">
        <v>0.0</v>
      </c>
      <c r="AH1099" s="849">
        <v>0.0</v>
      </c>
      <c r="AI1099" s="849">
        <v>0.0</v>
      </c>
      <c r="AJ1099" s="794" t="str">
        <f t="shared" ref="AJ1099:AK1099" si="2195">C1099</f>
        <v>G902</v>
      </c>
      <c r="AK1099" s="794" t="str">
        <f t="shared" si="2195"/>
        <v>MAUVAISES CREANCES RECOUV</v>
      </c>
      <c r="AL1099" s="794">
        <f t="array" ref="AL1099">IFERROR(INDEX(G1099:R1099,1,MATCH(Parametres!$B$3,G$1:R$1,0)-1)*IF(OR(F1099="L",F1099="S",F1099="I"),-1,1),"")</f>
        <v>0</v>
      </c>
      <c r="AM1099" s="794">
        <f t="shared" si="4"/>
        <v>0</v>
      </c>
      <c r="AN1099" s="794">
        <f t="array" ref="AN1099">INDEX(G1099:R1099,1,MATCH(Parametres!$B$3,G$1:R$1,0))*IF(OR(F1099="L",F1099="S",F1099="I"),-1,1)</f>
        <v>0</v>
      </c>
      <c r="AO1099" s="853" t="str">
        <f>+VLOOKUP($AJ1099,Data_Validation!$A:$D,1,0)</f>
        <v>#N/A</v>
      </c>
      <c r="AP1099" s="853" t="str">
        <f>+VLOOKUP($AJ1099,Data_Validation!$A:$D,3,0)</f>
        <v>#N/A</v>
      </c>
      <c r="AQ1099" s="853" t="str">
        <f>+VLOOKUP($AJ1099,Data_Validation!$A:$D,4,0)</f>
        <v>#N/A</v>
      </c>
      <c r="AR1099" s="853" t="s">
        <v>728</v>
      </c>
      <c r="AS1099" s="853" t="str">
        <f>+VLOOKUP($AJ1099,Data_Validation!$A:$E,5,0)</f>
        <v>#N/A</v>
      </c>
      <c r="AT1099" s="794" t="str">
        <f t="shared" ref="AT1099:AU1099" si="2196">C1099</f>
        <v>G902</v>
      </c>
      <c r="AU1099" s="854" t="str">
        <f t="shared" si="2196"/>
        <v>MAUVAISES CREANCES RECOUV</v>
      </c>
      <c r="AV1099" s="794">
        <f t="array" ref="AV1099">IFERROR(INDEX(V1099:AG1099,1,MATCH(Parametres!$B$3,V$1:AG$1,0)-1)*IF(OR(C1099="L",C1099="S",C1099="I"),-1,1),"")</f>
        <v>0</v>
      </c>
      <c r="AW1099" s="794">
        <f t="shared" si="6"/>
        <v>0</v>
      </c>
      <c r="AX1099" s="794">
        <f t="array" ref="AX1099">INDEX(V1099:AG1099,1,MATCH(Parametres!$B$3,V$1:AG$1,0))*IF(OR(C1099="L",C1099="S",C1099="I"),-1,1)</f>
        <v>0</v>
      </c>
      <c r="AY1099" s="853" t="s">
        <v>772</v>
      </c>
      <c r="AZ1099" s="853" t="str">
        <f>+VLOOKUP($AJ1099,Data_Validation!$A:$E,5,0)</f>
        <v>#N/A</v>
      </c>
    </row>
    <row r="1100" ht="15.0" customHeight="1">
      <c r="A1100" s="849" t="s">
        <v>1239</v>
      </c>
      <c r="B1100" s="849">
        <v>2026.0</v>
      </c>
      <c r="C1100" s="849" t="s">
        <v>3370</v>
      </c>
      <c r="D1100" s="849" t="s">
        <v>3371</v>
      </c>
      <c r="E1100" s="849" t="s">
        <v>768</v>
      </c>
      <c r="F1100" s="849" t="s">
        <v>2814</v>
      </c>
      <c r="G1100" s="849">
        <v>0.0</v>
      </c>
      <c r="H1100" s="849">
        <v>0.0</v>
      </c>
      <c r="I1100" s="849">
        <v>0.0</v>
      </c>
      <c r="J1100" s="849">
        <v>0.0</v>
      </c>
      <c r="K1100" s="849">
        <v>0.0</v>
      </c>
      <c r="L1100" s="849">
        <v>0.0</v>
      </c>
      <c r="M1100" s="849">
        <v>0.0</v>
      </c>
      <c r="N1100" s="849">
        <v>0.0</v>
      </c>
      <c r="O1100" s="849">
        <v>0.0</v>
      </c>
      <c r="P1100" s="849">
        <v>0.0</v>
      </c>
      <c r="Q1100" s="849">
        <v>0.0</v>
      </c>
      <c r="R1100" s="849">
        <v>0.0</v>
      </c>
      <c r="S1100" s="849">
        <v>0.0</v>
      </c>
      <c r="T1100" s="849">
        <v>0.0</v>
      </c>
      <c r="U1100" s="849">
        <v>0.0</v>
      </c>
      <c r="V1100" s="849">
        <v>0.0</v>
      </c>
      <c r="W1100" s="849">
        <v>0.0</v>
      </c>
      <c r="X1100" s="849">
        <v>0.0</v>
      </c>
      <c r="Y1100" s="849">
        <v>0.0</v>
      </c>
      <c r="Z1100" s="849">
        <v>0.0</v>
      </c>
      <c r="AA1100" s="849">
        <v>0.0</v>
      </c>
      <c r="AB1100" s="849">
        <v>0.0</v>
      </c>
      <c r="AC1100" s="849">
        <v>0.0</v>
      </c>
      <c r="AD1100" s="849">
        <v>0.0</v>
      </c>
      <c r="AE1100" s="849">
        <v>0.0</v>
      </c>
      <c r="AF1100" s="849">
        <v>0.0</v>
      </c>
      <c r="AG1100" s="849">
        <v>0.0</v>
      </c>
      <c r="AH1100" s="849">
        <v>0.0</v>
      </c>
      <c r="AI1100" s="849">
        <v>0.0</v>
      </c>
      <c r="AJ1100" s="794" t="str">
        <f t="shared" ref="AJ1100:AK1100" si="2197">C1100</f>
        <v>G90200</v>
      </c>
      <c r="AK1100" s="794" t="str">
        <f t="shared" si="2197"/>
        <v>RENTREES CREANCES RADIEES</v>
      </c>
      <c r="AL1100" s="794">
        <f t="array" ref="AL1100">IFERROR(INDEX(G1100:R1100,1,MATCH(Parametres!$B$3,G$1:R$1,0)-1)*IF(OR(F1100="L",F1100="S",F1100="I"),-1,1),"")</f>
        <v>0</v>
      </c>
      <c r="AM1100" s="794">
        <f t="shared" si="4"/>
        <v>0</v>
      </c>
      <c r="AN1100" s="794">
        <f t="array" ref="AN1100">INDEX(G1100:R1100,1,MATCH(Parametres!$B$3,G$1:R$1,0))*IF(OR(F1100="L",F1100="S",F1100="I"),-1,1)</f>
        <v>0</v>
      </c>
      <c r="AO1100" s="853" t="str">
        <f>+VLOOKUP($AJ1100,Data_Validation!$A:$D,1,0)</f>
        <v>G90200</v>
      </c>
      <c r="AP1100" s="853" t="str">
        <f>+VLOOKUP($AJ1100,Data_Validation!$A:$D,3,0)</f>
        <v/>
      </c>
      <c r="AQ1100" s="853" t="str">
        <f>+VLOOKUP($AJ1100,Data_Validation!$A:$D,4,0)</f>
        <v/>
      </c>
      <c r="AR1100" s="853" t="s">
        <v>728</v>
      </c>
      <c r="AS1100" s="853" t="str">
        <f>+VLOOKUP($AJ1100,Data_Validation!$A:$E,5,0)</f>
        <v/>
      </c>
      <c r="AT1100" s="794" t="str">
        <f t="shared" ref="AT1100:AU1100" si="2198">C1100</f>
        <v>G90200</v>
      </c>
      <c r="AU1100" s="854" t="str">
        <f t="shared" si="2198"/>
        <v>RENTREES CREANCES RADIEES</v>
      </c>
      <c r="AV1100" s="794">
        <f t="array" ref="AV1100">IFERROR(INDEX(V1100:AG1100,1,MATCH(Parametres!$B$3,V$1:AG$1,0)-1)*IF(OR(C1100="L",C1100="S",C1100="I"),-1,1),"")</f>
        <v>0</v>
      </c>
      <c r="AW1100" s="794">
        <f t="shared" si="6"/>
        <v>0</v>
      </c>
      <c r="AX1100" s="794">
        <f t="array" ref="AX1100">INDEX(V1100:AG1100,1,MATCH(Parametres!$B$3,V$1:AG$1,0))*IF(OR(C1100="L",C1100="S",C1100="I"),-1,1)</f>
        <v>0</v>
      </c>
      <c r="AY1100" s="853" t="s">
        <v>772</v>
      </c>
      <c r="AZ1100" s="853" t="str">
        <f>+VLOOKUP($AJ1100,Data_Validation!$A:$E,5,0)</f>
        <v/>
      </c>
    </row>
    <row r="1101" ht="15.0" customHeight="1">
      <c r="A1101" s="849" t="s">
        <v>1239</v>
      </c>
      <c r="B1101" s="849">
        <v>2026.0</v>
      </c>
      <c r="C1101" s="849" t="s">
        <v>3372</v>
      </c>
      <c r="D1101" s="849" t="s">
        <v>3373</v>
      </c>
      <c r="E1101" s="849" t="s">
        <v>768</v>
      </c>
      <c r="F1101" s="849" t="s">
        <v>2814</v>
      </c>
      <c r="G1101" s="849">
        <v>0.0</v>
      </c>
      <c r="H1101" s="849">
        <v>0.0</v>
      </c>
      <c r="I1101" s="849">
        <v>0.0</v>
      </c>
      <c r="J1101" s="849">
        <v>0.0</v>
      </c>
      <c r="K1101" s="849">
        <v>0.0</v>
      </c>
      <c r="L1101" s="849">
        <v>0.0</v>
      </c>
      <c r="M1101" s="849">
        <v>0.0</v>
      </c>
      <c r="N1101" s="849">
        <v>0.0</v>
      </c>
      <c r="O1101" s="849">
        <v>0.0</v>
      </c>
      <c r="P1101" s="849">
        <v>0.0</v>
      </c>
      <c r="Q1101" s="849">
        <v>0.0</v>
      </c>
      <c r="R1101" s="849">
        <v>0.0</v>
      </c>
      <c r="S1101" s="849">
        <v>0.0</v>
      </c>
      <c r="T1101" s="849">
        <v>0.0</v>
      </c>
      <c r="U1101" s="849">
        <v>0.0</v>
      </c>
      <c r="V1101" s="849">
        <v>0.0</v>
      </c>
      <c r="W1101" s="849">
        <v>0.0</v>
      </c>
      <c r="X1101" s="849">
        <v>0.0</v>
      </c>
      <c r="Y1101" s="849">
        <v>0.0</v>
      </c>
      <c r="Z1101" s="849">
        <v>0.0</v>
      </c>
      <c r="AA1101" s="849">
        <v>0.0</v>
      </c>
      <c r="AB1101" s="849">
        <v>0.0</v>
      </c>
      <c r="AC1101" s="849">
        <v>0.0</v>
      </c>
      <c r="AD1101" s="849">
        <v>0.0</v>
      </c>
      <c r="AE1101" s="849">
        <v>0.0</v>
      </c>
      <c r="AF1101" s="849">
        <v>0.0</v>
      </c>
      <c r="AG1101" s="849">
        <v>0.0</v>
      </c>
      <c r="AH1101" s="849">
        <v>0.0</v>
      </c>
      <c r="AI1101" s="849">
        <v>0.0</v>
      </c>
      <c r="AJ1101" s="794" t="str">
        <f t="shared" ref="AJ1101:AK1101" si="2199">C1101</f>
        <v>G903</v>
      </c>
      <c r="AK1101" s="794" t="str">
        <f t="shared" si="2199"/>
        <v>ESCOMPTE DE CAISSE GAGNE</v>
      </c>
      <c r="AL1101" s="794">
        <f t="array" ref="AL1101">IFERROR(INDEX(G1101:R1101,1,MATCH(Parametres!$B$3,G$1:R$1,0)-1)*IF(OR(F1101="L",F1101="S",F1101="I"),-1,1),"")</f>
        <v>0</v>
      </c>
      <c r="AM1101" s="794">
        <f t="shared" si="4"/>
        <v>0</v>
      </c>
      <c r="AN1101" s="794">
        <f t="array" ref="AN1101">INDEX(G1101:R1101,1,MATCH(Parametres!$B$3,G$1:R$1,0))*IF(OR(F1101="L",F1101="S",F1101="I"),-1,1)</f>
        <v>0</v>
      </c>
      <c r="AO1101" s="853" t="str">
        <f>+VLOOKUP($AJ1101,Data_Validation!$A:$D,1,0)</f>
        <v>#N/A</v>
      </c>
      <c r="AP1101" s="853" t="str">
        <f>+VLOOKUP($AJ1101,Data_Validation!$A:$D,3,0)</f>
        <v>#N/A</v>
      </c>
      <c r="AQ1101" s="853" t="str">
        <f>+VLOOKUP($AJ1101,Data_Validation!$A:$D,4,0)</f>
        <v>#N/A</v>
      </c>
      <c r="AR1101" s="853" t="s">
        <v>728</v>
      </c>
      <c r="AS1101" s="853" t="str">
        <f>+VLOOKUP($AJ1101,Data_Validation!$A:$E,5,0)</f>
        <v>#N/A</v>
      </c>
      <c r="AT1101" s="794" t="str">
        <f t="shared" ref="AT1101:AU1101" si="2200">C1101</f>
        <v>G903</v>
      </c>
      <c r="AU1101" s="854" t="str">
        <f t="shared" si="2200"/>
        <v>ESCOMPTE DE CAISSE GAGNE</v>
      </c>
      <c r="AV1101" s="794">
        <f t="array" ref="AV1101">IFERROR(INDEX(V1101:AG1101,1,MATCH(Parametres!$B$3,V$1:AG$1,0)-1)*IF(OR(C1101="L",C1101="S",C1101="I"),-1,1),"")</f>
        <v>0</v>
      </c>
      <c r="AW1101" s="794">
        <f t="shared" si="6"/>
        <v>0</v>
      </c>
      <c r="AX1101" s="794">
        <f t="array" ref="AX1101">INDEX(V1101:AG1101,1,MATCH(Parametres!$B$3,V$1:AG$1,0))*IF(OR(C1101="L",C1101="S",C1101="I"),-1,1)</f>
        <v>0</v>
      </c>
      <c r="AY1101" s="853" t="s">
        <v>772</v>
      </c>
      <c r="AZ1101" s="853" t="str">
        <f>+VLOOKUP($AJ1101,Data_Validation!$A:$E,5,0)</f>
        <v>#N/A</v>
      </c>
    </row>
    <row r="1102" ht="15.0" customHeight="1">
      <c r="A1102" s="849" t="s">
        <v>1239</v>
      </c>
      <c r="B1102" s="849">
        <v>2026.0</v>
      </c>
      <c r="C1102" s="849" t="s">
        <v>3374</v>
      </c>
      <c r="D1102" s="849" t="s">
        <v>3375</v>
      </c>
      <c r="E1102" s="849" t="s">
        <v>768</v>
      </c>
      <c r="F1102" s="849" t="s">
        <v>2814</v>
      </c>
      <c r="G1102" s="849">
        <v>0.0</v>
      </c>
      <c r="H1102" s="849">
        <v>0.0</v>
      </c>
      <c r="I1102" s="849">
        <v>0.0</v>
      </c>
      <c r="J1102" s="849">
        <v>0.0</v>
      </c>
      <c r="K1102" s="849">
        <v>0.0</v>
      </c>
      <c r="L1102" s="849">
        <v>0.0</v>
      </c>
      <c r="M1102" s="849">
        <v>0.0</v>
      </c>
      <c r="N1102" s="849">
        <v>0.0</v>
      </c>
      <c r="O1102" s="849">
        <v>0.0</v>
      </c>
      <c r="P1102" s="849">
        <v>0.0</v>
      </c>
      <c r="Q1102" s="849">
        <v>0.0</v>
      </c>
      <c r="R1102" s="849">
        <v>0.0</v>
      </c>
      <c r="S1102" s="849">
        <v>0.0</v>
      </c>
      <c r="T1102" s="849">
        <v>0.0</v>
      </c>
      <c r="U1102" s="849">
        <v>0.0</v>
      </c>
      <c r="V1102" s="849">
        <v>0.0</v>
      </c>
      <c r="W1102" s="849">
        <v>0.0</v>
      </c>
      <c r="X1102" s="849">
        <v>0.0</v>
      </c>
      <c r="Y1102" s="849">
        <v>0.0</v>
      </c>
      <c r="Z1102" s="849">
        <v>0.0</v>
      </c>
      <c r="AA1102" s="849">
        <v>0.0</v>
      </c>
      <c r="AB1102" s="849">
        <v>0.0</v>
      </c>
      <c r="AC1102" s="849">
        <v>0.0</v>
      </c>
      <c r="AD1102" s="849">
        <v>0.0</v>
      </c>
      <c r="AE1102" s="849">
        <v>0.0</v>
      </c>
      <c r="AF1102" s="849">
        <v>0.0</v>
      </c>
      <c r="AG1102" s="849">
        <v>0.0</v>
      </c>
      <c r="AH1102" s="849">
        <v>0.0</v>
      </c>
      <c r="AI1102" s="849">
        <v>0.0</v>
      </c>
      <c r="AJ1102" s="794" t="str">
        <f t="shared" ref="AJ1102:AK1102" si="2201">C1102</f>
        <v>G905</v>
      </c>
      <c r="AK1102" s="794" t="str">
        <f t="shared" si="2201"/>
        <v>AUTRES REVENUS DIVERS</v>
      </c>
      <c r="AL1102" s="794">
        <f t="array" ref="AL1102">IFERROR(INDEX(G1102:R1102,1,MATCH(Parametres!$B$3,G$1:R$1,0)-1)*IF(OR(F1102="L",F1102="S",F1102="I"),-1,1),"")</f>
        <v>0</v>
      </c>
      <c r="AM1102" s="794">
        <f t="shared" si="4"/>
        <v>0</v>
      </c>
      <c r="AN1102" s="794">
        <f t="array" ref="AN1102">INDEX(G1102:R1102,1,MATCH(Parametres!$B$3,G$1:R$1,0))*IF(OR(F1102="L",F1102="S",F1102="I"),-1,1)</f>
        <v>0</v>
      </c>
      <c r="AO1102" s="853" t="str">
        <f>+VLOOKUP($AJ1102,Data_Validation!$A:$D,1,0)</f>
        <v>#N/A</v>
      </c>
      <c r="AP1102" s="853" t="str">
        <f>+VLOOKUP($AJ1102,Data_Validation!$A:$D,3,0)</f>
        <v>#N/A</v>
      </c>
      <c r="AQ1102" s="853" t="str">
        <f>+VLOOKUP($AJ1102,Data_Validation!$A:$D,4,0)</f>
        <v>#N/A</v>
      </c>
      <c r="AR1102" s="853" t="s">
        <v>728</v>
      </c>
      <c r="AS1102" s="853" t="str">
        <f>+VLOOKUP($AJ1102,Data_Validation!$A:$E,5,0)</f>
        <v>#N/A</v>
      </c>
      <c r="AT1102" s="794" t="str">
        <f t="shared" ref="AT1102:AU1102" si="2202">C1102</f>
        <v>G905</v>
      </c>
      <c r="AU1102" s="854" t="str">
        <f t="shared" si="2202"/>
        <v>AUTRES REVENUS DIVERS</v>
      </c>
      <c r="AV1102" s="794">
        <f t="array" ref="AV1102">IFERROR(INDEX(V1102:AG1102,1,MATCH(Parametres!$B$3,V$1:AG$1,0)-1)*IF(OR(C1102="L",C1102="S",C1102="I"),-1,1),"")</f>
        <v>0</v>
      </c>
      <c r="AW1102" s="794">
        <f t="shared" si="6"/>
        <v>0</v>
      </c>
      <c r="AX1102" s="794">
        <f t="array" ref="AX1102">INDEX(V1102:AG1102,1,MATCH(Parametres!$B$3,V$1:AG$1,0))*IF(OR(C1102="L",C1102="S",C1102="I"),-1,1)</f>
        <v>0</v>
      </c>
      <c r="AY1102" s="853" t="s">
        <v>772</v>
      </c>
      <c r="AZ1102" s="853" t="str">
        <f>+VLOOKUP($AJ1102,Data_Validation!$A:$E,5,0)</f>
        <v>#N/A</v>
      </c>
    </row>
    <row r="1103" ht="15.0" customHeight="1">
      <c r="A1103" s="849" t="s">
        <v>1239</v>
      </c>
      <c r="B1103" s="849">
        <v>2026.0</v>
      </c>
      <c r="C1103" s="849" t="s">
        <v>3376</v>
      </c>
      <c r="D1103" s="849" t="s">
        <v>3375</v>
      </c>
      <c r="E1103" s="849" t="s">
        <v>768</v>
      </c>
      <c r="F1103" s="849" t="s">
        <v>2814</v>
      </c>
      <c r="G1103" s="849">
        <v>2822.27</v>
      </c>
      <c r="H1103" s="849">
        <v>17220.16</v>
      </c>
      <c r="I1103" s="849">
        <v>42749.61</v>
      </c>
      <c r="J1103" s="849">
        <v>65183.51</v>
      </c>
      <c r="K1103" s="849">
        <v>26545.14</v>
      </c>
      <c r="L1103" s="849">
        <v>31155.05</v>
      </c>
      <c r="M1103" s="849">
        <v>42868.43</v>
      </c>
      <c r="N1103" s="849">
        <v>47093.88</v>
      </c>
      <c r="O1103" s="849">
        <v>56040.68</v>
      </c>
      <c r="P1103" s="849">
        <v>65825.44</v>
      </c>
      <c r="Q1103" s="849">
        <v>0.0</v>
      </c>
      <c r="R1103" s="849">
        <v>0.0</v>
      </c>
      <c r="S1103" s="849">
        <v>6226.74</v>
      </c>
      <c r="T1103" s="849">
        <v>6226.74</v>
      </c>
      <c r="U1103" s="849">
        <v>0.0</v>
      </c>
      <c r="V1103" s="849">
        <v>-1.0</v>
      </c>
      <c r="W1103" s="849">
        <v>-2.0</v>
      </c>
      <c r="X1103" s="849">
        <v>-12.0</v>
      </c>
      <c r="Y1103" s="849">
        <v>-20.0</v>
      </c>
      <c r="Z1103" s="849">
        <v>-25.0</v>
      </c>
      <c r="AA1103" s="849">
        <v>-34.0</v>
      </c>
      <c r="AB1103" s="849">
        <v>-48.0</v>
      </c>
      <c r="AC1103" s="849">
        <v>-49.0</v>
      </c>
      <c r="AD1103" s="849">
        <v>-55.0</v>
      </c>
      <c r="AE1103" s="849">
        <v>-52.0</v>
      </c>
      <c r="AF1103" s="849">
        <v>0.0</v>
      </c>
      <c r="AG1103" s="849">
        <v>0.0</v>
      </c>
      <c r="AH1103" s="849">
        <v>-6.0</v>
      </c>
      <c r="AI1103" s="849">
        <v>-6.0</v>
      </c>
      <c r="AJ1103" s="794" t="str">
        <f t="shared" ref="AJ1103:AK1103" si="2203">C1103</f>
        <v>G90500</v>
      </c>
      <c r="AK1103" s="794" t="str">
        <f t="shared" si="2203"/>
        <v>AUTRES REVENUS DIVERS</v>
      </c>
      <c r="AL1103" s="794">
        <f t="array" ref="AL1103">IFERROR(INDEX(G1103:R1103,1,MATCH(Parametres!$B$3,G$1:R$1,0)-1)*IF(OR(F1103="L",F1103="S",F1103="I"),-1,1),"")</f>
        <v>-47093.88</v>
      </c>
      <c r="AM1103" s="794">
        <f t="shared" si="4"/>
        <v>-8946.8</v>
      </c>
      <c r="AN1103" s="794">
        <f t="array" ref="AN1103">INDEX(G1103:R1103,1,MATCH(Parametres!$B$3,G$1:R$1,0))*IF(OR(F1103="L",F1103="S",F1103="I"),-1,1)</f>
        <v>-56040.68</v>
      </c>
      <c r="AO1103" s="853" t="str">
        <f>+VLOOKUP($AJ1103,Data_Validation!$A:$D,1,0)</f>
        <v>G90500</v>
      </c>
      <c r="AP1103" s="853" t="str">
        <f>+VLOOKUP($AJ1103,Data_Validation!$A:$D,3,0)</f>
        <v>TOTAL DES REVENUS ET DÉPENSES</v>
      </c>
      <c r="AQ1103" s="853" t="str">
        <f>+VLOOKUP($AJ1103,Data_Validation!$A:$D,4,0)</f>
        <v>Revenus autres</v>
      </c>
      <c r="AR1103" s="853" t="s">
        <v>728</v>
      </c>
      <c r="AS1103" s="853" t="str">
        <f>+VLOOKUP($AJ1103,Data_Validation!$A:$E,5,0)</f>
        <v/>
      </c>
      <c r="AT1103" s="794" t="str">
        <f t="shared" ref="AT1103:AU1103" si="2204">C1103</f>
        <v>G90500</v>
      </c>
      <c r="AU1103" s="854" t="str">
        <f t="shared" si="2204"/>
        <v>AUTRES REVENUS DIVERS</v>
      </c>
      <c r="AV1103" s="794">
        <f t="array" ref="AV1103">IFERROR(INDEX(V1103:AG1103,1,MATCH(Parametres!$B$3,V$1:AG$1,0)-1)*IF(OR(C1103="L",C1103="S",C1103="I"),-1,1),"")</f>
        <v>-49</v>
      </c>
      <c r="AW1103" s="794">
        <f t="shared" si="6"/>
        <v>-6</v>
      </c>
      <c r="AX1103" s="794">
        <f t="array" ref="AX1103">INDEX(V1103:AG1103,1,MATCH(Parametres!$B$3,V$1:AG$1,0))*IF(OR(C1103="L",C1103="S",C1103="I"),-1,1)</f>
        <v>-55</v>
      </c>
      <c r="AY1103" s="853" t="s">
        <v>772</v>
      </c>
      <c r="AZ1103" s="853" t="str">
        <f>+VLOOKUP($AJ1103,Data_Validation!$A:$E,5,0)</f>
        <v/>
      </c>
    </row>
    <row r="1104" ht="15.0" customHeight="1">
      <c r="A1104" s="849" t="s">
        <v>1239</v>
      </c>
      <c r="B1104" s="849">
        <v>2026.0</v>
      </c>
      <c r="C1104" s="849" t="s">
        <v>3377</v>
      </c>
      <c r="D1104" s="849" t="s">
        <v>3378</v>
      </c>
      <c r="E1104" s="849" t="s">
        <v>768</v>
      </c>
      <c r="F1104" s="849" t="s">
        <v>2814</v>
      </c>
      <c r="G1104" s="849">
        <v>0.0</v>
      </c>
      <c r="H1104" s="849">
        <v>0.0</v>
      </c>
      <c r="I1104" s="849">
        <v>0.0</v>
      </c>
      <c r="J1104" s="849">
        <v>0.0</v>
      </c>
      <c r="K1104" s="849">
        <v>0.0</v>
      </c>
      <c r="L1104" s="849">
        <v>0.0</v>
      </c>
      <c r="M1104" s="849">
        <v>0.0</v>
      </c>
      <c r="N1104" s="849">
        <v>0.0</v>
      </c>
      <c r="O1104" s="849">
        <v>0.0</v>
      </c>
      <c r="P1104" s="849">
        <v>0.0</v>
      </c>
      <c r="Q1104" s="849">
        <v>0.0</v>
      </c>
      <c r="R1104" s="849">
        <v>0.0</v>
      </c>
      <c r="S1104" s="849">
        <v>0.0</v>
      </c>
      <c r="T1104" s="849">
        <v>0.0</v>
      </c>
      <c r="U1104" s="849">
        <v>0.0</v>
      </c>
      <c r="V1104" s="849">
        <v>0.0</v>
      </c>
      <c r="W1104" s="849">
        <v>0.0</v>
      </c>
      <c r="X1104" s="849">
        <v>0.0</v>
      </c>
      <c r="Y1104" s="849">
        <v>0.0</v>
      </c>
      <c r="Z1104" s="849">
        <v>0.0</v>
      </c>
      <c r="AA1104" s="849">
        <v>0.0</v>
      </c>
      <c r="AB1104" s="849">
        <v>0.0</v>
      </c>
      <c r="AC1104" s="849">
        <v>0.0</v>
      </c>
      <c r="AD1104" s="849">
        <v>0.0</v>
      </c>
      <c r="AE1104" s="849">
        <v>0.0</v>
      </c>
      <c r="AF1104" s="849">
        <v>0.0</v>
      </c>
      <c r="AG1104" s="849">
        <v>0.0</v>
      </c>
      <c r="AH1104" s="849">
        <v>0.0</v>
      </c>
      <c r="AI1104" s="849">
        <v>0.0</v>
      </c>
      <c r="AJ1104" s="794" t="str">
        <f t="shared" ref="AJ1104:AK1104" si="2205">C1104</f>
        <v>G90550</v>
      </c>
      <c r="AK1104" s="794" t="str">
        <f t="shared" si="2205"/>
        <v>DEALER FINANCE - SPLIT</v>
      </c>
      <c r="AL1104" s="794">
        <f t="array" ref="AL1104">IFERROR(INDEX(G1104:R1104,1,MATCH(Parametres!$B$3,G$1:R$1,0)-1)*IF(OR(F1104="L",F1104="S",F1104="I"),-1,1),"")</f>
        <v>0</v>
      </c>
      <c r="AM1104" s="794">
        <f t="shared" si="4"/>
        <v>0</v>
      </c>
      <c r="AN1104" s="794">
        <f t="array" ref="AN1104">INDEX(G1104:R1104,1,MATCH(Parametres!$B$3,G$1:R$1,0))*IF(OR(F1104="L",F1104="S",F1104="I"),-1,1)</f>
        <v>0</v>
      </c>
      <c r="AO1104" s="853" t="str">
        <f>+VLOOKUP($AJ1104,Data_Validation!$A:$D,1,0)</f>
        <v>#N/A</v>
      </c>
      <c r="AP1104" s="853" t="str">
        <f>+VLOOKUP($AJ1104,Data_Validation!$A:$D,3,0)</f>
        <v>#N/A</v>
      </c>
      <c r="AQ1104" s="853" t="str">
        <f>+VLOOKUP($AJ1104,Data_Validation!$A:$D,4,0)</f>
        <v>#N/A</v>
      </c>
      <c r="AR1104" s="853" t="s">
        <v>728</v>
      </c>
      <c r="AS1104" s="853" t="str">
        <f>+VLOOKUP($AJ1104,Data_Validation!$A:$E,5,0)</f>
        <v>#N/A</v>
      </c>
      <c r="AT1104" s="794" t="str">
        <f t="shared" ref="AT1104:AU1104" si="2206">C1104</f>
        <v>G90550</v>
      </c>
      <c r="AU1104" s="854" t="str">
        <f t="shared" si="2206"/>
        <v>DEALER FINANCE - SPLIT</v>
      </c>
      <c r="AV1104" s="794">
        <f t="array" ref="AV1104">IFERROR(INDEX(V1104:AG1104,1,MATCH(Parametres!$B$3,V$1:AG$1,0)-1)*IF(OR(C1104="L",C1104="S",C1104="I"),-1,1),"")</f>
        <v>0</v>
      </c>
      <c r="AW1104" s="794">
        <f t="shared" si="6"/>
        <v>0</v>
      </c>
      <c r="AX1104" s="794">
        <f t="array" ref="AX1104">INDEX(V1104:AG1104,1,MATCH(Parametres!$B$3,V$1:AG$1,0))*IF(OR(C1104="L",C1104="S",C1104="I"),-1,1)</f>
        <v>0</v>
      </c>
      <c r="AY1104" s="853" t="s">
        <v>772</v>
      </c>
      <c r="AZ1104" s="853" t="str">
        <f>+VLOOKUP($AJ1104,Data_Validation!$A:$E,5,0)</f>
        <v>#N/A</v>
      </c>
    </row>
    <row r="1105" ht="15.0" customHeight="1">
      <c r="A1105" s="849" t="s">
        <v>1239</v>
      </c>
      <c r="B1105" s="849">
        <v>2026.0</v>
      </c>
      <c r="C1105" s="849" t="s">
        <v>3379</v>
      </c>
      <c r="D1105" s="849" t="s">
        <v>3380</v>
      </c>
      <c r="E1105" s="849" t="s">
        <v>768</v>
      </c>
      <c r="F1105" s="849" t="s">
        <v>2814</v>
      </c>
      <c r="G1105" s="849">
        <v>0.0</v>
      </c>
      <c r="H1105" s="849">
        <v>0.0</v>
      </c>
      <c r="I1105" s="849">
        <v>0.0</v>
      </c>
      <c r="J1105" s="849">
        <v>0.0</v>
      </c>
      <c r="K1105" s="849">
        <v>41353.94</v>
      </c>
      <c r="L1105" s="849">
        <v>55228.64</v>
      </c>
      <c r="M1105" s="849">
        <v>66487.56</v>
      </c>
      <c r="N1105" s="849">
        <v>76787.35</v>
      </c>
      <c r="O1105" s="849">
        <v>86351.21</v>
      </c>
      <c r="P1105" s="849">
        <v>86351.21</v>
      </c>
      <c r="Q1105" s="849">
        <v>0.0</v>
      </c>
      <c r="R1105" s="849">
        <v>0.0</v>
      </c>
      <c r="S1105" s="849">
        <v>9594.58</v>
      </c>
      <c r="T1105" s="849">
        <v>9594.58</v>
      </c>
      <c r="U1105" s="849">
        <v>0.0</v>
      </c>
      <c r="V1105" s="849">
        <v>0.0</v>
      </c>
      <c r="W1105" s="849">
        <v>0.0</v>
      </c>
      <c r="X1105" s="849">
        <v>0.0</v>
      </c>
      <c r="Y1105" s="849">
        <v>0.0</v>
      </c>
      <c r="Z1105" s="849">
        <v>3.0</v>
      </c>
      <c r="AA1105" s="849">
        <v>4.0</v>
      </c>
      <c r="AB1105" s="849">
        <v>5.0</v>
      </c>
      <c r="AC1105" s="849">
        <v>6.0</v>
      </c>
      <c r="AD1105" s="849">
        <v>7.0</v>
      </c>
      <c r="AE1105" s="849">
        <v>7.0</v>
      </c>
      <c r="AF1105" s="849">
        <v>0.0</v>
      </c>
      <c r="AG1105" s="849">
        <v>0.0</v>
      </c>
      <c r="AH1105" s="849">
        <v>1.0</v>
      </c>
      <c r="AI1105" s="849">
        <v>1.0</v>
      </c>
      <c r="AJ1105" s="794" t="str">
        <f t="shared" ref="AJ1105:AK1105" si="2207">C1105</f>
        <v>G90551</v>
      </c>
      <c r="AK1105" s="794" t="str">
        <f t="shared" si="2207"/>
        <v>DEALER FINANCE - NEUF</v>
      </c>
      <c r="AL1105" s="794">
        <f t="array" ref="AL1105">IFERROR(INDEX(G1105:R1105,1,MATCH(Parametres!$B$3,G$1:R$1,0)-1)*IF(OR(F1105="L",F1105="S",F1105="I"),-1,1),"")</f>
        <v>-76787.35</v>
      </c>
      <c r="AM1105" s="794">
        <f t="shared" si="4"/>
        <v>-9563.86</v>
      </c>
      <c r="AN1105" s="794">
        <f t="array" ref="AN1105">INDEX(G1105:R1105,1,MATCH(Parametres!$B$3,G$1:R$1,0))*IF(OR(F1105="L",F1105="S",F1105="I"),-1,1)</f>
        <v>-86351.21</v>
      </c>
      <c r="AO1105" s="853" t="str">
        <f>+VLOOKUP($AJ1105,Data_Validation!$A:$D,1,0)</f>
        <v>G90551</v>
      </c>
      <c r="AP1105" s="853" t="str">
        <f>+VLOOKUP($AJ1105,Data_Validation!$A:$D,3,0)</f>
        <v>Véhicules neufs</v>
      </c>
      <c r="AQ1105" s="853" t="str">
        <f>+VLOOKUP($AJ1105,Data_Validation!$A:$D,4,0)</f>
        <v>Crédit Boni TD</v>
      </c>
      <c r="AR1105" s="853" t="s">
        <v>728</v>
      </c>
      <c r="AS1105" s="853" t="str">
        <f>+VLOOKUP($AJ1105,Data_Validation!$A:$E,5,0)</f>
        <v/>
      </c>
      <c r="AT1105" s="794" t="str">
        <f t="shared" ref="AT1105:AU1105" si="2208">C1105</f>
        <v>G90551</v>
      </c>
      <c r="AU1105" s="854" t="str">
        <f t="shared" si="2208"/>
        <v>DEALER FINANCE - NEUF</v>
      </c>
      <c r="AV1105" s="794">
        <f t="array" ref="AV1105">IFERROR(INDEX(V1105:AG1105,1,MATCH(Parametres!$B$3,V$1:AG$1,0)-1)*IF(OR(C1105="L",C1105="S",C1105="I"),-1,1),"")</f>
        <v>6</v>
      </c>
      <c r="AW1105" s="794">
        <f t="shared" si="6"/>
        <v>1</v>
      </c>
      <c r="AX1105" s="794">
        <f t="array" ref="AX1105">INDEX(V1105:AG1105,1,MATCH(Parametres!$B$3,V$1:AG$1,0))*IF(OR(C1105="L",C1105="S",C1105="I"),-1,1)</f>
        <v>7</v>
      </c>
      <c r="AY1105" s="853" t="s">
        <v>772</v>
      </c>
      <c r="AZ1105" s="853" t="str">
        <f>+VLOOKUP($AJ1105,Data_Validation!$A:$E,5,0)</f>
        <v/>
      </c>
    </row>
    <row r="1106" ht="15.0" customHeight="1">
      <c r="A1106" s="849" t="s">
        <v>1239</v>
      </c>
      <c r="B1106" s="849">
        <v>2026.0</v>
      </c>
      <c r="C1106" s="849" t="s">
        <v>3381</v>
      </c>
      <c r="D1106" s="849" t="s">
        <v>3382</v>
      </c>
      <c r="E1106" s="849" t="s">
        <v>768</v>
      </c>
      <c r="F1106" s="849" t="s">
        <v>2814</v>
      </c>
      <c r="G1106" s="849">
        <v>0.0</v>
      </c>
      <c r="H1106" s="849">
        <v>0.0</v>
      </c>
      <c r="I1106" s="849">
        <v>0.0</v>
      </c>
      <c r="J1106" s="849">
        <v>0.0</v>
      </c>
      <c r="K1106" s="849">
        <v>27569.29</v>
      </c>
      <c r="L1106" s="849">
        <v>34506.64</v>
      </c>
      <c r="M1106" s="849">
        <v>35329.78</v>
      </c>
      <c r="N1106" s="849">
        <v>36949.34</v>
      </c>
      <c r="O1106" s="849">
        <v>38095.23</v>
      </c>
      <c r="P1106" s="849">
        <v>38095.23</v>
      </c>
      <c r="Q1106" s="849">
        <v>0.0</v>
      </c>
      <c r="R1106" s="849">
        <v>0.0</v>
      </c>
      <c r="S1106" s="849">
        <v>4232.8</v>
      </c>
      <c r="T1106" s="849">
        <v>4232.8</v>
      </c>
      <c r="U1106" s="849">
        <v>0.0</v>
      </c>
      <c r="V1106" s="849">
        <v>0.0</v>
      </c>
      <c r="W1106" s="849">
        <v>0.0</v>
      </c>
      <c r="X1106" s="849">
        <v>0.0</v>
      </c>
      <c r="Y1106" s="849">
        <v>0.0</v>
      </c>
      <c r="Z1106" s="849">
        <v>3.0</v>
      </c>
      <c r="AA1106" s="849">
        <v>4.0</v>
      </c>
      <c r="AB1106" s="849">
        <v>5.0</v>
      </c>
      <c r="AC1106" s="849">
        <v>6.0</v>
      </c>
      <c r="AD1106" s="849">
        <v>7.0</v>
      </c>
      <c r="AE1106" s="849">
        <v>7.0</v>
      </c>
      <c r="AF1106" s="849">
        <v>0.0</v>
      </c>
      <c r="AG1106" s="849">
        <v>0.0</v>
      </c>
      <c r="AH1106" s="849">
        <v>1.0</v>
      </c>
      <c r="AI1106" s="849">
        <v>1.0</v>
      </c>
      <c r="AJ1106" s="794" t="str">
        <f t="shared" ref="AJ1106:AK1106" si="2209">C1106</f>
        <v>G90552</v>
      </c>
      <c r="AK1106" s="794" t="str">
        <f t="shared" si="2209"/>
        <v>DEALER FINANCE - USAGE</v>
      </c>
      <c r="AL1106" s="794">
        <f t="array" ref="AL1106">IFERROR(INDEX(G1106:R1106,1,MATCH(Parametres!$B$3,G$1:R$1,0)-1)*IF(OR(F1106="L",F1106="S",F1106="I"),-1,1),"")</f>
        <v>-36949.34</v>
      </c>
      <c r="AM1106" s="794">
        <f t="shared" si="4"/>
        <v>-1145.89</v>
      </c>
      <c r="AN1106" s="794">
        <f t="array" ref="AN1106">INDEX(G1106:R1106,1,MATCH(Parametres!$B$3,G$1:R$1,0))*IF(OR(F1106="L",F1106="S",F1106="I"),-1,1)</f>
        <v>-38095.23</v>
      </c>
      <c r="AO1106" s="853" t="str">
        <f>+VLOOKUP($AJ1106,Data_Validation!$A:$D,1,0)</f>
        <v>G90552</v>
      </c>
      <c r="AP1106" s="853" t="str">
        <f>+VLOOKUP($AJ1106,Data_Validation!$A:$D,3,0)</f>
        <v>Véhicules usagés</v>
      </c>
      <c r="AQ1106" s="853" t="str">
        <f>+VLOOKUP($AJ1106,Data_Validation!$A:$D,4,0)</f>
        <v>Crédit Boni TD</v>
      </c>
      <c r="AR1106" s="853" t="s">
        <v>728</v>
      </c>
      <c r="AS1106" s="853" t="str">
        <f>+VLOOKUP($AJ1106,Data_Validation!$A:$E,5,0)</f>
        <v/>
      </c>
      <c r="AT1106" s="794" t="str">
        <f t="shared" ref="AT1106:AU1106" si="2210">C1106</f>
        <v>G90552</v>
      </c>
      <c r="AU1106" s="854" t="str">
        <f t="shared" si="2210"/>
        <v>DEALER FINANCE - USAGE</v>
      </c>
      <c r="AV1106" s="794">
        <f t="array" ref="AV1106">IFERROR(INDEX(V1106:AG1106,1,MATCH(Parametres!$B$3,V$1:AG$1,0)-1)*IF(OR(C1106="L",C1106="S",C1106="I"),-1,1),"")</f>
        <v>6</v>
      </c>
      <c r="AW1106" s="794">
        <f t="shared" si="6"/>
        <v>1</v>
      </c>
      <c r="AX1106" s="794">
        <f t="array" ref="AX1106">INDEX(V1106:AG1106,1,MATCH(Parametres!$B$3,V$1:AG$1,0))*IF(OR(C1106="L",C1106="S",C1106="I"),-1,1)</f>
        <v>7</v>
      </c>
      <c r="AY1106" s="853" t="s">
        <v>772</v>
      </c>
      <c r="AZ1106" s="853" t="str">
        <f>+VLOOKUP($AJ1106,Data_Validation!$A:$E,5,0)</f>
        <v/>
      </c>
    </row>
    <row r="1107" ht="15.0" customHeight="1">
      <c r="A1107" s="849" t="s">
        <v>1239</v>
      </c>
      <c r="B1107" s="849">
        <v>2026.0</v>
      </c>
      <c r="C1107" s="849" t="s">
        <v>3383</v>
      </c>
      <c r="D1107" s="849" t="s">
        <v>3384</v>
      </c>
      <c r="E1107" s="849" t="s">
        <v>768</v>
      </c>
      <c r="F1107" s="849" t="s">
        <v>2814</v>
      </c>
      <c r="G1107" s="849">
        <v>0.0</v>
      </c>
      <c r="H1107" s="849">
        <v>0.0</v>
      </c>
      <c r="I1107" s="849">
        <v>0.0</v>
      </c>
      <c r="J1107" s="849">
        <v>0.0</v>
      </c>
      <c r="K1107" s="849">
        <v>0.0</v>
      </c>
      <c r="L1107" s="849">
        <v>0.0</v>
      </c>
      <c r="M1107" s="849">
        <v>4744.12</v>
      </c>
      <c r="N1107" s="849">
        <v>6676.04</v>
      </c>
      <c r="O1107" s="849">
        <v>7502.89</v>
      </c>
      <c r="P1107" s="849">
        <v>7502.89</v>
      </c>
      <c r="Q1107" s="849">
        <v>0.0</v>
      </c>
      <c r="R1107" s="849">
        <v>0.0</v>
      </c>
      <c r="S1107" s="849">
        <v>833.65</v>
      </c>
      <c r="T1107" s="849">
        <v>833.65</v>
      </c>
      <c r="U1107" s="849">
        <v>0.0</v>
      </c>
      <c r="V1107" s="849">
        <v>0.0</v>
      </c>
      <c r="W1107" s="849">
        <v>0.0</v>
      </c>
      <c r="X1107" s="849">
        <v>0.0</v>
      </c>
      <c r="Y1107" s="849">
        <v>0.0</v>
      </c>
      <c r="Z1107" s="849">
        <v>0.0</v>
      </c>
      <c r="AA1107" s="849">
        <v>0.0</v>
      </c>
      <c r="AB1107" s="849">
        <v>1.0</v>
      </c>
      <c r="AC1107" s="849">
        <v>2.0</v>
      </c>
      <c r="AD1107" s="849">
        <v>2.0</v>
      </c>
      <c r="AE1107" s="849">
        <v>2.0</v>
      </c>
      <c r="AF1107" s="849">
        <v>0.0</v>
      </c>
      <c r="AG1107" s="849">
        <v>0.0</v>
      </c>
      <c r="AH1107" s="849">
        <v>0.0</v>
      </c>
      <c r="AI1107" s="849">
        <v>0.0</v>
      </c>
      <c r="AJ1107" s="794" t="str">
        <f t="shared" ref="AJ1107:AK1107" si="2211">C1107</f>
        <v>G90553</v>
      </c>
      <c r="AK1107" s="794" t="str">
        <f t="shared" si="2211"/>
        <v>DEALER FINANCE - USA</v>
      </c>
      <c r="AL1107" s="794">
        <f t="array" ref="AL1107">IFERROR(INDEX(G1107:R1107,1,MATCH(Parametres!$B$3,G$1:R$1,0)-1)*IF(OR(F1107="L",F1107="S",F1107="I"),-1,1),"")</f>
        <v>-6676.04</v>
      </c>
      <c r="AM1107" s="794">
        <f t="shared" si="4"/>
        <v>-826.85</v>
      </c>
      <c r="AN1107" s="794">
        <f t="array" ref="AN1107">INDEX(G1107:R1107,1,MATCH(Parametres!$B$3,G$1:R$1,0))*IF(OR(F1107="L",F1107="S",F1107="I"),-1,1)</f>
        <v>-7502.89</v>
      </c>
      <c r="AO1107" s="853" t="str">
        <f>+VLOOKUP($AJ1107,Data_Validation!$A:$D,1,0)</f>
        <v>G90553</v>
      </c>
      <c r="AP1107" s="853" t="str">
        <f>+VLOOKUP($AJ1107,Data_Validation!$A:$D,3,0)</f>
        <v>Wholesale autres</v>
      </c>
      <c r="AQ1107" s="853" t="str">
        <f>+VLOOKUP($AJ1107,Data_Validation!$A:$D,4,0)</f>
        <v>Crédit Boni TD</v>
      </c>
      <c r="AR1107" s="853" t="s">
        <v>728</v>
      </c>
      <c r="AS1107" s="853" t="str">
        <f>+VLOOKUP($AJ1107,Data_Validation!$A:$E,5,0)</f>
        <v/>
      </c>
      <c r="AT1107" s="794" t="str">
        <f t="shared" ref="AT1107:AU1107" si="2212">C1107</f>
        <v>G90553</v>
      </c>
      <c r="AU1107" s="854" t="str">
        <f t="shared" si="2212"/>
        <v>DEALER FINANCE - USA</v>
      </c>
      <c r="AV1107" s="794">
        <f t="array" ref="AV1107">IFERROR(INDEX(V1107:AG1107,1,MATCH(Parametres!$B$3,V$1:AG$1,0)-1)*IF(OR(C1107="L",C1107="S",C1107="I"),-1,1),"")</f>
        <v>2</v>
      </c>
      <c r="AW1107" s="794">
        <f t="shared" si="6"/>
        <v>0</v>
      </c>
      <c r="AX1107" s="794">
        <f t="array" ref="AX1107">INDEX(V1107:AG1107,1,MATCH(Parametres!$B$3,V$1:AG$1,0))*IF(OR(C1107="L",C1107="S",C1107="I"),-1,1)</f>
        <v>2</v>
      </c>
      <c r="AY1107" s="853" t="s">
        <v>772</v>
      </c>
      <c r="AZ1107" s="853" t="str">
        <f>+VLOOKUP($AJ1107,Data_Validation!$A:$E,5,0)</f>
        <v/>
      </c>
    </row>
    <row r="1108" ht="15.0" customHeight="1">
      <c r="A1108" s="849" t="s">
        <v>1239</v>
      </c>
      <c r="B1108" s="849">
        <v>2026.0</v>
      </c>
      <c r="C1108" s="849" t="s">
        <v>3385</v>
      </c>
      <c r="D1108" s="849" t="s">
        <v>3386</v>
      </c>
      <c r="E1108" s="849" t="s">
        <v>768</v>
      </c>
      <c r="F1108" s="849" t="s">
        <v>2814</v>
      </c>
      <c r="G1108" s="849">
        <v>0.0</v>
      </c>
      <c r="H1108" s="849">
        <v>0.0</v>
      </c>
      <c r="I1108" s="849">
        <v>37199.85</v>
      </c>
      <c r="J1108" s="849">
        <v>50434.88</v>
      </c>
      <c r="K1108" s="849">
        <v>63583.76</v>
      </c>
      <c r="L1108" s="849">
        <v>76646.1</v>
      </c>
      <c r="M1108" s="849">
        <v>89621.54</v>
      </c>
      <c r="N1108" s="849">
        <v>102509.7</v>
      </c>
      <c r="O1108" s="849">
        <v>115310.2</v>
      </c>
      <c r="P1108" s="849">
        <v>115310.2</v>
      </c>
      <c r="Q1108" s="849">
        <v>0.0</v>
      </c>
      <c r="R1108" s="849">
        <v>0.0</v>
      </c>
      <c r="S1108" s="849">
        <v>12812.24</v>
      </c>
      <c r="T1108" s="849">
        <v>12812.24</v>
      </c>
      <c r="U1108" s="849">
        <v>0.0</v>
      </c>
      <c r="V1108" s="849">
        <v>0.0</v>
      </c>
      <c r="W1108" s="849">
        <v>0.0</v>
      </c>
      <c r="X1108" s="849">
        <v>2.0</v>
      </c>
      <c r="Y1108" s="849">
        <v>4.0</v>
      </c>
      <c r="Z1108" s="849">
        <v>6.0</v>
      </c>
      <c r="AA1108" s="849">
        <v>8.0</v>
      </c>
      <c r="AB1108" s="849">
        <v>10.0</v>
      </c>
      <c r="AC1108" s="849">
        <v>12.0</v>
      </c>
      <c r="AD1108" s="849">
        <v>14.0</v>
      </c>
      <c r="AE1108" s="849">
        <v>14.0</v>
      </c>
      <c r="AF1108" s="849">
        <v>0.0</v>
      </c>
      <c r="AG1108" s="849">
        <v>0.0</v>
      </c>
      <c r="AH1108" s="849">
        <v>2.0</v>
      </c>
      <c r="AI1108" s="849">
        <v>2.0</v>
      </c>
      <c r="AJ1108" s="794" t="str">
        <f t="shared" ref="AJ1108:AK1108" si="2213">C1108</f>
        <v>G90800</v>
      </c>
      <c r="AK1108" s="794" t="str">
        <f t="shared" si="2213"/>
        <v>REVENU INTERET (PRETS)</v>
      </c>
      <c r="AL1108" s="794">
        <f t="array" ref="AL1108">IFERROR(INDEX(G1108:R1108,1,MATCH(Parametres!$B$3,G$1:R$1,0)-1)*IF(OR(F1108="L",F1108="S",F1108="I"),-1,1),"")</f>
        <v>-102509.7</v>
      </c>
      <c r="AM1108" s="794">
        <f t="shared" si="4"/>
        <v>-12800.5</v>
      </c>
      <c r="AN1108" s="794">
        <f t="array" ref="AN1108">INDEX(G1108:R1108,1,MATCH(Parametres!$B$3,G$1:R$1,0))*IF(OR(F1108="L",F1108="S",F1108="I"),-1,1)</f>
        <v>-115310.2</v>
      </c>
      <c r="AO1108" s="853" t="str">
        <f>+VLOOKUP($AJ1108,Data_Validation!$A:$D,1,0)</f>
        <v>G90800</v>
      </c>
      <c r="AP1108" s="853" t="str">
        <f>+VLOOKUP($AJ1108,Data_Validation!$A:$D,3,0)</f>
        <v>TOTAL DES REVENUS ET DÉPENSES</v>
      </c>
      <c r="AQ1108" s="853" t="str">
        <f>+VLOOKUP($AJ1108,Data_Validation!$A:$D,4,0)</f>
        <v>Intérêts sur prêt</v>
      </c>
      <c r="AR1108" s="853" t="s">
        <v>728</v>
      </c>
      <c r="AS1108" s="853" t="str">
        <f>+VLOOKUP($AJ1108,Data_Validation!$A:$E,5,0)</f>
        <v/>
      </c>
      <c r="AT1108" s="794" t="str">
        <f t="shared" ref="AT1108:AU1108" si="2214">C1108</f>
        <v>G90800</v>
      </c>
      <c r="AU1108" s="854" t="str">
        <f t="shared" si="2214"/>
        <v>REVENU INTERET (PRETS)</v>
      </c>
      <c r="AV1108" s="794">
        <f t="array" ref="AV1108">IFERROR(INDEX(V1108:AG1108,1,MATCH(Parametres!$B$3,V$1:AG$1,0)-1)*IF(OR(C1108="L",C1108="S",C1108="I"),-1,1),"")</f>
        <v>12</v>
      </c>
      <c r="AW1108" s="794">
        <f t="shared" si="6"/>
        <v>2</v>
      </c>
      <c r="AX1108" s="794">
        <f t="array" ref="AX1108">INDEX(V1108:AG1108,1,MATCH(Parametres!$B$3,V$1:AG$1,0))*IF(OR(C1108="L",C1108="S",C1108="I"),-1,1)</f>
        <v>14</v>
      </c>
      <c r="AY1108" s="853" t="s">
        <v>772</v>
      </c>
      <c r="AZ1108" s="853" t="str">
        <f>+VLOOKUP($AJ1108,Data_Validation!$A:$E,5,0)</f>
        <v/>
      </c>
    </row>
    <row r="1109" ht="15.0" customHeight="1">
      <c r="A1109" s="849" t="s">
        <v>1239</v>
      </c>
      <c r="B1109" s="849">
        <v>2026.0</v>
      </c>
      <c r="C1109" s="849" t="s">
        <v>3387</v>
      </c>
      <c r="D1109" s="849" t="s">
        <v>3388</v>
      </c>
      <c r="E1109" s="849" t="s">
        <v>768</v>
      </c>
      <c r="F1109" s="849" t="s">
        <v>2814</v>
      </c>
      <c r="G1109" s="849">
        <v>0.0</v>
      </c>
      <c r="H1109" s="849">
        <v>0.0</v>
      </c>
      <c r="I1109" s="849">
        <v>0.0</v>
      </c>
      <c r="J1109" s="849">
        <v>810.96</v>
      </c>
      <c r="K1109" s="849">
        <v>3953.43</v>
      </c>
      <c r="L1109" s="849">
        <v>5930.14</v>
      </c>
      <c r="M1109" s="849">
        <v>5980.82</v>
      </c>
      <c r="N1109" s="849">
        <v>5980.82</v>
      </c>
      <c r="O1109" s="849">
        <v>5980.82</v>
      </c>
      <c r="P1109" s="849">
        <v>5980.82</v>
      </c>
      <c r="Q1109" s="849">
        <v>0.0</v>
      </c>
      <c r="R1109" s="849">
        <v>0.0</v>
      </c>
      <c r="S1109" s="849">
        <v>664.54</v>
      </c>
      <c r="T1109" s="849">
        <v>664.54</v>
      </c>
      <c r="U1109" s="849">
        <v>0.0</v>
      </c>
      <c r="V1109" s="849">
        <v>0.0</v>
      </c>
      <c r="W1109" s="849">
        <v>0.0</v>
      </c>
      <c r="X1109" s="849">
        <v>0.0</v>
      </c>
      <c r="Y1109" s="849">
        <v>1.0</v>
      </c>
      <c r="Z1109" s="849">
        <v>2.0</v>
      </c>
      <c r="AA1109" s="849">
        <v>3.0</v>
      </c>
      <c r="AB1109" s="849">
        <v>4.0</v>
      </c>
      <c r="AC1109" s="849">
        <v>4.0</v>
      </c>
      <c r="AD1109" s="849">
        <v>4.0</v>
      </c>
      <c r="AE1109" s="849">
        <v>4.0</v>
      </c>
      <c r="AF1109" s="849">
        <v>0.0</v>
      </c>
      <c r="AG1109" s="849">
        <v>0.0</v>
      </c>
      <c r="AH1109" s="849">
        <v>0.0</v>
      </c>
      <c r="AI1109" s="849">
        <v>0.0</v>
      </c>
      <c r="AJ1109" s="794" t="str">
        <f t="shared" ref="AJ1109:AK1109" si="2215">C1109</f>
        <v>G90810</v>
      </c>
      <c r="AK1109" s="794" t="str">
        <f t="shared" si="2215"/>
        <v>REVENU INTERET (BULK)</v>
      </c>
      <c r="AL1109" s="794">
        <f t="array" ref="AL1109">IFERROR(INDEX(G1109:R1109,1,MATCH(Parametres!$B$3,G$1:R$1,0)-1)*IF(OR(F1109="L",F1109="S",F1109="I"),-1,1),"")</f>
        <v>-5980.82</v>
      </c>
      <c r="AM1109" s="794">
        <f t="shared" si="4"/>
        <v>0</v>
      </c>
      <c r="AN1109" s="794">
        <f t="array" ref="AN1109">INDEX(G1109:R1109,1,MATCH(Parametres!$B$3,G$1:R$1,0))*IF(OR(F1109="L",F1109="S",F1109="I"),-1,1)</f>
        <v>-5980.82</v>
      </c>
      <c r="AO1109" s="853" t="str">
        <f>+VLOOKUP($AJ1109,Data_Validation!$A:$D,1,0)</f>
        <v>G90810</v>
      </c>
      <c r="AP1109" s="853" t="str">
        <f>+VLOOKUP($AJ1109,Data_Validation!$A:$D,3,0)</f>
        <v>TOTAL DES REVENUS ET DÉPENSES</v>
      </c>
      <c r="AQ1109" s="853" t="str">
        <f>+VLOOKUP($AJ1109,Data_Validation!$A:$D,4,0)</f>
        <v>Revenus d'intérêts Floor plan</v>
      </c>
      <c r="AR1109" s="853" t="s">
        <v>728</v>
      </c>
      <c r="AS1109" s="853" t="str">
        <f>+VLOOKUP($AJ1109,Data_Validation!$A:$E,5,0)</f>
        <v/>
      </c>
      <c r="AT1109" s="794" t="str">
        <f t="shared" ref="AT1109:AU1109" si="2216">C1109</f>
        <v>G90810</v>
      </c>
      <c r="AU1109" s="854" t="str">
        <f t="shared" si="2216"/>
        <v>REVENU INTERET (BULK)</v>
      </c>
      <c r="AV1109" s="794">
        <f t="array" ref="AV1109">IFERROR(INDEX(V1109:AG1109,1,MATCH(Parametres!$B$3,V$1:AG$1,0)-1)*IF(OR(C1109="L",C1109="S",C1109="I"),-1,1),"")</f>
        <v>4</v>
      </c>
      <c r="AW1109" s="794">
        <f t="shared" si="6"/>
        <v>0</v>
      </c>
      <c r="AX1109" s="794">
        <f t="array" ref="AX1109">INDEX(V1109:AG1109,1,MATCH(Parametres!$B$3,V$1:AG$1,0))*IF(OR(C1109="L",C1109="S",C1109="I"),-1,1)</f>
        <v>4</v>
      </c>
      <c r="AY1109" s="853" t="s">
        <v>772</v>
      </c>
      <c r="AZ1109" s="853" t="str">
        <f>+VLOOKUP($AJ1109,Data_Validation!$A:$E,5,0)</f>
        <v/>
      </c>
    </row>
    <row r="1110" ht="15.0" customHeight="1">
      <c r="A1110" s="849" t="s">
        <v>1239</v>
      </c>
      <c r="B1110" s="849">
        <v>2026.0</v>
      </c>
      <c r="C1110" s="849" t="s">
        <v>3389</v>
      </c>
      <c r="D1110" s="849" t="s">
        <v>3390</v>
      </c>
      <c r="E1110" s="849" t="s">
        <v>768</v>
      </c>
      <c r="F1110" s="849" t="s">
        <v>2814</v>
      </c>
      <c r="G1110" s="849">
        <v>0.0</v>
      </c>
      <c r="H1110" s="849">
        <v>0.0</v>
      </c>
      <c r="I1110" s="849">
        <v>0.0</v>
      </c>
      <c r="J1110" s="849">
        <v>0.0</v>
      </c>
      <c r="K1110" s="849">
        <v>0.0</v>
      </c>
      <c r="L1110" s="849">
        <v>0.0</v>
      </c>
      <c r="M1110" s="849">
        <v>0.0</v>
      </c>
      <c r="N1110" s="849">
        <v>0.0</v>
      </c>
      <c r="O1110" s="849">
        <v>178.07</v>
      </c>
      <c r="P1110" s="849">
        <v>178.07</v>
      </c>
      <c r="Q1110" s="849">
        <v>0.0</v>
      </c>
      <c r="R1110" s="849">
        <v>0.0</v>
      </c>
      <c r="S1110" s="849">
        <v>19.79</v>
      </c>
      <c r="T1110" s="849">
        <v>19.79</v>
      </c>
      <c r="U1110" s="849">
        <v>0.0</v>
      </c>
      <c r="V1110" s="849">
        <v>0.0</v>
      </c>
      <c r="W1110" s="849">
        <v>0.0</v>
      </c>
      <c r="X1110" s="849">
        <v>0.0</v>
      </c>
      <c r="Y1110" s="849">
        <v>0.0</v>
      </c>
      <c r="Z1110" s="849">
        <v>0.0</v>
      </c>
      <c r="AA1110" s="849">
        <v>0.0</v>
      </c>
      <c r="AB1110" s="849">
        <v>0.0</v>
      </c>
      <c r="AC1110" s="849">
        <v>0.0</v>
      </c>
      <c r="AD1110" s="849">
        <v>2.0</v>
      </c>
      <c r="AE1110" s="849">
        <v>2.0</v>
      </c>
      <c r="AF1110" s="849">
        <v>0.0</v>
      </c>
      <c r="AG1110" s="849">
        <v>0.0</v>
      </c>
      <c r="AH1110" s="849">
        <v>0.0</v>
      </c>
      <c r="AI1110" s="849">
        <v>0.0</v>
      </c>
      <c r="AJ1110" s="794" t="str">
        <f t="shared" ref="AJ1110:AK1110" si="2217">C1110</f>
        <v>G90820</v>
      </c>
      <c r="AK1110" s="794" t="str">
        <f t="shared" si="2217"/>
        <v>REVENU INTERETS DIVERS</v>
      </c>
      <c r="AL1110" s="794">
        <f t="array" ref="AL1110">IFERROR(INDEX(G1110:R1110,1,MATCH(Parametres!$B$3,G$1:R$1,0)-1)*IF(OR(F1110="L",F1110="S",F1110="I"),-1,1),"")</f>
        <v>0</v>
      </c>
      <c r="AM1110" s="794">
        <f t="shared" si="4"/>
        <v>-178.07</v>
      </c>
      <c r="AN1110" s="794">
        <f t="array" ref="AN1110">INDEX(G1110:R1110,1,MATCH(Parametres!$B$3,G$1:R$1,0))*IF(OR(F1110="L",F1110="S",F1110="I"),-1,1)</f>
        <v>-178.07</v>
      </c>
      <c r="AO1110" s="853" t="str">
        <f>+VLOOKUP($AJ1110,Data_Validation!$A:$D,1,0)</f>
        <v>G90820</v>
      </c>
      <c r="AP1110" s="853" t="str">
        <f>+VLOOKUP($AJ1110,Data_Validation!$A:$D,3,0)</f>
        <v>TOTAL DES REVENUS ET DÉPENSES</v>
      </c>
      <c r="AQ1110" s="853" t="str">
        <f>+VLOOKUP($AJ1110,Data_Validation!$A:$D,4,0)</f>
        <v>Intérêts sur marge</v>
      </c>
      <c r="AR1110" s="853" t="s">
        <v>728</v>
      </c>
      <c r="AS1110" s="853" t="str">
        <f>+VLOOKUP($AJ1110,Data_Validation!$A:$E,5,0)</f>
        <v/>
      </c>
      <c r="AT1110" s="794" t="str">
        <f t="shared" ref="AT1110:AU1110" si="2218">C1110</f>
        <v>G90820</v>
      </c>
      <c r="AU1110" s="854" t="str">
        <f t="shared" si="2218"/>
        <v>REVENU INTERETS DIVERS</v>
      </c>
      <c r="AV1110" s="794">
        <f t="array" ref="AV1110">IFERROR(INDEX(V1110:AG1110,1,MATCH(Parametres!$B$3,V$1:AG$1,0)-1)*IF(OR(C1110="L",C1110="S",C1110="I"),-1,1),"")</f>
        <v>0</v>
      </c>
      <c r="AW1110" s="794">
        <f t="shared" si="6"/>
        <v>2</v>
      </c>
      <c r="AX1110" s="794">
        <f t="array" ref="AX1110">INDEX(V1110:AG1110,1,MATCH(Parametres!$B$3,V$1:AG$1,0))*IF(OR(C1110="L",C1110="S",C1110="I"),-1,1)</f>
        <v>2</v>
      </c>
      <c r="AY1110" s="853" t="s">
        <v>772</v>
      </c>
      <c r="AZ1110" s="853" t="str">
        <f>+VLOOKUP($AJ1110,Data_Validation!$A:$E,5,0)</f>
        <v/>
      </c>
    </row>
    <row r="1111" ht="15.0" customHeight="1">
      <c r="A1111" s="849" t="s">
        <v>1239</v>
      </c>
      <c r="B1111" s="849">
        <v>2026.0</v>
      </c>
      <c r="C1111" s="849" t="s">
        <v>3391</v>
      </c>
      <c r="D1111" s="849" t="s">
        <v>3392</v>
      </c>
      <c r="E1111" s="849" t="s">
        <v>768</v>
      </c>
      <c r="F1111" s="849" t="s">
        <v>2814</v>
      </c>
      <c r="G1111" s="849">
        <v>31433.86</v>
      </c>
      <c r="H1111" s="849">
        <v>29413.86</v>
      </c>
      <c r="I1111" s="849">
        <v>29146.86</v>
      </c>
      <c r="J1111" s="849">
        <v>37628.72</v>
      </c>
      <c r="K1111" s="849">
        <v>69120.7</v>
      </c>
      <c r="L1111" s="849">
        <v>93472.23</v>
      </c>
      <c r="M1111" s="849">
        <v>96266.62</v>
      </c>
      <c r="N1111" s="849">
        <v>131508.06</v>
      </c>
      <c r="O1111" s="849">
        <v>176893.77</v>
      </c>
      <c r="P1111" s="849">
        <v>176893.77</v>
      </c>
      <c r="Q1111" s="849">
        <v>0.0</v>
      </c>
      <c r="R1111" s="849">
        <v>0.0</v>
      </c>
      <c r="S1111" s="849">
        <v>19654.86</v>
      </c>
      <c r="T1111" s="849">
        <v>19654.86</v>
      </c>
      <c r="U1111" s="849">
        <v>0.0</v>
      </c>
      <c r="V1111" s="849">
        <v>3.0</v>
      </c>
      <c r="W1111" s="849">
        <v>1.0</v>
      </c>
      <c r="X1111" s="849">
        <v>0.0</v>
      </c>
      <c r="Y1111" s="849">
        <v>1.0</v>
      </c>
      <c r="Z1111" s="849">
        <v>7.0</v>
      </c>
      <c r="AA1111" s="849">
        <v>25.0</v>
      </c>
      <c r="AB1111" s="849">
        <v>33.0</v>
      </c>
      <c r="AC1111" s="849">
        <v>40.0</v>
      </c>
      <c r="AD1111" s="849">
        <v>59.0</v>
      </c>
      <c r="AE1111" s="849">
        <v>59.0</v>
      </c>
      <c r="AF1111" s="849">
        <v>0.0</v>
      </c>
      <c r="AG1111" s="849">
        <v>0.0</v>
      </c>
      <c r="AH1111" s="849">
        <v>7.0</v>
      </c>
      <c r="AI1111" s="849">
        <v>7.0</v>
      </c>
      <c r="AJ1111" s="794" t="str">
        <f t="shared" ref="AJ1111:AK1111" si="2219">C1111</f>
        <v>G90900</v>
      </c>
      <c r="AK1111" s="794" t="str">
        <f t="shared" si="2219"/>
        <v>REMBOURSEMENTS DE GMCL</v>
      </c>
      <c r="AL1111" s="794">
        <f t="array" ref="AL1111">IFERROR(INDEX(G1111:R1111,1,MATCH(Parametres!$B$3,G$1:R$1,0)-1)*IF(OR(F1111="L",F1111="S",F1111="I"),-1,1),"")</f>
        <v>-131508.06</v>
      </c>
      <c r="AM1111" s="794">
        <f t="shared" si="4"/>
        <v>-45385.71</v>
      </c>
      <c r="AN1111" s="794">
        <f t="array" ref="AN1111">INDEX(G1111:R1111,1,MATCH(Parametres!$B$3,G$1:R$1,0))*IF(OR(F1111="L",F1111="S",F1111="I"),-1,1)</f>
        <v>-176893.77</v>
      </c>
      <c r="AO1111" s="853" t="str">
        <f>+VLOOKUP($AJ1111,Data_Validation!$A:$D,1,0)</f>
        <v>G90900</v>
      </c>
      <c r="AP1111" s="853" t="str">
        <f>+VLOOKUP($AJ1111,Data_Validation!$A:$D,3,0)</f>
        <v>Véhicules neufs</v>
      </c>
      <c r="AQ1111" s="853" t="str">
        <f>+VLOOKUP($AJ1111,Data_Validation!$A:$D,4,0)</f>
        <v>Programme Excellence</v>
      </c>
      <c r="AR1111" s="853" t="s">
        <v>728</v>
      </c>
      <c r="AS1111" s="853" t="str">
        <f>+VLOOKUP($AJ1111,Data_Validation!$A:$E,5,0)</f>
        <v/>
      </c>
      <c r="AT1111" s="794" t="str">
        <f t="shared" ref="AT1111:AU1111" si="2220">C1111</f>
        <v>G90900</v>
      </c>
      <c r="AU1111" s="854" t="str">
        <f t="shared" si="2220"/>
        <v>REMBOURSEMENTS DE GMCL</v>
      </c>
      <c r="AV1111" s="794">
        <f t="array" ref="AV1111">IFERROR(INDEX(V1111:AG1111,1,MATCH(Parametres!$B$3,V$1:AG$1,0)-1)*IF(OR(C1111="L",C1111="S",C1111="I"),-1,1),"")</f>
        <v>40</v>
      </c>
      <c r="AW1111" s="794">
        <f t="shared" si="6"/>
        <v>19</v>
      </c>
      <c r="AX1111" s="794">
        <f t="array" ref="AX1111">INDEX(V1111:AG1111,1,MATCH(Parametres!$B$3,V$1:AG$1,0))*IF(OR(C1111="L",C1111="S",C1111="I"),-1,1)</f>
        <v>59</v>
      </c>
      <c r="AY1111" s="853" t="s">
        <v>772</v>
      </c>
      <c r="AZ1111" s="853" t="str">
        <f>+VLOOKUP($AJ1111,Data_Validation!$A:$E,5,0)</f>
        <v/>
      </c>
    </row>
    <row r="1112" ht="15.0" customHeight="1">
      <c r="A1112" s="849" t="s">
        <v>1239</v>
      </c>
      <c r="B1112" s="849">
        <v>2026.0</v>
      </c>
      <c r="C1112" s="849" t="s">
        <v>3393</v>
      </c>
      <c r="D1112" s="849" t="s">
        <v>3394</v>
      </c>
      <c r="E1112" s="849" t="s">
        <v>768</v>
      </c>
      <c r="F1112" s="849" t="s">
        <v>1200</v>
      </c>
      <c r="G1112" s="849">
        <v>0.0</v>
      </c>
      <c r="H1112" s="849">
        <v>0.0</v>
      </c>
      <c r="I1112" s="849">
        <v>0.0</v>
      </c>
      <c r="J1112" s="849">
        <v>0.0</v>
      </c>
      <c r="K1112" s="849">
        <v>0.0</v>
      </c>
      <c r="L1112" s="849">
        <v>0.0</v>
      </c>
      <c r="M1112" s="849">
        <v>0.0</v>
      </c>
      <c r="N1112" s="849">
        <v>0.0</v>
      </c>
      <c r="O1112" s="849">
        <v>0.0</v>
      </c>
      <c r="P1112" s="849">
        <v>0.0</v>
      </c>
      <c r="Q1112" s="849">
        <v>0.0</v>
      </c>
      <c r="R1112" s="849">
        <v>0.0</v>
      </c>
      <c r="S1112" s="849">
        <v>0.0</v>
      </c>
      <c r="T1112" s="849">
        <v>0.0</v>
      </c>
      <c r="U1112" s="849">
        <v>0.0</v>
      </c>
      <c r="V1112" s="849">
        <v>0.0</v>
      </c>
      <c r="W1112" s="849">
        <v>0.0</v>
      </c>
      <c r="X1112" s="849">
        <v>0.0</v>
      </c>
      <c r="Y1112" s="849">
        <v>0.0</v>
      </c>
      <c r="Z1112" s="849">
        <v>0.0</v>
      </c>
      <c r="AA1112" s="849">
        <v>0.0</v>
      </c>
      <c r="AB1112" s="849">
        <v>0.0</v>
      </c>
      <c r="AC1112" s="849">
        <v>0.0</v>
      </c>
      <c r="AD1112" s="849">
        <v>0.0</v>
      </c>
      <c r="AE1112" s="849">
        <v>0.0</v>
      </c>
      <c r="AF1112" s="849">
        <v>0.0</v>
      </c>
      <c r="AG1112" s="849">
        <v>0.0</v>
      </c>
      <c r="AH1112" s="849">
        <v>0.0</v>
      </c>
      <c r="AI1112" s="849">
        <v>0.0</v>
      </c>
      <c r="AJ1112" s="794" t="str">
        <f t="shared" ref="AJ1112:AK1112" si="2221">C1112</f>
        <v>G953</v>
      </c>
      <c r="AK1112" s="794" t="str">
        <f t="shared" si="2221"/>
        <v>ESCOMPTE ACCORDE</v>
      </c>
      <c r="AL1112" s="794">
        <f t="array" ref="AL1112">IFERROR(INDEX(G1112:R1112,1,MATCH(Parametres!$B$3,G$1:R$1,0)-1)*IF(OR(F1112="L",F1112="S",F1112="I"),-1,1),"")</f>
        <v>0</v>
      </c>
      <c r="AM1112" s="794">
        <f t="shared" si="4"/>
        <v>0</v>
      </c>
      <c r="AN1112" s="794">
        <f t="array" ref="AN1112">INDEX(G1112:R1112,1,MATCH(Parametres!$B$3,G$1:R$1,0))*IF(OR(F1112="L",F1112="S",F1112="I"),-1,1)</f>
        <v>0</v>
      </c>
      <c r="AO1112" s="853" t="str">
        <f>+VLOOKUP($AJ1112,Data_Validation!$A:$D,1,0)</f>
        <v>#N/A</v>
      </c>
      <c r="AP1112" s="853" t="str">
        <f>+VLOOKUP($AJ1112,Data_Validation!$A:$D,3,0)</f>
        <v>#N/A</v>
      </c>
      <c r="AQ1112" s="853" t="str">
        <f>+VLOOKUP($AJ1112,Data_Validation!$A:$D,4,0)</f>
        <v>#N/A</v>
      </c>
      <c r="AR1112" s="853" t="s">
        <v>728</v>
      </c>
      <c r="AS1112" s="853" t="str">
        <f>+VLOOKUP($AJ1112,Data_Validation!$A:$E,5,0)</f>
        <v>#N/A</v>
      </c>
      <c r="AT1112" s="794" t="str">
        <f t="shared" ref="AT1112:AU1112" si="2222">C1112</f>
        <v>G953</v>
      </c>
      <c r="AU1112" s="854" t="str">
        <f t="shared" si="2222"/>
        <v>ESCOMPTE ACCORDE</v>
      </c>
      <c r="AV1112" s="794">
        <f t="array" ref="AV1112">IFERROR(INDEX(V1112:AG1112,1,MATCH(Parametres!$B$3,V$1:AG$1,0)-1)*IF(OR(C1112="L",C1112="S",C1112="I"),-1,1),"")</f>
        <v>0</v>
      </c>
      <c r="AW1112" s="794">
        <f t="shared" si="6"/>
        <v>0</v>
      </c>
      <c r="AX1112" s="794">
        <f t="array" ref="AX1112">INDEX(V1112:AG1112,1,MATCH(Parametres!$B$3,V$1:AG$1,0))*IF(OR(C1112="L",C1112="S",C1112="I"),-1,1)</f>
        <v>0</v>
      </c>
      <c r="AY1112" s="853" t="s">
        <v>772</v>
      </c>
      <c r="AZ1112" s="853" t="str">
        <f>+VLOOKUP($AJ1112,Data_Validation!$A:$E,5,0)</f>
        <v>#N/A</v>
      </c>
    </row>
    <row r="1113" ht="15.0" customHeight="1">
      <c r="A1113" s="849" t="s">
        <v>1239</v>
      </c>
      <c r="B1113" s="849">
        <v>2026.0</v>
      </c>
      <c r="C1113" s="849" t="s">
        <v>3395</v>
      </c>
      <c r="D1113" s="849" t="s">
        <v>3396</v>
      </c>
      <c r="E1113" s="849" t="s">
        <v>768</v>
      </c>
      <c r="F1113" s="849" t="s">
        <v>1200</v>
      </c>
      <c r="G1113" s="849">
        <v>0.0</v>
      </c>
      <c r="H1113" s="849">
        <v>0.0</v>
      </c>
      <c r="I1113" s="849">
        <v>0.0</v>
      </c>
      <c r="J1113" s="849">
        <v>0.0</v>
      </c>
      <c r="K1113" s="849">
        <v>0.0</v>
      </c>
      <c r="L1113" s="849">
        <v>0.0</v>
      </c>
      <c r="M1113" s="849">
        <v>0.0</v>
      </c>
      <c r="N1113" s="849">
        <v>0.0</v>
      </c>
      <c r="O1113" s="849">
        <v>0.0</v>
      </c>
      <c r="P1113" s="849">
        <v>0.0</v>
      </c>
      <c r="Q1113" s="849">
        <v>0.0</v>
      </c>
      <c r="R1113" s="849">
        <v>0.0</v>
      </c>
      <c r="S1113" s="849">
        <v>0.0</v>
      </c>
      <c r="T1113" s="849">
        <v>0.0</v>
      </c>
      <c r="U1113" s="849">
        <v>0.0</v>
      </c>
      <c r="V1113" s="849">
        <v>0.0</v>
      </c>
      <c r="W1113" s="849">
        <v>0.0</v>
      </c>
      <c r="X1113" s="849">
        <v>0.0</v>
      </c>
      <c r="Y1113" s="849">
        <v>0.0</v>
      </c>
      <c r="Z1113" s="849">
        <v>0.0</v>
      </c>
      <c r="AA1113" s="849">
        <v>0.0</v>
      </c>
      <c r="AB1113" s="849">
        <v>0.0</v>
      </c>
      <c r="AC1113" s="849">
        <v>0.0</v>
      </c>
      <c r="AD1113" s="849">
        <v>0.0</v>
      </c>
      <c r="AE1113" s="849">
        <v>0.0</v>
      </c>
      <c r="AF1113" s="849">
        <v>0.0</v>
      </c>
      <c r="AG1113" s="849">
        <v>0.0</v>
      </c>
      <c r="AH1113" s="849">
        <v>0.0</v>
      </c>
      <c r="AI1113" s="849">
        <v>0.0</v>
      </c>
      <c r="AJ1113" s="794" t="str">
        <f t="shared" ref="AJ1113:AK1113" si="2223">C1113</f>
        <v>G955</v>
      </c>
      <c r="AK1113" s="794" t="str">
        <f t="shared" si="2223"/>
        <v>AUTRES DEDUCTIONS</v>
      </c>
      <c r="AL1113" s="794">
        <f t="array" ref="AL1113">IFERROR(INDEX(G1113:R1113,1,MATCH(Parametres!$B$3,G$1:R$1,0)-1)*IF(OR(F1113="L",F1113="S",F1113="I"),-1,1),"")</f>
        <v>0</v>
      </c>
      <c r="AM1113" s="794">
        <f t="shared" si="4"/>
        <v>0</v>
      </c>
      <c r="AN1113" s="794">
        <f t="array" ref="AN1113">INDEX(G1113:R1113,1,MATCH(Parametres!$B$3,G$1:R$1,0))*IF(OR(F1113="L",F1113="S",F1113="I"),-1,1)</f>
        <v>0</v>
      </c>
      <c r="AO1113" s="853" t="str">
        <f>+VLOOKUP($AJ1113,Data_Validation!$A:$D,1,0)</f>
        <v>#N/A</v>
      </c>
      <c r="AP1113" s="853" t="str">
        <f>+VLOOKUP($AJ1113,Data_Validation!$A:$D,3,0)</f>
        <v>#N/A</v>
      </c>
      <c r="AQ1113" s="853" t="str">
        <f>+VLOOKUP($AJ1113,Data_Validation!$A:$D,4,0)</f>
        <v>#N/A</v>
      </c>
      <c r="AR1113" s="853" t="s">
        <v>728</v>
      </c>
      <c r="AS1113" s="853" t="str">
        <f>+VLOOKUP($AJ1113,Data_Validation!$A:$E,5,0)</f>
        <v>#N/A</v>
      </c>
      <c r="AT1113" s="794" t="str">
        <f t="shared" ref="AT1113:AU1113" si="2224">C1113</f>
        <v>G955</v>
      </c>
      <c r="AU1113" s="854" t="str">
        <f t="shared" si="2224"/>
        <v>AUTRES DEDUCTIONS</v>
      </c>
      <c r="AV1113" s="794">
        <f t="array" ref="AV1113">IFERROR(INDEX(V1113:AG1113,1,MATCH(Parametres!$B$3,V$1:AG$1,0)-1)*IF(OR(C1113="L",C1113="S",C1113="I"),-1,1),"")</f>
        <v>0</v>
      </c>
      <c r="AW1113" s="794">
        <f t="shared" si="6"/>
        <v>0</v>
      </c>
      <c r="AX1113" s="794">
        <f t="array" ref="AX1113">INDEX(V1113:AG1113,1,MATCH(Parametres!$B$3,V$1:AG$1,0))*IF(OR(C1113="L",C1113="S",C1113="I"),-1,1)</f>
        <v>0</v>
      </c>
      <c r="AY1113" s="853" t="s">
        <v>772</v>
      </c>
      <c r="AZ1113" s="853" t="str">
        <f>+VLOOKUP($AJ1113,Data_Validation!$A:$E,5,0)</f>
        <v>#N/A</v>
      </c>
    </row>
    <row r="1114" ht="15.0" customHeight="1">
      <c r="A1114" s="849" t="s">
        <v>1239</v>
      </c>
      <c r="B1114" s="849">
        <v>2026.0</v>
      </c>
      <c r="C1114" s="849" t="s">
        <v>3397</v>
      </c>
      <c r="D1114" s="849" t="s">
        <v>3396</v>
      </c>
      <c r="E1114" s="849" t="s">
        <v>768</v>
      </c>
      <c r="F1114" s="849" t="s">
        <v>1200</v>
      </c>
      <c r="G1114" s="849">
        <v>40.75</v>
      </c>
      <c r="H1114" s="849">
        <v>305.54</v>
      </c>
      <c r="I1114" s="849">
        <v>-1036.4</v>
      </c>
      <c r="J1114" s="849">
        <v>-1010.84</v>
      </c>
      <c r="K1114" s="849">
        <v>49163.08</v>
      </c>
      <c r="L1114" s="849">
        <v>49240.4</v>
      </c>
      <c r="M1114" s="849">
        <v>51449.07</v>
      </c>
      <c r="N1114" s="849">
        <v>51496.87</v>
      </c>
      <c r="O1114" s="849">
        <v>52813.65</v>
      </c>
      <c r="P1114" s="849">
        <v>52874.6</v>
      </c>
      <c r="Q1114" s="849">
        <v>0.0</v>
      </c>
      <c r="R1114" s="849">
        <v>0.0</v>
      </c>
      <c r="S1114" s="849">
        <v>5868.18</v>
      </c>
      <c r="T1114" s="849">
        <v>5868.18</v>
      </c>
      <c r="U1114" s="849">
        <v>0.0</v>
      </c>
      <c r="V1114" s="849">
        <v>0.0</v>
      </c>
      <c r="W1114" s="849">
        <v>0.0</v>
      </c>
      <c r="X1114" s="849">
        <v>0.0</v>
      </c>
      <c r="Y1114" s="849">
        <v>0.0</v>
      </c>
      <c r="Z1114" s="849">
        <v>0.0</v>
      </c>
      <c r="AA1114" s="849">
        <v>0.0</v>
      </c>
      <c r="AB1114" s="849">
        <v>0.0</v>
      </c>
      <c r="AC1114" s="849">
        <v>0.0</v>
      </c>
      <c r="AD1114" s="849">
        <v>0.0</v>
      </c>
      <c r="AE1114" s="849">
        <v>0.0</v>
      </c>
      <c r="AF1114" s="849">
        <v>0.0</v>
      </c>
      <c r="AG1114" s="849">
        <v>0.0</v>
      </c>
      <c r="AH1114" s="849">
        <v>0.0</v>
      </c>
      <c r="AI1114" s="849">
        <v>0.0</v>
      </c>
      <c r="AJ1114" s="794" t="str">
        <f t="shared" ref="AJ1114:AK1114" si="2225">C1114</f>
        <v>G95500</v>
      </c>
      <c r="AK1114" s="794" t="str">
        <f t="shared" si="2225"/>
        <v>AUTRES DEDUCTIONS</v>
      </c>
      <c r="AL1114" s="794">
        <f t="array" ref="AL1114">IFERROR(INDEX(G1114:R1114,1,MATCH(Parametres!$B$3,G$1:R$1,0)-1)*IF(OR(F1114="L",F1114="S",F1114="I"),-1,1),"")</f>
        <v>51496.87</v>
      </c>
      <c r="AM1114" s="794">
        <f t="shared" si="4"/>
        <v>1316.78</v>
      </c>
      <c r="AN1114" s="794">
        <f t="array" ref="AN1114">INDEX(G1114:R1114,1,MATCH(Parametres!$B$3,G$1:R$1,0))*IF(OR(F1114="L",F1114="S",F1114="I"),-1,1)</f>
        <v>52813.65</v>
      </c>
      <c r="AO1114" s="853" t="str">
        <f>+VLOOKUP($AJ1114,Data_Validation!$A:$D,1,0)</f>
        <v>G95500</v>
      </c>
      <c r="AP1114" s="853" t="str">
        <f>+VLOOKUP($AJ1114,Data_Validation!$A:$D,3,0)</f>
        <v>TOTAL DES REVENUS ET DÉPENSES</v>
      </c>
      <c r="AQ1114" s="853" t="str">
        <f>+VLOOKUP($AJ1114,Data_Validation!$A:$D,4,0)</f>
        <v>Revenus autres</v>
      </c>
      <c r="AR1114" s="853" t="s">
        <v>728</v>
      </c>
      <c r="AS1114" s="853" t="str">
        <f>+VLOOKUP($AJ1114,Data_Validation!$A:$E,5,0)</f>
        <v/>
      </c>
      <c r="AT1114" s="794" t="str">
        <f t="shared" ref="AT1114:AU1114" si="2226">C1114</f>
        <v>G95500</v>
      </c>
      <c r="AU1114" s="854" t="str">
        <f t="shared" si="2226"/>
        <v>AUTRES DEDUCTIONS</v>
      </c>
      <c r="AV1114" s="794">
        <f t="array" ref="AV1114">IFERROR(INDEX(V1114:AG1114,1,MATCH(Parametres!$B$3,V$1:AG$1,0)-1)*IF(OR(C1114="L",C1114="S",C1114="I"),-1,1),"")</f>
        <v>0</v>
      </c>
      <c r="AW1114" s="794">
        <f t="shared" si="6"/>
        <v>0</v>
      </c>
      <c r="AX1114" s="794">
        <f t="array" ref="AX1114">INDEX(V1114:AG1114,1,MATCH(Parametres!$B$3,V$1:AG$1,0))*IF(OR(C1114="L",C1114="S",C1114="I"),-1,1)</f>
        <v>0</v>
      </c>
      <c r="AY1114" s="853" t="s">
        <v>772</v>
      </c>
      <c r="AZ1114" s="853" t="str">
        <f>+VLOOKUP($AJ1114,Data_Validation!$A:$E,5,0)</f>
        <v/>
      </c>
    </row>
    <row r="1115" ht="15.0" customHeight="1">
      <c r="A1115" s="849" t="s">
        <v>1239</v>
      </c>
      <c r="B1115" s="849">
        <v>2026.0</v>
      </c>
      <c r="C1115" s="849" t="s">
        <v>3398</v>
      </c>
      <c r="D1115" s="849" t="s">
        <v>3399</v>
      </c>
      <c r="E1115" s="849" t="s">
        <v>768</v>
      </c>
      <c r="F1115" s="849" t="s">
        <v>1200</v>
      </c>
      <c r="G1115" s="849">
        <v>0.0</v>
      </c>
      <c r="H1115" s="849">
        <v>0.0</v>
      </c>
      <c r="I1115" s="849">
        <v>37199.85</v>
      </c>
      <c r="J1115" s="849">
        <v>58589.83</v>
      </c>
      <c r="K1115" s="849">
        <v>79840.57</v>
      </c>
      <c r="L1115" s="849">
        <v>100951.46</v>
      </c>
      <c r="M1115" s="849">
        <v>121921.9</v>
      </c>
      <c r="N1115" s="849">
        <v>142751.28</v>
      </c>
      <c r="O1115" s="849">
        <v>163438.99</v>
      </c>
      <c r="P1115" s="849">
        <v>163438.99</v>
      </c>
      <c r="Q1115" s="849">
        <v>0.0</v>
      </c>
      <c r="R1115" s="849">
        <v>0.0</v>
      </c>
      <c r="S1115" s="849">
        <v>18159.89</v>
      </c>
      <c r="T1115" s="849">
        <v>18159.89</v>
      </c>
      <c r="U1115" s="849">
        <v>0.0</v>
      </c>
      <c r="V1115" s="849">
        <v>0.0</v>
      </c>
      <c r="W1115" s="849">
        <v>0.0</v>
      </c>
      <c r="X1115" s="849">
        <v>0.0</v>
      </c>
      <c r="Y1115" s="849">
        <v>0.0</v>
      </c>
      <c r="Z1115" s="849">
        <v>0.0</v>
      </c>
      <c r="AA1115" s="849">
        <v>0.0</v>
      </c>
      <c r="AB1115" s="849">
        <v>0.0</v>
      </c>
      <c r="AC1115" s="849">
        <v>0.0</v>
      </c>
      <c r="AD1115" s="849">
        <v>0.0</v>
      </c>
      <c r="AE1115" s="849">
        <v>0.0</v>
      </c>
      <c r="AF1115" s="849">
        <v>0.0</v>
      </c>
      <c r="AG1115" s="849">
        <v>0.0</v>
      </c>
      <c r="AH1115" s="849">
        <v>0.0</v>
      </c>
      <c r="AI1115" s="849">
        <v>0.0</v>
      </c>
      <c r="AJ1115" s="794" t="str">
        <f t="shared" ref="AJ1115:AK1115" si="2227">C1115</f>
        <v>G95800</v>
      </c>
      <c r="AK1115" s="794" t="str">
        <f t="shared" si="2227"/>
        <v>DEPENSES INTERET (PRET)</v>
      </c>
      <c r="AL1115" s="794">
        <f t="array" ref="AL1115">IFERROR(INDEX(G1115:R1115,1,MATCH(Parametres!$B$3,G$1:R$1,0)-1)*IF(OR(F1115="L",F1115="S",F1115="I"),-1,1),"")</f>
        <v>142751.28</v>
      </c>
      <c r="AM1115" s="794">
        <f t="shared" si="4"/>
        <v>20687.71</v>
      </c>
      <c r="AN1115" s="794">
        <f t="array" ref="AN1115">INDEX(G1115:R1115,1,MATCH(Parametres!$B$3,G$1:R$1,0))*IF(OR(F1115="L",F1115="S",F1115="I"),-1,1)</f>
        <v>163438.99</v>
      </c>
      <c r="AO1115" s="853" t="str">
        <f>+VLOOKUP($AJ1115,Data_Validation!$A:$D,1,0)</f>
        <v>G95800</v>
      </c>
      <c r="AP1115" s="853" t="str">
        <f>+VLOOKUP($AJ1115,Data_Validation!$A:$D,3,0)</f>
        <v>TOTAL DES REVENUS ET DÉPENSES</v>
      </c>
      <c r="AQ1115" s="853" t="str">
        <f>+VLOOKUP($AJ1115,Data_Validation!$A:$D,4,0)</f>
        <v>Intérêts sur prêt</v>
      </c>
      <c r="AR1115" s="853" t="s">
        <v>728</v>
      </c>
      <c r="AS1115" s="853" t="str">
        <f>+VLOOKUP($AJ1115,Data_Validation!$A:$E,5,0)</f>
        <v/>
      </c>
      <c r="AT1115" s="794" t="str">
        <f t="shared" ref="AT1115:AU1115" si="2228">C1115</f>
        <v>G95800</v>
      </c>
      <c r="AU1115" s="854" t="str">
        <f t="shared" si="2228"/>
        <v>DEPENSES INTERET (PRET)</v>
      </c>
      <c r="AV1115" s="794">
        <f t="array" ref="AV1115">IFERROR(INDEX(V1115:AG1115,1,MATCH(Parametres!$B$3,V$1:AG$1,0)-1)*IF(OR(C1115="L",C1115="S",C1115="I"),-1,1),"")</f>
        <v>0</v>
      </c>
      <c r="AW1115" s="794">
        <f t="shared" si="6"/>
        <v>0</v>
      </c>
      <c r="AX1115" s="794">
        <f t="array" ref="AX1115">INDEX(V1115:AG1115,1,MATCH(Parametres!$B$3,V$1:AG$1,0))*IF(OR(C1115="L",C1115="S",C1115="I"),-1,1)</f>
        <v>0</v>
      </c>
      <c r="AY1115" s="853" t="s">
        <v>772</v>
      </c>
      <c r="AZ1115" s="853" t="str">
        <f>+VLOOKUP($AJ1115,Data_Validation!$A:$E,5,0)</f>
        <v/>
      </c>
    </row>
    <row r="1116" ht="15.0" customHeight="1">
      <c r="A1116" s="849" t="s">
        <v>1239</v>
      </c>
      <c r="B1116" s="849">
        <v>2026.0</v>
      </c>
      <c r="C1116" s="849" t="s">
        <v>3400</v>
      </c>
      <c r="D1116" s="849" t="s">
        <v>3401</v>
      </c>
      <c r="E1116" s="849" t="s">
        <v>768</v>
      </c>
      <c r="F1116" s="849" t="s">
        <v>1200</v>
      </c>
      <c r="G1116" s="849">
        <v>0.0</v>
      </c>
      <c r="H1116" s="849">
        <v>0.0</v>
      </c>
      <c r="I1116" s="849">
        <v>0.0</v>
      </c>
      <c r="J1116" s="849">
        <v>0.0</v>
      </c>
      <c r="K1116" s="849">
        <v>0.0</v>
      </c>
      <c r="L1116" s="849">
        <v>0.0</v>
      </c>
      <c r="M1116" s="849">
        <v>0.0</v>
      </c>
      <c r="N1116" s="849">
        <v>266.98</v>
      </c>
      <c r="O1116" s="849">
        <v>266.98</v>
      </c>
      <c r="P1116" s="849">
        <v>266.98</v>
      </c>
      <c r="Q1116" s="849">
        <v>0.0</v>
      </c>
      <c r="R1116" s="849">
        <v>0.0</v>
      </c>
      <c r="S1116" s="849">
        <v>29.66</v>
      </c>
      <c r="T1116" s="849">
        <v>29.66</v>
      </c>
      <c r="U1116" s="849">
        <v>0.0</v>
      </c>
      <c r="V1116" s="849">
        <v>0.0</v>
      </c>
      <c r="W1116" s="849">
        <v>0.0</v>
      </c>
      <c r="X1116" s="849">
        <v>0.0</v>
      </c>
      <c r="Y1116" s="849">
        <v>0.0</v>
      </c>
      <c r="Z1116" s="849">
        <v>0.0</v>
      </c>
      <c r="AA1116" s="849">
        <v>0.0</v>
      </c>
      <c r="AB1116" s="849">
        <v>0.0</v>
      </c>
      <c r="AC1116" s="849">
        <v>0.0</v>
      </c>
      <c r="AD1116" s="849">
        <v>0.0</v>
      </c>
      <c r="AE1116" s="849">
        <v>0.0</v>
      </c>
      <c r="AF1116" s="849">
        <v>0.0</v>
      </c>
      <c r="AG1116" s="849">
        <v>0.0</v>
      </c>
      <c r="AH1116" s="849">
        <v>0.0</v>
      </c>
      <c r="AI1116" s="849">
        <v>0.0</v>
      </c>
      <c r="AJ1116" s="794" t="str">
        <f t="shared" ref="AJ1116:AK1116" si="2229">C1116</f>
        <v>G95820</v>
      </c>
      <c r="AK1116" s="794" t="str">
        <f t="shared" si="2229"/>
        <v>DEPENSES INTERETS DIVERS</v>
      </c>
      <c r="AL1116" s="794">
        <f t="array" ref="AL1116">IFERROR(INDEX(G1116:R1116,1,MATCH(Parametres!$B$3,G$1:R$1,0)-1)*IF(OR(F1116="L",F1116="S",F1116="I"),-1,1),"")</f>
        <v>266.98</v>
      </c>
      <c r="AM1116" s="794">
        <f t="shared" si="4"/>
        <v>0</v>
      </c>
      <c r="AN1116" s="794">
        <f t="array" ref="AN1116">INDEX(G1116:R1116,1,MATCH(Parametres!$B$3,G$1:R$1,0))*IF(OR(F1116="L",F1116="S",F1116="I"),-1,1)</f>
        <v>266.98</v>
      </c>
      <c r="AO1116" s="853" t="str">
        <f>+VLOOKUP($AJ1116,Data_Validation!$A:$D,1,0)</f>
        <v>G95820</v>
      </c>
      <c r="AP1116" s="853" t="str">
        <f>+VLOOKUP($AJ1116,Data_Validation!$A:$D,3,0)</f>
        <v>TOTAL DES REVENUS ET DÉPENSES</v>
      </c>
      <c r="AQ1116" s="853" t="str">
        <f>+VLOOKUP($AJ1116,Data_Validation!$A:$D,4,0)</f>
        <v>Revenus autres</v>
      </c>
      <c r="AR1116" s="853" t="s">
        <v>728</v>
      </c>
      <c r="AS1116" s="853" t="str">
        <f>+VLOOKUP($AJ1116,Data_Validation!$A:$E,5,0)</f>
        <v/>
      </c>
      <c r="AT1116" s="794" t="str">
        <f t="shared" ref="AT1116:AU1116" si="2230">C1116</f>
        <v>G95820</v>
      </c>
      <c r="AU1116" s="854" t="str">
        <f t="shared" si="2230"/>
        <v>DEPENSES INTERETS DIVERS</v>
      </c>
      <c r="AV1116" s="794">
        <f t="array" ref="AV1116">IFERROR(INDEX(V1116:AG1116,1,MATCH(Parametres!$B$3,V$1:AG$1,0)-1)*IF(OR(C1116="L",C1116="S",C1116="I"),-1,1),"")</f>
        <v>0</v>
      </c>
      <c r="AW1116" s="794">
        <f t="shared" si="6"/>
        <v>0</v>
      </c>
      <c r="AX1116" s="794">
        <f t="array" ref="AX1116">INDEX(V1116:AG1116,1,MATCH(Parametres!$B$3,V$1:AG$1,0))*IF(OR(C1116="L",C1116="S",C1116="I"),-1,1)</f>
        <v>0</v>
      </c>
      <c r="AY1116" s="853" t="s">
        <v>772</v>
      </c>
      <c r="AZ1116" s="853" t="str">
        <f>+VLOOKUP($AJ1116,Data_Validation!$A:$E,5,0)</f>
        <v/>
      </c>
    </row>
    <row r="1117" ht="15.0" customHeight="1">
      <c r="A1117" s="849" t="s">
        <v>1239</v>
      </c>
      <c r="B1117" s="849">
        <v>2026.0</v>
      </c>
      <c r="C1117" s="849" t="s">
        <v>3402</v>
      </c>
      <c r="D1117" s="849" t="s">
        <v>1923</v>
      </c>
      <c r="E1117" s="849" t="s">
        <v>768</v>
      </c>
      <c r="F1117" s="849" t="s">
        <v>1200</v>
      </c>
      <c r="G1117" s="849">
        <v>0.0</v>
      </c>
      <c r="H1117" s="849">
        <v>0.0</v>
      </c>
      <c r="I1117" s="849">
        <v>0.0</v>
      </c>
      <c r="J1117" s="849">
        <v>0.0</v>
      </c>
      <c r="K1117" s="849">
        <v>0.0</v>
      </c>
      <c r="L1117" s="849">
        <v>0.0</v>
      </c>
      <c r="M1117" s="849">
        <v>0.0</v>
      </c>
      <c r="N1117" s="849">
        <v>0.0</v>
      </c>
      <c r="O1117" s="849">
        <v>0.0</v>
      </c>
      <c r="P1117" s="849">
        <v>0.0</v>
      </c>
      <c r="Q1117" s="849">
        <v>0.0</v>
      </c>
      <c r="R1117" s="849">
        <v>0.0</v>
      </c>
      <c r="S1117" s="849">
        <v>0.0</v>
      </c>
      <c r="T1117" s="849">
        <v>0.0</v>
      </c>
      <c r="U1117" s="849">
        <v>0.0</v>
      </c>
      <c r="V1117" s="849">
        <v>0.0</v>
      </c>
      <c r="W1117" s="849">
        <v>0.0</v>
      </c>
      <c r="X1117" s="849">
        <v>0.0</v>
      </c>
      <c r="Y1117" s="849">
        <v>0.0</v>
      </c>
      <c r="Z1117" s="849">
        <v>0.0</v>
      </c>
      <c r="AA1117" s="849">
        <v>0.0</v>
      </c>
      <c r="AB1117" s="849">
        <v>0.0</v>
      </c>
      <c r="AC1117" s="849">
        <v>0.0</v>
      </c>
      <c r="AD1117" s="849">
        <v>0.0</v>
      </c>
      <c r="AE1117" s="849">
        <v>0.0</v>
      </c>
      <c r="AF1117" s="849">
        <v>0.0</v>
      </c>
      <c r="AG1117" s="849">
        <v>0.0</v>
      </c>
      <c r="AH1117" s="849">
        <v>0.0</v>
      </c>
      <c r="AI1117" s="849">
        <v>0.0</v>
      </c>
      <c r="AJ1117" s="794" t="str">
        <f t="shared" ref="AJ1117:AK1117" si="2231">C1117</f>
        <v>G99960</v>
      </c>
      <c r="AK1117" s="794" t="str">
        <f t="shared" si="2231"/>
        <v>IN &amp; OUT PAYROLL</v>
      </c>
      <c r="AL1117" s="794">
        <f t="array" ref="AL1117">IFERROR(INDEX(G1117:R1117,1,MATCH(Parametres!$B$3,G$1:R$1,0)-1)*IF(OR(F1117="L",F1117="S",F1117="I"),-1,1),"")</f>
        <v>0</v>
      </c>
      <c r="AM1117" s="794">
        <f t="shared" si="4"/>
        <v>0</v>
      </c>
      <c r="AN1117" s="794">
        <f t="array" ref="AN1117">INDEX(G1117:R1117,1,MATCH(Parametres!$B$3,G$1:R$1,0))*IF(OR(F1117="L",F1117="S",F1117="I"),-1,1)</f>
        <v>0</v>
      </c>
      <c r="AO1117" s="853" t="str">
        <f>+VLOOKUP($AJ1117,Data_Validation!$A:$D,1,0)</f>
        <v>#N/A</v>
      </c>
      <c r="AP1117" s="853" t="str">
        <f>+VLOOKUP($AJ1117,Data_Validation!$A:$D,3,0)</f>
        <v>#N/A</v>
      </c>
      <c r="AQ1117" s="853" t="str">
        <f>+VLOOKUP($AJ1117,Data_Validation!$A:$D,4,0)</f>
        <v>#N/A</v>
      </c>
      <c r="AR1117" s="853" t="s">
        <v>728</v>
      </c>
      <c r="AS1117" s="853" t="str">
        <f>+VLOOKUP($AJ1117,Data_Validation!$A:$E,5,0)</f>
        <v>#N/A</v>
      </c>
      <c r="AT1117" s="794" t="str">
        <f t="shared" ref="AT1117:AU1117" si="2232">C1117</f>
        <v>G99960</v>
      </c>
      <c r="AU1117" s="854" t="str">
        <f t="shared" si="2232"/>
        <v>IN &amp; OUT PAYROLL</v>
      </c>
      <c r="AV1117" s="794">
        <f t="array" ref="AV1117">IFERROR(INDEX(V1117:AG1117,1,MATCH(Parametres!$B$3,V$1:AG$1,0)-1)*IF(OR(C1117="L",C1117="S",C1117="I"),-1,1),"")</f>
        <v>0</v>
      </c>
      <c r="AW1117" s="794">
        <f t="shared" si="6"/>
        <v>0</v>
      </c>
      <c r="AX1117" s="794">
        <f t="array" ref="AX1117">INDEX(V1117:AG1117,1,MATCH(Parametres!$B$3,V$1:AG$1,0))*IF(OR(C1117="L",C1117="S",C1117="I"),-1,1)</f>
        <v>0</v>
      </c>
      <c r="AY1117" s="853" t="s">
        <v>772</v>
      </c>
      <c r="AZ1117" s="853" t="str">
        <f>+VLOOKUP($AJ1117,Data_Validation!$A:$E,5,0)</f>
        <v>#N/A</v>
      </c>
    </row>
    <row r="1118" ht="15.0" customHeight="1">
      <c r="A1118" s="849" t="s">
        <v>1239</v>
      </c>
      <c r="B1118" s="849">
        <v>2026.0</v>
      </c>
      <c r="C1118" s="849" t="s">
        <v>3403</v>
      </c>
      <c r="D1118" s="849" t="s">
        <v>3404</v>
      </c>
      <c r="E1118" s="849" t="s">
        <v>2115</v>
      </c>
      <c r="F1118" s="849" t="s">
        <v>1200</v>
      </c>
      <c r="G1118" s="849">
        <v>0.0</v>
      </c>
      <c r="H1118" s="849">
        <v>0.0</v>
      </c>
      <c r="I1118" s="849">
        <v>0.0</v>
      </c>
      <c r="J1118" s="849">
        <v>0.0</v>
      </c>
      <c r="K1118" s="849">
        <v>0.0</v>
      </c>
      <c r="L1118" s="849">
        <v>0.0</v>
      </c>
      <c r="M1118" s="849">
        <v>0.0</v>
      </c>
      <c r="N1118" s="849">
        <v>0.0</v>
      </c>
      <c r="O1118" s="849">
        <v>0.0</v>
      </c>
      <c r="P1118" s="849">
        <v>0.0</v>
      </c>
      <c r="Q1118" s="849">
        <v>0.0</v>
      </c>
      <c r="R1118" s="849">
        <v>0.0</v>
      </c>
      <c r="S1118" s="849">
        <v>0.0</v>
      </c>
      <c r="T1118" s="849">
        <v>0.0</v>
      </c>
      <c r="U1118" s="849">
        <v>0.0</v>
      </c>
      <c r="V1118" s="849">
        <v>0.0</v>
      </c>
      <c r="W1118" s="849">
        <v>0.0</v>
      </c>
      <c r="X1118" s="849">
        <v>0.0</v>
      </c>
      <c r="Y1118" s="849">
        <v>0.0</v>
      </c>
      <c r="Z1118" s="849">
        <v>0.0</v>
      </c>
      <c r="AA1118" s="849">
        <v>0.0</v>
      </c>
      <c r="AB1118" s="849">
        <v>0.0</v>
      </c>
      <c r="AC1118" s="849">
        <v>0.0</v>
      </c>
      <c r="AD1118" s="849">
        <v>0.0</v>
      </c>
      <c r="AE1118" s="849">
        <v>0.0</v>
      </c>
      <c r="AF1118" s="849">
        <v>0.0</v>
      </c>
      <c r="AG1118" s="849">
        <v>0.0</v>
      </c>
      <c r="AH1118" s="849">
        <v>0.0</v>
      </c>
      <c r="AI1118" s="849">
        <v>0.0</v>
      </c>
      <c r="AJ1118" s="794" t="str">
        <f t="shared" ref="AJ1118:AK1118" si="2233">C1118</f>
        <v>G9999</v>
      </c>
      <c r="AK1118" s="794" t="str">
        <f t="shared" si="2233"/>
        <v>CHARGES A REFACTURER</v>
      </c>
      <c r="AL1118" s="794">
        <f t="array" ref="AL1118">IFERROR(INDEX(G1118:R1118,1,MATCH(Parametres!$B$3,G$1:R$1,0)-1)*IF(OR(F1118="L",F1118="S",F1118="I"),-1,1),"")</f>
        <v>0</v>
      </c>
      <c r="AM1118" s="794">
        <f t="shared" si="4"/>
        <v>0</v>
      </c>
      <c r="AN1118" s="794">
        <f t="array" ref="AN1118">INDEX(G1118:R1118,1,MATCH(Parametres!$B$3,G$1:R$1,0))*IF(OR(F1118="L",F1118="S",F1118="I"),-1,1)</f>
        <v>0</v>
      </c>
      <c r="AO1118" s="853" t="str">
        <f>+VLOOKUP($AJ1118,Data_Validation!$A:$D,1,0)</f>
        <v>G9999</v>
      </c>
      <c r="AP1118" s="853" t="str">
        <f>+VLOOKUP($AJ1118,Data_Validation!$A:$D,3,0)</f>
        <v>Wholesale autres</v>
      </c>
      <c r="AQ1118" s="853" t="str">
        <f>+VLOOKUP($AJ1118,Data_Validation!$A:$D,4,0)</f>
        <v>Frais de livraison</v>
      </c>
      <c r="AR1118" s="853" t="s">
        <v>728</v>
      </c>
      <c r="AS1118" s="853" t="str">
        <f>+VLOOKUP($AJ1118,Data_Validation!$A:$E,5,0)</f>
        <v/>
      </c>
      <c r="AT1118" s="794" t="str">
        <f t="shared" ref="AT1118:AU1118" si="2234">C1118</f>
        <v>G9999</v>
      </c>
      <c r="AU1118" s="854" t="str">
        <f t="shared" si="2234"/>
        <v>CHARGES A REFACTURER</v>
      </c>
      <c r="AV1118" s="794">
        <f t="array" ref="AV1118">IFERROR(INDEX(V1118:AG1118,1,MATCH(Parametres!$B$3,V$1:AG$1,0)-1)*IF(OR(C1118="L",C1118="S",C1118="I"),-1,1),"")</f>
        <v>0</v>
      </c>
      <c r="AW1118" s="794">
        <f t="shared" si="6"/>
        <v>0</v>
      </c>
      <c r="AX1118" s="794">
        <f t="array" ref="AX1118">INDEX(V1118:AG1118,1,MATCH(Parametres!$B$3,V$1:AG$1,0))*IF(OR(C1118="L",C1118="S",C1118="I"),-1,1)</f>
        <v>0</v>
      </c>
      <c r="AY1118" s="853" t="s">
        <v>772</v>
      </c>
      <c r="AZ1118" s="853" t="str">
        <f>+VLOOKUP($AJ1118,Data_Validation!$A:$E,5,0)</f>
        <v/>
      </c>
    </row>
    <row r="1119" ht="15.0" customHeight="1">
      <c r="A1119" s="849"/>
      <c r="B1119" s="849"/>
      <c r="C1119" s="849"/>
      <c r="D1119" s="849"/>
      <c r="E1119" s="849"/>
      <c r="F1119" s="849"/>
      <c r="G1119" s="849"/>
      <c r="H1119" s="849"/>
      <c r="I1119" s="849"/>
      <c r="J1119" s="849"/>
      <c r="K1119" s="849"/>
      <c r="L1119" s="849"/>
      <c r="M1119" s="849"/>
      <c r="N1119" s="849"/>
      <c r="O1119" s="849"/>
      <c r="P1119" s="849"/>
      <c r="Q1119" s="849"/>
      <c r="R1119" s="849"/>
      <c r="S1119" s="849"/>
      <c r="T1119" s="849"/>
      <c r="U1119" s="849"/>
      <c r="V1119" s="849"/>
      <c r="W1119" s="849"/>
      <c r="X1119" s="849"/>
      <c r="Y1119" s="849"/>
      <c r="Z1119" s="849"/>
      <c r="AA1119" s="849"/>
      <c r="AB1119" s="849"/>
      <c r="AC1119" s="849"/>
      <c r="AD1119" s="849"/>
      <c r="AE1119" s="849"/>
      <c r="AF1119" s="849"/>
      <c r="AG1119" s="849"/>
      <c r="AH1119" s="849"/>
      <c r="AI1119" s="849"/>
      <c r="AJ1119" s="794"/>
      <c r="AK1119" s="794"/>
      <c r="AL1119" s="794"/>
      <c r="AM1119" s="794"/>
      <c r="AN1119" s="794"/>
      <c r="AO1119" s="853"/>
      <c r="AP1119" s="853"/>
      <c r="AQ1119" s="853"/>
      <c r="AR1119" s="853"/>
      <c r="AS1119" s="853"/>
      <c r="AT1119" s="794"/>
      <c r="AU1119" s="854"/>
      <c r="AV1119" s="794"/>
      <c r="AW1119" s="794"/>
      <c r="AX1119" s="794"/>
      <c r="AY1119" s="853"/>
      <c r="AZ1119" s="853"/>
    </row>
    <row r="1120" ht="15.0" customHeight="1">
      <c r="A1120" s="849"/>
      <c r="B1120" s="849"/>
      <c r="C1120" s="849"/>
      <c r="D1120" s="849"/>
      <c r="E1120" s="849"/>
      <c r="F1120" s="849"/>
      <c r="G1120" s="849"/>
      <c r="H1120" s="849"/>
      <c r="I1120" s="849"/>
      <c r="J1120" s="849"/>
      <c r="K1120" s="849"/>
      <c r="L1120" s="849"/>
      <c r="M1120" s="849"/>
      <c r="N1120" s="849"/>
      <c r="O1120" s="849"/>
      <c r="P1120" s="849"/>
      <c r="Q1120" s="849"/>
      <c r="R1120" s="849"/>
      <c r="S1120" s="849"/>
      <c r="T1120" s="849"/>
      <c r="U1120" s="849"/>
      <c r="V1120" s="849"/>
      <c r="W1120" s="849"/>
      <c r="X1120" s="849"/>
      <c r="Y1120" s="849"/>
      <c r="Z1120" s="849"/>
      <c r="AA1120" s="849"/>
      <c r="AB1120" s="849"/>
      <c r="AC1120" s="849"/>
      <c r="AD1120" s="849"/>
      <c r="AE1120" s="849"/>
      <c r="AF1120" s="849"/>
      <c r="AG1120" s="849"/>
      <c r="AH1120" s="849"/>
      <c r="AI1120" s="849"/>
      <c r="AJ1120" s="794"/>
      <c r="AK1120" s="794"/>
      <c r="AL1120" s="794"/>
      <c r="AM1120" s="794"/>
      <c r="AN1120" s="794"/>
      <c r="AO1120" s="853"/>
      <c r="AP1120" s="853"/>
      <c r="AQ1120" s="853"/>
      <c r="AR1120" s="853"/>
      <c r="AS1120" s="853"/>
      <c r="AT1120" s="794"/>
      <c r="AU1120" s="854"/>
      <c r="AV1120" s="794"/>
      <c r="AW1120" s="794"/>
      <c r="AX1120" s="794"/>
      <c r="AY1120" s="853"/>
      <c r="AZ1120" s="853"/>
    </row>
    <row r="1121" ht="15.0" customHeight="1">
      <c r="A1121" s="849"/>
      <c r="B1121" s="849"/>
      <c r="C1121" s="849"/>
      <c r="D1121" s="849"/>
      <c r="E1121" s="849"/>
      <c r="F1121" s="849"/>
      <c r="G1121" s="849"/>
      <c r="H1121" s="849"/>
      <c r="I1121" s="849"/>
      <c r="J1121" s="849"/>
      <c r="K1121" s="849"/>
      <c r="L1121" s="849"/>
      <c r="M1121" s="849"/>
      <c r="N1121" s="849"/>
      <c r="O1121" s="849"/>
      <c r="P1121" s="849"/>
      <c r="Q1121" s="849"/>
      <c r="R1121" s="849"/>
      <c r="S1121" s="849"/>
      <c r="T1121" s="849"/>
      <c r="U1121" s="849"/>
      <c r="V1121" s="849"/>
      <c r="W1121" s="849"/>
      <c r="X1121" s="849"/>
      <c r="Y1121" s="849"/>
      <c r="Z1121" s="849"/>
      <c r="AA1121" s="849"/>
      <c r="AB1121" s="849"/>
      <c r="AC1121" s="849"/>
      <c r="AD1121" s="849"/>
      <c r="AE1121" s="849"/>
      <c r="AF1121" s="849"/>
      <c r="AG1121" s="849"/>
      <c r="AH1121" s="849"/>
      <c r="AI1121" s="849"/>
      <c r="AJ1121" s="794"/>
      <c r="AK1121" s="794"/>
      <c r="AL1121" s="794"/>
      <c r="AM1121" s="794"/>
      <c r="AN1121" s="794"/>
      <c r="AO1121" s="853"/>
      <c r="AP1121" s="853"/>
      <c r="AQ1121" s="853"/>
      <c r="AR1121" s="853"/>
      <c r="AS1121" s="853"/>
      <c r="AT1121" s="794"/>
      <c r="AU1121" s="854"/>
      <c r="AV1121" s="794"/>
      <c r="AW1121" s="794"/>
      <c r="AX1121" s="794"/>
      <c r="AY1121" s="853"/>
      <c r="AZ1121" s="853"/>
    </row>
    <row r="1122" ht="15.0" customHeight="1">
      <c r="A1122" s="849"/>
      <c r="B1122" s="849"/>
      <c r="C1122" s="849"/>
      <c r="D1122" s="849"/>
      <c r="E1122" s="849"/>
      <c r="F1122" s="849"/>
      <c r="G1122" s="849"/>
      <c r="H1122" s="849"/>
      <c r="I1122" s="849"/>
      <c r="J1122" s="849"/>
      <c r="K1122" s="849"/>
      <c r="L1122" s="849"/>
      <c r="M1122" s="849"/>
      <c r="N1122" s="849"/>
      <c r="O1122" s="849"/>
      <c r="P1122" s="849"/>
      <c r="Q1122" s="849"/>
      <c r="R1122" s="849"/>
      <c r="S1122" s="849"/>
      <c r="T1122" s="849"/>
      <c r="U1122" s="849"/>
      <c r="V1122" s="849"/>
      <c r="W1122" s="849"/>
      <c r="X1122" s="849"/>
      <c r="Y1122" s="849"/>
      <c r="Z1122" s="849"/>
      <c r="AA1122" s="849"/>
      <c r="AB1122" s="849"/>
      <c r="AC1122" s="849"/>
      <c r="AD1122" s="849"/>
      <c r="AE1122" s="849"/>
      <c r="AF1122" s="849"/>
      <c r="AG1122" s="849"/>
      <c r="AH1122" s="849"/>
      <c r="AI1122" s="849"/>
      <c r="AJ1122" s="794"/>
      <c r="AK1122" s="794"/>
      <c r="AL1122" s="794"/>
      <c r="AM1122" s="794"/>
      <c r="AN1122" s="794"/>
      <c r="AO1122" s="853"/>
      <c r="AP1122" s="853"/>
      <c r="AQ1122" s="853"/>
      <c r="AR1122" s="853"/>
      <c r="AS1122" s="853"/>
      <c r="AT1122" s="794"/>
      <c r="AU1122" s="854"/>
      <c r="AV1122" s="794"/>
      <c r="AW1122" s="794"/>
      <c r="AX1122" s="794"/>
      <c r="AY1122" s="853"/>
      <c r="AZ1122" s="853"/>
    </row>
    <row r="1123" ht="15.0" customHeight="1">
      <c r="A1123" s="849"/>
      <c r="B1123" s="849"/>
      <c r="C1123" s="849"/>
      <c r="D1123" s="849"/>
      <c r="E1123" s="849"/>
      <c r="F1123" s="849"/>
      <c r="G1123" s="849"/>
      <c r="H1123" s="849"/>
      <c r="I1123" s="849"/>
      <c r="J1123" s="849"/>
      <c r="K1123" s="849"/>
      <c r="L1123" s="849"/>
      <c r="M1123" s="849"/>
      <c r="N1123" s="849"/>
      <c r="O1123" s="849"/>
      <c r="P1123" s="849"/>
      <c r="Q1123" s="849"/>
      <c r="R1123" s="849"/>
      <c r="S1123" s="849"/>
      <c r="T1123" s="849"/>
      <c r="U1123" s="849"/>
      <c r="V1123" s="849"/>
      <c r="W1123" s="849"/>
      <c r="X1123" s="849"/>
      <c r="Y1123" s="849"/>
      <c r="Z1123" s="849"/>
      <c r="AA1123" s="849"/>
      <c r="AB1123" s="849"/>
      <c r="AC1123" s="849"/>
      <c r="AD1123" s="849"/>
      <c r="AE1123" s="849"/>
      <c r="AF1123" s="849"/>
      <c r="AG1123" s="849"/>
      <c r="AH1123" s="849"/>
      <c r="AI1123" s="849"/>
      <c r="AJ1123" s="794"/>
      <c r="AK1123" s="794"/>
      <c r="AL1123" s="794"/>
      <c r="AM1123" s="794"/>
      <c r="AN1123" s="794"/>
      <c r="AO1123" s="853"/>
      <c r="AP1123" s="853"/>
      <c r="AQ1123" s="853"/>
      <c r="AR1123" s="853"/>
      <c r="AS1123" s="853"/>
      <c r="AT1123" s="794"/>
      <c r="AU1123" s="854"/>
      <c r="AV1123" s="794"/>
      <c r="AW1123" s="794"/>
      <c r="AX1123" s="794"/>
      <c r="AY1123" s="853"/>
      <c r="AZ1123" s="853"/>
    </row>
    <row r="1124" ht="15.0" customHeight="1">
      <c r="A1124" s="849"/>
      <c r="B1124" s="849"/>
      <c r="C1124" s="849"/>
      <c r="D1124" s="849"/>
      <c r="E1124" s="849"/>
      <c r="F1124" s="849"/>
      <c r="G1124" s="849"/>
      <c r="H1124" s="849"/>
      <c r="I1124" s="849"/>
      <c r="J1124" s="849"/>
      <c r="K1124" s="849"/>
      <c r="L1124" s="849"/>
      <c r="M1124" s="849"/>
      <c r="N1124" s="849"/>
      <c r="O1124" s="849"/>
      <c r="P1124" s="849"/>
      <c r="Q1124" s="849"/>
      <c r="R1124" s="849"/>
      <c r="S1124" s="849"/>
      <c r="T1124" s="849"/>
      <c r="U1124" s="849"/>
      <c r="V1124" s="849"/>
      <c r="W1124" s="849"/>
      <c r="X1124" s="849"/>
      <c r="Y1124" s="849"/>
      <c r="Z1124" s="849"/>
      <c r="AA1124" s="849"/>
      <c r="AB1124" s="849"/>
      <c r="AC1124" s="849"/>
      <c r="AD1124" s="849"/>
      <c r="AE1124" s="849"/>
      <c r="AF1124" s="849"/>
      <c r="AG1124" s="849"/>
      <c r="AH1124" s="849"/>
      <c r="AI1124" s="849"/>
      <c r="AJ1124" s="794"/>
      <c r="AK1124" s="794"/>
      <c r="AL1124" s="794"/>
      <c r="AM1124" s="794"/>
      <c r="AN1124" s="794"/>
      <c r="AO1124" s="853"/>
      <c r="AP1124" s="853"/>
      <c r="AQ1124" s="853"/>
      <c r="AR1124" s="853"/>
      <c r="AS1124" s="853"/>
      <c r="AT1124" s="794"/>
      <c r="AU1124" s="854"/>
      <c r="AV1124" s="794"/>
      <c r="AW1124" s="794"/>
      <c r="AX1124" s="794"/>
      <c r="AY1124" s="853"/>
      <c r="AZ1124" s="853"/>
    </row>
    <row r="1125" ht="15.0" customHeight="1">
      <c r="A1125" s="849"/>
      <c r="B1125" s="849"/>
      <c r="C1125" s="849"/>
      <c r="D1125" s="849"/>
      <c r="E1125" s="849"/>
      <c r="F1125" s="849"/>
      <c r="G1125" s="849"/>
      <c r="H1125" s="849"/>
      <c r="I1125" s="849"/>
      <c r="J1125" s="849"/>
      <c r="K1125" s="849"/>
      <c r="L1125" s="849"/>
      <c r="M1125" s="849"/>
      <c r="N1125" s="849"/>
      <c r="O1125" s="849"/>
      <c r="P1125" s="849"/>
      <c r="Q1125" s="849"/>
      <c r="R1125" s="849"/>
      <c r="S1125" s="849"/>
      <c r="T1125" s="849"/>
      <c r="U1125" s="849"/>
      <c r="V1125" s="849"/>
      <c r="W1125" s="849"/>
      <c r="X1125" s="849"/>
      <c r="Y1125" s="849"/>
      <c r="Z1125" s="849"/>
      <c r="AA1125" s="849"/>
      <c r="AB1125" s="849"/>
      <c r="AC1125" s="849"/>
      <c r="AD1125" s="849"/>
      <c r="AE1125" s="849"/>
      <c r="AF1125" s="849"/>
      <c r="AG1125" s="849"/>
      <c r="AH1125" s="849"/>
      <c r="AI1125" s="849"/>
      <c r="AJ1125" s="794"/>
      <c r="AK1125" s="794"/>
      <c r="AL1125" s="794"/>
      <c r="AM1125" s="794"/>
      <c r="AN1125" s="794"/>
      <c r="AO1125" s="853"/>
      <c r="AP1125" s="853"/>
      <c r="AQ1125" s="853"/>
      <c r="AR1125" s="853"/>
      <c r="AS1125" s="853"/>
      <c r="AT1125" s="794"/>
      <c r="AU1125" s="854"/>
      <c r="AV1125" s="794"/>
      <c r="AW1125" s="794"/>
      <c r="AX1125" s="794"/>
      <c r="AY1125" s="853"/>
      <c r="AZ1125" s="853"/>
    </row>
    <row r="1126" ht="15.0" customHeight="1">
      <c r="A1126" s="849"/>
      <c r="B1126" s="849"/>
      <c r="C1126" s="849"/>
      <c r="D1126" s="849"/>
      <c r="E1126" s="849"/>
      <c r="F1126" s="849"/>
      <c r="G1126" s="849"/>
      <c r="H1126" s="849"/>
      <c r="I1126" s="849"/>
      <c r="J1126" s="849"/>
      <c r="K1126" s="849"/>
      <c r="L1126" s="849"/>
      <c r="M1126" s="849"/>
      <c r="N1126" s="849"/>
      <c r="O1126" s="849"/>
      <c r="P1126" s="849"/>
      <c r="Q1126" s="849"/>
      <c r="R1126" s="849"/>
      <c r="S1126" s="849"/>
      <c r="T1126" s="849"/>
      <c r="U1126" s="849"/>
      <c r="V1126" s="849"/>
      <c r="W1126" s="849"/>
      <c r="X1126" s="849"/>
      <c r="Y1126" s="849"/>
      <c r="Z1126" s="849"/>
      <c r="AA1126" s="849"/>
      <c r="AB1126" s="849"/>
      <c r="AC1126" s="849"/>
      <c r="AD1126" s="849"/>
      <c r="AE1126" s="849"/>
      <c r="AF1126" s="849"/>
      <c r="AG1126" s="849"/>
      <c r="AH1126" s="849"/>
      <c r="AI1126" s="849"/>
      <c r="AJ1126" s="794"/>
      <c r="AK1126" s="794"/>
      <c r="AL1126" s="794"/>
      <c r="AM1126" s="794"/>
      <c r="AN1126" s="794"/>
      <c r="AO1126" s="853"/>
      <c r="AP1126" s="853"/>
      <c r="AQ1126" s="853"/>
      <c r="AR1126" s="853"/>
      <c r="AS1126" s="853"/>
      <c r="AT1126" s="794"/>
      <c r="AU1126" s="854"/>
      <c r="AV1126" s="794"/>
      <c r="AW1126" s="794"/>
      <c r="AX1126" s="794"/>
      <c r="AY1126" s="853"/>
      <c r="AZ1126" s="853"/>
    </row>
    <row r="1127" ht="15.0" customHeight="1">
      <c r="A1127" s="849"/>
      <c r="B1127" s="849"/>
      <c r="C1127" s="849"/>
      <c r="D1127" s="849"/>
      <c r="E1127" s="849"/>
      <c r="F1127" s="849"/>
      <c r="G1127" s="849"/>
      <c r="H1127" s="849"/>
      <c r="I1127" s="849"/>
      <c r="J1127" s="849"/>
      <c r="K1127" s="849"/>
      <c r="L1127" s="849"/>
      <c r="M1127" s="849"/>
      <c r="N1127" s="849"/>
      <c r="O1127" s="849"/>
      <c r="P1127" s="849"/>
      <c r="Q1127" s="849"/>
      <c r="R1127" s="849"/>
      <c r="S1127" s="849"/>
      <c r="T1127" s="849"/>
      <c r="U1127" s="849"/>
      <c r="V1127" s="849"/>
      <c r="W1127" s="849"/>
      <c r="X1127" s="849"/>
      <c r="Y1127" s="849"/>
      <c r="Z1127" s="849"/>
      <c r="AA1127" s="849"/>
      <c r="AB1127" s="849"/>
      <c r="AC1127" s="849"/>
      <c r="AD1127" s="849"/>
      <c r="AE1127" s="849"/>
      <c r="AF1127" s="849"/>
      <c r="AG1127" s="849"/>
      <c r="AH1127" s="849"/>
      <c r="AI1127" s="849"/>
      <c r="AJ1127" s="794"/>
      <c r="AK1127" s="794"/>
      <c r="AL1127" s="794"/>
      <c r="AM1127" s="794"/>
      <c r="AN1127" s="794"/>
      <c r="AO1127" s="853"/>
      <c r="AP1127" s="853"/>
      <c r="AQ1127" s="853"/>
      <c r="AR1127" s="853"/>
      <c r="AS1127" s="853"/>
      <c r="AT1127" s="794"/>
      <c r="AU1127" s="854"/>
      <c r="AV1127" s="794"/>
      <c r="AW1127" s="794"/>
      <c r="AX1127" s="794"/>
      <c r="AY1127" s="853"/>
      <c r="AZ1127" s="853"/>
    </row>
    <row r="1128" ht="15.0" customHeight="1">
      <c r="A1128" s="849"/>
      <c r="B1128" s="849"/>
      <c r="C1128" s="849"/>
      <c r="D1128" s="849"/>
      <c r="E1128" s="849"/>
      <c r="F1128" s="849"/>
      <c r="G1128" s="849"/>
      <c r="H1128" s="849"/>
      <c r="I1128" s="849"/>
      <c r="J1128" s="849"/>
      <c r="K1128" s="849"/>
      <c r="L1128" s="849"/>
      <c r="M1128" s="849"/>
      <c r="N1128" s="849"/>
      <c r="O1128" s="849"/>
      <c r="P1128" s="849"/>
      <c r="Q1128" s="849"/>
      <c r="R1128" s="849"/>
      <c r="S1128" s="849"/>
      <c r="T1128" s="849"/>
      <c r="U1128" s="849"/>
      <c r="V1128" s="849"/>
      <c r="W1128" s="849"/>
      <c r="X1128" s="849"/>
      <c r="Y1128" s="849"/>
      <c r="Z1128" s="849"/>
      <c r="AA1128" s="849"/>
      <c r="AB1128" s="849"/>
      <c r="AC1128" s="849"/>
      <c r="AD1128" s="849"/>
      <c r="AE1128" s="849"/>
      <c r="AF1128" s="849"/>
      <c r="AG1128" s="849"/>
      <c r="AH1128" s="849"/>
      <c r="AI1128" s="849"/>
      <c r="AJ1128" s="794"/>
      <c r="AK1128" s="794"/>
      <c r="AL1128" s="794"/>
      <c r="AM1128" s="794"/>
      <c r="AN1128" s="794"/>
      <c r="AO1128" s="853"/>
      <c r="AP1128" s="853"/>
      <c r="AQ1128" s="853"/>
      <c r="AR1128" s="853"/>
      <c r="AS1128" s="853"/>
      <c r="AT1128" s="794"/>
      <c r="AU1128" s="854"/>
      <c r="AV1128" s="794"/>
      <c r="AW1128" s="794"/>
      <c r="AX1128" s="794"/>
      <c r="AY1128" s="853"/>
      <c r="AZ1128" s="853"/>
    </row>
    <row r="1129" ht="15.0" customHeight="1">
      <c r="A1129" s="849"/>
      <c r="B1129" s="849"/>
      <c r="C1129" s="849"/>
      <c r="D1129" s="849"/>
      <c r="E1129" s="849"/>
      <c r="F1129" s="849"/>
      <c r="G1129" s="849"/>
      <c r="H1129" s="849"/>
      <c r="I1129" s="849"/>
      <c r="J1129" s="849"/>
      <c r="K1129" s="849"/>
      <c r="L1129" s="849"/>
      <c r="M1129" s="849"/>
      <c r="N1129" s="849"/>
      <c r="O1129" s="849"/>
      <c r="P1129" s="849"/>
      <c r="Q1129" s="849"/>
      <c r="R1129" s="849"/>
      <c r="S1129" s="849"/>
      <c r="T1129" s="849"/>
      <c r="U1129" s="849"/>
      <c r="V1129" s="849"/>
      <c r="W1129" s="849"/>
      <c r="X1129" s="849"/>
      <c r="Y1129" s="849"/>
      <c r="Z1129" s="849"/>
      <c r="AA1129" s="849"/>
      <c r="AB1129" s="849"/>
      <c r="AC1129" s="849"/>
      <c r="AD1129" s="849"/>
      <c r="AE1129" s="849"/>
      <c r="AF1129" s="849"/>
      <c r="AG1129" s="849"/>
      <c r="AH1129" s="849"/>
      <c r="AI1129" s="849"/>
      <c r="AJ1129" s="794"/>
      <c r="AK1129" s="794"/>
      <c r="AL1129" s="794"/>
      <c r="AM1129" s="794"/>
      <c r="AN1129" s="794"/>
      <c r="AO1129" s="853"/>
      <c r="AP1129" s="853"/>
      <c r="AQ1129" s="853"/>
      <c r="AR1129" s="853"/>
      <c r="AS1129" s="853"/>
      <c r="AT1129" s="794"/>
      <c r="AU1129" s="854"/>
      <c r="AV1129" s="794"/>
      <c r="AW1129" s="794"/>
      <c r="AX1129" s="794"/>
      <c r="AY1129" s="853"/>
      <c r="AZ1129" s="853"/>
    </row>
    <row r="1130" ht="15.0" customHeight="1">
      <c r="A1130" s="849"/>
      <c r="B1130" s="849"/>
      <c r="C1130" s="849"/>
      <c r="D1130" s="849"/>
      <c r="E1130" s="849"/>
      <c r="F1130" s="849"/>
      <c r="G1130" s="849"/>
      <c r="H1130" s="849"/>
      <c r="I1130" s="849"/>
      <c r="J1130" s="849"/>
      <c r="K1130" s="849"/>
      <c r="L1130" s="849"/>
      <c r="M1130" s="849"/>
      <c r="N1130" s="849"/>
      <c r="O1130" s="849"/>
      <c r="P1130" s="849"/>
      <c r="Q1130" s="849"/>
      <c r="R1130" s="849"/>
      <c r="S1130" s="849"/>
      <c r="T1130" s="849"/>
      <c r="U1130" s="849"/>
      <c r="V1130" s="849"/>
      <c r="W1130" s="849"/>
      <c r="X1130" s="849"/>
      <c r="Y1130" s="849"/>
      <c r="Z1130" s="849"/>
      <c r="AA1130" s="849"/>
      <c r="AB1130" s="849"/>
      <c r="AC1130" s="849"/>
      <c r="AD1130" s="849"/>
      <c r="AE1130" s="849"/>
      <c r="AF1130" s="849"/>
      <c r="AG1130" s="849"/>
      <c r="AH1130" s="849"/>
      <c r="AI1130" s="849"/>
      <c r="AJ1130" s="794"/>
      <c r="AK1130" s="794"/>
      <c r="AL1130" s="794"/>
      <c r="AM1130" s="794"/>
      <c r="AN1130" s="794"/>
      <c r="AO1130" s="853"/>
      <c r="AP1130" s="853"/>
      <c r="AQ1130" s="853"/>
      <c r="AR1130" s="853"/>
      <c r="AS1130" s="853"/>
      <c r="AT1130" s="794"/>
      <c r="AU1130" s="854"/>
      <c r="AV1130" s="794"/>
      <c r="AW1130" s="794"/>
      <c r="AX1130" s="794"/>
      <c r="AY1130" s="853"/>
      <c r="AZ1130" s="853"/>
    </row>
    <row r="1131" ht="15.0" customHeight="1">
      <c r="A1131" s="849"/>
      <c r="B1131" s="849"/>
      <c r="C1131" s="849"/>
      <c r="D1131" s="849"/>
      <c r="E1131" s="849"/>
      <c r="F1131" s="849"/>
      <c r="G1131" s="849"/>
      <c r="H1131" s="849"/>
      <c r="I1131" s="849"/>
      <c r="J1131" s="849"/>
      <c r="K1131" s="849"/>
      <c r="L1131" s="849"/>
      <c r="M1131" s="849"/>
      <c r="N1131" s="849"/>
      <c r="O1131" s="849"/>
      <c r="P1131" s="849"/>
      <c r="Q1131" s="849"/>
      <c r="R1131" s="849"/>
      <c r="S1131" s="849"/>
      <c r="T1131" s="849"/>
      <c r="U1131" s="849"/>
      <c r="V1131" s="849"/>
      <c r="W1131" s="849"/>
      <c r="X1131" s="849"/>
      <c r="Y1131" s="849"/>
      <c r="Z1131" s="849"/>
      <c r="AA1131" s="849"/>
      <c r="AB1131" s="849"/>
      <c r="AC1131" s="849"/>
      <c r="AD1131" s="849"/>
      <c r="AE1131" s="849"/>
      <c r="AF1131" s="849"/>
      <c r="AG1131" s="849"/>
      <c r="AH1131" s="849"/>
      <c r="AI1131" s="849"/>
      <c r="AJ1131" s="794"/>
      <c r="AK1131" s="794"/>
      <c r="AL1131" s="794"/>
      <c r="AM1131" s="794"/>
      <c r="AN1131" s="794"/>
      <c r="AO1131" s="853"/>
      <c r="AP1131" s="853"/>
      <c r="AQ1131" s="853"/>
      <c r="AR1131" s="853"/>
      <c r="AS1131" s="853"/>
      <c r="AT1131" s="794"/>
      <c r="AU1131" s="854"/>
      <c r="AV1131" s="794"/>
      <c r="AW1131" s="794"/>
      <c r="AX1131" s="794"/>
      <c r="AY1131" s="853"/>
      <c r="AZ1131" s="853"/>
    </row>
    <row r="1132" ht="15.0" customHeight="1">
      <c r="A1132" s="849"/>
      <c r="B1132" s="849"/>
      <c r="C1132" s="849"/>
      <c r="D1132" s="849"/>
      <c r="E1132" s="849"/>
      <c r="F1132" s="849"/>
      <c r="G1132" s="849"/>
      <c r="H1132" s="849"/>
      <c r="I1132" s="849"/>
      <c r="J1132" s="849"/>
      <c r="K1132" s="849"/>
      <c r="L1132" s="849"/>
      <c r="M1132" s="849"/>
      <c r="N1132" s="849"/>
      <c r="O1132" s="849"/>
      <c r="P1132" s="849"/>
      <c r="Q1132" s="849"/>
      <c r="R1132" s="849"/>
      <c r="S1132" s="849"/>
      <c r="T1132" s="849"/>
      <c r="U1132" s="849"/>
      <c r="V1132" s="849"/>
      <c r="W1132" s="849"/>
      <c r="X1132" s="849"/>
      <c r="Y1132" s="849"/>
      <c r="Z1132" s="849"/>
      <c r="AA1132" s="849"/>
      <c r="AB1132" s="849"/>
      <c r="AC1132" s="849"/>
      <c r="AD1132" s="849"/>
      <c r="AE1132" s="849"/>
      <c r="AF1132" s="849"/>
      <c r="AG1132" s="849"/>
      <c r="AH1132" s="849"/>
      <c r="AI1132" s="849"/>
      <c r="AJ1132" s="794"/>
      <c r="AK1132" s="794"/>
      <c r="AL1132" s="794"/>
      <c r="AM1132" s="794"/>
      <c r="AN1132" s="794"/>
      <c r="AO1132" s="853"/>
      <c r="AP1132" s="853"/>
      <c r="AQ1132" s="853"/>
      <c r="AR1132" s="853"/>
      <c r="AS1132" s="853"/>
      <c r="AT1132" s="794"/>
      <c r="AU1132" s="854"/>
      <c r="AV1132" s="794"/>
      <c r="AW1132" s="794"/>
      <c r="AX1132" s="794"/>
      <c r="AY1132" s="853"/>
      <c r="AZ1132" s="853"/>
    </row>
    <row r="1133" ht="15.0" customHeight="1">
      <c r="A1133" s="849"/>
      <c r="B1133" s="849"/>
      <c r="C1133" s="849"/>
      <c r="D1133" s="849"/>
      <c r="E1133" s="849"/>
      <c r="F1133" s="849"/>
      <c r="G1133" s="849"/>
      <c r="H1133" s="849"/>
      <c r="I1133" s="849"/>
      <c r="J1133" s="849"/>
      <c r="K1133" s="849"/>
      <c r="L1133" s="849"/>
      <c r="M1133" s="849"/>
      <c r="N1133" s="849"/>
      <c r="O1133" s="849"/>
      <c r="P1133" s="849"/>
      <c r="Q1133" s="849"/>
      <c r="R1133" s="849"/>
      <c r="S1133" s="849"/>
      <c r="T1133" s="849"/>
      <c r="U1133" s="849"/>
      <c r="V1133" s="849"/>
      <c r="W1133" s="849"/>
      <c r="X1133" s="849"/>
      <c r="Y1133" s="849"/>
      <c r="Z1133" s="849"/>
      <c r="AA1133" s="849"/>
      <c r="AB1133" s="849"/>
      <c r="AC1133" s="849"/>
      <c r="AD1133" s="849"/>
      <c r="AE1133" s="849"/>
      <c r="AF1133" s="849"/>
      <c r="AG1133" s="849"/>
      <c r="AH1133" s="849"/>
      <c r="AI1133" s="849"/>
      <c r="AJ1133" s="794"/>
      <c r="AK1133" s="794"/>
      <c r="AL1133" s="794"/>
      <c r="AM1133" s="794"/>
      <c r="AN1133" s="794"/>
      <c r="AO1133" s="853"/>
      <c r="AP1133" s="853"/>
      <c r="AQ1133" s="853"/>
      <c r="AR1133" s="853"/>
      <c r="AS1133" s="853"/>
      <c r="AT1133" s="794"/>
      <c r="AU1133" s="854"/>
      <c r="AV1133" s="794"/>
      <c r="AW1133" s="794"/>
      <c r="AX1133" s="794"/>
      <c r="AY1133" s="853"/>
      <c r="AZ1133" s="853"/>
    </row>
    <row r="1134" ht="15.0" customHeight="1">
      <c r="A1134" s="849"/>
      <c r="B1134" s="849"/>
      <c r="C1134" s="849"/>
      <c r="D1134" s="849"/>
      <c r="E1134" s="849"/>
      <c r="F1134" s="849"/>
      <c r="G1134" s="849"/>
      <c r="H1134" s="849"/>
      <c r="I1134" s="849"/>
      <c r="J1134" s="849"/>
      <c r="K1134" s="849"/>
      <c r="L1134" s="849"/>
      <c r="M1134" s="849"/>
      <c r="N1134" s="849"/>
      <c r="O1134" s="849"/>
      <c r="P1134" s="849"/>
      <c r="Q1134" s="849"/>
      <c r="R1134" s="849"/>
      <c r="S1134" s="849"/>
      <c r="T1134" s="849"/>
      <c r="U1134" s="849"/>
      <c r="V1134" s="849"/>
      <c r="W1134" s="849"/>
      <c r="X1134" s="849"/>
      <c r="Y1134" s="849"/>
      <c r="Z1134" s="849"/>
      <c r="AA1134" s="849"/>
      <c r="AB1134" s="849"/>
      <c r="AC1134" s="849"/>
      <c r="AD1134" s="849"/>
      <c r="AE1134" s="849"/>
      <c r="AF1134" s="849"/>
      <c r="AG1134" s="849"/>
      <c r="AH1134" s="849"/>
      <c r="AI1134" s="849"/>
      <c r="AJ1134" s="794"/>
      <c r="AK1134" s="794"/>
      <c r="AL1134" s="794"/>
      <c r="AM1134" s="794"/>
      <c r="AN1134" s="794"/>
      <c r="AO1134" s="853"/>
      <c r="AP1134" s="853"/>
      <c r="AQ1134" s="853"/>
      <c r="AR1134" s="853"/>
      <c r="AS1134" s="853"/>
      <c r="AT1134" s="794"/>
      <c r="AU1134" s="854"/>
      <c r="AV1134" s="794"/>
      <c r="AW1134" s="794"/>
      <c r="AX1134" s="794"/>
      <c r="AY1134" s="853"/>
      <c r="AZ1134" s="853"/>
    </row>
    <row r="1135" ht="15.0" customHeight="1">
      <c r="A1135" s="849"/>
      <c r="B1135" s="849"/>
      <c r="C1135" s="849"/>
      <c r="D1135" s="849"/>
      <c r="E1135" s="849"/>
      <c r="F1135" s="849"/>
      <c r="G1135" s="849"/>
      <c r="H1135" s="849"/>
      <c r="I1135" s="849"/>
      <c r="J1135" s="849"/>
      <c r="K1135" s="849"/>
      <c r="L1135" s="849"/>
      <c r="M1135" s="849"/>
      <c r="N1135" s="849"/>
      <c r="O1135" s="849"/>
      <c r="P1135" s="849"/>
      <c r="Q1135" s="849"/>
      <c r="R1135" s="849"/>
      <c r="S1135" s="849"/>
      <c r="T1135" s="849"/>
      <c r="U1135" s="849"/>
      <c r="V1135" s="849"/>
      <c r="W1135" s="849"/>
      <c r="X1135" s="849"/>
      <c r="Y1135" s="849"/>
      <c r="Z1135" s="849"/>
      <c r="AA1135" s="849"/>
      <c r="AB1135" s="849"/>
      <c r="AC1135" s="849"/>
      <c r="AD1135" s="849"/>
      <c r="AE1135" s="849"/>
      <c r="AF1135" s="849"/>
      <c r="AG1135" s="849"/>
      <c r="AH1135" s="849"/>
      <c r="AI1135" s="849"/>
      <c r="AJ1135" s="794"/>
      <c r="AK1135" s="794"/>
      <c r="AL1135" s="794"/>
      <c r="AM1135" s="794"/>
      <c r="AN1135" s="794"/>
      <c r="AO1135" s="853"/>
      <c r="AP1135" s="853"/>
      <c r="AQ1135" s="853"/>
      <c r="AR1135" s="853"/>
      <c r="AS1135" s="853"/>
      <c r="AT1135" s="794"/>
      <c r="AU1135" s="854"/>
      <c r="AV1135" s="794"/>
      <c r="AW1135" s="794"/>
      <c r="AX1135" s="794"/>
      <c r="AY1135" s="853"/>
      <c r="AZ1135" s="853"/>
    </row>
    <row r="1136" ht="15.0" customHeight="1">
      <c r="A1136" s="849"/>
      <c r="B1136" s="849"/>
      <c r="C1136" s="849"/>
      <c r="D1136" s="849"/>
      <c r="E1136" s="849"/>
      <c r="F1136" s="849"/>
      <c r="G1136" s="849"/>
      <c r="H1136" s="849"/>
      <c r="I1136" s="849"/>
      <c r="J1136" s="849"/>
      <c r="K1136" s="849"/>
      <c r="L1136" s="849"/>
      <c r="M1136" s="849"/>
      <c r="N1136" s="849"/>
      <c r="O1136" s="849"/>
      <c r="P1136" s="849"/>
      <c r="Q1136" s="849"/>
      <c r="R1136" s="849"/>
      <c r="S1136" s="849"/>
      <c r="T1136" s="849"/>
      <c r="U1136" s="849"/>
      <c r="V1136" s="849"/>
      <c r="W1136" s="849"/>
      <c r="X1136" s="849"/>
      <c r="Y1136" s="849"/>
      <c r="Z1136" s="849"/>
      <c r="AA1136" s="849"/>
      <c r="AB1136" s="849"/>
      <c r="AC1136" s="849"/>
      <c r="AD1136" s="849"/>
      <c r="AE1136" s="849"/>
      <c r="AF1136" s="849"/>
      <c r="AG1136" s="849"/>
      <c r="AH1136" s="849"/>
      <c r="AI1136" s="849"/>
      <c r="AJ1136" s="794"/>
      <c r="AK1136" s="794"/>
      <c r="AL1136" s="794"/>
      <c r="AM1136" s="794"/>
      <c r="AN1136" s="794"/>
      <c r="AO1136" s="853"/>
      <c r="AP1136" s="853"/>
      <c r="AQ1136" s="853"/>
      <c r="AR1136" s="853"/>
      <c r="AS1136" s="853"/>
      <c r="AT1136" s="794"/>
      <c r="AU1136" s="854"/>
      <c r="AV1136" s="794"/>
      <c r="AW1136" s="794"/>
      <c r="AX1136" s="794"/>
      <c r="AY1136" s="853"/>
      <c r="AZ1136" s="853"/>
    </row>
    <row r="1137" ht="15.0" customHeight="1">
      <c r="A1137" s="849"/>
      <c r="B1137" s="849"/>
      <c r="C1137" s="849"/>
      <c r="D1137" s="849"/>
      <c r="E1137" s="849"/>
      <c r="F1137" s="849"/>
      <c r="G1137" s="849"/>
      <c r="H1137" s="849"/>
      <c r="I1137" s="849"/>
      <c r="J1137" s="849"/>
      <c r="K1137" s="849"/>
      <c r="L1137" s="849"/>
      <c r="M1137" s="849"/>
      <c r="N1137" s="849"/>
      <c r="O1137" s="849"/>
      <c r="P1137" s="849"/>
      <c r="Q1137" s="849"/>
      <c r="R1137" s="849"/>
      <c r="S1137" s="849"/>
      <c r="T1137" s="849"/>
      <c r="U1137" s="849"/>
      <c r="V1137" s="849"/>
      <c r="W1137" s="849"/>
      <c r="X1137" s="849"/>
      <c r="Y1137" s="849"/>
      <c r="Z1137" s="849"/>
      <c r="AA1137" s="849"/>
      <c r="AB1137" s="849"/>
      <c r="AC1137" s="849"/>
      <c r="AD1137" s="849"/>
      <c r="AE1137" s="849"/>
      <c r="AF1137" s="849"/>
      <c r="AG1137" s="849"/>
      <c r="AH1137" s="849"/>
      <c r="AI1137" s="849"/>
      <c r="AJ1137" s="794"/>
      <c r="AK1137" s="794"/>
      <c r="AL1137" s="794"/>
      <c r="AM1137" s="794"/>
      <c r="AN1137" s="794"/>
      <c r="AO1137" s="853"/>
      <c r="AP1137" s="853"/>
      <c r="AQ1137" s="853"/>
      <c r="AR1137" s="853"/>
      <c r="AS1137" s="853"/>
      <c r="AT1137" s="794"/>
      <c r="AU1137" s="854"/>
      <c r="AV1137" s="794"/>
      <c r="AW1137" s="794"/>
      <c r="AX1137" s="794"/>
      <c r="AY1137" s="853"/>
      <c r="AZ1137" s="853"/>
    </row>
    <row r="1138" ht="15.0" customHeight="1">
      <c r="A1138" s="849"/>
      <c r="B1138" s="849"/>
      <c r="C1138" s="849"/>
      <c r="D1138" s="849"/>
      <c r="E1138" s="849"/>
      <c r="F1138" s="849"/>
      <c r="G1138" s="849"/>
      <c r="H1138" s="849"/>
      <c r="I1138" s="849"/>
      <c r="J1138" s="849"/>
      <c r="K1138" s="849"/>
      <c r="L1138" s="849"/>
      <c r="M1138" s="849"/>
      <c r="N1138" s="849"/>
      <c r="O1138" s="849"/>
      <c r="P1138" s="849"/>
      <c r="Q1138" s="849"/>
      <c r="R1138" s="849"/>
      <c r="S1138" s="849"/>
      <c r="T1138" s="849"/>
      <c r="U1138" s="849"/>
      <c r="V1138" s="849"/>
      <c r="W1138" s="849"/>
      <c r="X1138" s="849"/>
      <c r="Y1138" s="849"/>
      <c r="Z1138" s="849"/>
      <c r="AA1138" s="849"/>
      <c r="AB1138" s="849"/>
      <c r="AC1138" s="849"/>
      <c r="AD1138" s="849"/>
      <c r="AE1138" s="849"/>
      <c r="AF1138" s="849"/>
      <c r="AG1138" s="849"/>
      <c r="AH1138" s="849"/>
      <c r="AI1138" s="849"/>
      <c r="AJ1138" s="794"/>
      <c r="AK1138" s="794"/>
      <c r="AL1138" s="794"/>
      <c r="AM1138" s="794"/>
      <c r="AN1138" s="794"/>
      <c r="AO1138" s="853"/>
      <c r="AP1138" s="853"/>
      <c r="AQ1138" s="853"/>
      <c r="AR1138" s="853"/>
      <c r="AS1138" s="853"/>
      <c r="AT1138" s="794"/>
      <c r="AU1138" s="854"/>
      <c r="AV1138" s="794"/>
      <c r="AW1138" s="794"/>
      <c r="AX1138" s="794"/>
      <c r="AY1138" s="853"/>
      <c r="AZ1138" s="853"/>
    </row>
    <row r="1139" ht="15.0" customHeight="1">
      <c r="A1139" s="849"/>
      <c r="B1139" s="849"/>
      <c r="C1139" s="849"/>
      <c r="D1139" s="849"/>
      <c r="E1139" s="849"/>
      <c r="F1139" s="849"/>
      <c r="G1139" s="849"/>
      <c r="H1139" s="849"/>
      <c r="I1139" s="849"/>
      <c r="J1139" s="849"/>
      <c r="K1139" s="849"/>
      <c r="L1139" s="849"/>
      <c r="M1139" s="849"/>
      <c r="N1139" s="849"/>
      <c r="O1139" s="849"/>
      <c r="P1139" s="849"/>
      <c r="Q1139" s="849"/>
      <c r="R1139" s="849"/>
      <c r="S1139" s="849"/>
      <c r="T1139" s="849"/>
      <c r="U1139" s="849"/>
      <c r="V1139" s="849"/>
      <c r="W1139" s="849"/>
      <c r="X1139" s="849"/>
      <c r="Y1139" s="849"/>
      <c r="Z1139" s="849"/>
      <c r="AA1139" s="849"/>
      <c r="AB1139" s="849"/>
      <c r="AC1139" s="849"/>
      <c r="AD1139" s="849"/>
      <c r="AE1139" s="849"/>
      <c r="AF1139" s="849"/>
      <c r="AG1139" s="849"/>
      <c r="AH1139" s="849"/>
      <c r="AI1139" s="849"/>
      <c r="AJ1139" s="794"/>
      <c r="AK1139" s="794"/>
      <c r="AL1139" s="794"/>
      <c r="AM1139" s="794"/>
      <c r="AN1139" s="794"/>
      <c r="AO1139" s="853"/>
      <c r="AP1139" s="853"/>
      <c r="AQ1139" s="853"/>
      <c r="AR1139" s="853"/>
      <c r="AS1139" s="853"/>
      <c r="AT1139" s="794"/>
      <c r="AU1139" s="854"/>
      <c r="AV1139" s="794"/>
      <c r="AW1139" s="794"/>
      <c r="AX1139" s="794"/>
      <c r="AY1139" s="853"/>
      <c r="AZ1139" s="853"/>
    </row>
    <row r="1140" ht="15.0" customHeight="1">
      <c r="A1140" s="849"/>
      <c r="B1140" s="849"/>
      <c r="C1140" s="849"/>
      <c r="D1140" s="849"/>
      <c r="E1140" s="849"/>
      <c r="F1140" s="849"/>
      <c r="G1140" s="849"/>
      <c r="H1140" s="849"/>
      <c r="I1140" s="849"/>
      <c r="J1140" s="849"/>
      <c r="K1140" s="849"/>
      <c r="L1140" s="849"/>
      <c r="M1140" s="849"/>
      <c r="N1140" s="849"/>
      <c r="O1140" s="849"/>
      <c r="P1140" s="849"/>
      <c r="Q1140" s="849"/>
      <c r="R1140" s="849"/>
      <c r="S1140" s="849"/>
      <c r="T1140" s="849"/>
      <c r="U1140" s="849"/>
      <c r="V1140" s="849"/>
      <c r="W1140" s="849"/>
      <c r="X1140" s="849"/>
      <c r="Y1140" s="849"/>
      <c r="Z1140" s="849"/>
      <c r="AA1140" s="849"/>
      <c r="AB1140" s="849"/>
      <c r="AC1140" s="849"/>
      <c r="AD1140" s="849"/>
      <c r="AE1140" s="849"/>
      <c r="AF1140" s="849"/>
      <c r="AG1140" s="849"/>
      <c r="AH1140" s="849"/>
      <c r="AI1140" s="849"/>
      <c r="AJ1140" s="794"/>
      <c r="AK1140" s="794"/>
      <c r="AL1140" s="794"/>
      <c r="AM1140" s="794"/>
      <c r="AN1140" s="794"/>
      <c r="AO1140" s="853"/>
      <c r="AP1140" s="853"/>
      <c r="AQ1140" s="853"/>
      <c r="AR1140" s="853"/>
      <c r="AS1140" s="853"/>
      <c r="AT1140" s="794"/>
      <c r="AU1140" s="854"/>
      <c r="AV1140" s="794"/>
      <c r="AW1140" s="794"/>
      <c r="AX1140" s="794"/>
      <c r="AY1140" s="853"/>
      <c r="AZ1140" s="853"/>
    </row>
    <row r="1141" ht="15.0" customHeight="1">
      <c r="A1141" s="849"/>
      <c r="B1141" s="849"/>
      <c r="C1141" s="849"/>
      <c r="D1141" s="849"/>
      <c r="E1141" s="849"/>
      <c r="F1141" s="849"/>
      <c r="G1141" s="849"/>
      <c r="H1141" s="849"/>
      <c r="I1141" s="849"/>
      <c r="J1141" s="849"/>
      <c r="K1141" s="849"/>
      <c r="L1141" s="849"/>
      <c r="M1141" s="849"/>
      <c r="N1141" s="849"/>
      <c r="O1141" s="849"/>
      <c r="P1141" s="849"/>
      <c r="Q1141" s="849"/>
      <c r="R1141" s="849"/>
      <c r="S1141" s="849"/>
      <c r="T1141" s="849"/>
      <c r="U1141" s="849"/>
      <c r="V1141" s="849"/>
      <c r="W1141" s="849"/>
      <c r="X1141" s="849"/>
      <c r="Y1141" s="849"/>
      <c r="Z1141" s="849"/>
      <c r="AA1141" s="849"/>
      <c r="AB1141" s="849"/>
      <c r="AC1141" s="849"/>
      <c r="AD1141" s="849"/>
      <c r="AE1141" s="849"/>
      <c r="AF1141" s="849"/>
      <c r="AG1141" s="849"/>
      <c r="AH1141" s="849"/>
      <c r="AI1141" s="849"/>
      <c r="AJ1141" s="794"/>
      <c r="AK1141" s="794"/>
      <c r="AL1141" s="794"/>
      <c r="AM1141" s="794"/>
      <c r="AN1141" s="794"/>
      <c r="AO1141" s="853"/>
      <c r="AP1141" s="853"/>
      <c r="AQ1141" s="853"/>
      <c r="AR1141" s="853"/>
      <c r="AS1141" s="853"/>
      <c r="AT1141" s="794"/>
      <c r="AU1141" s="854"/>
      <c r="AV1141" s="794"/>
      <c r="AW1141" s="794"/>
      <c r="AX1141" s="794"/>
      <c r="AY1141" s="853"/>
      <c r="AZ1141" s="853"/>
    </row>
    <row r="1142" ht="15.0" customHeight="1">
      <c r="A1142" s="849"/>
      <c r="B1142" s="849"/>
      <c r="C1142" s="849"/>
      <c r="D1142" s="849"/>
      <c r="E1142" s="849"/>
      <c r="F1142" s="849"/>
      <c r="G1142" s="849"/>
      <c r="H1142" s="849"/>
      <c r="I1142" s="849"/>
      <c r="J1142" s="849"/>
      <c r="K1142" s="849"/>
      <c r="L1142" s="849"/>
      <c r="M1142" s="849"/>
      <c r="N1142" s="849"/>
      <c r="O1142" s="849"/>
      <c r="P1142" s="849"/>
      <c r="Q1142" s="849"/>
      <c r="R1142" s="849"/>
      <c r="S1142" s="849"/>
      <c r="T1142" s="849"/>
      <c r="U1142" s="849"/>
      <c r="V1142" s="849"/>
      <c r="W1142" s="849"/>
      <c r="X1142" s="849"/>
      <c r="Y1142" s="849"/>
      <c r="Z1142" s="849"/>
      <c r="AA1142" s="849"/>
      <c r="AB1142" s="849"/>
      <c r="AC1142" s="849"/>
      <c r="AD1142" s="849"/>
      <c r="AE1142" s="849"/>
      <c r="AF1142" s="849"/>
      <c r="AG1142" s="849"/>
      <c r="AH1142" s="849"/>
      <c r="AI1142" s="849"/>
      <c r="AJ1142" s="794"/>
      <c r="AK1142" s="794"/>
      <c r="AL1142" s="794"/>
      <c r="AM1142" s="794"/>
      <c r="AN1142" s="794"/>
      <c r="AO1142" s="853"/>
      <c r="AP1142" s="853"/>
      <c r="AQ1142" s="853"/>
      <c r="AR1142" s="853"/>
      <c r="AS1142" s="853"/>
      <c r="AT1142" s="794"/>
      <c r="AU1142" s="854"/>
      <c r="AV1142" s="794"/>
      <c r="AW1142" s="794"/>
      <c r="AX1142" s="794"/>
      <c r="AY1142" s="853"/>
      <c r="AZ1142" s="853"/>
    </row>
    <row r="1143" ht="15.0" customHeight="1">
      <c r="A1143" s="849"/>
      <c r="B1143" s="849"/>
      <c r="C1143" s="849"/>
      <c r="D1143" s="849"/>
      <c r="E1143" s="849"/>
      <c r="F1143" s="849"/>
      <c r="G1143" s="849"/>
      <c r="H1143" s="849"/>
      <c r="I1143" s="849"/>
      <c r="J1143" s="849"/>
      <c r="K1143" s="849"/>
      <c r="L1143" s="849"/>
      <c r="M1143" s="849"/>
      <c r="N1143" s="849"/>
      <c r="O1143" s="849"/>
      <c r="P1143" s="849"/>
      <c r="Q1143" s="849"/>
      <c r="R1143" s="849"/>
      <c r="S1143" s="849"/>
      <c r="T1143" s="849"/>
      <c r="U1143" s="849"/>
      <c r="V1143" s="849"/>
      <c r="W1143" s="849"/>
      <c r="X1143" s="849"/>
      <c r="Y1143" s="849"/>
      <c r="Z1143" s="849"/>
      <c r="AA1143" s="849"/>
      <c r="AB1143" s="849"/>
      <c r="AC1143" s="849"/>
      <c r="AD1143" s="849"/>
      <c r="AE1143" s="849"/>
      <c r="AF1143" s="849"/>
      <c r="AG1143" s="849"/>
      <c r="AH1143" s="849"/>
      <c r="AI1143" s="849"/>
      <c r="AJ1143" s="794"/>
      <c r="AK1143" s="794"/>
      <c r="AL1143" s="794"/>
      <c r="AM1143" s="794"/>
      <c r="AN1143" s="794"/>
      <c r="AO1143" s="853"/>
      <c r="AP1143" s="853"/>
      <c r="AQ1143" s="853"/>
      <c r="AR1143" s="853"/>
      <c r="AS1143" s="853"/>
      <c r="AT1143" s="794"/>
      <c r="AU1143" s="854"/>
      <c r="AV1143" s="794"/>
      <c r="AW1143" s="794"/>
      <c r="AX1143" s="794"/>
      <c r="AY1143" s="853"/>
      <c r="AZ1143" s="853"/>
    </row>
    <row r="1144" ht="15.0" customHeight="1">
      <c r="A1144" s="849"/>
      <c r="B1144" s="849"/>
      <c r="C1144" s="849"/>
      <c r="D1144" s="849"/>
      <c r="E1144" s="849"/>
      <c r="F1144" s="849"/>
      <c r="G1144" s="849"/>
      <c r="H1144" s="849"/>
      <c r="I1144" s="849"/>
      <c r="J1144" s="849"/>
      <c r="K1144" s="849"/>
      <c r="L1144" s="849"/>
      <c r="M1144" s="849"/>
      <c r="N1144" s="849"/>
      <c r="O1144" s="849"/>
      <c r="P1144" s="849"/>
      <c r="Q1144" s="849"/>
      <c r="R1144" s="849"/>
      <c r="S1144" s="849"/>
      <c r="T1144" s="849"/>
      <c r="U1144" s="849"/>
      <c r="V1144" s="849"/>
      <c r="W1144" s="849"/>
      <c r="X1144" s="849"/>
      <c r="Y1144" s="849"/>
      <c r="Z1144" s="849"/>
      <c r="AA1144" s="849"/>
      <c r="AB1144" s="849"/>
      <c r="AC1144" s="849"/>
      <c r="AD1144" s="849"/>
      <c r="AE1144" s="849"/>
      <c r="AF1144" s="849"/>
      <c r="AG1144" s="849"/>
      <c r="AH1144" s="849"/>
      <c r="AI1144" s="849"/>
      <c r="AJ1144" s="794"/>
      <c r="AK1144" s="794"/>
      <c r="AL1144" s="794"/>
      <c r="AM1144" s="794"/>
      <c r="AN1144" s="794"/>
      <c r="AO1144" s="853"/>
      <c r="AP1144" s="853"/>
      <c r="AQ1144" s="853"/>
      <c r="AR1144" s="853"/>
      <c r="AS1144" s="853"/>
      <c r="AT1144" s="794"/>
      <c r="AU1144" s="854"/>
      <c r="AV1144" s="794"/>
      <c r="AW1144" s="794"/>
      <c r="AX1144" s="794"/>
      <c r="AY1144" s="853"/>
      <c r="AZ1144" s="853"/>
    </row>
    <row r="1145" ht="15.0" customHeight="1">
      <c r="A1145" s="849"/>
      <c r="B1145" s="849"/>
      <c r="C1145" s="849"/>
      <c r="D1145" s="849"/>
      <c r="E1145" s="849"/>
      <c r="F1145" s="849"/>
      <c r="G1145" s="849"/>
      <c r="H1145" s="849"/>
      <c r="I1145" s="849"/>
      <c r="J1145" s="849"/>
      <c r="K1145" s="849"/>
      <c r="L1145" s="849"/>
      <c r="M1145" s="849"/>
      <c r="N1145" s="849"/>
      <c r="O1145" s="849"/>
      <c r="P1145" s="849"/>
      <c r="Q1145" s="849"/>
      <c r="R1145" s="849"/>
      <c r="S1145" s="849"/>
      <c r="T1145" s="849"/>
      <c r="U1145" s="849"/>
      <c r="V1145" s="849"/>
      <c r="W1145" s="849"/>
      <c r="X1145" s="849"/>
      <c r="Y1145" s="849"/>
      <c r="Z1145" s="849"/>
      <c r="AA1145" s="849"/>
      <c r="AB1145" s="849"/>
      <c r="AC1145" s="849"/>
      <c r="AD1145" s="849"/>
      <c r="AE1145" s="849"/>
      <c r="AF1145" s="849"/>
      <c r="AG1145" s="849"/>
      <c r="AH1145" s="849"/>
      <c r="AI1145" s="849"/>
      <c r="AJ1145" s="794"/>
      <c r="AK1145" s="794"/>
      <c r="AL1145" s="794"/>
      <c r="AM1145" s="794"/>
      <c r="AN1145" s="794"/>
      <c r="AO1145" s="853"/>
      <c r="AP1145" s="853"/>
      <c r="AQ1145" s="853"/>
      <c r="AR1145" s="853"/>
      <c r="AS1145" s="853"/>
      <c r="AT1145" s="794"/>
      <c r="AU1145" s="854"/>
      <c r="AV1145" s="794"/>
      <c r="AW1145" s="794"/>
      <c r="AX1145" s="794"/>
      <c r="AY1145" s="853"/>
      <c r="AZ1145" s="853"/>
    </row>
    <row r="1146" ht="15.0" customHeight="1">
      <c r="A1146" s="849"/>
      <c r="B1146" s="849"/>
      <c r="C1146" s="849"/>
      <c r="D1146" s="849"/>
      <c r="E1146" s="849"/>
      <c r="F1146" s="849"/>
      <c r="G1146" s="849"/>
      <c r="H1146" s="849"/>
      <c r="I1146" s="849"/>
      <c r="J1146" s="849"/>
      <c r="K1146" s="849"/>
      <c r="L1146" s="849"/>
      <c r="M1146" s="849"/>
      <c r="N1146" s="849"/>
      <c r="O1146" s="849"/>
      <c r="P1146" s="849"/>
      <c r="Q1146" s="849"/>
      <c r="R1146" s="849"/>
      <c r="S1146" s="849"/>
      <c r="T1146" s="849"/>
      <c r="U1146" s="849"/>
      <c r="V1146" s="849"/>
      <c r="W1146" s="849"/>
      <c r="X1146" s="849"/>
      <c r="Y1146" s="849"/>
      <c r="Z1146" s="849"/>
      <c r="AA1146" s="849"/>
      <c r="AB1146" s="849"/>
      <c r="AC1146" s="849"/>
      <c r="AD1146" s="849"/>
      <c r="AE1146" s="849"/>
      <c r="AF1146" s="849"/>
      <c r="AG1146" s="849"/>
      <c r="AH1146" s="849"/>
      <c r="AI1146" s="849"/>
      <c r="AJ1146" s="794"/>
      <c r="AK1146" s="794"/>
      <c r="AL1146" s="794"/>
      <c r="AM1146" s="794"/>
      <c r="AN1146" s="794"/>
      <c r="AO1146" s="853"/>
      <c r="AP1146" s="853"/>
      <c r="AQ1146" s="853"/>
      <c r="AR1146" s="853"/>
      <c r="AS1146" s="853"/>
      <c r="AT1146" s="794"/>
      <c r="AU1146" s="854"/>
      <c r="AV1146" s="794"/>
      <c r="AW1146" s="794"/>
      <c r="AX1146" s="794"/>
      <c r="AY1146" s="853"/>
      <c r="AZ1146" s="853"/>
    </row>
    <row r="1147" ht="15.0" customHeight="1">
      <c r="A1147" s="849"/>
      <c r="B1147" s="849"/>
      <c r="C1147" s="849"/>
      <c r="D1147" s="849"/>
      <c r="E1147" s="849"/>
      <c r="F1147" s="849"/>
      <c r="G1147" s="849"/>
      <c r="H1147" s="849"/>
      <c r="I1147" s="849"/>
      <c r="J1147" s="849"/>
      <c r="K1147" s="849"/>
      <c r="L1147" s="849"/>
      <c r="M1147" s="849"/>
      <c r="N1147" s="849"/>
      <c r="O1147" s="849"/>
      <c r="P1147" s="849"/>
      <c r="Q1147" s="849"/>
      <c r="R1147" s="849"/>
      <c r="S1147" s="849"/>
      <c r="T1147" s="849"/>
      <c r="U1147" s="849"/>
      <c r="V1147" s="849"/>
      <c r="W1147" s="849"/>
      <c r="X1147" s="849"/>
      <c r="Y1147" s="849"/>
      <c r="Z1147" s="849"/>
      <c r="AA1147" s="849"/>
      <c r="AB1147" s="849"/>
      <c r="AC1147" s="849"/>
      <c r="AD1147" s="849"/>
      <c r="AE1147" s="849"/>
      <c r="AF1147" s="849"/>
      <c r="AG1147" s="849"/>
      <c r="AH1147" s="849"/>
      <c r="AI1147" s="849"/>
      <c r="AJ1147" s="794"/>
      <c r="AK1147" s="794"/>
      <c r="AL1147" s="794"/>
      <c r="AM1147" s="794"/>
      <c r="AN1147" s="794"/>
      <c r="AO1147" s="853"/>
      <c r="AP1147" s="853"/>
      <c r="AQ1147" s="853"/>
      <c r="AR1147" s="853"/>
      <c r="AS1147" s="853"/>
      <c r="AT1147" s="794"/>
      <c r="AU1147" s="854"/>
      <c r="AV1147" s="794"/>
      <c r="AW1147" s="794"/>
      <c r="AX1147" s="794"/>
      <c r="AY1147" s="853"/>
      <c r="AZ1147" s="853"/>
    </row>
    <row r="1148" ht="15.0" customHeight="1">
      <c r="A1148" s="849"/>
      <c r="B1148" s="849"/>
      <c r="C1148" s="849"/>
      <c r="D1148" s="849"/>
      <c r="E1148" s="849"/>
      <c r="F1148" s="849"/>
      <c r="G1148" s="849"/>
      <c r="H1148" s="849"/>
      <c r="I1148" s="849"/>
      <c r="J1148" s="849"/>
      <c r="K1148" s="849"/>
      <c r="L1148" s="849"/>
      <c r="M1148" s="849"/>
      <c r="N1148" s="849"/>
      <c r="O1148" s="849"/>
      <c r="P1148" s="849"/>
      <c r="Q1148" s="849"/>
      <c r="R1148" s="849"/>
      <c r="S1148" s="849"/>
      <c r="T1148" s="849"/>
      <c r="U1148" s="849"/>
      <c r="V1148" s="849"/>
      <c r="W1148" s="849"/>
      <c r="X1148" s="849"/>
      <c r="Y1148" s="849"/>
      <c r="Z1148" s="849"/>
      <c r="AA1148" s="849"/>
      <c r="AB1148" s="849"/>
      <c r="AC1148" s="849"/>
      <c r="AD1148" s="849"/>
      <c r="AE1148" s="849"/>
      <c r="AF1148" s="849"/>
      <c r="AG1148" s="849"/>
      <c r="AH1148" s="849"/>
      <c r="AI1148" s="849"/>
      <c r="AJ1148" s="794"/>
      <c r="AK1148" s="794"/>
      <c r="AL1148" s="794"/>
      <c r="AM1148" s="794"/>
      <c r="AN1148" s="794"/>
      <c r="AO1148" s="853"/>
      <c r="AP1148" s="853"/>
      <c r="AQ1148" s="853"/>
      <c r="AR1148" s="853"/>
      <c r="AS1148" s="853"/>
      <c r="AT1148" s="794"/>
      <c r="AU1148" s="854"/>
      <c r="AV1148" s="794"/>
      <c r="AW1148" s="794"/>
      <c r="AX1148" s="794"/>
      <c r="AY1148" s="853"/>
      <c r="AZ1148" s="853"/>
    </row>
    <row r="1149" ht="15.0" customHeight="1">
      <c r="A1149" s="849"/>
      <c r="B1149" s="849"/>
      <c r="C1149" s="849"/>
      <c r="D1149" s="849"/>
      <c r="E1149" s="849"/>
      <c r="F1149" s="849"/>
      <c r="G1149" s="849"/>
      <c r="H1149" s="849"/>
      <c r="I1149" s="849"/>
      <c r="J1149" s="849"/>
      <c r="K1149" s="849"/>
      <c r="L1149" s="849"/>
      <c r="M1149" s="849"/>
      <c r="N1149" s="849"/>
      <c r="O1149" s="849"/>
      <c r="P1149" s="849"/>
      <c r="Q1149" s="849"/>
      <c r="R1149" s="849"/>
      <c r="S1149" s="849"/>
      <c r="T1149" s="849"/>
      <c r="U1149" s="849"/>
      <c r="V1149" s="849"/>
      <c r="W1149" s="849"/>
      <c r="X1149" s="849"/>
      <c r="Y1149" s="849"/>
      <c r="Z1149" s="849"/>
      <c r="AA1149" s="849"/>
      <c r="AB1149" s="849"/>
      <c r="AC1149" s="849"/>
      <c r="AD1149" s="849"/>
      <c r="AE1149" s="849"/>
      <c r="AF1149" s="849"/>
      <c r="AG1149" s="849"/>
      <c r="AH1149" s="849"/>
      <c r="AI1149" s="849"/>
      <c r="AJ1149" s="794"/>
      <c r="AK1149" s="794"/>
      <c r="AL1149" s="794"/>
      <c r="AM1149" s="794"/>
      <c r="AN1149" s="794"/>
      <c r="AO1149" s="853"/>
      <c r="AP1149" s="853"/>
      <c r="AQ1149" s="853"/>
      <c r="AR1149" s="853"/>
      <c r="AS1149" s="853"/>
      <c r="AT1149" s="794"/>
      <c r="AU1149" s="854"/>
      <c r="AV1149" s="794"/>
      <c r="AW1149" s="794"/>
      <c r="AX1149" s="794"/>
      <c r="AY1149" s="853"/>
      <c r="AZ1149" s="853"/>
    </row>
    <row r="1150" ht="15.0" customHeight="1">
      <c r="A1150" s="849"/>
      <c r="B1150" s="849"/>
      <c r="C1150" s="849"/>
      <c r="D1150" s="849"/>
      <c r="E1150" s="849"/>
      <c r="F1150" s="849"/>
      <c r="G1150" s="849"/>
      <c r="H1150" s="849"/>
      <c r="I1150" s="849"/>
      <c r="J1150" s="849"/>
      <c r="K1150" s="849"/>
      <c r="L1150" s="849"/>
      <c r="M1150" s="849"/>
      <c r="N1150" s="849"/>
      <c r="O1150" s="849"/>
      <c r="P1150" s="849"/>
      <c r="Q1150" s="849"/>
      <c r="R1150" s="849"/>
      <c r="S1150" s="849"/>
      <c r="T1150" s="849"/>
      <c r="U1150" s="849"/>
      <c r="V1150" s="849"/>
      <c r="W1150" s="849"/>
      <c r="X1150" s="849"/>
      <c r="Y1150" s="849"/>
      <c r="Z1150" s="849"/>
      <c r="AA1150" s="849"/>
      <c r="AB1150" s="849"/>
      <c r="AC1150" s="849"/>
      <c r="AD1150" s="849"/>
      <c r="AE1150" s="849"/>
      <c r="AF1150" s="849"/>
      <c r="AG1150" s="849"/>
      <c r="AH1150" s="849"/>
      <c r="AI1150" s="849"/>
      <c r="AJ1150" s="794"/>
      <c r="AK1150" s="794"/>
      <c r="AL1150" s="794"/>
      <c r="AM1150" s="794"/>
      <c r="AN1150" s="794"/>
      <c r="AO1150" s="853"/>
      <c r="AP1150" s="853"/>
      <c r="AQ1150" s="853"/>
      <c r="AR1150" s="853"/>
      <c r="AS1150" s="853"/>
      <c r="AT1150" s="794"/>
      <c r="AU1150" s="854"/>
      <c r="AV1150" s="794"/>
      <c r="AW1150" s="794"/>
      <c r="AX1150" s="794"/>
      <c r="AY1150" s="853"/>
      <c r="AZ1150" s="853"/>
    </row>
    <row r="1151" ht="15.0" customHeight="1">
      <c r="A1151" s="849"/>
      <c r="B1151" s="849"/>
      <c r="C1151" s="849"/>
      <c r="D1151" s="849"/>
      <c r="E1151" s="849"/>
      <c r="F1151" s="849"/>
      <c r="G1151" s="849"/>
      <c r="H1151" s="849"/>
      <c r="I1151" s="849"/>
      <c r="J1151" s="849"/>
      <c r="K1151" s="849"/>
      <c r="L1151" s="849"/>
      <c r="M1151" s="849"/>
      <c r="N1151" s="849"/>
      <c r="O1151" s="849"/>
      <c r="P1151" s="849"/>
      <c r="Q1151" s="849"/>
      <c r="R1151" s="849"/>
      <c r="S1151" s="849"/>
      <c r="T1151" s="849"/>
      <c r="U1151" s="849"/>
      <c r="V1151" s="849"/>
      <c r="W1151" s="849"/>
      <c r="X1151" s="849"/>
      <c r="Y1151" s="849"/>
      <c r="Z1151" s="849"/>
      <c r="AA1151" s="849"/>
      <c r="AB1151" s="849"/>
      <c r="AC1151" s="849"/>
      <c r="AD1151" s="849"/>
      <c r="AE1151" s="849"/>
      <c r="AF1151" s="849"/>
      <c r="AG1151" s="849"/>
      <c r="AH1151" s="849"/>
      <c r="AI1151" s="849"/>
      <c r="AJ1151" s="794"/>
      <c r="AK1151" s="794"/>
      <c r="AL1151" s="794"/>
      <c r="AM1151" s="794"/>
      <c r="AN1151" s="794"/>
      <c r="AO1151" s="853"/>
      <c r="AP1151" s="853"/>
      <c r="AQ1151" s="853"/>
      <c r="AR1151" s="853"/>
      <c r="AS1151" s="853"/>
      <c r="AT1151" s="794"/>
      <c r="AU1151" s="854"/>
      <c r="AV1151" s="794"/>
      <c r="AW1151" s="794"/>
      <c r="AX1151" s="794"/>
      <c r="AY1151" s="853"/>
      <c r="AZ1151" s="853"/>
    </row>
    <row r="1152" ht="15.0" customHeight="1">
      <c r="A1152" s="849"/>
      <c r="B1152" s="849"/>
      <c r="C1152" s="849"/>
      <c r="D1152" s="849"/>
      <c r="E1152" s="849"/>
      <c r="F1152" s="849"/>
      <c r="G1152" s="849"/>
      <c r="H1152" s="849"/>
      <c r="I1152" s="849"/>
      <c r="J1152" s="849"/>
      <c r="K1152" s="849"/>
      <c r="L1152" s="849"/>
      <c r="M1152" s="849"/>
      <c r="N1152" s="849"/>
      <c r="O1152" s="849"/>
      <c r="P1152" s="849"/>
      <c r="Q1152" s="849"/>
      <c r="R1152" s="849"/>
      <c r="S1152" s="849"/>
      <c r="T1152" s="849"/>
      <c r="U1152" s="849"/>
      <c r="V1152" s="849"/>
      <c r="W1152" s="849"/>
      <c r="X1152" s="849"/>
      <c r="Y1152" s="849"/>
      <c r="Z1152" s="849"/>
      <c r="AA1152" s="849"/>
      <c r="AB1152" s="849"/>
      <c r="AC1152" s="849"/>
      <c r="AD1152" s="849"/>
      <c r="AE1152" s="849"/>
      <c r="AF1152" s="849"/>
      <c r="AG1152" s="849"/>
      <c r="AH1152" s="849"/>
      <c r="AI1152" s="849"/>
      <c r="AJ1152" s="794"/>
      <c r="AK1152" s="794"/>
      <c r="AL1152" s="794"/>
      <c r="AM1152" s="794"/>
      <c r="AN1152" s="794"/>
      <c r="AO1152" s="853"/>
      <c r="AP1152" s="853"/>
      <c r="AQ1152" s="853"/>
      <c r="AR1152" s="853"/>
      <c r="AS1152" s="853"/>
      <c r="AT1152" s="794"/>
      <c r="AU1152" s="854"/>
      <c r="AV1152" s="794"/>
      <c r="AW1152" s="794"/>
      <c r="AX1152" s="794"/>
      <c r="AY1152" s="853"/>
      <c r="AZ1152" s="853"/>
    </row>
    <row r="1153" ht="15.0" customHeight="1">
      <c r="A1153" s="849"/>
      <c r="B1153" s="849"/>
      <c r="C1153" s="849"/>
      <c r="D1153" s="849"/>
      <c r="E1153" s="849"/>
      <c r="F1153" s="849"/>
      <c r="G1153" s="849"/>
      <c r="H1153" s="849"/>
      <c r="I1153" s="849"/>
      <c r="J1153" s="849"/>
      <c r="K1153" s="849"/>
      <c r="L1153" s="849"/>
      <c r="M1153" s="849"/>
      <c r="N1153" s="849"/>
      <c r="O1153" s="849"/>
      <c r="P1153" s="849"/>
      <c r="Q1153" s="849"/>
      <c r="R1153" s="849"/>
      <c r="S1153" s="849"/>
      <c r="T1153" s="849"/>
      <c r="U1153" s="849"/>
      <c r="V1153" s="849"/>
      <c r="W1153" s="849"/>
      <c r="X1153" s="849"/>
      <c r="Y1153" s="849"/>
      <c r="Z1153" s="849"/>
      <c r="AA1153" s="849"/>
      <c r="AB1153" s="849"/>
      <c r="AC1153" s="849"/>
      <c r="AD1153" s="849"/>
      <c r="AE1153" s="849"/>
      <c r="AF1153" s="849"/>
      <c r="AG1153" s="849"/>
      <c r="AH1153" s="849"/>
      <c r="AI1153" s="849"/>
      <c r="AJ1153" s="794"/>
      <c r="AK1153" s="794"/>
      <c r="AL1153" s="794"/>
      <c r="AM1153" s="794"/>
      <c r="AN1153" s="794"/>
      <c r="AO1153" s="853"/>
      <c r="AP1153" s="853"/>
      <c r="AQ1153" s="853"/>
      <c r="AR1153" s="853"/>
      <c r="AS1153" s="853"/>
      <c r="AT1153" s="794"/>
      <c r="AU1153" s="854"/>
      <c r="AV1153" s="794"/>
      <c r="AW1153" s="794"/>
      <c r="AX1153" s="794"/>
      <c r="AY1153" s="853"/>
      <c r="AZ1153" s="853"/>
    </row>
    <row r="1154" ht="15.0" customHeight="1">
      <c r="A1154" s="849"/>
      <c r="B1154" s="849"/>
      <c r="C1154" s="849"/>
      <c r="D1154" s="849"/>
      <c r="E1154" s="849"/>
      <c r="F1154" s="849"/>
      <c r="G1154" s="849"/>
      <c r="H1154" s="849"/>
      <c r="I1154" s="849"/>
      <c r="J1154" s="849"/>
      <c r="K1154" s="849"/>
      <c r="L1154" s="849"/>
      <c r="M1154" s="849"/>
      <c r="N1154" s="849"/>
      <c r="O1154" s="849"/>
      <c r="P1154" s="849"/>
      <c r="Q1154" s="849"/>
      <c r="R1154" s="849"/>
      <c r="S1154" s="849"/>
      <c r="T1154" s="849"/>
      <c r="U1154" s="849"/>
      <c r="V1154" s="849"/>
      <c r="W1154" s="849"/>
      <c r="X1154" s="849"/>
      <c r="Y1154" s="849"/>
      <c r="Z1154" s="849"/>
      <c r="AA1154" s="849"/>
      <c r="AB1154" s="849"/>
      <c r="AC1154" s="849"/>
      <c r="AD1154" s="849"/>
      <c r="AE1154" s="849"/>
      <c r="AF1154" s="849"/>
      <c r="AG1154" s="849"/>
      <c r="AH1154" s="849"/>
      <c r="AI1154" s="849"/>
      <c r="AJ1154" s="794"/>
      <c r="AK1154" s="794"/>
      <c r="AL1154" s="794"/>
      <c r="AM1154" s="794"/>
      <c r="AN1154" s="794"/>
      <c r="AO1154" s="853"/>
      <c r="AP1154" s="853"/>
      <c r="AQ1154" s="853"/>
      <c r="AR1154" s="853"/>
      <c r="AS1154" s="853"/>
      <c r="AT1154" s="794"/>
      <c r="AU1154" s="854"/>
      <c r="AV1154" s="794"/>
      <c r="AW1154" s="794"/>
      <c r="AX1154" s="794"/>
      <c r="AY1154" s="853"/>
      <c r="AZ1154" s="853"/>
    </row>
    <row r="1155" ht="15.0" customHeight="1">
      <c r="A1155" s="849"/>
      <c r="B1155" s="849"/>
      <c r="C1155" s="849"/>
      <c r="D1155" s="849"/>
      <c r="E1155" s="849"/>
      <c r="F1155" s="849"/>
      <c r="G1155" s="849"/>
      <c r="H1155" s="849"/>
      <c r="I1155" s="849"/>
      <c r="J1155" s="849"/>
      <c r="K1155" s="849"/>
      <c r="L1155" s="849"/>
      <c r="M1155" s="849"/>
      <c r="N1155" s="849"/>
      <c r="O1155" s="849"/>
      <c r="P1155" s="849"/>
      <c r="Q1155" s="849"/>
      <c r="R1155" s="849"/>
      <c r="S1155" s="849"/>
      <c r="T1155" s="849"/>
      <c r="U1155" s="849"/>
      <c r="V1155" s="849"/>
      <c r="W1155" s="849"/>
      <c r="X1155" s="849"/>
      <c r="Y1155" s="849"/>
      <c r="Z1155" s="849"/>
      <c r="AA1155" s="849"/>
      <c r="AB1155" s="849"/>
      <c r="AC1155" s="849"/>
      <c r="AD1155" s="849"/>
      <c r="AE1155" s="849"/>
      <c r="AF1155" s="849"/>
      <c r="AG1155" s="849"/>
      <c r="AH1155" s="849"/>
      <c r="AI1155" s="849"/>
      <c r="AJ1155" s="794"/>
      <c r="AK1155" s="794"/>
      <c r="AL1155" s="794"/>
      <c r="AM1155" s="794"/>
      <c r="AN1155" s="794"/>
      <c r="AO1155" s="853"/>
      <c r="AP1155" s="853"/>
      <c r="AQ1155" s="853"/>
      <c r="AR1155" s="853"/>
      <c r="AS1155" s="853"/>
      <c r="AT1155" s="794"/>
      <c r="AU1155" s="854"/>
      <c r="AV1155" s="794"/>
      <c r="AW1155" s="794"/>
      <c r="AX1155" s="794"/>
      <c r="AY1155" s="853"/>
      <c r="AZ1155" s="853"/>
    </row>
    <row r="1156" ht="15.0" customHeight="1">
      <c r="A1156" s="849"/>
      <c r="B1156" s="849"/>
      <c r="C1156" s="849"/>
      <c r="D1156" s="849"/>
      <c r="E1156" s="849"/>
      <c r="F1156" s="849"/>
      <c r="G1156" s="849"/>
      <c r="H1156" s="849"/>
      <c r="I1156" s="849"/>
      <c r="J1156" s="849"/>
      <c r="K1156" s="849"/>
      <c r="L1156" s="849"/>
      <c r="M1156" s="849"/>
      <c r="N1156" s="849"/>
      <c r="O1156" s="849"/>
      <c r="P1156" s="849"/>
      <c r="Q1156" s="849"/>
      <c r="R1156" s="849"/>
      <c r="S1156" s="849"/>
      <c r="T1156" s="849"/>
      <c r="U1156" s="849"/>
      <c r="V1156" s="849"/>
      <c r="W1156" s="849"/>
      <c r="X1156" s="849"/>
      <c r="Y1156" s="849"/>
      <c r="Z1156" s="849"/>
      <c r="AA1156" s="849"/>
      <c r="AB1156" s="849"/>
      <c r="AC1156" s="849"/>
      <c r="AD1156" s="849"/>
      <c r="AE1156" s="849"/>
      <c r="AF1156" s="849"/>
      <c r="AG1156" s="849"/>
      <c r="AH1156" s="849"/>
      <c r="AI1156" s="849"/>
      <c r="AJ1156" s="794"/>
      <c r="AK1156" s="794"/>
      <c r="AL1156" s="794"/>
      <c r="AM1156" s="794"/>
      <c r="AN1156" s="794"/>
      <c r="AO1156" s="853"/>
      <c r="AP1156" s="853"/>
      <c r="AQ1156" s="853"/>
      <c r="AR1156" s="853"/>
      <c r="AS1156" s="853"/>
      <c r="AT1156" s="794"/>
      <c r="AU1156" s="854"/>
      <c r="AV1156" s="794"/>
      <c r="AW1156" s="794"/>
      <c r="AX1156" s="794"/>
      <c r="AY1156" s="853"/>
      <c r="AZ1156" s="853"/>
    </row>
    <row r="1157" ht="15.0" customHeight="1">
      <c r="A1157" s="849"/>
      <c r="B1157" s="849"/>
      <c r="C1157" s="849"/>
      <c r="D1157" s="849"/>
      <c r="E1157" s="849"/>
      <c r="F1157" s="849"/>
      <c r="G1157" s="849"/>
      <c r="H1157" s="849"/>
      <c r="I1157" s="849"/>
      <c r="J1157" s="849"/>
      <c r="K1157" s="849"/>
      <c r="L1157" s="849"/>
      <c r="M1157" s="849"/>
      <c r="N1157" s="849"/>
      <c r="O1157" s="849"/>
      <c r="P1157" s="849"/>
      <c r="Q1157" s="849"/>
      <c r="R1157" s="849"/>
      <c r="S1157" s="849"/>
      <c r="T1157" s="849"/>
      <c r="U1157" s="849"/>
      <c r="V1157" s="849"/>
      <c r="W1157" s="849"/>
      <c r="X1157" s="849"/>
      <c r="Y1157" s="849"/>
      <c r="Z1157" s="849"/>
      <c r="AA1157" s="849"/>
      <c r="AB1157" s="849"/>
      <c r="AC1157" s="849"/>
      <c r="AD1157" s="849"/>
      <c r="AE1157" s="849"/>
      <c r="AF1157" s="849"/>
      <c r="AG1157" s="849"/>
      <c r="AH1157" s="849"/>
      <c r="AI1157" s="849"/>
      <c r="AJ1157" s="794"/>
      <c r="AK1157" s="794"/>
      <c r="AL1157" s="794"/>
      <c r="AM1157" s="794"/>
      <c r="AN1157" s="794"/>
      <c r="AO1157" s="853"/>
      <c r="AP1157" s="853"/>
      <c r="AQ1157" s="853"/>
      <c r="AR1157" s="853"/>
      <c r="AS1157" s="853"/>
      <c r="AT1157" s="794"/>
      <c r="AU1157" s="854"/>
      <c r="AV1157" s="794"/>
      <c r="AW1157" s="794"/>
      <c r="AX1157" s="794"/>
      <c r="AY1157" s="853"/>
      <c r="AZ1157" s="853"/>
    </row>
    <row r="1158" ht="15.0" customHeight="1">
      <c r="A1158" s="849"/>
      <c r="B1158" s="849"/>
      <c r="C1158" s="849"/>
      <c r="D1158" s="849"/>
      <c r="E1158" s="849"/>
      <c r="F1158" s="849"/>
      <c r="G1158" s="849"/>
      <c r="H1158" s="849"/>
      <c r="I1158" s="849"/>
      <c r="J1158" s="849"/>
      <c r="K1158" s="849"/>
      <c r="L1158" s="849"/>
      <c r="M1158" s="849"/>
      <c r="N1158" s="849"/>
      <c r="O1158" s="849"/>
      <c r="P1158" s="849"/>
      <c r="Q1158" s="849"/>
      <c r="R1158" s="849"/>
      <c r="S1158" s="849"/>
      <c r="T1158" s="849"/>
      <c r="U1158" s="849"/>
      <c r="V1158" s="849"/>
      <c r="W1158" s="849"/>
      <c r="X1158" s="849"/>
      <c r="Y1158" s="849"/>
      <c r="Z1158" s="849"/>
      <c r="AA1158" s="849"/>
      <c r="AB1158" s="849"/>
      <c r="AC1158" s="849"/>
      <c r="AD1158" s="849"/>
      <c r="AE1158" s="849"/>
      <c r="AF1158" s="849"/>
      <c r="AG1158" s="849"/>
      <c r="AH1158" s="849"/>
      <c r="AI1158" s="849"/>
      <c r="AJ1158" s="794"/>
      <c r="AK1158" s="794"/>
      <c r="AL1158" s="794"/>
      <c r="AM1158" s="794"/>
      <c r="AN1158" s="794"/>
      <c r="AO1158" s="853"/>
      <c r="AP1158" s="853"/>
      <c r="AQ1158" s="853"/>
      <c r="AR1158" s="853"/>
      <c r="AS1158" s="853"/>
      <c r="AT1158" s="794"/>
      <c r="AU1158" s="854"/>
      <c r="AV1158" s="794"/>
      <c r="AW1158" s="794"/>
      <c r="AX1158" s="794"/>
      <c r="AY1158" s="853"/>
      <c r="AZ1158" s="853"/>
    </row>
    <row r="1159" ht="15.0" customHeight="1">
      <c r="A1159" s="849"/>
      <c r="B1159" s="849"/>
      <c r="C1159" s="849"/>
      <c r="D1159" s="849"/>
      <c r="E1159" s="849"/>
      <c r="F1159" s="849"/>
      <c r="G1159" s="849"/>
      <c r="H1159" s="849"/>
      <c r="I1159" s="849"/>
      <c r="J1159" s="849"/>
      <c r="K1159" s="849"/>
      <c r="L1159" s="849"/>
      <c r="M1159" s="849"/>
      <c r="N1159" s="849"/>
      <c r="O1159" s="849"/>
      <c r="P1159" s="849"/>
      <c r="Q1159" s="849"/>
      <c r="R1159" s="849"/>
      <c r="S1159" s="849"/>
      <c r="T1159" s="849"/>
      <c r="U1159" s="849"/>
      <c r="V1159" s="849"/>
      <c r="W1159" s="849"/>
      <c r="X1159" s="849"/>
      <c r="Y1159" s="849"/>
      <c r="Z1159" s="849"/>
      <c r="AA1159" s="849"/>
      <c r="AB1159" s="849"/>
      <c r="AC1159" s="849"/>
      <c r="AD1159" s="849"/>
      <c r="AE1159" s="849"/>
      <c r="AF1159" s="849"/>
      <c r="AG1159" s="849"/>
      <c r="AH1159" s="849"/>
      <c r="AI1159" s="849"/>
      <c r="AJ1159" s="794"/>
      <c r="AK1159" s="794"/>
      <c r="AL1159" s="794"/>
      <c r="AM1159" s="794"/>
      <c r="AN1159" s="794"/>
      <c r="AO1159" s="853"/>
      <c r="AP1159" s="853"/>
      <c r="AQ1159" s="853"/>
      <c r="AR1159" s="853"/>
      <c r="AS1159" s="853"/>
      <c r="AT1159" s="794"/>
      <c r="AU1159" s="854"/>
      <c r="AV1159" s="794"/>
      <c r="AW1159" s="794"/>
      <c r="AX1159" s="794"/>
      <c r="AY1159" s="853"/>
      <c r="AZ1159" s="853"/>
    </row>
    <row r="1160" ht="15.0" customHeight="1">
      <c r="A1160" s="849"/>
      <c r="B1160" s="849"/>
      <c r="C1160" s="849"/>
      <c r="D1160" s="849"/>
      <c r="E1160" s="849"/>
      <c r="F1160" s="849"/>
      <c r="G1160" s="849"/>
      <c r="H1160" s="849"/>
      <c r="I1160" s="849"/>
      <c r="J1160" s="849"/>
      <c r="K1160" s="849"/>
      <c r="L1160" s="849"/>
      <c r="M1160" s="849"/>
      <c r="N1160" s="849"/>
      <c r="O1160" s="849"/>
      <c r="P1160" s="849"/>
      <c r="Q1160" s="849"/>
      <c r="R1160" s="849"/>
      <c r="S1160" s="849"/>
      <c r="T1160" s="849"/>
      <c r="U1160" s="849"/>
      <c r="V1160" s="849"/>
      <c r="W1160" s="849"/>
      <c r="X1160" s="849"/>
      <c r="Y1160" s="849"/>
      <c r="Z1160" s="849"/>
      <c r="AA1160" s="849"/>
      <c r="AB1160" s="849"/>
      <c r="AC1160" s="849"/>
      <c r="AD1160" s="849"/>
      <c r="AE1160" s="849"/>
      <c r="AF1160" s="849"/>
      <c r="AG1160" s="849"/>
      <c r="AH1160" s="849"/>
      <c r="AI1160" s="849"/>
      <c r="AJ1160" s="794"/>
      <c r="AK1160" s="794"/>
      <c r="AL1160" s="794"/>
      <c r="AM1160" s="794"/>
      <c r="AN1160" s="794"/>
      <c r="AO1160" s="853"/>
      <c r="AP1160" s="853"/>
      <c r="AQ1160" s="853"/>
      <c r="AR1160" s="853"/>
      <c r="AS1160" s="853"/>
      <c r="AT1160" s="794"/>
      <c r="AU1160" s="854"/>
      <c r="AV1160" s="794"/>
      <c r="AW1160" s="794"/>
      <c r="AX1160" s="794"/>
      <c r="AY1160" s="853"/>
      <c r="AZ1160" s="853"/>
    </row>
    <row r="1161" ht="15.0" customHeight="1">
      <c r="A1161" s="849"/>
      <c r="B1161" s="849"/>
      <c r="C1161" s="849"/>
      <c r="D1161" s="849"/>
      <c r="E1161" s="849"/>
      <c r="F1161" s="849"/>
      <c r="G1161" s="849"/>
      <c r="H1161" s="849"/>
      <c r="I1161" s="849"/>
      <c r="J1161" s="849"/>
      <c r="K1161" s="849"/>
      <c r="L1161" s="849"/>
      <c r="M1161" s="849"/>
      <c r="N1161" s="849"/>
      <c r="O1161" s="849"/>
      <c r="P1161" s="849"/>
      <c r="Q1161" s="849"/>
      <c r="R1161" s="849"/>
      <c r="S1161" s="849"/>
      <c r="T1161" s="849"/>
      <c r="U1161" s="849"/>
      <c r="V1161" s="849"/>
      <c r="W1161" s="849"/>
      <c r="X1161" s="849"/>
      <c r="Y1161" s="849"/>
      <c r="Z1161" s="849"/>
      <c r="AA1161" s="849"/>
      <c r="AB1161" s="849"/>
      <c r="AC1161" s="849"/>
      <c r="AD1161" s="849"/>
      <c r="AE1161" s="849"/>
      <c r="AF1161" s="849"/>
      <c r="AG1161" s="849"/>
      <c r="AH1161" s="849"/>
      <c r="AI1161" s="849"/>
      <c r="AJ1161" s="794"/>
      <c r="AK1161" s="794"/>
      <c r="AL1161" s="794"/>
      <c r="AM1161" s="794"/>
      <c r="AN1161" s="794"/>
      <c r="AO1161" s="853"/>
      <c r="AP1161" s="853"/>
      <c r="AQ1161" s="853"/>
      <c r="AR1161" s="853"/>
      <c r="AS1161" s="853"/>
      <c r="AT1161" s="794"/>
      <c r="AU1161" s="854"/>
      <c r="AV1161" s="794"/>
      <c r="AW1161" s="794"/>
      <c r="AX1161" s="794"/>
      <c r="AY1161" s="853"/>
      <c r="AZ1161" s="853"/>
    </row>
    <row r="1162" ht="15.0" customHeight="1">
      <c r="A1162" s="849"/>
      <c r="B1162" s="849"/>
      <c r="C1162" s="849"/>
      <c r="D1162" s="849"/>
      <c r="E1162" s="849"/>
      <c r="F1162" s="849"/>
      <c r="G1162" s="849"/>
      <c r="H1162" s="849"/>
      <c r="I1162" s="849"/>
      <c r="J1162" s="849"/>
      <c r="K1162" s="849"/>
      <c r="L1162" s="849"/>
      <c r="M1162" s="849"/>
      <c r="N1162" s="849"/>
      <c r="O1162" s="849"/>
      <c r="P1162" s="849"/>
      <c r="Q1162" s="849"/>
      <c r="R1162" s="849"/>
      <c r="S1162" s="849"/>
      <c r="T1162" s="849"/>
      <c r="U1162" s="849"/>
      <c r="V1162" s="849"/>
      <c r="W1162" s="849"/>
      <c r="X1162" s="849"/>
      <c r="Y1162" s="849"/>
      <c r="Z1162" s="849"/>
      <c r="AA1162" s="849"/>
      <c r="AB1162" s="849"/>
      <c r="AC1162" s="849"/>
      <c r="AD1162" s="849"/>
      <c r="AE1162" s="849"/>
      <c r="AF1162" s="849"/>
      <c r="AG1162" s="849"/>
      <c r="AH1162" s="849"/>
      <c r="AI1162" s="849"/>
      <c r="AJ1162" s="794"/>
      <c r="AK1162" s="794"/>
      <c r="AL1162" s="794"/>
      <c r="AM1162" s="794"/>
      <c r="AN1162" s="794"/>
      <c r="AO1162" s="853"/>
      <c r="AP1162" s="853"/>
      <c r="AQ1162" s="853"/>
      <c r="AR1162" s="853"/>
      <c r="AS1162" s="853"/>
      <c r="AT1162" s="794"/>
      <c r="AU1162" s="854"/>
      <c r="AV1162" s="794"/>
      <c r="AW1162" s="794"/>
      <c r="AX1162" s="794"/>
      <c r="AY1162" s="853"/>
      <c r="AZ1162" s="853"/>
    </row>
    <row r="1163" ht="15.0" customHeight="1">
      <c r="A1163" s="849"/>
      <c r="B1163" s="849"/>
      <c r="C1163" s="849"/>
      <c r="D1163" s="849"/>
      <c r="E1163" s="849"/>
      <c r="F1163" s="849"/>
      <c r="G1163" s="849"/>
      <c r="H1163" s="849"/>
      <c r="I1163" s="849"/>
      <c r="J1163" s="849"/>
      <c r="K1163" s="849"/>
      <c r="L1163" s="849"/>
      <c r="M1163" s="849"/>
      <c r="N1163" s="849"/>
      <c r="O1163" s="849"/>
      <c r="P1163" s="849"/>
      <c r="Q1163" s="849"/>
      <c r="R1163" s="849"/>
      <c r="S1163" s="849"/>
      <c r="T1163" s="849"/>
      <c r="U1163" s="849"/>
      <c r="V1163" s="849"/>
      <c r="W1163" s="849"/>
      <c r="X1163" s="849"/>
      <c r="Y1163" s="849"/>
      <c r="Z1163" s="849"/>
      <c r="AA1163" s="849"/>
      <c r="AB1163" s="849"/>
      <c r="AC1163" s="849"/>
      <c r="AD1163" s="849"/>
      <c r="AE1163" s="849"/>
      <c r="AF1163" s="849"/>
      <c r="AG1163" s="849"/>
      <c r="AH1163" s="849"/>
      <c r="AI1163" s="849"/>
      <c r="AJ1163" s="794"/>
      <c r="AK1163" s="794"/>
      <c r="AL1163" s="794"/>
      <c r="AM1163" s="794"/>
      <c r="AN1163" s="794"/>
      <c r="AO1163" s="853"/>
      <c r="AP1163" s="853"/>
      <c r="AQ1163" s="853"/>
      <c r="AR1163" s="853"/>
      <c r="AS1163" s="853"/>
      <c r="AT1163" s="794"/>
      <c r="AU1163" s="854"/>
      <c r="AV1163" s="794"/>
      <c r="AW1163" s="794"/>
      <c r="AX1163" s="794"/>
      <c r="AY1163" s="853"/>
      <c r="AZ1163" s="853"/>
    </row>
    <row r="1164" ht="15.0" customHeight="1">
      <c r="A1164" s="849"/>
      <c r="B1164" s="849"/>
      <c r="C1164" s="849"/>
      <c r="D1164" s="849"/>
      <c r="E1164" s="849"/>
      <c r="F1164" s="849"/>
      <c r="G1164" s="849"/>
      <c r="H1164" s="849"/>
      <c r="I1164" s="849"/>
      <c r="J1164" s="849"/>
      <c r="K1164" s="849"/>
      <c r="L1164" s="849"/>
      <c r="M1164" s="849"/>
      <c r="N1164" s="849"/>
      <c r="O1164" s="849"/>
      <c r="P1164" s="849"/>
      <c r="Q1164" s="849"/>
      <c r="R1164" s="849"/>
      <c r="S1164" s="849"/>
      <c r="T1164" s="849"/>
      <c r="U1164" s="849"/>
      <c r="V1164" s="849"/>
      <c r="W1164" s="849"/>
      <c r="X1164" s="849"/>
      <c r="Y1164" s="849"/>
      <c r="Z1164" s="849"/>
      <c r="AA1164" s="849"/>
      <c r="AB1164" s="849"/>
      <c r="AC1164" s="849"/>
      <c r="AD1164" s="849"/>
      <c r="AE1164" s="849"/>
      <c r="AF1164" s="849"/>
      <c r="AG1164" s="849"/>
      <c r="AH1164" s="849"/>
      <c r="AI1164" s="849"/>
      <c r="AJ1164" s="794"/>
      <c r="AK1164" s="794"/>
      <c r="AL1164" s="794"/>
      <c r="AM1164" s="794"/>
      <c r="AN1164" s="794"/>
      <c r="AO1164" s="853"/>
      <c r="AP1164" s="853"/>
      <c r="AQ1164" s="853"/>
      <c r="AR1164" s="853"/>
      <c r="AS1164" s="853"/>
      <c r="AT1164" s="794"/>
      <c r="AU1164" s="854"/>
      <c r="AV1164" s="794"/>
      <c r="AW1164" s="794"/>
      <c r="AX1164" s="794"/>
      <c r="AY1164" s="853"/>
      <c r="AZ1164" s="853"/>
    </row>
    <row r="1165" ht="15.0" customHeight="1">
      <c r="A1165" s="849"/>
      <c r="B1165" s="849"/>
      <c r="C1165" s="849"/>
      <c r="D1165" s="849"/>
      <c r="E1165" s="849"/>
      <c r="F1165" s="849"/>
      <c r="G1165" s="849"/>
      <c r="H1165" s="849"/>
      <c r="I1165" s="849"/>
      <c r="J1165" s="849"/>
      <c r="K1165" s="849"/>
      <c r="L1165" s="849"/>
      <c r="M1165" s="849"/>
      <c r="N1165" s="849"/>
      <c r="O1165" s="849"/>
      <c r="P1165" s="849"/>
      <c r="Q1165" s="849"/>
      <c r="R1165" s="849"/>
      <c r="S1165" s="849"/>
      <c r="T1165" s="849"/>
      <c r="U1165" s="849"/>
      <c r="V1165" s="849"/>
      <c r="W1165" s="849"/>
      <c r="X1165" s="849"/>
      <c r="Y1165" s="849"/>
      <c r="Z1165" s="849"/>
      <c r="AA1165" s="849"/>
      <c r="AB1165" s="849"/>
      <c r="AC1165" s="849"/>
      <c r="AD1165" s="849"/>
      <c r="AE1165" s="849"/>
      <c r="AF1165" s="849"/>
      <c r="AG1165" s="849"/>
      <c r="AH1165" s="849"/>
      <c r="AI1165" s="849"/>
      <c r="AJ1165" s="794"/>
      <c r="AK1165" s="794"/>
      <c r="AL1165" s="794"/>
      <c r="AM1165" s="794"/>
      <c r="AN1165" s="794"/>
      <c r="AO1165" s="853"/>
      <c r="AP1165" s="853"/>
      <c r="AQ1165" s="853"/>
      <c r="AR1165" s="853"/>
      <c r="AS1165" s="853"/>
      <c r="AT1165" s="794"/>
      <c r="AU1165" s="854"/>
      <c r="AV1165" s="794"/>
      <c r="AW1165" s="794"/>
      <c r="AX1165" s="794"/>
      <c r="AY1165" s="853"/>
      <c r="AZ1165" s="853"/>
    </row>
    <row r="1166" ht="15.0" customHeight="1">
      <c r="A1166" s="849"/>
      <c r="B1166" s="849"/>
      <c r="C1166" s="849"/>
      <c r="D1166" s="849"/>
      <c r="E1166" s="849"/>
      <c r="F1166" s="849"/>
      <c r="G1166" s="849"/>
      <c r="H1166" s="849"/>
      <c r="I1166" s="849"/>
      <c r="J1166" s="849"/>
      <c r="K1166" s="849"/>
      <c r="L1166" s="849"/>
      <c r="M1166" s="849"/>
      <c r="N1166" s="849"/>
      <c r="O1166" s="849"/>
      <c r="P1166" s="849"/>
      <c r="Q1166" s="849"/>
      <c r="R1166" s="849"/>
      <c r="S1166" s="849"/>
      <c r="T1166" s="849"/>
      <c r="U1166" s="849"/>
      <c r="V1166" s="849"/>
      <c r="W1166" s="849"/>
      <c r="X1166" s="849"/>
      <c r="Y1166" s="849"/>
      <c r="Z1166" s="849"/>
      <c r="AA1166" s="849"/>
      <c r="AB1166" s="849"/>
      <c r="AC1166" s="849"/>
      <c r="AD1166" s="849"/>
      <c r="AE1166" s="849"/>
      <c r="AF1166" s="849"/>
      <c r="AG1166" s="849"/>
      <c r="AH1166" s="849"/>
      <c r="AI1166" s="849"/>
      <c r="AJ1166" s="794"/>
      <c r="AK1166" s="794"/>
      <c r="AL1166" s="794"/>
      <c r="AM1166" s="794"/>
      <c r="AN1166" s="794"/>
      <c r="AO1166" s="853"/>
      <c r="AP1166" s="853"/>
      <c r="AQ1166" s="853"/>
      <c r="AR1166" s="853"/>
      <c r="AS1166" s="853"/>
      <c r="AT1166" s="794"/>
      <c r="AU1166" s="854"/>
      <c r="AV1166" s="794"/>
      <c r="AW1166" s="794"/>
      <c r="AX1166" s="794"/>
      <c r="AY1166" s="853"/>
      <c r="AZ1166" s="853"/>
    </row>
    <row r="1167" ht="15.0" customHeight="1">
      <c r="A1167" s="849"/>
      <c r="B1167" s="849"/>
      <c r="C1167" s="849"/>
      <c r="D1167" s="849"/>
      <c r="E1167" s="849"/>
      <c r="F1167" s="849"/>
      <c r="G1167" s="849"/>
      <c r="H1167" s="849"/>
      <c r="I1167" s="849"/>
      <c r="J1167" s="849"/>
      <c r="K1167" s="849"/>
      <c r="L1167" s="849"/>
      <c r="M1167" s="849"/>
      <c r="N1167" s="849"/>
      <c r="O1167" s="849"/>
      <c r="P1167" s="849"/>
      <c r="Q1167" s="849"/>
      <c r="R1167" s="849"/>
      <c r="S1167" s="849"/>
      <c r="T1167" s="849"/>
      <c r="U1167" s="849"/>
      <c r="V1167" s="849"/>
      <c r="W1167" s="849"/>
      <c r="X1167" s="849"/>
      <c r="Y1167" s="849"/>
      <c r="Z1167" s="849"/>
      <c r="AA1167" s="849"/>
      <c r="AB1167" s="849"/>
      <c r="AC1167" s="849"/>
      <c r="AD1167" s="849"/>
      <c r="AE1167" s="849"/>
      <c r="AF1167" s="849"/>
      <c r="AG1167" s="849"/>
      <c r="AH1167" s="849"/>
      <c r="AI1167" s="849"/>
      <c r="AJ1167" s="794"/>
      <c r="AK1167" s="794"/>
      <c r="AL1167" s="794"/>
      <c r="AM1167" s="794"/>
      <c r="AN1167" s="794"/>
      <c r="AO1167" s="853"/>
      <c r="AP1167" s="853"/>
      <c r="AQ1167" s="853"/>
      <c r="AR1167" s="853"/>
      <c r="AS1167" s="853"/>
      <c r="AT1167" s="794"/>
      <c r="AU1167" s="854"/>
      <c r="AV1167" s="794"/>
      <c r="AW1167" s="794"/>
      <c r="AX1167" s="794"/>
      <c r="AY1167" s="853"/>
      <c r="AZ1167" s="853"/>
    </row>
    <row r="1168" ht="15.0" customHeight="1">
      <c r="A1168" s="849"/>
      <c r="B1168" s="849"/>
      <c r="C1168" s="849"/>
      <c r="D1168" s="849"/>
      <c r="E1168" s="849"/>
      <c r="F1168" s="849"/>
      <c r="G1168" s="849"/>
      <c r="H1168" s="849"/>
      <c r="I1168" s="849"/>
      <c r="J1168" s="849"/>
      <c r="K1168" s="849"/>
      <c r="L1168" s="849"/>
      <c r="M1168" s="849"/>
      <c r="N1168" s="849"/>
      <c r="O1168" s="849"/>
      <c r="P1168" s="849"/>
      <c r="Q1168" s="849"/>
      <c r="R1168" s="849"/>
      <c r="S1168" s="849"/>
      <c r="T1168" s="849"/>
      <c r="U1168" s="849"/>
      <c r="V1168" s="849"/>
      <c r="W1168" s="849"/>
      <c r="X1168" s="849"/>
      <c r="Y1168" s="849"/>
      <c r="Z1168" s="849"/>
      <c r="AA1168" s="849"/>
      <c r="AB1168" s="849"/>
      <c r="AC1168" s="849"/>
      <c r="AD1168" s="849"/>
      <c r="AE1168" s="849"/>
      <c r="AF1168" s="849"/>
      <c r="AG1168" s="849"/>
      <c r="AH1168" s="849"/>
      <c r="AI1168" s="849"/>
      <c r="AJ1168" s="794"/>
      <c r="AK1168" s="794"/>
      <c r="AL1168" s="794"/>
      <c r="AM1168" s="794"/>
      <c r="AN1168" s="794"/>
      <c r="AO1168" s="853"/>
      <c r="AP1168" s="853"/>
      <c r="AQ1168" s="853"/>
      <c r="AR1168" s="853"/>
      <c r="AS1168" s="853"/>
      <c r="AT1168" s="794"/>
      <c r="AU1168" s="854"/>
      <c r="AV1168" s="794"/>
      <c r="AW1168" s="794"/>
      <c r="AX1168" s="794"/>
      <c r="AY1168" s="853"/>
      <c r="AZ1168" s="853"/>
    </row>
    <row r="1169" ht="15.0" customHeight="1">
      <c r="A1169" s="849"/>
      <c r="B1169" s="849"/>
      <c r="C1169" s="849"/>
      <c r="D1169" s="849"/>
      <c r="E1169" s="849"/>
      <c r="F1169" s="849"/>
      <c r="G1169" s="849"/>
      <c r="H1169" s="849"/>
      <c r="I1169" s="849"/>
      <c r="J1169" s="849"/>
      <c r="K1169" s="849"/>
      <c r="L1169" s="849"/>
      <c r="M1169" s="849"/>
      <c r="N1169" s="849"/>
      <c r="O1169" s="849"/>
      <c r="P1169" s="849"/>
      <c r="Q1169" s="849"/>
      <c r="R1169" s="849"/>
      <c r="S1169" s="849"/>
      <c r="T1169" s="849"/>
      <c r="U1169" s="849"/>
      <c r="V1169" s="849"/>
      <c r="W1169" s="849"/>
      <c r="X1169" s="849"/>
      <c r="Y1169" s="849"/>
      <c r="Z1169" s="849"/>
      <c r="AA1169" s="849"/>
      <c r="AB1169" s="849"/>
      <c r="AC1169" s="849"/>
      <c r="AD1169" s="849"/>
      <c r="AE1169" s="849"/>
      <c r="AF1169" s="849"/>
      <c r="AG1169" s="849"/>
      <c r="AH1169" s="849"/>
      <c r="AI1169" s="849"/>
      <c r="AJ1169" s="794"/>
      <c r="AK1169" s="794"/>
      <c r="AL1169" s="794"/>
      <c r="AM1169" s="794"/>
      <c r="AN1169" s="794"/>
      <c r="AO1169" s="853"/>
      <c r="AP1169" s="853"/>
      <c r="AQ1169" s="853"/>
      <c r="AR1169" s="853"/>
      <c r="AS1169" s="853"/>
      <c r="AT1169" s="794"/>
      <c r="AU1169" s="854"/>
      <c r="AV1169" s="794"/>
      <c r="AW1169" s="794"/>
      <c r="AX1169" s="794"/>
      <c r="AY1169" s="853"/>
      <c r="AZ1169" s="853"/>
    </row>
    <row r="1170" ht="15.0" customHeight="1">
      <c r="A1170" s="849"/>
      <c r="B1170" s="849"/>
      <c r="C1170" s="849"/>
      <c r="D1170" s="849"/>
      <c r="E1170" s="849"/>
      <c r="F1170" s="849"/>
      <c r="G1170" s="849"/>
      <c r="H1170" s="849"/>
      <c r="I1170" s="849"/>
      <c r="J1170" s="849"/>
      <c r="K1170" s="849"/>
      <c r="L1170" s="849"/>
      <c r="M1170" s="849"/>
      <c r="N1170" s="849"/>
      <c r="O1170" s="849"/>
      <c r="P1170" s="849"/>
      <c r="Q1170" s="849"/>
      <c r="R1170" s="849"/>
      <c r="S1170" s="849"/>
      <c r="T1170" s="849"/>
      <c r="U1170" s="849"/>
      <c r="V1170" s="849"/>
      <c r="W1170" s="849"/>
      <c r="X1170" s="849"/>
      <c r="Y1170" s="849"/>
      <c r="Z1170" s="849"/>
      <c r="AA1170" s="849"/>
      <c r="AB1170" s="849"/>
      <c r="AC1170" s="849"/>
      <c r="AD1170" s="849"/>
      <c r="AE1170" s="849"/>
      <c r="AF1170" s="849"/>
      <c r="AG1170" s="849"/>
      <c r="AH1170" s="849"/>
      <c r="AI1170" s="849"/>
      <c r="AJ1170" s="794"/>
      <c r="AK1170" s="794"/>
      <c r="AL1170" s="794"/>
      <c r="AM1170" s="794"/>
      <c r="AN1170" s="794"/>
      <c r="AO1170" s="853"/>
      <c r="AP1170" s="853"/>
      <c r="AQ1170" s="853"/>
      <c r="AR1170" s="853"/>
      <c r="AS1170" s="853"/>
      <c r="AT1170" s="794"/>
      <c r="AU1170" s="854"/>
      <c r="AV1170" s="794"/>
      <c r="AW1170" s="794"/>
      <c r="AX1170" s="794"/>
      <c r="AY1170" s="853"/>
      <c r="AZ1170" s="853"/>
    </row>
    <row r="1171" ht="15.0" customHeight="1">
      <c r="A1171" s="849"/>
      <c r="B1171" s="849"/>
      <c r="C1171" s="849"/>
      <c r="D1171" s="849"/>
      <c r="E1171" s="849"/>
      <c r="F1171" s="849"/>
      <c r="G1171" s="849"/>
      <c r="H1171" s="849"/>
      <c r="I1171" s="849"/>
      <c r="J1171" s="849"/>
      <c r="K1171" s="849"/>
      <c r="L1171" s="849"/>
      <c r="M1171" s="849"/>
      <c r="N1171" s="849"/>
      <c r="O1171" s="849"/>
      <c r="P1171" s="849"/>
      <c r="Q1171" s="849"/>
      <c r="R1171" s="849"/>
      <c r="S1171" s="849"/>
      <c r="T1171" s="849"/>
      <c r="U1171" s="849"/>
      <c r="V1171" s="849"/>
      <c r="W1171" s="849"/>
      <c r="X1171" s="849"/>
      <c r="Y1171" s="849"/>
      <c r="Z1171" s="849"/>
      <c r="AA1171" s="849"/>
      <c r="AB1171" s="849"/>
      <c r="AC1171" s="849"/>
      <c r="AD1171" s="849"/>
      <c r="AE1171" s="849"/>
      <c r="AF1171" s="849"/>
      <c r="AG1171" s="849"/>
      <c r="AH1171" s="849"/>
      <c r="AI1171" s="849"/>
      <c r="AJ1171" s="794"/>
      <c r="AK1171" s="794"/>
      <c r="AL1171" s="794"/>
      <c r="AM1171" s="794"/>
      <c r="AN1171" s="794"/>
      <c r="AO1171" s="853"/>
      <c r="AP1171" s="853"/>
      <c r="AQ1171" s="853"/>
      <c r="AR1171" s="853"/>
      <c r="AS1171" s="853"/>
      <c r="AT1171" s="794"/>
      <c r="AU1171" s="854"/>
      <c r="AV1171" s="794"/>
      <c r="AW1171" s="794"/>
      <c r="AX1171" s="794"/>
      <c r="AY1171" s="853"/>
      <c r="AZ1171" s="853"/>
    </row>
    <row r="1172" ht="15.0" customHeight="1">
      <c r="A1172" s="849"/>
      <c r="B1172" s="849"/>
      <c r="C1172" s="849"/>
      <c r="D1172" s="849"/>
      <c r="E1172" s="849"/>
      <c r="F1172" s="849"/>
      <c r="G1172" s="849"/>
      <c r="H1172" s="849"/>
      <c r="I1172" s="849"/>
      <c r="J1172" s="849"/>
      <c r="K1172" s="849"/>
      <c r="L1172" s="849"/>
      <c r="M1172" s="849"/>
      <c r="N1172" s="849"/>
      <c r="O1172" s="849"/>
      <c r="P1172" s="849"/>
      <c r="Q1172" s="849"/>
      <c r="R1172" s="849"/>
      <c r="S1172" s="849"/>
      <c r="T1172" s="849"/>
      <c r="U1172" s="849"/>
      <c r="V1172" s="849"/>
      <c r="W1172" s="849"/>
      <c r="X1172" s="849"/>
      <c r="Y1172" s="849"/>
      <c r="Z1172" s="849"/>
      <c r="AA1172" s="849"/>
      <c r="AB1172" s="849"/>
      <c r="AC1172" s="849"/>
      <c r="AD1172" s="849"/>
      <c r="AE1172" s="849"/>
      <c r="AF1172" s="849"/>
      <c r="AG1172" s="849"/>
      <c r="AH1172" s="849"/>
      <c r="AI1172" s="849"/>
      <c r="AJ1172" s="794"/>
      <c r="AK1172" s="794"/>
      <c r="AL1172" s="794"/>
      <c r="AM1172" s="794"/>
      <c r="AN1172" s="794"/>
      <c r="AO1172" s="853"/>
      <c r="AP1172" s="853"/>
      <c r="AQ1172" s="853"/>
      <c r="AR1172" s="853"/>
      <c r="AS1172" s="853"/>
      <c r="AT1172" s="794"/>
      <c r="AU1172" s="854"/>
      <c r="AV1172" s="794"/>
      <c r="AW1172" s="794"/>
      <c r="AX1172" s="794"/>
      <c r="AY1172" s="853"/>
      <c r="AZ1172" s="853"/>
    </row>
    <row r="1173" ht="15.0" customHeight="1">
      <c r="A1173" s="849"/>
      <c r="B1173" s="849"/>
      <c r="C1173" s="849"/>
      <c r="D1173" s="849"/>
      <c r="E1173" s="849"/>
      <c r="F1173" s="849"/>
      <c r="G1173" s="849"/>
      <c r="H1173" s="849"/>
      <c r="I1173" s="849"/>
      <c r="J1173" s="849"/>
      <c r="K1173" s="849"/>
      <c r="L1173" s="849"/>
      <c r="M1173" s="849"/>
      <c r="N1173" s="849"/>
      <c r="O1173" s="849"/>
      <c r="P1173" s="849"/>
      <c r="Q1173" s="849"/>
      <c r="R1173" s="849"/>
      <c r="S1173" s="849"/>
      <c r="T1173" s="849"/>
      <c r="U1173" s="849"/>
      <c r="V1173" s="849"/>
      <c r="W1173" s="849"/>
      <c r="X1173" s="849"/>
      <c r="Y1173" s="849"/>
      <c r="Z1173" s="849"/>
      <c r="AA1173" s="849"/>
      <c r="AB1173" s="849"/>
      <c r="AC1173" s="849"/>
      <c r="AD1173" s="849"/>
      <c r="AE1173" s="849"/>
      <c r="AF1173" s="849"/>
      <c r="AG1173" s="849"/>
      <c r="AH1173" s="849"/>
      <c r="AI1173" s="849"/>
      <c r="AJ1173" s="794"/>
      <c r="AK1173" s="794"/>
      <c r="AL1173" s="794"/>
      <c r="AM1173" s="794"/>
      <c r="AN1173" s="794"/>
      <c r="AO1173" s="853"/>
      <c r="AP1173" s="853"/>
      <c r="AQ1173" s="853"/>
      <c r="AR1173" s="853"/>
      <c r="AS1173" s="853"/>
      <c r="AT1173" s="794"/>
      <c r="AU1173" s="854"/>
      <c r="AV1173" s="794"/>
      <c r="AW1173" s="794"/>
      <c r="AX1173" s="794"/>
      <c r="AY1173" s="853"/>
      <c r="AZ1173" s="853"/>
    </row>
    <row r="1174" ht="15.0" customHeight="1">
      <c r="A1174" s="849"/>
      <c r="B1174" s="849"/>
      <c r="C1174" s="849"/>
      <c r="D1174" s="849"/>
      <c r="E1174" s="849"/>
      <c r="F1174" s="849"/>
      <c r="G1174" s="849"/>
      <c r="H1174" s="849"/>
      <c r="I1174" s="849"/>
      <c r="J1174" s="849"/>
      <c r="K1174" s="849"/>
      <c r="L1174" s="849"/>
      <c r="M1174" s="849"/>
      <c r="N1174" s="849"/>
      <c r="O1174" s="849"/>
      <c r="P1174" s="849"/>
      <c r="Q1174" s="849"/>
      <c r="R1174" s="849"/>
      <c r="S1174" s="849"/>
      <c r="T1174" s="849"/>
      <c r="U1174" s="849"/>
      <c r="V1174" s="849"/>
      <c r="W1174" s="849"/>
      <c r="X1174" s="849"/>
      <c r="Y1174" s="849"/>
      <c r="Z1174" s="849"/>
      <c r="AA1174" s="849"/>
      <c r="AB1174" s="849"/>
      <c r="AC1174" s="849"/>
      <c r="AD1174" s="849"/>
      <c r="AE1174" s="849"/>
      <c r="AF1174" s="849"/>
      <c r="AG1174" s="849"/>
      <c r="AH1174" s="849"/>
      <c r="AI1174" s="849"/>
      <c r="AJ1174" s="794"/>
      <c r="AK1174" s="794"/>
      <c r="AL1174" s="794"/>
      <c r="AM1174" s="794"/>
      <c r="AN1174" s="794"/>
      <c r="AO1174" s="853"/>
      <c r="AP1174" s="853"/>
      <c r="AQ1174" s="853"/>
      <c r="AR1174" s="853"/>
      <c r="AS1174" s="853"/>
      <c r="AT1174" s="794"/>
      <c r="AU1174" s="854"/>
      <c r="AV1174" s="794"/>
      <c r="AW1174" s="794"/>
      <c r="AX1174" s="794"/>
      <c r="AY1174" s="853"/>
      <c r="AZ1174" s="853"/>
    </row>
    <row r="1175" ht="15.0" customHeight="1">
      <c r="A1175" s="849"/>
      <c r="B1175" s="849"/>
      <c r="C1175" s="849"/>
      <c r="D1175" s="849"/>
      <c r="E1175" s="849"/>
      <c r="F1175" s="849"/>
      <c r="G1175" s="849"/>
      <c r="H1175" s="849"/>
      <c r="I1175" s="849"/>
      <c r="J1175" s="849"/>
      <c r="K1175" s="849"/>
      <c r="L1175" s="849"/>
      <c r="M1175" s="849"/>
      <c r="N1175" s="849"/>
      <c r="O1175" s="849"/>
      <c r="P1175" s="849"/>
      <c r="Q1175" s="849"/>
      <c r="R1175" s="849"/>
      <c r="S1175" s="849"/>
      <c r="T1175" s="849"/>
      <c r="U1175" s="849"/>
      <c r="V1175" s="849"/>
      <c r="W1175" s="849"/>
      <c r="X1175" s="849"/>
      <c r="Y1175" s="849"/>
      <c r="Z1175" s="849"/>
      <c r="AA1175" s="849"/>
      <c r="AB1175" s="849"/>
      <c r="AC1175" s="849"/>
      <c r="AD1175" s="849"/>
      <c r="AE1175" s="849"/>
      <c r="AF1175" s="849"/>
      <c r="AG1175" s="849"/>
      <c r="AH1175" s="849"/>
      <c r="AI1175" s="849"/>
      <c r="AJ1175" s="794"/>
      <c r="AK1175" s="794"/>
      <c r="AL1175" s="794"/>
      <c r="AM1175" s="794"/>
      <c r="AN1175" s="794"/>
      <c r="AO1175" s="853"/>
      <c r="AP1175" s="853"/>
      <c r="AQ1175" s="853"/>
      <c r="AR1175" s="853"/>
      <c r="AS1175" s="853"/>
      <c r="AT1175" s="794"/>
      <c r="AU1175" s="854"/>
      <c r="AV1175" s="794"/>
      <c r="AW1175" s="794"/>
      <c r="AX1175" s="794"/>
      <c r="AY1175" s="853"/>
      <c r="AZ1175" s="853"/>
    </row>
    <row r="1176" ht="15.0" customHeight="1">
      <c r="A1176" s="849"/>
      <c r="B1176" s="849"/>
      <c r="C1176" s="849"/>
      <c r="D1176" s="849"/>
      <c r="E1176" s="849"/>
      <c r="F1176" s="849"/>
      <c r="G1176" s="849"/>
      <c r="H1176" s="849"/>
      <c r="I1176" s="849"/>
      <c r="J1176" s="849"/>
      <c r="K1176" s="849"/>
      <c r="L1176" s="849"/>
      <c r="M1176" s="849"/>
      <c r="N1176" s="849"/>
      <c r="O1176" s="849"/>
      <c r="P1176" s="849"/>
      <c r="Q1176" s="849"/>
      <c r="R1176" s="849"/>
      <c r="S1176" s="849"/>
      <c r="T1176" s="849"/>
      <c r="U1176" s="849"/>
      <c r="V1176" s="849"/>
      <c r="W1176" s="849"/>
      <c r="X1176" s="849"/>
      <c r="Y1176" s="849"/>
      <c r="Z1176" s="849"/>
      <c r="AA1176" s="849"/>
      <c r="AB1176" s="849"/>
      <c r="AC1176" s="849"/>
      <c r="AD1176" s="849"/>
      <c r="AE1176" s="849"/>
      <c r="AF1176" s="849"/>
      <c r="AG1176" s="849"/>
      <c r="AH1176" s="849"/>
      <c r="AI1176" s="849"/>
      <c r="AJ1176" s="794"/>
      <c r="AK1176" s="794"/>
      <c r="AL1176" s="794"/>
      <c r="AM1176" s="794"/>
      <c r="AN1176" s="794"/>
      <c r="AO1176" s="853"/>
      <c r="AP1176" s="853"/>
      <c r="AQ1176" s="853"/>
      <c r="AR1176" s="853"/>
      <c r="AS1176" s="853"/>
      <c r="AT1176" s="794"/>
      <c r="AU1176" s="854"/>
      <c r="AV1176" s="794"/>
      <c r="AW1176" s="794"/>
      <c r="AX1176" s="794"/>
      <c r="AY1176" s="853"/>
      <c r="AZ1176" s="853"/>
    </row>
    <row r="1177" ht="15.0" customHeight="1">
      <c r="A1177" s="849"/>
      <c r="B1177" s="849"/>
      <c r="C1177" s="849"/>
      <c r="D1177" s="849"/>
      <c r="E1177" s="849"/>
      <c r="F1177" s="849"/>
      <c r="G1177" s="849"/>
      <c r="H1177" s="849"/>
      <c r="I1177" s="849"/>
      <c r="J1177" s="849"/>
      <c r="K1177" s="849"/>
      <c r="L1177" s="849"/>
      <c r="M1177" s="849"/>
      <c r="N1177" s="849"/>
      <c r="O1177" s="849"/>
      <c r="P1177" s="849"/>
      <c r="Q1177" s="849"/>
      <c r="R1177" s="849"/>
      <c r="S1177" s="849"/>
      <c r="T1177" s="849"/>
      <c r="U1177" s="849"/>
      <c r="V1177" s="849"/>
      <c r="W1177" s="849"/>
      <c r="X1177" s="849"/>
      <c r="Y1177" s="849"/>
      <c r="Z1177" s="849"/>
      <c r="AA1177" s="849"/>
      <c r="AB1177" s="849"/>
      <c r="AC1177" s="849"/>
      <c r="AD1177" s="849"/>
      <c r="AE1177" s="849"/>
      <c r="AF1177" s="849"/>
      <c r="AG1177" s="849"/>
      <c r="AH1177" s="849"/>
      <c r="AI1177" s="849"/>
      <c r="AJ1177" s="794"/>
      <c r="AK1177" s="794"/>
      <c r="AL1177" s="794"/>
      <c r="AM1177" s="794"/>
      <c r="AN1177" s="794"/>
      <c r="AO1177" s="853"/>
      <c r="AP1177" s="853"/>
      <c r="AQ1177" s="853"/>
      <c r="AR1177" s="853"/>
      <c r="AS1177" s="853"/>
      <c r="AT1177" s="794"/>
      <c r="AU1177" s="854"/>
      <c r="AV1177" s="794"/>
      <c r="AW1177" s="794"/>
      <c r="AX1177" s="794"/>
      <c r="AY1177" s="853"/>
      <c r="AZ1177" s="853"/>
    </row>
    <row r="1178" ht="15.0" customHeight="1">
      <c r="A1178" s="849"/>
      <c r="B1178" s="849"/>
      <c r="C1178" s="849"/>
      <c r="D1178" s="849"/>
      <c r="E1178" s="849"/>
      <c r="F1178" s="849"/>
      <c r="G1178" s="849"/>
      <c r="H1178" s="849"/>
      <c r="I1178" s="849"/>
      <c r="J1178" s="849"/>
      <c r="K1178" s="849"/>
      <c r="L1178" s="849"/>
      <c r="M1178" s="849"/>
      <c r="N1178" s="849"/>
      <c r="O1178" s="849"/>
      <c r="P1178" s="849"/>
      <c r="Q1178" s="849"/>
      <c r="R1178" s="849"/>
      <c r="S1178" s="849"/>
      <c r="T1178" s="849"/>
      <c r="U1178" s="849"/>
      <c r="V1178" s="849"/>
      <c r="W1178" s="849"/>
      <c r="X1178" s="849"/>
      <c r="Y1178" s="849"/>
      <c r="Z1178" s="849"/>
      <c r="AA1178" s="849"/>
      <c r="AB1178" s="849"/>
      <c r="AC1178" s="849"/>
      <c r="AD1178" s="849"/>
      <c r="AE1178" s="849"/>
      <c r="AF1178" s="849"/>
      <c r="AG1178" s="849"/>
      <c r="AH1178" s="849"/>
      <c r="AI1178" s="849"/>
      <c r="AJ1178" s="794"/>
      <c r="AK1178" s="794"/>
      <c r="AL1178" s="794"/>
      <c r="AM1178" s="794"/>
      <c r="AN1178" s="794"/>
      <c r="AO1178" s="853"/>
      <c r="AP1178" s="853"/>
      <c r="AQ1178" s="853"/>
      <c r="AR1178" s="853"/>
      <c r="AS1178" s="853"/>
      <c r="AT1178" s="794"/>
      <c r="AU1178" s="854"/>
      <c r="AV1178" s="794"/>
      <c r="AW1178" s="794"/>
      <c r="AX1178" s="794"/>
      <c r="AY1178" s="853"/>
      <c r="AZ1178" s="853"/>
    </row>
    <row r="1179" ht="15.0" customHeight="1">
      <c r="A1179" s="849"/>
      <c r="B1179" s="849"/>
      <c r="C1179" s="849"/>
      <c r="D1179" s="849"/>
      <c r="E1179" s="849"/>
      <c r="F1179" s="849"/>
      <c r="G1179" s="849"/>
      <c r="H1179" s="849"/>
      <c r="I1179" s="849"/>
      <c r="J1179" s="849"/>
      <c r="K1179" s="849"/>
      <c r="L1179" s="849"/>
      <c r="M1179" s="849"/>
      <c r="N1179" s="849"/>
      <c r="O1179" s="849"/>
      <c r="P1179" s="849"/>
      <c r="Q1179" s="849"/>
      <c r="R1179" s="849"/>
      <c r="S1179" s="849"/>
      <c r="T1179" s="849"/>
      <c r="U1179" s="849"/>
      <c r="V1179" s="849"/>
      <c r="W1179" s="849"/>
      <c r="X1179" s="849"/>
      <c r="Y1179" s="849"/>
      <c r="Z1179" s="849"/>
      <c r="AA1179" s="849"/>
      <c r="AB1179" s="849"/>
      <c r="AC1179" s="849"/>
      <c r="AD1179" s="849"/>
      <c r="AE1179" s="849"/>
      <c r="AF1179" s="849"/>
      <c r="AG1179" s="849"/>
      <c r="AH1179" s="849"/>
      <c r="AI1179" s="849"/>
      <c r="AJ1179" s="794"/>
      <c r="AK1179" s="794"/>
      <c r="AL1179" s="794"/>
      <c r="AM1179" s="794"/>
      <c r="AN1179" s="794"/>
      <c r="AO1179" s="853"/>
      <c r="AP1179" s="853"/>
      <c r="AQ1179" s="853"/>
      <c r="AR1179" s="853"/>
      <c r="AS1179" s="853"/>
      <c r="AT1179" s="794"/>
      <c r="AU1179" s="854"/>
      <c r="AV1179" s="794"/>
      <c r="AW1179" s="794"/>
      <c r="AX1179" s="794"/>
      <c r="AY1179" s="853"/>
      <c r="AZ1179" s="853"/>
    </row>
    <row r="1180" ht="15.0" customHeight="1">
      <c r="A1180" s="849"/>
      <c r="B1180" s="849"/>
      <c r="C1180" s="849"/>
      <c r="D1180" s="849"/>
      <c r="E1180" s="849"/>
      <c r="F1180" s="849"/>
      <c r="G1180" s="849"/>
      <c r="H1180" s="849"/>
      <c r="I1180" s="849"/>
      <c r="J1180" s="849"/>
      <c r="K1180" s="849"/>
      <c r="L1180" s="849"/>
      <c r="M1180" s="849"/>
      <c r="N1180" s="849"/>
      <c r="O1180" s="849"/>
      <c r="P1180" s="849"/>
      <c r="Q1180" s="849"/>
      <c r="R1180" s="849"/>
      <c r="S1180" s="849"/>
      <c r="T1180" s="849"/>
      <c r="U1180" s="849"/>
      <c r="V1180" s="849"/>
      <c r="W1180" s="849"/>
      <c r="X1180" s="849"/>
      <c r="Y1180" s="849"/>
      <c r="Z1180" s="849"/>
      <c r="AA1180" s="849"/>
      <c r="AB1180" s="849"/>
      <c r="AC1180" s="849"/>
      <c r="AD1180" s="849"/>
      <c r="AE1180" s="849"/>
      <c r="AF1180" s="849"/>
      <c r="AG1180" s="849"/>
      <c r="AH1180" s="849"/>
      <c r="AI1180" s="849"/>
      <c r="AJ1180" s="794"/>
      <c r="AK1180" s="794"/>
      <c r="AL1180" s="794"/>
      <c r="AM1180" s="794"/>
      <c r="AN1180" s="794"/>
      <c r="AO1180" s="853"/>
      <c r="AP1180" s="853"/>
      <c r="AQ1180" s="853"/>
      <c r="AR1180" s="853"/>
      <c r="AS1180" s="853"/>
      <c r="AT1180" s="794"/>
      <c r="AU1180" s="854"/>
      <c r="AV1180" s="794"/>
      <c r="AW1180" s="794"/>
      <c r="AX1180" s="794"/>
      <c r="AY1180" s="853"/>
      <c r="AZ1180" s="853"/>
    </row>
    <row r="1181" ht="15.0" customHeight="1">
      <c r="A1181" s="849"/>
      <c r="B1181" s="849"/>
      <c r="C1181" s="849"/>
      <c r="D1181" s="849"/>
      <c r="E1181" s="849"/>
      <c r="F1181" s="849"/>
      <c r="G1181" s="849"/>
      <c r="H1181" s="849"/>
      <c r="I1181" s="849"/>
      <c r="J1181" s="849"/>
      <c r="K1181" s="849"/>
      <c r="L1181" s="849"/>
      <c r="M1181" s="849"/>
      <c r="N1181" s="849"/>
      <c r="O1181" s="849"/>
      <c r="P1181" s="849"/>
      <c r="Q1181" s="849"/>
      <c r="R1181" s="849"/>
      <c r="S1181" s="849"/>
      <c r="T1181" s="849"/>
      <c r="U1181" s="849"/>
      <c r="V1181" s="849"/>
      <c r="W1181" s="849"/>
      <c r="X1181" s="849"/>
      <c r="Y1181" s="849"/>
      <c r="Z1181" s="849"/>
      <c r="AA1181" s="849"/>
      <c r="AB1181" s="849"/>
      <c r="AC1181" s="849"/>
      <c r="AD1181" s="849"/>
      <c r="AE1181" s="849"/>
      <c r="AF1181" s="849"/>
      <c r="AG1181" s="849"/>
      <c r="AH1181" s="849"/>
      <c r="AI1181" s="849"/>
      <c r="AJ1181" s="794"/>
      <c r="AK1181" s="794"/>
      <c r="AL1181" s="794"/>
      <c r="AM1181" s="794"/>
      <c r="AN1181" s="794"/>
      <c r="AO1181" s="853"/>
      <c r="AP1181" s="853"/>
      <c r="AQ1181" s="853"/>
      <c r="AR1181" s="853"/>
      <c r="AS1181" s="853"/>
      <c r="AT1181" s="794"/>
      <c r="AU1181" s="854"/>
      <c r="AV1181" s="794"/>
      <c r="AW1181" s="794"/>
      <c r="AX1181" s="794"/>
      <c r="AY1181" s="853"/>
      <c r="AZ1181" s="853"/>
    </row>
    <row r="1182" ht="15.0" customHeight="1">
      <c r="A1182" s="849"/>
      <c r="B1182" s="849"/>
      <c r="C1182" s="849"/>
      <c r="D1182" s="849"/>
      <c r="E1182" s="849"/>
      <c r="F1182" s="849"/>
      <c r="G1182" s="849"/>
      <c r="H1182" s="849"/>
      <c r="I1182" s="849"/>
      <c r="J1182" s="849"/>
      <c r="K1182" s="849"/>
      <c r="L1182" s="849"/>
      <c r="M1182" s="849"/>
      <c r="N1182" s="849"/>
      <c r="O1182" s="849"/>
      <c r="P1182" s="849"/>
      <c r="Q1182" s="849"/>
      <c r="R1182" s="849"/>
      <c r="S1182" s="849"/>
      <c r="T1182" s="849"/>
      <c r="U1182" s="849"/>
      <c r="V1182" s="849"/>
      <c r="W1182" s="849"/>
      <c r="X1182" s="849"/>
      <c r="Y1182" s="849"/>
      <c r="Z1182" s="849"/>
      <c r="AA1182" s="849"/>
      <c r="AB1182" s="849"/>
      <c r="AC1182" s="849"/>
      <c r="AD1182" s="849"/>
      <c r="AE1182" s="849"/>
      <c r="AF1182" s="849"/>
      <c r="AG1182" s="849"/>
      <c r="AH1182" s="849"/>
      <c r="AI1182" s="849"/>
      <c r="AJ1182" s="794"/>
      <c r="AK1182" s="794"/>
      <c r="AL1182" s="794"/>
      <c r="AM1182" s="794"/>
      <c r="AN1182" s="794"/>
      <c r="AO1182" s="853"/>
      <c r="AP1182" s="853"/>
      <c r="AQ1182" s="853"/>
      <c r="AR1182" s="853"/>
      <c r="AS1182" s="853"/>
      <c r="AT1182" s="794"/>
      <c r="AU1182" s="854"/>
      <c r="AV1182" s="794"/>
      <c r="AW1182" s="794"/>
      <c r="AX1182" s="794"/>
      <c r="AY1182" s="853"/>
      <c r="AZ1182" s="853"/>
    </row>
    <row r="1183" ht="15.0" customHeight="1">
      <c r="A1183" s="849"/>
      <c r="B1183" s="849"/>
      <c r="C1183" s="849"/>
      <c r="D1183" s="849"/>
      <c r="E1183" s="849"/>
      <c r="F1183" s="849"/>
      <c r="G1183" s="849"/>
      <c r="H1183" s="849"/>
      <c r="I1183" s="849"/>
      <c r="J1183" s="849"/>
      <c r="K1183" s="849"/>
      <c r="L1183" s="849"/>
      <c r="M1183" s="849"/>
      <c r="N1183" s="849"/>
      <c r="O1183" s="849"/>
      <c r="P1183" s="849"/>
      <c r="Q1183" s="849"/>
      <c r="R1183" s="849"/>
      <c r="S1183" s="849"/>
      <c r="T1183" s="849"/>
      <c r="U1183" s="849"/>
      <c r="V1183" s="849"/>
      <c r="W1183" s="849"/>
      <c r="X1183" s="849"/>
      <c r="Y1183" s="849"/>
      <c r="Z1183" s="849"/>
      <c r="AA1183" s="849"/>
      <c r="AB1183" s="849"/>
      <c r="AC1183" s="849"/>
      <c r="AD1183" s="849"/>
      <c r="AE1183" s="849"/>
      <c r="AF1183" s="849"/>
      <c r="AG1183" s="849"/>
      <c r="AH1183" s="849"/>
      <c r="AI1183" s="849"/>
      <c r="AJ1183" s="794"/>
      <c r="AK1183" s="794"/>
      <c r="AL1183" s="794"/>
      <c r="AM1183" s="794"/>
      <c r="AN1183" s="794"/>
      <c r="AO1183" s="853"/>
      <c r="AP1183" s="853"/>
      <c r="AQ1183" s="853"/>
      <c r="AR1183" s="853"/>
      <c r="AS1183" s="853"/>
      <c r="AT1183" s="794"/>
      <c r="AU1183" s="854"/>
      <c r="AV1183" s="794"/>
      <c r="AW1183" s="794"/>
      <c r="AX1183" s="794"/>
      <c r="AY1183" s="853"/>
      <c r="AZ1183" s="853"/>
    </row>
    <row r="1184" ht="15.0" customHeight="1">
      <c r="A1184" s="849"/>
      <c r="B1184" s="849"/>
      <c r="C1184" s="849"/>
      <c r="D1184" s="849"/>
      <c r="E1184" s="849"/>
      <c r="F1184" s="849"/>
      <c r="G1184" s="849"/>
      <c r="H1184" s="849"/>
      <c r="I1184" s="849"/>
      <c r="J1184" s="849"/>
      <c r="K1184" s="849"/>
      <c r="L1184" s="849"/>
      <c r="M1184" s="849"/>
      <c r="N1184" s="849"/>
      <c r="O1184" s="849"/>
      <c r="P1184" s="849"/>
      <c r="Q1184" s="849"/>
      <c r="R1184" s="849"/>
      <c r="S1184" s="849"/>
      <c r="T1184" s="849"/>
      <c r="U1184" s="849"/>
      <c r="V1184" s="849"/>
      <c r="W1184" s="849"/>
      <c r="X1184" s="849"/>
      <c r="Y1184" s="849"/>
      <c r="Z1184" s="849"/>
      <c r="AA1184" s="849"/>
      <c r="AB1184" s="849"/>
      <c r="AC1184" s="849"/>
      <c r="AD1184" s="849"/>
      <c r="AE1184" s="849"/>
      <c r="AF1184" s="849"/>
      <c r="AG1184" s="849"/>
      <c r="AH1184" s="849"/>
      <c r="AI1184" s="849"/>
      <c r="AJ1184" s="794"/>
      <c r="AK1184" s="794"/>
      <c r="AL1184" s="794"/>
      <c r="AM1184" s="794"/>
      <c r="AN1184" s="794"/>
      <c r="AO1184" s="853"/>
      <c r="AP1184" s="853"/>
      <c r="AQ1184" s="853"/>
      <c r="AR1184" s="853"/>
      <c r="AS1184" s="853"/>
      <c r="AT1184" s="794"/>
      <c r="AU1184" s="854"/>
      <c r="AV1184" s="794"/>
      <c r="AW1184" s="794"/>
      <c r="AX1184" s="794"/>
      <c r="AY1184" s="853"/>
      <c r="AZ1184" s="853"/>
    </row>
    <row r="1185" ht="15.0" customHeight="1">
      <c r="A1185" s="849"/>
      <c r="B1185" s="849"/>
      <c r="C1185" s="849"/>
      <c r="D1185" s="849"/>
      <c r="E1185" s="849"/>
      <c r="F1185" s="849"/>
      <c r="G1185" s="849"/>
      <c r="H1185" s="849"/>
      <c r="I1185" s="849"/>
      <c r="J1185" s="849"/>
      <c r="K1185" s="849"/>
      <c r="L1185" s="849"/>
      <c r="M1185" s="849"/>
      <c r="N1185" s="849"/>
      <c r="O1185" s="849"/>
      <c r="P1185" s="849"/>
      <c r="Q1185" s="849"/>
      <c r="R1185" s="849"/>
      <c r="S1185" s="849"/>
      <c r="T1185" s="849"/>
      <c r="U1185" s="849"/>
      <c r="V1185" s="849"/>
      <c r="W1185" s="849"/>
      <c r="X1185" s="849"/>
      <c r="Y1185" s="849"/>
      <c r="Z1185" s="849"/>
      <c r="AA1185" s="849"/>
      <c r="AB1185" s="849"/>
      <c r="AC1185" s="849"/>
      <c r="AD1185" s="849"/>
      <c r="AE1185" s="849"/>
      <c r="AF1185" s="849"/>
      <c r="AG1185" s="849"/>
      <c r="AH1185" s="849"/>
      <c r="AI1185" s="849"/>
      <c r="AJ1185" s="794"/>
      <c r="AK1185" s="794"/>
      <c r="AL1185" s="794"/>
      <c r="AM1185" s="794"/>
      <c r="AN1185" s="794"/>
      <c r="AO1185" s="853"/>
      <c r="AP1185" s="853"/>
      <c r="AQ1185" s="853"/>
      <c r="AR1185" s="853"/>
      <c r="AS1185" s="853"/>
      <c r="AT1185" s="794"/>
      <c r="AU1185" s="854"/>
      <c r="AV1185" s="794"/>
      <c r="AW1185" s="794"/>
      <c r="AX1185" s="794"/>
      <c r="AY1185" s="853"/>
      <c r="AZ1185" s="853"/>
    </row>
    <row r="1186" ht="15.0" customHeight="1">
      <c r="A1186" s="849"/>
      <c r="B1186" s="849"/>
      <c r="C1186" s="849"/>
      <c r="D1186" s="849"/>
      <c r="E1186" s="849"/>
      <c r="F1186" s="849"/>
      <c r="G1186" s="849"/>
      <c r="H1186" s="849"/>
      <c r="I1186" s="849"/>
      <c r="J1186" s="849"/>
      <c r="K1186" s="849"/>
      <c r="L1186" s="849"/>
      <c r="M1186" s="849"/>
      <c r="N1186" s="849"/>
      <c r="O1186" s="849"/>
      <c r="P1186" s="849"/>
      <c r="Q1186" s="849"/>
      <c r="R1186" s="849"/>
      <c r="S1186" s="849"/>
      <c r="T1186" s="849"/>
      <c r="U1186" s="849"/>
      <c r="V1186" s="849"/>
      <c r="W1186" s="849"/>
      <c r="X1186" s="849"/>
      <c r="Y1186" s="849"/>
      <c r="Z1186" s="849"/>
      <c r="AA1186" s="849"/>
      <c r="AB1186" s="849"/>
      <c r="AC1186" s="849"/>
      <c r="AD1186" s="849"/>
      <c r="AE1186" s="849"/>
      <c r="AF1186" s="849"/>
      <c r="AG1186" s="849"/>
      <c r="AH1186" s="849"/>
      <c r="AI1186" s="849"/>
      <c r="AJ1186" s="794"/>
      <c r="AK1186" s="794"/>
      <c r="AL1186" s="794"/>
      <c r="AM1186" s="794"/>
      <c r="AN1186" s="794"/>
      <c r="AO1186" s="853"/>
      <c r="AP1186" s="853"/>
      <c r="AQ1186" s="853"/>
      <c r="AR1186" s="853"/>
      <c r="AS1186" s="853"/>
      <c r="AT1186" s="794"/>
      <c r="AU1186" s="854"/>
      <c r="AV1186" s="794"/>
      <c r="AW1186" s="794"/>
      <c r="AX1186" s="794"/>
      <c r="AY1186" s="853"/>
      <c r="AZ1186" s="853"/>
    </row>
    <row r="1187" ht="15.0" customHeight="1">
      <c r="A1187" s="849"/>
      <c r="B1187" s="849"/>
      <c r="C1187" s="849"/>
      <c r="D1187" s="849"/>
      <c r="E1187" s="849"/>
      <c r="F1187" s="849"/>
      <c r="G1187" s="849"/>
      <c r="H1187" s="849"/>
      <c r="I1187" s="849"/>
      <c r="J1187" s="849"/>
      <c r="K1187" s="849"/>
      <c r="L1187" s="849"/>
      <c r="M1187" s="849"/>
      <c r="N1187" s="849"/>
      <c r="O1187" s="849"/>
      <c r="P1187" s="849"/>
      <c r="Q1187" s="849"/>
      <c r="R1187" s="849"/>
      <c r="S1187" s="849"/>
      <c r="T1187" s="849"/>
      <c r="U1187" s="849"/>
      <c r="V1187" s="849"/>
      <c r="W1187" s="849"/>
      <c r="X1187" s="849"/>
      <c r="Y1187" s="849"/>
      <c r="Z1187" s="849"/>
      <c r="AA1187" s="849"/>
      <c r="AB1187" s="849"/>
      <c r="AC1187" s="849"/>
      <c r="AD1187" s="849"/>
      <c r="AE1187" s="849"/>
      <c r="AF1187" s="849"/>
      <c r="AG1187" s="849"/>
      <c r="AH1187" s="849"/>
      <c r="AI1187" s="849"/>
      <c r="AJ1187" s="794"/>
      <c r="AK1187" s="794"/>
      <c r="AL1187" s="794"/>
      <c r="AM1187" s="794"/>
      <c r="AN1187" s="794"/>
      <c r="AO1187" s="853"/>
      <c r="AP1187" s="853"/>
      <c r="AQ1187" s="853"/>
      <c r="AR1187" s="853"/>
      <c r="AS1187" s="853"/>
      <c r="AT1187" s="794"/>
      <c r="AU1187" s="854"/>
      <c r="AV1187" s="794"/>
      <c r="AW1187" s="794"/>
      <c r="AX1187" s="794"/>
      <c r="AY1187" s="853"/>
      <c r="AZ1187" s="853"/>
    </row>
    <row r="1188" ht="15.0" customHeight="1">
      <c r="A1188" s="849"/>
      <c r="B1188" s="849"/>
      <c r="C1188" s="849"/>
      <c r="D1188" s="849"/>
      <c r="E1188" s="849"/>
      <c r="F1188" s="849"/>
      <c r="G1188" s="849"/>
      <c r="H1188" s="849"/>
      <c r="I1188" s="849"/>
      <c r="J1188" s="849"/>
      <c r="K1188" s="849"/>
      <c r="L1188" s="849"/>
      <c r="M1188" s="849"/>
      <c r="N1188" s="849"/>
      <c r="O1188" s="849"/>
      <c r="P1188" s="849"/>
      <c r="Q1188" s="849"/>
      <c r="R1188" s="849"/>
      <c r="S1188" s="849"/>
      <c r="T1188" s="849"/>
      <c r="U1188" s="849"/>
      <c r="V1188" s="849"/>
      <c r="W1188" s="849"/>
      <c r="X1188" s="849"/>
      <c r="Y1188" s="849"/>
      <c r="Z1188" s="849"/>
      <c r="AA1188" s="849"/>
      <c r="AB1188" s="849"/>
      <c r="AC1188" s="849"/>
      <c r="AD1188" s="849"/>
      <c r="AE1188" s="849"/>
      <c r="AF1188" s="849"/>
      <c r="AG1188" s="849"/>
      <c r="AH1188" s="849"/>
      <c r="AI1188" s="849"/>
      <c r="AJ1188" s="794"/>
      <c r="AK1188" s="794"/>
      <c r="AL1188" s="794"/>
      <c r="AM1188" s="794"/>
      <c r="AN1188" s="794"/>
      <c r="AO1188" s="853"/>
      <c r="AP1188" s="853"/>
      <c r="AQ1188" s="853"/>
      <c r="AR1188" s="853"/>
      <c r="AS1188" s="853"/>
      <c r="AT1188" s="794"/>
      <c r="AU1188" s="854"/>
      <c r="AV1188" s="794"/>
      <c r="AW1188" s="794"/>
      <c r="AX1188" s="794"/>
      <c r="AY1188" s="853"/>
      <c r="AZ1188" s="853"/>
    </row>
    <row r="1189" ht="15.0" customHeight="1">
      <c r="A1189" s="849"/>
      <c r="B1189" s="849"/>
      <c r="C1189" s="849"/>
      <c r="D1189" s="849"/>
      <c r="E1189" s="849"/>
      <c r="F1189" s="849"/>
      <c r="G1189" s="849"/>
      <c r="H1189" s="849"/>
      <c r="I1189" s="849"/>
      <c r="J1189" s="849"/>
      <c r="K1189" s="849"/>
      <c r="L1189" s="849"/>
      <c r="M1189" s="849"/>
      <c r="N1189" s="849"/>
      <c r="O1189" s="849"/>
      <c r="P1189" s="849"/>
      <c r="Q1189" s="849"/>
      <c r="R1189" s="849"/>
      <c r="S1189" s="849"/>
      <c r="T1189" s="849"/>
      <c r="U1189" s="849"/>
      <c r="V1189" s="849"/>
      <c r="W1189" s="849"/>
      <c r="X1189" s="849"/>
      <c r="Y1189" s="849"/>
      <c r="Z1189" s="849"/>
      <c r="AA1189" s="849"/>
      <c r="AB1189" s="849"/>
      <c r="AC1189" s="849"/>
      <c r="AD1189" s="849"/>
      <c r="AE1189" s="849"/>
      <c r="AF1189" s="849"/>
      <c r="AG1189" s="849"/>
      <c r="AH1189" s="849"/>
      <c r="AI1189" s="849"/>
      <c r="AJ1189" s="794"/>
      <c r="AK1189" s="794"/>
      <c r="AL1189" s="794"/>
      <c r="AM1189" s="794"/>
      <c r="AN1189" s="794"/>
      <c r="AO1189" s="853"/>
      <c r="AP1189" s="853"/>
      <c r="AQ1189" s="853"/>
      <c r="AR1189" s="853"/>
      <c r="AS1189" s="853"/>
      <c r="AT1189" s="794"/>
      <c r="AU1189" s="854"/>
      <c r="AV1189" s="794"/>
      <c r="AW1189" s="794"/>
      <c r="AX1189" s="794"/>
      <c r="AY1189" s="853"/>
      <c r="AZ1189" s="853"/>
    </row>
    <row r="1190" ht="15.0" customHeight="1">
      <c r="A1190" s="849"/>
      <c r="B1190" s="849"/>
      <c r="C1190" s="849"/>
      <c r="D1190" s="849"/>
      <c r="E1190" s="849"/>
      <c r="F1190" s="849"/>
      <c r="G1190" s="849"/>
      <c r="H1190" s="849"/>
      <c r="I1190" s="849"/>
      <c r="J1190" s="849"/>
      <c r="K1190" s="849"/>
      <c r="L1190" s="849"/>
      <c r="M1190" s="849"/>
      <c r="N1190" s="849"/>
      <c r="O1190" s="849"/>
      <c r="P1190" s="849"/>
      <c r="Q1190" s="849"/>
      <c r="R1190" s="849"/>
      <c r="S1190" s="849"/>
      <c r="T1190" s="849"/>
      <c r="U1190" s="849"/>
      <c r="V1190" s="849"/>
      <c r="W1190" s="849"/>
      <c r="X1190" s="849"/>
      <c r="Y1190" s="849"/>
      <c r="Z1190" s="849"/>
      <c r="AA1190" s="849"/>
      <c r="AB1190" s="849"/>
      <c r="AC1190" s="849"/>
      <c r="AD1190" s="849"/>
      <c r="AE1190" s="849"/>
      <c r="AF1190" s="849"/>
      <c r="AG1190" s="849"/>
      <c r="AH1190" s="849"/>
      <c r="AI1190" s="849"/>
      <c r="AJ1190" s="794"/>
      <c r="AK1190" s="794"/>
      <c r="AL1190" s="794"/>
      <c r="AM1190" s="794"/>
      <c r="AN1190" s="794"/>
      <c r="AO1190" s="853"/>
      <c r="AP1190" s="853"/>
      <c r="AQ1190" s="853"/>
      <c r="AR1190" s="853"/>
      <c r="AS1190" s="853"/>
      <c r="AT1190" s="794"/>
      <c r="AU1190" s="854"/>
      <c r="AV1190" s="794"/>
      <c r="AW1190" s="794"/>
      <c r="AX1190" s="794"/>
      <c r="AY1190" s="853"/>
      <c r="AZ1190" s="853"/>
    </row>
    <row r="1191" ht="15.0" customHeight="1">
      <c r="A1191" s="849"/>
      <c r="B1191" s="849"/>
      <c r="C1191" s="849"/>
      <c r="D1191" s="849"/>
      <c r="E1191" s="849"/>
      <c r="F1191" s="849"/>
      <c r="G1191" s="849"/>
      <c r="H1191" s="849"/>
      <c r="I1191" s="849"/>
      <c r="J1191" s="849"/>
      <c r="K1191" s="849"/>
      <c r="L1191" s="849"/>
      <c r="M1191" s="849"/>
      <c r="N1191" s="849"/>
      <c r="O1191" s="849"/>
      <c r="P1191" s="849"/>
      <c r="Q1191" s="849"/>
      <c r="R1191" s="849"/>
      <c r="S1191" s="849"/>
      <c r="T1191" s="849"/>
      <c r="U1191" s="849"/>
      <c r="V1191" s="849"/>
      <c r="W1191" s="849"/>
      <c r="X1191" s="849"/>
      <c r="Y1191" s="849"/>
      <c r="Z1191" s="849"/>
      <c r="AA1191" s="849"/>
      <c r="AB1191" s="849"/>
      <c r="AC1191" s="849"/>
      <c r="AD1191" s="849"/>
      <c r="AE1191" s="849"/>
      <c r="AF1191" s="849"/>
      <c r="AG1191" s="849"/>
      <c r="AH1191" s="849"/>
      <c r="AI1191" s="849"/>
      <c r="AJ1191" s="794"/>
      <c r="AK1191" s="794"/>
      <c r="AL1191" s="794"/>
      <c r="AM1191" s="794"/>
      <c r="AN1191" s="794"/>
      <c r="AO1191" s="853"/>
      <c r="AP1191" s="853"/>
      <c r="AQ1191" s="853"/>
      <c r="AR1191" s="853"/>
      <c r="AS1191" s="853"/>
      <c r="AT1191" s="794"/>
      <c r="AU1191" s="854"/>
      <c r="AV1191" s="794"/>
      <c r="AW1191" s="794"/>
      <c r="AX1191" s="794"/>
      <c r="AY1191" s="853"/>
      <c r="AZ1191" s="853"/>
    </row>
    <row r="1192" ht="15.0" customHeight="1">
      <c r="A1192" s="849"/>
      <c r="B1192" s="849"/>
      <c r="C1192" s="849"/>
      <c r="D1192" s="849"/>
      <c r="E1192" s="849"/>
      <c r="F1192" s="849"/>
      <c r="G1192" s="849"/>
      <c r="H1192" s="849"/>
      <c r="I1192" s="849"/>
      <c r="J1192" s="849"/>
      <c r="K1192" s="849"/>
      <c r="L1192" s="849"/>
      <c r="M1192" s="849"/>
      <c r="N1192" s="849"/>
      <c r="O1192" s="849"/>
      <c r="P1192" s="849"/>
      <c r="Q1192" s="849"/>
      <c r="R1192" s="849"/>
      <c r="S1192" s="849"/>
      <c r="T1192" s="849"/>
      <c r="U1192" s="849"/>
      <c r="V1192" s="849"/>
      <c r="W1192" s="849"/>
      <c r="X1192" s="849"/>
      <c r="Y1192" s="849"/>
      <c r="Z1192" s="849"/>
      <c r="AA1192" s="849"/>
      <c r="AB1192" s="849"/>
      <c r="AC1192" s="849"/>
      <c r="AD1192" s="849"/>
      <c r="AE1192" s="849"/>
      <c r="AF1192" s="849"/>
      <c r="AG1192" s="849"/>
      <c r="AH1192" s="849"/>
      <c r="AI1192" s="849"/>
      <c r="AJ1192" s="794"/>
      <c r="AK1192" s="794"/>
      <c r="AL1192" s="794"/>
      <c r="AM1192" s="794"/>
      <c r="AN1192" s="794"/>
      <c r="AO1192" s="853"/>
      <c r="AP1192" s="853"/>
      <c r="AQ1192" s="853"/>
      <c r="AR1192" s="853"/>
      <c r="AS1192" s="853"/>
      <c r="AT1192" s="794"/>
      <c r="AU1192" s="854"/>
      <c r="AV1192" s="794"/>
      <c r="AW1192" s="794"/>
      <c r="AX1192" s="794"/>
      <c r="AY1192" s="853"/>
      <c r="AZ1192" s="853"/>
    </row>
    <row r="1193" ht="15.0" customHeight="1">
      <c r="A1193" s="849"/>
      <c r="B1193" s="849"/>
      <c r="C1193" s="849"/>
      <c r="D1193" s="849"/>
      <c r="E1193" s="849"/>
      <c r="F1193" s="849"/>
      <c r="G1193" s="849"/>
      <c r="H1193" s="849"/>
      <c r="I1193" s="849"/>
      <c r="J1193" s="849"/>
      <c r="K1193" s="849"/>
      <c r="L1193" s="849"/>
      <c r="M1193" s="849"/>
      <c r="N1193" s="849"/>
      <c r="O1193" s="849"/>
      <c r="P1193" s="849"/>
      <c r="Q1193" s="849"/>
      <c r="R1193" s="849"/>
      <c r="S1193" s="849"/>
      <c r="T1193" s="849"/>
      <c r="U1193" s="849"/>
      <c r="V1193" s="849"/>
      <c r="W1193" s="849"/>
      <c r="X1193" s="849"/>
      <c r="Y1193" s="849"/>
      <c r="Z1193" s="849"/>
      <c r="AA1193" s="849"/>
      <c r="AB1193" s="849"/>
      <c r="AC1193" s="849"/>
      <c r="AD1193" s="849"/>
      <c r="AE1193" s="849"/>
      <c r="AF1193" s="849"/>
      <c r="AG1193" s="849"/>
      <c r="AH1193" s="849"/>
      <c r="AI1193" s="849"/>
      <c r="AJ1193" s="794"/>
      <c r="AK1193" s="794"/>
      <c r="AL1193" s="794"/>
      <c r="AM1193" s="794"/>
      <c r="AN1193" s="794"/>
      <c r="AO1193" s="853"/>
      <c r="AP1193" s="853"/>
      <c r="AQ1193" s="853"/>
      <c r="AR1193" s="853"/>
      <c r="AS1193" s="853"/>
      <c r="AT1193" s="794"/>
      <c r="AU1193" s="854"/>
      <c r="AV1193" s="794"/>
      <c r="AW1193" s="794"/>
      <c r="AX1193" s="794"/>
      <c r="AY1193" s="853"/>
      <c r="AZ1193" s="853"/>
    </row>
    <row r="1194" ht="15.0" customHeight="1">
      <c r="A1194" s="849"/>
      <c r="B1194" s="849"/>
      <c r="C1194" s="849"/>
      <c r="D1194" s="849"/>
      <c r="E1194" s="849"/>
      <c r="F1194" s="849"/>
      <c r="G1194" s="849"/>
      <c r="H1194" s="849"/>
      <c r="I1194" s="849"/>
      <c r="J1194" s="849"/>
      <c r="K1194" s="849"/>
      <c r="L1194" s="849"/>
      <c r="M1194" s="849"/>
      <c r="N1194" s="849"/>
      <c r="O1194" s="849"/>
      <c r="P1194" s="849"/>
      <c r="Q1194" s="849"/>
      <c r="R1194" s="849"/>
      <c r="S1194" s="849"/>
      <c r="T1194" s="849"/>
      <c r="U1194" s="849"/>
      <c r="V1194" s="849"/>
      <c r="W1194" s="849"/>
      <c r="X1194" s="849"/>
      <c r="Y1194" s="849"/>
      <c r="Z1194" s="849"/>
      <c r="AA1194" s="849"/>
      <c r="AB1194" s="849"/>
      <c r="AC1194" s="849"/>
      <c r="AD1194" s="849"/>
      <c r="AE1194" s="849"/>
      <c r="AF1194" s="849"/>
      <c r="AG1194" s="849"/>
      <c r="AH1194" s="849"/>
      <c r="AI1194" s="849"/>
      <c r="AJ1194" s="794"/>
      <c r="AK1194" s="794"/>
      <c r="AL1194" s="794"/>
      <c r="AM1194" s="794"/>
      <c r="AN1194" s="794"/>
      <c r="AO1194" s="853"/>
      <c r="AP1194" s="853"/>
      <c r="AQ1194" s="853"/>
      <c r="AR1194" s="853"/>
      <c r="AS1194" s="853"/>
      <c r="AT1194" s="794"/>
      <c r="AU1194" s="854"/>
      <c r="AV1194" s="794"/>
      <c r="AW1194" s="794"/>
      <c r="AX1194" s="794"/>
      <c r="AY1194" s="853"/>
      <c r="AZ1194" s="853"/>
    </row>
    <row r="1195" ht="15.0" customHeight="1">
      <c r="A1195" s="849"/>
      <c r="B1195" s="849"/>
      <c r="C1195" s="849"/>
      <c r="D1195" s="849"/>
      <c r="E1195" s="849"/>
      <c r="F1195" s="849"/>
      <c r="G1195" s="849"/>
      <c r="H1195" s="849"/>
      <c r="I1195" s="849"/>
      <c r="J1195" s="849"/>
      <c r="K1195" s="849"/>
      <c r="L1195" s="849"/>
      <c r="M1195" s="849"/>
      <c r="N1195" s="849"/>
      <c r="O1195" s="849"/>
      <c r="P1195" s="849"/>
      <c r="Q1195" s="849"/>
      <c r="R1195" s="849"/>
      <c r="S1195" s="849"/>
      <c r="T1195" s="849"/>
      <c r="U1195" s="849"/>
      <c r="V1195" s="849"/>
      <c r="W1195" s="849"/>
      <c r="X1195" s="849"/>
      <c r="Y1195" s="849"/>
      <c r="Z1195" s="849"/>
      <c r="AA1195" s="849"/>
      <c r="AB1195" s="849"/>
      <c r="AC1195" s="849"/>
      <c r="AD1195" s="849"/>
      <c r="AE1195" s="849"/>
      <c r="AF1195" s="849"/>
      <c r="AG1195" s="849"/>
      <c r="AH1195" s="849"/>
      <c r="AI1195" s="849"/>
      <c r="AJ1195" s="794"/>
      <c r="AK1195" s="794"/>
      <c r="AL1195" s="794"/>
      <c r="AM1195" s="794"/>
      <c r="AN1195" s="794"/>
      <c r="AO1195" s="853"/>
      <c r="AP1195" s="853"/>
      <c r="AQ1195" s="853"/>
      <c r="AR1195" s="853"/>
      <c r="AS1195" s="853"/>
      <c r="AT1195" s="794"/>
      <c r="AU1195" s="854"/>
      <c r="AV1195" s="794"/>
      <c r="AW1195" s="794"/>
      <c r="AX1195" s="794"/>
      <c r="AY1195" s="853"/>
      <c r="AZ1195" s="853"/>
    </row>
    <row r="1196" ht="15.0" customHeight="1">
      <c r="A1196" s="849"/>
      <c r="B1196" s="849"/>
      <c r="C1196" s="849"/>
      <c r="D1196" s="849"/>
      <c r="E1196" s="849"/>
      <c r="F1196" s="849"/>
      <c r="G1196" s="849"/>
      <c r="H1196" s="849"/>
      <c r="I1196" s="849"/>
      <c r="J1196" s="849"/>
      <c r="K1196" s="849"/>
      <c r="L1196" s="849"/>
      <c r="M1196" s="849"/>
      <c r="N1196" s="849"/>
      <c r="O1196" s="849"/>
      <c r="P1196" s="849"/>
      <c r="Q1196" s="849"/>
      <c r="R1196" s="849"/>
      <c r="S1196" s="849"/>
      <c r="T1196" s="849"/>
      <c r="U1196" s="849"/>
      <c r="V1196" s="849"/>
      <c r="W1196" s="849"/>
      <c r="X1196" s="849"/>
      <c r="Y1196" s="849"/>
      <c r="Z1196" s="849"/>
      <c r="AA1196" s="849"/>
      <c r="AB1196" s="849"/>
      <c r="AC1196" s="849"/>
      <c r="AD1196" s="849"/>
      <c r="AE1196" s="849"/>
      <c r="AF1196" s="849"/>
      <c r="AG1196" s="849"/>
      <c r="AH1196" s="849"/>
      <c r="AI1196" s="849"/>
      <c r="AJ1196" s="794"/>
      <c r="AK1196" s="794"/>
      <c r="AL1196" s="794"/>
      <c r="AM1196" s="794"/>
      <c r="AN1196" s="794"/>
      <c r="AO1196" s="853"/>
      <c r="AP1196" s="853"/>
      <c r="AQ1196" s="853"/>
      <c r="AR1196" s="853"/>
      <c r="AS1196" s="853"/>
      <c r="AT1196" s="794"/>
      <c r="AU1196" s="854"/>
      <c r="AV1196" s="794"/>
      <c r="AW1196" s="794"/>
      <c r="AX1196" s="794"/>
      <c r="AY1196" s="853"/>
      <c r="AZ1196" s="853"/>
    </row>
    <row r="1197" ht="15.0" customHeight="1">
      <c r="A1197" s="849"/>
      <c r="B1197" s="849"/>
      <c r="C1197" s="849"/>
      <c r="D1197" s="849"/>
      <c r="E1197" s="849"/>
      <c r="F1197" s="849"/>
      <c r="G1197" s="849"/>
      <c r="H1197" s="849"/>
      <c r="I1197" s="849"/>
      <c r="J1197" s="849"/>
      <c r="K1197" s="849"/>
      <c r="L1197" s="849"/>
      <c r="M1197" s="849"/>
      <c r="N1197" s="849"/>
      <c r="O1197" s="849"/>
      <c r="P1197" s="849"/>
      <c r="Q1197" s="849"/>
      <c r="R1197" s="849"/>
      <c r="S1197" s="849"/>
      <c r="T1197" s="849"/>
      <c r="U1197" s="849"/>
      <c r="V1197" s="849"/>
      <c r="W1197" s="849"/>
      <c r="X1197" s="849"/>
      <c r="Y1197" s="849"/>
      <c r="Z1197" s="849"/>
      <c r="AA1197" s="849"/>
      <c r="AB1197" s="849"/>
      <c r="AC1197" s="849"/>
      <c r="AD1197" s="849"/>
      <c r="AE1197" s="849"/>
      <c r="AF1197" s="849"/>
      <c r="AG1197" s="849"/>
      <c r="AH1197" s="849"/>
      <c r="AI1197" s="849"/>
      <c r="AJ1197" s="794"/>
      <c r="AK1197" s="794"/>
      <c r="AL1197" s="794"/>
      <c r="AM1197" s="794"/>
      <c r="AN1197" s="794"/>
      <c r="AO1197" s="853"/>
      <c r="AP1197" s="853"/>
      <c r="AQ1197" s="853"/>
      <c r="AR1197" s="853"/>
      <c r="AS1197" s="853"/>
      <c r="AT1197" s="794"/>
      <c r="AU1197" s="854"/>
      <c r="AV1197" s="794"/>
      <c r="AW1197" s="794"/>
      <c r="AX1197" s="794"/>
      <c r="AY1197" s="853"/>
      <c r="AZ1197" s="853"/>
    </row>
    <row r="1198" ht="15.0" customHeight="1">
      <c r="A1198" s="849"/>
      <c r="B1198" s="849"/>
      <c r="C1198" s="849"/>
      <c r="D1198" s="849"/>
      <c r="E1198" s="849"/>
      <c r="F1198" s="849"/>
      <c r="G1198" s="849"/>
      <c r="H1198" s="849"/>
      <c r="I1198" s="849"/>
      <c r="J1198" s="849"/>
      <c r="K1198" s="849"/>
      <c r="L1198" s="849"/>
      <c r="M1198" s="849"/>
      <c r="N1198" s="849"/>
      <c r="O1198" s="849"/>
      <c r="P1198" s="849"/>
      <c r="Q1198" s="849"/>
      <c r="R1198" s="849"/>
      <c r="S1198" s="849"/>
      <c r="T1198" s="849"/>
      <c r="U1198" s="849"/>
      <c r="V1198" s="849"/>
      <c r="W1198" s="849"/>
      <c r="X1198" s="849"/>
      <c r="Y1198" s="849"/>
      <c r="Z1198" s="849"/>
      <c r="AA1198" s="849"/>
      <c r="AB1198" s="849"/>
      <c r="AC1198" s="849"/>
      <c r="AD1198" s="849"/>
      <c r="AE1198" s="849"/>
      <c r="AF1198" s="849"/>
      <c r="AG1198" s="849"/>
      <c r="AH1198" s="849"/>
      <c r="AI1198" s="849"/>
      <c r="AJ1198" s="794"/>
      <c r="AK1198" s="794"/>
      <c r="AL1198" s="794"/>
      <c r="AM1198" s="794"/>
      <c r="AN1198" s="794"/>
      <c r="AO1198" s="853"/>
      <c r="AP1198" s="853"/>
      <c r="AQ1198" s="853"/>
      <c r="AR1198" s="853"/>
      <c r="AS1198" s="853"/>
      <c r="AT1198" s="794"/>
      <c r="AU1198" s="854"/>
      <c r="AV1198" s="794"/>
      <c r="AW1198" s="794"/>
      <c r="AX1198" s="794"/>
      <c r="AY1198" s="853"/>
      <c r="AZ1198" s="853"/>
    </row>
    <row r="1199" ht="15.0" customHeight="1">
      <c r="A1199" s="849"/>
      <c r="B1199" s="849"/>
      <c r="C1199" s="849"/>
      <c r="D1199" s="849"/>
      <c r="E1199" s="849"/>
      <c r="F1199" s="849"/>
      <c r="G1199" s="849"/>
      <c r="H1199" s="849"/>
      <c r="I1199" s="849"/>
      <c r="J1199" s="849"/>
      <c r="K1199" s="849"/>
      <c r="L1199" s="849"/>
      <c r="M1199" s="849"/>
      <c r="N1199" s="849"/>
      <c r="O1199" s="849"/>
      <c r="P1199" s="849"/>
      <c r="Q1199" s="849"/>
      <c r="R1199" s="849"/>
      <c r="S1199" s="849"/>
      <c r="T1199" s="849"/>
      <c r="U1199" s="849"/>
      <c r="V1199" s="849"/>
      <c r="W1199" s="849"/>
      <c r="X1199" s="849"/>
      <c r="Y1199" s="849"/>
      <c r="Z1199" s="849"/>
      <c r="AA1199" s="849"/>
      <c r="AB1199" s="849"/>
      <c r="AC1199" s="849"/>
      <c r="AD1199" s="849"/>
      <c r="AE1199" s="849"/>
      <c r="AF1199" s="849"/>
      <c r="AG1199" s="849"/>
      <c r="AH1199" s="849"/>
      <c r="AI1199" s="849"/>
      <c r="AJ1199" s="794"/>
      <c r="AK1199" s="794"/>
      <c r="AL1199" s="794"/>
      <c r="AM1199" s="794"/>
      <c r="AN1199" s="794"/>
      <c r="AO1199" s="853"/>
      <c r="AP1199" s="853"/>
      <c r="AQ1199" s="853"/>
      <c r="AR1199" s="853"/>
      <c r="AS1199" s="853"/>
      <c r="AT1199" s="794"/>
      <c r="AU1199" s="854"/>
      <c r="AV1199" s="794"/>
      <c r="AW1199" s="794"/>
      <c r="AX1199" s="794"/>
      <c r="AY1199" s="853"/>
      <c r="AZ1199" s="853"/>
    </row>
    <row r="1200" ht="15.0" customHeight="1">
      <c r="A1200" s="849"/>
      <c r="B1200" s="849"/>
      <c r="C1200" s="849"/>
      <c r="D1200" s="849"/>
      <c r="E1200" s="849"/>
      <c r="F1200" s="849"/>
      <c r="G1200" s="849"/>
      <c r="H1200" s="849"/>
      <c r="I1200" s="849"/>
      <c r="J1200" s="849"/>
      <c r="K1200" s="849"/>
      <c r="L1200" s="849"/>
      <c r="M1200" s="849"/>
      <c r="N1200" s="849"/>
      <c r="O1200" s="849"/>
      <c r="P1200" s="849"/>
      <c r="Q1200" s="849"/>
      <c r="R1200" s="849"/>
      <c r="S1200" s="849"/>
      <c r="T1200" s="849"/>
      <c r="U1200" s="849"/>
      <c r="V1200" s="849"/>
      <c r="W1200" s="849"/>
      <c r="X1200" s="849"/>
      <c r="Y1200" s="849"/>
      <c r="Z1200" s="849"/>
      <c r="AA1200" s="849"/>
      <c r="AB1200" s="849"/>
      <c r="AC1200" s="849"/>
      <c r="AD1200" s="849"/>
      <c r="AE1200" s="849"/>
      <c r="AF1200" s="849"/>
      <c r="AG1200" s="849"/>
      <c r="AH1200" s="849"/>
      <c r="AI1200" s="849"/>
      <c r="AJ1200" s="794"/>
      <c r="AK1200" s="794"/>
      <c r="AL1200" s="794"/>
      <c r="AM1200" s="794"/>
      <c r="AN1200" s="794"/>
      <c r="AO1200" s="853"/>
      <c r="AP1200" s="853"/>
      <c r="AQ1200" s="853"/>
      <c r="AR1200" s="853"/>
      <c r="AS1200" s="853"/>
      <c r="AT1200" s="794"/>
      <c r="AU1200" s="854"/>
      <c r="AV1200" s="794"/>
      <c r="AW1200" s="794"/>
      <c r="AX1200" s="794"/>
      <c r="AY1200" s="853"/>
      <c r="AZ1200" s="853"/>
    </row>
    <row r="1201" ht="15.0" customHeight="1">
      <c r="A1201" s="849"/>
      <c r="B1201" s="849"/>
      <c r="C1201" s="849"/>
      <c r="D1201" s="849"/>
      <c r="E1201" s="849"/>
      <c r="F1201" s="849"/>
      <c r="G1201" s="849"/>
      <c r="H1201" s="849"/>
      <c r="I1201" s="849"/>
      <c r="J1201" s="849"/>
      <c r="K1201" s="849"/>
      <c r="L1201" s="849"/>
      <c r="M1201" s="849"/>
      <c r="N1201" s="849"/>
      <c r="O1201" s="849"/>
      <c r="P1201" s="849"/>
      <c r="Q1201" s="849"/>
      <c r="R1201" s="849"/>
      <c r="S1201" s="849"/>
      <c r="T1201" s="849"/>
      <c r="U1201" s="849"/>
      <c r="V1201" s="849"/>
      <c r="W1201" s="849"/>
      <c r="X1201" s="849"/>
      <c r="Y1201" s="849"/>
      <c r="Z1201" s="849"/>
      <c r="AA1201" s="849"/>
      <c r="AB1201" s="849"/>
      <c r="AC1201" s="849"/>
      <c r="AD1201" s="849"/>
      <c r="AE1201" s="849"/>
      <c r="AF1201" s="849"/>
      <c r="AG1201" s="849"/>
      <c r="AH1201" s="849"/>
      <c r="AI1201" s="849"/>
      <c r="AJ1201" s="794"/>
      <c r="AK1201" s="794"/>
      <c r="AL1201" s="794"/>
      <c r="AM1201" s="794"/>
      <c r="AN1201" s="794"/>
      <c r="AO1201" s="853"/>
      <c r="AP1201" s="853"/>
      <c r="AQ1201" s="853"/>
      <c r="AR1201" s="853"/>
      <c r="AS1201" s="853"/>
      <c r="AT1201" s="794"/>
      <c r="AU1201" s="854"/>
      <c r="AV1201" s="794"/>
      <c r="AW1201" s="794"/>
      <c r="AX1201" s="794"/>
      <c r="AY1201" s="853"/>
      <c r="AZ1201" s="853"/>
    </row>
    <row r="1202" ht="15.0" customHeight="1">
      <c r="A1202" s="849"/>
      <c r="B1202" s="849"/>
      <c r="C1202" s="849"/>
      <c r="D1202" s="849"/>
      <c r="E1202" s="849"/>
      <c r="F1202" s="849"/>
      <c r="G1202" s="849"/>
      <c r="H1202" s="849"/>
      <c r="I1202" s="849"/>
      <c r="J1202" s="849"/>
      <c r="K1202" s="849"/>
      <c r="L1202" s="849"/>
      <c r="M1202" s="849"/>
      <c r="N1202" s="849"/>
      <c r="O1202" s="849"/>
      <c r="P1202" s="849"/>
      <c r="Q1202" s="849"/>
      <c r="R1202" s="849"/>
      <c r="S1202" s="849"/>
      <c r="T1202" s="849"/>
      <c r="U1202" s="849"/>
      <c r="V1202" s="849"/>
      <c r="W1202" s="849"/>
      <c r="X1202" s="849"/>
      <c r="Y1202" s="849"/>
      <c r="Z1202" s="849"/>
      <c r="AA1202" s="849"/>
      <c r="AB1202" s="849"/>
      <c r="AC1202" s="849"/>
      <c r="AD1202" s="849"/>
      <c r="AE1202" s="849"/>
      <c r="AF1202" s="849"/>
      <c r="AG1202" s="849"/>
      <c r="AH1202" s="849"/>
      <c r="AI1202" s="849"/>
      <c r="AJ1202" s="794"/>
      <c r="AK1202" s="794"/>
      <c r="AL1202" s="794"/>
      <c r="AM1202" s="794"/>
      <c r="AN1202" s="794"/>
      <c r="AO1202" s="853"/>
      <c r="AP1202" s="853"/>
      <c r="AQ1202" s="853"/>
      <c r="AR1202" s="853"/>
      <c r="AS1202" s="853"/>
      <c r="AT1202" s="794"/>
      <c r="AU1202" s="854"/>
      <c r="AV1202" s="794"/>
      <c r="AW1202" s="794"/>
      <c r="AX1202" s="794"/>
      <c r="AY1202" s="853"/>
      <c r="AZ1202" s="853"/>
    </row>
    <row r="1203" ht="15.0" customHeight="1">
      <c r="A1203" s="849"/>
      <c r="B1203" s="849"/>
      <c r="C1203" s="849"/>
      <c r="D1203" s="849"/>
      <c r="E1203" s="849"/>
      <c r="F1203" s="849"/>
      <c r="G1203" s="849"/>
      <c r="H1203" s="849"/>
      <c r="I1203" s="849"/>
      <c r="J1203" s="849"/>
      <c r="K1203" s="849"/>
      <c r="L1203" s="849"/>
      <c r="M1203" s="849"/>
      <c r="N1203" s="849"/>
      <c r="O1203" s="849"/>
      <c r="P1203" s="849"/>
      <c r="Q1203" s="849"/>
      <c r="R1203" s="849"/>
      <c r="S1203" s="849"/>
      <c r="T1203" s="849"/>
      <c r="U1203" s="849"/>
      <c r="V1203" s="849"/>
      <c r="W1203" s="849"/>
      <c r="X1203" s="849"/>
      <c r="Y1203" s="849"/>
      <c r="Z1203" s="849"/>
      <c r="AA1203" s="849"/>
      <c r="AB1203" s="849"/>
      <c r="AC1203" s="849"/>
      <c r="AD1203" s="849"/>
      <c r="AE1203" s="849"/>
      <c r="AF1203" s="849"/>
      <c r="AG1203" s="849"/>
      <c r="AH1203" s="849"/>
      <c r="AI1203" s="849"/>
      <c r="AJ1203" s="794"/>
      <c r="AK1203" s="794"/>
      <c r="AL1203" s="794"/>
      <c r="AM1203" s="794"/>
      <c r="AN1203" s="794"/>
      <c r="AO1203" s="853"/>
      <c r="AP1203" s="853"/>
      <c r="AQ1203" s="853"/>
      <c r="AR1203" s="853"/>
      <c r="AS1203" s="853"/>
      <c r="AT1203" s="794"/>
      <c r="AU1203" s="854"/>
      <c r="AV1203" s="794"/>
      <c r="AW1203" s="794"/>
      <c r="AX1203" s="794"/>
      <c r="AY1203" s="853"/>
      <c r="AZ1203" s="853"/>
    </row>
    <row r="1204" ht="15.0" customHeight="1">
      <c r="A1204" s="849"/>
      <c r="B1204" s="849"/>
      <c r="C1204" s="849"/>
      <c r="D1204" s="849"/>
      <c r="E1204" s="849"/>
      <c r="F1204" s="849"/>
      <c r="G1204" s="849"/>
      <c r="H1204" s="849"/>
      <c r="I1204" s="849"/>
      <c r="J1204" s="849"/>
      <c r="K1204" s="849"/>
      <c r="L1204" s="849"/>
      <c r="M1204" s="849"/>
      <c r="N1204" s="849"/>
      <c r="O1204" s="849"/>
      <c r="P1204" s="849"/>
      <c r="Q1204" s="849"/>
      <c r="R1204" s="849"/>
      <c r="S1204" s="849"/>
      <c r="T1204" s="849"/>
      <c r="U1204" s="849"/>
      <c r="V1204" s="849"/>
      <c r="W1204" s="849"/>
      <c r="X1204" s="849"/>
      <c r="Y1204" s="849"/>
      <c r="Z1204" s="849"/>
      <c r="AA1204" s="849"/>
      <c r="AB1204" s="849"/>
      <c r="AC1204" s="849"/>
      <c r="AD1204" s="849"/>
      <c r="AE1204" s="849"/>
      <c r="AF1204" s="849"/>
      <c r="AG1204" s="849"/>
      <c r="AH1204" s="849"/>
      <c r="AI1204" s="849"/>
      <c r="AJ1204" s="794"/>
      <c r="AK1204" s="794"/>
      <c r="AL1204" s="794"/>
      <c r="AM1204" s="794"/>
      <c r="AN1204" s="794"/>
      <c r="AO1204" s="853"/>
      <c r="AP1204" s="853"/>
      <c r="AQ1204" s="853"/>
      <c r="AR1204" s="853"/>
      <c r="AS1204" s="853"/>
      <c r="AT1204" s="794"/>
      <c r="AU1204" s="854"/>
      <c r="AV1204" s="794"/>
      <c r="AW1204" s="794"/>
      <c r="AX1204" s="794"/>
      <c r="AY1204" s="853"/>
      <c r="AZ1204" s="853"/>
    </row>
    <row r="1205" ht="15.0" customHeight="1">
      <c r="A1205" s="849"/>
      <c r="B1205" s="849"/>
      <c r="C1205" s="849"/>
      <c r="D1205" s="849"/>
      <c r="E1205" s="849"/>
      <c r="F1205" s="849"/>
      <c r="G1205" s="849"/>
      <c r="H1205" s="849"/>
      <c r="I1205" s="849"/>
      <c r="J1205" s="849"/>
      <c r="K1205" s="849"/>
      <c r="L1205" s="849"/>
      <c r="M1205" s="849"/>
      <c r="N1205" s="849"/>
      <c r="O1205" s="849"/>
      <c r="P1205" s="849"/>
      <c r="Q1205" s="849"/>
      <c r="R1205" s="849"/>
      <c r="S1205" s="849"/>
      <c r="T1205" s="849"/>
      <c r="U1205" s="849"/>
      <c r="V1205" s="849"/>
      <c r="W1205" s="849"/>
      <c r="X1205" s="849"/>
      <c r="Y1205" s="849"/>
      <c r="Z1205" s="849"/>
      <c r="AA1205" s="849"/>
      <c r="AB1205" s="849"/>
      <c r="AC1205" s="849"/>
      <c r="AD1205" s="849"/>
      <c r="AE1205" s="849"/>
      <c r="AF1205" s="849"/>
      <c r="AG1205" s="849"/>
      <c r="AH1205" s="849"/>
      <c r="AI1205" s="849"/>
      <c r="AJ1205" s="794"/>
      <c r="AK1205" s="794"/>
      <c r="AL1205" s="794"/>
      <c r="AM1205" s="794"/>
      <c r="AN1205" s="794"/>
      <c r="AO1205" s="853"/>
      <c r="AP1205" s="853"/>
      <c r="AQ1205" s="853"/>
      <c r="AR1205" s="853"/>
      <c r="AS1205" s="853"/>
      <c r="AT1205" s="794"/>
      <c r="AU1205" s="854"/>
      <c r="AV1205" s="794"/>
      <c r="AW1205" s="794"/>
      <c r="AX1205" s="794"/>
      <c r="AY1205" s="853"/>
      <c r="AZ1205" s="853"/>
    </row>
    <row r="1206" ht="15.0" customHeight="1">
      <c r="A1206" s="849"/>
      <c r="B1206" s="849"/>
      <c r="C1206" s="849"/>
      <c r="D1206" s="849"/>
      <c r="E1206" s="849"/>
      <c r="F1206" s="849"/>
      <c r="G1206" s="849"/>
      <c r="H1206" s="849"/>
      <c r="I1206" s="849"/>
      <c r="J1206" s="849"/>
      <c r="K1206" s="849"/>
      <c r="L1206" s="849"/>
      <c r="M1206" s="849"/>
      <c r="N1206" s="849"/>
      <c r="O1206" s="849"/>
      <c r="P1206" s="849"/>
      <c r="Q1206" s="849"/>
      <c r="R1206" s="849"/>
      <c r="S1206" s="849"/>
      <c r="T1206" s="849"/>
      <c r="U1206" s="849"/>
      <c r="V1206" s="849"/>
      <c r="W1206" s="849"/>
      <c r="X1206" s="849"/>
      <c r="Y1206" s="849"/>
      <c r="Z1206" s="849"/>
      <c r="AA1206" s="849"/>
      <c r="AB1206" s="849"/>
      <c r="AC1206" s="849"/>
      <c r="AD1206" s="849"/>
      <c r="AE1206" s="849"/>
      <c r="AF1206" s="849"/>
      <c r="AG1206" s="849"/>
      <c r="AH1206" s="849"/>
      <c r="AI1206" s="849"/>
      <c r="AJ1206" s="794"/>
      <c r="AK1206" s="794"/>
      <c r="AL1206" s="794"/>
      <c r="AM1206" s="794"/>
      <c r="AN1206" s="794"/>
      <c r="AO1206" s="853"/>
      <c r="AP1206" s="853"/>
      <c r="AQ1206" s="853"/>
      <c r="AR1206" s="853"/>
      <c r="AS1206" s="853"/>
      <c r="AT1206" s="794"/>
      <c r="AU1206" s="854"/>
      <c r="AV1206" s="794"/>
      <c r="AW1206" s="794"/>
      <c r="AX1206" s="794"/>
      <c r="AY1206" s="853"/>
      <c r="AZ1206" s="853"/>
    </row>
    <row r="1207" ht="15.0" customHeight="1">
      <c r="A1207" s="849"/>
      <c r="B1207" s="849"/>
      <c r="C1207" s="849"/>
      <c r="D1207" s="849"/>
      <c r="E1207" s="849"/>
      <c r="F1207" s="849"/>
      <c r="G1207" s="849"/>
      <c r="H1207" s="849"/>
      <c r="I1207" s="849"/>
      <c r="J1207" s="849"/>
      <c r="K1207" s="849"/>
      <c r="L1207" s="849"/>
      <c r="M1207" s="849"/>
      <c r="N1207" s="849"/>
      <c r="O1207" s="849"/>
      <c r="P1207" s="849"/>
      <c r="Q1207" s="849"/>
      <c r="R1207" s="849"/>
      <c r="S1207" s="849"/>
      <c r="T1207" s="849"/>
      <c r="U1207" s="849"/>
      <c r="V1207" s="849"/>
      <c r="W1207" s="849"/>
      <c r="X1207" s="849"/>
      <c r="Y1207" s="849"/>
      <c r="Z1207" s="849"/>
      <c r="AA1207" s="849"/>
      <c r="AB1207" s="849"/>
      <c r="AC1207" s="849"/>
      <c r="AD1207" s="849"/>
      <c r="AE1207" s="849"/>
      <c r="AF1207" s="849"/>
      <c r="AG1207" s="849"/>
      <c r="AH1207" s="849"/>
      <c r="AI1207" s="849"/>
      <c r="AJ1207" s="794"/>
      <c r="AK1207" s="794"/>
      <c r="AL1207" s="794"/>
      <c r="AM1207" s="794"/>
      <c r="AN1207" s="794"/>
      <c r="AO1207" s="853"/>
      <c r="AP1207" s="853"/>
      <c r="AQ1207" s="853"/>
      <c r="AR1207" s="853"/>
      <c r="AS1207" s="853"/>
      <c r="AT1207" s="794"/>
      <c r="AU1207" s="854"/>
      <c r="AV1207" s="794"/>
      <c r="AW1207" s="794"/>
      <c r="AX1207" s="794"/>
      <c r="AY1207" s="853"/>
      <c r="AZ1207" s="853"/>
    </row>
    <row r="1208" ht="15.0" customHeight="1">
      <c r="A1208" s="849"/>
      <c r="B1208" s="849"/>
      <c r="C1208" s="849"/>
      <c r="D1208" s="849"/>
      <c r="E1208" s="849"/>
      <c r="F1208" s="849"/>
      <c r="G1208" s="849"/>
      <c r="H1208" s="849"/>
      <c r="I1208" s="849"/>
      <c r="J1208" s="849"/>
      <c r="K1208" s="849"/>
      <c r="L1208" s="849"/>
      <c r="M1208" s="849"/>
      <c r="N1208" s="849"/>
      <c r="O1208" s="849"/>
      <c r="P1208" s="849"/>
      <c r="Q1208" s="849"/>
      <c r="R1208" s="849"/>
      <c r="S1208" s="849"/>
      <c r="T1208" s="849"/>
      <c r="U1208" s="849"/>
      <c r="V1208" s="849"/>
      <c r="W1208" s="849"/>
      <c r="X1208" s="849"/>
      <c r="Y1208" s="849"/>
      <c r="Z1208" s="849"/>
      <c r="AA1208" s="849"/>
      <c r="AB1208" s="849"/>
      <c r="AC1208" s="849"/>
      <c r="AD1208" s="849"/>
      <c r="AE1208" s="849"/>
      <c r="AF1208" s="849"/>
      <c r="AG1208" s="849"/>
      <c r="AH1208" s="849"/>
      <c r="AI1208" s="849"/>
      <c r="AJ1208" s="794"/>
      <c r="AK1208" s="794"/>
      <c r="AL1208" s="794"/>
      <c r="AM1208" s="794"/>
      <c r="AN1208" s="794"/>
      <c r="AO1208" s="853"/>
      <c r="AP1208" s="853"/>
      <c r="AQ1208" s="853"/>
      <c r="AR1208" s="853"/>
      <c r="AS1208" s="853"/>
      <c r="AT1208" s="794"/>
      <c r="AU1208" s="854"/>
      <c r="AV1208" s="794"/>
      <c r="AW1208" s="794"/>
      <c r="AX1208" s="794"/>
      <c r="AY1208" s="853"/>
      <c r="AZ1208" s="853"/>
    </row>
    <row r="1209" ht="15.0" customHeight="1">
      <c r="A1209" s="849"/>
      <c r="B1209" s="849"/>
      <c r="C1209" s="849"/>
      <c r="D1209" s="849"/>
      <c r="E1209" s="849"/>
      <c r="F1209" s="849"/>
      <c r="G1209" s="849"/>
      <c r="H1209" s="849"/>
      <c r="I1209" s="849"/>
      <c r="J1209" s="849"/>
      <c r="K1209" s="849"/>
      <c r="L1209" s="849"/>
      <c r="M1209" s="849"/>
      <c r="N1209" s="849"/>
      <c r="O1209" s="849"/>
      <c r="P1209" s="849"/>
      <c r="Q1209" s="849"/>
      <c r="R1209" s="849"/>
      <c r="S1209" s="849"/>
      <c r="T1209" s="849"/>
      <c r="U1209" s="849"/>
      <c r="V1209" s="849"/>
      <c r="W1209" s="849"/>
      <c r="X1209" s="849"/>
      <c r="Y1209" s="849"/>
      <c r="Z1209" s="849"/>
      <c r="AA1209" s="849"/>
      <c r="AB1209" s="849"/>
      <c r="AC1209" s="849"/>
      <c r="AD1209" s="849"/>
      <c r="AE1209" s="849"/>
      <c r="AF1209" s="849"/>
      <c r="AG1209" s="849"/>
      <c r="AH1209" s="849"/>
      <c r="AI1209" s="849"/>
      <c r="AJ1209" s="794"/>
      <c r="AK1209" s="794"/>
      <c r="AL1209" s="794"/>
      <c r="AM1209" s="794"/>
      <c r="AN1209" s="794"/>
      <c r="AO1209" s="853"/>
      <c r="AP1209" s="853"/>
      <c r="AQ1209" s="853"/>
      <c r="AR1209" s="853"/>
      <c r="AS1209" s="853"/>
      <c r="AT1209" s="794"/>
      <c r="AU1209" s="854"/>
      <c r="AV1209" s="794"/>
      <c r="AW1209" s="794"/>
      <c r="AX1209" s="794"/>
      <c r="AY1209" s="853"/>
      <c r="AZ1209" s="853"/>
    </row>
    <row r="1210" ht="15.0" customHeight="1">
      <c r="A1210" s="849"/>
      <c r="B1210" s="849"/>
      <c r="C1210" s="849"/>
      <c r="D1210" s="849"/>
      <c r="E1210" s="849"/>
      <c r="F1210" s="849"/>
      <c r="G1210" s="849"/>
      <c r="H1210" s="849"/>
      <c r="I1210" s="849"/>
      <c r="J1210" s="849"/>
      <c r="K1210" s="849"/>
      <c r="L1210" s="849"/>
      <c r="M1210" s="849"/>
      <c r="N1210" s="849"/>
      <c r="O1210" s="849"/>
      <c r="P1210" s="849"/>
      <c r="Q1210" s="849"/>
      <c r="R1210" s="849"/>
      <c r="S1210" s="849"/>
      <c r="T1210" s="849"/>
      <c r="U1210" s="849"/>
      <c r="V1210" s="849"/>
      <c r="W1210" s="849"/>
      <c r="X1210" s="849"/>
      <c r="Y1210" s="849"/>
      <c r="Z1210" s="849"/>
      <c r="AA1210" s="849"/>
      <c r="AB1210" s="849"/>
      <c r="AC1210" s="849"/>
      <c r="AD1210" s="849"/>
      <c r="AE1210" s="849"/>
      <c r="AF1210" s="849"/>
      <c r="AG1210" s="849"/>
      <c r="AH1210" s="849"/>
      <c r="AI1210" s="849"/>
      <c r="AJ1210" s="794"/>
      <c r="AK1210" s="794"/>
      <c r="AL1210" s="794"/>
      <c r="AM1210" s="794"/>
      <c r="AN1210" s="794"/>
      <c r="AO1210" s="853"/>
      <c r="AP1210" s="853"/>
      <c r="AQ1210" s="853"/>
      <c r="AR1210" s="853"/>
      <c r="AS1210" s="853"/>
      <c r="AT1210" s="794"/>
      <c r="AU1210" s="854"/>
      <c r="AV1210" s="794"/>
      <c r="AW1210" s="794"/>
      <c r="AX1210" s="794"/>
      <c r="AY1210" s="853"/>
      <c r="AZ1210" s="853"/>
    </row>
    <row r="1211" ht="15.0" customHeight="1">
      <c r="A1211" s="849"/>
      <c r="B1211" s="849"/>
      <c r="C1211" s="849"/>
      <c r="D1211" s="849"/>
      <c r="E1211" s="849"/>
      <c r="F1211" s="849"/>
      <c r="G1211" s="849"/>
      <c r="H1211" s="849"/>
      <c r="I1211" s="849"/>
      <c r="J1211" s="849"/>
      <c r="K1211" s="849"/>
      <c r="L1211" s="849"/>
      <c r="M1211" s="849"/>
      <c r="N1211" s="849"/>
      <c r="O1211" s="849"/>
      <c r="P1211" s="849"/>
      <c r="Q1211" s="849"/>
      <c r="R1211" s="849"/>
      <c r="S1211" s="849"/>
      <c r="T1211" s="849"/>
      <c r="U1211" s="849"/>
      <c r="V1211" s="849"/>
      <c r="W1211" s="849"/>
      <c r="X1211" s="849"/>
      <c r="Y1211" s="849"/>
      <c r="Z1211" s="849"/>
      <c r="AA1211" s="849"/>
      <c r="AB1211" s="849"/>
      <c r="AC1211" s="849"/>
      <c r="AD1211" s="849"/>
      <c r="AE1211" s="849"/>
      <c r="AF1211" s="849"/>
      <c r="AG1211" s="849"/>
      <c r="AH1211" s="849"/>
      <c r="AI1211" s="849"/>
      <c r="AJ1211" s="794"/>
      <c r="AK1211" s="794"/>
      <c r="AL1211" s="794"/>
      <c r="AM1211" s="794"/>
      <c r="AN1211" s="794"/>
      <c r="AO1211" s="853"/>
      <c r="AP1211" s="853"/>
      <c r="AQ1211" s="853"/>
      <c r="AR1211" s="853"/>
      <c r="AS1211" s="853"/>
      <c r="AT1211" s="794"/>
      <c r="AU1211" s="854"/>
      <c r="AV1211" s="794"/>
      <c r="AW1211" s="794"/>
      <c r="AX1211" s="794"/>
      <c r="AY1211" s="853"/>
      <c r="AZ1211" s="853"/>
    </row>
    <row r="1212" ht="15.0" customHeight="1">
      <c r="A1212" s="849"/>
      <c r="B1212" s="849"/>
      <c r="C1212" s="849"/>
      <c r="D1212" s="849"/>
      <c r="E1212" s="849"/>
      <c r="F1212" s="849"/>
      <c r="G1212" s="849"/>
      <c r="H1212" s="849"/>
      <c r="I1212" s="849"/>
      <c r="J1212" s="849"/>
      <c r="K1212" s="849"/>
      <c r="L1212" s="849"/>
      <c r="M1212" s="849"/>
      <c r="N1212" s="849"/>
      <c r="O1212" s="849"/>
      <c r="P1212" s="849"/>
      <c r="Q1212" s="849"/>
      <c r="R1212" s="849"/>
      <c r="S1212" s="849"/>
      <c r="T1212" s="849"/>
      <c r="U1212" s="849"/>
      <c r="V1212" s="849"/>
      <c r="W1212" s="849"/>
      <c r="X1212" s="849"/>
      <c r="Y1212" s="849"/>
      <c r="Z1212" s="849"/>
      <c r="AA1212" s="849"/>
      <c r="AB1212" s="849"/>
      <c r="AC1212" s="849"/>
      <c r="AD1212" s="849"/>
      <c r="AE1212" s="849"/>
      <c r="AF1212" s="849"/>
      <c r="AG1212" s="849"/>
      <c r="AH1212" s="849"/>
      <c r="AI1212" s="849"/>
      <c r="AJ1212" s="794"/>
      <c r="AK1212" s="794"/>
      <c r="AL1212" s="794"/>
      <c r="AM1212" s="794"/>
      <c r="AN1212" s="794"/>
      <c r="AO1212" s="853"/>
      <c r="AP1212" s="853"/>
      <c r="AQ1212" s="853"/>
      <c r="AR1212" s="853"/>
      <c r="AS1212" s="853"/>
      <c r="AT1212" s="794"/>
      <c r="AU1212" s="854"/>
      <c r="AV1212" s="794"/>
      <c r="AW1212" s="794"/>
      <c r="AX1212" s="794"/>
      <c r="AY1212" s="853"/>
      <c r="AZ1212" s="853"/>
    </row>
    <row r="1213" ht="15.0" customHeight="1">
      <c r="A1213" s="849"/>
      <c r="B1213" s="849"/>
      <c r="C1213" s="849"/>
      <c r="D1213" s="849"/>
      <c r="E1213" s="849"/>
      <c r="F1213" s="849"/>
      <c r="G1213" s="849"/>
      <c r="H1213" s="849"/>
      <c r="I1213" s="849"/>
      <c r="J1213" s="849"/>
      <c r="K1213" s="849"/>
      <c r="L1213" s="849"/>
      <c r="M1213" s="849"/>
      <c r="N1213" s="849"/>
      <c r="O1213" s="849"/>
      <c r="P1213" s="849"/>
      <c r="Q1213" s="849"/>
      <c r="R1213" s="849"/>
      <c r="S1213" s="849"/>
      <c r="T1213" s="849"/>
      <c r="U1213" s="849"/>
      <c r="V1213" s="849"/>
      <c r="W1213" s="849"/>
      <c r="X1213" s="849"/>
      <c r="Y1213" s="849"/>
      <c r="Z1213" s="849"/>
      <c r="AA1213" s="849"/>
      <c r="AB1213" s="849"/>
      <c r="AC1213" s="849"/>
      <c r="AD1213" s="849"/>
      <c r="AE1213" s="849"/>
      <c r="AF1213" s="849"/>
      <c r="AG1213" s="849"/>
      <c r="AH1213" s="849"/>
      <c r="AI1213" s="849"/>
      <c r="AJ1213" s="794"/>
      <c r="AK1213" s="794"/>
      <c r="AL1213" s="794"/>
      <c r="AM1213" s="794"/>
      <c r="AN1213" s="794"/>
      <c r="AO1213" s="853"/>
      <c r="AP1213" s="853"/>
      <c r="AQ1213" s="853"/>
      <c r="AR1213" s="853"/>
      <c r="AS1213" s="853"/>
      <c r="AT1213" s="794"/>
      <c r="AU1213" s="854"/>
      <c r="AV1213" s="794"/>
      <c r="AW1213" s="794"/>
      <c r="AX1213" s="794"/>
      <c r="AY1213" s="853"/>
      <c r="AZ1213" s="853"/>
    </row>
    <row r="1214" ht="15.0" customHeight="1">
      <c r="A1214" s="849"/>
      <c r="B1214" s="849"/>
      <c r="C1214" s="849"/>
      <c r="D1214" s="849"/>
      <c r="E1214" s="849"/>
      <c r="F1214" s="849"/>
      <c r="G1214" s="849"/>
      <c r="H1214" s="849"/>
      <c r="I1214" s="849"/>
      <c r="J1214" s="849"/>
      <c r="K1214" s="849"/>
      <c r="L1214" s="849"/>
      <c r="M1214" s="849"/>
      <c r="N1214" s="849"/>
      <c r="O1214" s="849"/>
      <c r="P1214" s="849"/>
      <c r="Q1214" s="849"/>
      <c r="R1214" s="849"/>
      <c r="S1214" s="849"/>
      <c r="T1214" s="849"/>
      <c r="U1214" s="849"/>
      <c r="V1214" s="849"/>
      <c r="W1214" s="849"/>
      <c r="X1214" s="849"/>
      <c r="Y1214" s="849"/>
      <c r="Z1214" s="849"/>
      <c r="AA1214" s="849"/>
      <c r="AB1214" s="849"/>
      <c r="AC1214" s="849"/>
      <c r="AD1214" s="849"/>
      <c r="AE1214" s="849"/>
      <c r="AF1214" s="849"/>
      <c r="AG1214" s="849"/>
      <c r="AH1214" s="849"/>
      <c r="AI1214" s="849"/>
      <c r="AJ1214" s="794"/>
      <c r="AK1214" s="794"/>
      <c r="AL1214" s="794"/>
      <c r="AM1214" s="794"/>
      <c r="AN1214" s="794"/>
      <c r="AO1214" s="853"/>
      <c r="AP1214" s="853"/>
      <c r="AQ1214" s="853"/>
      <c r="AR1214" s="853"/>
      <c r="AS1214" s="853"/>
      <c r="AT1214" s="794"/>
      <c r="AU1214" s="854"/>
      <c r="AV1214" s="794"/>
      <c r="AW1214" s="794"/>
      <c r="AX1214" s="794"/>
      <c r="AY1214" s="853"/>
      <c r="AZ1214" s="853"/>
    </row>
    <row r="1215" ht="15.0" customHeight="1">
      <c r="A1215" s="849"/>
      <c r="B1215" s="849"/>
      <c r="C1215" s="849"/>
      <c r="D1215" s="849"/>
      <c r="E1215" s="849"/>
      <c r="F1215" s="849"/>
      <c r="G1215" s="849"/>
      <c r="H1215" s="849"/>
      <c r="I1215" s="849"/>
      <c r="J1215" s="849"/>
      <c r="K1215" s="849"/>
      <c r="L1215" s="849"/>
      <c r="M1215" s="849"/>
      <c r="N1215" s="849"/>
      <c r="O1215" s="849"/>
      <c r="P1215" s="849"/>
      <c r="Q1215" s="849"/>
      <c r="R1215" s="849"/>
      <c r="S1215" s="849"/>
      <c r="T1215" s="849"/>
      <c r="U1215" s="849"/>
      <c r="V1215" s="849"/>
      <c r="W1215" s="849"/>
      <c r="X1215" s="849"/>
      <c r="Y1215" s="849"/>
      <c r="Z1215" s="849"/>
      <c r="AA1215" s="849"/>
      <c r="AB1215" s="849"/>
      <c r="AC1215" s="849"/>
      <c r="AD1215" s="849"/>
      <c r="AE1215" s="849"/>
      <c r="AF1215" s="849"/>
      <c r="AG1215" s="849"/>
      <c r="AH1215" s="849"/>
      <c r="AI1215" s="849"/>
      <c r="AJ1215" s="794"/>
      <c r="AK1215" s="794"/>
      <c r="AL1215" s="794"/>
      <c r="AM1215" s="794"/>
      <c r="AN1215" s="794"/>
      <c r="AO1215" s="853"/>
      <c r="AP1215" s="853"/>
      <c r="AQ1215" s="853"/>
      <c r="AR1215" s="853"/>
      <c r="AS1215" s="853"/>
      <c r="AT1215" s="794"/>
      <c r="AU1215" s="854"/>
      <c r="AV1215" s="794"/>
      <c r="AW1215" s="794"/>
      <c r="AX1215" s="794"/>
      <c r="AY1215" s="853"/>
      <c r="AZ1215" s="853"/>
    </row>
    <row r="1216" ht="15.0" customHeight="1">
      <c r="A1216" s="849"/>
      <c r="B1216" s="849"/>
      <c r="C1216" s="849"/>
      <c r="D1216" s="849"/>
      <c r="E1216" s="849"/>
      <c r="F1216" s="849"/>
      <c r="G1216" s="849"/>
      <c r="H1216" s="849"/>
      <c r="I1216" s="849"/>
      <c r="J1216" s="849"/>
      <c r="K1216" s="849"/>
      <c r="L1216" s="849"/>
      <c r="M1216" s="849"/>
      <c r="N1216" s="849"/>
      <c r="O1216" s="849"/>
      <c r="P1216" s="849"/>
      <c r="Q1216" s="849"/>
      <c r="R1216" s="849"/>
      <c r="S1216" s="849"/>
      <c r="T1216" s="849"/>
      <c r="U1216" s="849"/>
      <c r="V1216" s="849"/>
      <c r="W1216" s="849"/>
      <c r="X1216" s="849"/>
      <c r="Y1216" s="849"/>
      <c r="Z1216" s="849"/>
      <c r="AA1216" s="849"/>
      <c r="AB1216" s="849"/>
      <c r="AC1216" s="849"/>
      <c r="AD1216" s="849"/>
      <c r="AE1216" s="849"/>
      <c r="AF1216" s="849"/>
      <c r="AG1216" s="849"/>
      <c r="AH1216" s="849"/>
      <c r="AI1216" s="849"/>
      <c r="AJ1216" s="794"/>
      <c r="AK1216" s="794"/>
      <c r="AL1216" s="794"/>
      <c r="AM1216" s="794"/>
      <c r="AN1216" s="794"/>
      <c r="AO1216" s="853"/>
      <c r="AP1216" s="853"/>
      <c r="AQ1216" s="853"/>
      <c r="AR1216" s="853"/>
      <c r="AS1216" s="853"/>
      <c r="AT1216" s="794"/>
      <c r="AU1216" s="854"/>
      <c r="AV1216" s="794"/>
      <c r="AW1216" s="794"/>
      <c r="AX1216" s="794"/>
      <c r="AY1216" s="853"/>
      <c r="AZ1216" s="853"/>
    </row>
    <row r="1217" ht="15.0" customHeight="1">
      <c r="A1217" s="849"/>
      <c r="B1217" s="849"/>
      <c r="C1217" s="849"/>
      <c r="D1217" s="849"/>
      <c r="E1217" s="849"/>
      <c r="F1217" s="849"/>
      <c r="G1217" s="849"/>
      <c r="H1217" s="849"/>
      <c r="I1217" s="849"/>
      <c r="J1217" s="849"/>
      <c r="K1217" s="849"/>
      <c r="L1217" s="849"/>
      <c r="M1217" s="849"/>
      <c r="N1217" s="849"/>
      <c r="O1217" s="849"/>
      <c r="P1217" s="849"/>
      <c r="Q1217" s="849"/>
      <c r="R1217" s="849"/>
      <c r="S1217" s="849"/>
      <c r="T1217" s="849"/>
      <c r="U1217" s="849"/>
      <c r="V1217" s="849"/>
      <c r="W1217" s="849"/>
      <c r="X1217" s="849"/>
      <c r="Y1217" s="849"/>
      <c r="Z1217" s="849"/>
      <c r="AA1217" s="849"/>
      <c r="AB1217" s="849"/>
      <c r="AC1217" s="849"/>
      <c r="AD1217" s="849"/>
      <c r="AE1217" s="849"/>
      <c r="AF1217" s="849"/>
      <c r="AG1217" s="849"/>
      <c r="AH1217" s="849"/>
      <c r="AI1217" s="849"/>
      <c r="AJ1217" s="794"/>
      <c r="AK1217" s="794"/>
      <c r="AL1217" s="794"/>
      <c r="AM1217" s="794"/>
      <c r="AN1217" s="794"/>
      <c r="AO1217" s="853"/>
      <c r="AP1217" s="853"/>
      <c r="AQ1217" s="853"/>
      <c r="AR1217" s="853"/>
      <c r="AS1217" s="853"/>
      <c r="AT1217" s="794"/>
      <c r="AU1217" s="854"/>
      <c r="AV1217" s="794"/>
      <c r="AW1217" s="794"/>
      <c r="AX1217" s="794"/>
      <c r="AY1217" s="853"/>
      <c r="AZ1217" s="853"/>
    </row>
    <row r="1218" ht="15.0" customHeight="1">
      <c r="A1218" s="849"/>
      <c r="B1218" s="849"/>
      <c r="C1218" s="849"/>
      <c r="D1218" s="849"/>
      <c r="E1218" s="849"/>
      <c r="F1218" s="849"/>
      <c r="G1218" s="849"/>
      <c r="H1218" s="849"/>
      <c r="I1218" s="849"/>
      <c r="J1218" s="849"/>
      <c r="K1218" s="849"/>
      <c r="L1218" s="849"/>
      <c r="M1218" s="849"/>
      <c r="N1218" s="849"/>
      <c r="O1218" s="849"/>
      <c r="P1218" s="849"/>
      <c r="Q1218" s="849"/>
      <c r="R1218" s="849"/>
      <c r="S1218" s="849"/>
      <c r="T1218" s="849"/>
      <c r="U1218" s="849"/>
      <c r="V1218" s="849"/>
      <c r="W1218" s="849"/>
      <c r="X1218" s="849"/>
      <c r="Y1218" s="849"/>
      <c r="Z1218" s="849"/>
      <c r="AA1218" s="849"/>
      <c r="AB1218" s="849"/>
      <c r="AC1218" s="849"/>
      <c r="AD1218" s="849"/>
      <c r="AE1218" s="849"/>
      <c r="AF1218" s="849"/>
      <c r="AG1218" s="849"/>
      <c r="AH1218" s="849"/>
      <c r="AI1218" s="849"/>
      <c r="AJ1218" s="794"/>
      <c r="AK1218" s="794"/>
      <c r="AL1218" s="794"/>
      <c r="AM1218" s="794"/>
      <c r="AN1218" s="794"/>
      <c r="AO1218" s="853"/>
      <c r="AP1218" s="853"/>
      <c r="AQ1218" s="853"/>
      <c r="AR1218" s="853"/>
      <c r="AS1218" s="853"/>
      <c r="AT1218" s="794"/>
      <c r="AU1218" s="854"/>
      <c r="AV1218" s="794"/>
      <c r="AW1218" s="794"/>
      <c r="AX1218" s="794"/>
      <c r="AY1218" s="853"/>
      <c r="AZ1218" s="853"/>
    </row>
    <row r="1219" ht="15.0" customHeight="1">
      <c r="A1219" s="849"/>
      <c r="B1219" s="849"/>
      <c r="C1219" s="849"/>
      <c r="D1219" s="849"/>
      <c r="E1219" s="849"/>
      <c r="F1219" s="849"/>
      <c r="G1219" s="849"/>
      <c r="H1219" s="849"/>
      <c r="I1219" s="849"/>
      <c r="J1219" s="849"/>
      <c r="K1219" s="849"/>
      <c r="L1219" s="849"/>
      <c r="M1219" s="849"/>
      <c r="N1219" s="849"/>
      <c r="O1219" s="849"/>
      <c r="P1219" s="849"/>
      <c r="Q1219" s="849"/>
      <c r="R1219" s="849"/>
      <c r="S1219" s="849"/>
      <c r="T1219" s="849"/>
      <c r="U1219" s="849"/>
      <c r="V1219" s="849"/>
      <c r="W1219" s="849"/>
      <c r="X1219" s="849"/>
      <c r="Y1219" s="849"/>
      <c r="Z1219" s="849"/>
      <c r="AA1219" s="849"/>
      <c r="AB1219" s="849"/>
      <c r="AC1219" s="849"/>
      <c r="AD1219" s="849"/>
      <c r="AE1219" s="849"/>
      <c r="AF1219" s="849"/>
      <c r="AG1219" s="849"/>
      <c r="AH1219" s="849"/>
      <c r="AI1219" s="849"/>
      <c r="AJ1219" s="794"/>
      <c r="AK1219" s="794"/>
      <c r="AL1219" s="794"/>
      <c r="AM1219" s="794"/>
      <c r="AN1219" s="794"/>
      <c r="AO1219" s="853"/>
      <c r="AP1219" s="853"/>
      <c r="AQ1219" s="853"/>
      <c r="AR1219" s="853"/>
      <c r="AS1219" s="853"/>
      <c r="AT1219" s="794"/>
      <c r="AU1219" s="854"/>
      <c r="AV1219" s="794"/>
      <c r="AW1219" s="794"/>
      <c r="AX1219" s="794"/>
      <c r="AY1219" s="853"/>
      <c r="AZ1219" s="853"/>
    </row>
    <row r="1220" ht="15.0" customHeight="1">
      <c r="A1220" s="849"/>
      <c r="B1220" s="849"/>
      <c r="C1220" s="849"/>
      <c r="D1220" s="849"/>
      <c r="E1220" s="849"/>
      <c r="F1220" s="849"/>
      <c r="G1220" s="849"/>
      <c r="H1220" s="849"/>
      <c r="I1220" s="849"/>
      <c r="J1220" s="849"/>
      <c r="K1220" s="849"/>
      <c r="L1220" s="849"/>
      <c r="M1220" s="849"/>
      <c r="N1220" s="849"/>
      <c r="O1220" s="849"/>
      <c r="P1220" s="849"/>
      <c r="Q1220" s="849"/>
      <c r="R1220" s="849"/>
      <c r="S1220" s="849"/>
      <c r="T1220" s="849"/>
      <c r="U1220" s="849"/>
      <c r="V1220" s="849"/>
      <c r="W1220" s="849"/>
      <c r="X1220" s="849"/>
      <c r="Y1220" s="849"/>
      <c r="Z1220" s="849"/>
      <c r="AA1220" s="849"/>
      <c r="AB1220" s="849"/>
      <c r="AC1220" s="849"/>
      <c r="AD1220" s="849"/>
      <c r="AE1220" s="849"/>
      <c r="AF1220" s="849"/>
      <c r="AG1220" s="849"/>
      <c r="AH1220" s="849"/>
      <c r="AI1220" s="849"/>
      <c r="AJ1220" s="794"/>
      <c r="AK1220" s="794"/>
      <c r="AL1220" s="794"/>
      <c r="AM1220" s="794"/>
      <c r="AN1220" s="794"/>
      <c r="AO1220" s="853"/>
      <c r="AP1220" s="853"/>
      <c r="AQ1220" s="853"/>
      <c r="AR1220" s="853"/>
      <c r="AS1220" s="853"/>
      <c r="AT1220" s="794"/>
      <c r="AU1220" s="854"/>
      <c r="AV1220" s="794"/>
      <c r="AW1220" s="794"/>
      <c r="AX1220" s="794"/>
      <c r="AY1220" s="853"/>
      <c r="AZ1220" s="853"/>
    </row>
    <row r="1221" ht="15.0" customHeight="1">
      <c r="A1221" s="849"/>
      <c r="B1221" s="849"/>
      <c r="C1221" s="849"/>
      <c r="D1221" s="849"/>
      <c r="E1221" s="849"/>
      <c r="F1221" s="849"/>
      <c r="G1221" s="849"/>
      <c r="H1221" s="849"/>
      <c r="I1221" s="849"/>
      <c r="J1221" s="849"/>
      <c r="K1221" s="849"/>
      <c r="L1221" s="849"/>
      <c r="M1221" s="849"/>
      <c r="N1221" s="849"/>
      <c r="O1221" s="849"/>
      <c r="P1221" s="849"/>
      <c r="Q1221" s="849"/>
      <c r="R1221" s="849"/>
      <c r="S1221" s="849"/>
      <c r="T1221" s="849"/>
      <c r="U1221" s="849"/>
      <c r="V1221" s="849"/>
      <c r="W1221" s="849"/>
      <c r="X1221" s="849"/>
      <c r="Y1221" s="849"/>
      <c r="Z1221" s="849"/>
      <c r="AA1221" s="849"/>
      <c r="AB1221" s="849"/>
      <c r="AC1221" s="849"/>
      <c r="AD1221" s="849"/>
      <c r="AE1221" s="849"/>
      <c r="AF1221" s="849"/>
      <c r="AG1221" s="849"/>
      <c r="AH1221" s="849"/>
      <c r="AI1221" s="849"/>
      <c r="AJ1221" s="794"/>
      <c r="AK1221" s="794"/>
      <c r="AL1221" s="794"/>
      <c r="AM1221" s="794"/>
      <c r="AN1221" s="794"/>
      <c r="AO1221" s="853"/>
      <c r="AP1221" s="853"/>
      <c r="AQ1221" s="853"/>
      <c r="AR1221" s="853"/>
      <c r="AS1221" s="853"/>
      <c r="AT1221" s="794"/>
      <c r="AU1221" s="854"/>
      <c r="AV1221" s="794"/>
      <c r="AW1221" s="794"/>
      <c r="AX1221" s="794"/>
      <c r="AY1221" s="853"/>
      <c r="AZ1221" s="853"/>
    </row>
    <row r="1222" ht="15.0" customHeight="1">
      <c r="A1222" s="849"/>
      <c r="B1222" s="849"/>
      <c r="C1222" s="849"/>
      <c r="D1222" s="849"/>
      <c r="E1222" s="849"/>
      <c r="F1222" s="849"/>
      <c r="G1222" s="849"/>
      <c r="H1222" s="849"/>
      <c r="I1222" s="849"/>
      <c r="J1222" s="849"/>
      <c r="K1222" s="849"/>
      <c r="L1222" s="849"/>
      <c r="M1222" s="849"/>
      <c r="N1222" s="849"/>
      <c r="O1222" s="849"/>
      <c r="P1222" s="849"/>
      <c r="Q1222" s="849"/>
      <c r="R1222" s="849"/>
      <c r="S1222" s="849"/>
      <c r="T1222" s="849"/>
      <c r="U1222" s="849"/>
      <c r="V1222" s="849"/>
      <c r="W1222" s="849"/>
      <c r="X1222" s="849"/>
      <c r="Y1222" s="849"/>
      <c r="Z1222" s="849"/>
      <c r="AA1222" s="849"/>
      <c r="AB1222" s="849"/>
      <c r="AC1222" s="849"/>
      <c r="AD1222" s="849"/>
      <c r="AE1222" s="849"/>
      <c r="AF1222" s="849"/>
      <c r="AG1222" s="849"/>
      <c r="AH1222" s="849"/>
      <c r="AI1222" s="849"/>
      <c r="AJ1222" s="794"/>
      <c r="AK1222" s="794"/>
      <c r="AL1222" s="794"/>
      <c r="AM1222" s="794"/>
      <c r="AN1222" s="794"/>
      <c r="AO1222" s="853"/>
      <c r="AP1222" s="853"/>
      <c r="AQ1222" s="853"/>
      <c r="AR1222" s="853"/>
      <c r="AS1222" s="853"/>
      <c r="AT1222" s="794"/>
      <c r="AU1222" s="854"/>
      <c r="AV1222" s="794"/>
      <c r="AW1222" s="794"/>
      <c r="AX1222" s="794"/>
      <c r="AY1222" s="853"/>
      <c r="AZ1222" s="853"/>
    </row>
    <row r="1223" ht="15.0" customHeight="1">
      <c r="A1223" s="849"/>
      <c r="B1223" s="849"/>
      <c r="C1223" s="849"/>
      <c r="D1223" s="849"/>
      <c r="E1223" s="849"/>
      <c r="F1223" s="849"/>
      <c r="G1223" s="849"/>
      <c r="H1223" s="849"/>
      <c r="I1223" s="849"/>
      <c r="J1223" s="849"/>
      <c r="K1223" s="849"/>
      <c r="L1223" s="849"/>
      <c r="M1223" s="849"/>
      <c r="N1223" s="849"/>
      <c r="O1223" s="849"/>
      <c r="P1223" s="849"/>
      <c r="Q1223" s="849"/>
      <c r="R1223" s="849"/>
      <c r="S1223" s="849"/>
      <c r="T1223" s="849"/>
      <c r="U1223" s="849"/>
      <c r="V1223" s="849"/>
      <c r="W1223" s="849"/>
      <c r="X1223" s="849"/>
      <c r="Y1223" s="849"/>
      <c r="Z1223" s="849"/>
      <c r="AA1223" s="849"/>
      <c r="AB1223" s="849"/>
      <c r="AC1223" s="849"/>
      <c r="AD1223" s="849"/>
      <c r="AE1223" s="849"/>
      <c r="AF1223" s="849"/>
      <c r="AG1223" s="849"/>
      <c r="AH1223" s="849"/>
      <c r="AI1223" s="849"/>
      <c r="AJ1223" s="794"/>
      <c r="AK1223" s="794"/>
      <c r="AL1223" s="794"/>
      <c r="AM1223" s="794"/>
      <c r="AN1223" s="794"/>
      <c r="AO1223" s="853"/>
      <c r="AP1223" s="853"/>
      <c r="AQ1223" s="853"/>
      <c r="AR1223" s="853"/>
      <c r="AS1223" s="853"/>
      <c r="AT1223" s="794"/>
      <c r="AU1223" s="854"/>
      <c r="AV1223" s="794"/>
      <c r="AW1223" s="794"/>
      <c r="AX1223" s="794"/>
      <c r="AY1223" s="853"/>
      <c r="AZ1223" s="853"/>
    </row>
    <row r="1224" ht="15.0" customHeight="1">
      <c r="A1224" s="849"/>
      <c r="B1224" s="849"/>
      <c r="C1224" s="849"/>
      <c r="D1224" s="849"/>
      <c r="E1224" s="849"/>
      <c r="F1224" s="849"/>
      <c r="G1224" s="849"/>
      <c r="H1224" s="849"/>
      <c r="I1224" s="849"/>
      <c r="J1224" s="849"/>
      <c r="K1224" s="849"/>
      <c r="L1224" s="849"/>
      <c r="M1224" s="849"/>
      <c r="N1224" s="849"/>
      <c r="O1224" s="849"/>
      <c r="P1224" s="849"/>
      <c r="Q1224" s="849"/>
      <c r="R1224" s="849"/>
      <c r="S1224" s="849"/>
      <c r="T1224" s="849"/>
      <c r="U1224" s="849"/>
      <c r="V1224" s="849"/>
      <c r="W1224" s="849"/>
      <c r="X1224" s="849"/>
      <c r="Y1224" s="849"/>
      <c r="Z1224" s="849"/>
      <c r="AA1224" s="849"/>
      <c r="AB1224" s="849"/>
      <c r="AC1224" s="849"/>
      <c r="AD1224" s="849"/>
      <c r="AE1224" s="849"/>
      <c r="AF1224" s="849"/>
      <c r="AG1224" s="849"/>
      <c r="AH1224" s="849"/>
      <c r="AI1224" s="849"/>
      <c r="AJ1224" s="794"/>
      <c r="AK1224" s="794"/>
      <c r="AL1224" s="794"/>
      <c r="AM1224" s="794"/>
      <c r="AN1224" s="794"/>
      <c r="AO1224" s="853"/>
      <c r="AP1224" s="853"/>
      <c r="AQ1224" s="853"/>
      <c r="AR1224" s="853"/>
      <c r="AS1224" s="853"/>
      <c r="AT1224" s="794"/>
      <c r="AU1224" s="854"/>
      <c r="AV1224" s="794"/>
      <c r="AW1224" s="794"/>
      <c r="AX1224" s="794"/>
      <c r="AY1224" s="853"/>
      <c r="AZ1224" s="853"/>
    </row>
    <row r="1225" ht="15.0" customHeight="1">
      <c r="A1225" s="849"/>
      <c r="B1225" s="849"/>
      <c r="C1225" s="849"/>
      <c r="D1225" s="849"/>
      <c r="E1225" s="849"/>
      <c r="F1225" s="849"/>
      <c r="G1225" s="849"/>
      <c r="H1225" s="849"/>
      <c r="I1225" s="849"/>
      <c r="J1225" s="849"/>
      <c r="K1225" s="849"/>
      <c r="L1225" s="849"/>
      <c r="M1225" s="849"/>
      <c r="N1225" s="849"/>
      <c r="O1225" s="849"/>
      <c r="P1225" s="849"/>
      <c r="Q1225" s="849"/>
      <c r="R1225" s="849"/>
      <c r="S1225" s="849"/>
      <c r="T1225" s="849"/>
      <c r="U1225" s="849"/>
      <c r="V1225" s="849"/>
      <c r="W1225" s="849"/>
      <c r="X1225" s="849"/>
      <c r="Y1225" s="849"/>
      <c r="Z1225" s="849"/>
      <c r="AA1225" s="849"/>
      <c r="AB1225" s="849"/>
      <c r="AC1225" s="849"/>
      <c r="AD1225" s="849"/>
      <c r="AE1225" s="849"/>
      <c r="AF1225" s="849"/>
      <c r="AG1225" s="849"/>
      <c r="AH1225" s="849"/>
      <c r="AI1225" s="849"/>
      <c r="AJ1225" s="794"/>
      <c r="AK1225" s="794"/>
      <c r="AL1225" s="794"/>
      <c r="AM1225" s="794"/>
      <c r="AN1225" s="794"/>
      <c r="AO1225" s="853"/>
      <c r="AP1225" s="853"/>
      <c r="AQ1225" s="853"/>
      <c r="AR1225" s="853"/>
      <c r="AS1225" s="853"/>
      <c r="AT1225" s="794"/>
      <c r="AU1225" s="854"/>
      <c r="AV1225" s="794"/>
      <c r="AW1225" s="794"/>
      <c r="AX1225" s="794"/>
      <c r="AY1225" s="853"/>
      <c r="AZ1225" s="853"/>
    </row>
    <row r="1226" ht="15.0" customHeight="1">
      <c r="A1226" s="849"/>
      <c r="B1226" s="849"/>
      <c r="C1226" s="849"/>
      <c r="D1226" s="849"/>
      <c r="E1226" s="849"/>
      <c r="F1226" s="849"/>
      <c r="G1226" s="849"/>
      <c r="H1226" s="849"/>
      <c r="I1226" s="849"/>
      <c r="J1226" s="849"/>
      <c r="K1226" s="849"/>
      <c r="L1226" s="849"/>
      <c r="M1226" s="849"/>
      <c r="N1226" s="849"/>
      <c r="O1226" s="849"/>
      <c r="P1226" s="849"/>
      <c r="Q1226" s="849"/>
      <c r="R1226" s="849"/>
      <c r="S1226" s="849"/>
      <c r="T1226" s="849"/>
      <c r="U1226" s="849"/>
      <c r="V1226" s="849"/>
      <c r="W1226" s="849"/>
      <c r="X1226" s="849"/>
      <c r="Y1226" s="849"/>
      <c r="Z1226" s="849"/>
      <c r="AA1226" s="849"/>
      <c r="AB1226" s="849"/>
      <c r="AC1226" s="849"/>
      <c r="AD1226" s="849"/>
      <c r="AE1226" s="849"/>
      <c r="AF1226" s="849"/>
      <c r="AG1226" s="849"/>
      <c r="AH1226" s="849"/>
      <c r="AI1226" s="849"/>
      <c r="AJ1226" s="794"/>
      <c r="AK1226" s="794"/>
      <c r="AL1226" s="794"/>
      <c r="AM1226" s="794"/>
      <c r="AN1226" s="794"/>
      <c r="AO1226" s="853"/>
      <c r="AP1226" s="853"/>
      <c r="AQ1226" s="853"/>
      <c r="AR1226" s="853"/>
      <c r="AS1226" s="853"/>
      <c r="AT1226" s="794"/>
      <c r="AU1226" s="854"/>
      <c r="AV1226" s="794"/>
      <c r="AW1226" s="794"/>
      <c r="AX1226" s="794"/>
      <c r="AY1226" s="853"/>
      <c r="AZ1226" s="853"/>
    </row>
    <row r="1227" ht="15.0" customHeight="1">
      <c r="A1227" s="849"/>
      <c r="B1227" s="849"/>
      <c r="C1227" s="849"/>
      <c r="D1227" s="849"/>
      <c r="E1227" s="849"/>
      <c r="F1227" s="849"/>
      <c r="G1227" s="849"/>
      <c r="H1227" s="849"/>
      <c r="I1227" s="849"/>
      <c r="J1227" s="849"/>
      <c r="K1227" s="849"/>
      <c r="L1227" s="849"/>
      <c r="M1227" s="849"/>
      <c r="N1227" s="849"/>
      <c r="O1227" s="849"/>
      <c r="P1227" s="849"/>
      <c r="Q1227" s="849"/>
      <c r="R1227" s="849"/>
      <c r="S1227" s="849"/>
      <c r="T1227" s="849"/>
      <c r="U1227" s="849"/>
      <c r="V1227" s="849"/>
      <c r="W1227" s="849"/>
      <c r="X1227" s="849"/>
      <c r="Y1227" s="849"/>
      <c r="Z1227" s="849"/>
      <c r="AA1227" s="849"/>
      <c r="AB1227" s="849"/>
      <c r="AC1227" s="849"/>
      <c r="AD1227" s="849"/>
      <c r="AE1227" s="849"/>
      <c r="AF1227" s="849"/>
      <c r="AG1227" s="849"/>
      <c r="AH1227" s="849"/>
      <c r="AI1227" s="849"/>
      <c r="AJ1227" s="794"/>
      <c r="AK1227" s="794"/>
      <c r="AL1227" s="794"/>
      <c r="AM1227" s="794"/>
      <c r="AN1227" s="794"/>
      <c r="AO1227" s="853"/>
      <c r="AP1227" s="853"/>
      <c r="AQ1227" s="853"/>
      <c r="AR1227" s="853"/>
      <c r="AS1227" s="853"/>
      <c r="AT1227" s="794"/>
      <c r="AU1227" s="854"/>
      <c r="AV1227" s="794"/>
      <c r="AW1227" s="794"/>
      <c r="AX1227" s="794"/>
      <c r="AY1227" s="853"/>
      <c r="AZ1227" s="853"/>
    </row>
    <row r="1228" ht="15.0" customHeight="1">
      <c r="A1228" s="849"/>
      <c r="B1228" s="849"/>
      <c r="C1228" s="849"/>
      <c r="D1228" s="849"/>
      <c r="E1228" s="849"/>
      <c r="F1228" s="849"/>
      <c r="G1228" s="849"/>
      <c r="H1228" s="849"/>
      <c r="I1228" s="849"/>
      <c r="J1228" s="849"/>
      <c r="K1228" s="849"/>
      <c r="L1228" s="849"/>
      <c r="M1228" s="849"/>
      <c r="N1228" s="849"/>
      <c r="O1228" s="849"/>
      <c r="P1228" s="849"/>
      <c r="Q1228" s="849"/>
      <c r="R1228" s="849"/>
      <c r="S1228" s="849"/>
      <c r="T1228" s="849"/>
      <c r="U1228" s="849"/>
      <c r="V1228" s="849"/>
      <c r="W1228" s="849"/>
      <c r="X1228" s="849"/>
      <c r="Y1228" s="849"/>
      <c r="Z1228" s="849"/>
      <c r="AA1228" s="849"/>
      <c r="AB1228" s="849"/>
      <c r="AC1228" s="849"/>
      <c r="AD1228" s="849"/>
      <c r="AE1228" s="849"/>
      <c r="AF1228" s="849"/>
      <c r="AG1228" s="849"/>
      <c r="AH1228" s="849"/>
      <c r="AI1228" s="849"/>
      <c r="AJ1228" s="794"/>
      <c r="AK1228" s="794"/>
      <c r="AL1228" s="794"/>
      <c r="AM1228" s="794"/>
      <c r="AN1228" s="794"/>
      <c r="AO1228" s="853"/>
      <c r="AP1228" s="853"/>
      <c r="AQ1228" s="853"/>
      <c r="AR1228" s="853"/>
      <c r="AS1228" s="853"/>
      <c r="AT1228" s="794"/>
      <c r="AU1228" s="854"/>
      <c r="AV1228" s="794"/>
      <c r="AW1228" s="794"/>
      <c r="AX1228" s="794"/>
      <c r="AY1228" s="853"/>
      <c r="AZ1228" s="853"/>
    </row>
    <row r="1229" ht="15.0" customHeight="1">
      <c r="A1229" s="849"/>
      <c r="B1229" s="849"/>
      <c r="C1229" s="849"/>
      <c r="D1229" s="849"/>
      <c r="E1229" s="849"/>
      <c r="F1229" s="849"/>
      <c r="G1229" s="849"/>
      <c r="H1229" s="849"/>
      <c r="I1229" s="849"/>
      <c r="J1229" s="849"/>
      <c r="K1229" s="849"/>
      <c r="L1229" s="849"/>
      <c r="M1229" s="849"/>
      <c r="N1229" s="849"/>
      <c r="O1229" s="849"/>
      <c r="P1229" s="849"/>
      <c r="Q1229" s="849"/>
      <c r="R1229" s="849"/>
      <c r="S1229" s="849"/>
      <c r="T1229" s="849"/>
      <c r="U1229" s="849"/>
      <c r="V1229" s="849"/>
      <c r="W1229" s="849"/>
      <c r="X1229" s="849"/>
      <c r="Y1229" s="849"/>
      <c r="Z1229" s="849"/>
      <c r="AA1229" s="849"/>
      <c r="AB1229" s="849"/>
      <c r="AC1229" s="849"/>
      <c r="AD1229" s="849"/>
      <c r="AE1229" s="849"/>
      <c r="AF1229" s="849"/>
      <c r="AG1229" s="849"/>
      <c r="AH1229" s="849"/>
      <c r="AI1229" s="849"/>
      <c r="AJ1229" s="794"/>
      <c r="AK1229" s="794"/>
      <c r="AL1229" s="794"/>
      <c r="AM1229" s="794"/>
      <c r="AN1229" s="794"/>
      <c r="AO1229" s="853"/>
      <c r="AP1229" s="853"/>
      <c r="AQ1229" s="853"/>
      <c r="AR1229" s="853"/>
      <c r="AS1229" s="853"/>
      <c r="AT1229" s="794"/>
      <c r="AU1229" s="854"/>
      <c r="AV1229" s="794"/>
      <c r="AW1229" s="794"/>
      <c r="AX1229" s="794"/>
      <c r="AY1229" s="853"/>
      <c r="AZ1229" s="853"/>
    </row>
    <row r="1230" ht="15.0" customHeight="1">
      <c r="A1230" s="849"/>
      <c r="B1230" s="849"/>
      <c r="C1230" s="849"/>
      <c r="D1230" s="849"/>
      <c r="E1230" s="849"/>
      <c r="F1230" s="849"/>
      <c r="G1230" s="849"/>
      <c r="H1230" s="849"/>
      <c r="I1230" s="849"/>
      <c r="J1230" s="849"/>
      <c r="K1230" s="849"/>
      <c r="L1230" s="849"/>
      <c r="M1230" s="849"/>
      <c r="N1230" s="849"/>
      <c r="O1230" s="849"/>
      <c r="P1230" s="849"/>
      <c r="Q1230" s="849"/>
      <c r="R1230" s="849"/>
      <c r="S1230" s="849"/>
      <c r="T1230" s="849"/>
      <c r="U1230" s="849"/>
      <c r="V1230" s="849"/>
      <c r="W1230" s="849"/>
      <c r="X1230" s="849"/>
      <c r="Y1230" s="849"/>
      <c r="Z1230" s="849"/>
      <c r="AA1230" s="849"/>
      <c r="AB1230" s="849"/>
      <c r="AC1230" s="849"/>
      <c r="AD1230" s="849"/>
      <c r="AE1230" s="849"/>
      <c r="AF1230" s="849"/>
      <c r="AG1230" s="849"/>
      <c r="AH1230" s="849"/>
      <c r="AI1230" s="849"/>
      <c r="AJ1230" s="794"/>
      <c r="AK1230" s="794"/>
      <c r="AL1230" s="794"/>
      <c r="AM1230" s="794"/>
      <c r="AN1230" s="794"/>
      <c r="AO1230" s="853"/>
      <c r="AP1230" s="853"/>
      <c r="AQ1230" s="853"/>
      <c r="AR1230" s="853"/>
      <c r="AS1230" s="853"/>
      <c r="AT1230" s="794"/>
      <c r="AU1230" s="854"/>
      <c r="AV1230" s="794"/>
      <c r="AW1230" s="794"/>
      <c r="AX1230" s="794"/>
      <c r="AY1230" s="853"/>
      <c r="AZ1230" s="853"/>
    </row>
    <row r="1231" ht="15.0" customHeight="1">
      <c r="A1231" s="849"/>
      <c r="B1231" s="849"/>
      <c r="C1231" s="849"/>
      <c r="D1231" s="849"/>
      <c r="E1231" s="849"/>
      <c r="F1231" s="849"/>
      <c r="G1231" s="849"/>
      <c r="H1231" s="849"/>
      <c r="I1231" s="849"/>
      <c r="J1231" s="849"/>
      <c r="K1231" s="849"/>
      <c r="L1231" s="849"/>
      <c r="M1231" s="849"/>
      <c r="N1231" s="849"/>
      <c r="O1231" s="849"/>
      <c r="P1231" s="849"/>
      <c r="Q1231" s="849"/>
      <c r="R1231" s="849"/>
      <c r="S1231" s="849"/>
      <c r="T1231" s="849"/>
      <c r="U1231" s="849"/>
      <c r="V1231" s="849"/>
      <c r="W1231" s="849"/>
      <c r="X1231" s="849"/>
      <c r="Y1231" s="849"/>
      <c r="Z1231" s="849"/>
      <c r="AA1231" s="849"/>
      <c r="AB1231" s="849"/>
      <c r="AC1231" s="849"/>
      <c r="AD1231" s="849"/>
      <c r="AE1231" s="849"/>
      <c r="AF1231" s="849"/>
      <c r="AG1231" s="849"/>
      <c r="AH1231" s="849"/>
      <c r="AI1231" s="849"/>
      <c r="AJ1231" s="794"/>
      <c r="AK1231" s="794"/>
      <c r="AL1231" s="794"/>
      <c r="AM1231" s="794"/>
      <c r="AN1231" s="794"/>
      <c r="AO1231" s="853"/>
      <c r="AP1231" s="853"/>
      <c r="AQ1231" s="853"/>
      <c r="AR1231" s="853"/>
      <c r="AS1231" s="853"/>
      <c r="AT1231" s="794"/>
      <c r="AU1231" s="854"/>
      <c r="AV1231" s="794"/>
      <c r="AW1231" s="794"/>
      <c r="AX1231" s="794"/>
      <c r="AY1231" s="853"/>
      <c r="AZ1231" s="853"/>
    </row>
    <row r="1232" ht="15.0" customHeight="1">
      <c r="A1232" s="849"/>
      <c r="B1232" s="849"/>
      <c r="C1232" s="849"/>
      <c r="D1232" s="849"/>
      <c r="E1232" s="849"/>
      <c r="F1232" s="849"/>
      <c r="G1232" s="849"/>
      <c r="H1232" s="849"/>
      <c r="I1232" s="849"/>
      <c r="J1232" s="849"/>
      <c r="K1232" s="849"/>
      <c r="L1232" s="849"/>
      <c r="M1232" s="849"/>
      <c r="N1232" s="849"/>
      <c r="O1232" s="849"/>
      <c r="P1232" s="849"/>
      <c r="Q1232" s="849"/>
      <c r="R1232" s="849"/>
      <c r="S1232" s="849"/>
      <c r="T1232" s="849"/>
      <c r="U1232" s="849"/>
      <c r="V1232" s="849"/>
      <c r="W1232" s="849"/>
      <c r="X1232" s="849"/>
      <c r="Y1232" s="849"/>
      <c r="Z1232" s="849"/>
      <c r="AA1232" s="849"/>
      <c r="AB1232" s="849"/>
      <c r="AC1232" s="849"/>
      <c r="AD1232" s="849"/>
      <c r="AE1232" s="849"/>
      <c r="AF1232" s="849"/>
      <c r="AG1232" s="849"/>
      <c r="AH1232" s="849"/>
      <c r="AI1232" s="849"/>
      <c r="AJ1232" s="794"/>
      <c r="AK1232" s="794"/>
      <c r="AL1232" s="794"/>
      <c r="AM1232" s="794"/>
      <c r="AN1232" s="794"/>
      <c r="AO1232" s="853"/>
      <c r="AP1232" s="853"/>
      <c r="AQ1232" s="853"/>
      <c r="AR1232" s="853"/>
      <c r="AS1232" s="853"/>
      <c r="AT1232" s="794"/>
      <c r="AU1232" s="854"/>
      <c r="AV1232" s="794"/>
      <c r="AW1232" s="794"/>
      <c r="AX1232" s="794"/>
      <c r="AY1232" s="853"/>
      <c r="AZ1232" s="853"/>
    </row>
    <row r="1233" ht="15.0" customHeight="1">
      <c r="A1233" s="849"/>
      <c r="B1233" s="849"/>
      <c r="C1233" s="849"/>
      <c r="D1233" s="849"/>
      <c r="E1233" s="849"/>
      <c r="F1233" s="849"/>
      <c r="G1233" s="849"/>
      <c r="H1233" s="849"/>
      <c r="I1233" s="849"/>
      <c r="J1233" s="849"/>
      <c r="K1233" s="849"/>
      <c r="L1233" s="849"/>
      <c r="M1233" s="849"/>
      <c r="N1233" s="849"/>
      <c r="O1233" s="849"/>
      <c r="P1233" s="849"/>
      <c r="Q1233" s="849"/>
      <c r="R1233" s="849"/>
      <c r="S1233" s="849"/>
      <c r="T1233" s="849"/>
      <c r="U1233" s="849"/>
      <c r="V1233" s="849"/>
      <c r="W1233" s="849"/>
      <c r="X1233" s="849"/>
      <c r="Y1233" s="849"/>
      <c r="Z1233" s="849"/>
      <c r="AA1233" s="849"/>
      <c r="AB1233" s="849"/>
      <c r="AC1233" s="849"/>
      <c r="AD1233" s="849"/>
      <c r="AE1233" s="849"/>
      <c r="AF1233" s="849"/>
      <c r="AG1233" s="849"/>
      <c r="AH1233" s="849"/>
      <c r="AI1233" s="849"/>
      <c r="AJ1233" s="794"/>
      <c r="AK1233" s="794"/>
      <c r="AL1233" s="794"/>
      <c r="AM1233" s="794"/>
      <c r="AN1233" s="794"/>
      <c r="AO1233" s="853"/>
      <c r="AP1233" s="853"/>
      <c r="AQ1233" s="853"/>
      <c r="AR1233" s="853"/>
      <c r="AS1233" s="853"/>
      <c r="AT1233" s="794"/>
      <c r="AU1233" s="854"/>
      <c r="AV1233" s="794"/>
      <c r="AW1233" s="794"/>
      <c r="AX1233" s="794"/>
      <c r="AY1233" s="853"/>
      <c r="AZ1233" s="853"/>
    </row>
    <row r="1234" ht="15.0" customHeight="1">
      <c r="A1234" s="849"/>
      <c r="B1234" s="849"/>
      <c r="C1234" s="849"/>
      <c r="D1234" s="849"/>
      <c r="E1234" s="849"/>
      <c r="F1234" s="849"/>
      <c r="G1234" s="849"/>
      <c r="H1234" s="849"/>
      <c r="I1234" s="849"/>
      <c r="J1234" s="849"/>
      <c r="K1234" s="849"/>
      <c r="L1234" s="849"/>
      <c r="M1234" s="849"/>
      <c r="N1234" s="849"/>
      <c r="O1234" s="849"/>
      <c r="P1234" s="849"/>
      <c r="Q1234" s="849"/>
      <c r="R1234" s="849"/>
      <c r="S1234" s="849"/>
      <c r="T1234" s="849"/>
      <c r="U1234" s="849"/>
      <c r="V1234" s="849"/>
      <c r="W1234" s="849"/>
      <c r="X1234" s="849"/>
      <c r="Y1234" s="849"/>
      <c r="Z1234" s="849"/>
      <c r="AA1234" s="849"/>
      <c r="AB1234" s="849"/>
      <c r="AC1234" s="849"/>
      <c r="AD1234" s="849"/>
      <c r="AE1234" s="849"/>
      <c r="AF1234" s="849"/>
      <c r="AG1234" s="849"/>
      <c r="AH1234" s="849"/>
      <c r="AI1234" s="849"/>
      <c r="AJ1234" s="794"/>
      <c r="AK1234" s="794"/>
      <c r="AL1234" s="794"/>
      <c r="AM1234" s="794"/>
      <c r="AN1234" s="794"/>
      <c r="AO1234" s="853"/>
      <c r="AP1234" s="853"/>
      <c r="AQ1234" s="853"/>
      <c r="AR1234" s="853"/>
      <c r="AS1234" s="853"/>
      <c r="AT1234" s="794"/>
      <c r="AU1234" s="854"/>
      <c r="AV1234" s="794"/>
      <c r="AW1234" s="794"/>
      <c r="AX1234" s="794"/>
      <c r="AY1234" s="853"/>
      <c r="AZ1234" s="853"/>
    </row>
    <row r="1235" ht="15.0" customHeight="1">
      <c r="A1235" s="849"/>
      <c r="B1235" s="849"/>
      <c r="C1235" s="849"/>
      <c r="D1235" s="849"/>
      <c r="E1235" s="849"/>
      <c r="F1235" s="849"/>
      <c r="G1235" s="849"/>
      <c r="H1235" s="849"/>
      <c r="I1235" s="849"/>
      <c r="J1235" s="849"/>
      <c r="K1235" s="849"/>
      <c r="L1235" s="849"/>
      <c r="M1235" s="849"/>
      <c r="N1235" s="849"/>
      <c r="O1235" s="849"/>
      <c r="P1235" s="849"/>
      <c r="Q1235" s="849"/>
      <c r="R1235" s="849"/>
      <c r="S1235" s="849"/>
      <c r="T1235" s="849"/>
      <c r="U1235" s="849"/>
      <c r="V1235" s="849"/>
      <c r="W1235" s="849"/>
      <c r="X1235" s="849"/>
      <c r="Y1235" s="849"/>
      <c r="Z1235" s="849"/>
      <c r="AA1235" s="849"/>
      <c r="AB1235" s="849"/>
      <c r="AC1235" s="849"/>
      <c r="AD1235" s="849"/>
      <c r="AE1235" s="849"/>
      <c r="AF1235" s="849"/>
      <c r="AG1235" s="849"/>
      <c r="AH1235" s="849"/>
      <c r="AI1235" s="849"/>
      <c r="AJ1235" s="794"/>
      <c r="AK1235" s="794"/>
      <c r="AL1235" s="794"/>
      <c r="AM1235" s="794"/>
      <c r="AN1235" s="794"/>
      <c r="AO1235" s="853"/>
      <c r="AP1235" s="853"/>
      <c r="AQ1235" s="853"/>
      <c r="AR1235" s="853"/>
      <c r="AS1235" s="853"/>
      <c r="AT1235" s="794"/>
      <c r="AU1235" s="854"/>
      <c r="AV1235" s="794"/>
      <c r="AW1235" s="794"/>
      <c r="AX1235" s="794"/>
      <c r="AY1235" s="853"/>
      <c r="AZ1235" s="853"/>
    </row>
    <row r="1236" ht="15.0" customHeight="1">
      <c r="A1236" s="849"/>
      <c r="B1236" s="849"/>
      <c r="C1236" s="849"/>
      <c r="D1236" s="849"/>
      <c r="E1236" s="849"/>
      <c r="F1236" s="849"/>
      <c r="G1236" s="849"/>
      <c r="H1236" s="849"/>
      <c r="I1236" s="849"/>
      <c r="J1236" s="849"/>
      <c r="K1236" s="849"/>
      <c r="L1236" s="849"/>
      <c r="M1236" s="849"/>
      <c r="N1236" s="849"/>
      <c r="O1236" s="849"/>
      <c r="P1236" s="849"/>
      <c r="Q1236" s="849"/>
      <c r="R1236" s="849"/>
      <c r="S1236" s="849"/>
      <c r="T1236" s="849"/>
      <c r="U1236" s="849"/>
      <c r="V1236" s="849"/>
      <c r="W1236" s="849"/>
      <c r="X1236" s="849"/>
      <c r="Y1236" s="849"/>
      <c r="Z1236" s="849"/>
      <c r="AA1236" s="849"/>
      <c r="AB1236" s="849"/>
      <c r="AC1236" s="849"/>
      <c r="AD1236" s="849"/>
      <c r="AE1236" s="849"/>
      <c r="AF1236" s="849"/>
      <c r="AG1236" s="849"/>
      <c r="AH1236" s="849"/>
      <c r="AI1236" s="849"/>
      <c r="AJ1236" s="794"/>
      <c r="AK1236" s="794"/>
      <c r="AL1236" s="794"/>
      <c r="AM1236" s="794"/>
      <c r="AN1236" s="794"/>
      <c r="AO1236" s="853"/>
      <c r="AP1236" s="853"/>
      <c r="AQ1236" s="853"/>
      <c r="AR1236" s="853"/>
      <c r="AS1236" s="853"/>
      <c r="AT1236" s="794"/>
      <c r="AU1236" s="854"/>
      <c r="AV1236" s="794"/>
      <c r="AW1236" s="794"/>
      <c r="AX1236" s="794"/>
      <c r="AY1236" s="853"/>
      <c r="AZ1236" s="853"/>
    </row>
    <row r="1237" ht="15.0" customHeight="1">
      <c r="A1237" s="849"/>
      <c r="B1237" s="849"/>
      <c r="C1237" s="849"/>
      <c r="D1237" s="849"/>
      <c r="E1237" s="849"/>
      <c r="F1237" s="849"/>
      <c r="G1237" s="849"/>
      <c r="H1237" s="849"/>
      <c r="I1237" s="849"/>
      <c r="J1237" s="849"/>
      <c r="K1237" s="849"/>
      <c r="L1237" s="849"/>
      <c r="M1237" s="849"/>
      <c r="N1237" s="849"/>
      <c r="O1237" s="849"/>
      <c r="P1237" s="849"/>
      <c r="Q1237" s="849"/>
      <c r="R1237" s="849"/>
      <c r="S1237" s="849"/>
      <c r="T1237" s="849"/>
      <c r="U1237" s="849"/>
      <c r="V1237" s="849"/>
      <c r="W1237" s="849"/>
      <c r="X1237" s="849"/>
      <c r="Y1237" s="849"/>
      <c r="Z1237" s="849"/>
      <c r="AA1237" s="849"/>
      <c r="AB1237" s="849"/>
      <c r="AC1237" s="849"/>
      <c r="AD1237" s="849"/>
      <c r="AE1237" s="849"/>
      <c r="AF1237" s="849"/>
      <c r="AG1237" s="849"/>
      <c r="AH1237" s="849"/>
      <c r="AI1237" s="849"/>
      <c r="AJ1237" s="794"/>
      <c r="AK1237" s="794"/>
      <c r="AL1237" s="794"/>
      <c r="AM1237" s="794"/>
      <c r="AN1237" s="794"/>
      <c r="AO1237" s="853"/>
      <c r="AP1237" s="853"/>
      <c r="AQ1237" s="853"/>
      <c r="AR1237" s="853"/>
      <c r="AS1237" s="853"/>
      <c r="AT1237" s="794"/>
      <c r="AU1237" s="854"/>
      <c r="AV1237" s="794"/>
      <c r="AW1237" s="794"/>
      <c r="AX1237" s="794"/>
      <c r="AY1237" s="853"/>
      <c r="AZ1237" s="853"/>
    </row>
    <row r="1238" ht="15.0" customHeight="1">
      <c r="A1238" s="849"/>
      <c r="B1238" s="849"/>
      <c r="C1238" s="849"/>
      <c r="D1238" s="849"/>
      <c r="E1238" s="849"/>
      <c r="F1238" s="849"/>
      <c r="G1238" s="849"/>
      <c r="H1238" s="849"/>
      <c r="I1238" s="849"/>
      <c r="J1238" s="849"/>
      <c r="K1238" s="849"/>
      <c r="L1238" s="849"/>
      <c r="M1238" s="849"/>
      <c r="N1238" s="849"/>
      <c r="O1238" s="849"/>
      <c r="P1238" s="849"/>
      <c r="Q1238" s="849"/>
      <c r="R1238" s="849"/>
      <c r="S1238" s="849"/>
      <c r="T1238" s="849"/>
      <c r="U1238" s="849"/>
      <c r="V1238" s="849"/>
      <c r="W1238" s="849"/>
      <c r="X1238" s="849"/>
      <c r="Y1238" s="849"/>
      <c r="Z1238" s="849"/>
      <c r="AA1238" s="849"/>
      <c r="AB1238" s="849"/>
      <c r="AC1238" s="849"/>
      <c r="AD1238" s="849"/>
      <c r="AE1238" s="849"/>
      <c r="AF1238" s="849"/>
      <c r="AG1238" s="849"/>
      <c r="AH1238" s="849"/>
      <c r="AI1238" s="849"/>
      <c r="AJ1238" s="794"/>
      <c r="AK1238" s="794"/>
      <c r="AL1238" s="794"/>
      <c r="AM1238" s="794"/>
      <c r="AN1238" s="794"/>
      <c r="AO1238" s="853"/>
      <c r="AP1238" s="853"/>
      <c r="AQ1238" s="853"/>
      <c r="AR1238" s="853"/>
      <c r="AS1238" s="853"/>
      <c r="AT1238" s="794"/>
      <c r="AU1238" s="854"/>
      <c r="AV1238" s="794"/>
      <c r="AW1238" s="794"/>
      <c r="AX1238" s="794"/>
      <c r="AY1238" s="853"/>
      <c r="AZ1238" s="853"/>
    </row>
    <row r="1239" ht="15.0" customHeight="1">
      <c r="A1239" s="849"/>
      <c r="B1239" s="849"/>
      <c r="C1239" s="849"/>
      <c r="D1239" s="849"/>
      <c r="E1239" s="849"/>
      <c r="F1239" s="849"/>
      <c r="G1239" s="849"/>
      <c r="H1239" s="849"/>
      <c r="I1239" s="849"/>
      <c r="J1239" s="849"/>
      <c r="K1239" s="849"/>
      <c r="L1239" s="849"/>
      <c r="M1239" s="849"/>
      <c r="N1239" s="849"/>
      <c r="O1239" s="849"/>
      <c r="P1239" s="849"/>
      <c r="Q1239" s="849"/>
      <c r="R1239" s="849"/>
      <c r="S1239" s="849"/>
      <c r="T1239" s="849"/>
      <c r="U1239" s="849"/>
      <c r="V1239" s="849"/>
      <c r="W1239" s="849"/>
      <c r="X1239" s="849"/>
      <c r="Y1239" s="849"/>
      <c r="Z1239" s="849"/>
      <c r="AA1239" s="849"/>
      <c r="AB1239" s="849"/>
      <c r="AC1239" s="849"/>
      <c r="AD1239" s="849"/>
      <c r="AE1239" s="849"/>
      <c r="AF1239" s="849"/>
      <c r="AG1239" s="849"/>
      <c r="AH1239" s="849"/>
      <c r="AI1239" s="849"/>
      <c r="AJ1239" s="794"/>
      <c r="AK1239" s="794"/>
      <c r="AL1239" s="794"/>
      <c r="AM1239" s="794"/>
      <c r="AN1239" s="794"/>
      <c r="AO1239" s="853"/>
      <c r="AP1239" s="853"/>
      <c r="AQ1239" s="853"/>
      <c r="AR1239" s="853"/>
      <c r="AS1239" s="853"/>
      <c r="AT1239" s="794"/>
      <c r="AU1239" s="854"/>
      <c r="AV1239" s="794"/>
      <c r="AW1239" s="794"/>
      <c r="AX1239" s="794"/>
      <c r="AY1239" s="853"/>
      <c r="AZ1239" s="853"/>
    </row>
    <row r="1240" ht="15.0" customHeight="1">
      <c r="A1240" s="849"/>
      <c r="B1240" s="849"/>
      <c r="C1240" s="849"/>
      <c r="D1240" s="849"/>
      <c r="E1240" s="849"/>
      <c r="F1240" s="849"/>
      <c r="G1240" s="849"/>
      <c r="H1240" s="849"/>
      <c r="I1240" s="849"/>
      <c r="J1240" s="849"/>
      <c r="K1240" s="849"/>
      <c r="L1240" s="849"/>
      <c r="M1240" s="849"/>
      <c r="N1240" s="849"/>
      <c r="O1240" s="849"/>
      <c r="P1240" s="849"/>
      <c r="Q1240" s="849"/>
      <c r="R1240" s="849"/>
      <c r="S1240" s="849"/>
      <c r="T1240" s="849"/>
      <c r="U1240" s="849"/>
      <c r="V1240" s="849"/>
      <c r="W1240" s="849"/>
      <c r="X1240" s="849"/>
      <c r="Y1240" s="849"/>
      <c r="Z1240" s="849"/>
      <c r="AA1240" s="849"/>
      <c r="AB1240" s="849"/>
      <c r="AC1240" s="849"/>
      <c r="AD1240" s="849"/>
      <c r="AE1240" s="849"/>
      <c r="AF1240" s="849"/>
      <c r="AG1240" s="849"/>
      <c r="AH1240" s="849"/>
      <c r="AI1240" s="849"/>
      <c r="AJ1240" s="794"/>
      <c r="AK1240" s="794"/>
      <c r="AL1240" s="794"/>
      <c r="AM1240" s="794"/>
      <c r="AN1240" s="794"/>
      <c r="AO1240" s="853"/>
      <c r="AP1240" s="853"/>
      <c r="AQ1240" s="853"/>
      <c r="AR1240" s="853"/>
      <c r="AS1240" s="853"/>
      <c r="AT1240" s="794"/>
      <c r="AU1240" s="854"/>
      <c r="AV1240" s="794"/>
      <c r="AW1240" s="794"/>
      <c r="AX1240" s="794"/>
      <c r="AY1240" s="853"/>
      <c r="AZ1240" s="853"/>
    </row>
    <row r="1241" ht="15.0" customHeight="1">
      <c r="A1241" s="849"/>
      <c r="B1241" s="849"/>
      <c r="C1241" s="849"/>
      <c r="D1241" s="849"/>
      <c r="E1241" s="849"/>
      <c r="F1241" s="849"/>
      <c r="G1241" s="849"/>
      <c r="H1241" s="849"/>
      <c r="I1241" s="849"/>
      <c r="J1241" s="849"/>
      <c r="K1241" s="849"/>
      <c r="L1241" s="849"/>
      <c r="M1241" s="849"/>
      <c r="N1241" s="849"/>
      <c r="O1241" s="849"/>
      <c r="P1241" s="849"/>
      <c r="Q1241" s="849"/>
      <c r="R1241" s="849"/>
      <c r="S1241" s="849"/>
      <c r="T1241" s="849"/>
      <c r="U1241" s="849"/>
      <c r="V1241" s="849"/>
      <c r="W1241" s="849"/>
      <c r="X1241" s="849"/>
      <c r="Y1241" s="849"/>
      <c r="Z1241" s="849"/>
      <c r="AA1241" s="849"/>
      <c r="AB1241" s="849"/>
      <c r="AC1241" s="849"/>
      <c r="AD1241" s="849"/>
      <c r="AE1241" s="849"/>
      <c r="AF1241" s="849"/>
      <c r="AG1241" s="849"/>
      <c r="AH1241" s="849"/>
      <c r="AI1241" s="849"/>
      <c r="AJ1241" s="794"/>
      <c r="AK1241" s="794"/>
      <c r="AL1241" s="794"/>
      <c r="AM1241" s="794"/>
      <c r="AN1241" s="794"/>
      <c r="AO1241" s="853"/>
      <c r="AP1241" s="853"/>
      <c r="AQ1241" s="853"/>
      <c r="AR1241" s="853"/>
      <c r="AS1241" s="853"/>
      <c r="AT1241" s="794"/>
      <c r="AU1241" s="854"/>
      <c r="AV1241" s="794"/>
      <c r="AW1241" s="794"/>
      <c r="AX1241" s="794"/>
      <c r="AY1241" s="853"/>
      <c r="AZ1241" s="853"/>
    </row>
    <row r="1242" ht="15.0" customHeight="1">
      <c r="A1242" s="849"/>
      <c r="B1242" s="849"/>
      <c r="C1242" s="849"/>
      <c r="D1242" s="849"/>
      <c r="E1242" s="849"/>
      <c r="F1242" s="849"/>
      <c r="G1242" s="849"/>
      <c r="H1242" s="849"/>
      <c r="I1242" s="849"/>
      <c r="J1242" s="849"/>
      <c r="K1242" s="849"/>
      <c r="L1242" s="849"/>
      <c r="M1242" s="849"/>
      <c r="N1242" s="849"/>
      <c r="O1242" s="849"/>
      <c r="P1242" s="849"/>
      <c r="Q1242" s="849"/>
      <c r="R1242" s="849"/>
      <c r="S1242" s="849"/>
      <c r="T1242" s="849"/>
      <c r="U1242" s="849"/>
      <c r="V1242" s="849"/>
      <c r="W1242" s="849"/>
      <c r="X1242" s="849"/>
      <c r="Y1242" s="849"/>
      <c r="Z1242" s="849"/>
      <c r="AA1242" s="849"/>
      <c r="AB1242" s="849"/>
      <c r="AC1242" s="849"/>
      <c r="AD1242" s="849"/>
      <c r="AE1242" s="849"/>
      <c r="AF1242" s="849"/>
      <c r="AG1242" s="849"/>
      <c r="AH1242" s="849"/>
      <c r="AI1242" s="849"/>
      <c r="AJ1242" s="794"/>
      <c r="AK1242" s="794"/>
      <c r="AL1242" s="794"/>
      <c r="AM1242" s="794"/>
      <c r="AN1242" s="794"/>
      <c r="AO1242" s="853"/>
      <c r="AP1242" s="853"/>
      <c r="AQ1242" s="853"/>
      <c r="AR1242" s="853"/>
      <c r="AS1242" s="853"/>
      <c r="AT1242" s="794"/>
      <c r="AU1242" s="854"/>
      <c r="AV1242" s="794"/>
      <c r="AW1242" s="794"/>
      <c r="AX1242" s="794"/>
      <c r="AY1242" s="853"/>
      <c r="AZ1242" s="853"/>
    </row>
    <row r="1243" ht="15.0" customHeight="1">
      <c r="A1243" s="849"/>
      <c r="B1243" s="849"/>
      <c r="C1243" s="849"/>
      <c r="D1243" s="849"/>
      <c r="E1243" s="849"/>
      <c r="F1243" s="849"/>
      <c r="G1243" s="849"/>
      <c r="H1243" s="849"/>
      <c r="I1243" s="849"/>
      <c r="J1243" s="849"/>
      <c r="K1243" s="849"/>
      <c r="L1243" s="849"/>
      <c r="M1243" s="849"/>
      <c r="N1243" s="849"/>
      <c r="O1243" s="849"/>
      <c r="P1243" s="849"/>
      <c r="Q1243" s="849"/>
      <c r="R1243" s="849"/>
      <c r="S1243" s="849"/>
      <c r="T1243" s="849"/>
      <c r="U1243" s="849"/>
      <c r="V1243" s="849"/>
      <c r="W1243" s="849"/>
      <c r="X1243" s="849"/>
      <c r="Y1243" s="849"/>
      <c r="Z1243" s="849"/>
      <c r="AA1243" s="849"/>
      <c r="AB1243" s="849"/>
      <c r="AC1243" s="849"/>
      <c r="AD1243" s="849"/>
      <c r="AE1243" s="849"/>
      <c r="AF1243" s="849"/>
      <c r="AG1243" s="849"/>
      <c r="AH1243" s="849"/>
      <c r="AI1243" s="849"/>
      <c r="AJ1243" s="794"/>
      <c r="AK1243" s="794"/>
      <c r="AL1243" s="794"/>
      <c r="AM1243" s="794"/>
      <c r="AN1243" s="794"/>
      <c r="AO1243" s="853"/>
      <c r="AP1243" s="853"/>
      <c r="AQ1243" s="853"/>
      <c r="AR1243" s="853"/>
      <c r="AS1243" s="853"/>
      <c r="AT1243" s="794"/>
      <c r="AU1243" s="854"/>
      <c r="AV1243" s="794"/>
      <c r="AW1243" s="794"/>
      <c r="AX1243" s="794"/>
      <c r="AY1243" s="853"/>
      <c r="AZ1243" s="853"/>
    </row>
    <row r="1244" ht="15.0" customHeight="1">
      <c r="A1244" s="849"/>
      <c r="B1244" s="849"/>
      <c r="C1244" s="849"/>
      <c r="D1244" s="849"/>
      <c r="E1244" s="849"/>
      <c r="F1244" s="849"/>
      <c r="G1244" s="849"/>
      <c r="H1244" s="849"/>
      <c r="I1244" s="849"/>
      <c r="J1244" s="849"/>
      <c r="K1244" s="849"/>
      <c r="L1244" s="849"/>
      <c r="M1244" s="849"/>
      <c r="N1244" s="849"/>
      <c r="O1244" s="849"/>
      <c r="P1244" s="849"/>
      <c r="Q1244" s="849"/>
      <c r="R1244" s="849"/>
      <c r="S1244" s="849"/>
      <c r="T1244" s="849"/>
      <c r="U1244" s="849"/>
      <c r="V1244" s="849"/>
      <c r="W1244" s="849"/>
      <c r="X1244" s="849"/>
      <c r="Y1244" s="849"/>
      <c r="Z1244" s="849"/>
      <c r="AA1244" s="849"/>
      <c r="AB1244" s="849"/>
      <c r="AC1244" s="849"/>
      <c r="AD1244" s="849"/>
      <c r="AE1244" s="849"/>
      <c r="AF1244" s="849"/>
      <c r="AG1244" s="849"/>
      <c r="AH1244" s="849"/>
      <c r="AI1244" s="849"/>
      <c r="AJ1244" s="794"/>
      <c r="AK1244" s="794"/>
      <c r="AL1244" s="794"/>
      <c r="AM1244" s="794"/>
      <c r="AN1244" s="794"/>
      <c r="AO1244" s="853"/>
      <c r="AP1244" s="853"/>
      <c r="AQ1244" s="853"/>
      <c r="AR1244" s="853"/>
      <c r="AS1244" s="853"/>
      <c r="AT1244" s="794"/>
      <c r="AU1244" s="854"/>
      <c r="AV1244" s="794"/>
      <c r="AW1244" s="794"/>
      <c r="AX1244" s="794"/>
      <c r="AY1244" s="853"/>
      <c r="AZ1244" s="853"/>
    </row>
    <row r="1245" ht="15.0" customHeight="1">
      <c r="A1245" s="849"/>
      <c r="B1245" s="849"/>
      <c r="C1245" s="849"/>
      <c r="D1245" s="849"/>
      <c r="E1245" s="849"/>
      <c r="F1245" s="849"/>
      <c r="G1245" s="849"/>
      <c r="H1245" s="849"/>
      <c r="I1245" s="849"/>
      <c r="J1245" s="849"/>
      <c r="K1245" s="849"/>
      <c r="L1245" s="849"/>
      <c r="M1245" s="849"/>
      <c r="N1245" s="849"/>
      <c r="O1245" s="849"/>
      <c r="P1245" s="849"/>
      <c r="Q1245" s="849"/>
      <c r="R1245" s="849"/>
      <c r="S1245" s="849"/>
      <c r="T1245" s="849"/>
      <c r="U1245" s="849"/>
      <c r="V1245" s="849"/>
      <c r="W1245" s="849"/>
      <c r="X1245" s="849"/>
      <c r="Y1245" s="849"/>
      <c r="Z1245" s="849"/>
      <c r="AA1245" s="849"/>
      <c r="AB1245" s="849"/>
      <c r="AC1245" s="849"/>
      <c r="AD1245" s="849"/>
      <c r="AE1245" s="849"/>
      <c r="AF1245" s="849"/>
      <c r="AG1245" s="849"/>
      <c r="AH1245" s="849"/>
      <c r="AI1245" s="849"/>
      <c r="AJ1245" s="794"/>
      <c r="AK1245" s="794"/>
      <c r="AL1245" s="794"/>
      <c r="AM1245" s="794"/>
      <c r="AN1245" s="794"/>
      <c r="AO1245" s="853"/>
      <c r="AP1245" s="853"/>
      <c r="AQ1245" s="853"/>
      <c r="AR1245" s="853"/>
      <c r="AS1245" s="853"/>
      <c r="AT1245" s="794"/>
      <c r="AU1245" s="854"/>
      <c r="AV1245" s="794"/>
      <c r="AW1245" s="794"/>
      <c r="AX1245" s="794"/>
      <c r="AY1245" s="853"/>
      <c r="AZ1245" s="853"/>
    </row>
    <row r="1246" ht="15.0" customHeight="1">
      <c r="A1246" s="849"/>
      <c r="B1246" s="849"/>
      <c r="C1246" s="849"/>
      <c r="D1246" s="849"/>
      <c r="E1246" s="849"/>
      <c r="F1246" s="849"/>
      <c r="G1246" s="849"/>
      <c r="H1246" s="849"/>
      <c r="I1246" s="849"/>
      <c r="J1246" s="849"/>
      <c r="K1246" s="849"/>
      <c r="L1246" s="849"/>
      <c r="M1246" s="849"/>
      <c r="N1246" s="849"/>
      <c r="O1246" s="849"/>
      <c r="P1246" s="849"/>
      <c r="Q1246" s="849"/>
      <c r="R1246" s="849"/>
      <c r="S1246" s="849"/>
      <c r="T1246" s="849"/>
      <c r="U1246" s="849"/>
      <c r="V1246" s="849"/>
      <c r="W1246" s="849"/>
      <c r="X1246" s="849"/>
      <c r="Y1246" s="849"/>
      <c r="Z1246" s="849"/>
      <c r="AA1246" s="849"/>
      <c r="AB1246" s="849"/>
      <c r="AC1246" s="849"/>
      <c r="AD1246" s="849"/>
      <c r="AE1246" s="849"/>
      <c r="AF1246" s="849"/>
      <c r="AG1246" s="849"/>
      <c r="AH1246" s="849"/>
      <c r="AI1246" s="849"/>
      <c r="AJ1246" s="794"/>
      <c r="AK1246" s="794"/>
      <c r="AL1246" s="794"/>
      <c r="AM1246" s="794"/>
      <c r="AN1246" s="794"/>
      <c r="AO1246" s="853"/>
      <c r="AP1246" s="853"/>
      <c r="AQ1246" s="853"/>
      <c r="AR1246" s="853"/>
      <c r="AS1246" s="853"/>
      <c r="AT1246" s="794"/>
      <c r="AU1246" s="854"/>
      <c r="AV1246" s="794"/>
      <c r="AW1246" s="794"/>
      <c r="AX1246" s="794"/>
      <c r="AY1246" s="853"/>
      <c r="AZ1246" s="853"/>
    </row>
    <row r="1247" ht="15.0" customHeight="1">
      <c r="A1247" s="849"/>
      <c r="B1247" s="849"/>
      <c r="C1247" s="849"/>
      <c r="D1247" s="849"/>
      <c r="E1247" s="849"/>
      <c r="F1247" s="849"/>
      <c r="G1247" s="849"/>
      <c r="H1247" s="849"/>
      <c r="I1247" s="849"/>
      <c r="J1247" s="849"/>
      <c r="K1247" s="849"/>
      <c r="L1247" s="849"/>
      <c r="M1247" s="849"/>
      <c r="N1247" s="849"/>
      <c r="O1247" s="849"/>
      <c r="P1247" s="849"/>
      <c r="Q1247" s="849"/>
      <c r="R1247" s="849"/>
      <c r="S1247" s="849"/>
      <c r="T1247" s="849"/>
      <c r="U1247" s="849"/>
      <c r="V1247" s="849"/>
      <c r="W1247" s="849"/>
      <c r="X1247" s="849"/>
      <c r="Y1247" s="849"/>
      <c r="Z1247" s="849"/>
      <c r="AA1247" s="849"/>
      <c r="AB1247" s="849"/>
      <c r="AC1247" s="849"/>
      <c r="AD1247" s="849"/>
      <c r="AE1247" s="849"/>
      <c r="AF1247" s="849"/>
      <c r="AG1247" s="849"/>
      <c r="AH1247" s="849"/>
      <c r="AI1247" s="849"/>
      <c r="AJ1247" s="794"/>
      <c r="AK1247" s="794"/>
      <c r="AL1247" s="794"/>
      <c r="AM1247" s="794"/>
      <c r="AN1247" s="794"/>
      <c r="AO1247" s="853"/>
      <c r="AP1247" s="853"/>
      <c r="AQ1247" s="853"/>
      <c r="AR1247" s="853"/>
      <c r="AS1247" s="853"/>
      <c r="AT1247" s="794"/>
      <c r="AU1247" s="854"/>
      <c r="AV1247" s="794"/>
      <c r="AW1247" s="794"/>
      <c r="AX1247" s="794"/>
      <c r="AY1247" s="853"/>
      <c r="AZ1247" s="853"/>
    </row>
    <row r="1248" ht="15.0" customHeight="1">
      <c r="A1248" s="849"/>
      <c r="B1248" s="849"/>
      <c r="C1248" s="849"/>
      <c r="D1248" s="849"/>
      <c r="E1248" s="849"/>
      <c r="F1248" s="849"/>
      <c r="G1248" s="849"/>
      <c r="H1248" s="849"/>
      <c r="I1248" s="849"/>
      <c r="J1248" s="849"/>
      <c r="K1248" s="849"/>
      <c r="L1248" s="849"/>
      <c r="M1248" s="849"/>
      <c r="N1248" s="849"/>
      <c r="O1248" s="849"/>
      <c r="P1248" s="849"/>
      <c r="Q1248" s="849"/>
      <c r="R1248" s="849"/>
      <c r="S1248" s="849"/>
      <c r="T1248" s="849"/>
      <c r="U1248" s="849"/>
      <c r="V1248" s="849"/>
      <c r="W1248" s="849"/>
      <c r="X1248" s="849"/>
      <c r="Y1248" s="849"/>
      <c r="Z1248" s="849"/>
      <c r="AA1248" s="849"/>
      <c r="AB1248" s="849"/>
      <c r="AC1248" s="849"/>
      <c r="AD1248" s="849"/>
      <c r="AE1248" s="849"/>
      <c r="AF1248" s="849"/>
      <c r="AG1248" s="849"/>
      <c r="AH1248" s="849"/>
      <c r="AI1248" s="849"/>
      <c r="AJ1248" s="794"/>
      <c r="AK1248" s="794"/>
      <c r="AL1248" s="794"/>
      <c r="AM1248" s="794"/>
      <c r="AN1248" s="794"/>
      <c r="AO1248" s="853"/>
      <c r="AP1248" s="853"/>
      <c r="AQ1248" s="853"/>
      <c r="AR1248" s="853"/>
      <c r="AS1248" s="853"/>
      <c r="AT1248" s="794"/>
      <c r="AU1248" s="854"/>
      <c r="AV1248" s="794"/>
      <c r="AW1248" s="794"/>
      <c r="AX1248" s="794"/>
      <c r="AY1248" s="853"/>
      <c r="AZ1248" s="853"/>
    </row>
    <row r="1249" ht="15.0" customHeight="1">
      <c r="A1249" s="849"/>
      <c r="B1249" s="849"/>
      <c r="C1249" s="849"/>
      <c r="D1249" s="849"/>
      <c r="E1249" s="849"/>
      <c r="F1249" s="849"/>
      <c r="G1249" s="849"/>
      <c r="H1249" s="849"/>
      <c r="I1249" s="849"/>
      <c r="J1249" s="849"/>
      <c r="K1249" s="849"/>
      <c r="L1249" s="849"/>
      <c r="M1249" s="849"/>
      <c r="N1249" s="849"/>
      <c r="O1249" s="849"/>
      <c r="P1249" s="849"/>
      <c r="Q1249" s="849"/>
      <c r="R1249" s="849"/>
      <c r="S1249" s="849"/>
      <c r="T1249" s="849"/>
      <c r="U1249" s="849"/>
      <c r="V1249" s="849"/>
      <c r="W1249" s="849"/>
      <c r="X1249" s="849"/>
      <c r="Y1249" s="849"/>
      <c r="Z1249" s="849"/>
      <c r="AA1249" s="849"/>
      <c r="AB1249" s="849"/>
      <c r="AC1249" s="849"/>
      <c r="AD1249" s="849"/>
      <c r="AE1249" s="849"/>
      <c r="AF1249" s="849"/>
      <c r="AG1249" s="849"/>
      <c r="AH1249" s="849"/>
      <c r="AI1249" s="849"/>
      <c r="AJ1249" s="794"/>
      <c r="AK1249" s="794"/>
      <c r="AL1249" s="794"/>
      <c r="AM1249" s="794"/>
      <c r="AN1249" s="794"/>
      <c r="AO1249" s="853"/>
      <c r="AP1249" s="853"/>
      <c r="AQ1249" s="853"/>
      <c r="AR1249" s="853"/>
      <c r="AS1249" s="853"/>
      <c r="AT1249" s="794"/>
      <c r="AU1249" s="854"/>
      <c r="AV1249" s="794"/>
      <c r="AW1249" s="794"/>
      <c r="AX1249" s="794"/>
      <c r="AY1249" s="853"/>
      <c r="AZ1249" s="853"/>
    </row>
    <row r="1250" ht="15.0" customHeight="1">
      <c r="A1250" s="849"/>
      <c r="B1250" s="849"/>
      <c r="C1250" s="849"/>
      <c r="D1250" s="849"/>
      <c r="E1250" s="849"/>
      <c r="F1250" s="849"/>
      <c r="G1250" s="849"/>
      <c r="H1250" s="849"/>
      <c r="I1250" s="849"/>
      <c r="J1250" s="849"/>
      <c r="K1250" s="849"/>
      <c r="L1250" s="849"/>
      <c r="M1250" s="849"/>
      <c r="N1250" s="849"/>
      <c r="O1250" s="849"/>
      <c r="P1250" s="849"/>
      <c r="Q1250" s="849"/>
      <c r="R1250" s="849"/>
      <c r="S1250" s="849"/>
      <c r="T1250" s="849"/>
      <c r="U1250" s="849"/>
      <c r="V1250" s="849"/>
      <c r="W1250" s="849"/>
      <c r="X1250" s="849"/>
      <c r="Y1250" s="849"/>
      <c r="Z1250" s="849"/>
      <c r="AA1250" s="849"/>
      <c r="AB1250" s="849"/>
      <c r="AC1250" s="849"/>
      <c r="AD1250" s="849"/>
      <c r="AE1250" s="849"/>
      <c r="AF1250" s="849"/>
      <c r="AG1250" s="849"/>
      <c r="AH1250" s="849"/>
      <c r="AI1250" s="849"/>
      <c r="AJ1250" s="794"/>
      <c r="AK1250" s="794"/>
      <c r="AL1250" s="794"/>
      <c r="AM1250" s="794"/>
      <c r="AN1250" s="794"/>
      <c r="AO1250" s="853"/>
      <c r="AP1250" s="853"/>
      <c r="AQ1250" s="853"/>
      <c r="AR1250" s="853"/>
      <c r="AS1250" s="853"/>
      <c r="AT1250" s="794"/>
      <c r="AU1250" s="854"/>
      <c r="AV1250" s="794"/>
      <c r="AW1250" s="794"/>
      <c r="AX1250" s="794"/>
      <c r="AY1250" s="853"/>
      <c r="AZ1250" s="853"/>
    </row>
    <row r="1251" ht="15.0" customHeight="1">
      <c r="A1251" s="849"/>
      <c r="B1251" s="849"/>
      <c r="C1251" s="849"/>
      <c r="D1251" s="849"/>
      <c r="E1251" s="849"/>
      <c r="F1251" s="849"/>
      <c r="G1251" s="849"/>
      <c r="H1251" s="849"/>
      <c r="I1251" s="849"/>
      <c r="J1251" s="849"/>
      <c r="K1251" s="849"/>
      <c r="L1251" s="849"/>
      <c r="M1251" s="849"/>
      <c r="N1251" s="849"/>
      <c r="O1251" s="849"/>
      <c r="P1251" s="849"/>
      <c r="Q1251" s="849"/>
      <c r="R1251" s="849"/>
      <c r="S1251" s="849"/>
      <c r="T1251" s="849"/>
      <c r="U1251" s="849"/>
      <c r="V1251" s="849"/>
      <c r="W1251" s="849"/>
      <c r="X1251" s="849"/>
      <c r="Y1251" s="849"/>
      <c r="Z1251" s="849"/>
      <c r="AA1251" s="849"/>
      <c r="AB1251" s="849"/>
      <c r="AC1251" s="849"/>
      <c r="AD1251" s="849"/>
      <c r="AE1251" s="849"/>
      <c r="AF1251" s="849"/>
      <c r="AG1251" s="849"/>
      <c r="AH1251" s="849"/>
      <c r="AI1251" s="849"/>
      <c r="AJ1251" s="794"/>
      <c r="AK1251" s="794"/>
      <c r="AL1251" s="794"/>
      <c r="AM1251" s="794"/>
      <c r="AN1251" s="794"/>
      <c r="AO1251" s="853"/>
      <c r="AP1251" s="853"/>
      <c r="AQ1251" s="853"/>
      <c r="AR1251" s="853"/>
      <c r="AS1251" s="853"/>
      <c r="AT1251" s="794"/>
      <c r="AU1251" s="854"/>
      <c r="AV1251" s="794"/>
      <c r="AW1251" s="794"/>
      <c r="AX1251" s="794"/>
      <c r="AY1251" s="853"/>
      <c r="AZ1251" s="853"/>
    </row>
    <row r="1252" ht="15.0" customHeight="1">
      <c r="A1252" s="849"/>
      <c r="B1252" s="849"/>
      <c r="C1252" s="849"/>
      <c r="D1252" s="849"/>
      <c r="E1252" s="849"/>
      <c r="F1252" s="849"/>
      <c r="G1252" s="849"/>
      <c r="H1252" s="849"/>
      <c r="I1252" s="849"/>
      <c r="J1252" s="849"/>
      <c r="K1252" s="849"/>
      <c r="L1252" s="849"/>
      <c r="M1252" s="849"/>
      <c r="N1252" s="849"/>
      <c r="O1252" s="849"/>
      <c r="P1252" s="849"/>
      <c r="Q1252" s="849"/>
      <c r="R1252" s="849"/>
      <c r="S1252" s="849"/>
      <c r="T1252" s="849"/>
      <c r="U1252" s="849"/>
      <c r="V1252" s="849"/>
      <c r="W1252" s="849"/>
      <c r="X1252" s="849"/>
      <c r="Y1252" s="849"/>
      <c r="Z1252" s="849"/>
      <c r="AA1252" s="849"/>
      <c r="AB1252" s="849"/>
      <c r="AC1252" s="849"/>
      <c r="AD1252" s="849"/>
      <c r="AE1252" s="849"/>
      <c r="AF1252" s="849"/>
      <c r="AG1252" s="849"/>
      <c r="AH1252" s="849"/>
      <c r="AI1252" s="849"/>
      <c r="AJ1252" s="794"/>
      <c r="AK1252" s="794"/>
      <c r="AL1252" s="794"/>
      <c r="AM1252" s="794"/>
      <c r="AN1252" s="794"/>
      <c r="AO1252" s="853"/>
      <c r="AP1252" s="853"/>
      <c r="AQ1252" s="853"/>
      <c r="AR1252" s="853"/>
      <c r="AS1252" s="853"/>
      <c r="AT1252" s="794"/>
      <c r="AU1252" s="854"/>
      <c r="AV1252" s="794"/>
      <c r="AW1252" s="794"/>
      <c r="AX1252" s="794"/>
      <c r="AY1252" s="853"/>
      <c r="AZ1252" s="853"/>
    </row>
    <row r="1253" ht="15.0" customHeight="1">
      <c r="A1253" s="849"/>
      <c r="B1253" s="849"/>
      <c r="C1253" s="849"/>
      <c r="D1253" s="849"/>
      <c r="E1253" s="849"/>
      <c r="F1253" s="849"/>
      <c r="G1253" s="849"/>
      <c r="H1253" s="849"/>
      <c r="I1253" s="849"/>
      <c r="J1253" s="849"/>
      <c r="K1253" s="849"/>
      <c r="L1253" s="849"/>
      <c r="M1253" s="849"/>
      <c r="N1253" s="849"/>
      <c r="O1253" s="849"/>
      <c r="P1253" s="849"/>
      <c r="Q1253" s="849"/>
      <c r="R1253" s="849"/>
      <c r="S1253" s="849"/>
      <c r="T1253" s="849"/>
      <c r="U1253" s="849"/>
      <c r="V1253" s="849"/>
      <c r="W1253" s="849"/>
      <c r="X1253" s="849"/>
      <c r="Y1253" s="849"/>
      <c r="Z1253" s="849"/>
      <c r="AA1253" s="849"/>
      <c r="AB1253" s="849"/>
      <c r="AC1253" s="849"/>
      <c r="AD1253" s="849"/>
      <c r="AE1253" s="849"/>
      <c r="AF1253" s="849"/>
      <c r="AG1253" s="849"/>
      <c r="AH1253" s="849"/>
      <c r="AI1253" s="849"/>
      <c r="AJ1253" s="794"/>
      <c r="AK1253" s="794"/>
      <c r="AL1253" s="794"/>
      <c r="AM1253" s="794"/>
      <c r="AN1253" s="794"/>
      <c r="AO1253" s="853"/>
      <c r="AP1253" s="853"/>
      <c r="AQ1253" s="853"/>
      <c r="AR1253" s="853"/>
      <c r="AS1253" s="853"/>
      <c r="AT1253" s="794"/>
      <c r="AU1253" s="854"/>
      <c r="AV1253" s="794"/>
      <c r="AW1253" s="794"/>
      <c r="AX1253" s="794"/>
      <c r="AY1253" s="853"/>
      <c r="AZ1253" s="853"/>
    </row>
    <row r="1254" ht="15.0" customHeight="1">
      <c r="A1254" s="849"/>
      <c r="B1254" s="849"/>
      <c r="C1254" s="849"/>
      <c r="D1254" s="849"/>
      <c r="E1254" s="849"/>
      <c r="F1254" s="849"/>
      <c r="G1254" s="849"/>
      <c r="H1254" s="849"/>
      <c r="I1254" s="849"/>
      <c r="J1254" s="849"/>
      <c r="K1254" s="849"/>
      <c r="L1254" s="849"/>
      <c r="M1254" s="849"/>
      <c r="N1254" s="849"/>
      <c r="O1254" s="849"/>
      <c r="P1254" s="849"/>
      <c r="Q1254" s="849"/>
      <c r="R1254" s="849"/>
      <c r="S1254" s="849"/>
      <c r="T1254" s="849"/>
      <c r="U1254" s="849"/>
      <c r="V1254" s="849"/>
      <c r="W1254" s="849"/>
      <c r="X1254" s="849"/>
      <c r="Y1254" s="849"/>
      <c r="Z1254" s="849"/>
      <c r="AA1254" s="849"/>
      <c r="AB1254" s="849"/>
      <c r="AC1254" s="849"/>
      <c r="AD1254" s="849"/>
      <c r="AE1254" s="849"/>
      <c r="AF1254" s="849"/>
      <c r="AG1254" s="849"/>
      <c r="AH1254" s="849"/>
      <c r="AI1254" s="849"/>
      <c r="AJ1254" s="794"/>
      <c r="AK1254" s="794"/>
      <c r="AL1254" s="794"/>
      <c r="AM1254" s="794"/>
      <c r="AN1254" s="794"/>
      <c r="AO1254" s="853"/>
      <c r="AP1254" s="853"/>
      <c r="AQ1254" s="853"/>
      <c r="AR1254" s="853"/>
      <c r="AS1254" s="853"/>
      <c r="AT1254" s="794"/>
      <c r="AU1254" s="854"/>
      <c r="AV1254" s="794"/>
      <c r="AW1254" s="794"/>
      <c r="AX1254" s="794"/>
      <c r="AY1254" s="853"/>
      <c r="AZ1254" s="853"/>
    </row>
    <row r="1255" ht="15.0" customHeight="1">
      <c r="A1255" s="849"/>
      <c r="B1255" s="849"/>
      <c r="C1255" s="849"/>
      <c r="D1255" s="849"/>
      <c r="E1255" s="849"/>
      <c r="F1255" s="849"/>
      <c r="G1255" s="849"/>
      <c r="H1255" s="849"/>
      <c r="I1255" s="849"/>
      <c r="J1255" s="849"/>
      <c r="K1255" s="849"/>
      <c r="L1255" s="849"/>
      <c r="M1255" s="849"/>
      <c r="N1255" s="849"/>
      <c r="O1255" s="849"/>
      <c r="P1255" s="849"/>
      <c r="Q1255" s="849"/>
      <c r="R1255" s="849"/>
      <c r="S1255" s="849"/>
      <c r="T1255" s="849"/>
      <c r="U1255" s="849"/>
      <c r="V1255" s="849"/>
      <c r="W1255" s="849"/>
      <c r="X1255" s="849"/>
      <c r="Y1255" s="849"/>
      <c r="Z1255" s="849"/>
      <c r="AA1255" s="849"/>
      <c r="AB1255" s="849"/>
      <c r="AC1255" s="849"/>
      <c r="AD1255" s="849"/>
      <c r="AE1255" s="849"/>
      <c r="AF1255" s="849"/>
      <c r="AG1255" s="849"/>
      <c r="AH1255" s="849"/>
      <c r="AI1255" s="849"/>
      <c r="AJ1255" s="794"/>
      <c r="AK1255" s="794"/>
      <c r="AL1255" s="794"/>
      <c r="AM1255" s="794"/>
      <c r="AN1255" s="794"/>
      <c r="AO1255" s="853"/>
      <c r="AP1255" s="853"/>
      <c r="AQ1255" s="853"/>
      <c r="AR1255" s="853"/>
      <c r="AS1255" s="853"/>
      <c r="AT1255" s="794"/>
      <c r="AU1255" s="854"/>
      <c r="AV1255" s="794"/>
      <c r="AW1255" s="794"/>
      <c r="AX1255" s="794"/>
      <c r="AY1255" s="853"/>
      <c r="AZ1255" s="853"/>
    </row>
    <row r="1256" ht="15.0" customHeight="1">
      <c r="A1256" s="849"/>
      <c r="B1256" s="849"/>
      <c r="C1256" s="849"/>
      <c r="D1256" s="849"/>
      <c r="E1256" s="849"/>
      <c r="F1256" s="849"/>
      <c r="G1256" s="849"/>
      <c r="H1256" s="849"/>
      <c r="I1256" s="849"/>
      <c r="J1256" s="849"/>
      <c r="K1256" s="849"/>
      <c r="L1256" s="849"/>
      <c r="M1256" s="849"/>
      <c r="N1256" s="849"/>
      <c r="O1256" s="849"/>
      <c r="P1256" s="849"/>
      <c r="Q1256" s="849"/>
      <c r="R1256" s="849"/>
      <c r="S1256" s="849"/>
      <c r="T1256" s="849"/>
      <c r="U1256" s="849"/>
      <c r="V1256" s="849"/>
      <c r="W1256" s="849"/>
      <c r="X1256" s="849"/>
      <c r="Y1256" s="849"/>
      <c r="Z1256" s="849"/>
      <c r="AA1256" s="849"/>
      <c r="AB1256" s="849"/>
      <c r="AC1256" s="849"/>
      <c r="AD1256" s="849"/>
      <c r="AE1256" s="849"/>
      <c r="AF1256" s="849"/>
      <c r="AG1256" s="849"/>
      <c r="AH1256" s="849"/>
      <c r="AI1256" s="849"/>
      <c r="AJ1256" s="794"/>
      <c r="AK1256" s="794"/>
      <c r="AL1256" s="794"/>
      <c r="AM1256" s="794"/>
      <c r="AN1256" s="794"/>
      <c r="AO1256" s="853"/>
      <c r="AP1256" s="853"/>
      <c r="AQ1256" s="853"/>
      <c r="AR1256" s="853"/>
      <c r="AS1256" s="853"/>
      <c r="AT1256" s="794"/>
      <c r="AU1256" s="854"/>
      <c r="AV1256" s="794"/>
      <c r="AW1256" s="794"/>
      <c r="AX1256" s="794"/>
      <c r="AY1256" s="853"/>
      <c r="AZ1256" s="853"/>
    </row>
    <row r="1257" ht="15.0" customHeight="1">
      <c r="A1257" s="849"/>
      <c r="B1257" s="849"/>
      <c r="C1257" s="849"/>
      <c r="D1257" s="849"/>
      <c r="E1257" s="849"/>
      <c r="F1257" s="849"/>
      <c r="G1257" s="849"/>
      <c r="H1257" s="849"/>
      <c r="I1257" s="849"/>
      <c r="J1257" s="849"/>
      <c r="K1257" s="849"/>
      <c r="L1257" s="849"/>
      <c r="M1257" s="849"/>
      <c r="N1257" s="849"/>
      <c r="O1257" s="849"/>
      <c r="P1257" s="849"/>
      <c r="Q1257" s="849"/>
      <c r="R1257" s="849"/>
      <c r="S1257" s="849"/>
      <c r="T1257" s="849"/>
      <c r="U1257" s="849"/>
      <c r="V1257" s="849"/>
      <c r="W1257" s="849"/>
      <c r="X1257" s="849"/>
      <c r="Y1257" s="849"/>
      <c r="Z1257" s="849"/>
      <c r="AA1257" s="849"/>
      <c r="AB1257" s="849"/>
      <c r="AC1257" s="849"/>
      <c r="AD1257" s="849"/>
      <c r="AE1257" s="849"/>
      <c r="AF1257" s="849"/>
      <c r="AG1257" s="849"/>
      <c r="AH1257" s="849"/>
      <c r="AI1257" s="849"/>
      <c r="AJ1257" s="794"/>
      <c r="AK1257" s="794"/>
      <c r="AL1257" s="794"/>
      <c r="AM1257" s="794"/>
      <c r="AN1257" s="794"/>
      <c r="AO1257" s="853"/>
      <c r="AP1257" s="853"/>
      <c r="AQ1257" s="853"/>
      <c r="AR1257" s="853"/>
      <c r="AS1257" s="853"/>
      <c r="AT1257" s="794"/>
      <c r="AU1257" s="854"/>
      <c r="AV1257" s="794"/>
      <c r="AW1257" s="794"/>
      <c r="AX1257" s="794"/>
      <c r="AY1257" s="853"/>
      <c r="AZ1257" s="853"/>
    </row>
    <row r="1258" ht="15.0" customHeight="1">
      <c r="A1258" s="849"/>
      <c r="B1258" s="849"/>
      <c r="C1258" s="849"/>
      <c r="D1258" s="849"/>
      <c r="E1258" s="849"/>
      <c r="F1258" s="849"/>
      <c r="G1258" s="849"/>
      <c r="H1258" s="849"/>
      <c r="I1258" s="849"/>
      <c r="J1258" s="849"/>
      <c r="K1258" s="849"/>
      <c r="L1258" s="849"/>
      <c r="M1258" s="849"/>
      <c r="N1258" s="849"/>
      <c r="O1258" s="849"/>
      <c r="P1258" s="849"/>
      <c r="Q1258" s="849"/>
      <c r="R1258" s="849"/>
      <c r="S1258" s="849"/>
      <c r="T1258" s="849"/>
      <c r="U1258" s="849"/>
      <c r="V1258" s="849"/>
      <c r="W1258" s="849"/>
      <c r="X1258" s="849"/>
      <c r="Y1258" s="849"/>
      <c r="Z1258" s="849"/>
      <c r="AA1258" s="849"/>
      <c r="AB1258" s="849"/>
      <c r="AC1258" s="849"/>
      <c r="AD1258" s="849"/>
      <c r="AE1258" s="849"/>
      <c r="AF1258" s="849"/>
      <c r="AG1258" s="849"/>
      <c r="AH1258" s="849"/>
      <c r="AI1258" s="849"/>
      <c r="AJ1258" s="794"/>
      <c r="AK1258" s="794"/>
      <c r="AL1258" s="794"/>
      <c r="AM1258" s="794"/>
      <c r="AN1258" s="794"/>
      <c r="AO1258" s="853"/>
      <c r="AP1258" s="853"/>
      <c r="AQ1258" s="853"/>
      <c r="AR1258" s="853"/>
      <c r="AS1258" s="853"/>
      <c r="AT1258" s="794"/>
      <c r="AU1258" s="854"/>
      <c r="AV1258" s="794"/>
      <c r="AW1258" s="794"/>
      <c r="AX1258" s="794"/>
      <c r="AY1258" s="853"/>
      <c r="AZ1258" s="853"/>
    </row>
    <row r="1259" ht="15.0" customHeight="1">
      <c r="A1259" s="849"/>
      <c r="B1259" s="849"/>
      <c r="C1259" s="849"/>
      <c r="D1259" s="849"/>
      <c r="E1259" s="849"/>
      <c r="F1259" s="849"/>
      <c r="G1259" s="849"/>
      <c r="H1259" s="849"/>
      <c r="I1259" s="849"/>
      <c r="J1259" s="849"/>
      <c r="K1259" s="849"/>
      <c r="L1259" s="849"/>
      <c r="M1259" s="849"/>
      <c r="N1259" s="849"/>
      <c r="O1259" s="849"/>
      <c r="P1259" s="849"/>
      <c r="Q1259" s="849"/>
      <c r="R1259" s="849"/>
      <c r="S1259" s="849"/>
      <c r="T1259" s="849"/>
      <c r="U1259" s="849"/>
      <c r="V1259" s="849"/>
      <c r="W1259" s="849"/>
      <c r="X1259" s="849"/>
      <c r="Y1259" s="849"/>
      <c r="Z1259" s="849"/>
      <c r="AA1259" s="849"/>
      <c r="AB1259" s="849"/>
      <c r="AC1259" s="849"/>
      <c r="AD1259" s="849"/>
      <c r="AE1259" s="849"/>
      <c r="AF1259" s="849"/>
      <c r="AG1259" s="849"/>
      <c r="AH1259" s="849"/>
      <c r="AI1259" s="849"/>
      <c r="AJ1259" s="794"/>
      <c r="AK1259" s="794"/>
      <c r="AL1259" s="794"/>
      <c r="AM1259" s="794"/>
      <c r="AN1259" s="794"/>
      <c r="AO1259" s="853"/>
      <c r="AP1259" s="853"/>
      <c r="AQ1259" s="853"/>
      <c r="AR1259" s="853"/>
      <c r="AS1259" s="853"/>
      <c r="AT1259" s="794"/>
      <c r="AU1259" s="854"/>
      <c r="AV1259" s="794"/>
      <c r="AW1259" s="794"/>
      <c r="AX1259" s="794"/>
      <c r="AY1259" s="853"/>
      <c r="AZ1259" s="853"/>
    </row>
    <row r="1260" ht="15.0" customHeight="1">
      <c r="A1260" s="849"/>
      <c r="B1260" s="849"/>
      <c r="C1260" s="849"/>
      <c r="D1260" s="849"/>
      <c r="E1260" s="849"/>
      <c r="F1260" s="849"/>
      <c r="G1260" s="849"/>
      <c r="H1260" s="849"/>
      <c r="I1260" s="849"/>
      <c r="J1260" s="849"/>
      <c r="K1260" s="849"/>
      <c r="L1260" s="849"/>
      <c r="M1260" s="849"/>
      <c r="N1260" s="849"/>
      <c r="O1260" s="849"/>
      <c r="P1260" s="849"/>
      <c r="Q1260" s="849"/>
      <c r="R1260" s="849"/>
      <c r="S1260" s="849"/>
      <c r="T1260" s="849"/>
      <c r="U1260" s="849"/>
      <c r="V1260" s="849"/>
      <c r="W1260" s="849"/>
      <c r="X1260" s="849"/>
      <c r="Y1260" s="849"/>
      <c r="Z1260" s="849"/>
      <c r="AA1260" s="849"/>
      <c r="AB1260" s="849"/>
      <c r="AC1260" s="849"/>
      <c r="AD1260" s="849"/>
      <c r="AE1260" s="849"/>
      <c r="AF1260" s="849"/>
      <c r="AG1260" s="849"/>
      <c r="AH1260" s="849"/>
      <c r="AI1260" s="849"/>
      <c r="AJ1260" s="794"/>
      <c r="AK1260" s="794"/>
      <c r="AL1260" s="794"/>
      <c r="AM1260" s="794"/>
      <c r="AN1260" s="794"/>
      <c r="AO1260" s="853"/>
      <c r="AP1260" s="853"/>
      <c r="AQ1260" s="853"/>
      <c r="AR1260" s="853"/>
      <c r="AS1260" s="853"/>
      <c r="AT1260" s="794"/>
      <c r="AU1260" s="854"/>
      <c r="AV1260" s="794"/>
      <c r="AW1260" s="794"/>
      <c r="AX1260" s="794"/>
      <c r="AY1260" s="853"/>
      <c r="AZ1260" s="853"/>
    </row>
    <row r="1261" ht="15.0" customHeight="1">
      <c r="A1261" s="849"/>
      <c r="B1261" s="849"/>
      <c r="C1261" s="849"/>
      <c r="D1261" s="849"/>
      <c r="E1261" s="849"/>
      <c r="F1261" s="849"/>
      <c r="G1261" s="849"/>
      <c r="H1261" s="849"/>
      <c r="I1261" s="849"/>
      <c r="J1261" s="849"/>
      <c r="K1261" s="849"/>
      <c r="L1261" s="849"/>
      <c r="M1261" s="849"/>
      <c r="N1261" s="849"/>
      <c r="O1261" s="849"/>
      <c r="P1261" s="849"/>
      <c r="Q1261" s="849"/>
      <c r="R1261" s="849"/>
      <c r="S1261" s="849"/>
      <c r="T1261" s="849"/>
      <c r="U1261" s="849"/>
      <c r="V1261" s="849"/>
      <c r="W1261" s="849"/>
      <c r="X1261" s="849"/>
      <c r="Y1261" s="849"/>
      <c r="Z1261" s="849"/>
      <c r="AA1261" s="849"/>
      <c r="AB1261" s="849"/>
      <c r="AC1261" s="849"/>
      <c r="AD1261" s="849"/>
      <c r="AE1261" s="849"/>
      <c r="AF1261" s="849"/>
      <c r="AG1261" s="849"/>
      <c r="AH1261" s="849"/>
      <c r="AI1261" s="849"/>
      <c r="AJ1261" s="794"/>
      <c r="AK1261" s="794"/>
      <c r="AL1261" s="794"/>
      <c r="AM1261" s="794"/>
      <c r="AN1261" s="794"/>
      <c r="AO1261" s="853"/>
      <c r="AP1261" s="853"/>
      <c r="AQ1261" s="853"/>
      <c r="AR1261" s="853"/>
      <c r="AS1261" s="853"/>
      <c r="AT1261" s="794"/>
      <c r="AU1261" s="854"/>
      <c r="AV1261" s="794"/>
      <c r="AW1261" s="794"/>
      <c r="AX1261" s="794"/>
      <c r="AY1261" s="853"/>
      <c r="AZ1261" s="853"/>
    </row>
    <row r="1262" ht="15.0" customHeight="1">
      <c r="A1262" s="849"/>
      <c r="B1262" s="849"/>
      <c r="C1262" s="849"/>
      <c r="D1262" s="849"/>
      <c r="E1262" s="849"/>
      <c r="F1262" s="849"/>
      <c r="G1262" s="849"/>
      <c r="H1262" s="849"/>
      <c r="I1262" s="849"/>
      <c r="J1262" s="849"/>
      <c r="K1262" s="849"/>
      <c r="L1262" s="849"/>
      <c r="M1262" s="849"/>
      <c r="N1262" s="849"/>
      <c r="O1262" s="849"/>
      <c r="P1262" s="849"/>
      <c r="Q1262" s="849"/>
      <c r="R1262" s="849"/>
      <c r="S1262" s="849"/>
      <c r="T1262" s="849"/>
      <c r="U1262" s="849"/>
      <c r="V1262" s="849"/>
      <c r="W1262" s="849"/>
      <c r="X1262" s="849"/>
      <c r="Y1262" s="849"/>
      <c r="Z1262" s="849"/>
      <c r="AA1262" s="849"/>
      <c r="AB1262" s="849"/>
      <c r="AC1262" s="849"/>
      <c r="AD1262" s="849"/>
      <c r="AE1262" s="849"/>
      <c r="AF1262" s="849"/>
      <c r="AG1262" s="849"/>
      <c r="AH1262" s="849"/>
      <c r="AI1262" s="849"/>
      <c r="AJ1262" s="794"/>
      <c r="AK1262" s="794"/>
      <c r="AL1262" s="794"/>
      <c r="AM1262" s="794"/>
      <c r="AN1262" s="794"/>
      <c r="AO1262" s="853"/>
      <c r="AP1262" s="853"/>
      <c r="AQ1262" s="853"/>
      <c r="AR1262" s="853"/>
      <c r="AS1262" s="853"/>
      <c r="AT1262" s="794"/>
      <c r="AU1262" s="854"/>
      <c r="AV1262" s="794"/>
      <c r="AW1262" s="794"/>
      <c r="AX1262" s="794"/>
      <c r="AY1262" s="853"/>
      <c r="AZ1262" s="853"/>
    </row>
    <row r="1263" ht="15.0" customHeight="1">
      <c r="A1263" s="849"/>
      <c r="B1263" s="849"/>
      <c r="C1263" s="849"/>
      <c r="D1263" s="849"/>
      <c r="E1263" s="849"/>
      <c r="F1263" s="849"/>
      <c r="G1263" s="849"/>
      <c r="H1263" s="849"/>
      <c r="I1263" s="849"/>
      <c r="J1263" s="849"/>
      <c r="K1263" s="849"/>
      <c r="L1263" s="849"/>
      <c r="M1263" s="849"/>
      <c r="N1263" s="849"/>
      <c r="O1263" s="849"/>
      <c r="P1263" s="849"/>
      <c r="Q1263" s="849"/>
      <c r="R1263" s="849"/>
      <c r="S1263" s="849"/>
      <c r="T1263" s="849"/>
      <c r="U1263" s="849"/>
      <c r="V1263" s="849"/>
      <c r="W1263" s="849"/>
      <c r="X1263" s="849"/>
      <c r="Y1263" s="849"/>
      <c r="Z1263" s="849"/>
      <c r="AA1263" s="849"/>
      <c r="AB1263" s="849"/>
      <c r="AC1263" s="849"/>
      <c r="AD1263" s="849"/>
      <c r="AE1263" s="849"/>
      <c r="AF1263" s="849"/>
      <c r="AG1263" s="849"/>
      <c r="AH1263" s="849"/>
      <c r="AI1263" s="849"/>
      <c r="AJ1263" s="794"/>
      <c r="AK1263" s="794"/>
      <c r="AL1263" s="794"/>
      <c r="AM1263" s="794"/>
      <c r="AN1263" s="794"/>
      <c r="AO1263" s="853"/>
      <c r="AP1263" s="853"/>
      <c r="AQ1263" s="853"/>
      <c r="AR1263" s="853"/>
      <c r="AS1263" s="853"/>
      <c r="AT1263" s="794"/>
      <c r="AU1263" s="854"/>
      <c r="AV1263" s="794"/>
      <c r="AW1263" s="794"/>
      <c r="AX1263" s="794"/>
      <c r="AY1263" s="853"/>
      <c r="AZ1263" s="853"/>
    </row>
    <row r="1264" ht="15.0" customHeight="1">
      <c r="A1264" s="849"/>
      <c r="B1264" s="849"/>
      <c r="C1264" s="849"/>
      <c r="D1264" s="849"/>
      <c r="E1264" s="849"/>
      <c r="F1264" s="849"/>
      <c r="G1264" s="849"/>
      <c r="H1264" s="849"/>
      <c r="I1264" s="849"/>
      <c r="J1264" s="849"/>
      <c r="K1264" s="849"/>
      <c r="L1264" s="849"/>
      <c r="M1264" s="849"/>
      <c r="N1264" s="849"/>
      <c r="O1264" s="849"/>
      <c r="P1264" s="849"/>
      <c r="Q1264" s="849"/>
      <c r="R1264" s="849"/>
      <c r="S1264" s="849"/>
      <c r="T1264" s="849"/>
      <c r="U1264" s="849"/>
      <c r="V1264" s="849"/>
      <c r="W1264" s="849"/>
      <c r="X1264" s="849"/>
      <c r="Y1264" s="849"/>
      <c r="Z1264" s="849"/>
      <c r="AA1264" s="849"/>
      <c r="AB1264" s="849"/>
      <c r="AC1264" s="849"/>
      <c r="AD1264" s="849"/>
      <c r="AE1264" s="849"/>
      <c r="AF1264" s="849"/>
      <c r="AG1264" s="849"/>
      <c r="AH1264" s="849"/>
      <c r="AI1264" s="849"/>
      <c r="AJ1264" s="794"/>
      <c r="AK1264" s="794"/>
      <c r="AL1264" s="794"/>
      <c r="AM1264" s="794"/>
      <c r="AN1264" s="794"/>
      <c r="AO1264" s="853"/>
      <c r="AP1264" s="853"/>
      <c r="AQ1264" s="853"/>
      <c r="AR1264" s="853"/>
      <c r="AS1264" s="853"/>
      <c r="AT1264" s="794"/>
      <c r="AU1264" s="854"/>
      <c r="AV1264" s="794"/>
      <c r="AW1264" s="794"/>
      <c r="AX1264" s="794"/>
      <c r="AY1264" s="853"/>
      <c r="AZ1264" s="853"/>
    </row>
    <row r="1265" ht="15.0" customHeight="1">
      <c r="A1265" s="849"/>
      <c r="B1265" s="849"/>
      <c r="C1265" s="849"/>
      <c r="D1265" s="849"/>
      <c r="E1265" s="849"/>
      <c r="F1265" s="849"/>
      <c r="G1265" s="849"/>
      <c r="H1265" s="849"/>
      <c r="I1265" s="849"/>
      <c r="J1265" s="849"/>
      <c r="K1265" s="849"/>
      <c r="L1265" s="849"/>
      <c r="M1265" s="849"/>
      <c r="N1265" s="849"/>
      <c r="O1265" s="849"/>
      <c r="P1265" s="849"/>
      <c r="Q1265" s="849"/>
      <c r="R1265" s="849"/>
      <c r="S1265" s="849"/>
      <c r="T1265" s="849"/>
      <c r="U1265" s="849"/>
      <c r="V1265" s="849"/>
      <c r="W1265" s="849"/>
      <c r="X1265" s="849"/>
      <c r="Y1265" s="849"/>
      <c r="Z1265" s="849"/>
      <c r="AA1265" s="849"/>
      <c r="AB1265" s="849"/>
      <c r="AC1265" s="849"/>
      <c r="AD1265" s="849"/>
      <c r="AE1265" s="849"/>
      <c r="AF1265" s="849"/>
      <c r="AG1265" s="849"/>
      <c r="AH1265" s="849"/>
      <c r="AI1265" s="849"/>
      <c r="AJ1265" s="794"/>
      <c r="AK1265" s="794"/>
      <c r="AL1265" s="794"/>
      <c r="AM1265" s="794"/>
      <c r="AN1265" s="794"/>
      <c r="AO1265" s="853"/>
      <c r="AP1265" s="853"/>
      <c r="AQ1265" s="853"/>
      <c r="AR1265" s="853"/>
      <c r="AS1265" s="853"/>
      <c r="AT1265" s="794"/>
      <c r="AU1265" s="854"/>
      <c r="AV1265" s="794"/>
      <c r="AW1265" s="794"/>
      <c r="AX1265" s="794"/>
      <c r="AY1265" s="853"/>
      <c r="AZ1265" s="853"/>
    </row>
    <row r="1266" ht="15.0" customHeight="1">
      <c r="A1266" s="849"/>
      <c r="B1266" s="849"/>
      <c r="C1266" s="849"/>
      <c r="D1266" s="849"/>
      <c r="E1266" s="849"/>
      <c r="F1266" s="849"/>
      <c r="G1266" s="849"/>
      <c r="H1266" s="849"/>
      <c r="I1266" s="849"/>
      <c r="J1266" s="849"/>
      <c r="K1266" s="849"/>
      <c r="L1266" s="849"/>
      <c r="M1266" s="849"/>
      <c r="N1266" s="849"/>
      <c r="O1266" s="849"/>
      <c r="P1266" s="849"/>
      <c r="Q1266" s="849"/>
      <c r="R1266" s="849"/>
      <c r="S1266" s="849"/>
      <c r="T1266" s="849"/>
      <c r="U1266" s="849"/>
      <c r="V1266" s="849"/>
      <c r="W1266" s="849"/>
      <c r="X1266" s="849"/>
      <c r="Y1266" s="849"/>
      <c r="Z1266" s="849"/>
      <c r="AA1266" s="849"/>
      <c r="AB1266" s="849"/>
      <c r="AC1266" s="849"/>
      <c r="AD1266" s="849"/>
      <c r="AE1266" s="849"/>
      <c r="AF1266" s="849"/>
      <c r="AG1266" s="849"/>
      <c r="AH1266" s="849"/>
      <c r="AI1266" s="849"/>
      <c r="AJ1266" s="794"/>
      <c r="AK1266" s="794"/>
      <c r="AL1266" s="794"/>
      <c r="AM1266" s="794"/>
      <c r="AN1266" s="794"/>
      <c r="AO1266" s="853"/>
      <c r="AP1266" s="853"/>
      <c r="AQ1266" s="853"/>
      <c r="AR1266" s="853"/>
      <c r="AS1266" s="853"/>
      <c r="AT1266" s="794"/>
      <c r="AU1266" s="854"/>
      <c r="AV1266" s="794"/>
      <c r="AW1266" s="794"/>
      <c r="AX1266" s="794"/>
      <c r="AY1266" s="853"/>
      <c r="AZ1266" s="853"/>
    </row>
    <row r="1267" ht="15.0" customHeight="1">
      <c r="A1267" s="849"/>
      <c r="B1267" s="849"/>
      <c r="C1267" s="849"/>
      <c r="D1267" s="849"/>
      <c r="E1267" s="849"/>
      <c r="F1267" s="849"/>
      <c r="G1267" s="849"/>
      <c r="H1267" s="849"/>
      <c r="I1267" s="849"/>
      <c r="J1267" s="849"/>
      <c r="K1267" s="849"/>
      <c r="L1267" s="849"/>
      <c r="M1267" s="849"/>
      <c r="N1267" s="849"/>
      <c r="O1267" s="849"/>
      <c r="P1267" s="849"/>
      <c r="Q1267" s="849"/>
      <c r="R1267" s="849"/>
      <c r="S1267" s="849"/>
      <c r="T1267" s="849"/>
      <c r="U1267" s="849"/>
      <c r="V1267" s="849"/>
      <c r="W1267" s="849"/>
      <c r="X1267" s="849"/>
      <c r="Y1267" s="849"/>
      <c r="Z1267" s="849"/>
      <c r="AA1267" s="849"/>
      <c r="AB1267" s="849"/>
      <c r="AC1267" s="849"/>
      <c r="AD1267" s="849"/>
      <c r="AE1267" s="849"/>
      <c r="AF1267" s="849"/>
      <c r="AG1267" s="849"/>
      <c r="AH1267" s="849"/>
      <c r="AI1267" s="849"/>
      <c r="AJ1267" s="794"/>
      <c r="AK1267" s="794"/>
      <c r="AL1267" s="794"/>
      <c r="AM1267" s="794"/>
      <c r="AN1267" s="794"/>
      <c r="AO1267" s="853"/>
      <c r="AP1267" s="853"/>
      <c r="AQ1267" s="853"/>
      <c r="AR1267" s="853"/>
      <c r="AS1267" s="853"/>
      <c r="AT1267" s="794"/>
      <c r="AU1267" s="854"/>
      <c r="AV1267" s="794"/>
      <c r="AW1267" s="794"/>
      <c r="AX1267" s="794"/>
      <c r="AY1267" s="853"/>
      <c r="AZ1267" s="853"/>
    </row>
    <row r="1268" ht="15.0" customHeight="1">
      <c r="A1268" s="849"/>
      <c r="B1268" s="849"/>
      <c r="C1268" s="849"/>
      <c r="D1268" s="849"/>
      <c r="E1268" s="849"/>
      <c r="F1268" s="849"/>
      <c r="G1268" s="849"/>
      <c r="H1268" s="849"/>
      <c r="I1268" s="849"/>
      <c r="J1268" s="849"/>
      <c r="K1268" s="849"/>
      <c r="L1268" s="849"/>
      <c r="M1268" s="849"/>
      <c r="N1268" s="849"/>
      <c r="O1268" s="849"/>
      <c r="P1268" s="849"/>
      <c r="Q1268" s="849"/>
      <c r="R1268" s="849"/>
      <c r="S1268" s="849"/>
      <c r="T1268" s="849"/>
      <c r="U1268" s="849"/>
      <c r="V1268" s="849"/>
      <c r="W1268" s="849"/>
      <c r="X1268" s="849"/>
      <c r="Y1268" s="849"/>
      <c r="Z1268" s="849"/>
      <c r="AA1268" s="849"/>
      <c r="AB1268" s="849"/>
      <c r="AC1268" s="849"/>
      <c r="AD1268" s="849"/>
      <c r="AE1268" s="849"/>
      <c r="AF1268" s="849"/>
      <c r="AG1268" s="849"/>
      <c r="AH1268" s="849"/>
      <c r="AI1268" s="849"/>
      <c r="AJ1268" s="794"/>
      <c r="AK1268" s="794"/>
      <c r="AL1268" s="794"/>
      <c r="AM1268" s="794"/>
      <c r="AN1268" s="794"/>
      <c r="AO1268" s="853"/>
      <c r="AP1268" s="853"/>
      <c r="AQ1268" s="853"/>
      <c r="AR1268" s="853"/>
      <c r="AS1268" s="853"/>
      <c r="AT1268" s="794"/>
      <c r="AU1268" s="854"/>
      <c r="AV1268" s="794"/>
      <c r="AW1268" s="794"/>
      <c r="AX1268" s="794"/>
      <c r="AY1268" s="853"/>
      <c r="AZ1268" s="853"/>
    </row>
    <row r="1269" ht="15.0" customHeight="1">
      <c r="A1269" s="849"/>
      <c r="B1269" s="849"/>
      <c r="C1269" s="849"/>
      <c r="D1269" s="849"/>
      <c r="E1269" s="849"/>
      <c r="F1269" s="849"/>
      <c r="G1269" s="849"/>
      <c r="H1269" s="849"/>
      <c r="I1269" s="849"/>
      <c r="J1269" s="849"/>
      <c r="K1269" s="849"/>
      <c r="L1269" s="849"/>
      <c r="M1269" s="849"/>
      <c r="N1269" s="849"/>
      <c r="O1269" s="849"/>
      <c r="P1269" s="849"/>
      <c r="Q1269" s="849"/>
      <c r="R1269" s="849"/>
      <c r="S1269" s="849"/>
      <c r="T1269" s="849"/>
      <c r="U1269" s="849"/>
      <c r="V1269" s="849"/>
      <c r="W1269" s="849"/>
      <c r="X1269" s="849"/>
      <c r="Y1269" s="849"/>
      <c r="Z1269" s="849"/>
      <c r="AA1269" s="849"/>
      <c r="AB1269" s="849"/>
      <c r="AC1269" s="849"/>
      <c r="AD1269" s="849"/>
      <c r="AE1269" s="849"/>
      <c r="AF1269" s="849"/>
      <c r="AG1269" s="849"/>
      <c r="AH1269" s="849"/>
      <c r="AI1269" s="849"/>
      <c r="AJ1269" s="794"/>
      <c r="AK1269" s="794"/>
      <c r="AL1269" s="794"/>
      <c r="AM1269" s="794"/>
      <c r="AN1269" s="794"/>
      <c r="AO1269" s="853"/>
      <c r="AP1269" s="853"/>
      <c r="AQ1269" s="853"/>
      <c r="AR1269" s="853"/>
      <c r="AS1269" s="853"/>
      <c r="AT1269" s="794"/>
      <c r="AU1269" s="854"/>
      <c r="AV1269" s="794"/>
      <c r="AW1269" s="794"/>
      <c r="AX1269" s="794"/>
      <c r="AY1269" s="853"/>
      <c r="AZ1269" s="853"/>
    </row>
    <row r="1270" ht="15.0" customHeight="1">
      <c r="A1270" s="849"/>
      <c r="B1270" s="849"/>
      <c r="C1270" s="849"/>
      <c r="D1270" s="849"/>
      <c r="E1270" s="849"/>
      <c r="F1270" s="849"/>
      <c r="G1270" s="849"/>
      <c r="H1270" s="849"/>
      <c r="I1270" s="849"/>
      <c r="J1270" s="849"/>
      <c r="K1270" s="849"/>
      <c r="L1270" s="849"/>
      <c r="M1270" s="849"/>
      <c r="N1270" s="849"/>
      <c r="O1270" s="849"/>
      <c r="P1270" s="849"/>
      <c r="Q1270" s="849"/>
      <c r="R1270" s="849"/>
      <c r="S1270" s="849"/>
      <c r="T1270" s="849"/>
      <c r="U1270" s="849"/>
      <c r="V1270" s="849"/>
      <c r="W1270" s="849"/>
      <c r="X1270" s="849"/>
      <c r="Y1270" s="849"/>
      <c r="Z1270" s="849"/>
      <c r="AA1270" s="849"/>
      <c r="AB1270" s="849"/>
      <c r="AC1270" s="849"/>
      <c r="AD1270" s="849"/>
      <c r="AE1270" s="849"/>
      <c r="AF1270" s="849"/>
      <c r="AG1270" s="849"/>
      <c r="AH1270" s="849"/>
      <c r="AI1270" s="849"/>
      <c r="AJ1270" s="794"/>
      <c r="AK1270" s="794"/>
      <c r="AL1270" s="794"/>
      <c r="AM1270" s="794"/>
      <c r="AN1270" s="794"/>
      <c r="AO1270" s="853"/>
      <c r="AP1270" s="853"/>
      <c r="AQ1270" s="853"/>
      <c r="AR1270" s="853"/>
      <c r="AS1270" s="853"/>
      <c r="AT1270" s="794"/>
      <c r="AU1270" s="854"/>
      <c r="AV1270" s="794"/>
      <c r="AW1270" s="794"/>
      <c r="AX1270" s="794"/>
      <c r="AY1270" s="853"/>
      <c r="AZ1270" s="853"/>
    </row>
    <row r="1271" ht="15.0" customHeight="1">
      <c r="A1271" s="849"/>
      <c r="B1271" s="849"/>
      <c r="C1271" s="849"/>
      <c r="D1271" s="849"/>
      <c r="E1271" s="849"/>
      <c r="F1271" s="849"/>
      <c r="G1271" s="849"/>
      <c r="H1271" s="849"/>
      <c r="I1271" s="849"/>
      <c r="J1271" s="849"/>
      <c r="K1271" s="849"/>
      <c r="L1271" s="849"/>
      <c r="M1271" s="849"/>
      <c r="N1271" s="849"/>
      <c r="O1271" s="849"/>
      <c r="P1271" s="849"/>
      <c r="Q1271" s="849"/>
      <c r="R1271" s="849"/>
      <c r="S1271" s="849"/>
      <c r="T1271" s="849"/>
      <c r="U1271" s="849"/>
      <c r="V1271" s="849"/>
      <c r="W1271" s="849"/>
      <c r="X1271" s="849"/>
      <c r="Y1271" s="849"/>
      <c r="Z1271" s="849"/>
      <c r="AA1271" s="849"/>
      <c r="AB1271" s="849"/>
      <c r="AC1271" s="849"/>
      <c r="AD1271" s="849"/>
      <c r="AE1271" s="849"/>
      <c r="AF1271" s="849"/>
      <c r="AG1271" s="849"/>
      <c r="AH1271" s="849"/>
      <c r="AI1271" s="849"/>
      <c r="AJ1271" s="794"/>
      <c r="AK1271" s="794"/>
      <c r="AL1271" s="794"/>
      <c r="AM1271" s="794"/>
      <c r="AN1271" s="794"/>
      <c r="AO1271" s="853"/>
      <c r="AP1271" s="853"/>
      <c r="AQ1271" s="853"/>
      <c r="AR1271" s="853"/>
      <c r="AS1271" s="853"/>
      <c r="AT1271" s="794"/>
      <c r="AU1271" s="854"/>
      <c r="AV1271" s="794"/>
      <c r="AW1271" s="794"/>
      <c r="AX1271" s="794"/>
      <c r="AY1271" s="853"/>
      <c r="AZ1271" s="853"/>
    </row>
    <row r="1272" ht="15.0" customHeight="1">
      <c r="A1272" s="849"/>
      <c r="B1272" s="849"/>
      <c r="C1272" s="849"/>
      <c r="D1272" s="849"/>
      <c r="E1272" s="849"/>
      <c r="F1272" s="849"/>
      <c r="G1272" s="849"/>
      <c r="H1272" s="849"/>
      <c r="I1272" s="849"/>
      <c r="J1272" s="849"/>
      <c r="K1272" s="849"/>
      <c r="L1272" s="849"/>
      <c r="M1272" s="849"/>
      <c r="N1272" s="849"/>
      <c r="O1272" s="849"/>
      <c r="P1272" s="849"/>
      <c r="Q1272" s="849"/>
      <c r="R1272" s="849"/>
      <c r="S1272" s="849"/>
      <c r="T1272" s="849"/>
      <c r="U1272" s="849"/>
      <c r="V1272" s="849"/>
      <c r="W1272" s="849"/>
      <c r="X1272" s="849"/>
      <c r="Y1272" s="849"/>
      <c r="Z1272" s="849"/>
      <c r="AA1272" s="849"/>
      <c r="AB1272" s="849"/>
      <c r="AC1272" s="849"/>
      <c r="AD1272" s="849"/>
      <c r="AE1272" s="849"/>
      <c r="AF1272" s="849"/>
      <c r="AG1272" s="849"/>
      <c r="AH1272" s="849"/>
      <c r="AI1272" s="849"/>
      <c r="AJ1272" s="794"/>
      <c r="AK1272" s="794"/>
      <c r="AL1272" s="794"/>
      <c r="AM1272" s="794"/>
      <c r="AN1272" s="794"/>
      <c r="AO1272" s="853"/>
      <c r="AP1272" s="853"/>
      <c r="AQ1272" s="853"/>
      <c r="AR1272" s="853"/>
      <c r="AS1272" s="853"/>
      <c r="AT1272" s="794"/>
      <c r="AU1272" s="854"/>
      <c r="AV1272" s="794"/>
      <c r="AW1272" s="794"/>
      <c r="AX1272" s="794"/>
      <c r="AY1272" s="853"/>
      <c r="AZ1272" s="853"/>
    </row>
    <row r="1273" ht="15.0" customHeight="1">
      <c r="A1273" s="849"/>
      <c r="B1273" s="849"/>
      <c r="C1273" s="849"/>
      <c r="D1273" s="849"/>
      <c r="E1273" s="849"/>
      <c r="F1273" s="849"/>
      <c r="G1273" s="849"/>
      <c r="H1273" s="849"/>
      <c r="I1273" s="849"/>
      <c r="J1273" s="849"/>
      <c r="K1273" s="849"/>
      <c r="L1273" s="849"/>
      <c r="M1273" s="849"/>
      <c r="N1273" s="849"/>
      <c r="O1273" s="849"/>
      <c r="P1273" s="849"/>
      <c r="Q1273" s="849"/>
      <c r="R1273" s="849"/>
      <c r="S1273" s="849"/>
      <c r="T1273" s="849"/>
      <c r="U1273" s="849"/>
      <c r="V1273" s="849"/>
      <c r="W1273" s="849"/>
      <c r="X1273" s="849"/>
      <c r="Y1273" s="849"/>
      <c r="Z1273" s="849"/>
      <c r="AA1273" s="849"/>
      <c r="AB1273" s="849"/>
      <c r="AC1273" s="849"/>
      <c r="AD1273" s="849"/>
      <c r="AE1273" s="849"/>
      <c r="AF1273" s="849"/>
      <c r="AG1273" s="849"/>
      <c r="AH1273" s="849"/>
      <c r="AI1273" s="849"/>
      <c r="AJ1273" s="794"/>
      <c r="AK1273" s="794"/>
      <c r="AL1273" s="794"/>
      <c r="AM1273" s="794"/>
      <c r="AN1273" s="794"/>
      <c r="AO1273" s="853"/>
      <c r="AP1273" s="853"/>
      <c r="AQ1273" s="853"/>
      <c r="AR1273" s="853"/>
      <c r="AS1273" s="853"/>
      <c r="AT1273" s="794"/>
      <c r="AU1273" s="854"/>
      <c r="AV1273" s="794"/>
      <c r="AW1273" s="794"/>
      <c r="AX1273" s="794"/>
      <c r="AY1273" s="853"/>
      <c r="AZ1273" s="853"/>
    </row>
    <row r="1274" ht="15.0" customHeight="1">
      <c r="A1274" s="849"/>
      <c r="B1274" s="849"/>
      <c r="C1274" s="849"/>
      <c r="D1274" s="849"/>
      <c r="E1274" s="849"/>
      <c r="F1274" s="849"/>
      <c r="G1274" s="849"/>
      <c r="H1274" s="849"/>
      <c r="I1274" s="849"/>
      <c r="J1274" s="849"/>
      <c r="K1274" s="849"/>
      <c r="L1274" s="849"/>
      <c r="M1274" s="849"/>
      <c r="N1274" s="849"/>
      <c r="O1274" s="849"/>
      <c r="P1274" s="849"/>
      <c r="Q1274" s="849"/>
      <c r="R1274" s="849"/>
      <c r="S1274" s="849"/>
      <c r="T1274" s="849"/>
      <c r="U1274" s="849"/>
      <c r="V1274" s="849"/>
      <c r="W1274" s="849"/>
      <c r="X1274" s="849"/>
      <c r="Y1274" s="849"/>
      <c r="Z1274" s="849"/>
      <c r="AA1274" s="849"/>
      <c r="AB1274" s="849"/>
      <c r="AC1274" s="849"/>
      <c r="AD1274" s="849"/>
      <c r="AE1274" s="849"/>
      <c r="AF1274" s="849"/>
      <c r="AG1274" s="849"/>
      <c r="AH1274" s="849"/>
      <c r="AI1274" s="849"/>
      <c r="AJ1274" s="794"/>
      <c r="AK1274" s="794"/>
      <c r="AL1274" s="794"/>
      <c r="AM1274" s="794"/>
      <c r="AN1274" s="794"/>
      <c r="AO1274" s="853"/>
      <c r="AP1274" s="853"/>
      <c r="AQ1274" s="853"/>
      <c r="AR1274" s="853"/>
      <c r="AS1274" s="853"/>
      <c r="AT1274" s="794"/>
      <c r="AU1274" s="854"/>
      <c r="AV1274" s="794"/>
      <c r="AW1274" s="794"/>
      <c r="AX1274" s="794"/>
      <c r="AY1274" s="853"/>
      <c r="AZ1274" s="853"/>
    </row>
    <row r="1275" ht="15.0" customHeight="1">
      <c r="A1275" s="849"/>
      <c r="B1275" s="849"/>
      <c r="C1275" s="849"/>
      <c r="D1275" s="849"/>
      <c r="E1275" s="849"/>
      <c r="F1275" s="849"/>
      <c r="G1275" s="849"/>
      <c r="H1275" s="849"/>
      <c r="I1275" s="849"/>
      <c r="J1275" s="849"/>
      <c r="K1275" s="849"/>
      <c r="L1275" s="849"/>
      <c r="M1275" s="849"/>
      <c r="N1275" s="849"/>
      <c r="O1275" s="849"/>
      <c r="P1275" s="849"/>
      <c r="Q1275" s="849"/>
      <c r="R1275" s="849"/>
      <c r="S1275" s="849"/>
      <c r="T1275" s="849"/>
      <c r="U1275" s="849"/>
      <c r="V1275" s="849"/>
      <c r="W1275" s="849"/>
      <c r="X1275" s="849"/>
      <c r="Y1275" s="849"/>
      <c r="Z1275" s="849"/>
      <c r="AA1275" s="849"/>
      <c r="AB1275" s="849"/>
      <c r="AC1275" s="849"/>
      <c r="AD1275" s="849"/>
      <c r="AE1275" s="849"/>
      <c r="AF1275" s="849"/>
      <c r="AG1275" s="849"/>
      <c r="AH1275" s="849"/>
      <c r="AI1275" s="849"/>
      <c r="AJ1275" s="794"/>
      <c r="AK1275" s="794"/>
      <c r="AL1275" s="794"/>
      <c r="AM1275" s="794"/>
      <c r="AN1275" s="794"/>
      <c r="AO1275" s="853"/>
      <c r="AP1275" s="853"/>
      <c r="AQ1275" s="853"/>
      <c r="AR1275" s="853"/>
      <c r="AS1275" s="853"/>
      <c r="AT1275" s="794"/>
      <c r="AU1275" s="854"/>
      <c r="AV1275" s="794"/>
      <c r="AW1275" s="794"/>
      <c r="AX1275" s="794"/>
      <c r="AY1275" s="853"/>
      <c r="AZ1275" s="853"/>
    </row>
    <row r="1276" ht="15.0" customHeight="1">
      <c r="A1276" s="849"/>
      <c r="B1276" s="849"/>
      <c r="C1276" s="849"/>
      <c r="D1276" s="849"/>
      <c r="E1276" s="849"/>
      <c r="F1276" s="849"/>
      <c r="G1276" s="849"/>
      <c r="H1276" s="849"/>
      <c r="I1276" s="849"/>
      <c r="J1276" s="849"/>
      <c r="K1276" s="849"/>
      <c r="L1276" s="849"/>
      <c r="M1276" s="849"/>
      <c r="N1276" s="849"/>
      <c r="O1276" s="849"/>
      <c r="P1276" s="849"/>
      <c r="Q1276" s="849"/>
      <c r="R1276" s="849"/>
      <c r="S1276" s="849"/>
      <c r="T1276" s="849"/>
      <c r="U1276" s="849"/>
      <c r="V1276" s="849"/>
      <c r="W1276" s="849"/>
      <c r="X1276" s="849"/>
      <c r="Y1276" s="849"/>
      <c r="Z1276" s="849"/>
      <c r="AA1276" s="849"/>
      <c r="AB1276" s="849"/>
      <c r="AC1276" s="849"/>
      <c r="AD1276" s="849"/>
      <c r="AE1276" s="849"/>
      <c r="AF1276" s="849"/>
      <c r="AG1276" s="849"/>
      <c r="AH1276" s="849"/>
      <c r="AI1276" s="849"/>
      <c r="AJ1276" s="794"/>
      <c r="AK1276" s="794"/>
      <c r="AL1276" s="794"/>
      <c r="AM1276" s="794"/>
      <c r="AN1276" s="794"/>
      <c r="AO1276" s="853"/>
      <c r="AP1276" s="853"/>
      <c r="AQ1276" s="853"/>
      <c r="AR1276" s="853"/>
      <c r="AS1276" s="853"/>
      <c r="AT1276" s="794"/>
      <c r="AU1276" s="854"/>
      <c r="AV1276" s="794"/>
      <c r="AW1276" s="794"/>
      <c r="AX1276" s="794"/>
      <c r="AY1276" s="853"/>
      <c r="AZ1276" s="853"/>
    </row>
    <row r="1277" ht="15.0" customHeight="1">
      <c r="A1277" s="849"/>
      <c r="B1277" s="849"/>
      <c r="C1277" s="849"/>
      <c r="D1277" s="849"/>
      <c r="E1277" s="849"/>
      <c r="F1277" s="849"/>
      <c r="G1277" s="849"/>
      <c r="H1277" s="849"/>
      <c r="I1277" s="849"/>
      <c r="J1277" s="849"/>
      <c r="K1277" s="849"/>
      <c r="L1277" s="849"/>
      <c r="M1277" s="849"/>
      <c r="N1277" s="849"/>
      <c r="O1277" s="849"/>
      <c r="P1277" s="849"/>
      <c r="Q1277" s="849"/>
      <c r="R1277" s="849"/>
      <c r="S1277" s="849"/>
      <c r="T1277" s="849"/>
      <c r="U1277" s="849"/>
      <c r="V1277" s="849"/>
      <c r="W1277" s="849"/>
      <c r="X1277" s="849"/>
      <c r="Y1277" s="849"/>
      <c r="Z1277" s="849"/>
      <c r="AA1277" s="849"/>
      <c r="AB1277" s="849"/>
      <c r="AC1277" s="849"/>
      <c r="AD1277" s="849"/>
      <c r="AE1277" s="849"/>
      <c r="AF1277" s="849"/>
      <c r="AG1277" s="849"/>
      <c r="AH1277" s="849"/>
      <c r="AI1277" s="849"/>
      <c r="AJ1277" s="794"/>
      <c r="AK1277" s="794"/>
      <c r="AL1277" s="794"/>
      <c r="AM1277" s="794"/>
      <c r="AN1277" s="794"/>
      <c r="AO1277" s="853"/>
      <c r="AP1277" s="853"/>
      <c r="AQ1277" s="853"/>
      <c r="AR1277" s="853"/>
      <c r="AS1277" s="853"/>
      <c r="AT1277" s="794"/>
      <c r="AU1277" s="854"/>
      <c r="AV1277" s="794"/>
      <c r="AW1277" s="794"/>
      <c r="AX1277" s="794"/>
      <c r="AY1277" s="853"/>
      <c r="AZ1277" s="853"/>
    </row>
    <row r="1278" ht="15.0" customHeight="1">
      <c r="A1278" s="849"/>
      <c r="B1278" s="849"/>
      <c r="C1278" s="849"/>
      <c r="D1278" s="849"/>
      <c r="E1278" s="849"/>
      <c r="F1278" s="849"/>
      <c r="G1278" s="849"/>
      <c r="H1278" s="849"/>
      <c r="I1278" s="849"/>
      <c r="J1278" s="849"/>
      <c r="K1278" s="849"/>
      <c r="L1278" s="849"/>
      <c r="M1278" s="849"/>
      <c r="N1278" s="849"/>
      <c r="O1278" s="849"/>
      <c r="P1278" s="849"/>
      <c r="Q1278" s="849"/>
      <c r="R1278" s="849"/>
      <c r="S1278" s="849"/>
      <c r="T1278" s="849"/>
      <c r="U1278" s="849"/>
      <c r="V1278" s="849"/>
      <c r="W1278" s="849"/>
      <c r="X1278" s="849"/>
      <c r="Y1278" s="849"/>
      <c r="Z1278" s="849"/>
      <c r="AA1278" s="849"/>
      <c r="AB1278" s="849"/>
      <c r="AC1278" s="849"/>
      <c r="AD1278" s="849"/>
      <c r="AE1278" s="849"/>
      <c r="AF1278" s="849"/>
      <c r="AG1278" s="849"/>
      <c r="AH1278" s="849"/>
      <c r="AI1278" s="849"/>
      <c r="AJ1278" s="794"/>
      <c r="AK1278" s="794"/>
      <c r="AL1278" s="794"/>
      <c r="AM1278" s="794"/>
      <c r="AN1278" s="794"/>
      <c r="AO1278" s="853"/>
      <c r="AP1278" s="853"/>
      <c r="AQ1278" s="853"/>
      <c r="AR1278" s="853"/>
      <c r="AS1278" s="853"/>
      <c r="AT1278" s="794"/>
      <c r="AU1278" s="854"/>
      <c r="AV1278" s="794"/>
      <c r="AW1278" s="794"/>
      <c r="AX1278" s="794"/>
      <c r="AY1278" s="853"/>
      <c r="AZ1278" s="853"/>
    </row>
    <row r="1279" ht="15.0" customHeight="1">
      <c r="A1279" s="849"/>
      <c r="B1279" s="849"/>
      <c r="C1279" s="849"/>
      <c r="D1279" s="849"/>
      <c r="E1279" s="849"/>
      <c r="F1279" s="849"/>
      <c r="G1279" s="849"/>
      <c r="H1279" s="849"/>
      <c r="I1279" s="849"/>
      <c r="J1279" s="849"/>
      <c r="K1279" s="849"/>
      <c r="L1279" s="849"/>
      <c r="M1279" s="849"/>
      <c r="N1279" s="849"/>
      <c r="O1279" s="849"/>
      <c r="P1279" s="849"/>
      <c r="Q1279" s="849"/>
      <c r="R1279" s="849"/>
      <c r="S1279" s="849"/>
      <c r="T1279" s="849"/>
      <c r="U1279" s="849"/>
      <c r="V1279" s="849"/>
      <c r="W1279" s="849"/>
      <c r="X1279" s="849"/>
      <c r="Y1279" s="849"/>
      <c r="Z1279" s="849"/>
      <c r="AA1279" s="849"/>
      <c r="AB1279" s="849"/>
      <c r="AC1279" s="849"/>
      <c r="AD1279" s="849"/>
      <c r="AE1279" s="849"/>
      <c r="AF1279" s="849"/>
      <c r="AG1279" s="849"/>
      <c r="AH1279" s="849"/>
      <c r="AI1279" s="849"/>
      <c r="AJ1279" s="794"/>
      <c r="AK1279" s="794"/>
      <c r="AL1279" s="794"/>
      <c r="AM1279" s="794"/>
      <c r="AN1279" s="794"/>
      <c r="AO1279" s="853"/>
      <c r="AP1279" s="853"/>
      <c r="AQ1279" s="853"/>
      <c r="AR1279" s="853"/>
      <c r="AS1279" s="853"/>
      <c r="AT1279" s="794"/>
      <c r="AU1279" s="854"/>
      <c r="AV1279" s="794"/>
      <c r="AW1279" s="794"/>
      <c r="AX1279" s="794"/>
      <c r="AY1279" s="853"/>
      <c r="AZ1279" s="853"/>
    </row>
    <row r="1280" ht="15.0" customHeight="1">
      <c r="A1280" s="849"/>
      <c r="B1280" s="849"/>
      <c r="C1280" s="849"/>
      <c r="D1280" s="849"/>
      <c r="E1280" s="849"/>
      <c r="F1280" s="849"/>
      <c r="G1280" s="849"/>
      <c r="H1280" s="849"/>
      <c r="I1280" s="849"/>
      <c r="J1280" s="849"/>
      <c r="K1280" s="849"/>
      <c r="L1280" s="849"/>
      <c r="M1280" s="849"/>
      <c r="N1280" s="849"/>
      <c r="O1280" s="849"/>
      <c r="P1280" s="849"/>
      <c r="Q1280" s="849"/>
      <c r="R1280" s="849"/>
      <c r="S1280" s="849"/>
      <c r="T1280" s="849"/>
      <c r="U1280" s="849"/>
      <c r="V1280" s="849"/>
      <c r="W1280" s="849"/>
      <c r="X1280" s="849"/>
      <c r="Y1280" s="849"/>
      <c r="Z1280" s="849"/>
      <c r="AA1280" s="849"/>
      <c r="AB1280" s="849"/>
      <c r="AC1280" s="849"/>
      <c r="AD1280" s="849"/>
      <c r="AE1280" s="849"/>
      <c r="AF1280" s="849"/>
      <c r="AG1280" s="849"/>
      <c r="AH1280" s="849"/>
      <c r="AI1280" s="849"/>
      <c r="AJ1280" s="794"/>
      <c r="AK1280" s="794"/>
      <c r="AL1280" s="794"/>
      <c r="AM1280" s="794"/>
      <c r="AN1280" s="794"/>
      <c r="AO1280" s="853"/>
      <c r="AP1280" s="853"/>
      <c r="AQ1280" s="853"/>
      <c r="AR1280" s="853"/>
      <c r="AS1280" s="853"/>
      <c r="AT1280" s="794"/>
      <c r="AU1280" s="854"/>
      <c r="AV1280" s="794"/>
      <c r="AW1280" s="794"/>
      <c r="AX1280" s="794"/>
      <c r="AY1280" s="853"/>
      <c r="AZ1280" s="853"/>
    </row>
    <row r="1281" ht="15.0" customHeight="1">
      <c r="A1281" s="849"/>
      <c r="B1281" s="849"/>
      <c r="C1281" s="849"/>
      <c r="D1281" s="849"/>
      <c r="E1281" s="849"/>
      <c r="F1281" s="849"/>
      <c r="G1281" s="849"/>
      <c r="H1281" s="849"/>
      <c r="I1281" s="849"/>
      <c r="J1281" s="849"/>
      <c r="K1281" s="849"/>
      <c r="L1281" s="849"/>
      <c r="M1281" s="849"/>
      <c r="N1281" s="849"/>
      <c r="O1281" s="849"/>
      <c r="P1281" s="849"/>
      <c r="Q1281" s="849"/>
      <c r="R1281" s="849"/>
      <c r="S1281" s="849"/>
      <c r="T1281" s="849"/>
      <c r="U1281" s="849"/>
      <c r="V1281" s="849"/>
      <c r="W1281" s="849"/>
      <c r="X1281" s="849"/>
      <c r="Y1281" s="849"/>
      <c r="Z1281" s="849"/>
      <c r="AA1281" s="849"/>
      <c r="AB1281" s="849"/>
      <c r="AC1281" s="849"/>
      <c r="AD1281" s="849"/>
      <c r="AE1281" s="849"/>
      <c r="AF1281" s="849"/>
      <c r="AG1281" s="849"/>
      <c r="AH1281" s="849"/>
      <c r="AI1281" s="849"/>
      <c r="AJ1281" s="794"/>
      <c r="AK1281" s="794"/>
      <c r="AL1281" s="794"/>
      <c r="AM1281" s="794"/>
      <c r="AN1281" s="794"/>
      <c r="AO1281" s="853"/>
      <c r="AP1281" s="853"/>
      <c r="AQ1281" s="853"/>
      <c r="AR1281" s="853"/>
      <c r="AS1281" s="853"/>
      <c r="AT1281" s="794"/>
      <c r="AU1281" s="854"/>
      <c r="AV1281" s="794"/>
      <c r="AW1281" s="794"/>
      <c r="AX1281" s="794"/>
      <c r="AY1281" s="853"/>
      <c r="AZ1281" s="853"/>
    </row>
    <row r="1282" ht="15.0" customHeight="1">
      <c r="A1282" s="849"/>
      <c r="B1282" s="849"/>
      <c r="C1282" s="849"/>
      <c r="D1282" s="849"/>
      <c r="E1282" s="849"/>
      <c r="F1282" s="849"/>
      <c r="G1282" s="849"/>
      <c r="H1282" s="849"/>
      <c r="I1282" s="849"/>
      <c r="J1282" s="849"/>
      <c r="K1282" s="849"/>
      <c r="L1282" s="849"/>
      <c r="M1282" s="849"/>
      <c r="N1282" s="849"/>
      <c r="O1282" s="849"/>
      <c r="P1282" s="849"/>
      <c r="Q1282" s="849"/>
      <c r="R1282" s="849"/>
      <c r="S1282" s="849"/>
      <c r="T1282" s="849"/>
      <c r="U1282" s="849"/>
      <c r="V1282" s="849"/>
      <c r="W1282" s="849"/>
      <c r="X1282" s="849"/>
      <c r="Y1282" s="849"/>
      <c r="Z1282" s="849"/>
      <c r="AA1282" s="849"/>
      <c r="AB1282" s="849"/>
      <c r="AC1282" s="849"/>
      <c r="AD1282" s="849"/>
      <c r="AE1282" s="849"/>
      <c r="AF1282" s="849"/>
      <c r="AG1282" s="849"/>
      <c r="AH1282" s="849"/>
      <c r="AI1282" s="849"/>
      <c r="AJ1282" s="794"/>
      <c r="AK1282" s="794"/>
      <c r="AL1282" s="794"/>
      <c r="AM1282" s="794"/>
      <c r="AN1282" s="794"/>
      <c r="AO1282" s="853"/>
      <c r="AP1282" s="853"/>
      <c r="AQ1282" s="853"/>
      <c r="AR1282" s="853"/>
      <c r="AS1282" s="853"/>
      <c r="AT1282" s="794"/>
      <c r="AU1282" s="854"/>
      <c r="AV1282" s="794"/>
      <c r="AW1282" s="794"/>
      <c r="AX1282" s="794"/>
      <c r="AY1282" s="853"/>
      <c r="AZ1282" s="853"/>
    </row>
    <row r="1283" ht="15.0" customHeight="1">
      <c r="A1283" s="849"/>
      <c r="B1283" s="849"/>
      <c r="C1283" s="849"/>
      <c r="D1283" s="849"/>
      <c r="E1283" s="849"/>
      <c r="F1283" s="849"/>
      <c r="G1283" s="849"/>
      <c r="H1283" s="849"/>
      <c r="I1283" s="849"/>
      <c r="J1283" s="849"/>
      <c r="K1283" s="849"/>
      <c r="L1283" s="849"/>
      <c r="M1283" s="849"/>
      <c r="N1283" s="849"/>
      <c r="O1283" s="849"/>
      <c r="P1283" s="849"/>
      <c r="Q1283" s="849"/>
      <c r="R1283" s="849"/>
      <c r="S1283" s="849"/>
      <c r="T1283" s="849"/>
      <c r="U1283" s="849"/>
      <c r="V1283" s="849"/>
      <c r="W1283" s="849"/>
      <c r="X1283" s="849"/>
      <c r="Y1283" s="849"/>
      <c r="Z1283" s="849"/>
      <c r="AA1283" s="849"/>
      <c r="AB1283" s="849"/>
      <c r="AC1283" s="849"/>
      <c r="AD1283" s="849"/>
      <c r="AE1283" s="849"/>
      <c r="AF1283" s="849"/>
      <c r="AG1283" s="849"/>
      <c r="AH1283" s="849"/>
      <c r="AI1283" s="849"/>
      <c r="AJ1283" s="794"/>
      <c r="AK1283" s="794"/>
      <c r="AL1283" s="794"/>
      <c r="AM1283" s="794"/>
      <c r="AN1283" s="794"/>
      <c r="AO1283" s="853"/>
      <c r="AP1283" s="853"/>
      <c r="AQ1283" s="853"/>
      <c r="AR1283" s="853"/>
      <c r="AS1283" s="853"/>
      <c r="AT1283" s="794"/>
      <c r="AU1283" s="854"/>
      <c r="AV1283" s="794"/>
      <c r="AW1283" s="794"/>
      <c r="AX1283" s="794"/>
      <c r="AY1283" s="853"/>
      <c r="AZ1283" s="853"/>
    </row>
    <row r="1284" ht="15.0" customHeight="1">
      <c r="A1284" s="849"/>
      <c r="B1284" s="849"/>
      <c r="C1284" s="849"/>
      <c r="D1284" s="849"/>
      <c r="E1284" s="849"/>
      <c r="F1284" s="849"/>
      <c r="G1284" s="849"/>
      <c r="H1284" s="849"/>
      <c r="I1284" s="849"/>
      <c r="J1284" s="849"/>
      <c r="K1284" s="849"/>
      <c r="L1284" s="849"/>
      <c r="M1284" s="849"/>
      <c r="N1284" s="849"/>
      <c r="O1284" s="849"/>
      <c r="P1284" s="849"/>
      <c r="Q1284" s="849"/>
      <c r="R1284" s="849"/>
      <c r="S1284" s="849"/>
      <c r="T1284" s="849"/>
      <c r="U1284" s="849"/>
      <c r="V1284" s="849"/>
      <c r="W1284" s="849"/>
      <c r="X1284" s="849"/>
      <c r="Y1284" s="849"/>
      <c r="Z1284" s="849"/>
      <c r="AA1284" s="849"/>
      <c r="AB1284" s="849"/>
      <c r="AC1284" s="849"/>
      <c r="AD1284" s="849"/>
      <c r="AE1284" s="849"/>
      <c r="AF1284" s="849"/>
      <c r="AG1284" s="849"/>
      <c r="AH1284" s="849"/>
      <c r="AI1284" s="849"/>
      <c r="AJ1284" s="794"/>
      <c r="AK1284" s="794"/>
      <c r="AL1284" s="794"/>
      <c r="AM1284" s="794"/>
      <c r="AN1284" s="794"/>
      <c r="AO1284" s="853"/>
      <c r="AP1284" s="853"/>
      <c r="AQ1284" s="853"/>
      <c r="AR1284" s="853"/>
      <c r="AS1284" s="853"/>
      <c r="AT1284" s="794"/>
      <c r="AU1284" s="854"/>
      <c r="AV1284" s="794"/>
      <c r="AW1284" s="794"/>
      <c r="AX1284" s="794"/>
      <c r="AY1284" s="853"/>
      <c r="AZ1284" s="853"/>
    </row>
    <row r="1285" ht="15.0" customHeight="1">
      <c r="A1285" s="849"/>
      <c r="B1285" s="849"/>
      <c r="C1285" s="849"/>
      <c r="D1285" s="849"/>
      <c r="E1285" s="849"/>
      <c r="F1285" s="849"/>
      <c r="G1285" s="849"/>
      <c r="H1285" s="849"/>
      <c r="I1285" s="849"/>
      <c r="J1285" s="849"/>
      <c r="K1285" s="849"/>
      <c r="L1285" s="849"/>
      <c r="M1285" s="849"/>
      <c r="N1285" s="849"/>
      <c r="O1285" s="849"/>
      <c r="P1285" s="849"/>
      <c r="Q1285" s="849"/>
      <c r="R1285" s="849"/>
      <c r="S1285" s="849"/>
      <c r="T1285" s="849"/>
      <c r="U1285" s="849"/>
      <c r="V1285" s="849"/>
      <c r="W1285" s="849"/>
      <c r="X1285" s="849"/>
      <c r="Y1285" s="849"/>
      <c r="Z1285" s="849"/>
      <c r="AA1285" s="849"/>
      <c r="AB1285" s="849"/>
      <c r="AC1285" s="849"/>
      <c r="AD1285" s="849"/>
      <c r="AE1285" s="849"/>
      <c r="AF1285" s="849"/>
      <c r="AG1285" s="849"/>
      <c r="AH1285" s="849"/>
      <c r="AI1285" s="849"/>
      <c r="AJ1285" s="794"/>
      <c r="AK1285" s="794"/>
      <c r="AL1285" s="794"/>
      <c r="AM1285" s="794"/>
      <c r="AN1285" s="794"/>
      <c r="AO1285" s="853"/>
      <c r="AP1285" s="853"/>
      <c r="AQ1285" s="853"/>
      <c r="AR1285" s="853"/>
      <c r="AS1285" s="853"/>
      <c r="AT1285" s="794"/>
      <c r="AU1285" s="854"/>
      <c r="AV1285" s="794"/>
      <c r="AW1285" s="794"/>
      <c r="AX1285" s="794"/>
      <c r="AY1285" s="853"/>
      <c r="AZ1285" s="853"/>
    </row>
    <row r="1286" ht="15.0" customHeight="1">
      <c r="A1286" s="849"/>
      <c r="B1286" s="849"/>
      <c r="C1286" s="849"/>
      <c r="D1286" s="849"/>
      <c r="E1286" s="849"/>
      <c r="F1286" s="849"/>
      <c r="G1286" s="849"/>
      <c r="H1286" s="849"/>
      <c r="I1286" s="849"/>
      <c r="J1286" s="849"/>
      <c r="K1286" s="849"/>
      <c r="L1286" s="849"/>
      <c r="M1286" s="849"/>
      <c r="N1286" s="849"/>
      <c r="O1286" s="849"/>
      <c r="P1286" s="849"/>
      <c r="Q1286" s="849"/>
      <c r="R1286" s="849"/>
      <c r="S1286" s="849"/>
      <c r="T1286" s="849"/>
      <c r="U1286" s="849"/>
      <c r="V1286" s="849"/>
      <c r="W1286" s="849"/>
      <c r="X1286" s="849"/>
      <c r="Y1286" s="849"/>
      <c r="Z1286" s="849"/>
      <c r="AA1286" s="849"/>
      <c r="AB1286" s="849"/>
      <c r="AC1286" s="849"/>
      <c r="AD1286" s="849"/>
      <c r="AE1286" s="849"/>
      <c r="AF1286" s="849"/>
      <c r="AG1286" s="849"/>
      <c r="AH1286" s="849"/>
      <c r="AI1286" s="849"/>
      <c r="AJ1286" s="794"/>
      <c r="AK1286" s="794"/>
      <c r="AL1286" s="794"/>
      <c r="AM1286" s="794"/>
      <c r="AN1286" s="794"/>
      <c r="AO1286" s="853"/>
      <c r="AP1286" s="853"/>
      <c r="AQ1286" s="853"/>
      <c r="AR1286" s="853"/>
      <c r="AS1286" s="853"/>
      <c r="AT1286" s="794"/>
      <c r="AU1286" s="854"/>
      <c r="AV1286" s="794"/>
      <c r="AW1286" s="794"/>
      <c r="AX1286" s="794"/>
      <c r="AY1286" s="853"/>
      <c r="AZ1286" s="853"/>
    </row>
    <row r="1287" ht="15.0" customHeight="1">
      <c r="A1287" s="849"/>
      <c r="B1287" s="849"/>
      <c r="C1287" s="849"/>
      <c r="D1287" s="849"/>
      <c r="E1287" s="849"/>
      <c r="F1287" s="849"/>
      <c r="G1287" s="849"/>
      <c r="H1287" s="849"/>
      <c r="I1287" s="849"/>
      <c r="J1287" s="849"/>
      <c r="K1287" s="849"/>
      <c r="L1287" s="849"/>
      <c r="M1287" s="849"/>
      <c r="N1287" s="849"/>
      <c r="O1287" s="849"/>
      <c r="P1287" s="849"/>
      <c r="Q1287" s="849"/>
      <c r="R1287" s="849"/>
      <c r="S1287" s="849"/>
      <c r="T1287" s="849"/>
      <c r="U1287" s="849"/>
      <c r="V1287" s="849"/>
      <c r="W1287" s="849"/>
      <c r="X1287" s="849"/>
      <c r="Y1287" s="849"/>
      <c r="Z1287" s="849"/>
      <c r="AA1287" s="849"/>
      <c r="AB1287" s="849"/>
      <c r="AC1287" s="849"/>
      <c r="AD1287" s="849"/>
      <c r="AE1287" s="849"/>
      <c r="AF1287" s="849"/>
      <c r="AG1287" s="849"/>
      <c r="AH1287" s="849"/>
      <c r="AI1287" s="849"/>
      <c r="AJ1287" s="794"/>
      <c r="AK1287" s="794"/>
      <c r="AL1287" s="794"/>
      <c r="AM1287" s="794"/>
      <c r="AN1287" s="794"/>
      <c r="AO1287" s="853"/>
      <c r="AP1287" s="853"/>
      <c r="AQ1287" s="853"/>
      <c r="AR1287" s="853"/>
      <c r="AS1287" s="853"/>
      <c r="AT1287" s="794"/>
      <c r="AU1287" s="854"/>
      <c r="AV1287" s="794"/>
      <c r="AW1287" s="794"/>
      <c r="AX1287" s="794"/>
      <c r="AY1287" s="853"/>
      <c r="AZ1287" s="853"/>
    </row>
    <row r="1288" ht="15.0" customHeight="1">
      <c r="A1288" s="849"/>
      <c r="B1288" s="849"/>
      <c r="C1288" s="849"/>
      <c r="D1288" s="849"/>
      <c r="E1288" s="849"/>
      <c r="F1288" s="849"/>
      <c r="G1288" s="849"/>
      <c r="H1288" s="849"/>
      <c r="I1288" s="849"/>
      <c r="J1288" s="849"/>
      <c r="K1288" s="849"/>
      <c r="L1288" s="849"/>
      <c r="M1288" s="849"/>
      <c r="N1288" s="849"/>
      <c r="O1288" s="849"/>
      <c r="P1288" s="849"/>
      <c r="Q1288" s="849"/>
      <c r="R1288" s="849"/>
      <c r="S1288" s="849"/>
      <c r="T1288" s="849"/>
      <c r="U1288" s="849"/>
      <c r="V1288" s="849"/>
      <c r="W1288" s="849"/>
      <c r="X1288" s="849"/>
      <c r="Y1288" s="849"/>
      <c r="Z1288" s="849"/>
      <c r="AA1288" s="849"/>
      <c r="AB1288" s="849"/>
      <c r="AC1288" s="849"/>
      <c r="AD1288" s="849"/>
      <c r="AE1288" s="849"/>
      <c r="AF1288" s="849"/>
      <c r="AG1288" s="849"/>
      <c r="AH1288" s="849"/>
      <c r="AI1288" s="849"/>
      <c r="AJ1288" s="794"/>
      <c r="AK1288" s="794"/>
      <c r="AL1288" s="794"/>
      <c r="AM1288" s="794"/>
      <c r="AN1288" s="794"/>
      <c r="AO1288" s="853"/>
      <c r="AP1288" s="853"/>
      <c r="AQ1288" s="853"/>
      <c r="AR1288" s="853"/>
      <c r="AS1288" s="853"/>
      <c r="AT1288" s="794"/>
      <c r="AU1288" s="854"/>
      <c r="AV1288" s="794"/>
      <c r="AW1288" s="794"/>
      <c r="AX1288" s="794"/>
      <c r="AY1288" s="853"/>
      <c r="AZ1288" s="853"/>
    </row>
    <row r="1289" ht="15.0" customHeight="1">
      <c r="A1289" s="849"/>
      <c r="B1289" s="849"/>
      <c r="C1289" s="849"/>
      <c r="D1289" s="849"/>
      <c r="E1289" s="849"/>
      <c r="F1289" s="849"/>
      <c r="G1289" s="849"/>
      <c r="H1289" s="849"/>
      <c r="I1289" s="849"/>
      <c r="J1289" s="849"/>
      <c r="K1289" s="849"/>
      <c r="L1289" s="849"/>
      <c r="M1289" s="849"/>
      <c r="N1289" s="849"/>
      <c r="O1289" s="849"/>
      <c r="P1289" s="849"/>
      <c r="Q1289" s="849"/>
      <c r="R1289" s="849"/>
      <c r="S1289" s="849"/>
      <c r="T1289" s="849"/>
      <c r="U1289" s="849"/>
      <c r="V1289" s="849"/>
      <c r="W1289" s="849"/>
      <c r="X1289" s="849"/>
      <c r="Y1289" s="849"/>
      <c r="Z1289" s="849"/>
      <c r="AA1289" s="849"/>
      <c r="AB1289" s="849"/>
      <c r="AC1289" s="849"/>
      <c r="AD1289" s="849"/>
      <c r="AE1289" s="849"/>
      <c r="AF1289" s="849"/>
      <c r="AG1289" s="849"/>
      <c r="AH1289" s="849"/>
      <c r="AI1289" s="849"/>
      <c r="AJ1289" s="794"/>
      <c r="AK1289" s="794"/>
      <c r="AL1289" s="794"/>
      <c r="AM1289" s="794"/>
      <c r="AN1289" s="794"/>
      <c r="AO1289" s="853"/>
      <c r="AP1289" s="853"/>
      <c r="AQ1289" s="853"/>
      <c r="AR1289" s="853"/>
      <c r="AS1289" s="853"/>
      <c r="AT1289" s="794"/>
      <c r="AU1289" s="854"/>
      <c r="AV1289" s="794"/>
      <c r="AW1289" s="794"/>
      <c r="AX1289" s="794"/>
      <c r="AY1289" s="853"/>
      <c r="AZ1289" s="853"/>
    </row>
    <row r="1290" ht="15.0" customHeight="1">
      <c r="A1290" s="849"/>
      <c r="B1290" s="849"/>
      <c r="C1290" s="849"/>
      <c r="D1290" s="849"/>
      <c r="E1290" s="849"/>
      <c r="F1290" s="849"/>
      <c r="G1290" s="849"/>
      <c r="H1290" s="849"/>
      <c r="I1290" s="849"/>
      <c r="J1290" s="849"/>
      <c r="K1290" s="849"/>
      <c r="L1290" s="849"/>
      <c r="M1290" s="849"/>
      <c r="N1290" s="849"/>
      <c r="O1290" s="849"/>
      <c r="P1290" s="849"/>
      <c r="Q1290" s="849"/>
      <c r="R1290" s="849"/>
      <c r="S1290" s="849"/>
      <c r="T1290" s="849"/>
      <c r="U1290" s="849"/>
      <c r="V1290" s="849"/>
      <c r="W1290" s="849"/>
      <c r="X1290" s="849"/>
      <c r="Y1290" s="849"/>
      <c r="Z1290" s="849"/>
      <c r="AA1290" s="849"/>
      <c r="AB1290" s="849"/>
      <c r="AC1290" s="849"/>
      <c r="AD1290" s="849"/>
      <c r="AE1290" s="849"/>
      <c r="AF1290" s="849"/>
      <c r="AG1290" s="849"/>
      <c r="AH1290" s="849"/>
      <c r="AI1290" s="849"/>
      <c r="AJ1290" s="794"/>
      <c r="AK1290" s="794"/>
      <c r="AL1290" s="794"/>
      <c r="AM1290" s="794"/>
      <c r="AN1290" s="794"/>
      <c r="AO1290" s="853"/>
      <c r="AP1290" s="853"/>
      <c r="AQ1290" s="853"/>
      <c r="AR1290" s="853"/>
      <c r="AS1290" s="853"/>
      <c r="AT1290" s="794"/>
      <c r="AU1290" s="854"/>
      <c r="AV1290" s="794"/>
      <c r="AW1290" s="794"/>
      <c r="AX1290" s="794"/>
      <c r="AY1290" s="853"/>
      <c r="AZ1290" s="853"/>
    </row>
    <row r="1291" ht="15.0" customHeight="1">
      <c r="A1291" s="849"/>
      <c r="B1291" s="849"/>
      <c r="C1291" s="849"/>
      <c r="D1291" s="849"/>
      <c r="E1291" s="849"/>
      <c r="F1291" s="849"/>
      <c r="G1291" s="849"/>
      <c r="H1291" s="849"/>
      <c r="I1291" s="849"/>
      <c r="J1291" s="849"/>
      <c r="K1291" s="849"/>
      <c r="L1291" s="849"/>
      <c r="M1291" s="849"/>
      <c r="N1291" s="849"/>
      <c r="O1291" s="849"/>
      <c r="P1291" s="849"/>
      <c r="Q1291" s="849"/>
      <c r="R1291" s="849"/>
      <c r="S1291" s="849"/>
      <c r="T1291" s="849"/>
      <c r="U1291" s="849"/>
      <c r="V1291" s="849"/>
      <c r="W1291" s="849"/>
      <c r="X1291" s="849"/>
      <c r="Y1291" s="849"/>
      <c r="Z1291" s="849"/>
      <c r="AA1291" s="849"/>
      <c r="AB1291" s="849"/>
      <c r="AC1291" s="849"/>
      <c r="AD1291" s="849"/>
      <c r="AE1291" s="849"/>
      <c r="AF1291" s="849"/>
      <c r="AG1291" s="849"/>
      <c r="AH1291" s="849"/>
      <c r="AI1291" s="849"/>
      <c r="AJ1291" s="794"/>
      <c r="AK1291" s="794"/>
      <c r="AL1291" s="794"/>
      <c r="AM1291" s="794"/>
      <c r="AN1291" s="794"/>
      <c r="AO1291" s="853"/>
      <c r="AP1291" s="853"/>
      <c r="AQ1291" s="853"/>
      <c r="AR1291" s="853"/>
      <c r="AS1291" s="853"/>
      <c r="AT1291" s="794"/>
      <c r="AU1291" s="854"/>
      <c r="AV1291" s="794"/>
      <c r="AW1291" s="794"/>
      <c r="AX1291" s="794"/>
      <c r="AY1291" s="853"/>
      <c r="AZ1291" s="853"/>
    </row>
    <row r="1292" ht="15.0" customHeight="1">
      <c r="A1292" s="849"/>
      <c r="B1292" s="849"/>
      <c r="C1292" s="849"/>
      <c r="D1292" s="849"/>
      <c r="E1292" s="849"/>
      <c r="F1292" s="849"/>
      <c r="G1292" s="849"/>
      <c r="H1292" s="849"/>
      <c r="I1292" s="849"/>
      <c r="J1292" s="849"/>
      <c r="K1292" s="849"/>
      <c r="L1292" s="849"/>
      <c r="M1292" s="849"/>
      <c r="N1292" s="849"/>
      <c r="O1292" s="849"/>
      <c r="P1292" s="849"/>
      <c r="Q1292" s="849"/>
      <c r="R1292" s="849"/>
      <c r="S1292" s="849"/>
      <c r="T1292" s="849"/>
      <c r="U1292" s="849"/>
      <c r="V1292" s="849"/>
      <c r="W1292" s="849"/>
      <c r="X1292" s="849"/>
      <c r="Y1292" s="849"/>
      <c r="Z1292" s="849"/>
      <c r="AA1292" s="849"/>
      <c r="AB1292" s="849"/>
      <c r="AC1292" s="849"/>
      <c r="AD1292" s="849"/>
      <c r="AE1292" s="849"/>
      <c r="AF1292" s="849"/>
      <c r="AG1292" s="849"/>
      <c r="AH1292" s="849"/>
      <c r="AI1292" s="849"/>
      <c r="AJ1292" s="794"/>
      <c r="AK1292" s="794"/>
      <c r="AL1292" s="794"/>
      <c r="AM1292" s="794"/>
      <c r="AN1292" s="794"/>
      <c r="AO1292" s="853"/>
      <c r="AP1292" s="853"/>
      <c r="AQ1292" s="853"/>
      <c r="AR1292" s="853"/>
      <c r="AS1292" s="853"/>
      <c r="AT1292" s="794"/>
      <c r="AU1292" s="854"/>
      <c r="AV1292" s="794"/>
      <c r="AW1292" s="794"/>
      <c r="AX1292" s="794"/>
      <c r="AY1292" s="853"/>
      <c r="AZ1292" s="853"/>
    </row>
    <row r="1293" ht="15.0" customHeight="1">
      <c r="A1293" s="849"/>
      <c r="B1293" s="849"/>
      <c r="C1293" s="849"/>
      <c r="D1293" s="849"/>
      <c r="E1293" s="849"/>
      <c r="F1293" s="849"/>
      <c r="G1293" s="849"/>
      <c r="H1293" s="849"/>
      <c r="I1293" s="849"/>
      <c r="J1293" s="849"/>
      <c r="K1293" s="849"/>
      <c r="L1293" s="849"/>
      <c r="M1293" s="849"/>
      <c r="N1293" s="849"/>
      <c r="O1293" s="849"/>
      <c r="P1293" s="849"/>
      <c r="Q1293" s="849"/>
      <c r="R1293" s="849"/>
      <c r="S1293" s="849"/>
      <c r="T1293" s="849"/>
      <c r="U1293" s="849"/>
      <c r="V1293" s="849"/>
      <c r="W1293" s="849"/>
      <c r="X1293" s="849"/>
      <c r="Y1293" s="849"/>
      <c r="Z1293" s="849"/>
      <c r="AA1293" s="849"/>
      <c r="AB1293" s="849"/>
      <c r="AC1293" s="849"/>
      <c r="AD1293" s="849"/>
      <c r="AE1293" s="849"/>
      <c r="AF1293" s="849"/>
      <c r="AG1293" s="849"/>
      <c r="AH1293" s="849"/>
      <c r="AI1293" s="849"/>
      <c r="AJ1293" s="794"/>
      <c r="AK1293" s="794"/>
      <c r="AL1293" s="794"/>
      <c r="AM1293" s="794"/>
      <c r="AN1293" s="794"/>
      <c r="AO1293" s="853"/>
      <c r="AP1293" s="853"/>
      <c r="AQ1293" s="853"/>
      <c r="AR1293" s="853"/>
      <c r="AS1293" s="853"/>
      <c r="AT1293" s="794"/>
      <c r="AU1293" s="854"/>
      <c r="AV1293" s="794"/>
      <c r="AW1293" s="794"/>
      <c r="AX1293" s="794"/>
      <c r="AY1293" s="853"/>
      <c r="AZ1293" s="853"/>
    </row>
    <row r="1294" ht="15.0" customHeight="1">
      <c r="A1294" s="849"/>
      <c r="B1294" s="849"/>
      <c r="C1294" s="849"/>
      <c r="D1294" s="849"/>
      <c r="E1294" s="849"/>
      <c r="F1294" s="849"/>
      <c r="G1294" s="849"/>
      <c r="H1294" s="849"/>
      <c r="I1294" s="849"/>
      <c r="J1294" s="849"/>
      <c r="K1294" s="849"/>
      <c r="L1294" s="849"/>
      <c r="M1294" s="849"/>
      <c r="N1294" s="849"/>
      <c r="O1294" s="849"/>
      <c r="P1294" s="849"/>
      <c r="Q1294" s="849"/>
      <c r="R1294" s="849"/>
      <c r="S1294" s="849"/>
      <c r="T1294" s="849"/>
      <c r="U1294" s="849"/>
      <c r="V1294" s="849"/>
      <c r="W1294" s="849"/>
      <c r="X1294" s="849"/>
      <c r="Y1294" s="849"/>
      <c r="Z1294" s="849"/>
      <c r="AA1294" s="849"/>
      <c r="AB1294" s="849"/>
      <c r="AC1294" s="849"/>
      <c r="AD1294" s="849"/>
      <c r="AE1294" s="849"/>
      <c r="AF1294" s="849"/>
      <c r="AG1294" s="849"/>
      <c r="AH1294" s="849"/>
      <c r="AI1294" s="849"/>
      <c r="AJ1294" s="794"/>
      <c r="AK1294" s="794"/>
      <c r="AL1294" s="794"/>
      <c r="AM1294" s="794"/>
      <c r="AN1294" s="794"/>
      <c r="AO1294" s="853"/>
      <c r="AP1294" s="853"/>
      <c r="AQ1294" s="853"/>
      <c r="AR1294" s="853"/>
      <c r="AS1294" s="853"/>
      <c r="AT1294" s="794"/>
      <c r="AU1294" s="854"/>
      <c r="AV1294" s="794"/>
      <c r="AW1294" s="794"/>
      <c r="AX1294" s="794"/>
      <c r="AY1294" s="853"/>
      <c r="AZ1294" s="853"/>
    </row>
    <row r="1295" ht="15.0" customHeight="1">
      <c r="A1295" s="849"/>
      <c r="B1295" s="849"/>
      <c r="C1295" s="849"/>
      <c r="D1295" s="849"/>
      <c r="E1295" s="849"/>
      <c r="F1295" s="849"/>
      <c r="G1295" s="849"/>
      <c r="H1295" s="849"/>
      <c r="I1295" s="849"/>
      <c r="J1295" s="849"/>
      <c r="K1295" s="849"/>
      <c r="L1295" s="849"/>
      <c r="M1295" s="849"/>
      <c r="N1295" s="849"/>
      <c r="O1295" s="849"/>
      <c r="P1295" s="849"/>
      <c r="Q1295" s="849"/>
      <c r="R1295" s="849"/>
      <c r="S1295" s="849"/>
      <c r="T1295" s="849"/>
      <c r="U1295" s="849"/>
      <c r="V1295" s="849"/>
      <c r="W1295" s="849"/>
      <c r="X1295" s="849"/>
      <c r="Y1295" s="849"/>
      <c r="Z1295" s="849"/>
      <c r="AA1295" s="849"/>
      <c r="AB1295" s="849"/>
      <c r="AC1295" s="849"/>
      <c r="AD1295" s="849"/>
      <c r="AE1295" s="849"/>
      <c r="AF1295" s="849"/>
      <c r="AG1295" s="849"/>
      <c r="AH1295" s="849"/>
      <c r="AI1295" s="849"/>
      <c r="AJ1295" s="794"/>
      <c r="AK1295" s="794"/>
      <c r="AL1295" s="794"/>
      <c r="AM1295" s="794"/>
      <c r="AN1295" s="794"/>
      <c r="AO1295" s="853"/>
      <c r="AP1295" s="853"/>
      <c r="AQ1295" s="853"/>
      <c r="AR1295" s="853"/>
      <c r="AS1295" s="853"/>
      <c r="AT1295" s="794"/>
      <c r="AU1295" s="854"/>
      <c r="AV1295" s="794"/>
      <c r="AW1295" s="794"/>
      <c r="AX1295" s="794"/>
      <c r="AY1295" s="853"/>
      <c r="AZ1295" s="853"/>
    </row>
    <row r="1296" ht="15.0" customHeight="1">
      <c r="A1296" s="849"/>
      <c r="B1296" s="849"/>
      <c r="C1296" s="849"/>
      <c r="D1296" s="849"/>
      <c r="E1296" s="849"/>
      <c r="F1296" s="849"/>
      <c r="G1296" s="849"/>
      <c r="H1296" s="849"/>
      <c r="I1296" s="849"/>
      <c r="J1296" s="849"/>
      <c r="K1296" s="849"/>
      <c r="L1296" s="849"/>
      <c r="M1296" s="849"/>
      <c r="N1296" s="849"/>
      <c r="O1296" s="849"/>
      <c r="P1296" s="849"/>
      <c r="Q1296" s="849"/>
      <c r="R1296" s="849"/>
      <c r="S1296" s="849"/>
      <c r="T1296" s="849"/>
      <c r="U1296" s="849"/>
      <c r="V1296" s="849"/>
      <c r="W1296" s="849"/>
      <c r="X1296" s="849"/>
      <c r="Y1296" s="849"/>
      <c r="Z1296" s="849"/>
      <c r="AA1296" s="849"/>
      <c r="AB1296" s="849"/>
      <c r="AC1296" s="849"/>
      <c r="AD1296" s="849"/>
      <c r="AE1296" s="849"/>
      <c r="AF1296" s="849"/>
      <c r="AG1296" s="849"/>
      <c r="AH1296" s="849"/>
      <c r="AI1296" s="849"/>
      <c r="AJ1296" s="794"/>
      <c r="AK1296" s="794"/>
      <c r="AL1296" s="794"/>
      <c r="AM1296" s="794"/>
      <c r="AN1296" s="794"/>
      <c r="AO1296" s="853"/>
      <c r="AP1296" s="853"/>
      <c r="AQ1296" s="853"/>
      <c r="AR1296" s="853"/>
      <c r="AS1296" s="853"/>
      <c r="AT1296" s="794"/>
      <c r="AU1296" s="854"/>
      <c r="AV1296" s="794"/>
      <c r="AW1296" s="794"/>
      <c r="AX1296" s="794"/>
      <c r="AY1296" s="853"/>
      <c r="AZ1296" s="853"/>
    </row>
    <row r="1297" ht="15.0" customHeight="1">
      <c r="A1297" s="849"/>
      <c r="B1297" s="849"/>
      <c r="C1297" s="849"/>
      <c r="D1297" s="849"/>
      <c r="E1297" s="849"/>
      <c r="F1297" s="849"/>
      <c r="G1297" s="849"/>
      <c r="H1297" s="849"/>
      <c r="I1297" s="849"/>
      <c r="J1297" s="849"/>
      <c r="K1297" s="849"/>
      <c r="L1297" s="849"/>
      <c r="M1297" s="849"/>
      <c r="N1297" s="849"/>
      <c r="O1297" s="849"/>
      <c r="P1297" s="849"/>
      <c r="Q1297" s="849"/>
      <c r="R1297" s="849"/>
      <c r="S1297" s="849"/>
      <c r="T1297" s="849"/>
      <c r="U1297" s="849"/>
      <c r="V1297" s="849"/>
      <c r="W1297" s="849"/>
      <c r="X1297" s="849"/>
      <c r="Y1297" s="849"/>
      <c r="Z1297" s="849"/>
      <c r="AA1297" s="849"/>
      <c r="AB1297" s="849"/>
      <c r="AC1297" s="849"/>
      <c r="AD1297" s="849"/>
      <c r="AE1297" s="849"/>
      <c r="AF1297" s="849"/>
      <c r="AG1297" s="849"/>
      <c r="AH1297" s="849"/>
      <c r="AI1297" s="849"/>
      <c r="AJ1297" s="794"/>
      <c r="AK1297" s="794"/>
      <c r="AL1297" s="794"/>
      <c r="AM1297" s="794"/>
      <c r="AN1297" s="794"/>
      <c r="AO1297" s="853"/>
      <c r="AP1297" s="853"/>
      <c r="AQ1297" s="853"/>
      <c r="AR1297" s="853"/>
      <c r="AS1297" s="853"/>
      <c r="AT1297" s="794"/>
      <c r="AU1297" s="854"/>
      <c r="AV1297" s="794"/>
      <c r="AW1297" s="794"/>
      <c r="AX1297" s="794"/>
      <c r="AY1297" s="853"/>
      <c r="AZ1297" s="853"/>
    </row>
    <row r="1298" ht="15.0" customHeight="1">
      <c r="A1298" s="849"/>
      <c r="B1298" s="849"/>
      <c r="C1298" s="849"/>
      <c r="D1298" s="849"/>
      <c r="E1298" s="849"/>
      <c r="F1298" s="849"/>
      <c r="G1298" s="849"/>
      <c r="H1298" s="849"/>
      <c r="I1298" s="849"/>
      <c r="J1298" s="849"/>
      <c r="K1298" s="849"/>
      <c r="L1298" s="849"/>
      <c r="M1298" s="849"/>
      <c r="N1298" s="849"/>
      <c r="O1298" s="849"/>
      <c r="P1298" s="849"/>
      <c r="Q1298" s="849"/>
      <c r="R1298" s="849"/>
      <c r="S1298" s="849"/>
      <c r="T1298" s="849"/>
      <c r="U1298" s="849"/>
      <c r="V1298" s="849"/>
      <c r="W1298" s="849"/>
      <c r="X1298" s="849"/>
      <c r="Y1298" s="849"/>
      <c r="Z1298" s="849"/>
      <c r="AA1298" s="849"/>
      <c r="AB1298" s="849"/>
      <c r="AC1298" s="849"/>
      <c r="AD1298" s="849"/>
      <c r="AE1298" s="849"/>
      <c r="AF1298" s="849"/>
      <c r="AG1298" s="849"/>
      <c r="AH1298" s="849"/>
      <c r="AI1298" s="849"/>
      <c r="AJ1298" s="794"/>
      <c r="AK1298" s="794"/>
      <c r="AL1298" s="794"/>
      <c r="AM1298" s="794"/>
      <c r="AN1298" s="794"/>
      <c r="AO1298" s="853"/>
      <c r="AP1298" s="853"/>
      <c r="AQ1298" s="853"/>
      <c r="AR1298" s="853"/>
      <c r="AS1298" s="853"/>
      <c r="AT1298" s="794"/>
      <c r="AU1298" s="854"/>
      <c r="AV1298" s="794"/>
      <c r="AW1298" s="794"/>
      <c r="AX1298" s="794"/>
      <c r="AY1298" s="853"/>
      <c r="AZ1298" s="853"/>
    </row>
    <row r="1299" ht="15.0" customHeight="1">
      <c r="A1299" s="849"/>
      <c r="B1299" s="849"/>
      <c r="C1299" s="849"/>
      <c r="D1299" s="849"/>
      <c r="E1299" s="849"/>
      <c r="F1299" s="849"/>
      <c r="G1299" s="849"/>
      <c r="H1299" s="849"/>
      <c r="I1299" s="849"/>
      <c r="J1299" s="849"/>
      <c r="K1299" s="849"/>
      <c r="L1299" s="849"/>
      <c r="M1299" s="849"/>
      <c r="N1299" s="849"/>
      <c r="O1299" s="849"/>
      <c r="P1299" s="849"/>
      <c r="Q1299" s="849"/>
      <c r="R1299" s="849"/>
      <c r="S1299" s="849"/>
      <c r="T1299" s="849"/>
      <c r="U1299" s="849"/>
      <c r="V1299" s="849"/>
      <c r="W1299" s="849"/>
      <c r="X1299" s="849"/>
      <c r="Y1299" s="849"/>
      <c r="Z1299" s="849"/>
      <c r="AA1299" s="849"/>
      <c r="AB1299" s="849"/>
      <c r="AC1299" s="849"/>
      <c r="AD1299" s="849"/>
      <c r="AE1299" s="849"/>
      <c r="AF1299" s="849"/>
      <c r="AG1299" s="849"/>
      <c r="AH1299" s="849"/>
      <c r="AI1299" s="849"/>
      <c r="AJ1299" s="794"/>
      <c r="AK1299" s="794"/>
      <c r="AL1299" s="794"/>
      <c r="AM1299" s="794"/>
      <c r="AN1299" s="794"/>
      <c r="AO1299" s="853"/>
      <c r="AP1299" s="853"/>
      <c r="AQ1299" s="853"/>
      <c r="AR1299" s="853"/>
      <c r="AS1299" s="853"/>
      <c r="AT1299" s="794"/>
      <c r="AU1299" s="854"/>
      <c r="AV1299" s="794"/>
      <c r="AW1299" s="794"/>
      <c r="AX1299" s="794"/>
      <c r="AY1299" s="853"/>
      <c r="AZ1299" s="853"/>
    </row>
    <row r="1300" ht="15.0" customHeight="1">
      <c r="A1300" s="849"/>
      <c r="B1300" s="849"/>
      <c r="C1300" s="849"/>
      <c r="D1300" s="849"/>
      <c r="E1300" s="849"/>
      <c r="F1300" s="849"/>
      <c r="G1300" s="849"/>
      <c r="H1300" s="849"/>
      <c r="I1300" s="849"/>
      <c r="J1300" s="849"/>
      <c r="K1300" s="849"/>
      <c r="L1300" s="849"/>
      <c r="M1300" s="849"/>
      <c r="N1300" s="849"/>
      <c r="O1300" s="849"/>
      <c r="P1300" s="849"/>
      <c r="Q1300" s="849"/>
      <c r="R1300" s="849"/>
      <c r="S1300" s="849"/>
      <c r="T1300" s="849"/>
      <c r="U1300" s="849"/>
      <c r="V1300" s="849"/>
      <c r="W1300" s="849"/>
      <c r="X1300" s="849"/>
      <c r="Y1300" s="849"/>
      <c r="Z1300" s="849"/>
      <c r="AA1300" s="849"/>
      <c r="AB1300" s="849"/>
      <c r="AC1300" s="849"/>
      <c r="AD1300" s="849"/>
      <c r="AE1300" s="849"/>
      <c r="AF1300" s="849"/>
      <c r="AG1300" s="849"/>
      <c r="AH1300" s="849"/>
      <c r="AI1300" s="849"/>
      <c r="AJ1300" s="794"/>
      <c r="AK1300" s="794"/>
      <c r="AL1300" s="794"/>
      <c r="AM1300" s="794"/>
      <c r="AN1300" s="794"/>
      <c r="AO1300" s="853"/>
      <c r="AP1300" s="853"/>
      <c r="AQ1300" s="853"/>
      <c r="AR1300" s="853"/>
      <c r="AS1300" s="853"/>
      <c r="AT1300" s="794"/>
      <c r="AU1300" s="854"/>
      <c r="AV1300" s="794"/>
      <c r="AW1300" s="794"/>
      <c r="AX1300" s="794"/>
      <c r="AY1300" s="853"/>
      <c r="AZ1300" s="853"/>
    </row>
    <row r="1301" ht="15.0" customHeight="1">
      <c r="A1301" s="849"/>
      <c r="B1301" s="849"/>
      <c r="C1301" s="849"/>
      <c r="D1301" s="849"/>
      <c r="E1301" s="849"/>
      <c r="F1301" s="849"/>
      <c r="G1301" s="849"/>
      <c r="H1301" s="849"/>
      <c r="I1301" s="849"/>
      <c r="J1301" s="849"/>
      <c r="K1301" s="849"/>
      <c r="L1301" s="849"/>
      <c r="M1301" s="849"/>
      <c r="N1301" s="849"/>
      <c r="O1301" s="849"/>
      <c r="P1301" s="849"/>
      <c r="Q1301" s="849"/>
      <c r="R1301" s="849"/>
      <c r="S1301" s="849"/>
      <c r="T1301" s="849"/>
      <c r="U1301" s="849"/>
      <c r="V1301" s="849"/>
      <c r="W1301" s="849"/>
      <c r="X1301" s="849"/>
      <c r="Y1301" s="849"/>
      <c r="Z1301" s="849"/>
      <c r="AA1301" s="849"/>
      <c r="AB1301" s="849"/>
      <c r="AC1301" s="849"/>
      <c r="AD1301" s="849"/>
      <c r="AE1301" s="849"/>
      <c r="AF1301" s="849"/>
      <c r="AG1301" s="849"/>
      <c r="AH1301" s="849"/>
      <c r="AI1301" s="849"/>
      <c r="AJ1301" s="794"/>
      <c r="AK1301" s="794"/>
      <c r="AL1301" s="794"/>
      <c r="AM1301" s="794"/>
      <c r="AN1301" s="794"/>
      <c r="AO1301" s="853"/>
      <c r="AP1301" s="853"/>
      <c r="AQ1301" s="853"/>
      <c r="AR1301" s="853"/>
      <c r="AS1301" s="853"/>
      <c r="AT1301" s="794"/>
      <c r="AU1301" s="854"/>
      <c r="AV1301" s="794"/>
      <c r="AW1301" s="794"/>
      <c r="AX1301" s="794"/>
      <c r="AY1301" s="853"/>
      <c r="AZ1301" s="853"/>
    </row>
    <row r="1302" ht="15.0" customHeight="1">
      <c r="A1302" s="849"/>
      <c r="B1302" s="849"/>
      <c r="C1302" s="849"/>
      <c r="D1302" s="849"/>
      <c r="E1302" s="849"/>
      <c r="F1302" s="849"/>
      <c r="G1302" s="849"/>
      <c r="H1302" s="849"/>
      <c r="I1302" s="849"/>
      <c r="J1302" s="849"/>
      <c r="K1302" s="849"/>
      <c r="L1302" s="849"/>
      <c r="M1302" s="849"/>
      <c r="N1302" s="849"/>
      <c r="O1302" s="849"/>
      <c r="P1302" s="849"/>
      <c r="Q1302" s="849"/>
      <c r="R1302" s="849"/>
      <c r="S1302" s="849"/>
      <c r="T1302" s="849"/>
      <c r="U1302" s="849"/>
      <c r="V1302" s="849"/>
      <c r="W1302" s="849"/>
      <c r="X1302" s="849"/>
      <c r="Y1302" s="849"/>
      <c r="Z1302" s="849"/>
      <c r="AA1302" s="849"/>
      <c r="AB1302" s="849"/>
      <c r="AC1302" s="849"/>
      <c r="AD1302" s="849"/>
      <c r="AE1302" s="849"/>
      <c r="AF1302" s="849"/>
      <c r="AG1302" s="849"/>
      <c r="AH1302" s="849"/>
      <c r="AI1302" s="849"/>
      <c r="AJ1302" s="794"/>
      <c r="AK1302" s="794"/>
      <c r="AL1302" s="794"/>
      <c r="AM1302" s="794"/>
      <c r="AN1302" s="794"/>
      <c r="AO1302" s="853"/>
      <c r="AP1302" s="853"/>
      <c r="AQ1302" s="853"/>
      <c r="AR1302" s="853"/>
      <c r="AS1302" s="853"/>
      <c r="AT1302" s="794"/>
      <c r="AU1302" s="854"/>
      <c r="AV1302" s="794"/>
      <c r="AW1302" s="794"/>
      <c r="AX1302" s="794"/>
      <c r="AY1302" s="853"/>
      <c r="AZ1302" s="853"/>
    </row>
    <row r="1303" ht="15.0" customHeight="1">
      <c r="A1303" s="849"/>
      <c r="B1303" s="849"/>
      <c r="C1303" s="849"/>
      <c r="D1303" s="849"/>
      <c r="E1303" s="849"/>
      <c r="F1303" s="849"/>
      <c r="G1303" s="849"/>
      <c r="H1303" s="849"/>
      <c r="I1303" s="849"/>
      <c r="J1303" s="849"/>
      <c r="K1303" s="849"/>
      <c r="L1303" s="849"/>
      <c r="M1303" s="849"/>
      <c r="N1303" s="849"/>
      <c r="O1303" s="849"/>
      <c r="P1303" s="849"/>
      <c r="Q1303" s="849"/>
      <c r="R1303" s="849"/>
      <c r="S1303" s="849"/>
      <c r="T1303" s="849"/>
      <c r="U1303" s="849"/>
      <c r="V1303" s="849"/>
      <c r="W1303" s="849"/>
      <c r="X1303" s="849"/>
      <c r="Y1303" s="849"/>
      <c r="Z1303" s="849"/>
      <c r="AA1303" s="849"/>
      <c r="AB1303" s="849"/>
      <c r="AC1303" s="849"/>
      <c r="AD1303" s="849"/>
      <c r="AE1303" s="849"/>
      <c r="AF1303" s="849"/>
      <c r="AG1303" s="849"/>
      <c r="AH1303" s="849"/>
      <c r="AI1303" s="849"/>
      <c r="AJ1303" s="794"/>
      <c r="AK1303" s="794"/>
      <c r="AL1303" s="794"/>
      <c r="AM1303" s="794"/>
      <c r="AN1303" s="794"/>
      <c r="AO1303" s="853"/>
      <c r="AP1303" s="853"/>
      <c r="AQ1303" s="853"/>
      <c r="AR1303" s="853"/>
      <c r="AS1303" s="853"/>
      <c r="AT1303" s="794"/>
      <c r="AU1303" s="854"/>
      <c r="AV1303" s="794"/>
      <c r="AW1303" s="794"/>
      <c r="AX1303" s="794"/>
      <c r="AY1303" s="853"/>
      <c r="AZ1303" s="853"/>
    </row>
    <row r="1304" ht="15.0" customHeight="1">
      <c r="A1304" s="849"/>
      <c r="B1304" s="849"/>
      <c r="C1304" s="849"/>
      <c r="D1304" s="849"/>
      <c r="E1304" s="849"/>
      <c r="F1304" s="849"/>
      <c r="G1304" s="849"/>
      <c r="H1304" s="849"/>
      <c r="I1304" s="849"/>
      <c r="J1304" s="849"/>
      <c r="K1304" s="849"/>
      <c r="L1304" s="849"/>
      <c r="M1304" s="849"/>
      <c r="N1304" s="849"/>
      <c r="O1304" s="849"/>
      <c r="P1304" s="849"/>
      <c r="Q1304" s="849"/>
      <c r="R1304" s="849"/>
      <c r="S1304" s="849"/>
      <c r="T1304" s="849"/>
      <c r="U1304" s="849"/>
      <c r="V1304" s="849"/>
      <c r="W1304" s="849"/>
      <c r="X1304" s="849"/>
      <c r="Y1304" s="849"/>
      <c r="Z1304" s="849"/>
      <c r="AA1304" s="849"/>
      <c r="AB1304" s="849"/>
      <c r="AC1304" s="849"/>
      <c r="AD1304" s="849"/>
      <c r="AE1304" s="849"/>
      <c r="AF1304" s="849"/>
      <c r="AG1304" s="849"/>
      <c r="AH1304" s="849"/>
      <c r="AI1304" s="849"/>
      <c r="AJ1304" s="794"/>
      <c r="AK1304" s="794"/>
      <c r="AL1304" s="794"/>
      <c r="AM1304" s="794"/>
      <c r="AN1304" s="794"/>
      <c r="AO1304" s="853"/>
      <c r="AP1304" s="853"/>
      <c r="AQ1304" s="853"/>
      <c r="AR1304" s="853"/>
      <c r="AS1304" s="853"/>
      <c r="AT1304" s="794"/>
      <c r="AU1304" s="854"/>
      <c r="AV1304" s="794"/>
      <c r="AW1304" s="794"/>
      <c r="AX1304" s="794"/>
      <c r="AY1304" s="853"/>
      <c r="AZ1304" s="853"/>
    </row>
    <row r="1305" ht="15.0" customHeight="1">
      <c r="A1305" s="849"/>
      <c r="B1305" s="849"/>
      <c r="C1305" s="849"/>
      <c r="D1305" s="849"/>
      <c r="E1305" s="849"/>
      <c r="F1305" s="849"/>
      <c r="G1305" s="849"/>
      <c r="H1305" s="849"/>
      <c r="I1305" s="849"/>
      <c r="J1305" s="849"/>
      <c r="K1305" s="849"/>
      <c r="L1305" s="849"/>
      <c r="M1305" s="849"/>
      <c r="N1305" s="849"/>
      <c r="O1305" s="849"/>
      <c r="P1305" s="849"/>
      <c r="Q1305" s="849"/>
      <c r="R1305" s="849"/>
      <c r="S1305" s="849"/>
      <c r="T1305" s="849"/>
      <c r="U1305" s="849"/>
      <c r="V1305" s="849"/>
      <c r="W1305" s="849"/>
      <c r="X1305" s="849"/>
      <c r="Y1305" s="849"/>
      <c r="Z1305" s="849"/>
      <c r="AA1305" s="849"/>
      <c r="AB1305" s="849"/>
      <c r="AC1305" s="849"/>
      <c r="AD1305" s="849"/>
      <c r="AE1305" s="849"/>
      <c r="AF1305" s="849"/>
      <c r="AG1305" s="849"/>
      <c r="AH1305" s="849"/>
      <c r="AI1305" s="849"/>
      <c r="AJ1305" s="794"/>
      <c r="AK1305" s="794"/>
      <c r="AL1305" s="794"/>
      <c r="AM1305" s="794"/>
      <c r="AN1305" s="794"/>
      <c r="AO1305" s="853"/>
      <c r="AP1305" s="853"/>
      <c r="AQ1305" s="853"/>
      <c r="AR1305" s="853"/>
      <c r="AS1305" s="853"/>
      <c r="AT1305" s="794"/>
      <c r="AU1305" s="854"/>
      <c r="AV1305" s="794"/>
      <c r="AW1305" s="794"/>
      <c r="AX1305" s="794"/>
      <c r="AY1305" s="853"/>
      <c r="AZ1305" s="853"/>
    </row>
    <row r="1306" ht="15.0" customHeight="1">
      <c r="A1306" s="849"/>
      <c r="B1306" s="849"/>
      <c r="C1306" s="849"/>
      <c r="D1306" s="849"/>
      <c r="E1306" s="849"/>
      <c r="F1306" s="849"/>
      <c r="G1306" s="849"/>
      <c r="H1306" s="849"/>
      <c r="I1306" s="849"/>
      <c r="J1306" s="849"/>
      <c r="K1306" s="849"/>
      <c r="L1306" s="849"/>
      <c r="M1306" s="849"/>
      <c r="N1306" s="849"/>
      <c r="O1306" s="849"/>
      <c r="P1306" s="849"/>
      <c r="Q1306" s="849"/>
      <c r="R1306" s="849"/>
      <c r="S1306" s="849"/>
      <c r="T1306" s="849"/>
      <c r="U1306" s="849"/>
      <c r="V1306" s="849"/>
      <c r="W1306" s="849"/>
      <c r="X1306" s="849"/>
      <c r="Y1306" s="849"/>
      <c r="Z1306" s="849"/>
      <c r="AA1306" s="849"/>
      <c r="AB1306" s="849"/>
      <c r="AC1306" s="849"/>
      <c r="AD1306" s="849"/>
      <c r="AE1306" s="849"/>
      <c r="AF1306" s="849"/>
      <c r="AG1306" s="849"/>
      <c r="AH1306" s="849"/>
      <c r="AI1306" s="849"/>
      <c r="AJ1306" s="794"/>
      <c r="AK1306" s="794"/>
      <c r="AL1306" s="794"/>
      <c r="AM1306" s="794"/>
      <c r="AN1306" s="794"/>
      <c r="AO1306" s="853"/>
      <c r="AP1306" s="853"/>
      <c r="AQ1306" s="853"/>
      <c r="AR1306" s="853"/>
      <c r="AS1306" s="853"/>
      <c r="AT1306" s="794"/>
      <c r="AU1306" s="854"/>
      <c r="AV1306" s="794"/>
      <c r="AW1306" s="794"/>
      <c r="AX1306" s="794"/>
      <c r="AY1306" s="853"/>
      <c r="AZ1306" s="853"/>
    </row>
    <row r="1307" ht="15.0" customHeight="1">
      <c r="A1307" s="849"/>
      <c r="B1307" s="849"/>
      <c r="C1307" s="849"/>
      <c r="D1307" s="849"/>
      <c r="E1307" s="849"/>
      <c r="F1307" s="849"/>
      <c r="G1307" s="849"/>
      <c r="H1307" s="849"/>
      <c r="I1307" s="849"/>
      <c r="J1307" s="849"/>
      <c r="K1307" s="849"/>
      <c r="L1307" s="849"/>
      <c r="M1307" s="849"/>
      <c r="N1307" s="849"/>
      <c r="O1307" s="849"/>
      <c r="P1307" s="849"/>
      <c r="Q1307" s="849"/>
      <c r="R1307" s="849"/>
      <c r="S1307" s="849"/>
      <c r="T1307" s="849"/>
      <c r="U1307" s="849"/>
      <c r="V1307" s="849"/>
      <c r="W1307" s="849"/>
      <c r="X1307" s="849"/>
      <c r="Y1307" s="849"/>
      <c r="Z1307" s="849"/>
      <c r="AA1307" s="849"/>
      <c r="AB1307" s="849"/>
      <c r="AC1307" s="849"/>
      <c r="AD1307" s="849"/>
      <c r="AE1307" s="849"/>
      <c r="AF1307" s="849"/>
      <c r="AG1307" s="849"/>
      <c r="AH1307" s="849"/>
      <c r="AI1307" s="849"/>
      <c r="AJ1307" s="794"/>
      <c r="AK1307" s="794"/>
      <c r="AL1307" s="794"/>
      <c r="AM1307" s="794"/>
      <c r="AN1307" s="794"/>
      <c r="AO1307" s="853"/>
      <c r="AP1307" s="853"/>
      <c r="AQ1307" s="853"/>
      <c r="AR1307" s="853"/>
      <c r="AS1307" s="853"/>
      <c r="AT1307" s="794"/>
      <c r="AU1307" s="854"/>
      <c r="AV1307" s="794"/>
      <c r="AW1307" s="794"/>
      <c r="AX1307" s="794"/>
      <c r="AY1307" s="853"/>
      <c r="AZ1307" s="853"/>
    </row>
    <row r="1308" ht="15.0" customHeight="1">
      <c r="A1308" s="849"/>
      <c r="B1308" s="849"/>
      <c r="C1308" s="849"/>
      <c r="D1308" s="849"/>
      <c r="E1308" s="849"/>
      <c r="F1308" s="849"/>
      <c r="G1308" s="849"/>
      <c r="H1308" s="849"/>
      <c r="I1308" s="849"/>
      <c r="J1308" s="849"/>
      <c r="K1308" s="849"/>
      <c r="L1308" s="849"/>
      <c r="M1308" s="849"/>
      <c r="N1308" s="849"/>
      <c r="O1308" s="849"/>
      <c r="P1308" s="849"/>
      <c r="Q1308" s="849"/>
      <c r="R1308" s="849"/>
      <c r="S1308" s="849"/>
      <c r="T1308" s="849"/>
      <c r="U1308" s="849"/>
      <c r="V1308" s="849"/>
      <c r="W1308" s="849"/>
      <c r="X1308" s="849"/>
      <c r="Y1308" s="849"/>
      <c r="Z1308" s="849"/>
      <c r="AA1308" s="849"/>
      <c r="AB1308" s="849"/>
      <c r="AC1308" s="849"/>
      <c r="AD1308" s="849"/>
      <c r="AE1308" s="849"/>
      <c r="AF1308" s="849"/>
      <c r="AG1308" s="849"/>
      <c r="AH1308" s="849"/>
      <c r="AI1308" s="849"/>
      <c r="AJ1308" s="794"/>
      <c r="AK1308" s="794"/>
      <c r="AL1308" s="794"/>
      <c r="AM1308" s="794"/>
      <c r="AN1308" s="794"/>
      <c r="AO1308" s="853"/>
      <c r="AP1308" s="853"/>
      <c r="AQ1308" s="853"/>
      <c r="AR1308" s="853"/>
      <c r="AS1308" s="853"/>
      <c r="AT1308" s="794"/>
      <c r="AU1308" s="854"/>
      <c r="AV1308" s="794"/>
      <c r="AW1308" s="794"/>
      <c r="AX1308" s="794"/>
      <c r="AY1308" s="853"/>
      <c r="AZ1308" s="853"/>
    </row>
    <row r="1309" ht="15.0" customHeight="1">
      <c r="A1309" s="849"/>
      <c r="B1309" s="849"/>
      <c r="C1309" s="849"/>
      <c r="D1309" s="849"/>
      <c r="E1309" s="849"/>
      <c r="F1309" s="849"/>
      <c r="G1309" s="849"/>
      <c r="H1309" s="849"/>
      <c r="I1309" s="849"/>
      <c r="J1309" s="849"/>
      <c r="K1309" s="849"/>
      <c r="L1309" s="849"/>
      <c r="M1309" s="849"/>
      <c r="N1309" s="849"/>
      <c r="O1309" s="849"/>
      <c r="P1309" s="849"/>
      <c r="Q1309" s="849"/>
      <c r="R1309" s="849"/>
      <c r="S1309" s="849"/>
      <c r="T1309" s="849"/>
      <c r="U1309" s="849"/>
      <c r="V1309" s="849"/>
      <c r="W1309" s="849"/>
      <c r="X1309" s="849"/>
      <c r="Y1309" s="849"/>
      <c r="Z1309" s="849"/>
      <c r="AA1309" s="849"/>
      <c r="AB1309" s="849"/>
      <c r="AC1309" s="849"/>
      <c r="AD1309" s="849"/>
      <c r="AE1309" s="849"/>
      <c r="AF1309" s="849"/>
      <c r="AG1309" s="849"/>
      <c r="AH1309" s="849"/>
      <c r="AI1309" s="849"/>
      <c r="AJ1309" s="794"/>
      <c r="AK1309" s="794"/>
      <c r="AL1309" s="794"/>
      <c r="AM1309" s="794"/>
      <c r="AN1309" s="794"/>
      <c r="AO1309" s="853"/>
      <c r="AP1309" s="853"/>
      <c r="AQ1309" s="853"/>
      <c r="AR1309" s="853"/>
      <c r="AS1309" s="853"/>
      <c r="AT1309" s="794"/>
      <c r="AU1309" s="854"/>
      <c r="AV1309" s="794"/>
      <c r="AW1309" s="794"/>
      <c r="AX1309" s="794"/>
      <c r="AY1309" s="853"/>
      <c r="AZ1309" s="853"/>
    </row>
    <row r="1310" ht="15.0" customHeight="1">
      <c r="A1310" s="849"/>
      <c r="B1310" s="849"/>
      <c r="C1310" s="849"/>
      <c r="D1310" s="849"/>
      <c r="E1310" s="849"/>
      <c r="F1310" s="849"/>
      <c r="G1310" s="849"/>
      <c r="H1310" s="849"/>
      <c r="I1310" s="849"/>
      <c r="J1310" s="849"/>
      <c r="K1310" s="849"/>
      <c r="L1310" s="849"/>
      <c r="M1310" s="849"/>
      <c r="N1310" s="849"/>
      <c r="O1310" s="849"/>
      <c r="P1310" s="849"/>
      <c r="Q1310" s="849"/>
      <c r="R1310" s="849"/>
      <c r="S1310" s="849"/>
      <c r="T1310" s="849"/>
      <c r="U1310" s="849"/>
      <c r="V1310" s="849"/>
      <c r="W1310" s="849"/>
      <c r="X1310" s="849"/>
      <c r="Y1310" s="849"/>
      <c r="Z1310" s="849"/>
      <c r="AA1310" s="849"/>
      <c r="AB1310" s="849"/>
      <c r="AC1310" s="849"/>
      <c r="AD1310" s="849"/>
      <c r="AE1310" s="849"/>
      <c r="AF1310" s="849"/>
      <c r="AG1310" s="849"/>
      <c r="AH1310" s="849"/>
      <c r="AI1310" s="849"/>
      <c r="AJ1310" s="794"/>
      <c r="AK1310" s="794"/>
      <c r="AL1310" s="794"/>
      <c r="AM1310" s="794"/>
      <c r="AN1310" s="794"/>
      <c r="AO1310" s="853"/>
      <c r="AP1310" s="853"/>
      <c r="AQ1310" s="853"/>
      <c r="AR1310" s="853"/>
      <c r="AS1310" s="853"/>
      <c r="AT1310" s="794"/>
      <c r="AU1310" s="854"/>
      <c r="AV1310" s="794"/>
      <c r="AW1310" s="794"/>
      <c r="AX1310" s="794"/>
      <c r="AY1310" s="853"/>
      <c r="AZ1310" s="853"/>
    </row>
    <row r="1311" ht="15.0" customHeight="1">
      <c r="A1311" s="849"/>
      <c r="B1311" s="849"/>
      <c r="C1311" s="849"/>
      <c r="D1311" s="849"/>
      <c r="E1311" s="849"/>
      <c r="F1311" s="849"/>
      <c r="G1311" s="849"/>
      <c r="H1311" s="849"/>
      <c r="I1311" s="849"/>
      <c r="J1311" s="849"/>
      <c r="K1311" s="849"/>
      <c r="L1311" s="849"/>
      <c r="M1311" s="849"/>
      <c r="N1311" s="849"/>
      <c r="O1311" s="849"/>
      <c r="P1311" s="849"/>
      <c r="Q1311" s="849"/>
      <c r="R1311" s="849"/>
      <c r="S1311" s="849"/>
      <c r="T1311" s="849"/>
      <c r="U1311" s="849"/>
      <c r="V1311" s="849"/>
      <c r="W1311" s="849"/>
      <c r="X1311" s="849"/>
      <c r="Y1311" s="849"/>
      <c r="Z1311" s="849"/>
      <c r="AA1311" s="849"/>
      <c r="AB1311" s="849"/>
      <c r="AC1311" s="849"/>
      <c r="AD1311" s="849"/>
      <c r="AE1311" s="849"/>
      <c r="AF1311" s="849"/>
      <c r="AG1311" s="849"/>
      <c r="AH1311" s="849"/>
      <c r="AI1311" s="849"/>
      <c r="AJ1311" s="794"/>
      <c r="AK1311" s="794"/>
      <c r="AL1311" s="794"/>
      <c r="AM1311" s="794"/>
      <c r="AN1311" s="794"/>
      <c r="AO1311" s="853"/>
      <c r="AP1311" s="853"/>
      <c r="AQ1311" s="853"/>
      <c r="AR1311" s="853"/>
      <c r="AS1311" s="853"/>
      <c r="AT1311" s="794"/>
      <c r="AU1311" s="854"/>
      <c r="AV1311" s="794"/>
      <c r="AW1311" s="794"/>
      <c r="AX1311" s="794"/>
      <c r="AY1311" s="853"/>
      <c r="AZ1311" s="853"/>
    </row>
    <row r="1312" ht="15.0" customHeight="1">
      <c r="A1312" s="849"/>
      <c r="B1312" s="849"/>
      <c r="C1312" s="849"/>
      <c r="D1312" s="849"/>
      <c r="E1312" s="849"/>
      <c r="F1312" s="849"/>
      <c r="G1312" s="849"/>
      <c r="H1312" s="849"/>
      <c r="I1312" s="849"/>
      <c r="J1312" s="849"/>
      <c r="K1312" s="849"/>
      <c r="L1312" s="849"/>
      <c r="M1312" s="849"/>
      <c r="N1312" s="849"/>
      <c r="O1312" s="849"/>
      <c r="P1312" s="849"/>
      <c r="Q1312" s="849"/>
      <c r="R1312" s="849"/>
      <c r="S1312" s="849"/>
      <c r="T1312" s="849"/>
      <c r="U1312" s="849"/>
      <c r="V1312" s="849"/>
      <c r="W1312" s="849"/>
      <c r="X1312" s="849"/>
      <c r="Y1312" s="849"/>
      <c r="Z1312" s="849"/>
      <c r="AA1312" s="849"/>
      <c r="AB1312" s="849"/>
      <c r="AC1312" s="849"/>
      <c r="AD1312" s="849"/>
      <c r="AE1312" s="849"/>
      <c r="AF1312" s="849"/>
      <c r="AG1312" s="849"/>
      <c r="AH1312" s="849"/>
      <c r="AI1312" s="849"/>
      <c r="AJ1312" s="794"/>
      <c r="AK1312" s="794"/>
      <c r="AL1312" s="794"/>
      <c r="AM1312" s="794"/>
      <c r="AN1312" s="794"/>
      <c r="AO1312" s="853"/>
      <c r="AP1312" s="853"/>
      <c r="AQ1312" s="853"/>
      <c r="AR1312" s="853"/>
      <c r="AS1312" s="853"/>
      <c r="AT1312" s="794"/>
      <c r="AU1312" s="854"/>
      <c r="AV1312" s="794"/>
      <c r="AW1312" s="794"/>
      <c r="AX1312" s="794"/>
      <c r="AY1312" s="853"/>
      <c r="AZ1312" s="853"/>
    </row>
    <row r="1313" ht="15.0" customHeight="1">
      <c r="A1313" s="849"/>
      <c r="B1313" s="849"/>
      <c r="C1313" s="849"/>
      <c r="D1313" s="849"/>
      <c r="E1313" s="849"/>
      <c r="F1313" s="849"/>
      <c r="G1313" s="849"/>
      <c r="H1313" s="849"/>
      <c r="I1313" s="849"/>
      <c r="J1313" s="849"/>
      <c r="K1313" s="849"/>
      <c r="L1313" s="849"/>
      <c r="M1313" s="849"/>
      <c r="N1313" s="849"/>
      <c r="O1313" s="849"/>
      <c r="P1313" s="849"/>
      <c r="Q1313" s="849"/>
      <c r="R1313" s="849"/>
      <c r="S1313" s="849"/>
      <c r="T1313" s="849"/>
      <c r="U1313" s="849"/>
      <c r="V1313" s="849"/>
      <c r="W1313" s="849"/>
      <c r="X1313" s="849"/>
      <c r="Y1313" s="849"/>
      <c r="Z1313" s="849"/>
      <c r="AA1313" s="849"/>
      <c r="AB1313" s="849"/>
      <c r="AC1313" s="849"/>
      <c r="AD1313" s="849"/>
      <c r="AE1313" s="849"/>
      <c r="AF1313" s="849"/>
      <c r="AG1313" s="849"/>
      <c r="AH1313" s="849"/>
      <c r="AI1313" s="849"/>
      <c r="AJ1313" s="794"/>
      <c r="AK1313" s="794"/>
      <c r="AL1313" s="794"/>
      <c r="AM1313" s="794"/>
      <c r="AN1313" s="794"/>
      <c r="AO1313" s="853"/>
      <c r="AP1313" s="853"/>
      <c r="AQ1313" s="853"/>
      <c r="AR1313" s="853"/>
      <c r="AS1313" s="853"/>
      <c r="AT1313" s="794"/>
      <c r="AU1313" s="854"/>
      <c r="AV1313" s="794"/>
      <c r="AW1313" s="794"/>
      <c r="AX1313" s="794"/>
      <c r="AY1313" s="853"/>
      <c r="AZ1313" s="853"/>
    </row>
    <row r="1314" ht="15.0" customHeight="1">
      <c r="A1314" s="849"/>
      <c r="B1314" s="849"/>
      <c r="C1314" s="849"/>
      <c r="D1314" s="849"/>
      <c r="E1314" s="849"/>
      <c r="F1314" s="849"/>
      <c r="G1314" s="849"/>
      <c r="H1314" s="849"/>
      <c r="I1314" s="849"/>
      <c r="J1314" s="849"/>
      <c r="K1314" s="849"/>
      <c r="L1314" s="849"/>
      <c r="M1314" s="849"/>
      <c r="N1314" s="849"/>
      <c r="O1314" s="849"/>
      <c r="P1314" s="849"/>
      <c r="Q1314" s="849"/>
      <c r="R1314" s="849"/>
      <c r="S1314" s="849"/>
      <c r="T1314" s="849"/>
      <c r="U1314" s="849"/>
      <c r="V1314" s="849"/>
      <c r="W1314" s="849"/>
      <c r="X1314" s="849"/>
      <c r="Y1314" s="849"/>
      <c r="Z1314" s="849"/>
      <c r="AA1314" s="849"/>
      <c r="AB1314" s="849"/>
      <c r="AC1314" s="849"/>
      <c r="AD1314" s="849"/>
      <c r="AE1314" s="849"/>
      <c r="AF1314" s="849"/>
      <c r="AG1314" s="849"/>
      <c r="AH1314" s="849"/>
      <c r="AI1314" s="849"/>
      <c r="AJ1314" s="794"/>
      <c r="AK1314" s="794"/>
      <c r="AL1314" s="794"/>
      <c r="AM1314" s="794"/>
      <c r="AN1314" s="794"/>
      <c r="AO1314" s="853"/>
      <c r="AP1314" s="853"/>
      <c r="AQ1314" s="853"/>
      <c r="AR1314" s="853"/>
      <c r="AS1314" s="853"/>
      <c r="AT1314" s="794"/>
      <c r="AU1314" s="854"/>
      <c r="AV1314" s="794"/>
      <c r="AW1314" s="794"/>
      <c r="AX1314" s="794"/>
      <c r="AY1314" s="853"/>
      <c r="AZ1314" s="853"/>
    </row>
    <row r="1315" ht="15.0" customHeight="1">
      <c r="A1315" s="849"/>
      <c r="B1315" s="849"/>
      <c r="C1315" s="849"/>
      <c r="D1315" s="849"/>
      <c r="E1315" s="849"/>
      <c r="F1315" s="849"/>
      <c r="G1315" s="849"/>
      <c r="H1315" s="849"/>
      <c r="I1315" s="849"/>
      <c r="J1315" s="849"/>
      <c r="K1315" s="849"/>
      <c r="L1315" s="849"/>
      <c r="M1315" s="849"/>
      <c r="N1315" s="849"/>
      <c r="O1315" s="849"/>
      <c r="P1315" s="849"/>
      <c r="Q1315" s="849"/>
      <c r="R1315" s="849"/>
      <c r="S1315" s="849"/>
      <c r="T1315" s="849"/>
      <c r="U1315" s="849"/>
      <c r="V1315" s="849"/>
      <c r="W1315" s="849"/>
      <c r="X1315" s="849"/>
      <c r="Y1315" s="849"/>
      <c r="Z1315" s="849"/>
      <c r="AA1315" s="849"/>
      <c r="AB1315" s="849"/>
      <c r="AC1315" s="849"/>
      <c r="AD1315" s="849"/>
      <c r="AE1315" s="849"/>
      <c r="AF1315" s="849"/>
      <c r="AG1315" s="849"/>
      <c r="AH1315" s="849"/>
      <c r="AI1315" s="849"/>
      <c r="AJ1315" s="794"/>
      <c r="AK1315" s="794"/>
      <c r="AL1315" s="794"/>
      <c r="AM1315" s="794"/>
      <c r="AN1315" s="794"/>
      <c r="AO1315" s="853"/>
      <c r="AP1315" s="853"/>
      <c r="AQ1315" s="853"/>
      <c r="AR1315" s="853"/>
      <c r="AS1315" s="853"/>
      <c r="AT1315" s="794"/>
      <c r="AU1315" s="854"/>
      <c r="AV1315" s="794"/>
      <c r="AW1315" s="794"/>
      <c r="AX1315" s="794"/>
      <c r="AY1315" s="853"/>
      <c r="AZ1315" s="853"/>
    </row>
    <row r="1316" ht="15.0" customHeight="1">
      <c r="A1316" s="849"/>
      <c r="B1316" s="849"/>
      <c r="C1316" s="849"/>
      <c r="D1316" s="849"/>
      <c r="E1316" s="849"/>
      <c r="F1316" s="849"/>
      <c r="G1316" s="849"/>
      <c r="H1316" s="849"/>
      <c r="I1316" s="849"/>
      <c r="J1316" s="849"/>
      <c r="K1316" s="849"/>
      <c r="L1316" s="849"/>
      <c r="M1316" s="849"/>
      <c r="N1316" s="849"/>
      <c r="O1316" s="849"/>
      <c r="P1316" s="849"/>
      <c r="Q1316" s="849"/>
      <c r="R1316" s="849"/>
      <c r="S1316" s="849"/>
      <c r="T1316" s="849"/>
      <c r="U1316" s="849"/>
      <c r="V1316" s="849"/>
      <c r="W1316" s="849"/>
      <c r="X1316" s="849"/>
      <c r="Y1316" s="849"/>
      <c r="Z1316" s="849"/>
      <c r="AA1316" s="849"/>
      <c r="AB1316" s="849"/>
      <c r="AC1316" s="849"/>
      <c r="AD1316" s="849"/>
      <c r="AE1316" s="849"/>
      <c r="AF1316" s="849"/>
      <c r="AG1316" s="849"/>
      <c r="AH1316" s="849"/>
      <c r="AI1316" s="849"/>
      <c r="AJ1316" s="794"/>
      <c r="AK1316" s="794"/>
      <c r="AL1316" s="794"/>
      <c r="AM1316" s="794"/>
      <c r="AN1316" s="794"/>
      <c r="AO1316" s="853"/>
      <c r="AP1316" s="853"/>
      <c r="AQ1316" s="853"/>
      <c r="AR1316" s="853"/>
      <c r="AS1316" s="853"/>
      <c r="AT1316" s="794"/>
      <c r="AU1316" s="854"/>
      <c r="AV1316" s="794"/>
      <c r="AW1316" s="794"/>
      <c r="AX1316" s="794"/>
      <c r="AY1316" s="853"/>
      <c r="AZ1316" s="853"/>
    </row>
    <row r="1317" ht="15.0" customHeight="1">
      <c r="A1317" s="849"/>
      <c r="B1317" s="849"/>
      <c r="C1317" s="849"/>
      <c r="D1317" s="849"/>
      <c r="E1317" s="849"/>
      <c r="F1317" s="849"/>
      <c r="G1317" s="849"/>
      <c r="H1317" s="849"/>
      <c r="I1317" s="849"/>
      <c r="J1317" s="849"/>
      <c r="K1317" s="849"/>
      <c r="L1317" s="849"/>
      <c r="M1317" s="849"/>
      <c r="N1317" s="849"/>
      <c r="O1317" s="849"/>
      <c r="P1317" s="849"/>
      <c r="Q1317" s="849"/>
      <c r="R1317" s="849"/>
      <c r="S1317" s="849"/>
      <c r="T1317" s="849"/>
      <c r="U1317" s="849"/>
      <c r="V1317" s="849"/>
      <c r="W1317" s="849"/>
      <c r="X1317" s="849"/>
      <c r="Y1317" s="849"/>
      <c r="Z1317" s="849"/>
      <c r="AA1317" s="849"/>
      <c r="AB1317" s="849"/>
      <c r="AC1317" s="849"/>
      <c r="AD1317" s="849"/>
      <c r="AE1317" s="849"/>
      <c r="AF1317" s="849"/>
      <c r="AG1317" s="849"/>
      <c r="AH1317" s="849"/>
      <c r="AI1317" s="849"/>
      <c r="AJ1317" s="794"/>
      <c r="AK1317" s="794"/>
      <c r="AL1317" s="794"/>
      <c r="AM1317" s="794"/>
      <c r="AN1317" s="794"/>
      <c r="AO1317" s="853"/>
      <c r="AP1317" s="853"/>
      <c r="AQ1317" s="853"/>
      <c r="AR1317" s="853"/>
      <c r="AS1317" s="853"/>
      <c r="AT1317" s="794"/>
      <c r="AU1317" s="854"/>
      <c r="AV1317" s="794"/>
      <c r="AW1317" s="794"/>
      <c r="AX1317" s="794"/>
      <c r="AY1317" s="853"/>
      <c r="AZ1317" s="853"/>
    </row>
    <row r="1318" ht="15.0" customHeight="1">
      <c r="A1318" s="849"/>
      <c r="B1318" s="849"/>
      <c r="C1318" s="849"/>
      <c r="D1318" s="849"/>
      <c r="E1318" s="849"/>
      <c r="F1318" s="849"/>
      <c r="G1318" s="849"/>
      <c r="H1318" s="849"/>
      <c r="I1318" s="849"/>
      <c r="J1318" s="849"/>
      <c r="K1318" s="849"/>
      <c r="L1318" s="849"/>
      <c r="M1318" s="849"/>
      <c r="N1318" s="849"/>
      <c r="O1318" s="849"/>
      <c r="P1318" s="849"/>
      <c r="Q1318" s="849"/>
      <c r="R1318" s="849"/>
      <c r="S1318" s="849"/>
      <c r="T1318" s="849"/>
      <c r="U1318" s="849"/>
      <c r="V1318" s="849"/>
      <c r="W1318" s="849"/>
      <c r="X1318" s="849"/>
      <c r="Y1318" s="849"/>
      <c r="Z1318" s="849"/>
      <c r="AA1318" s="849"/>
      <c r="AB1318" s="849"/>
      <c r="AC1318" s="849"/>
      <c r="AD1318" s="849"/>
      <c r="AE1318" s="849"/>
      <c r="AF1318" s="849"/>
      <c r="AG1318" s="849"/>
      <c r="AH1318" s="849"/>
      <c r="AI1318" s="849"/>
      <c r="AJ1318" s="794"/>
      <c r="AK1318" s="794"/>
      <c r="AL1318" s="794"/>
      <c r="AM1318" s="794"/>
      <c r="AN1318" s="794"/>
      <c r="AO1318" s="853"/>
      <c r="AP1318" s="853"/>
      <c r="AQ1318" s="853"/>
      <c r="AR1318" s="853"/>
      <c r="AS1318" s="853"/>
      <c r="AT1318" s="794"/>
      <c r="AU1318" s="854"/>
      <c r="AV1318" s="794"/>
      <c r="AW1318" s="794"/>
      <c r="AX1318" s="794"/>
      <c r="AY1318" s="853"/>
      <c r="AZ1318" s="853"/>
    </row>
  </sheetData>
  <autoFilter ref="$A$2:$AZ$1118"/>
  <dataValidations>
    <dataValidation type="list" allowBlank="1" showErrorMessage="1" sqref="AP2">
      <formula1>$D$1:$D$26</formula1>
    </dataValidation>
  </dataValidations>
  <printOptions/>
  <pageMargins bottom="0.75" footer="0.0" header="0.0" left="0.7" right="0.7" top="0.75"/>
  <pageSetup scale="63" orientation="landscape"/>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outlineLevelCol="1"/>
  <cols>
    <col customWidth="1" min="1" max="1" width="8.0"/>
    <col customWidth="1" min="2" max="2" width="34.5"/>
    <col customWidth="1" min="3" max="3" width="16.63"/>
    <col customWidth="1" min="4" max="4" width="27.5"/>
    <col customWidth="1" min="5" max="5" width="8.38"/>
    <col customWidth="1" min="6" max="6" width="21.75"/>
    <col customWidth="1" hidden="1" min="7" max="7" width="28.63" outlineLevel="1"/>
    <col customWidth="1" hidden="1" min="8" max="8" width="3.25" outlineLevel="1"/>
    <col customWidth="1" hidden="1" min="9" max="9" width="35.38" outlineLevel="1"/>
    <col customWidth="1" hidden="1" min="10" max="12" width="9.38"/>
    <col customWidth="1" min="13" max="27" width="9.38"/>
  </cols>
  <sheetData>
    <row r="1">
      <c r="A1" s="284" t="s">
        <v>3405</v>
      </c>
      <c r="B1" s="284" t="s">
        <v>1199</v>
      </c>
      <c r="C1" s="856" t="s">
        <v>3406</v>
      </c>
      <c r="D1" s="856" t="s">
        <v>1236</v>
      </c>
      <c r="E1" s="856" t="s">
        <v>1238</v>
      </c>
      <c r="F1" s="4"/>
      <c r="G1" s="857" t="s">
        <v>3406</v>
      </c>
      <c r="I1" s="857" t="s">
        <v>1236</v>
      </c>
    </row>
    <row r="2" ht="15.0" customHeight="1">
      <c r="A2" s="284" t="s">
        <v>1244</v>
      </c>
      <c r="B2" s="284" t="s">
        <v>1245</v>
      </c>
      <c r="C2" s="858" t="s">
        <v>90</v>
      </c>
      <c r="D2" s="858" t="s">
        <v>111</v>
      </c>
      <c r="E2" s="858"/>
      <c r="F2" s="3"/>
      <c r="G2" s="859" t="s">
        <v>3407</v>
      </c>
      <c r="I2" s="859" t="str">
        <f>Print_Mois!C4</f>
        <v/>
      </c>
    </row>
    <row r="3" ht="15.0" customHeight="1">
      <c r="A3" s="284" t="s">
        <v>1246</v>
      </c>
      <c r="B3" s="284" t="s">
        <v>1247</v>
      </c>
      <c r="C3" s="858" t="s">
        <v>151</v>
      </c>
      <c r="D3" s="858" t="s">
        <v>111</v>
      </c>
      <c r="E3" s="858"/>
      <c r="F3" s="33"/>
      <c r="G3" s="859" t="str">
        <f>Print_Mois!K1</f>
        <v>Véhicules neufs</v>
      </c>
      <c r="I3" s="859" t="s">
        <v>80</v>
      </c>
    </row>
    <row r="4" ht="15.0" customHeight="1">
      <c r="A4" s="284" t="s">
        <v>1248</v>
      </c>
      <c r="B4" s="849" t="s">
        <v>1249</v>
      </c>
      <c r="C4" s="858" t="s">
        <v>899</v>
      </c>
      <c r="D4" s="858" t="s">
        <v>111</v>
      </c>
      <c r="E4" s="858"/>
      <c r="F4" s="33"/>
      <c r="G4" s="859" t="str">
        <f>Print_Mois!K89</f>
        <v>Véhicules usagés</v>
      </c>
      <c r="I4" s="859" t="str">
        <f>Print_Mois!C258</f>
        <v>Ajustement M/O</v>
      </c>
      <c r="K4" s="860" t="s">
        <v>3408</v>
      </c>
    </row>
    <row r="5" ht="15.0" customHeight="1">
      <c r="A5" s="284" t="s">
        <v>1250</v>
      </c>
      <c r="B5" s="284" t="s">
        <v>1251</v>
      </c>
      <c r="C5" s="858" t="s">
        <v>90</v>
      </c>
      <c r="D5" s="858" t="s">
        <v>113</v>
      </c>
      <c r="E5" s="858"/>
      <c r="F5" s="33"/>
      <c r="G5" s="859" t="str">
        <f>Print_Mois!AE489</f>
        <v/>
      </c>
      <c r="I5" s="859" t="s">
        <v>67</v>
      </c>
      <c r="K5" s="5" t="s">
        <v>3409</v>
      </c>
    </row>
    <row r="6" ht="15.0" customHeight="1">
      <c r="A6" s="284" t="s">
        <v>1252</v>
      </c>
      <c r="B6" s="284" t="s">
        <v>1253</v>
      </c>
      <c r="C6" s="858" t="s">
        <v>151</v>
      </c>
      <c r="D6" s="858" t="s">
        <v>113</v>
      </c>
      <c r="E6" s="858"/>
      <c r="F6" s="33"/>
      <c r="G6" s="859" t="str">
        <f>Print_Mois!K242</f>
        <v>Service</v>
      </c>
      <c r="I6" s="859" t="s">
        <v>69</v>
      </c>
      <c r="K6" s="5" t="s">
        <v>3410</v>
      </c>
    </row>
    <row r="7" ht="15.0" customHeight="1">
      <c r="A7" s="284" t="s">
        <v>1254</v>
      </c>
      <c r="B7" s="284" t="s">
        <v>1249</v>
      </c>
      <c r="C7" s="858" t="s">
        <v>899</v>
      </c>
      <c r="D7" s="858" t="s">
        <v>113</v>
      </c>
      <c r="E7" s="858"/>
      <c r="F7" s="33"/>
      <c r="G7" s="859" t="str">
        <f>Print_Mois!K310</f>
        <v>Carrosserie</v>
      </c>
      <c r="I7" s="859" t="str">
        <f>Print_Mois!V578</f>
        <v>Amortissement</v>
      </c>
      <c r="K7" s="5" t="s">
        <v>729</v>
      </c>
    </row>
    <row r="8" ht="15.0" customHeight="1">
      <c r="A8" s="284" t="s">
        <v>1265</v>
      </c>
      <c r="B8" s="284" t="s">
        <v>1266</v>
      </c>
      <c r="C8" s="858" t="s">
        <v>90</v>
      </c>
      <c r="D8" s="858" t="s">
        <v>114</v>
      </c>
      <c r="E8" s="858"/>
      <c r="F8" s="33"/>
      <c r="G8" s="859" t="str">
        <f>Print_Mois!K367</f>
        <v>Pièces</v>
      </c>
      <c r="I8" s="859" t="s">
        <v>82</v>
      </c>
      <c r="K8" s="5" t="s">
        <v>161</v>
      </c>
    </row>
    <row r="9" ht="15.0" customHeight="1">
      <c r="A9" s="284" t="s">
        <v>1267</v>
      </c>
      <c r="B9" s="284" t="s">
        <v>1268</v>
      </c>
      <c r="C9" s="858" t="s">
        <v>151</v>
      </c>
      <c r="D9" s="858" t="s">
        <v>114</v>
      </c>
      <c r="E9" s="858"/>
      <c r="F9" s="33"/>
      <c r="G9" s="859"/>
      <c r="I9" s="859"/>
      <c r="K9" s="5"/>
    </row>
    <row r="10" ht="15.0" customHeight="1">
      <c r="A10" s="284" t="s">
        <v>1269</v>
      </c>
      <c r="B10" s="284" t="s">
        <v>1270</v>
      </c>
      <c r="C10" s="858" t="s">
        <v>899</v>
      </c>
      <c r="D10" s="858" t="s">
        <v>114</v>
      </c>
      <c r="E10" s="858"/>
      <c r="F10" s="33"/>
      <c r="G10" s="859"/>
      <c r="I10" s="859"/>
      <c r="K10" s="5"/>
    </row>
    <row r="11" ht="15.0" customHeight="1">
      <c r="A11" s="284" t="s">
        <v>1279</v>
      </c>
      <c r="B11" s="284" t="s">
        <v>1280</v>
      </c>
      <c r="C11" s="858" t="s">
        <v>90</v>
      </c>
      <c r="D11" s="858" t="s">
        <v>198</v>
      </c>
      <c r="E11" s="858"/>
      <c r="F11" s="33"/>
      <c r="G11" s="859"/>
      <c r="I11" s="859"/>
      <c r="K11" s="5"/>
    </row>
    <row r="12" ht="15.0" customHeight="1">
      <c r="A12" s="284" t="s">
        <v>1282</v>
      </c>
      <c r="B12" s="284" t="s">
        <v>1283</v>
      </c>
      <c r="C12" s="858" t="s">
        <v>151</v>
      </c>
      <c r="D12" s="858" t="s">
        <v>198</v>
      </c>
      <c r="E12" s="858"/>
      <c r="F12" s="33"/>
      <c r="G12" s="859"/>
      <c r="I12" s="859" t="s">
        <v>3411</v>
      </c>
      <c r="K12" s="860" t="s">
        <v>3412</v>
      </c>
    </row>
    <row r="13" ht="15.0" customHeight="1">
      <c r="A13" s="284" t="s">
        <v>1284</v>
      </c>
      <c r="B13" s="284" t="s">
        <v>1285</v>
      </c>
      <c r="C13" s="858" t="s">
        <v>161</v>
      </c>
      <c r="D13" s="858" t="s">
        <v>198</v>
      </c>
      <c r="E13" s="858"/>
      <c r="F13" s="33"/>
      <c r="I13" s="859" t="str">
        <f>Print_Mois!C6</f>
        <v>Autos détail</v>
      </c>
      <c r="K13" s="5" t="s">
        <v>3410</v>
      </c>
    </row>
    <row r="14" ht="15.0" customHeight="1">
      <c r="A14" s="284" t="s">
        <v>1286</v>
      </c>
      <c r="B14" s="284" t="s">
        <v>1287</v>
      </c>
      <c r="C14" s="858" t="s">
        <v>174</v>
      </c>
      <c r="D14" s="858" t="s">
        <v>198</v>
      </c>
      <c r="E14" s="858"/>
      <c r="F14" s="33"/>
      <c r="I14" s="859" t="s">
        <v>171</v>
      </c>
    </row>
    <row r="15" ht="15.0" customHeight="1">
      <c r="A15" s="284" t="s">
        <v>1288</v>
      </c>
      <c r="B15" s="284" t="s">
        <v>1289</v>
      </c>
      <c r="C15" s="858" t="s">
        <v>178</v>
      </c>
      <c r="D15" s="858" t="s">
        <v>198</v>
      </c>
      <c r="E15" s="858"/>
      <c r="F15" s="33"/>
      <c r="I15" s="859" t="str">
        <f>Print_Mois!C388</f>
        <v>Autostock</v>
      </c>
      <c r="K15" s="5" t="s">
        <v>729</v>
      </c>
    </row>
    <row r="16" ht="15.0" customHeight="1">
      <c r="A16" s="284" t="s">
        <v>1294</v>
      </c>
      <c r="B16" s="284" t="s">
        <v>1295</v>
      </c>
      <c r="C16" s="858" t="s">
        <v>90</v>
      </c>
      <c r="D16" s="858" t="s">
        <v>119</v>
      </c>
      <c r="E16" s="858"/>
      <c r="F16" s="33"/>
      <c r="I16" s="859" t="s">
        <v>54</v>
      </c>
      <c r="K16" s="860" t="s">
        <v>3413</v>
      </c>
    </row>
    <row r="17" ht="15.0" customHeight="1">
      <c r="A17" s="284" t="s">
        <v>1298</v>
      </c>
      <c r="B17" s="284" t="s">
        <v>1299</v>
      </c>
      <c r="C17" s="858" t="s">
        <v>151</v>
      </c>
      <c r="D17" s="858" t="s">
        <v>119</v>
      </c>
      <c r="E17" s="858"/>
      <c r="F17" s="33"/>
      <c r="I17" s="859" t="s">
        <v>28</v>
      </c>
      <c r="K17" s="5" t="s">
        <v>729</v>
      </c>
    </row>
    <row r="18" ht="15.0" customHeight="1">
      <c r="A18" s="284" t="s">
        <v>1300</v>
      </c>
      <c r="B18" s="284" t="s">
        <v>1301</v>
      </c>
      <c r="C18" s="858" t="s">
        <v>899</v>
      </c>
      <c r="D18" s="858" t="s">
        <v>119</v>
      </c>
      <c r="E18" s="858"/>
      <c r="F18" s="33"/>
      <c r="I18" s="859"/>
      <c r="K18" s="5"/>
    </row>
    <row r="19" ht="15.0" customHeight="1">
      <c r="A19" s="284" t="s">
        <v>1302</v>
      </c>
      <c r="B19" s="284" t="s">
        <v>1303</v>
      </c>
      <c r="C19" s="858" t="s">
        <v>161</v>
      </c>
      <c r="D19" s="858" t="s">
        <v>119</v>
      </c>
      <c r="E19" s="858"/>
      <c r="F19" s="33"/>
      <c r="I19" s="859" t="s">
        <v>51</v>
      </c>
    </row>
    <row r="20" ht="15.0" customHeight="1">
      <c r="A20" s="284" t="s">
        <v>1304</v>
      </c>
      <c r="B20" s="284" t="s">
        <v>1305</v>
      </c>
      <c r="C20" s="858" t="s">
        <v>174</v>
      </c>
      <c r="D20" s="858" t="s">
        <v>119</v>
      </c>
      <c r="E20" s="858"/>
      <c r="F20" s="33"/>
      <c r="I20" s="859" t="s">
        <v>79</v>
      </c>
    </row>
    <row r="21" ht="15.0" customHeight="1">
      <c r="A21" s="284" t="s">
        <v>1306</v>
      </c>
      <c r="B21" s="284" t="s">
        <v>1307</v>
      </c>
      <c r="C21" s="858" t="s">
        <v>178</v>
      </c>
      <c r="D21" s="858" t="s">
        <v>119</v>
      </c>
      <c r="E21" s="858"/>
      <c r="F21" s="33"/>
      <c r="I21" s="859" t="s">
        <v>64</v>
      </c>
    </row>
    <row r="22" ht="15.0" customHeight="1">
      <c r="A22" s="284" t="s">
        <v>1308</v>
      </c>
      <c r="B22" s="284" t="s">
        <v>1309</v>
      </c>
      <c r="C22" s="858" t="s">
        <v>1025</v>
      </c>
      <c r="D22" s="858" t="s">
        <v>119</v>
      </c>
      <c r="E22" s="858"/>
      <c r="F22" s="33"/>
      <c r="I22" s="859" t="s">
        <v>65</v>
      </c>
    </row>
    <row r="23" ht="15.0" customHeight="1">
      <c r="A23" s="284" t="s">
        <v>1314</v>
      </c>
      <c r="B23" s="284" t="s">
        <v>1315</v>
      </c>
      <c r="C23" s="858" t="s">
        <v>90</v>
      </c>
      <c r="D23" s="858" t="s">
        <v>120</v>
      </c>
      <c r="E23" s="858"/>
      <c r="F23" s="33"/>
      <c r="I23" s="859" t="s">
        <v>83</v>
      </c>
    </row>
    <row r="24" ht="15.0" customHeight="1">
      <c r="A24" s="284" t="s">
        <v>1318</v>
      </c>
      <c r="B24" s="284" t="s">
        <v>1319</v>
      </c>
      <c r="C24" s="858" t="s">
        <v>151</v>
      </c>
      <c r="D24" s="858" t="s">
        <v>120</v>
      </c>
      <c r="E24" s="858"/>
      <c r="F24" s="33"/>
      <c r="I24" s="859" t="s">
        <v>193</v>
      </c>
    </row>
    <row r="25" ht="15.0" customHeight="1">
      <c r="A25" s="284" t="s">
        <v>1320</v>
      </c>
      <c r="B25" s="284" t="s">
        <v>1321</v>
      </c>
      <c r="C25" s="858" t="s">
        <v>899</v>
      </c>
      <c r="D25" s="858" t="s">
        <v>120</v>
      </c>
      <c r="E25" s="858"/>
      <c r="F25" s="33"/>
      <c r="I25" s="859" t="s">
        <v>98</v>
      </c>
    </row>
    <row r="26" ht="15.0" customHeight="1">
      <c r="A26" s="284" t="s">
        <v>1322</v>
      </c>
      <c r="B26" s="284" t="s">
        <v>1323</v>
      </c>
      <c r="C26" s="858" t="s">
        <v>161</v>
      </c>
      <c r="D26" s="858" t="s">
        <v>120</v>
      </c>
      <c r="E26" s="858"/>
      <c r="F26" s="33"/>
      <c r="I26" s="859" t="s">
        <v>81</v>
      </c>
    </row>
    <row r="27" ht="15.0" customHeight="1">
      <c r="A27" s="284" t="s">
        <v>1324</v>
      </c>
      <c r="B27" s="284" t="s">
        <v>1325</v>
      </c>
      <c r="C27" s="858" t="s">
        <v>174</v>
      </c>
      <c r="D27" s="858" t="s">
        <v>120</v>
      </c>
      <c r="E27" s="858"/>
      <c r="F27" s="33"/>
      <c r="I27" s="859" t="str">
        <f>Print_Mois!C94</f>
        <v>Certifié</v>
      </c>
    </row>
    <row r="28" ht="15.0" customHeight="1">
      <c r="A28" s="284" t="s">
        <v>1326</v>
      </c>
      <c r="B28" s="284" t="s">
        <v>1327</v>
      </c>
      <c r="C28" s="858" t="s">
        <v>178</v>
      </c>
      <c r="D28" s="858" t="s">
        <v>120</v>
      </c>
      <c r="E28" s="858"/>
      <c r="F28" s="33"/>
      <c r="I28" s="859" t="str">
        <f>Print_Mois!V545</f>
        <v>Chauffage, éclairage</v>
      </c>
    </row>
    <row r="29" ht="15.0" customHeight="1">
      <c r="A29" s="284" t="s">
        <v>1328</v>
      </c>
      <c r="B29" s="284" t="s">
        <v>1329</v>
      </c>
      <c r="C29" s="858" t="s">
        <v>1025</v>
      </c>
      <c r="D29" s="858" t="s">
        <v>120</v>
      </c>
      <c r="E29" s="858"/>
      <c r="F29" s="33"/>
      <c r="I29" s="859"/>
    </row>
    <row r="30" ht="15.0" customHeight="1">
      <c r="A30" s="284" t="s">
        <v>1334</v>
      </c>
      <c r="B30" s="284" t="s">
        <v>1335</v>
      </c>
      <c r="C30" s="858" t="s">
        <v>90</v>
      </c>
      <c r="D30" s="858" t="s">
        <v>121</v>
      </c>
      <c r="E30" s="858"/>
      <c r="F30" s="33"/>
      <c r="I30" s="859" t="str">
        <f>Print_Mois!C31</f>
        <v>Comm. vendeurs</v>
      </c>
    </row>
    <row r="31" ht="15.0" customHeight="1">
      <c r="A31" s="284" t="s">
        <v>1338</v>
      </c>
      <c r="B31" s="284" t="s">
        <v>1339</v>
      </c>
      <c r="C31" s="858" t="s">
        <v>151</v>
      </c>
      <c r="D31" s="858" t="s">
        <v>121</v>
      </c>
      <c r="E31" s="858"/>
      <c r="F31" s="33"/>
      <c r="I31" s="859" t="s">
        <v>3414</v>
      </c>
    </row>
    <row r="32" ht="15.0" customHeight="1">
      <c r="A32" s="284" t="s">
        <v>1340</v>
      </c>
      <c r="B32" s="284" t="s">
        <v>1341</v>
      </c>
      <c r="C32" s="858" t="s">
        <v>899</v>
      </c>
      <c r="D32" s="858" t="s">
        <v>121</v>
      </c>
      <c r="E32" s="858"/>
      <c r="F32" s="33"/>
      <c r="I32" s="859" t="s">
        <v>3415</v>
      </c>
    </row>
    <row r="33" ht="15.0" customHeight="1">
      <c r="A33" s="284" t="s">
        <v>1342</v>
      </c>
      <c r="B33" s="284" t="s">
        <v>1343</v>
      </c>
      <c r="C33" s="858" t="s">
        <v>161</v>
      </c>
      <c r="D33" s="858" t="s">
        <v>121</v>
      </c>
      <c r="E33" s="858"/>
      <c r="F33" s="33"/>
      <c r="I33" s="859" t="str">
        <f>Print_Mois!V518</f>
        <v>Csst</v>
      </c>
    </row>
    <row r="34" ht="15.0" customHeight="1">
      <c r="A34" s="284" t="s">
        <v>1346</v>
      </c>
      <c r="B34" s="284" t="s">
        <v>1347</v>
      </c>
      <c r="C34" s="858" t="s">
        <v>174</v>
      </c>
      <c r="D34" s="858" t="s">
        <v>121</v>
      </c>
      <c r="E34" s="858"/>
      <c r="F34" s="33"/>
      <c r="I34" s="859" t="s">
        <v>52</v>
      </c>
    </row>
    <row r="35" ht="15.0" customHeight="1">
      <c r="A35" s="284" t="s">
        <v>1348</v>
      </c>
      <c r="B35" s="284" t="s">
        <v>1349</v>
      </c>
      <c r="C35" s="858" t="s">
        <v>178</v>
      </c>
      <c r="D35" s="858" t="s">
        <v>121</v>
      </c>
      <c r="E35" s="858"/>
      <c r="F35" s="33"/>
      <c r="I35" s="859"/>
    </row>
    <row r="36" ht="15.0" customHeight="1">
      <c r="A36" s="284" t="s">
        <v>1350</v>
      </c>
      <c r="B36" s="284" t="s">
        <v>1351</v>
      </c>
      <c r="C36" s="858" t="s">
        <v>1025</v>
      </c>
      <c r="D36" s="858" t="s">
        <v>121</v>
      </c>
      <c r="E36" s="858"/>
      <c r="F36" s="33"/>
      <c r="I36" s="859" t="str">
        <f>Print_Mois!V516</f>
        <v>Déduction à la source</v>
      </c>
    </row>
    <row r="37" ht="15.0" customHeight="1">
      <c r="A37" s="284" t="s">
        <v>1356</v>
      </c>
      <c r="B37" s="284" t="s">
        <v>1357</v>
      </c>
      <c r="C37" s="858" t="s">
        <v>90</v>
      </c>
      <c r="D37" s="858" t="s">
        <v>123</v>
      </c>
      <c r="E37" s="858"/>
      <c r="F37" s="33"/>
      <c r="I37" s="859" t="str">
        <f>Print_Mois!V533</f>
        <v>Divers</v>
      </c>
    </row>
    <row r="38" ht="15.0" customHeight="1">
      <c r="A38" s="284" t="s">
        <v>1358</v>
      </c>
      <c r="B38" s="284" t="s">
        <v>1359</v>
      </c>
      <c r="C38" s="858" t="s">
        <v>151</v>
      </c>
      <c r="D38" s="858" t="s">
        <v>123</v>
      </c>
      <c r="E38" s="858"/>
      <c r="F38" s="33"/>
      <c r="I38" s="859" t="s">
        <v>84</v>
      </c>
    </row>
    <row r="39" ht="15.0" customHeight="1">
      <c r="A39" s="284" t="s">
        <v>1360</v>
      </c>
      <c r="B39" s="284" t="s">
        <v>1361</v>
      </c>
      <c r="C39" s="858" t="s">
        <v>899</v>
      </c>
      <c r="D39" s="858" t="s">
        <v>123</v>
      </c>
      <c r="E39" s="858"/>
      <c r="F39" s="33"/>
      <c r="I39" s="859" t="s">
        <v>208</v>
      </c>
    </row>
    <row r="40" ht="15.0" customHeight="1">
      <c r="A40" s="284" t="s">
        <v>1362</v>
      </c>
      <c r="B40" s="284" t="s">
        <v>1363</v>
      </c>
      <c r="C40" s="858" t="s">
        <v>161</v>
      </c>
      <c r="D40" s="858" t="s">
        <v>123</v>
      </c>
      <c r="E40" s="858"/>
      <c r="F40" s="33"/>
      <c r="I40" s="859" t="s">
        <v>44</v>
      </c>
    </row>
    <row r="41" ht="15.0" customHeight="1">
      <c r="A41" s="284" t="s">
        <v>1364</v>
      </c>
      <c r="B41" s="284" t="s">
        <v>1365</v>
      </c>
      <c r="C41" s="858" t="s">
        <v>174</v>
      </c>
      <c r="D41" s="858" t="s">
        <v>123</v>
      </c>
      <c r="E41" s="858"/>
      <c r="F41" s="33"/>
      <c r="I41" s="859" t="s">
        <v>46</v>
      </c>
    </row>
    <row r="42" ht="15.0" customHeight="1">
      <c r="A42" s="284" t="s">
        <v>1366</v>
      </c>
      <c r="B42" s="284" t="s">
        <v>1367</v>
      </c>
      <c r="C42" s="858" t="s">
        <v>178</v>
      </c>
      <c r="D42" s="858" t="s">
        <v>123</v>
      </c>
      <c r="E42" s="858"/>
      <c r="F42" s="33"/>
      <c r="I42" s="859" t="s">
        <v>22</v>
      </c>
    </row>
    <row r="43" ht="15.0" customHeight="1">
      <c r="A43" s="284" t="s">
        <v>1368</v>
      </c>
      <c r="B43" s="284" t="s">
        <v>1369</v>
      </c>
      <c r="C43" s="858" t="s">
        <v>1025</v>
      </c>
      <c r="D43" s="858" t="s">
        <v>123</v>
      </c>
      <c r="E43" s="858"/>
      <c r="F43" s="33"/>
      <c r="I43" s="859" t="s">
        <v>76</v>
      </c>
    </row>
    <row r="44" ht="15.0" customHeight="1">
      <c r="A44" s="284" t="s">
        <v>1374</v>
      </c>
      <c r="B44" s="284" t="s">
        <v>1375</v>
      </c>
      <c r="C44" s="858" t="s">
        <v>90</v>
      </c>
      <c r="D44" s="858" t="s">
        <v>124</v>
      </c>
      <c r="E44" s="858"/>
      <c r="F44" s="33"/>
      <c r="I44" s="859" t="s">
        <v>73</v>
      </c>
    </row>
    <row r="45" ht="15.0" customHeight="1">
      <c r="A45" s="284" t="s">
        <v>1378</v>
      </c>
      <c r="B45" s="284" t="s">
        <v>1379</v>
      </c>
      <c r="C45" s="858" t="s">
        <v>151</v>
      </c>
      <c r="D45" s="858" t="s">
        <v>124</v>
      </c>
      <c r="E45" s="858"/>
      <c r="F45" s="33"/>
      <c r="I45" s="859" t="s">
        <v>71</v>
      </c>
    </row>
    <row r="46" ht="15.0" customHeight="1">
      <c r="A46" s="284" t="s">
        <v>1380</v>
      </c>
      <c r="B46" s="284" t="s">
        <v>1381</v>
      </c>
      <c r="C46" s="858" t="s">
        <v>899</v>
      </c>
      <c r="D46" s="858" t="s">
        <v>124</v>
      </c>
      <c r="E46" s="858"/>
      <c r="F46" s="33"/>
      <c r="I46" s="859" t="s">
        <v>74</v>
      </c>
    </row>
    <row r="47" ht="15.0" customHeight="1">
      <c r="A47" s="284" t="s">
        <v>1382</v>
      </c>
      <c r="B47" s="284" t="s">
        <v>1383</v>
      </c>
      <c r="C47" s="858" t="s">
        <v>161</v>
      </c>
      <c r="D47" s="858" t="s">
        <v>124</v>
      </c>
      <c r="E47" s="858"/>
      <c r="F47" s="33"/>
      <c r="I47" s="859" t="str">
        <f>Print_Mois!C378</f>
        <v>Escomptes</v>
      </c>
    </row>
    <row r="48" ht="15.0" customHeight="1">
      <c r="A48" s="284" t="s">
        <v>1384</v>
      </c>
      <c r="B48" s="284" t="s">
        <v>1385</v>
      </c>
      <c r="C48" s="858" t="s">
        <v>174</v>
      </c>
      <c r="D48" s="858" t="s">
        <v>124</v>
      </c>
      <c r="E48" s="858"/>
      <c r="F48" s="33"/>
      <c r="I48" s="859" t="str">
        <f>Print_Mois!C15</f>
        <v>Ex-Démos et courtoisies</v>
      </c>
    </row>
    <row r="49" ht="15.0" customHeight="1">
      <c r="A49" s="284" t="s">
        <v>1386</v>
      </c>
      <c r="B49" s="284" t="s">
        <v>1387</v>
      </c>
      <c r="C49" s="858" t="s">
        <v>178</v>
      </c>
      <c r="D49" s="858" t="s">
        <v>124</v>
      </c>
      <c r="E49" s="858"/>
      <c r="F49" s="33"/>
      <c r="I49" s="859" t="str">
        <f>Print_Mois!C17</f>
        <v>Flottes</v>
      </c>
    </row>
    <row r="50" ht="15.0" customHeight="1">
      <c r="A50" s="284" t="s">
        <v>1388</v>
      </c>
      <c r="B50" s="284" t="s">
        <v>1389</v>
      </c>
      <c r="C50" s="858" t="s">
        <v>1025</v>
      </c>
      <c r="D50" s="858" t="s">
        <v>124</v>
      </c>
      <c r="E50" s="858"/>
      <c r="F50" s="33"/>
      <c r="I50" s="859" t="s">
        <v>3416</v>
      </c>
    </row>
    <row r="51" ht="15.0" customHeight="1">
      <c r="A51" s="284" t="s">
        <v>1394</v>
      </c>
      <c r="B51" s="284" t="s">
        <v>1395</v>
      </c>
      <c r="C51" s="858" t="s">
        <v>90</v>
      </c>
      <c r="D51" s="858" t="s">
        <v>125</v>
      </c>
      <c r="E51" s="858"/>
      <c r="F51" s="33"/>
      <c r="I51" s="859" t="str">
        <f>Print_Mois!V528</f>
        <v>Fournitures autres</v>
      </c>
    </row>
    <row r="52" ht="15.0" customHeight="1">
      <c r="A52" s="284" t="s">
        <v>1397</v>
      </c>
      <c r="B52" s="284" t="s">
        <v>1398</v>
      </c>
      <c r="C52" s="858" t="s">
        <v>151</v>
      </c>
      <c r="D52" s="858" t="s">
        <v>125</v>
      </c>
      <c r="E52" s="858"/>
      <c r="F52" s="33"/>
      <c r="I52" s="859" t="str">
        <f>Print_Mois!V567</f>
        <v>Frais administration</v>
      </c>
    </row>
    <row r="53" ht="15.0" customHeight="1">
      <c r="A53" s="284" t="s">
        <v>1399</v>
      </c>
      <c r="B53" s="284" t="s">
        <v>1400</v>
      </c>
      <c r="C53" s="858" t="s">
        <v>899</v>
      </c>
      <c r="D53" s="858" t="s">
        <v>125</v>
      </c>
      <c r="E53" s="858"/>
      <c r="F53" s="33"/>
      <c r="I53" s="859"/>
    </row>
    <row r="54" ht="15.0" customHeight="1">
      <c r="A54" s="284" t="s">
        <v>1401</v>
      </c>
      <c r="B54" s="284" t="s">
        <v>1402</v>
      </c>
      <c r="C54" s="858" t="s">
        <v>161</v>
      </c>
      <c r="D54" s="858" t="s">
        <v>125</v>
      </c>
      <c r="E54" s="858"/>
      <c r="F54" s="33"/>
      <c r="I54" s="859"/>
    </row>
    <row r="55" ht="15.0" customHeight="1">
      <c r="A55" s="284" t="s">
        <v>1403</v>
      </c>
      <c r="B55" s="284" t="s">
        <v>1404</v>
      </c>
      <c r="C55" s="858" t="s">
        <v>174</v>
      </c>
      <c r="D55" s="858" t="s">
        <v>125</v>
      </c>
      <c r="E55" s="858"/>
      <c r="F55" s="33"/>
      <c r="I55" s="859" t="s">
        <v>141</v>
      </c>
    </row>
    <row r="56" ht="15.0" customHeight="1">
      <c r="A56" s="284" t="s">
        <v>1405</v>
      </c>
      <c r="B56" s="284" t="s">
        <v>1406</v>
      </c>
      <c r="C56" s="858" t="s">
        <v>178</v>
      </c>
      <c r="D56" s="858" t="s">
        <v>125</v>
      </c>
      <c r="E56" s="858"/>
      <c r="F56" s="33"/>
      <c r="I56" s="859"/>
    </row>
    <row r="57" ht="15.0" customHeight="1">
      <c r="A57" s="284" t="s">
        <v>1407</v>
      </c>
      <c r="B57" s="284" t="s">
        <v>1408</v>
      </c>
      <c r="C57" s="858" t="s">
        <v>1025</v>
      </c>
      <c r="D57" s="858" t="s">
        <v>125</v>
      </c>
      <c r="E57" s="858"/>
      <c r="F57" s="33"/>
      <c r="I57" s="859" t="str">
        <f>Print_Mois!V538</f>
        <v>[...]</v>
      </c>
    </row>
    <row r="58" ht="15.0" customHeight="1">
      <c r="A58" s="284" t="s">
        <v>1415</v>
      </c>
      <c r="B58" s="284" t="s">
        <v>1416</v>
      </c>
      <c r="C58" s="858" t="s">
        <v>90</v>
      </c>
      <c r="D58" s="858" t="s">
        <v>126</v>
      </c>
      <c r="E58" s="858"/>
      <c r="F58" s="33"/>
      <c r="I58" s="859" t="s">
        <v>3417</v>
      </c>
    </row>
    <row r="59" ht="15.0" customHeight="1">
      <c r="A59" s="284" t="s">
        <v>1419</v>
      </c>
      <c r="B59" s="284" t="s">
        <v>1420</v>
      </c>
      <c r="C59" s="858" t="s">
        <v>151</v>
      </c>
      <c r="D59" s="858" t="s">
        <v>126</v>
      </c>
      <c r="E59" s="858"/>
      <c r="F59" s="33"/>
      <c r="I59" s="859" t="str">
        <f>Print_Mois!V532</f>
        <v>Frais postaux</v>
      </c>
    </row>
    <row r="60" ht="15.0" customHeight="1">
      <c r="A60" s="284" t="s">
        <v>1421</v>
      </c>
      <c r="B60" s="284" t="s">
        <v>1422</v>
      </c>
      <c r="C60" s="858" t="s">
        <v>899</v>
      </c>
      <c r="D60" s="858" t="s">
        <v>126</v>
      </c>
      <c r="E60" s="858"/>
      <c r="F60" s="33"/>
      <c r="I60" s="859" t="s">
        <v>3418</v>
      </c>
    </row>
    <row r="61" ht="15.0" customHeight="1">
      <c r="A61" s="284" t="s">
        <v>1423</v>
      </c>
      <c r="B61" s="284" t="s">
        <v>1424</v>
      </c>
      <c r="C61" s="858" t="s">
        <v>161</v>
      </c>
      <c r="D61" s="858" t="s">
        <v>126</v>
      </c>
      <c r="E61" s="858"/>
      <c r="F61" s="33"/>
      <c r="I61" s="859" t="str">
        <f>Print_Mois!V523</f>
        <v>Frais véhicules de cie</v>
      </c>
    </row>
    <row r="62" ht="15.0" customHeight="1">
      <c r="A62" s="284" t="s">
        <v>1425</v>
      </c>
      <c r="B62" s="284" t="s">
        <v>1426</v>
      </c>
      <c r="C62" s="858" t="s">
        <v>174</v>
      </c>
      <c r="D62" s="858" t="s">
        <v>126</v>
      </c>
      <c r="E62" s="858"/>
      <c r="F62" s="33"/>
      <c r="I62" s="859"/>
    </row>
    <row r="63" ht="15.0" customHeight="1">
      <c r="A63" s="284" t="s">
        <v>1427</v>
      </c>
      <c r="B63" s="284" t="s">
        <v>1428</v>
      </c>
      <c r="C63" s="858" t="s">
        <v>178</v>
      </c>
      <c r="D63" s="858" t="s">
        <v>126</v>
      </c>
      <c r="E63" s="858"/>
      <c r="F63" s="33"/>
      <c r="I63" s="859" t="s">
        <v>3419</v>
      </c>
    </row>
    <row r="64" ht="15.0" customHeight="1">
      <c r="A64" s="284" t="s">
        <v>1429</v>
      </c>
      <c r="B64" s="284" t="s">
        <v>3420</v>
      </c>
      <c r="C64" s="858" t="s">
        <v>1025</v>
      </c>
      <c r="D64" s="858" t="s">
        <v>126</v>
      </c>
      <c r="E64" s="858"/>
      <c r="F64" s="33"/>
      <c r="I64" s="859" t="str">
        <f>Print_Mois!V557</f>
        <v>Holdbacks</v>
      </c>
    </row>
    <row r="65" ht="15.0" customHeight="1">
      <c r="A65" s="284" t="s">
        <v>1435</v>
      </c>
      <c r="B65" s="284" t="s">
        <v>1436</v>
      </c>
      <c r="C65" s="858" t="s">
        <v>90</v>
      </c>
      <c r="D65" s="858" t="s">
        <v>138</v>
      </c>
      <c r="E65" s="858"/>
      <c r="F65" s="33"/>
      <c r="I65" s="859" t="s">
        <v>66</v>
      </c>
    </row>
    <row r="66" ht="15.0" customHeight="1">
      <c r="A66" s="284" t="s">
        <v>1437</v>
      </c>
      <c r="B66" s="284" t="s">
        <v>1438</v>
      </c>
      <c r="C66" s="858" t="s">
        <v>151</v>
      </c>
      <c r="D66" s="858" t="s">
        <v>138</v>
      </c>
      <c r="E66" s="858"/>
      <c r="F66" s="33"/>
      <c r="I66" s="859" t="s">
        <v>34</v>
      </c>
    </row>
    <row r="67" ht="15.0" customHeight="1">
      <c r="A67" s="284" t="s">
        <v>1439</v>
      </c>
      <c r="B67" s="284" t="s">
        <v>1440</v>
      </c>
      <c r="C67" s="858" t="s">
        <v>899</v>
      </c>
      <c r="D67" s="858" t="s">
        <v>138</v>
      </c>
      <c r="E67" s="858"/>
      <c r="F67" s="33"/>
      <c r="I67" s="859" t="s">
        <v>62</v>
      </c>
    </row>
    <row r="68" ht="15.0" customHeight="1">
      <c r="A68" s="284" t="s">
        <v>1441</v>
      </c>
      <c r="B68" s="284" t="s">
        <v>1442</v>
      </c>
      <c r="C68" s="858" t="s">
        <v>161</v>
      </c>
      <c r="D68" s="858" t="s">
        <v>138</v>
      </c>
      <c r="E68" s="858"/>
      <c r="F68" s="33"/>
      <c r="I68" s="859" t="str">
        <f>Print_Mois!V524</f>
        <v>Informatique</v>
      </c>
    </row>
    <row r="69" ht="15.0" customHeight="1">
      <c r="A69" s="284" t="s">
        <v>1443</v>
      </c>
      <c r="B69" s="284" t="s">
        <v>1444</v>
      </c>
      <c r="C69" s="858" t="s">
        <v>174</v>
      </c>
      <c r="D69" s="858" t="s">
        <v>138</v>
      </c>
      <c r="E69" s="858"/>
      <c r="F69" s="33"/>
      <c r="I69" s="859" t="s">
        <v>175</v>
      </c>
    </row>
    <row r="70" ht="15.0" customHeight="1">
      <c r="A70" s="284" t="s">
        <v>1445</v>
      </c>
      <c r="B70" s="284" t="s">
        <v>1446</v>
      </c>
      <c r="C70" s="858" t="s">
        <v>178</v>
      </c>
      <c r="D70" s="858" t="s">
        <v>138</v>
      </c>
      <c r="E70" s="858"/>
      <c r="F70" s="33"/>
      <c r="I70" s="859" t="s">
        <v>117</v>
      </c>
    </row>
    <row r="71" ht="15.0" customHeight="1">
      <c r="A71" s="284" t="s">
        <v>1449</v>
      </c>
      <c r="B71" s="284" t="s">
        <v>1450</v>
      </c>
      <c r="C71" s="858" t="s">
        <v>90</v>
      </c>
      <c r="D71" s="858" t="s">
        <v>130</v>
      </c>
      <c r="E71" s="858"/>
      <c r="F71" s="33"/>
      <c r="I71" s="859" t="str">
        <f>Print_Mois!V579</f>
        <v>Intérêts sur marge</v>
      </c>
    </row>
    <row r="72" ht="15.0" customHeight="1">
      <c r="A72" s="284" t="s">
        <v>1451</v>
      </c>
      <c r="B72" s="284" t="s">
        <v>1452</v>
      </c>
      <c r="C72" s="858" t="s">
        <v>151</v>
      </c>
      <c r="D72" s="858" t="s">
        <v>130</v>
      </c>
      <c r="E72" s="858"/>
      <c r="F72" s="33"/>
      <c r="I72" s="859"/>
    </row>
    <row r="73" ht="15.0" customHeight="1">
      <c r="A73" s="284" t="s">
        <v>1453</v>
      </c>
      <c r="B73" s="284" t="s">
        <v>1454</v>
      </c>
      <c r="C73" s="858" t="s">
        <v>899</v>
      </c>
      <c r="D73" s="858" t="s">
        <v>130</v>
      </c>
      <c r="E73" s="858"/>
      <c r="F73" s="33"/>
      <c r="I73" s="859" t="str">
        <f>Print_Mois!V580</f>
        <v>Intérêts sur prêt</v>
      </c>
    </row>
    <row r="74" ht="15.0" customHeight="1">
      <c r="A74" s="284" t="s">
        <v>1455</v>
      </c>
      <c r="B74" s="284" t="s">
        <v>1456</v>
      </c>
      <c r="C74" s="858" t="s">
        <v>161</v>
      </c>
      <c r="D74" s="858" t="s">
        <v>130</v>
      </c>
      <c r="E74" s="858"/>
      <c r="F74" s="33"/>
      <c r="I74" s="859" t="s">
        <v>47</v>
      </c>
    </row>
    <row r="75" ht="15.0" customHeight="1">
      <c r="A75" s="284" t="s">
        <v>1457</v>
      </c>
      <c r="B75" s="284" t="s">
        <v>1458</v>
      </c>
      <c r="C75" s="858" t="s">
        <v>174</v>
      </c>
      <c r="D75" s="858" t="s">
        <v>130</v>
      </c>
      <c r="E75" s="858"/>
      <c r="F75" s="33"/>
      <c r="I75" s="859" t="s">
        <v>43</v>
      </c>
    </row>
    <row r="76" ht="15.0" customHeight="1">
      <c r="A76" s="284" t="s">
        <v>1459</v>
      </c>
      <c r="B76" s="284" t="s">
        <v>1460</v>
      </c>
      <c r="C76" s="858" t="s">
        <v>178</v>
      </c>
      <c r="D76" s="858" t="s">
        <v>130</v>
      </c>
      <c r="E76" s="858"/>
      <c r="F76" s="33"/>
      <c r="I76" s="859"/>
    </row>
    <row r="77" ht="15.0" customHeight="1">
      <c r="A77" s="861" t="s">
        <v>1463</v>
      </c>
      <c r="B77" s="861" t="s">
        <v>1464</v>
      </c>
      <c r="C77" s="862"/>
      <c r="D77" s="862"/>
      <c r="E77" s="862"/>
      <c r="F77" s="33"/>
      <c r="I77" s="859" t="str">
        <f>Print_Mois!V548</f>
        <v>Location équipement</v>
      </c>
    </row>
    <row r="78" ht="15.0" customHeight="1">
      <c r="A78" s="861" t="s">
        <v>1465</v>
      </c>
      <c r="B78" s="861" t="s">
        <v>1466</v>
      </c>
      <c r="C78" s="862"/>
      <c r="D78" s="862"/>
      <c r="E78" s="862"/>
      <c r="F78" s="33"/>
      <c r="I78" s="859" t="str">
        <f>Print_Mois!V540</f>
        <v>Loyer</v>
      </c>
    </row>
    <row r="79" ht="15.0" customHeight="1">
      <c r="A79" s="861" t="s">
        <v>1467</v>
      </c>
      <c r="B79" s="861" t="s">
        <v>1468</v>
      </c>
      <c r="C79" s="862"/>
      <c r="D79" s="862"/>
      <c r="E79" s="862"/>
      <c r="F79" s="33"/>
      <c r="I79" s="859" t="str">
        <f>Print_Mois!C318</f>
        <v>Carrosserie Interne</v>
      </c>
    </row>
    <row r="80" ht="15.0" customHeight="1">
      <c r="A80" s="284" t="s">
        <v>1469</v>
      </c>
      <c r="B80" s="284" t="s">
        <v>1470</v>
      </c>
      <c r="C80" s="858" t="s">
        <v>90</v>
      </c>
      <c r="D80" s="858" t="s">
        <v>139</v>
      </c>
      <c r="E80" s="858"/>
      <c r="F80" s="33"/>
      <c r="I80" s="859" t="str">
        <f>Print_Mois!C246</f>
        <v>M/O Client</v>
      </c>
    </row>
    <row r="81" ht="15.0" customHeight="1">
      <c r="A81" s="284" t="s">
        <v>1471</v>
      </c>
      <c r="B81" s="284" t="s">
        <v>1472</v>
      </c>
      <c r="C81" s="858" t="s">
        <v>151</v>
      </c>
      <c r="D81" s="858" t="s">
        <v>139</v>
      </c>
      <c r="E81" s="858"/>
      <c r="F81" s="33"/>
      <c r="I81" s="859" t="str">
        <f>Print_Mois!C255</f>
        <v>M/O Esthétique</v>
      </c>
    </row>
    <row r="82" ht="15.0" customHeight="1">
      <c r="A82" s="284" t="s">
        <v>1473</v>
      </c>
      <c r="B82" s="284" t="s">
        <v>1474</v>
      </c>
      <c r="C82" s="858" t="s">
        <v>161</v>
      </c>
      <c r="D82" s="858" t="s">
        <v>139</v>
      </c>
      <c r="E82" s="858"/>
      <c r="F82" s="33"/>
      <c r="I82" s="859" t="str">
        <f>+Print_Mois!C321</f>
        <v>Carrosserie Concessions</v>
      </c>
    </row>
    <row r="83" ht="15.0" customHeight="1">
      <c r="A83" s="284" t="s">
        <v>1475</v>
      </c>
      <c r="B83" s="284" t="s">
        <v>1476</v>
      </c>
      <c r="C83" s="858" t="s">
        <v>178</v>
      </c>
      <c r="D83" s="858" t="s">
        <v>139</v>
      </c>
      <c r="E83" s="858"/>
      <c r="F83" s="33"/>
      <c r="I83" s="859" t="str">
        <f>Print_Mois!C249</f>
        <v>M/O Garantie</v>
      </c>
    </row>
    <row r="84" ht="15.0" customHeight="1">
      <c r="A84" s="284" t="s">
        <v>1479</v>
      </c>
      <c r="B84" s="284" t="s">
        <v>1480</v>
      </c>
      <c r="C84" s="858" t="s">
        <v>90</v>
      </c>
      <c r="D84" s="858" t="s">
        <v>141</v>
      </c>
      <c r="E84" s="858"/>
      <c r="F84" s="33"/>
      <c r="I84" s="859" t="s">
        <v>23</v>
      </c>
    </row>
    <row r="85" ht="15.0" customHeight="1">
      <c r="A85" s="284" t="s">
        <v>1481</v>
      </c>
      <c r="B85" s="284" t="s">
        <v>1482</v>
      </c>
      <c r="C85" s="858" t="s">
        <v>151</v>
      </c>
      <c r="D85" s="858" t="s">
        <v>141</v>
      </c>
      <c r="E85" s="858"/>
      <c r="F85" s="33"/>
      <c r="I85" s="859" t="s">
        <v>3421</v>
      </c>
    </row>
    <row r="86" ht="15.0" customHeight="1">
      <c r="A86" s="284" t="s">
        <v>1483</v>
      </c>
      <c r="B86" s="284" t="s">
        <v>1484</v>
      </c>
      <c r="C86" s="858" t="s">
        <v>899</v>
      </c>
      <c r="D86" s="858" t="s">
        <v>141</v>
      </c>
      <c r="E86" s="858"/>
      <c r="F86" s="33"/>
      <c r="I86" s="859" t="s">
        <v>72</v>
      </c>
    </row>
    <row r="87" ht="15.0" customHeight="1">
      <c r="A87" s="284" t="s">
        <v>1485</v>
      </c>
      <c r="B87" s="284" t="s">
        <v>1486</v>
      </c>
      <c r="C87" s="858" t="s">
        <v>161</v>
      </c>
      <c r="D87" s="858" t="s">
        <v>141</v>
      </c>
      <c r="E87" s="858"/>
      <c r="F87" s="33"/>
      <c r="I87" s="859" t="str">
        <f>Print_Mois!C95</f>
        <v>Non Certifié</v>
      </c>
    </row>
    <row r="88" ht="15.0" customHeight="1">
      <c r="A88" s="284" t="s">
        <v>1487</v>
      </c>
      <c r="B88" s="284" t="s">
        <v>1488</v>
      </c>
      <c r="C88" s="858" t="s">
        <v>174</v>
      </c>
      <c r="D88" s="858" t="s">
        <v>141</v>
      </c>
      <c r="E88" s="858"/>
      <c r="F88" s="33"/>
      <c r="I88" s="859"/>
    </row>
    <row r="89" ht="15.0" customHeight="1">
      <c r="A89" s="284" t="s">
        <v>1489</v>
      </c>
      <c r="B89" s="284" t="s">
        <v>1490</v>
      </c>
      <c r="C89" s="858" t="s">
        <v>178</v>
      </c>
      <c r="D89" s="858" t="s">
        <v>141</v>
      </c>
      <c r="E89" s="858"/>
      <c r="F89" s="33"/>
      <c r="I89" s="859"/>
    </row>
    <row r="90" ht="15.0" customHeight="1">
      <c r="A90" s="284" t="s">
        <v>1509</v>
      </c>
      <c r="B90" s="284" t="s">
        <v>1510</v>
      </c>
      <c r="C90" s="858" t="s">
        <v>90</v>
      </c>
      <c r="D90" s="858" t="s">
        <v>136</v>
      </c>
      <c r="E90" s="858"/>
      <c r="F90" s="33"/>
      <c r="I90" s="859" t="str">
        <f>Print_Mois!C373</f>
        <v>P/A Garantie</v>
      </c>
    </row>
    <row r="91" ht="15.0" customHeight="1">
      <c r="A91" s="284" t="s">
        <v>1511</v>
      </c>
      <c r="B91" s="284" t="s">
        <v>1512</v>
      </c>
      <c r="C91" s="858" t="s">
        <v>151</v>
      </c>
      <c r="D91" s="858" t="s">
        <v>136</v>
      </c>
      <c r="E91" s="858"/>
      <c r="F91" s="33"/>
      <c r="I91" s="859" t="str">
        <f>Print_Mois!V530</f>
        <v>Papeterie</v>
      </c>
    </row>
    <row r="92" ht="15.0" customHeight="1">
      <c r="A92" s="284" t="s">
        <v>1513</v>
      </c>
      <c r="B92" s="284" t="s">
        <v>1514</v>
      </c>
      <c r="C92" s="858" t="s">
        <v>899</v>
      </c>
      <c r="D92" s="858" t="s">
        <v>136</v>
      </c>
      <c r="E92" s="858"/>
      <c r="F92" s="33"/>
      <c r="I92" s="859"/>
    </row>
    <row r="93" ht="15.0" customHeight="1">
      <c r="A93" s="284" t="s">
        <v>1515</v>
      </c>
      <c r="B93" s="284" t="s">
        <v>1516</v>
      </c>
      <c r="C93" s="858" t="s">
        <v>161</v>
      </c>
      <c r="D93" s="858" t="s">
        <v>136</v>
      </c>
      <c r="E93" s="858"/>
      <c r="F93" s="33"/>
      <c r="I93" s="859" t="str">
        <f>Print_Mois!C372</f>
        <v>Pièces Ro Carrosserie</v>
      </c>
    </row>
    <row r="94" ht="15.0" customHeight="1">
      <c r="A94" s="284" t="s">
        <v>1517</v>
      </c>
      <c r="B94" s="284" t="s">
        <v>1518</v>
      </c>
      <c r="C94" s="858" t="s">
        <v>174</v>
      </c>
      <c r="D94" s="858" t="s">
        <v>136</v>
      </c>
      <c r="E94" s="858"/>
      <c r="F94" s="33"/>
      <c r="I94" s="859"/>
    </row>
    <row r="95" ht="15.0" customHeight="1">
      <c r="A95" s="284" t="s">
        <v>1519</v>
      </c>
      <c r="B95" s="284" t="s">
        <v>1520</v>
      </c>
      <c r="C95" s="858" t="s">
        <v>178</v>
      </c>
      <c r="D95" s="858" t="s">
        <v>136</v>
      </c>
      <c r="E95" s="858"/>
      <c r="F95" s="33"/>
      <c r="I95" s="859" t="str">
        <f>Print_Mois!C371</f>
        <v>Pièces Ro Clients</v>
      </c>
    </row>
    <row r="96" ht="15.0" customHeight="1">
      <c r="A96" s="284" t="s">
        <v>1523</v>
      </c>
      <c r="B96" s="284" t="s">
        <v>1524</v>
      </c>
      <c r="C96" s="858" t="s">
        <v>90</v>
      </c>
      <c r="D96" s="858" t="s">
        <v>134</v>
      </c>
      <c r="E96" s="858"/>
      <c r="F96" s="33"/>
      <c r="I96" s="859" t="s">
        <v>25</v>
      </c>
    </row>
    <row r="97" ht="15.0" customHeight="1">
      <c r="A97" s="284" t="s">
        <v>1525</v>
      </c>
      <c r="B97" s="284" t="s">
        <v>1526</v>
      </c>
      <c r="C97" s="858" t="s">
        <v>151</v>
      </c>
      <c r="D97" s="858" t="s">
        <v>134</v>
      </c>
      <c r="E97" s="858"/>
      <c r="F97" s="33"/>
      <c r="I97" s="859" t="str">
        <f>Print_Mois!V558</f>
        <v>Programme Excellence</v>
      </c>
    </row>
    <row r="98" ht="15.0" customHeight="1">
      <c r="A98" s="284" t="s">
        <v>1527</v>
      </c>
      <c r="B98" s="284" t="s">
        <v>1528</v>
      </c>
      <c r="C98" s="858" t="s">
        <v>899</v>
      </c>
      <c r="D98" s="858" t="s">
        <v>134</v>
      </c>
      <c r="E98" s="858"/>
      <c r="F98" s="33"/>
      <c r="I98" s="859" t="s">
        <v>38</v>
      </c>
    </row>
    <row r="99" ht="15.0" customHeight="1">
      <c r="A99" s="284" t="s">
        <v>1529</v>
      </c>
      <c r="B99" s="284" t="s">
        <v>1530</v>
      </c>
      <c r="C99" s="858" t="s">
        <v>161</v>
      </c>
      <c r="D99" s="858" t="s">
        <v>134</v>
      </c>
      <c r="E99" s="858"/>
      <c r="F99" s="33"/>
      <c r="I99" s="859"/>
    </row>
    <row r="100" ht="15.0" customHeight="1">
      <c r="A100" s="284" t="s">
        <v>1531</v>
      </c>
      <c r="B100" s="284" t="s">
        <v>1532</v>
      </c>
      <c r="C100" s="858" t="s">
        <v>174</v>
      </c>
      <c r="D100" s="858" t="s">
        <v>134</v>
      </c>
      <c r="E100" s="858"/>
      <c r="F100" s="33"/>
      <c r="I100" s="859" t="str">
        <f>Print_Mois!V559</f>
        <v>Programme neuf 2</v>
      </c>
    </row>
    <row r="101" ht="15.0" customHeight="1">
      <c r="A101" s="284" t="s">
        <v>1533</v>
      </c>
      <c r="B101" s="284" t="s">
        <v>1534</v>
      </c>
      <c r="C101" s="858" t="s">
        <v>178</v>
      </c>
      <c r="D101" s="858" t="s">
        <v>134</v>
      </c>
      <c r="E101" s="858"/>
      <c r="F101" s="33"/>
      <c r="I101" s="859" t="str">
        <f>Print_Mois!V560</f>
        <v>Programme neuf 3</v>
      </c>
    </row>
    <row r="102" ht="15.0" customHeight="1">
      <c r="A102" s="861" t="s">
        <v>1535</v>
      </c>
      <c r="B102" s="861" t="s">
        <v>1536</v>
      </c>
      <c r="C102" s="862" t="s">
        <v>161</v>
      </c>
      <c r="D102" s="862" t="s">
        <v>134</v>
      </c>
      <c r="E102" s="862"/>
      <c r="F102" s="33"/>
      <c r="I102" s="859" t="s">
        <v>116</v>
      </c>
    </row>
    <row r="103" ht="15.0" customHeight="1">
      <c r="A103" s="284" t="s">
        <v>1539</v>
      </c>
      <c r="B103" s="284" t="s">
        <v>1540</v>
      </c>
      <c r="C103" s="858" t="s">
        <v>90</v>
      </c>
      <c r="D103" s="858" t="s">
        <v>116</v>
      </c>
      <c r="E103" s="858"/>
      <c r="F103" s="33"/>
      <c r="I103" s="859" t="str">
        <f>Print_Mois!C19</f>
        <v/>
      </c>
    </row>
    <row r="104" ht="15.0" customHeight="1">
      <c r="A104" s="284" t="s">
        <v>1541</v>
      </c>
      <c r="B104" s="284" t="s">
        <v>1540</v>
      </c>
      <c r="C104" s="858" t="s">
        <v>151</v>
      </c>
      <c r="D104" s="858" t="s">
        <v>116</v>
      </c>
      <c r="E104" s="858"/>
      <c r="F104" s="33"/>
      <c r="I104" s="859" t="s">
        <v>39</v>
      </c>
    </row>
    <row r="105" ht="15.0" customHeight="1">
      <c r="A105" s="284" t="s">
        <v>1542</v>
      </c>
      <c r="B105" s="284" t="s">
        <v>1543</v>
      </c>
      <c r="C105" s="858" t="s">
        <v>899</v>
      </c>
      <c r="D105" s="858" t="s">
        <v>116</v>
      </c>
      <c r="E105" s="858"/>
      <c r="F105" s="33"/>
      <c r="I105" s="859"/>
    </row>
    <row r="106" ht="15.0" customHeight="1">
      <c r="A106" s="284" t="s">
        <v>1544</v>
      </c>
      <c r="B106" s="284" t="s">
        <v>1540</v>
      </c>
      <c r="C106" s="858" t="s">
        <v>161</v>
      </c>
      <c r="D106" s="858" t="s">
        <v>128</v>
      </c>
      <c r="E106" s="858"/>
      <c r="F106" s="33"/>
      <c r="I106" s="859" t="s">
        <v>35</v>
      </c>
    </row>
    <row r="107" ht="15.0" customHeight="1">
      <c r="A107" s="284" t="s">
        <v>1545</v>
      </c>
      <c r="B107" s="284" t="s">
        <v>1540</v>
      </c>
      <c r="C107" s="858" t="s">
        <v>174</v>
      </c>
      <c r="D107" s="858" t="s">
        <v>128</v>
      </c>
      <c r="E107" s="858"/>
      <c r="F107" s="33"/>
      <c r="I107" s="859" t="s">
        <v>26</v>
      </c>
    </row>
    <row r="108" ht="15.0" customHeight="1">
      <c r="A108" s="284" t="s">
        <v>1546</v>
      </c>
      <c r="B108" s="284" t="s">
        <v>1540</v>
      </c>
      <c r="C108" s="858" t="s">
        <v>178</v>
      </c>
      <c r="D108" s="858" t="s">
        <v>128</v>
      </c>
      <c r="E108" s="858"/>
      <c r="F108" s="33"/>
      <c r="I108" s="859" t="s">
        <v>26</v>
      </c>
    </row>
    <row r="109" ht="15.0" customHeight="1">
      <c r="A109" s="284" t="s">
        <v>1547</v>
      </c>
      <c r="B109" s="284" t="s">
        <v>1548</v>
      </c>
      <c r="C109" s="858" t="s">
        <v>90</v>
      </c>
      <c r="D109" s="858" t="s">
        <v>116</v>
      </c>
      <c r="E109" s="858"/>
      <c r="F109" s="33"/>
      <c r="I109" s="859" t="s">
        <v>33</v>
      </c>
    </row>
    <row r="110" ht="15.0" customHeight="1">
      <c r="A110" s="284" t="s">
        <v>1549</v>
      </c>
      <c r="B110" s="284" t="s">
        <v>1548</v>
      </c>
      <c r="C110" s="858" t="s">
        <v>151</v>
      </c>
      <c r="D110" s="858" t="s">
        <v>116</v>
      </c>
      <c r="E110" s="858"/>
      <c r="F110" s="33"/>
      <c r="I110" s="859" t="s">
        <v>31</v>
      </c>
    </row>
    <row r="111" ht="15.0" customHeight="1">
      <c r="A111" s="284" t="s">
        <v>1550</v>
      </c>
      <c r="B111" s="284" t="s">
        <v>1548</v>
      </c>
      <c r="C111" s="858" t="s">
        <v>161</v>
      </c>
      <c r="D111" s="858" t="s">
        <v>128</v>
      </c>
      <c r="E111" s="858"/>
      <c r="F111" s="33"/>
      <c r="I111" s="859" t="s">
        <v>27</v>
      </c>
    </row>
    <row r="112" ht="15.0" customHeight="1">
      <c r="A112" s="284" t="s">
        <v>1551</v>
      </c>
      <c r="B112" s="284" t="s">
        <v>1552</v>
      </c>
      <c r="C112" s="858" t="s">
        <v>174</v>
      </c>
      <c r="D112" s="858" t="s">
        <v>128</v>
      </c>
      <c r="E112" s="858"/>
      <c r="F112" s="33"/>
      <c r="I112" s="859" t="s">
        <v>186</v>
      </c>
    </row>
    <row r="113" ht="15.0" customHeight="1">
      <c r="A113" s="284" t="s">
        <v>1553</v>
      </c>
      <c r="B113" s="284" t="s">
        <v>1548</v>
      </c>
      <c r="C113" s="858" t="s">
        <v>178</v>
      </c>
      <c r="D113" s="858" t="s">
        <v>128</v>
      </c>
      <c r="E113" s="858"/>
      <c r="F113" s="33"/>
      <c r="I113" s="859" t="s">
        <v>37</v>
      </c>
    </row>
    <row r="114" ht="15.0" customHeight="1">
      <c r="A114" s="284" t="s">
        <v>1554</v>
      </c>
      <c r="B114" s="849" t="s">
        <v>1555</v>
      </c>
      <c r="C114" s="858" t="s">
        <v>1025</v>
      </c>
      <c r="D114" s="858" t="s">
        <v>128</v>
      </c>
      <c r="E114" s="858"/>
      <c r="F114" s="33"/>
      <c r="I114" s="859" t="str">
        <f>Print_Mois!V547</f>
        <v>Réparation équipement</v>
      </c>
    </row>
    <row r="115" ht="15.0" customHeight="1">
      <c r="A115" s="284" t="s">
        <v>1560</v>
      </c>
      <c r="B115" s="284" t="s">
        <v>1561</v>
      </c>
      <c r="C115" s="858" t="s">
        <v>90</v>
      </c>
      <c r="D115" s="858" t="s">
        <v>116</v>
      </c>
      <c r="E115" s="858"/>
      <c r="F115" s="33"/>
      <c r="I115" s="859" t="str">
        <f>Print_Mois!C24</f>
        <v>Total F&amp;I</v>
      </c>
    </row>
    <row r="116" ht="15.0" customHeight="1">
      <c r="A116" s="284" t="s">
        <v>1562</v>
      </c>
      <c r="B116" s="284" t="s">
        <v>1563</v>
      </c>
      <c r="C116" s="858" t="s">
        <v>151</v>
      </c>
      <c r="D116" s="858" t="s">
        <v>116</v>
      </c>
      <c r="E116" s="858"/>
      <c r="F116" s="33"/>
      <c r="I116" s="859" t="str">
        <f>Print_Mois!C21</f>
        <v>Rev. Finances</v>
      </c>
    </row>
    <row r="117" ht="15.0" customHeight="1">
      <c r="A117" s="284" t="s">
        <v>1564</v>
      </c>
      <c r="B117" s="284" t="s">
        <v>1565</v>
      </c>
      <c r="C117" s="858" t="s">
        <v>899</v>
      </c>
      <c r="D117" s="858" t="s">
        <v>116</v>
      </c>
      <c r="E117" s="858"/>
      <c r="F117" s="33"/>
      <c r="I117" s="859" t="str">
        <f>Print_Mois!C22</f>
        <v>Rev. Protections</v>
      </c>
    </row>
    <row r="118" ht="15.0" customHeight="1">
      <c r="A118" s="284" t="s">
        <v>1566</v>
      </c>
      <c r="B118" s="284" t="s">
        <v>1567</v>
      </c>
      <c r="C118" s="858" t="s">
        <v>161</v>
      </c>
      <c r="D118" s="858" t="s">
        <v>128</v>
      </c>
      <c r="E118" s="858"/>
      <c r="F118" s="33"/>
      <c r="I118" s="859" t="str">
        <f>Print_Mois!V556</f>
        <v>Revenus autres</v>
      </c>
    </row>
    <row r="119" ht="15.0" customHeight="1">
      <c r="A119" s="284" t="s">
        <v>1568</v>
      </c>
      <c r="B119" s="284" t="s">
        <v>1569</v>
      </c>
      <c r="C119" s="858" t="s">
        <v>174</v>
      </c>
      <c r="D119" s="858" t="s">
        <v>128</v>
      </c>
      <c r="E119" s="858"/>
      <c r="F119" s="33"/>
      <c r="I119" s="859" t="s">
        <v>50</v>
      </c>
    </row>
    <row r="120" ht="15.0" customHeight="1">
      <c r="A120" s="284" t="s">
        <v>1570</v>
      </c>
      <c r="B120" s="284" t="s">
        <v>1571</v>
      </c>
      <c r="C120" s="858" t="s">
        <v>178</v>
      </c>
      <c r="D120" s="858" t="s">
        <v>128</v>
      </c>
      <c r="E120" s="858"/>
      <c r="F120" s="33"/>
      <c r="I120" s="859" t="str">
        <f>Print_Mois!V510</f>
        <v>Salaires autres</v>
      </c>
    </row>
    <row r="121" ht="15.0" customHeight="1">
      <c r="A121" s="284" t="s">
        <v>1574</v>
      </c>
      <c r="B121" s="284" t="s">
        <v>1575</v>
      </c>
      <c r="C121" s="858" t="s">
        <v>90</v>
      </c>
      <c r="D121" s="858" t="s">
        <v>116</v>
      </c>
      <c r="E121" s="858"/>
      <c r="F121" s="33"/>
      <c r="I121" s="859" t="str">
        <f>Print_Mois!C43</f>
        <v>Salaires commis</v>
      </c>
    </row>
    <row r="122" ht="15.0" customHeight="1">
      <c r="A122" s="284" t="s">
        <v>1576</v>
      </c>
      <c r="B122" s="284" t="s">
        <v>1577</v>
      </c>
      <c r="C122" s="858" t="s">
        <v>151</v>
      </c>
      <c r="D122" s="858" t="s">
        <v>116</v>
      </c>
      <c r="E122" s="858"/>
      <c r="F122" s="33"/>
      <c r="I122" s="859" t="str">
        <f>Print_Mois!V509</f>
        <v>Salaires commis</v>
      </c>
    </row>
    <row r="123" ht="15.0" customHeight="1">
      <c r="A123" s="284" t="s">
        <v>1578</v>
      </c>
      <c r="B123" s="284" t="s">
        <v>1579</v>
      </c>
      <c r="C123" s="858" t="s">
        <v>161</v>
      </c>
      <c r="D123" s="858" t="s">
        <v>128</v>
      </c>
      <c r="E123" s="858"/>
      <c r="F123" s="33"/>
      <c r="I123" s="859" t="str">
        <f>Print_Mois!V515</f>
        <v>Salaires en absences</v>
      </c>
    </row>
    <row r="124" ht="15.0" customHeight="1">
      <c r="A124" s="284" t="s">
        <v>1580</v>
      </c>
      <c r="B124" s="284" t="s">
        <v>1581</v>
      </c>
      <c r="C124" s="858" t="s">
        <v>174</v>
      </c>
      <c r="D124" s="858" t="s">
        <v>128</v>
      </c>
      <c r="E124" s="858"/>
      <c r="F124" s="33"/>
      <c r="I124" s="859" t="str">
        <f>Print_Mois!V507</f>
        <v>Salaires propriétaire</v>
      </c>
    </row>
    <row r="125" ht="15.0" customHeight="1">
      <c r="A125" s="284" t="s">
        <v>1582</v>
      </c>
      <c r="B125" s="849" t="s">
        <v>1583</v>
      </c>
      <c r="C125" s="858" t="s">
        <v>178</v>
      </c>
      <c r="D125" s="858" t="s">
        <v>128</v>
      </c>
      <c r="E125" s="858"/>
      <c r="F125" s="33"/>
      <c r="I125" s="859" t="str">
        <f>Print_Mois!V511</f>
        <v>Salaires spécialistes</v>
      </c>
    </row>
    <row r="126" ht="15.0" customHeight="1">
      <c r="A126" s="284" t="s">
        <v>1584</v>
      </c>
      <c r="B126" s="284" t="s">
        <v>1585</v>
      </c>
      <c r="C126" s="858" t="s">
        <v>161</v>
      </c>
      <c r="D126" s="858" t="s">
        <v>129</v>
      </c>
      <c r="E126" s="858"/>
      <c r="F126" s="33"/>
      <c r="I126" s="859" t="str">
        <f>Print_Mois!C34</f>
        <v>Service gratuit 1</v>
      </c>
    </row>
    <row r="127" ht="15.0" customHeight="1">
      <c r="A127" s="284" t="s">
        <v>1586</v>
      </c>
      <c r="B127" s="284" t="s">
        <v>1587</v>
      </c>
      <c r="C127" s="858" t="s">
        <v>174</v>
      </c>
      <c r="D127" s="858" t="s">
        <v>129</v>
      </c>
      <c r="E127" s="858"/>
      <c r="F127" s="33"/>
      <c r="I127" s="859" t="str">
        <f>Print_Mois!V522</f>
        <v>Service gratuit 2</v>
      </c>
    </row>
    <row r="128" ht="15.0" customHeight="1">
      <c r="A128" s="284" t="s">
        <v>1588</v>
      </c>
      <c r="B128" s="284" t="s">
        <v>1589</v>
      </c>
      <c r="C128" s="858" t="s">
        <v>178</v>
      </c>
      <c r="D128" s="858" t="s">
        <v>129</v>
      </c>
      <c r="E128" s="858"/>
      <c r="F128" s="33"/>
      <c r="G128" s="3"/>
      <c r="H128" s="3"/>
      <c r="I128" s="859" t="str">
        <f>Print_Mois!V526</f>
        <v>Services extérieurs</v>
      </c>
      <c r="J128" s="3"/>
      <c r="K128" s="3"/>
      <c r="N128" s="3"/>
      <c r="O128" s="3"/>
      <c r="P128" s="3"/>
      <c r="Q128" s="3"/>
      <c r="R128" s="3"/>
      <c r="S128" s="3"/>
      <c r="T128" s="3"/>
      <c r="U128" s="3"/>
      <c r="V128" s="3"/>
      <c r="W128" s="3"/>
      <c r="X128" s="3"/>
      <c r="Y128" s="3"/>
      <c r="Z128" s="3"/>
      <c r="AA128" s="3"/>
    </row>
    <row r="129" ht="15.0" customHeight="1">
      <c r="A129" s="284" t="s">
        <v>1594</v>
      </c>
      <c r="B129" s="284" t="s">
        <v>1595</v>
      </c>
      <c r="C129" s="858" t="s">
        <v>90</v>
      </c>
      <c r="D129" s="858" t="s">
        <v>131</v>
      </c>
      <c r="E129" s="858"/>
      <c r="F129" s="33"/>
      <c r="I129" s="859" t="str">
        <f>Print_Mois!C262</f>
        <v>Sous-traitement</v>
      </c>
    </row>
    <row r="130" ht="15.0" customHeight="1">
      <c r="A130" s="284" t="s">
        <v>1596</v>
      </c>
      <c r="B130" s="284" t="s">
        <v>1597</v>
      </c>
      <c r="C130" s="858" t="s">
        <v>151</v>
      </c>
      <c r="D130" s="858" t="s">
        <v>131</v>
      </c>
      <c r="E130" s="858"/>
      <c r="F130" s="33"/>
      <c r="I130" s="859" t="s">
        <v>128</v>
      </c>
    </row>
    <row r="131" ht="15.0" customHeight="1">
      <c r="A131" s="284" t="s">
        <v>1598</v>
      </c>
      <c r="B131" s="284" t="s">
        <v>1599</v>
      </c>
      <c r="C131" s="858" t="s">
        <v>899</v>
      </c>
      <c r="D131" s="858" t="s">
        <v>131</v>
      </c>
      <c r="E131" s="858"/>
      <c r="F131" s="33"/>
      <c r="I131" s="859" t="s">
        <v>99</v>
      </c>
    </row>
    <row r="132" ht="15.0" customHeight="1">
      <c r="A132" s="284" t="s">
        <v>1600</v>
      </c>
      <c r="B132" s="284" t="s">
        <v>1601</v>
      </c>
      <c r="C132" s="858" t="s">
        <v>161</v>
      </c>
      <c r="D132" s="858" t="s">
        <v>131</v>
      </c>
      <c r="E132" s="858"/>
      <c r="F132" s="33"/>
      <c r="I132" s="859" t="s">
        <v>200</v>
      </c>
    </row>
    <row r="133" ht="15.0" customHeight="1">
      <c r="A133" s="284" t="s">
        <v>1602</v>
      </c>
      <c r="B133" s="284" t="s">
        <v>1603</v>
      </c>
      <c r="C133" s="858" t="s">
        <v>174</v>
      </c>
      <c r="D133" s="858" t="s">
        <v>131</v>
      </c>
      <c r="E133" s="858"/>
      <c r="F133" s="33"/>
      <c r="I133" s="859" t="s">
        <v>201</v>
      </c>
    </row>
    <row r="134" ht="15.0" customHeight="1">
      <c r="A134" s="284" t="s">
        <v>1604</v>
      </c>
      <c r="B134" s="284" t="s">
        <v>1605</v>
      </c>
      <c r="C134" s="858" t="s">
        <v>178</v>
      </c>
      <c r="D134" s="858" t="s">
        <v>131</v>
      </c>
      <c r="E134" s="858"/>
      <c r="F134" s="33"/>
      <c r="I134" s="859" t="str">
        <f>Print_Mois!V543</f>
        <v>Taxe sur le capital</v>
      </c>
    </row>
    <row r="135" ht="15.0" customHeight="1">
      <c r="A135" s="284" t="s">
        <v>1606</v>
      </c>
      <c r="B135" s="849" t="s">
        <v>1607</v>
      </c>
      <c r="C135" s="858" t="s">
        <v>1025</v>
      </c>
      <c r="D135" s="858" t="s">
        <v>131</v>
      </c>
      <c r="E135" s="858"/>
      <c r="F135" s="33"/>
      <c r="I135" s="859" t="s">
        <v>32</v>
      </c>
    </row>
    <row r="136" ht="15.0" customHeight="1">
      <c r="A136" s="284" t="s">
        <v>1612</v>
      </c>
      <c r="B136" s="284" t="s">
        <v>1613</v>
      </c>
      <c r="C136" s="858" t="s">
        <v>90</v>
      </c>
      <c r="D136" s="858" t="s">
        <v>133</v>
      </c>
      <c r="E136" s="858"/>
      <c r="F136" s="33"/>
      <c r="I136" s="859" t="s">
        <v>135</v>
      </c>
    </row>
    <row r="137" ht="15.0" customHeight="1">
      <c r="A137" s="284" t="s">
        <v>1614</v>
      </c>
      <c r="B137" s="284" t="s">
        <v>1615</v>
      </c>
      <c r="C137" s="858" t="s">
        <v>151</v>
      </c>
      <c r="D137" s="858" t="s">
        <v>133</v>
      </c>
      <c r="E137" s="858"/>
      <c r="F137" s="33"/>
      <c r="I137" s="859" t="str">
        <f>Print_Mois!C101</f>
        <v>Ventes au Gros</v>
      </c>
    </row>
    <row r="138" ht="15.0" customHeight="1">
      <c r="A138" s="284" t="s">
        <v>1616</v>
      </c>
      <c r="B138" s="284" t="s">
        <v>1617</v>
      </c>
      <c r="C138" s="858" t="s">
        <v>899</v>
      </c>
      <c r="D138" s="858" t="s">
        <v>133</v>
      </c>
      <c r="E138" s="858"/>
      <c r="F138" s="33"/>
      <c r="I138" s="859"/>
    </row>
    <row r="139" ht="15.0" customHeight="1">
      <c r="A139" s="284" t="s">
        <v>1618</v>
      </c>
      <c r="B139" s="284" t="s">
        <v>1619</v>
      </c>
      <c r="C139" s="858" t="s">
        <v>161</v>
      </c>
      <c r="D139" s="858" t="s">
        <v>133</v>
      </c>
      <c r="E139" s="858"/>
      <c r="F139" s="33"/>
      <c r="I139" s="859" t="str">
        <f>Print_Mois!C376</f>
        <v>Ventes de Gros</v>
      </c>
    </row>
    <row r="140" ht="15.0" customHeight="1">
      <c r="A140" s="284" t="s">
        <v>1620</v>
      </c>
      <c r="B140" s="284" t="s">
        <v>1621</v>
      </c>
      <c r="C140" s="858" t="s">
        <v>174</v>
      </c>
      <c r="D140" s="858" t="s">
        <v>133</v>
      </c>
      <c r="E140" s="858"/>
      <c r="F140" s="33"/>
      <c r="I140" s="859" t="s">
        <v>183</v>
      </c>
    </row>
    <row r="141" ht="15.0" customHeight="1">
      <c r="A141" s="284" t="s">
        <v>1622</v>
      </c>
      <c r="B141" s="284" t="s">
        <v>1623</v>
      </c>
      <c r="C141" s="858" t="s">
        <v>178</v>
      </c>
      <c r="D141" s="858" t="s">
        <v>133</v>
      </c>
      <c r="E141" s="858"/>
      <c r="F141" s="33"/>
      <c r="I141" s="859" t="str">
        <f>Print_Mois!C374</f>
        <v>Ventes Internes</v>
      </c>
    </row>
    <row r="142" ht="15.0" customHeight="1">
      <c r="A142" s="284" t="s">
        <v>1624</v>
      </c>
      <c r="B142" s="284" t="s">
        <v>1625</v>
      </c>
      <c r="C142" s="858" t="s">
        <v>1025</v>
      </c>
      <c r="D142" s="858" t="s">
        <v>133</v>
      </c>
      <c r="E142" s="858"/>
      <c r="F142" s="33"/>
      <c r="I142" s="859"/>
    </row>
    <row r="143" ht="15.0" customHeight="1">
      <c r="A143" s="861" t="s">
        <v>1630</v>
      </c>
      <c r="B143" s="861" t="s">
        <v>1631</v>
      </c>
      <c r="C143" s="862" t="s">
        <v>90</v>
      </c>
      <c r="D143" s="862" t="s">
        <v>132</v>
      </c>
      <c r="E143" s="862"/>
      <c r="F143" s="33"/>
      <c r="I143" s="859"/>
    </row>
    <row r="144" ht="15.0" customHeight="1">
      <c r="A144" s="284" t="s">
        <v>1632</v>
      </c>
      <c r="B144" s="284" t="s">
        <v>1633</v>
      </c>
      <c r="C144" s="858" t="s">
        <v>90</v>
      </c>
      <c r="D144" s="858" t="s">
        <v>132</v>
      </c>
      <c r="E144" s="858"/>
      <c r="F144" s="33"/>
    </row>
    <row r="145" ht="15.0" customHeight="1">
      <c r="A145" s="284" t="s">
        <v>1634</v>
      </c>
      <c r="B145" s="284" t="s">
        <v>1635</v>
      </c>
      <c r="C145" s="858" t="s">
        <v>90</v>
      </c>
      <c r="D145" s="858" t="s">
        <v>132</v>
      </c>
      <c r="E145" s="858"/>
      <c r="F145" s="33"/>
    </row>
    <row r="146" ht="15.0" customHeight="1">
      <c r="A146" s="284" t="s">
        <v>1636</v>
      </c>
      <c r="B146" s="284" t="s">
        <v>1637</v>
      </c>
      <c r="C146" s="858" t="s">
        <v>151</v>
      </c>
      <c r="D146" s="858" t="s">
        <v>132</v>
      </c>
      <c r="E146" s="858"/>
      <c r="F146" s="33"/>
    </row>
    <row r="147" ht="15.0" customHeight="1">
      <c r="A147" s="284" t="s">
        <v>1638</v>
      </c>
      <c r="B147" s="284" t="s">
        <v>1639</v>
      </c>
      <c r="C147" s="858" t="s">
        <v>151</v>
      </c>
      <c r="D147" s="858" t="s">
        <v>132</v>
      </c>
      <c r="E147" s="858"/>
      <c r="F147" s="33"/>
    </row>
    <row r="148" ht="15.0" customHeight="1">
      <c r="A148" s="284" t="s">
        <v>1640</v>
      </c>
      <c r="B148" s="284" t="s">
        <v>1641</v>
      </c>
      <c r="C148" s="858" t="s">
        <v>899</v>
      </c>
      <c r="D148" s="858" t="s">
        <v>132</v>
      </c>
      <c r="E148" s="858"/>
      <c r="F148" s="3"/>
    </row>
    <row r="149" ht="15.0" customHeight="1">
      <c r="A149" s="284" t="s">
        <v>1642</v>
      </c>
      <c r="B149" s="284" t="s">
        <v>1643</v>
      </c>
      <c r="C149" s="858" t="s">
        <v>899</v>
      </c>
      <c r="D149" s="858" t="s">
        <v>132</v>
      </c>
      <c r="E149" s="858"/>
      <c r="F149" s="3"/>
    </row>
    <row r="150" ht="15.0" customHeight="1">
      <c r="A150" s="284" t="s">
        <v>1644</v>
      </c>
      <c r="B150" s="284" t="s">
        <v>1645</v>
      </c>
      <c r="C150" s="858" t="s">
        <v>161</v>
      </c>
      <c r="D150" s="858" t="s">
        <v>132</v>
      </c>
      <c r="E150" s="858"/>
      <c r="F150" s="3"/>
    </row>
    <row r="151" ht="15.0" customHeight="1">
      <c r="A151" s="284" t="s">
        <v>1646</v>
      </c>
      <c r="B151" s="284" t="s">
        <v>1647</v>
      </c>
      <c r="C151" s="858" t="s">
        <v>161</v>
      </c>
      <c r="D151" s="858" t="s">
        <v>132</v>
      </c>
      <c r="E151" s="858"/>
      <c r="F151" s="3"/>
    </row>
    <row r="152" ht="15.0" customHeight="1">
      <c r="A152" s="284" t="s">
        <v>1648</v>
      </c>
      <c r="B152" s="284" t="s">
        <v>1649</v>
      </c>
      <c r="C152" s="858" t="s">
        <v>174</v>
      </c>
      <c r="D152" s="858" t="s">
        <v>132</v>
      </c>
      <c r="E152" s="858"/>
      <c r="F152" s="3"/>
    </row>
    <row r="153" ht="15.0" customHeight="1">
      <c r="A153" s="284" t="s">
        <v>1650</v>
      </c>
      <c r="B153" s="284" t="s">
        <v>1651</v>
      </c>
      <c r="C153" s="858" t="s">
        <v>174</v>
      </c>
      <c r="D153" s="858" t="s">
        <v>132</v>
      </c>
      <c r="E153" s="858"/>
      <c r="F153" s="3"/>
    </row>
    <row r="154" ht="15.0" customHeight="1">
      <c r="A154" s="284" t="s">
        <v>1652</v>
      </c>
      <c r="B154" s="284" t="s">
        <v>1653</v>
      </c>
      <c r="C154" s="858" t="s">
        <v>178</v>
      </c>
      <c r="D154" s="858" t="s">
        <v>132</v>
      </c>
      <c r="E154" s="858"/>
      <c r="F154" s="3"/>
    </row>
    <row r="155" ht="15.0" customHeight="1">
      <c r="A155" s="284" t="s">
        <v>1654</v>
      </c>
      <c r="B155" s="284" t="s">
        <v>1655</v>
      </c>
      <c r="C155" s="858" t="s">
        <v>178</v>
      </c>
      <c r="D155" s="858" t="s">
        <v>132</v>
      </c>
      <c r="E155" s="858"/>
      <c r="F155" s="3"/>
    </row>
    <row r="156" ht="15.0" customHeight="1">
      <c r="A156" s="284" t="s">
        <v>1658</v>
      </c>
      <c r="B156" s="284" t="s">
        <v>1659</v>
      </c>
      <c r="C156" s="858" t="s">
        <v>90</v>
      </c>
      <c r="D156" s="858" t="s">
        <v>139</v>
      </c>
      <c r="E156" s="858"/>
      <c r="F156" s="3"/>
    </row>
    <row r="157" ht="15.0" customHeight="1">
      <c r="A157" s="284" t="s">
        <v>1660</v>
      </c>
      <c r="B157" s="284" t="s">
        <v>1661</v>
      </c>
      <c r="C157" s="858" t="s">
        <v>151</v>
      </c>
      <c r="D157" s="858" t="s">
        <v>139</v>
      </c>
      <c r="E157" s="858"/>
      <c r="F157" s="3"/>
    </row>
    <row r="158" ht="15.0" customHeight="1">
      <c r="A158" s="284" t="s">
        <v>1662</v>
      </c>
      <c r="B158" s="284" t="s">
        <v>1663</v>
      </c>
      <c r="C158" s="858" t="s">
        <v>161</v>
      </c>
      <c r="D158" s="858" t="s">
        <v>139</v>
      </c>
      <c r="E158" s="858"/>
      <c r="F158" s="3"/>
    </row>
    <row r="159" ht="15.0" customHeight="1">
      <c r="A159" s="284" t="s">
        <v>1664</v>
      </c>
      <c r="B159" s="284" t="s">
        <v>1665</v>
      </c>
      <c r="C159" s="858" t="s">
        <v>174</v>
      </c>
      <c r="D159" s="858" t="s">
        <v>139</v>
      </c>
      <c r="E159" s="858"/>
      <c r="F159" s="3"/>
    </row>
    <row r="160" ht="15.0" customHeight="1">
      <c r="A160" s="284" t="s">
        <v>1668</v>
      </c>
      <c r="B160" s="284" t="s">
        <v>1669</v>
      </c>
      <c r="C160" s="858" t="s">
        <v>178</v>
      </c>
      <c r="D160" s="858" t="s">
        <v>139</v>
      </c>
      <c r="E160" s="858"/>
      <c r="F160" s="3"/>
      <c r="I160" s="3"/>
    </row>
    <row r="161" ht="15.0" customHeight="1">
      <c r="A161" s="284" t="s">
        <v>1672</v>
      </c>
      <c r="B161" s="284" t="s">
        <v>1673</v>
      </c>
      <c r="C161" s="858" t="s">
        <v>90</v>
      </c>
      <c r="D161" s="858" t="s">
        <v>205</v>
      </c>
      <c r="E161" s="858"/>
      <c r="F161" s="3"/>
    </row>
    <row r="162" ht="15.0" customHeight="1">
      <c r="A162" s="284" t="s">
        <v>1674</v>
      </c>
      <c r="B162" s="284" t="s">
        <v>1675</v>
      </c>
      <c r="C162" s="858" t="s">
        <v>151</v>
      </c>
      <c r="D162" s="858" t="s">
        <v>205</v>
      </c>
      <c r="E162" s="858"/>
      <c r="F162" s="3"/>
    </row>
    <row r="163" ht="15.0" customHeight="1">
      <c r="A163" s="284" t="s">
        <v>1676</v>
      </c>
      <c r="B163" s="284" t="s">
        <v>1677</v>
      </c>
      <c r="C163" s="858" t="s">
        <v>899</v>
      </c>
      <c r="D163" s="858" t="s">
        <v>205</v>
      </c>
      <c r="E163" s="858"/>
      <c r="F163" s="3"/>
    </row>
    <row r="164" ht="15.0" customHeight="1">
      <c r="A164" s="284" t="s">
        <v>1678</v>
      </c>
      <c r="B164" s="284" t="s">
        <v>1679</v>
      </c>
      <c r="C164" s="858" t="s">
        <v>161</v>
      </c>
      <c r="D164" s="858" t="s">
        <v>205</v>
      </c>
      <c r="E164" s="858"/>
      <c r="F164" s="3"/>
    </row>
    <row r="165" ht="15.0" customHeight="1">
      <c r="A165" s="284" t="s">
        <v>1680</v>
      </c>
      <c r="B165" s="284" t="s">
        <v>1681</v>
      </c>
      <c r="C165" s="858" t="s">
        <v>174</v>
      </c>
      <c r="D165" s="858" t="s">
        <v>205</v>
      </c>
      <c r="E165" s="858"/>
      <c r="F165" s="3"/>
    </row>
    <row r="166" ht="15.0" customHeight="1">
      <c r="A166" s="284" t="s">
        <v>1682</v>
      </c>
      <c r="B166" s="284" t="s">
        <v>1683</v>
      </c>
      <c r="C166" s="858" t="s">
        <v>178</v>
      </c>
      <c r="D166" s="858" t="s">
        <v>205</v>
      </c>
      <c r="E166" s="858"/>
      <c r="F166" s="3"/>
    </row>
    <row r="167" ht="15.0" customHeight="1">
      <c r="A167" s="284" t="s">
        <v>1686</v>
      </c>
      <c r="B167" s="284" t="s">
        <v>1687</v>
      </c>
      <c r="C167" s="858" t="s">
        <v>90</v>
      </c>
      <c r="D167" s="858" t="s">
        <v>137</v>
      </c>
      <c r="E167" s="858"/>
      <c r="F167" s="3"/>
    </row>
    <row r="168" ht="15.0" customHeight="1">
      <c r="A168" s="284" t="s">
        <v>1688</v>
      </c>
      <c r="B168" s="284" t="s">
        <v>1689</v>
      </c>
      <c r="C168" s="858" t="s">
        <v>151</v>
      </c>
      <c r="D168" s="858" t="s">
        <v>137</v>
      </c>
      <c r="E168" s="858"/>
      <c r="F168" s="3"/>
    </row>
    <row r="169" ht="15.0" customHeight="1">
      <c r="A169" s="284" t="s">
        <v>1690</v>
      </c>
      <c r="B169" s="284" t="s">
        <v>1691</v>
      </c>
      <c r="C169" s="858" t="s">
        <v>899</v>
      </c>
      <c r="D169" s="858" t="s">
        <v>137</v>
      </c>
      <c r="E169" s="858"/>
      <c r="F169" s="3"/>
    </row>
    <row r="170" ht="15.0" customHeight="1">
      <c r="A170" s="284" t="s">
        <v>1692</v>
      </c>
      <c r="B170" s="284" t="s">
        <v>1693</v>
      </c>
      <c r="C170" s="858" t="s">
        <v>161</v>
      </c>
      <c r="D170" s="858" t="s">
        <v>137</v>
      </c>
      <c r="E170" s="858"/>
      <c r="F170" s="3"/>
    </row>
    <row r="171" ht="15.0" customHeight="1">
      <c r="A171" s="284" t="s">
        <v>1694</v>
      </c>
      <c r="B171" s="284" t="s">
        <v>1695</v>
      </c>
      <c r="C171" s="858" t="s">
        <v>174</v>
      </c>
      <c r="D171" s="858" t="s">
        <v>137</v>
      </c>
      <c r="E171" s="858"/>
      <c r="F171" s="3"/>
    </row>
    <row r="172" ht="15.0" customHeight="1">
      <c r="A172" s="284" t="s">
        <v>1696</v>
      </c>
      <c r="B172" s="284" t="s">
        <v>1697</v>
      </c>
      <c r="C172" s="858" t="s">
        <v>178</v>
      </c>
      <c r="D172" s="858" t="s">
        <v>137</v>
      </c>
      <c r="E172" s="858"/>
      <c r="F172" s="3"/>
    </row>
    <row r="173" ht="15.0" customHeight="1">
      <c r="A173" s="284" t="s">
        <v>1700</v>
      </c>
      <c r="B173" s="284" t="s">
        <v>1701</v>
      </c>
      <c r="C173" s="858" t="s">
        <v>90</v>
      </c>
      <c r="D173" s="858" t="s">
        <v>140</v>
      </c>
      <c r="E173" s="858"/>
      <c r="F173" s="3"/>
    </row>
    <row r="174" ht="15.0" customHeight="1">
      <c r="A174" s="284" t="s">
        <v>1702</v>
      </c>
      <c r="B174" s="284" t="s">
        <v>1703</v>
      </c>
      <c r="C174" s="858" t="s">
        <v>151</v>
      </c>
      <c r="D174" s="858" t="s">
        <v>140</v>
      </c>
      <c r="E174" s="858"/>
      <c r="F174" s="3"/>
    </row>
    <row r="175" ht="15.0" customHeight="1">
      <c r="A175" s="284" t="s">
        <v>1704</v>
      </c>
      <c r="B175" s="284" t="s">
        <v>1705</v>
      </c>
      <c r="C175" s="858" t="s">
        <v>899</v>
      </c>
      <c r="D175" s="858" t="s">
        <v>140</v>
      </c>
      <c r="E175" s="858"/>
      <c r="F175" s="3"/>
    </row>
    <row r="176" ht="15.0" customHeight="1">
      <c r="A176" s="284" t="s">
        <v>1706</v>
      </c>
      <c r="B176" s="284" t="s">
        <v>1707</v>
      </c>
      <c r="C176" s="858" t="s">
        <v>161</v>
      </c>
      <c r="D176" s="858" t="s">
        <v>140</v>
      </c>
      <c r="E176" s="858"/>
      <c r="F176" s="3"/>
    </row>
    <row r="177" ht="15.0" customHeight="1">
      <c r="A177" s="284" t="s">
        <v>1708</v>
      </c>
      <c r="B177" s="284" t="s">
        <v>1709</v>
      </c>
      <c r="C177" s="858" t="s">
        <v>174</v>
      </c>
      <c r="D177" s="858" t="s">
        <v>140</v>
      </c>
      <c r="E177" s="858"/>
      <c r="F177" s="3"/>
    </row>
    <row r="178" ht="15.0" customHeight="1">
      <c r="A178" s="284" t="s">
        <v>1710</v>
      </c>
      <c r="B178" s="284" t="s">
        <v>1711</v>
      </c>
      <c r="C178" s="858" t="s">
        <v>178</v>
      </c>
      <c r="D178" s="858" t="s">
        <v>140</v>
      </c>
      <c r="E178" s="858"/>
      <c r="F178" s="3"/>
    </row>
    <row r="179" ht="15.0" customHeight="1">
      <c r="A179" s="284" t="s">
        <v>1716</v>
      </c>
      <c r="B179" s="284" t="s">
        <v>1717</v>
      </c>
      <c r="C179" s="858" t="s">
        <v>90</v>
      </c>
      <c r="D179" s="858" t="s">
        <v>117</v>
      </c>
      <c r="E179" s="858"/>
      <c r="F179" s="3"/>
    </row>
    <row r="180" ht="15.0" customHeight="1">
      <c r="A180" s="284" t="s">
        <v>1718</v>
      </c>
      <c r="B180" s="284" t="s">
        <v>1719</v>
      </c>
      <c r="C180" s="858" t="s">
        <v>151</v>
      </c>
      <c r="D180" s="858" t="s">
        <v>117</v>
      </c>
      <c r="E180" s="858"/>
      <c r="F180" s="3"/>
    </row>
    <row r="181" ht="15.0" customHeight="1">
      <c r="A181" s="284" t="s">
        <v>1720</v>
      </c>
      <c r="B181" s="284" t="s">
        <v>1721</v>
      </c>
      <c r="C181" s="858" t="s">
        <v>899</v>
      </c>
      <c r="D181" s="858" t="s">
        <v>117</v>
      </c>
      <c r="E181" s="858"/>
      <c r="F181" s="3"/>
    </row>
    <row r="182" ht="15.0" customHeight="1">
      <c r="A182" s="861" t="s">
        <v>1722</v>
      </c>
      <c r="B182" s="861" t="s">
        <v>1723</v>
      </c>
      <c r="C182" s="862" t="s">
        <v>161</v>
      </c>
      <c r="D182" s="862" t="s">
        <v>139</v>
      </c>
      <c r="E182" s="862"/>
      <c r="F182" s="3" t="s">
        <v>3422</v>
      </c>
    </row>
    <row r="183" ht="15.0" customHeight="1">
      <c r="A183" s="284" t="s">
        <v>1728</v>
      </c>
      <c r="B183" s="284" t="s">
        <v>1729</v>
      </c>
      <c r="C183" s="858" t="s">
        <v>90</v>
      </c>
      <c r="D183" s="858" t="s">
        <v>139</v>
      </c>
      <c r="E183" s="858"/>
      <c r="F183" s="3"/>
    </row>
    <row r="184" ht="15.0" customHeight="1">
      <c r="A184" s="284" t="s">
        <v>1730</v>
      </c>
      <c r="B184" s="284" t="s">
        <v>1731</v>
      </c>
      <c r="C184" s="858" t="s">
        <v>151</v>
      </c>
      <c r="D184" s="858" t="s">
        <v>139</v>
      </c>
      <c r="E184" s="858"/>
      <c r="F184" s="3"/>
    </row>
    <row r="185" ht="15.0" customHeight="1">
      <c r="A185" s="284" t="s">
        <v>1732</v>
      </c>
      <c r="B185" s="284" t="s">
        <v>1733</v>
      </c>
      <c r="C185" s="858" t="s">
        <v>899</v>
      </c>
      <c r="D185" s="858" t="s">
        <v>139</v>
      </c>
      <c r="E185" s="858"/>
      <c r="F185" s="3"/>
    </row>
    <row r="186" ht="15.0" customHeight="1">
      <c r="A186" s="284" t="s">
        <v>1734</v>
      </c>
      <c r="B186" s="284" t="s">
        <v>1735</v>
      </c>
      <c r="C186" s="858" t="s">
        <v>161</v>
      </c>
      <c r="D186" s="858" t="s">
        <v>139</v>
      </c>
      <c r="E186" s="858"/>
      <c r="F186" s="3"/>
    </row>
    <row r="187" ht="15.0" customHeight="1">
      <c r="A187" s="284" t="s">
        <v>1736</v>
      </c>
      <c r="B187" s="284" t="s">
        <v>1737</v>
      </c>
      <c r="C187" s="858" t="s">
        <v>174</v>
      </c>
      <c r="D187" s="858" t="s">
        <v>139</v>
      </c>
      <c r="E187" s="858"/>
      <c r="F187" s="3"/>
    </row>
    <row r="188" ht="15.0" customHeight="1">
      <c r="A188" s="284" t="s">
        <v>1738</v>
      </c>
      <c r="B188" s="284" t="s">
        <v>1739</v>
      </c>
      <c r="C188" s="858" t="s">
        <v>178</v>
      </c>
      <c r="D188" s="858" t="s">
        <v>139</v>
      </c>
      <c r="E188" s="858"/>
      <c r="F188" s="3"/>
    </row>
    <row r="189" ht="15.0" customHeight="1">
      <c r="A189" s="284" t="s">
        <v>1740</v>
      </c>
      <c r="B189" s="849" t="s">
        <v>3423</v>
      </c>
      <c r="C189" s="858" t="s">
        <v>1025</v>
      </c>
      <c r="D189" s="858" t="s">
        <v>139</v>
      </c>
      <c r="E189" s="858"/>
      <c r="F189" s="3"/>
    </row>
    <row r="190" ht="15.0" customHeight="1">
      <c r="A190" s="861" t="s">
        <v>3424</v>
      </c>
      <c r="B190" s="861" t="s">
        <v>1743</v>
      </c>
      <c r="C190" s="862"/>
      <c r="D190" s="862"/>
      <c r="E190" s="862"/>
      <c r="F190" s="3"/>
    </row>
    <row r="191" ht="15.0" customHeight="1">
      <c r="A191" s="284" t="s">
        <v>1745</v>
      </c>
      <c r="B191" s="284" t="s">
        <v>1746</v>
      </c>
      <c r="C191" s="858" t="s">
        <v>90</v>
      </c>
      <c r="D191" s="858" t="s">
        <v>813</v>
      </c>
      <c r="E191" s="858"/>
      <c r="F191" s="3"/>
    </row>
    <row r="192" ht="15.0" customHeight="1">
      <c r="A192" s="284" t="s">
        <v>1747</v>
      </c>
      <c r="B192" s="284" t="s">
        <v>1748</v>
      </c>
      <c r="C192" s="858" t="s">
        <v>151</v>
      </c>
      <c r="D192" s="858" t="s">
        <v>813</v>
      </c>
      <c r="E192" s="858"/>
      <c r="F192" s="3"/>
    </row>
    <row r="193" ht="15.0" customHeight="1">
      <c r="A193" s="284" t="s">
        <v>1749</v>
      </c>
      <c r="B193" s="284" t="s">
        <v>1750</v>
      </c>
      <c r="C193" s="858" t="s">
        <v>899</v>
      </c>
      <c r="D193" s="858" t="s">
        <v>813</v>
      </c>
      <c r="E193" s="858"/>
      <c r="F193" s="3"/>
    </row>
    <row r="194" ht="15.0" customHeight="1">
      <c r="A194" s="861" t="s">
        <v>1753</v>
      </c>
      <c r="B194" s="861" t="s">
        <v>1754</v>
      </c>
      <c r="C194" s="862" t="s">
        <v>90</v>
      </c>
      <c r="D194" s="862" t="s">
        <v>139</v>
      </c>
      <c r="E194" s="862"/>
      <c r="F194" s="3"/>
    </row>
    <row r="195" ht="15.0" customHeight="1">
      <c r="A195" s="861" t="s">
        <v>1755</v>
      </c>
      <c r="B195" s="861" t="s">
        <v>1756</v>
      </c>
      <c r="C195" s="862" t="s">
        <v>151</v>
      </c>
      <c r="D195" s="862" t="s">
        <v>139</v>
      </c>
      <c r="E195" s="862"/>
      <c r="F195" s="3"/>
    </row>
    <row r="196" ht="15.0" customHeight="1">
      <c r="A196" s="861" t="s">
        <v>1757</v>
      </c>
      <c r="B196" s="861" t="s">
        <v>1758</v>
      </c>
      <c r="C196" s="862" t="s">
        <v>161</v>
      </c>
      <c r="D196" s="862" t="s">
        <v>139</v>
      </c>
      <c r="E196" s="862"/>
      <c r="F196" s="3"/>
    </row>
    <row r="197" ht="15.0" customHeight="1">
      <c r="A197" s="861" t="s">
        <v>1759</v>
      </c>
      <c r="B197" s="861" t="s">
        <v>1758</v>
      </c>
      <c r="C197" s="862" t="s">
        <v>174</v>
      </c>
      <c r="D197" s="862" t="s">
        <v>139</v>
      </c>
      <c r="E197" s="862"/>
      <c r="F197" s="3"/>
    </row>
    <row r="198" ht="15.0" customHeight="1">
      <c r="A198" s="861" t="s">
        <v>1760</v>
      </c>
      <c r="B198" s="861" t="s">
        <v>1761</v>
      </c>
      <c r="C198" s="862" t="s">
        <v>178</v>
      </c>
      <c r="D198" s="862" t="s">
        <v>139</v>
      </c>
      <c r="E198" s="862"/>
      <c r="F198" s="4"/>
    </row>
    <row r="199" ht="15.0" customHeight="1">
      <c r="A199" s="284" t="s">
        <v>1764</v>
      </c>
      <c r="B199" s="284" t="s">
        <v>1765</v>
      </c>
      <c r="C199" s="858" t="s">
        <v>90</v>
      </c>
      <c r="D199" s="858" t="s">
        <v>199</v>
      </c>
      <c r="E199" s="863"/>
      <c r="F199" s="3"/>
    </row>
    <row r="200" ht="15.0" customHeight="1">
      <c r="A200" s="284" t="s">
        <v>1766</v>
      </c>
      <c r="B200" s="284" t="s">
        <v>1767</v>
      </c>
      <c r="C200" s="858" t="s">
        <v>151</v>
      </c>
      <c r="D200" s="858" t="s">
        <v>199</v>
      </c>
      <c r="E200" s="863"/>
      <c r="F200" s="3"/>
    </row>
    <row r="201" ht="15.0" customHeight="1">
      <c r="A201" s="284" t="s">
        <v>1768</v>
      </c>
      <c r="B201" s="284" t="s">
        <v>1769</v>
      </c>
      <c r="C201" s="858" t="s">
        <v>899</v>
      </c>
      <c r="D201" s="858" t="s">
        <v>199</v>
      </c>
      <c r="E201" s="863"/>
      <c r="F201" s="3"/>
    </row>
    <row r="202" ht="15.0" customHeight="1">
      <c r="A202" s="284" t="s">
        <v>1770</v>
      </c>
      <c r="B202" s="284" t="s">
        <v>1771</v>
      </c>
      <c r="C202" s="858" t="s">
        <v>161</v>
      </c>
      <c r="D202" s="858" t="s">
        <v>199</v>
      </c>
      <c r="E202" s="863"/>
      <c r="F202" s="3"/>
    </row>
    <row r="203" ht="15.0" customHeight="1">
      <c r="A203" s="284" t="s">
        <v>1772</v>
      </c>
      <c r="B203" s="284" t="s">
        <v>1773</v>
      </c>
      <c r="C203" s="858" t="s">
        <v>174</v>
      </c>
      <c r="D203" s="858" t="s">
        <v>199</v>
      </c>
      <c r="E203" s="863"/>
      <c r="F203" s="3"/>
    </row>
    <row r="204" ht="15.0" customHeight="1">
      <c r="A204" s="284" t="s">
        <v>1774</v>
      </c>
      <c r="B204" s="284" t="s">
        <v>1775</v>
      </c>
      <c r="C204" s="858" t="s">
        <v>178</v>
      </c>
      <c r="D204" s="858" t="s">
        <v>199</v>
      </c>
      <c r="E204" s="863"/>
      <c r="F204" s="3"/>
    </row>
    <row r="205" ht="15.0" customHeight="1">
      <c r="A205" s="284" t="s">
        <v>1778</v>
      </c>
      <c r="B205" s="284" t="s">
        <v>1779</v>
      </c>
      <c r="C205" s="858" t="s">
        <v>90</v>
      </c>
      <c r="D205" s="858" t="s">
        <v>199</v>
      </c>
      <c r="E205" s="863"/>
      <c r="F205" s="3"/>
      <c r="G205" s="5" t="s">
        <v>154</v>
      </c>
    </row>
    <row r="206" ht="15.0" customHeight="1">
      <c r="A206" s="284" t="s">
        <v>1780</v>
      </c>
      <c r="B206" s="284" t="s">
        <v>1781</v>
      </c>
      <c r="C206" s="858" t="s">
        <v>151</v>
      </c>
      <c r="D206" s="858" t="s">
        <v>199</v>
      </c>
      <c r="E206" s="863"/>
      <c r="F206" s="3"/>
    </row>
    <row r="207" ht="15.0" customHeight="1">
      <c r="A207" s="284" t="s">
        <v>1782</v>
      </c>
      <c r="B207" s="284" t="s">
        <v>1783</v>
      </c>
      <c r="C207" s="858" t="s">
        <v>899</v>
      </c>
      <c r="D207" s="858" t="s">
        <v>199</v>
      </c>
      <c r="E207" s="863"/>
      <c r="F207" s="3"/>
    </row>
    <row r="208" ht="15.0" customHeight="1">
      <c r="A208" s="284" t="s">
        <v>1784</v>
      </c>
      <c r="B208" s="284" t="s">
        <v>1785</v>
      </c>
      <c r="C208" s="858" t="s">
        <v>161</v>
      </c>
      <c r="D208" s="858" t="s">
        <v>199</v>
      </c>
      <c r="E208" s="863"/>
      <c r="F208" s="3"/>
    </row>
    <row r="209" ht="15.0" customHeight="1">
      <c r="A209" s="284" t="s">
        <v>1786</v>
      </c>
      <c r="B209" s="284" t="s">
        <v>1787</v>
      </c>
      <c r="C209" s="858" t="s">
        <v>174</v>
      </c>
      <c r="D209" s="858" t="s">
        <v>199</v>
      </c>
      <c r="E209" s="863"/>
      <c r="F209" s="3"/>
    </row>
    <row r="210" ht="15.0" customHeight="1">
      <c r="A210" s="284" t="s">
        <v>1788</v>
      </c>
      <c r="B210" s="284" t="s">
        <v>1789</v>
      </c>
      <c r="C210" s="858" t="s">
        <v>178</v>
      </c>
      <c r="D210" s="858" t="s">
        <v>199</v>
      </c>
      <c r="E210" s="863"/>
      <c r="F210" s="3"/>
    </row>
    <row r="211" ht="15.0" customHeight="1">
      <c r="A211" s="284" t="s">
        <v>1792</v>
      </c>
      <c r="B211" s="284" t="s">
        <v>1793</v>
      </c>
      <c r="C211" s="858" t="s">
        <v>90</v>
      </c>
      <c r="D211" s="858" t="s">
        <v>133</v>
      </c>
      <c r="E211" s="863"/>
      <c r="F211" s="3"/>
    </row>
    <row r="212" ht="15.0" customHeight="1">
      <c r="A212" s="284" t="s">
        <v>1794</v>
      </c>
      <c r="B212" s="284" t="s">
        <v>1795</v>
      </c>
      <c r="C212" s="858" t="s">
        <v>151</v>
      </c>
      <c r="D212" s="858" t="s">
        <v>133</v>
      </c>
      <c r="E212" s="863"/>
      <c r="F212" s="4"/>
    </row>
    <row r="213" ht="15.0" customHeight="1">
      <c r="A213" s="284" t="s">
        <v>1796</v>
      </c>
      <c r="B213" s="284" t="s">
        <v>1797</v>
      </c>
      <c r="C213" s="858" t="s">
        <v>899</v>
      </c>
      <c r="D213" s="858" t="s">
        <v>133</v>
      </c>
      <c r="E213" s="863"/>
      <c r="F213" s="3"/>
    </row>
    <row r="214" ht="15.0" customHeight="1">
      <c r="A214" s="284" t="s">
        <v>1798</v>
      </c>
      <c r="B214" s="284" t="s">
        <v>1799</v>
      </c>
      <c r="C214" s="858" t="s">
        <v>161</v>
      </c>
      <c r="D214" s="858" t="s">
        <v>133</v>
      </c>
      <c r="E214" s="863"/>
      <c r="F214" s="3"/>
    </row>
    <row r="215" ht="15.0" customHeight="1">
      <c r="A215" s="284" t="s">
        <v>1800</v>
      </c>
      <c r="B215" s="284" t="s">
        <v>1801</v>
      </c>
      <c r="C215" s="858" t="s">
        <v>174</v>
      </c>
      <c r="D215" s="858" t="s">
        <v>133</v>
      </c>
      <c r="E215" s="863"/>
      <c r="F215" s="3"/>
    </row>
    <row r="216" ht="15.0" customHeight="1">
      <c r="A216" s="284" t="s">
        <v>1802</v>
      </c>
      <c r="B216" s="284" t="s">
        <v>1803</v>
      </c>
      <c r="C216" s="858" t="s">
        <v>178</v>
      </c>
      <c r="D216" s="858" t="s">
        <v>133</v>
      </c>
      <c r="E216" s="863"/>
      <c r="F216" s="3"/>
    </row>
    <row r="217" ht="15.0" customHeight="1">
      <c r="A217" s="284" t="s">
        <v>1808</v>
      </c>
      <c r="B217" s="284" t="s">
        <v>1809</v>
      </c>
      <c r="C217" s="858" t="s">
        <v>90</v>
      </c>
      <c r="D217" s="858" t="s">
        <v>214</v>
      </c>
      <c r="E217" s="863"/>
      <c r="F217" s="3"/>
    </row>
    <row r="218" ht="15.0" customHeight="1">
      <c r="A218" s="284" t="s">
        <v>1810</v>
      </c>
      <c r="B218" s="284" t="s">
        <v>1811</v>
      </c>
      <c r="C218" s="858" t="s">
        <v>151</v>
      </c>
      <c r="D218" s="858" t="s">
        <v>214</v>
      </c>
      <c r="E218" s="863"/>
      <c r="F218" s="3"/>
    </row>
    <row r="219" ht="15.0" customHeight="1">
      <c r="A219" s="284" t="s">
        <v>1812</v>
      </c>
      <c r="B219" s="284" t="s">
        <v>1813</v>
      </c>
      <c r="C219" s="858" t="s">
        <v>161</v>
      </c>
      <c r="D219" s="858" t="s">
        <v>214</v>
      </c>
      <c r="E219" s="863"/>
      <c r="F219" s="3"/>
    </row>
    <row r="220" ht="15.0" customHeight="1">
      <c r="A220" s="284" t="s">
        <v>1814</v>
      </c>
      <c r="B220" s="284" t="s">
        <v>1815</v>
      </c>
      <c r="C220" s="858" t="s">
        <v>174</v>
      </c>
      <c r="D220" s="858" t="s">
        <v>214</v>
      </c>
      <c r="E220" s="863"/>
      <c r="F220" s="3"/>
    </row>
    <row r="221" ht="15.0" customHeight="1">
      <c r="A221" s="284" t="s">
        <v>1816</v>
      </c>
      <c r="B221" s="284" t="s">
        <v>1817</v>
      </c>
      <c r="C221" s="858" t="s">
        <v>178</v>
      </c>
      <c r="D221" s="858" t="s">
        <v>214</v>
      </c>
      <c r="E221" s="863"/>
      <c r="F221" s="3"/>
    </row>
    <row r="222" ht="15.0" customHeight="1">
      <c r="A222" s="284" t="s">
        <v>1820</v>
      </c>
      <c r="B222" s="284" t="s">
        <v>1821</v>
      </c>
      <c r="C222" s="858" t="s">
        <v>90</v>
      </c>
      <c r="D222" s="858" t="s">
        <v>200</v>
      </c>
      <c r="E222" s="863"/>
      <c r="F222" s="3"/>
    </row>
    <row r="223" ht="15.0" customHeight="1">
      <c r="A223" s="284" t="s">
        <v>1822</v>
      </c>
      <c r="B223" s="284" t="s">
        <v>1823</v>
      </c>
      <c r="C223" s="858" t="s">
        <v>151</v>
      </c>
      <c r="D223" s="858" t="s">
        <v>200</v>
      </c>
      <c r="E223" s="863"/>
      <c r="F223" s="3"/>
    </row>
    <row r="224" ht="15.0" customHeight="1">
      <c r="A224" s="284" t="s">
        <v>1824</v>
      </c>
      <c r="B224" s="284" t="s">
        <v>1825</v>
      </c>
      <c r="C224" s="858" t="s">
        <v>161</v>
      </c>
      <c r="D224" s="858" t="s">
        <v>200</v>
      </c>
      <c r="E224" s="863"/>
      <c r="F224" s="3"/>
    </row>
    <row r="225" ht="15.0" customHeight="1">
      <c r="A225" s="284" t="s">
        <v>1826</v>
      </c>
      <c r="B225" s="284" t="s">
        <v>1827</v>
      </c>
      <c r="C225" s="858" t="s">
        <v>174</v>
      </c>
      <c r="D225" s="858" t="s">
        <v>200</v>
      </c>
      <c r="E225" s="863"/>
      <c r="F225" s="3"/>
    </row>
    <row r="226" ht="15.0" customHeight="1">
      <c r="A226" s="284" t="s">
        <v>1828</v>
      </c>
      <c r="B226" s="284" t="s">
        <v>1829</v>
      </c>
      <c r="C226" s="858" t="s">
        <v>178</v>
      </c>
      <c r="D226" s="858" t="s">
        <v>200</v>
      </c>
      <c r="E226" s="863"/>
      <c r="F226" s="3"/>
    </row>
    <row r="227" ht="15.0" customHeight="1">
      <c r="A227" s="284" t="s">
        <v>1832</v>
      </c>
      <c r="B227" s="284" t="s">
        <v>1833</v>
      </c>
      <c r="C227" s="858" t="s">
        <v>90</v>
      </c>
      <c r="D227" s="858" t="s">
        <v>203</v>
      </c>
      <c r="E227" s="863"/>
      <c r="F227" s="3"/>
    </row>
    <row r="228" ht="15.0" customHeight="1">
      <c r="A228" s="284" t="s">
        <v>1834</v>
      </c>
      <c r="B228" s="284" t="s">
        <v>1835</v>
      </c>
      <c r="C228" s="858" t="s">
        <v>151</v>
      </c>
      <c r="D228" s="858" t="s">
        <v>203</v>
      </c>
      <c r="E228" s="863"/>
      <c r="F228" s="3"/>
    </row>
    <row r="229" ht="15.0" customHeight="1">
      <c r="A229" s="284" t="s">
        <v>1836</v>
      </c>
      <c r="B229" s="284" t="s">
        <v>1837</v>
      </c>
      <c r="C229" s="858" t="s">
        <v>161</v>
      </c>
      <c r="D229" s="858" t="s">
        <v>203</v>
      </c>
      <c r="E229" s="863"/>
      <c r="F229" s="3"/>
    </row>
    <row r="230" ht="15.0" customHeight="1">
      <c r="A230" s="284" t="s">
        <v>1838</v>
      </c>
      <c r="B230" s="284" t="s">
        <v>1839</v>
      </c>
      <c r="C230" s="858" t="s">
        <v>174</v>
      </c>
      <c r="D230" s="858" t="s">
        <v>203</v>
      </c>
      <c r="E230" s="863"/>
      <c r="F230" s="3"/>
    </row>
    <row r="231" ht="15.0" customHeight="1">
      <c r="A231" s="284" t="s">
        <v>1840</v>
      </c>
      <c r="B231" s="284" t="s">
        <v>1841</v>
      </c>
      <c r="C231" s="858" t="s">
        <v>178</v>
      </c>
      <c r="D231" s="858" t="s">
        <v>203</v>
      </c>
      <c r="E231" s="863"/>
      <c r="F231" s="3"/>
    </row>
    <row r="232" ht="15.0" customHeight="1">
      <c r="A232" s="284" t="s">
        <v>1844</v>
      </c>
      <c r="B232" s="284" t="s">
        <v>1845</v>
      </c>
      <c r="C232" s="858" t="s">
        <v>90</v>
      </c>
      <c r="D232" s="858" t="s">
        <v>204</v>
      </c>
      <c r="E232" s="863"/>
      <c r="F232" s="3"/>
    </row>
    <row r="233" ht="15.0" customHeight="1">
      <c r="A233" s="284" t="s">
        <v>1846</v>
      </c>
      <c r="B233" s="284" t="s">
        <v>1847</v>
      </c>
      <c r="C233" s="858" t="s">
        <v>151</v>
      </c>
      <c r="D233" s="858" t="s">
        <v>204</v>
      </c>
      <c r="E233" s="863"/>
      <c r="F233" s="3"/>
    </row>
    <row r="234" ht="15.0" customHeight="1">
      <c r="A234" s="284" t="s">
        <v>1848</v>
      </c>
      <c r="B234" s="284" t="s">
        <v>1849</v>
      </c>
      <c r="C234" s="858" t="s">
        <v>161</v>
      </c>
      <c r="D234" s="858" t="s">
        <v>204</v>
      </c>
      <c r="E234" s="863"/>
      <c r="F234" s="3"/>
    </row>
    <row r="235" ht="15.0" customHeight="1">
      <c r="A235" s="284" t="s">
        <v>1850</v>
      </c>
      <c r="B235" s="284" t="s">
        <v>1851</v>
      </c>
      <c r="C235" s="858" t="s">
        <v>174</v>
      </c>
      <c r="D235" s="858" t="s">
        <v>204</v>
      </c>
      <c r="E235" s="863"/>
      <c r="F235" s="3"/>
    </row>
    <row r="236" ht="15.0" customHeight="1">
      <c r="A236" s="284" t="s">
        <v>1852</v>
      </c>
      <c r="B236" s="284" t="s">
        <v>1853</v>
      </c>
      <c r="C236" s="858" t="s">
        <v>178</v>
      </c>
      <c r="D236" s="858" t="s">
        <v>204</v>
      </c>
      <c r="E236" s="863"/>
      <c r="F236" s="3"/>
    </row>
    <row r="237" ht="15.0" customHeight="1">
      <c r="A237" s="861" t="s">
        <v>1856</v>
      </c>
      <c r="B237" s="861" t="s">
        <v>1857</v>
      </c>
      <c r="C237" s="862"/>
      <c r="D237" s="862"/>
      <c r="E237" s="864"/>
      <c r="F237" s="3"/>
    </row>
    <row r="238" ht="15.0" customHeight="1">
      <c r="A238" s="861" t="s">
        <v>1858</v>
      </c>
      <c r="B238" s="861" t="s">
        <v>1859</v>
      </c>
      <c r="C238" s="862"/>
      <c r="D238" s="862"/>
      <c r="E238" s="864"/>
      <c r="F238" s="3"/>
    </row>
    <row r="239" ht="15.0" customHeight="1">
      <c r="A239" s="861" t="s">
        <v>1860</v>
      </c>
      <c r="B239" s="861" t="s">
        <v>1861</v>
      </c>
      <c r="C239" s="862"/>
      <c r="D239" s="862"/>
      <c r="E239" s="864"/>
      <c r="F239" s="3"/>
    </row>
    <row r="240" ht="15.0" customHeight="1">
      <c r="A240" s="861" t="s">
        <v>1862</v>
      </c>
      <c r="B240" s="861" t="s">
        <v>1863</v>
      </c>
      <c r="C240" s="862"/>
      <c r="D240" s="862"/>
      <c r="E240" s="864"/>
      <c r="F240" s="3"/>
    </row>
    <row r="241" ht="15.0" customHeight="1">
      <c r="A241" s="861" t="s">
        <v>1864</v>
      </c>
      <c r="B241" s="861" t="s">
        <v>1865</v>
      </c>
      <c r="C241" s="862"/>
      <c r="D241" s="862"/>
      <c r="E241" s="864"/>
      <c r="F241" s="3"/>
    </row>
    <row r="242" ht="15.0" customHeight="1">
      <c r="A242" s="284" t="s">
        <v>1868</v>
      </c>
      <c r="B242" s="284" t="s">
        <v>1869</v>
      </c>
      <c r="C242" s="858" t="s">
        <v>90</v>
      </c>
      <c r="D242" s="858" t="s">
        <v>201</v>
      </c>
      <c r="E242" s="863"/>
      <c r="F242" s="3"/>
    </row>
    <row r="243" ht="15.0" customHeight="1">
      <c r="A243" s="284" t="s">
        <v>1870</v>
      </c>
      <c r="B243" s="284" t="s">
        <v>1871</v>
      </c>
      <c r="C243" s="858" t="s">
        <v>151</v>
      </c>
      <c r="D243" s="858" t="s">
        <v>201</v>
      </c>
      <c r="E243" s="863"/>
      <c r="F243" s="3"/>
    </row>
    <row r="244" ht="15.0" customHeight="1">
      <c r="A244" s="284" t="s">
        <v>1872</v>
      </c>
      <c r="B244" s="284" t="s">
        <v>1873</v>
      </c>
      <c r="C244" s="858" t="s">
        <v>899</v>
      </c>
      <c r="D244" s="858" t="s">
        <v>201</v>
      </c>
      <c r="E244" s="863"/>
      <c r="F244" s="3"/>
    </row>
    <row r="245" ht="15.0" customHeight="1">
      <c r="A245" s="284" t="s">
        <v>1874</v>
      </c>
      <c r="B245" s="284" t="s">
        <v>1875</v>
      </c>
      <c r="C245" s="858" t="s">
        <v>161</v>
      </c>
      <c r="D245" s="858" t="s">
        <v>201</v>
      </c>
      <c r="E245" s="863"/>
      <c r="F245" s="3"/>
    </row>
    <row r="246" ht="15.0" customHeight="1">
      <c r="A246" s="284" t="s">
        <v>1876</v>
      </c>
      <c r="B246" s="284" t="s">
        <v>1877</v>
      </c>
      <c r="C246" s="858" t="s">
        <v>174</v>
      </c>
      <c r="D246" s="858" t="s">
        <v>201</v>
      </c>
      <c r="E246" s="863"/>
      <c r="F246" s="3"/>
    </row>
    <row r="247" ht="15.0" customHeight="1">
      <c r="A247" s="284" t="s">
        <v>1878</v>
      </c>
      <c r="B247" s="284" t="s">
        <v>1879</v>
      </c>
      <c r="C247" s="858" t="s">
        <v>178</v>
      </c>
      <c r="D247" s="858" t="s">
        <v>201</v>
      </c>
      <c r="E247" s="863"/>
      <c r="F247" s="3"/>
    </row>
    <row r="248" ht="15.0" customHeight="1">
      <c r="A248" s="284" t="s">
        <v>1882</v>
      </c>
      <c r="B248" s="284" t="s">
        <v>1883</v>
      </c>
      <c r="C248" s="858" t="s">
        <v>90</v>
      </c>
      <c r="D248" s="858" t="s">
        <v>206</v>
      </c>
      <c r="E248" s="863"/>
      <c r="F248" s="3"/>
    </row>
    <row r="249" ht="15.0" customHeight="1">
      <c r="A249" s="284" t="s">
        <v>1884</v>
      </c>
      <c r="B249" s="284" t="s">
        <v>1885</v>
      </c>
      <c r="C249" s="858" t="s">
        <v>151</v>
      </c>
      <c r="D249" s="858" t="s">
        <v>206</v>
      </c>
      <c r="E249" s="863"/>
      <c r="F249" s="3"/>
    </row>
    <row r="250" ht="15.0" customHeight="1">
      <c r="A250" s="284" t="s">
        <v>1886</v>
      </c>
      <c r="B250" s="284" t="s">
        <v>1887</v>
      </c>
      <c r="C250" s="858" t="s">
        <v>161</v>
      </c>
      <c r="D250" s="858" t="s">
        <v>206</v>
      </c>
      <c r="E250" s="863"/>
      <c r="F250" s="3"/>
    </row>
    <row r="251" ht="15.0" customHeight="1">
      <c r="A251" s="284" t="s">
        <v>1888</v>
      </c>
      <c r="B251" s="284" t="s">
        <v>1889</v>
      </c>
      <c r="C251" s="858" t="s">
        <v>174</v>
      </c>
      <c r="D251" s="858" t="s">
        <v>206</v>
      </c>
      <c r="E251" s="863"/>
      <c r="F251" s="3"/>
    </row>
    <row r="252" ht="15.0" customHeight="1">
      <c r="A252" s="284" t="s">
        <v>1890</v>
      </c>
      <c r="B252" s="284" t="s">
        <v>1891</v>
      </c>
      <c r="C252" s="858" t="s">
        <v>178</v>
      </c>
      <c r="D252" s="858" t="s">
        <v>206</v>
      </c>
      <c r="E252" s="863"/>
      <c r="F252" s="3"/>
    </row>
    <row r="253" ht="15.0" customHeight="1">
      <c r="A253" s="284" t="s">
        <v>1896</v>
      </c>
      <c r="B253" s="284" t="s">
        <v>1897</v>
      </c>
      <c r="C253" s="858" t="s">
        <v>90</v>
      </c>
      <c r="D253" s="858" t="s">
        <v>214</v>
      </c>
      <c r="E253" s="863"/>
      <c r="F253" s="3"/>
    </row>
    <row r="254" ht="15.0" customHeight="1">
      <c r="A254" s="284" t="s">
        <v>1898</v>
      </c>
      <c r="B254" s="284" t="s">
        <v>1899</v>
      </c>
      <c r="C254" s="858" t="s">
        <v>151</v>
      </c>
      <c r="D254" s="858" t="s">
        <v>214</v>
      </c>
      <c r="E254" s="863"/>
      <c r="F254" s="3"/>
    </row>
    <row r="255" ht="15.0" customHeight="1">
      <c r="A255" s="284" t="s">
        <v>1900</v>
      </c>
      <c r="B255" s="284" t="s">
        <v>1901</v>
      </c>
      <c r="C255" s="858" t="s">
        <v>161</v>
      </c>
      <c r="D255" s="858" t="s">
        <v>214</v>
      </c>
      <c r="E255" s="863"/>
      <c r="F255" s="3"/>
    </row>
    <row r="256" ht="15.0" customHeight="1">
      <c r="A256" s="284" t="s">
        <v>1902</v>
      </c>
      <c r="B256" s="284" t="s">
        <v>1903</v>
      </c>
      <c r="C256" s="858" t="s">
        <v>174</v>
      </c>
      <c r="D256" s="858" t="s">
        <v>214</v>
      </c>
      <c r="E256" s="863"/>
      <c r="F256" s="3"/>
    </row>
    <row r="257" ht="15.0" customHeight="1">
      <c r="A257" s="284" t="s">
        <v>1904</v>
      </c>
      <c r="B257" s="284" t="s">
        <v>1905</v>
      </c>
      <c r="C257" s="858" t="s">
        <v>178</v>
      </c>
      <c r="D257" s="858" t="s">
        <v>214</v>
      </c>
      <c r="E257" s="863"/>
      <c r="F257" s="3"/>
    </row>
    <row r="258" ht="15.0" customHeight="1">
      <c r="A258" s="284" t="s">
        <v>1908</v>
      </c>
      <c r="B258" s="284" t="s">
        <v>1909</v>
      </c>
      <c r="C258" s="858" t="s">
        <v>90</v>
      </c>
      <c r="D258" s="858" t="s">
        <v>207</v>
      </c>
      <c r="E258" s="863"/>
      <c r="F258" s="3"/>
    </row>
    <row r="259" ht="15.0" customHeight="1">
      <c r="A259" s="284" t="s">
        <v>1910</v>
      </c>
      <c r="B259" s="284" t="s">
        <v>1911</v>
      </c>
      <c r="C259" s="858" t="s">
        <v>151</v>
      </c>
      <c r="D259" s="858" t="s">
        <v>207</v>
      </c>
      <c r="E259" s="863"/>
      <c r="F259" s="3"/>
    </row>
    <row r="260" ht="15.0" customHeight="1">
      <c r="A260" s="284" t="s">
        <v>1912</v>
      </c>
      <c r="B260" s="284" t="s">
        <v>1913</v>
      </c>
      <c r="C260" s="858" t="s">
        <v>161</v>
      </c>
      <c r="D260" s="858" t="s">
        <v>207</v>
      </c>
      <c r="E260" s="863"/>
      <c r="F260" s="3"/>
    </row>
    <row r="261" ht="15.0" customHeight="1">
      <c r="A261" s="284" t="s">
        <v>1914</v>
      </c>
      <c r="B261" s="284" t="s">
        <v>1915</v>
      </c>
      <c r="C261" s="858" t="s">
        <v>174</v>
      </c>
      <c r="D261" s="858" t="s">
        <v>207</v>
      </c>
      <c r="E261" s="863"/>
      <c r="F261" s="3"/>
    </row>
    <row r="262" ht="15.0" customHeight="1">
      <c r="A262" s="284" t="s">
        <v>1916</v>
      </c>
      <c r="B262" s="284" t="s">
        <v>1917</v>
      </c>
      <c r="C262" s="858" t="s">
        <v>178</v>
      </c>
      <c r="D262" s="858" t="s">
        <v>207</v>
      </c>
      <c r="E262" s="863"/>
      <c r="F262" s="3"/>
    </row>
    <row r="263" ht="15.0" customHeight="1">
      <c r="A263" s="284" t="s">
        <v>1924</v>
      </c>
      <c r="B263" s="284" t="s">
        <v>1925</v>
      </c>
      <c r="C263" s="858"/>
      <c r="D263" s="858"/>
      <c r="E263" s="863"/>
      <c r="F263" s="3"/>
    </row>
    <row r="264" ht="15.0" customHeight="1">
      <c r="A264" s="284" t="s">
        <v>1927</v>
      </c>
      <c r="B264" s="284" t="s">
        <v>1928</v>
      </c>
      <c r="C264" s="858" t="s">
        <v>3407</v>
      </c>
      <c r="D264" s="858" t="s">
        <v>22</v>
      </c>
      <c r="E264" s="863"/>
      <c r="F264" s="3"/>
    </row>
    <row r="265" ht="15.0" customHeight="1">
      <c r="A265" s="284" t="s">
        <v>1929</v>
      </c>
      <c r="B265" s="284" t="s">
        <v>1930</v>
      </c>
      <c r="C265" s="858" t="s">
        <v>3407</v>
      </c>
      <c r="D265" s="858" t="s">
        <v>50</v>
      </c>
      <c r="E265" s="863"/>
      <c r="F265" s="3"/>
    </row>
    <row r="266" ht="15.0" customHeight="1">
      <c r="A266" s="284" t="s">
        <v>1932</v>
      </c>
      <c r="B266" s="284" t="s">
        <v>1933</v>
      </c>
      <c r="C266" s="858" t="s">
        <v>3407</v>
      </c>
      <c r="D266" s="858" t="s">
        <v>22</v>
      </c>
      <c r="E266" s="863"/>
      <c r="F266" s="3"/>
    </row>
    <row r="267" ht="15.0" customHeight="1">
      <c r="A267" s="284" t="s">
        <v>1936</v>
      </c>
      <c r="B267" s="284" t="s">
        <v>1937</v>
      </c>
      <c r="C267" s="858" t="s">
        <v>3407</v>
      </c>
      <c r="D267" s="858" t="s">
        <v>22</v>
      </c>
      <c r="E267" s="863"/>
      <c r="F267" s="3"/>
    </row>
    <row r="268" ht="15.0" customHeight="1">
      <c r="A268" s="284" t="s">
        <v>1940</v>
      </c>
      <c r="B268" s="284" t="s">
        <v>1941</v>
      </c>
      <c r="C268" s="858"/>
      <c r="D268" s="858"/>
      <c r="E268" s="863"/>
      <c r="F268" s="3"/>
    </row>
    <row r="269" ht="15.0" customHeight="1">
      <c r="A269" s="284" t="s">
        <v>1943</v>
      </c>
      <c r="B269" s="284" t="s">
        <v>1944</v>
      </c>
      <c r="C269" s="858" t="s">
        <v>3407</v>
      </c>
      <c r="D269" s="858" t="s">
        <v>22</v>
      </c>
      <c r="E269" s="863"/>
      <c r="F269" s="3"/>
    </row>
    <row r="270" ht="15.0" customHeight="1">
      <c r="A270" s="284" t="s">
        <v>1947</v>
      </c>
      <c r="B270" s="284" t="s">
        <v>1948</v>
      </c>
      <c r="C270" s="858"/>
      <c r="D270" s="858"/>
      <c r="E270" s="863"/>
      <c r="F270" s="3"/>
    </row>
    <row r="271" ht="15.0" customHeight="1">
      <c r="A271" s="284" t="s">
        <v>1949</v>
      </c>
      <c r="B271" s="284" t="s">
        <v>1950</v>
      </c>
      <c r="C271" s="858" t="s">
        <v>3407</v>
      </c>
      <c r="D271" s="858" t="s">
        <v>26</v>
      </c>
      <c r="E271" s="863"/>
      <c r="F271" s="3"/>
    </row>
    <row r="272" ht="15.0" customHeight="1">
      <c r="A272" s="284" t="s">
        <v>1957</v>
      </c>
      <c r="B272" s="284" t="s">
        <v>1958</v>
      </c>
      <c r="C272" s="858" t="s">
        <v>3407</v>
      </c>
      <c r="D272" s="858" t="s">
        <v>27</v>
      </c>
      <c r="E272" s="863"/>
      <c r="F272" s="3"/>
    </row>
    <row r="273" ht="15.0" customHeight="1">
      <c r="A273" s="284" t="s">
        <v>1960</v>
      </c>
      <c r="B273" s="284" t="s">
        <v>1961</v>
      </c>
      <c r="C273" s="858"/>
      <c r="D273" s="858"/>
      <c r="E273" s="863"/>
      <c r="F273" s="3"/>
    </row>
    <row r="274" ht="15.0" customHeight="1">
      <c r="A274" s="284" t="s">
        <v>1962</v>
      </c>
      <c r="B274" s="284" t="s">
        <v>3425</v>
      </c>
      <c r="C274" s="858" t="s">
        <v>3407</v>
      </c>
      <c r="D274" s="858" t="s">
        <v>31</v>
      </c>
      <c r="E274" s="863"/>
      <c r="F274" s="3"/>
    </row>
    <row r="275" ht="15.0" customHeight="1">
      <c r="A275" s="284" t="s">
        <v>1964</v>
      </c>
      <c r="B275" s="284" t="s">
        <v>3426</v>
      </c>
      <c r="C275" s="858" t="s">
        <v>3407</v>
      </c>
      <c r="D275" s="858" t="s">
        <v>27</v>
      </c>
      <c r="E275" s="863"/>
      <c r="F275" s="3"/>
    </row>
    <row r="276" ht="15.0" customHeight="1">
      <c r="A276" s="284" t="s">
        <v>1966</v>
      </c>
      <c r="B276" s="284" t="s">
        <v>3427</v>
      </c>
      <c r="C276" s="858" t="s">
        <v>3407</v>
      </c>
      <c r="D276" s="858" t="s">
        <v>35</v>
      </c>
      <c r="E276" s="863"/>
      <c r="F276" s="3"/>
    </row>
    <row r="277" ht="15.0" customHeight="1">
      <c r="A277" s="284" t="s">
        <v>1968</v>
      </c>
      <c r="B277" s="284" t="s">
        <v>3428</v>
      </c>
      <c r="C277" s="858" t="s">
        <v>3407</v>
      </c>
      <c r="D277" s="858" t="s">
        <v>27</v>
      </c>
      <c r="E277" s="863"/>
      <c r="F277" s="3"/>
    </row>
    <row r="278" ht="15.0" customHeight="1">
      <c r="A278" s="284" t="s">
        <v>1970</v>
      </c>
      <c r="B278" s="284" t="s">
        <v>1971</v>
      </c>
      <c r="C278" s="858" t="s">
        <v>3407</v>
      </c>
      <c r="D278" s="858" t="s">
        <v>32</v>
      </c>
      <c r="E278" s="863"/>
      <c r="F278" s="3"/>
    </row>
    <row r="279" ht="15.0" customHeight="1">
      <c r="A279" s="284" t="s">
        <v>1972</v>
      </c>
      <c r="B279" s="284" t="s">
        <v>1973</v>
      </c>
      <c r="C279" s="858" t="s">
        <v>3407</v>
      </c>
      <c r="D279" s="858" t="s">
        <v>32</v>
      </c>
      <c r="E279" s="863"/>
      <c r="F279" s="3"/>
    </row>
    <row r="280" ht="15.0" customHeight="1">
      <c r="A280" s="284" t="s">
        <v>1974</v>
      </c>
      <c r="B280" s="284" t="s">
        <v>3429</v>
      </c>
      <c r="C280" s="858" t="s">
        <v>3407</v>
      </c>
      <c r="D280" s="858" t="s">
        <v>39</v>
      </c>
      <c r="E280" s="863"/>
      <c r="F280" s="3"/>
    </row>
    <row r="281" ht="15.0" customHeight="1">
      <c r="A281" s="284" t="s">
        <v>1976</v>
      </c>
      <c r="B281" s="284" t="s">
        <v>3430</v>
      </c>
      <c r="C281" s="858" t="s">
        <v>3407</v>
      </c>
      <c r="D281" s="858" t="s">
        <v>27</v>
      </c>
      <c r="E281" s="863"/>
      <c r="F281" s="3"/>
    </row>
    <row r="282" ht="15.0" customHeight="1">
      <c r="A282" s="284" t="s">
        <v>1978</v>
      </c>
      <c r="B282" s="284" t="s">
        <v>3431</v>
      </c>
      <c r="C282" s="858" t="s">
        <v>3407</v>
      </c>
      <c r="D282" s="858" t="s">
        <v>27</v>
      </c>
      <c r="E282" s="863"/>
      <c r="F282" s="3"/>
    </row>
    <row r="283" ht="15.0" customHeight="1">
      <c r="A283" s="284" t="s">
        <v>1981</v>
      </c>
      <c r="B283" s="284" t="s">
        <v>3432</v>
      </c>
      <c r="C283" s="858" t="s">
        <v>3407</v>
      </c>
      <c r="D283" s="858" t="s">
        <v>27</v>
      </c>
      <c r="E283" s="863"/>
      <c r="F283" s="3"/>
    </row>
    <row r="284" ht="15.0" customHeight="1">
      <c r="A284" s="284" t="s">
        <v>1983</v>
      </c>
      <c r="B284" s="284" t="s">
        <v>3433</v>
      </c>
      <c r="C284" s="858" t="s">
        <v>3407</v>
      </c>
      <c r="D284" s="858" t="s">
        <v>27</v>
      </c>
      <c r="E284" s="863"/>
      <c r="F284" s="3"/>
    </row>
    <row r="285" ht="15.0" customHeight="1">
      <c r="A285" s="284" t="s">
        <v>1987</v>
      </c>
      <c r="B285" s="284" t="s">
        <v>3434</v>
      </c>
      <c r="C285" s="858" t="s">
        <v>3407</v>
      </c>
      <c r="D285" s="858" t="s">
        <v>27</v>
      </c>
      <c r="E285" s="863"/>
      <c r="F285" s="3"/>
    </row>
    <row r="286" ht="15.0" customHeight="1">
      <c r="A286" s="284" t="s">
        <v>1989</v>
      </c>
      <c r="B286" s="284" t="s">
        <v>3435</v>
      </c>
      <c r="C286" s="858" t="s">
        <v>3407</v>
      </c>
      <c r="D286" s="858" t="s">
        <v>27</v>
      </c>
      <c r="E286" s="863"/>
      <c r="F286" s="3"/>
    </row>
    <row r="287" ht="15.0" customHeight="1">
      <c r="A287" s="284" t="s">
        <v>1991</v>
      </c>
      <c r="B287" s="284" t="s">
        <v>1992</v>
      </c>
      <c r="C287" s="858" t="s">
        <v>3407</v>
      </c>
      <c r="D287" s="858" t="s">
        <v>27</v>
      </c>
      <c r="E287" s="863"/>
      <c r="F287" s="3"/>
    </row>
    <row r="288" ht="15.0" customHeight="1">
      <c r="A288" s="284" t="s">
        <v>1993</v>
      </c>
      <c r="B288" s="284" t="s">
        <v>3436</v>
      </c>
      <c r="C288" s="858" t="s">
        <v>3407</v>
      </c>
      <c r="D288" s="858" t="s">
        <v>27</v>
      </c>
      <c r="E288" s="863"/>
      <c r="F288" s="3"/>
    </row>
    <row r="289" ht="15.0" customHeight="1">
      <c r="A289" s="284" t="s">
        <v>1999</v>
      </c>
      <c r="B289" s="284" t="s">
        <v>3437</v>
      </c>
      <c r="C289" s="858" t="s">
        <v>3407</v>
      </c>
      <c r="D289" s="858" t="s">
        <v>37</v>
      </c>
      <c r="E289" s="863"/>
      <c r="F289" s="3"/>
    </row>
    <row r="290" ht="15.0" customHeight="1">
      <c r="A290" s="284" t="s">
        <v>2001</v>
      </c>
      <c r="B290" s="284" t="s">
        <v>3438</v>
      </c>
      <c r="C290" s="858" t="s">
        <v>3407</v>
      </c>
      <c r="D290" s="858" t="s">
        <v>37</v>
      </c>
      <c r="E290" s="858"/>
      <c r="F290" s="3"/>
    </row>
    <row r="291" ht="15.0" customHeight="1">
      <c r="A291" s="284" t="s">
        <v>2003</v>
      </c>
      <c r="B291" s="284" t="s">
        <v>3439</v>
      </c>
      <c r="C291" s="858" t="s">
        <v>3407</v>
      </c>
      <c r="D291" s="858" t="s">
        <v>37</v>
      </c>
      <c r="E291" s="858"/>
      <c r="F291" s="3"/>
    </row>
    <row r="292" ht="15.0" customHeight="1">
      <c r="A292" s="284" t="s">
        <v>2005</v>
      </c>
      <c r="B292" s="284" t="s">
        <v>3440</v>
      </c>
      <c r="C292" s="858" t="s">
        <v>3407</v>
      </c>
      <c r="D292" s="858" t="s">
        <v>37</v>
      </c>
      <c r="E292" s="858"/>
      <c r="F292" s="3"/>
    </row>
    <row r="293" ht="15.0" customHeight="1">
      <c r="A293" s="284" t="s">
        <v>2007</v>
      </c>
      <c r="B293" s="284" t="s">
        <v>3441</v>
      </c>
      <c r="C293" s="858" t="s">
        <v>3407</v>
      </c>
      <c r="D293" s="858" t="s">
        <v>27</v>
      </c>
      <c r="E293" s="858"/>
      <c r="F293" s="3"/>
    </row>
    <row r="294" ht="15.0" customHeight="1">
      <c r="A294" s="284" t="s">
        <v>2009</v>
      </c>
      <c r="B294" s="284" t="s">
        <v>3442</v>
      </c>
      <c r="C294" s="858" t="s">
        <v>3407</v>
      </c>
      <c r="D294" s="858" t="s">
        <v>27</v>
      </c>
      <c r="E294" s="858"/>
      <c r="F294" s="3"/>
    </row>
    <row r="295" ht="15.0" customHeight="1">
      <c r="A295" s="284" t="s">
        <v>2011</v>
      </c>
      <c r="B295" s="284" t="s">
        <v>3443</v>
      </c>
      <c r="C295" s="858" t="s">
        <v>3407</v>
      </c>
      <c r="D295" s="858" t="s">
        <v>27</v>
      </c>
      <c r="E295" s="858"/>
      <c r="F295" s="3"/>
    </row>
    <row r="296" ht="15.0" customHeight="1">
      <c r="A296" s="284" t="s">
        <v>2013</v>
      </c>
      <c r="B296" s="284" t="s">
        <v>2014</v>
      </c>
      <c r="C296" s="858" t="s">
        <v>3407</v>
      </c>
      <c r="D296" s="858" t="s">
        <v>27</v>
      </c>
      <c r="E296" s="858"/>
      <c r="F296" s="3"/>
    </row>
    <row r="297" ht="15.0" customHeight="1">
      <c r="A297" s="284" t="s">
        <v>2015</v>
      </c>
      <c r="B297" s="284" t="s">
        <v>2016</v>
      </c>
      <c r="C297" s="858"/>
      <c r="D297" s="858"/>
      <c r="E297" s="858"/>
      <c r="F297" s="3"/>
    </row>
    <row r="298" ht="15.0" customHeight="1">
      <c r="A298" s="284" t="s">
        <v>2017</v>
      </c>
      <c r="B298" s="284" t="s">
        <v>3444</v>
      </c>
      <c r="C298" s="858" t="s">
        <v>3407</v>
      </c>
      <c r="D298" s="858" t="s">
        <v>27</v>
      </c>
      <c r="E298" s="858"/>
      <c r="F298" s="3"/>
    </row>
    <row r="299" ht="15.0" customHeight="1">
      <c r="A299" s="284" t="s">
        <v>2019</v>
      </c>
      <c r="B299" s="284" t="s">
        <v>2020</v>
      </c>
      <c r="C299" s="858" t="s">
        <v>3407</v>
      </c>
      <c r="D299" s="858" t="s">
        <v>37</v>
      </c>
      <c r="E299" s="858"/>
      <c r="F299" s="3"/>
    </row>
    <row r="300" ht="15.0" customHeight="1">
      <c r="A300" s="284" t="s">
        <v>2023</v>
      </c>
      <c r="B300" s="284" t="s">
        <v>2024</v>
      </c>
      <c r="C300" s="858" t="s">
        <v>3407</v>
      </c>
      <c r="D300" s="858" t="s">
        <v>27</v>
      </c>
      <c r="E300" s="858"/>
      <c r="F300" s="3"/>
    </row>
    <row r="301" ht="15.0" customHeight="1">
      <c r="A301" s="284" t="s">
        <v>2021</v>
      </c>
      <c r="B301" s="284" t="s">
        <v>3445</v>
      </c>
      <c r="C301" s="858" t="s">
        <v>3407</v>
      </c>
      <c r="D301" s="858" t="s">
        <v>37</v>
      </c>
      <c r="E301" s="858"/>
      <c r="F301" s="3"/>
    </row>
    <row r="302" ht="15.0" customHeight="1">
      <c r="A302" s="284" t="s">
        <v>2025</v>
      </c>
      <c r="B302" s="284" t="s">
        <v>3446</v>
      </c>
      <c r="C302" s="858" t="s">
        <v>3407</v>
      </c>
      <c r="D302" s="858" t="s">
        <v>37</v>
      </c>
      <c r="E302" s="858"/>
      <c r="F302" s="3"/>
    </row>
    <row r="303" ht="15.0" customHeight="1">
      <c r="A303" s="284" t="s">
        <v>2027</v>
      </c>
      <c r="B303" s="284" t="s">
        <v>2028</v>
      </c>
      <c r="C303" s="858" t="s">
        <v>3407</v>
      </c>
      <c r="D303" s="858" t="s">
        <v>37</v>
      </c>
      <c r="E303" s="858"/>
      <c r="F303" s="3"/>
    </row>
    <row r="304" ht="15.0" customHeight="1">
      <c r="A304" s="284" t="s">
        <v>2031</v>
      </c>
      <c r="B304" s="284" t="s">
        <v>3447</v>
      </c>
      <c r="C304" s="858" t="s">
        <v>3407</v>
      </c>
      <c r="D304" s="858" t="s">
        <v>37</v>
      </c>
      <c r="E304" s="858"/>
      <c r="F304" s="3"/>
    </row>
    <row r="305" ht="15.0" customHeight="1">
      <c r="A305" s="284" t="s">
        <v>2033</v>
      </c>
      <c r="B305" s="284" t="s">
        <v>2034</v>
      </c>
      <c r="C305" s="858" t="s">
        <v>3407</v>
      </c>
      <c r="D305" s="858" t="s">
        <v>37</v>
      </c>
      <c r="E305" s="858"/>
      <c r="F305" s="3"/>
    </row>
    <row r="306" ht="15.0" customHeight="1">
      <c r="A306" s="284" t="s">
        <v>2037</v>
      </c>
      <c r="B306" s="284" t="s">
        <v>2038</v>
      </c>
      <c r="C306" s="858"/>
      <c r="D306" s="858"/>
      <c r="E306" s="858"/>
      <c r="F306" s="3"/>
    </row>
    <row r="307" ht="15.0" customHeight="1">
      <c r="A307" s="284" t="s">
        <v>2039</v>
      </c>
      <c r="B307" s="284" t="s">
        <v>3448</v>
      </c>
      <c r="C307" s="858" t="s">
        <v>3407</v>
      </c>
      <c r="D307" s="858" t="s">
        <v>37</v>
      </c>
      <c r="E307" s="858"/>
      <c r="F307" s="3"/>
    </row>
    <row r="308" ht="15.0" customHeight="1">
      <c r="A308" s="284" t="s">
        <v>2043</v>
      </c>
      <c r="B308" s="284" t="s">
        <v>3449</v>
      </c>
      <c r="C308" s="858" t="s">
        <v>3407</v>
      </c>
      <c r="D308" s="858" t="s">
        <v>37</v>
      </c>
      <c r="E308" s="858"/>
      <c r="F308" s="3"/>
    </row>
    <row r="309" ht="15.0" customHeight="1">
      <c r="A309" s="284" t="s">
        <v>2045</v>
      </c>
      <c r="B309" s="284" t="s">
        <v>3450</v>
      </c>
      <c r="C309" s="858" t="s">
        <v>3407</v>
      </c>
      <c r="D309" s="858" t="s">
        <v>37</v>
      </c>
      <c r="E309" s="858"/>
      <c r="F309" s="3"/>
    </row>
    <row r="310" ht="15.0" customHeight="1">
      <c r="A310" s="284" t="s">
        <v>2047</v>
      </c>
      <c r="B310" s="284" t="s">
        <v>2048</v>
      </c>
      <c r="C310" s="858"/>
      <c r="D310" s="858"/>
      <c r="E310" s="858"/>
      <c r="F310" s="3"/>
    </row>
    <row r="311" ht="15.0" customHeight="1">
      <c r="A311" s="284" t="s">
        <v>2049</v>
      </c>
      <c r="B311" s="284" t="s">
        <v>3451</v>
      </c>
      <c r="C311" s="858" t="s">
        <v>3407</v>
      </c>
      <c r="D311" s="858" t="s">
        <v>37</v>
      </c>
      <c r="E311" s="858"/>
      <c r="F311" s="3"/>
    </row>
    <row r="312" ht="15.0" customHeight="1">
      <c r="A312" s="861" t="s">
        <v>2051</v>
      </c>
      <c r="B312" s="861" t="s">
        <v>2052</v>
      </c>
      <c r="C312" s="862" t="s">
        <v>3407</v>
      </c>
      <c r="D312" s="862" t="s">
        <v>27</v>
      </c>
      <c r="E312" s="862"/>
      <c r="F312" s="3"/>
    </row>
    <row r="313" ht="15.0" customHeight="1">
      <c r="A313" s="861" t="s">
        <v>2053</v>
      </c>
      <c r="B313" s="861" t="s">
        <v>3452</v>
      </c>
      <c r="C313" s="862" t="s">
        <v>3407</v>
      </c>
      <c r="D313" s="862" t="s">
        <v>27</v>
      </c>
      <c r="E313" s="862"/>
      <c r="F313" s="3"/>
    </row>
    <row r="314" ht="15.0" customHeight="1">
      <c r="A314" s="284" t="s">
        <v>2058</v>
      </c>
      <c r="B314" s="284" t="s">
        <v>2059</v>
      </c>
      <c r="C314" s="858" t="s">
        <v>3407</v>
      </c>
      <c r="D314" s="858" t="s">
        <v>22</v>
      </c>
      <c r="E314" s="858"/>
      <c r="F314" s="3"/>
    </row>
    <row r="315" ht="15.0" customHeight="1">
      <c r="A315" s="284" t="s">
        <v>2060</v>
      </c>
      <c r="B315" s="284" t="s">
        <v>2061</v>
      </c>
      <c r="C315" s="858" t="s">
        <v>3407</v>
      </c>
      <c r="D315" s="858" t="s">
        <v>22</v>
      </c>
      <c r="E315" s="858"/>
      <c r="F315" s="3"/>
    </row>
    <row r="316" ht="15.0" customHeight="1">
      <c r="A316" s="284" t="s">
        <v>2062</v>
      </c>
      <c r="B316" s="284" t="s">
        <v>2063</v>
      </c>
      <c r="C316" s="858" t="s">
        <v>3407</v>
      </c>
      <c r="D316" s="858" t="s">
        <v>22</v>
      </c>
      <c r="E316" s="858"/>
      <c r="F316" s="3"/>
    </row>
    <row r="317" ht="15.0" customHeight="1">
      <c r="A317" s="284" t="s">
        <v>2064</v>
      </c>
      <c r="B317" s="284" t="s">
        <v>2065</v>
      </c>
      <c r="C317" s="858" t="s">
        <v>3407</v>
      </c>
      <c r="D317" s="858" t="s">
        <v>22</v>
      </c>
      <c r="E317" s="858"/>
      <c r="F317" s="3"/>
    </row>
    <row r="318" ht="15.0" customHeight="1">
      <c r="A318" s="284" t="s">
        <v>2066</v>
      </c>
      <c r="B318" s="284" t="s">
        <v>2067</v>
      </c>
      <c r="C318" s="858" t="s">
        <v>3407</v>
      </c>
      <c r="D318" s="858" t="s">
        <v>22</v>
      </c>
      <c r="E318" s="858"/>
      <c r="F318" s="3"/>
    </row>
    <row r="319" ht="15.0" customHeight="1">
      <c r="A319" s="284" t="s">
        <v>2068</v>
      </c>
      <c r="B319" s="284" t="s">
        <v>2069</v>
      </c>
      <c r="C319" s="858" t="s">
        <v>3407</v>
      </c>
      <c r="D319" s="858" t="s">
        <v>22</v>
      </c>
      <c r="E319" s="858"/>
      <c r="F319" s="3"/>
    </row>
    <row r="320" ht="15.0" customHeight="1">
      <c r="A320" s="284" t="s">
        <v>2073</v>
      </c>
      <c r="B320" s="284" t="s">
        <v>2074</v>
      </c>
      <c r="C320" s="858" t="s">
        <v>3407</v>
      </c>
      <c r="D320" s="858" t="s">
        <v>43</v>
      </c>
      <c r="E320" s="858"/>
      <c r="F320" s="3"/>
    </row>
    <row r="321" ht="15.0" customHeight="1">
      <c r="A321" s="284" t="s">
        <v>2077</v>
      </c>
      <c r="B321" s="284" t="s">
        <v>2078</v>
      </c>
      <c r="C321" s="858" t="s">
        <v>3407</v>
      </c>
      <c r="D321" s="858" t="s">
        <v>43</v>
      </c>
      <c r="E321" s="858"/>
      <c r="F321" s="3"/>
    </row>
    <row r="322" ht="15.0" customHeight="1">
      <c r="A322" s="284" t="s">
        <v>2079</v>
      </c>
      <c r="B322" s="284" t="s">
        <v>2080</v>
      </c>
      <c r="C322" s="858" t="s">
        <v>3407</v>
      </c>
      <c r="D322" s="858" t="s">
        <v>45</v>
      </c>
      <c r="E322" s="858"/>
      <c r="F322" s="3"/>
    </row>
    <row r="323" ht="15.0" customHeight="1">
      <c r="A323" s="284" t="s">
        <v>2083</v>
      </c>
      <c r="B323" s="284" t="s">
        <v>2084</v>
      </c>
      <c r="C323" s="858" t="s">
        <v>3407</v>
      </c>
      <c r="D323" s="858" t="s">
        <v>45</v>
      </c>
      <c r="E323" s="858"/>
      <c r="F323" s="3"/>
    </row>
    <row r="324" ht="15.0" customHeight="1">
      <c r="A324" s="284" t="s">
        <v>2087</v>
      </c>
      <c r="B324" s="284" t="s">
        <v>3453</v>
      </c>
      <c r="C324" s="858" t="s">
        <v>3407</v>
      </c>
      <c r="D324" s="858" t="s">
        <v>45</v>
      </c>
      <c r="E324" s="858"/>
      <c r="F324" s="3"/>
    </row>
    <row r="325" ht="15.0" customHeight="1">
      <c r="A325" s="284" t="s">
        <v>2093</v>
      </c>
      <c r="B325" s="284" t="s">
        <v>2094</v>
      </c>
      <c r="C325" s="858" t="s">
        <v>3407</v>
      </c>
      <c r="D325" s="858" t="s">
        <v>47</v>
      </c>
      <c r="E325" s="858"/>
      <c r="F325" s="3"/>
    </row>
    <row r="326" ht="15.0" customHeight="1">
      <c r="A326" s="284" t="s">
        <v>2095</v>
      </c>
      <c r="B326" s="284" t="s">
        <v>2096</v>
      </c>
      <c r="C326" s="858" t="s">
        <v>3407</v>
      </c>
      <c r="D326" s="858" t="s">
        <v>47</v>
      </c>
      <c r="E326" s="858"/>
      <c r="F326" s="3"/>
    </row>
    <row r="327" ht="15.0" customHeight="1">
      <c r="A327" s="284" t="s">
        <v>2101</v>
      </c>
      <c r="B327" s="284" t="s">
        <v>2102</v>
      </c>
      <c r="C327" s="858" t="s">
        <v>3407</v>
      </c>
      <c r="D327" s="858" t="s">
        <v>47</v>
      </c>
      <c r="E327" s="858"/>
      <c r="F327" s="3"/>
    </row>
    <row r="328" ht="15.0" customHeight="1">
      <c r="A328" s="284" t="s">
        <v>2103</v>
      </c>
      <c r="B328" s="284" t="s">
        <v>2104</v>
      </c>
      <c r="C328" s="858" t="s">
        <v>3407</v>
      </c>
      <c r="D328" s="858" t="s">
        <v>47</v>
      </c>
      <c r="E328" s="858"/>
      <c r="F328" s="3"/>
    </row>
    <row r="329" ht="15.0" customHeight="1">
      <c r="A329" s="284" t="s">
        <v>2105</v>
      </c>
      <c r="B329" s="284" t="s">
        <v>2106</v>
      </c>
      <c r="C329" s="858" t="s">
        <v>3407</v>
      </c>
      <c r="D329" s="858" t="s">
        <v>47</v>
      </c>
      <c r="E329" s="858"/>
      <c r="F329" s="3"/>
    </row>
    <row r="330" ht="15.0" customHeight="1">
      <c r="A330" s="284" t="s">
        <v>2109</v>
      </c>
      <c r="B330" s="284" t="s">
        <v>2110</v>
      </c>
      <c r="C330" s="858" t="s">
        <v>3407</v>
      </c>
      <c r="D330" s="858" t="s">
        <v>47</v>
      </c>
      <c r="E330" s="858"/>
      <c r="F330" s="3"/>
    </row>
    <row r="331" ht="15.0" customHeight="1">
      <c r="A331" s="284" t="s">
        <v>2111</v>
      </c>
      <c r="B331" s="284" t="s">
        <v>2112</v>
      </c>
      <c r="C331" s="858" t="s">
        <v>3407</v>
      </c>
      <c r="D331" s="858" t="s">
        <v>47</v>
      </c>
      <c r="E331" s="858"/>
      <c r="F331" s="3"/>
    </row>
    <row r="332" ht="15.0" customHeight="1">
      <c r="A332" s="284" t="s">
        <v>2113</v>
      </c>
      <c r="B332" s="284" t="s">
        <v>2114</v>
      </c>
      <c r="C332" s="858" t="s">
        <v>3407</v>
      </c>
      <c r="D332" s="858" t="s">
        <v>55</v>
      </c>
      <c r="E332" s="858"/>
      <c r="F332" s="3"/>
    </row>
    <row r="333" ht="15.0" customHeight="1">
      <c r="A333" s="284" t="s">
        <v>2116</v>
      </c>
      <c r="B333" s="284" t="s">
        <v>2117</v>
      </c>
      <c r="C333" s="858" t="s">
        <v>3407</v>
      </c>
      <c r="D333" s="858" t="s">
        <v>55</v>
      </c>
      <c r="E333" s="858"/>
      <c r="F333" s="3"/>
    </row>
    <row r="334" ht="15.0" customHeight="1">
      <c r="A334" s="284" t="s">
        <v>2118</v>
      </c>
      <c r="B334" s="284" t="s">
        <v>2119</v>
      </c>
      <c r="C334" s="858" t="s">
        <v>3407</v>
      </c>
      <c r="D334" s="858" t="s">
        <v>55</v>
      </c>
      <c r="E334" s="858"/>
      <c r="F334" s="3"/>
    </row>
    <row r="335" ht="15.0" customHeight="1">
      <c r="A335" s="284" t="s">
        <v>2120</v>
      </c>
      <c r="B335" s="284" t="s">
        <v>3454</v>
      </c>
      <c r="C335" s="858" t="s">
        <v>3407</v>
      </c>
      <c r="D335" s="858" t="s">
        <v>53</v>
      </c>
      <c r="E335" s="858"/>
      <c r="F335" s="3"/>
    </row>
    <row r="336" ht="15.0" customHeight="1">
      <c r="A336" s="284" t="s">
        <v>2122</v>
      </c>
      <c r="B336" s="284" t="s">
        <v>2123</v>
      </c>
      <c r="C336" s="858" t="s">
        <v>3407</v>
      </c>
      <c r="D336" s="858" t="s">
        <v>53</v>
      </c>
      <c r="E336" s="858"/>
      <c r="F336" s="3"/>
    </row>
    <row r="337" ht="15.0" customHeight="1">
      <c r="A337" s="284" t="s">
        <v>2124</v>
      </c>
      <c r="B337" s="284" t="s">
        <v>2125</v>
      </c>
      <c r="C337" s="858" t="s">
        <v>3407</v>
      </c>
      <c r="D337" s="858" t="s">
        <v>53</v>
      </c>
      <c r="E337" s="858"/>
      <c r="F337" s="3"/>
    </row>
    <row r="338" ht="15.0" customHeight="1">
      <c r="A338" s="284" t="s">
        <v>2126</v>
      </c>
      <c r="B338" s="284" t="s">
        <v>2127</v>
      </c>
      <c r="C338" s="858" t="s">
        <v>3407</v>
      </c>
      <c r="D338" s="858" t="s">
        <v>53</v>
      </c>
      <c r="E338" s="858"/>
      <c r="F338" s="3"/>
    </row>
    <row r="339" ht="15.0" customHeight="1">
      <c r="A339" s="284" t="s">
        <v>2128</v>
      </c>
      <c r="B339" s="284" t="s">
        <v>2129</v>
      </c>
      <c r="C339" s="858" t="s">
        <v>3407</v>
      </c>
      <c r="D339" s="858" t="s">
        <v>39</v>
      </c>
      <c r="E339" s="858"/>
      <c r="F339" s="3"/>
    </row>
    <row r="340" ht="15.0" customHeight="1">
      <c r="A340" s="284" t="s">
        <v>2132</v>
      </c>
      <c r="B340" s="284" t="s">
        <v>2133</v>
      </c>
      <c r="C340" s="858"/>
      <c r="D340" s="858"/>
      <c r="E340" s="858"/>
      <c r="F340" s="3"/>
    </row>
    <row r="341" ht="15.0" customHeight="1">
      <c r="A341" s="861" t="s">
        <v>2134</v>
      </c>
      <c r="B341" s="861" t="s">
        <v>2135</v>
      </c>
      <c r="C341" s="862" t="s">
        <v>3407</v>
      </c>
      <c r="D341" s="862" t="s">
        <v>22</v>
      </c>
      <c r="E341" s="862"/>
      <c r="F341" s="3"/>
    </row>
    <row r="342" ht="15.0" customHeight="1">
      <c r="A342" s="284" t="s">
        <v>2136</v>
      </c>
      <c r="B342" s="284" t="s">
        <v>2137</v>
      </c>
      <c r="C342" s="858" t="s">
        <v>3407</v>
      </c>
      <c r="D342" s="858" t="s">
        <v>29</v>
      </c>
      <c r="E342" s="858"/>
      <c r="F342" s="3"/>
    </row>
    <row r="343" ht="15.0" customHeight="1">
      <c r="A343" s="284" t="s">
        <v>2138</v>
      </c>
      <c r="B343" s="284" t="s">
        <v>2139</v>
      </c>
      <c r="C343" s="858" t="s">
        <v>3407</v>
      </c>
      <c r="D343" s="858" t="s">
        <v>29</v>
      </c>
      <c r="E343" s="858"/>
      <c r="F343" s="3"/>
    </row>
    <row r="344" ht="15.0" customHeight="1">
      <c r="A344" s="284" t="s">
        <v>2140</v>
      </c>
      <c r="B344" s="284" t="s">
        <v>2141</v>
      </c>
      <c r="C344" s="858" t="s">
        <v>3407</v>
      </c>
      <c r="D344" s="858" t="s">
        <v>29</v>
      </c>
      <c r="E344" s="858"/>
      <c r="F344" s="3"/>
    </row>
    <row r="345" ht="15.0" customHeight="1">
      <c r="A345" s="284" t="s">
        <v>2144</v>
      </c>
      <c r="B345" s="284" t="s">
        <v>2145</v>
      </c>
      <c r="C345" s="858" t="s">
        <v>3407</v>
      </c>
      <c r="D345" s="858" t="s">
        <v>57</v>
      </c>
      <c r="E345" s="858"/>
      <c r="F345" s="3"/>
    </row>
    <row r="346" ht="14.25" customHeight="1">
      <c r="A346" s="284" t="s">
        <v>2146</v>
      </c>
      <c r="B346" s="284" t="s">
        <v>2147</v>
      </c>
      <c r="C346" s="858" t="s">
        <v>3407</v>
      </c>
      <c r="D346" s="858" t="s">
        <v>33</v>
      </c>
      <c r="E346" s="858"/>
      <c r="F346" s="3"/>
    </row>
    <row r="347" ht="15.0" customHeight="1">
      <c r="A347" s="284" t="s">
        <v>2154</v>
      </c>
      <c r="B347" s="284" t="s">
        <v>2155</v>
      </c>
      <c r="C347" s="858" t="s">
        <v>3407</v>
      </c>
      <c r="D347" s="858" t="s">
        <v>39</v>
      </c>
      <c r="E347" s="858"/>
      <c r="F347" s="3"/>
    </row>
    <row r="348" ht="15.0" customHeight="1">
      <c r="A348" s="284" t="s">
        <v>2156</v>
      </c>
      <c r="B348" s="284" t="s">
        <v>2157</v>
      </c>
      <c r="C348" s="858" t="s">
        <v>3407</v>
      </c>
      <c r="D348" s="858" t="s">
        <v>57</v>
      </c>
      <c r="E348" s="858"/>
      <c r="F348" s="3"/>
    </row>
    <row r="349" ht="15.0" customHeight="1">
      <c r="A349" s="284" t="s">
        <v>2158</v>
      </c>
      <c r="B349" s="284" t="s">
        <v>2159</v>
      </c>
      <c r="C349" s="858" t="s">
        <v>3407</v>
      </c>
      <c r="D349" s="858" t="s">
        <v>57</v>
      </c>
      <c r="E349" s="858"/>
      <c r="F349" s="3"/>
    </row>
    <row r="350" ht="15.0" customHeight="1">
      <c r="A350" s="284" t="s">
        <v>2160</v>
      </c>
      <c r="B350" s="284" t="s">
        <v>2161</v>
      </c>
      <c r="C350" s="858" t="s">
        <v>3407</v>
      </c>
      <c r="D350" s="858" t="s">
        <v>57</v>
      </c>
      <c r="E350" s="858"/>
      <c r="F350" s="3"/>
    </row>
    <row r="351" ht="15.0" customHeight="1">
      <c r="A351" s="284" t="s">
        <v>2162</v>
      </c>
      <c r="B351" s="284" t="s">
        <v>2163</v>
      </c>
      <c r="C351" s="858" t="s">
        <v>3407</v>
      </c>
      <c r="D351" s="858" t="s">
        <v>57</v>
      </c>
      <c r="E351" s="858"/>
      <c r="F351" s="3"/>
    </row>
    <row r="352" ht="15.0" customHeight="1">
      <c r="A352" s="284" t="s">
        <v>2166</v>
      </c>
      <c r="B352" s="284" t="s">
        <v>2167</v>
      </c>
      <c r="C352" s="858" t="s">
        <v>3407</v>
      </c>
      <c r="D352" s="858" t="s">
        <v>57</v>
      </c>
      <c r="E352" s="858"/>
      <c r="F352" s="3"/>
    </row>
    <row r="353" ht="15.0" customHeight="1">
      <c r="A353" s="284" t="s">
        <v>2168</v>
      </c>
      <c r="B353" s="284" t="s">
        <v>2169</v>
      </c>
      <c r="C353" s="858" t="s">
        <v>3407</v>
      </c>
      <c r="D353" s="858" t="s">
        <v>57</v>
      </c>
      <c r="E353" s="858"/>
      <c r="F353" s="3"/>
    </row>
    <row r="354" ht="15.0" customHeight="1">
      <c r="A354" s="284" t="s">
        <v>2170</v>
      </c>
      <c r="B354" s="284" t="s">
        <v>2171</v>
      </c>
      <c r="C354" s="858" t="s">
        <v>3407</v>
      </c>
      <c r="D354" s="858" t="s">
        <v>57</v>
      </c>
      <c r="E354" s="858"/>
      <c r="F354" s="3"/>
    </row>
    <row r="355" ht="15.0" customHeight="1">
      <c r="A355" s="284" t="s">
        <v>2172</v>
      </c>
      <c r="B355" s="284" t="s">
        <v>2173</v>
      </c>
      <c r="C355" s="858" t="s">
        <v>3407</v>
      </c>
      <c r="D355" s="858" t="s">
        <v>57</v>
      </c>
      <c r="E355" s="858"/>
      <c r="F355" s="1"/>
    </row>
    <row r="356" ht="15.0" customHeight="1">
      <c r="A356" s="284" t="s">
        <v>2174</v>
      </c>
      <c r="B356" s="284" t="s">
        <v>2175</v>
      </c>
      <c r="C356" s="858" t="s">
        <v>3407</v>
      </c>
      <c r="D356" s="858" t="s">
        <v>57</v>
      </c>
      <c r="E356" s="858"/>
      <c r="F356" s="3"/>
    </row>
    <row r="357" ht="15.0" customHeight="1">
      <c r="A357" s="284" t="s">
        <v>2176</v>
      </c>
      <c r="B357" s="284" t="s">
        <v>2177</v>
      </c>
      <c r="C357" s="858" t="s">
        <v>3407</v>
      </c>
      <c r="D357" s="858" t="s">
        <v>57</v>
      </c>
      <c r="E357" s="858"/>
      <c r="F357" s="3"/>
    </row>
    <row r="358" ht="15.0" customHeight="1">
      <c r="A358" s="284" t="s">
        <v>2182</v>
      </c>
      <c r="B358" s="284" t="s">
        <v>2183</v>
      </c>
      <c r="C358" s="858"/>
      <c r="D358" s="858"/>
      <c r="E358" s="858"/>
      <c r="F358" s="3"/>
    </row>
    <row r="359" ht="15.0" customHeight="1">
      <c r="A359" s="284" t="s">
        <v>2184</v>
      </c>
      <c r="B359" s="284" t="s">
        <v>2185</v>
      </c>
      <c r="C359" s="858" t="s">
        <v>3407</v>
      </c>
      <c r="D359" s="858" t="s">
        <v>71</v>
      </c>
      <c r="E359" s="858"/>
      <c r="F359" s="3"/>
    </row>
    <row r="360" ht="15.0" customHeight="1">
      <c r="A360" s="284" t="s">
        <v>2186</v>
      </c>
      <c r="B360" s="284" t="s">
        <v>2187</v>
      </c>
      <c r="C360" s="858" t="s">
        <v>3407</v>
      </c>
      <c r="D360" s="858" t="s">
        <v>71</v>
      </c>
      <c r="E360" s="858"/>
      <c r="F360" s="3"/>
    </row>
    <row r="361" ht="15.0" customHeight="1">
      <c r="A361" s="284" t="s">
        <v>2188</v>
      </c>
      <c r="B361" s="284" t="s">
        <v>2189</v>
      </c>
      <c r="C361" s="858" t="s">
        <v>3407</v>
      </c>
      <c r="D361" s="858" t="s">
        <v>71</v>
      </c>
      <c r="E361" s="858"/>
      <c r="F361" s="3"/>
    </row>
    <row r="362" ht="15.0" customHeight="1">
      <c r="A362" s="284" t="s">
        <v>2190</v>
      </c>
      <c r="B362" s="284" t="s">
        <v>2191</v>
      </c>
      <c r="C362" s="858" t="s">
        <v>3407</v>
      </c>
      <c r="D362" s="858" t="s">
        <v>72</v>
      </c>
      <c r="E362" s="858"/>
      <c r="F362" s="3"/>
    </row>
    <row r="363" ht="15.0" customHeight="1">
      <c r="A363" s="284" t="s">
        <v>2192</v>
      </c>
      <c r="B363" s="284" t="s">
        <v>2193</v>
      </c>
      <c r="C363" s="858" t="s">
        <v>3407</v>
      </c>
      <c r="D363" s="858" t="s">
        <v>71</v>
      </c>
      <c r="E363" s="858"/>
      <c r="F363" s="3"/>
    </row>
    <row r="364" ht="15.0" customHeight="1">
      <c r="A364" s="284" t="s">
        <v>2194</v>
      </c>
      <c r="B364" s="284" t="s">
        <v>2195</v>
      </c>
      <c r="C364" s="858" t="s">
        <v>3407</v>
      </c>
      <c r="D364" s="858" t="s">
        <v>67</v>
      </c>
      <c r="E364" s="858"/>
      <c r="F364" s="3"/>
    </row>
    <row r="365" ht="15.0" customHeight="1">
      <c r="A365" s="284" t="s">
        <v>2196</v>
      </c>
      <c r="B365" s="284" t="s">
        <v>2197</v>
      </c>
      <c r="C365" s="858" t="s">
        <v>3407</v>
      </c>
      <c r="D365" s="858" t="s">
        <v>73</v>
      </c>
      <c r="E365" s="858"/>
      <c r="F365" s="3"/>
    </row>
    <row r="366" ht="15.0" customHeight="1">
      <c r="A366" s="284" t="s">
        <v>2198</v>
      </c>
      <c r="B366" s="284" t="s">
        <v>2199</v>
      </c>
      <c r="C366" s="858" t="s">
        <v>3407</v>
      </c>
      <c r="D366" s="858" t="s">
        <v>76</v>
      </c>
      <c r="E366" s="858"/>
      <c r="F366" s="3"/>
    </row>
    <row r="367" ht="15.0" customHeight="1">
      <c r="A367" s="284" t="s">
        <v>2200</v>
      </c>
      <c r="B367" s="284" t="s">
        <v>2201</v>
      </c>
      <c r="C367" s="858"/>
      <c r="D367" s="858"/>
      <c r="E367" s="858"/>
      <c r="F367" s="3"/>
    </row>
    <row r="368" ht="15.0" customHeight="1">
      <c r="A368" s="284" t="s">
        <v>2202</v>
      </c>
      <c r="B368" s="284" t="s">
        <v>2203</v>
      </c>
      <c r="C368" s="858" t="s">
        <v>3407</v>
      </c>
      <c r="D368" s="858" t="s">
        <v>79</v>
      </c>
      <c r="E368" s="858"/>
      <c r="F368" s="3"/>
    </row>
    <row r="369" ht="15.0" customHeight="1">
      <c r="A369" s="284" t="s">
        <v>2204</v>
      </c>
      <c r="B369" s="284" t="s">
        <v>2205</v>
      </c>
      <c r="C369" s="858" t="s">
        <v>3407</v>
      </c>
      <c r="D369" s="858" t="s">
        <v>22</v>
      </c>
      <c r="E369" s="858"/>
      <c r="F369" s="3"/>
    </row>
    <row r="370" ht="15.0" customHeight="1">
      <c r="A370" s="284" t="s">
        <v>2206</v>
      </c>
      <c r="B370" s="284" t="s">
        <v>2207</v>
      </c>
      <c r="C370" s="858" t="s">
        <v>3407</v>
      </c>
      <c r="D370" s="858" t="s">
        <v>79</v>
      </c>
      <c r="E370" s="858"/>
      <c r="F370" s="3"/>
    </row>
    <row r="371" ht="15.0" customHeight="1">
      <c r="A371" s="284" t="s">
        <v>2208</v>
      </c>
      <c r="B371" s="284" t="s">
        <v>2209</v>
      </c>
      <c r="C371" s="858" t="s">
        <v>3407</v>
      </c>
      <c r="D371" s="858" t="s">
        <v>79</v>
      </c>
      <c r="E371" s="858"/>
      <c r="F371" s="3"/>
    </row>
    <row r="372" ht="15.0" customHeight="1">
      <c r="A372" s="284" t="s">
        <v>2210</v>
      </c>
      <c r="B372" s="284" t="s">
        <v>2211</v>
      </c>
      <c r="C372" s="858" t="s">
        <v>3407</v>
      </c>
      <c r="D372" s="858" t="s">
        <v>30</v>
      </c>
      <c r="E372" s="858"/>
      <c r="F372" s="3"/>
    </row>
    <row r="373" ht="15.0" customHeight="1">
      <c r="A373" s="284" t="s">
        <v>2215</v>
      </c>
      <c r="B373" s="284" t="s">
        <v>2216</v>
      </c>
      <c r="C373" s="858" t="s">
        <v>3407</v>
      </c>
      <c r="D373" s="858" t="s">
        <v>40</v>
      </c>
      <c r="E373" s="858"/>
      <c r="F373" s="3"/>
    </row>
    <row r="374" ht="15.0" customHeight="1">
      <c r="A374" s="284" t="s">
        <v>2217</v>
      </c>
      <c r="B374" s="284" t="s">
        <v>2218</v>
      </c>
      <c r="C374" s="858" t="s">
        <v>3407</v>
      </c>
      <c r="D374" s="858" t="s">
        <v>40</v>
      </c>
      <c r="E374" s="858"/>
      <c r="F374" s="3"/>
    </row>
    <row r="375" ht="15.0" customHeight="1">
      <c r="A375" s="284" t="s">
        <v>2222</v>
      </c>
      <c r="B375" s="284" t="s">
        <v>2223</v>
      </c>
      <c r="C375" s="858" t="s">
        <v>3407</v>
      </c>
      <c r="D375" s="858" t="s">
        <v>32</v>
      </c>
      <c r="E375" s="858"/>
      <c r="F375" s="3"/>
    </row>
    <row r="376" ht="15.0" customHeight="1">
      <c r="A376" s="284" t="s">
        <v>2226</v>
      </c>
      <c r="B376" s="284" t="s">
        <v>2227</v>
      </c>
      <c r="C376" s="858" t="s">
        <v>3407</v>
      </c>
      <c r="D376" s="858" t="s">
        <v>38</v>
      </c>
      <c r="E376" s="858"/>
      <c r="F376" s="3"/>
    </row>
    <row r="377" ht="15.0" customHeight="1">
      <c r="A377" s="284" t="s">
        <v>2230</v>
      </c>
      <c r="B377" s="284" t="s">
        <v>2231</v>
      </c>
      <c r="C377" s="858" t="s">
        <v>3407</v>
      </c>
      <c r="D377" s="858" t="s">
        <v>38</v>
      </c>
      <c r="E377" s="858"/>
      <c r="F377" s="3"/>
    </row>
    <row r="378" ht="15.0" customHeight="1">
      <c r="A378" s="861" t="s">
        <v>2232</v>
      </c>
      <c r="B378" s="861" t="s">
        <v>2233</v>
      </c>
      <c r="C378" s="862" t="s">
        <v>3407</v>
      </c>
      <c r="D378" s="862" t="s">
        <v>38</v>
      </c>
      <c r="E378" s="862"/>
      <c r="F378" s="3"/>
    </row>
    <row r="379" ht="15.0" customHeight="1">
      <c r="A379" s="861" t="s">
        <v>2234</v>
      </c>
      <c r="B379" s="861" t="s">
        <v>2235</v>
      </c>
      <c r="C379" s="862" t="s">
        <v>3407</v>
      </c>
      <c r="D379" s="862" t="s">
        <v>38</v>
      </c>
      <c r="E379" s="862"/>
      <c r="F379" s="3"/>
    </row>
    <row r="380" ht="15.0" customHeight="1">
      <c r="A380" s="284" t="s">
        <v>2236</v>
      </c>
      <c r="B380" s="284" t="s">
        <v>2237</v>
      </c>
      <c r="C380" s="858"/>
      <c r="D380" s="858"/>
      <c r="E380" s="858"/>
      <c r="F380" s="3"/>
    </row>
    <row r="381" ht="15.0" customHeight="1">
      <c r="A381" s="284" t="s">
        <v>2238</v>
      </c>
      <c r="B381" s="284" t="s">
        <v>2239</v>
      </c>
      <c r="C381" s="858" t="s">
        <v>3407</v>
      </c>
      <c r="D381" s="858" t="s">
        <v>54</v>
      </c>
      <c r="E381" s="858"/>
      <c r="F381" s="3"/>
    </row>
    <row r="382" ht="15.0" customHeight="1">
      <c r="A382" s="284" t="s">
        <v>2240</v>
      </c>
      <c r="B382" s="284" t="s">
        <v>2241</v>
      </c>
      <c r="C382" s="858" t="s">
        <v>3407</v>
      </c>
      <c r="D382" s="858" t="s">
        <v>54</v>
      </c>
      <c r="E382" s="858"/>
      <c r="F382" s="3"/>
    </row>
    <row r="383" ht="15.0" customHeight="1">
      <c r="A383" s="284" t="s">
        <v>2242</v>
      </c>
      <c r="B383" s="284" t="s">
        <v>2243</v>
      </c>
      <c r="C383" s="858" t="s">
        <v>3407</v>
      </c>
      <c r="D383" s="858" t="s">
        <v>54</v>
      </c>
      <c r="E383" s="858"/>
      <c r="F383" s="3"/>
    </row>
    <row r="384" ht="15.0" customHeight="1">
      <c r="A384" s="284" t="s">
        <v>2244</v>
      </c>
      <c r="B384" s="284" t="s">
        <v>2245</v>
      </c>
      <c r="C384" s="858" t="s">
        <v>3407</v>
      </c>
      <c r="D384" s="858" t="s">
        <v>38</v>
      </c>
      <c r="E384" s="858"/>
      <c r="F384" s="3"/>
    </row>
    <row r="385" ht="15.0" customHeight="1">
      <c r="A385" s="284" t="s">
        <v>2246</v>
      </c>
      <c r="B385" s="284" t="s">
        <v>2247</v>
      </c>
      <c r="C385" s="858" t="s">
        <v>3407</v>
      </c>
      <c r="D385" s="858" t="s">
        <v>38</v>
      </c>
      <c r="E385" s="858"/>
      <c r="F385" s="3"/>
    </row>
    <row r="386" ht="15.0" customHeight="1">
      <c r="A386" s="284" t="s">
        <v>2248</v>
      </c>
      <c r="B386" s="284" t="s">
        <v>2249</v>
      </c>
      <c r="C386" s="858" t="s">
        <v>3407</v>
      </c>
      <c r="D386" s="858" t="s">
        <v>38</v>
      </c>
      <c r="E386" s="858"/>
      <c r="F386" s="3"/>
    </row>
    <row r="387" ht="15.0" customHeight="1">
      <c r="A387" s="284" t="s">
        <v>2250</v>
      </c>
      <c r="B387" s="284" t="s">
        <v>2251</v>
      </c>
      <c r="C387" s="858" t="s">
        <v>3407</v>
      </c>
      <c r="D387" s="858" t="s">
        <v>3455</v>
      </c>
      <c r="E387" s="858"/>
      <c r="F387" s="3"/>
    </row>
    <row r="388" ht="15.0" customHeight="1">
      <c r="A388" s="284" t="s">
        <v>2254</v>
      </c>
      <c r="B388" s="284" t="s">
        <v>2253</v>
      </c>
      <c r="C388" s="858" t="s">
        <v>3407</v>
      </c>
      <c r="D388" s="858" t="s">
        <v>36</v>
      </c>
      <c r="E388" s="858"/>
      <c r="F388" s="3"/>
    </row>
    <row r="389" ht="15.0" customHeight="1">
      <c r="A389" s="284" t="s">
        <v>2258</v>
      </c>
      <c r="B389" s="284" t="s">
        <v>2259</v>
      </c>
      <c r="C389" s="858" t="s">
        <v>3407</v>
      </c>
      <c r="D389" s="858" t="s">
        <v>44</v>
      </c>
      <c r="E389" s="858"/>
      <c r="F389" s="3"/>
    </row>
    <row r="390" ht="15.0" customHeight="1">
      <c r="A390" s="284" t="s">
        <v>2260</v>
      </c>
      <c r="B390" s="284" t="s">
        <v>2261</v>
      </c>
      <c r="C390" s="858" t="s">
        <v>3407</v>
      </c>
      <c r="D390" s="858" t="s">
        <v>46</v>
      </c>
      <c r="E390" s="858"/>
      <c r="F390" s="3"/>
    </row>
    <row r="391" ht="15.0" customHeight="1">
      <c r="A391" s="284" t="s">
        <v>2264</v>
      </c>
      <c r="B391" s="284" t="s">
        <v>2265</v>
      </c>
      <c r="C391" s="858"/>
      <c r="D391" s="858"/>
      <c r="E391" s="858"/>
      <c r="F391" s="3"/>
    </row>
    <row r="392" ht="15.0" customHeight="1">
      <c r="A392" s="284" t="s">
        <v>2268</v>
      </c>
      <c r="B392" s="284" t="s">
        <v>2269</v>
      </c>
      <c r="C392" s="858"/>
      <c r="D392" s="858"/>
      <c r="E392" s="858"/>
      <c r="F392" s="3"/>
    </row>
    <row r="393" ht="15.0" customHeight="1">
      <c r="A393" s="284" t="s">
        <v>2270</v>
      </c>
      <c r="B393" s="284" t="s">
        <v>2271</v>
      </c>
      <c r="C393" s="858" t="s">
        <v>3407</v>
      </c>
      <c r="D393" s="858" t="s">
        <v>52</v>
      </c>
      <c r="E393" s="858"/>
      <c r="F393" s="3"/>
    </row>
    <row r="394" ht="15.0" customHeight="1">
      <c r="A394" s="284" t="s">
        <v>2272</v>
      </c>
      <c r="B394" s="284" t="s">
        <v>2273</v>
      </c>
      <c r="C394" s="858" t="s">
        <v>3407</v>
      </c>
      <c r="D394" s="858" t="s">
        <v>50</v>
      </c>
      <c r="E394" s="858"/>
      <c r="F394" s="3"/>
    </row>
    <row r="395" ht="15.0" customHeight="1">
      <c r="A395" s="284" t="s">
        <v>2274</v>
      </c>
      <c r="B395" s="284" t="s">
        <v>2275</v>
      </c>
      <c r="C395" s="858" t="s">
        <v>3407</v>
      </c>
      <c r="D395" s="858" t="s">
        <v>50</v>
      </c>
      <c r="E395" s="858"/>
      <c r="F395" s="3"/>
    </row>
    <row r="396" ht="15.0" customHeight="1">
      <c r="A396" s="284" t="s">
        <v>2276</v>
      </c>
      <c r="B396" s="284" t="s">
        <v>2277</v>
      </c>
      <c r="C396" s="858"/>
      <c r="D396" s="858"/>
      <c r="E396" s="858"/>
      <c r="F396" s="3"/>
    </row>
    <row r="397" ht="15.0" customHeight="1">
      <c r="A397" s="284" t="s">
        <v>2282</v>
      </c>
      <c r="B397" s="284" t="s">
        <v>2283</v>
      </c>
      <c r="C397" s="858"/>
      <c r="D397" s="858"/>
      <c r="E397" s="858"/>
      <c r="F397" s="3"/>
    </row>
    <row r="398" ht="15.0" customHeight="1">
      <c r="A398" s="284" t="s">
        <v>2286</v>
      </c>
      <c r="B398" s="284" t="s">
        <v>2287</v>
      </c>
      <c r="C398" s="858" t="s">
        <v>3407</v>
      </c>
      <c r="D398" s="858" t="s">
        <v>57</v>
      </c>
      <c r="E398" s="858"/>
      <c r="F398" s="3"/>
    </row>
    <row r="399" ht="15.0" customHeight="1">
      <c r="A399" s="284" t="s">
        <v>2288</v>
      </c>
      <c r="B399" s="284" t="s">
        <v>2289</v>
      </c>
      <c r="C399" s="858"/>
      <c r="D399" s="858"/>
      <c r="E399" s="858"/>
      <c r="F399" s="3"/>
    </row>
    <row r="400" ht="15.0" customHeight="1">
      <c r="A400" s="284" t="s">
        <v>2290</v>
      </c>
      <c r="B400" s="284" t="s">
        <v>2291</v>
      </c>
      <c r="C400" s="858" t="s">
        <v>3407</v>
      </c>
      <c r="D400" s="858" t="s">
        <v>57</v>
      </c>
      <c r="E400" s="858"/>
      <c r="F400" s="3"/>
    </row>
    <row r="401" ht="15.0" customHeight="1">
      <c r="A401" s="284" t="s">
        <v>2292</v>
      </c>
      <c r="B401" s="284" t="s">
        <v>2293</v>
      </c>
      <c r="C401" s="858"/>
      <c r="D401" s="858"/>
      <c r="E401" s="858"/>
      <c r="F401" s="3"/>
    </row>
    <row r="402" ht="15.0" customHeight="1">
      <c r="A402" s="284" t="s">
        <v>2296</v>
      </c>
      <c r="B402" s="284" t="s">
        <v>2297</v>
      </c>
      <c r="C402" s="858"/>
      <c r="D402" s="858"/>
      <c r="E402" s="858"/>
      <c r="F402" s="3"/>
    </row>
    <row r="403" ht="15.0" customHeight="1">
      <c r="A403" s="284" t="s">
        <v>2298</v>
      </c>
      <c r="B403" s="284" t="s">
        <v>2299</v>
      </c>
      <c r="C403" s="858"/>
      <c r="D403" s="858"/>
      <c r="E403" s="858"/>
      <c r="F403" s="3"/>
    </row>
    <row r="404" ht="15.0" customHeight="1">
      <c r="A404" s="284" t="s">
        <v>2300</v>
      </c>
      <c r="B404" s="284" t="s">
        <v>2301</v>
      </c>
      <c r="C404" s="858"/>
      <c r="D404" s="858"/>
      <c r="E404" s="858"/>
      <c r="F404" s="3"/>
    </row>
    <row r="405" ht="15.0" customHeight="1">
      <c r="A405" s="284" t="s">
        <v>2302</v>
      </c>
      <c r="B405" s="284" t="s">
        <v>2303</v>
      </c>
      <c r="C405" s="858" t="s">
        <v>3407</v>
      </c>
      <c r="D405" s="858" t="s">
        <v>52</v>
      </c>
      <c r="E405" s="858"/>
      <c r="F405" s="3"/>
    </row>
    <row r="406" ht="15.0" customHeight="1">
      <c r="A406" s="284" t="s">
        <v>2306</v>
      </c>
      <c r="B406" s="284" t="s">
        <v>3456</v>
      </c>
      <c r="C406" s="858" t="s">
        <v>3407</v>
      </c>
      <c r="D406" s="858" t="s">
        <v>32</v>
      </c>
      <c r="E406" s="858"/>
      <c r="F406" s="3"/>
    </row>
    <row r="407" ht="15.0" customHeight="1">
      <c r="A407" s="284" t="s">
        <v>2308</v>
      </c>
      <c r="B407" s="284" t="s">
        <v>2309</v>
      </c>
      <c r="C407" s="858" t="s">
        <v>3407</v>
      </c>
      <c r="D407" s="858" t="s">
        <v>32</v>
      </c>
      <c r="E407" s="858"/>
      <c r="F407" s="3"/>
    </row>
    <row r="408" ht="15.0" customHeight="1">
      <c r="A408" s="284" t="s">
        <v>2310</v>
      </c>
      <c r="B408" s="284" t="s">
        <v>2311</v>
      </c>
      <c r="C408" s="858" t="s">
        <v>3407</v>
      </c>
      <c r="D408" s="858" t="s">
        <v>32</v>
      </c>
      <c r="E408" s="858"/>
      <c r="F408" s="3"/>
    </row>
    <row r="409" ht="15.0" customHeight="1">
      <c r="A409" s="284" t="s">
        <v>2312</v>
      </c>
      <c r="B409" s="284" t="s">
        <v>2313</v>
      </c>
      <c r="C409" s="858" t="s">
        <v>3407</v>
      </c>
      <c r="D409" s="858" t="s">
        <v>32</v>
      </c>
      <c r="E409" s="858"/>
      <c r="F409" s="3"/>
    </row>
    <row r="410" ht="15.0" customHeight="1">
      <c r="A410" s="284" t="s">
        <v>2314</v>
      </c>
      <c r="B410" s="284" t="s">
        <v>2315</v>
      </c>
      <c r="C410" s="858" t="s">
        <v>3407</v>
      </c>
      <c r="D410" s="858" t="s">
        <v>34</v>
      </c>
      <c r="E410" s="858"/>
      <c r="F410" s="3"/>
    </row>
    <row r="411" ht="15.0" customHeight="1">
      <c r="A411" s="284" t="s">
        <v>2316</v>
      </c>
      <c r="B411" s="284" t="s">
        <v>2317</v>
      </c>
      <c r="C411" s="858" t="s">
        <v>3407</v>
      </c>
      <c r="D411" s="858" t="s">
        <v>50</v>
      </c>
      <c r="E411" s="858"/>
      <c r="F411" s="3"/>
    </row>
    <row r="412" ht="15.0" customHeight="1">
      <c r="A412" s="284" t="s">
        <v>2318</v>
      </c>
      <c r="B412" s="284" t="s">
        <v>2319</v>
      </c>
      <c r="C412" s="858" t="s">
        <v>3407</v>
      </c>
      <c r="D412" s="858" t="s">
        <v>50</v>
      </c>
      <c r="E412" s="858"/>
      <c r="F412" s="3"/>
    </row>
    <row r="413" ht="15.0" customHeight="1">
      <c r="A413" s="284" t="s">
        <v>2320</v>
      </c>
      <c r="B413" s="284" t="s">
        <v>2321</v>
      </c>
      <c r="C413" s="858" t="s">
        <v>3407</v>
      </c>
      <c r="D413" s="858" t="s">
        <v>38</v>
      </c>
      <c r="E413" s="858"/>
      <c r="F413" s="3"/>
    </row>
    <row r="414" ht="15.0" customHeight="1">
      <c r="A414" s="284" t="s">
        <v>2322</v>
      </c>
      <c r="B414" s="284" t="s">
        <v>2323</v>
      </c>
      <c r="C414" s="858" t="s">
        <v>3407</v>
      </c>
      <c r="D414" s="858" t="s">
        <v>38</v>
      </c>
      <c r="E414" s="858"/>
      <c r="F414" s="3"/>
    </row>
    <row r="415" ht="15.0" customHeight="1">
      <c r="A415" s="284" t="s">
        <v>2324</v>
      </c>
      <c r="B415" s="284" t="s">
        <v>2325</v>
      </c>
      <c r="C415" s="858" t="s">
        <v>3407</v>
      </c>
      <c r="D415" s="858" t="s">
        <v>38</v>
      </c>
      <c r="E415" s="858"/>
      <c r="F415" s="3"/>
    </row>
    <row r="416" ht="15.0" customHeight="1">
      <c r="A416" s="284" t="s">
        <v>2326</v>
      </c>
      <c r="B416" s="284" t="s">
        <v>2327</v>
      </c>
      <c r="C416" s="858" t="s">
        <v>3407</v>
      </c>
      <c r="D416" s="858" t="s">
        <v>38</v>
      </c>
      <c r="E416" s="858"/>
      <c r="F416" s="3"/>
    </row>
    <row r="417" ht="15.0" customHeight="1">
      <c r="A417" s="284" t="s">
        <v>2328</v>
      </c>
      <c r="B417" s="284" t="s">
        <v>2329</v>
      </c>
      <c r="C417" s="858" t="s">
        <v>3407</v>
      </c>
      <c r="D417" s="858" t="s">
        <v>38</v>
      </c>
      <c r="E417" s="858"/>
      <c r="F417" s="3"/>
    </row>
    <row r="418" ht="15.0" customHeight="1">
      <c r="A418" s="284" t="s">
        <v>2330</v>
      </c>
      <c r="B418" s="284" t="s">
        <v>3457</v>
      </c>
      <c r="C418" s="858" t="s">
        <v>3407</v>
      </c>
      <c r="D418" s="858" t="s">
        <v>54</v>
      </c>
      <c r="E418" s="858"/>
      <c r="F418" s="3"/>
    </row>
    <row r="419" ht="15.0" customHeight="1">
      <c r="A419" s="284" t="s">
        <v>2332</v>
      </c>
      <c r="B419" s="284" t="s">
        <v>2333</v>
      </c>
      <c r="C419" s="858" t="s">
        <v>3407</v>
      </c>
      <c r="D419" s="858" t="s">
        <v>54</v>
      </c>
      <c r="E419" s="858"/>
      <c r="F419" s="3"/>
    </row>
    <row r="420" ht="15.0" customHeight="1">
      <c r="A420" s="284" t="s">
        <v>2334</v>
      </c>
      <c r="B420" s="284" t="s">
        <v>2335</v>
      </c>
      <c r="C420" s="858" t="s">
        <v>3407</v>
      </c>
      <c r="D420" s="858" t="s">
        <v>50</v>
      </c>
      <c r="E420" s="858"/>
      <c r="F420" s="3"/>
    </row>
    <row r="421" ht="15.0" customHeight="1">
      <c r="A421" s="284" t="s">
        <v>2336</v>
      </c>
      <c r="B421" s="284" t="s">
        <v>3458</v>
      </c>
      <c r="C421" s="858" t="s">
        <v>3407</v>
      </c>
      <c r="D421" s="858" t="s">
        <v>54</v>
      </c>
      <c r="E421" s="858"/>
      <c r="F421" s="3"/>
    </row>
    <row r="422" ht="15.0" customHeight="1">
      <c r="A422" s="284" t="s">
        <v>2338</v>
      </c>
      <c r="B422" s="284" t="s">
        <v>2339</v>
      </c>
      <c r="C422" s="858" t="s">
        <v>3407</v>
      </c>
      <c r="D422" s="858" t="s">
        <v>54</v>
      </c>
      <c r="E422" s="858"/>
      <c r="F422" s="3"/>
    </row>
    <row r="423" ht="15.0" customHeight="1">
      <c r="A423" s="284" t="s">
        <v>2340</v>
      </c>
      <c r="B423" s="284" t="s">
        <v>2341</v>
      </c>
      <c r="C423" s="858" t="s">
        <v>3407</v>
      </c>
      <c r="D423" s="858" t="s">
        <v>54</v>
      </c>
      <c r="E423" s="858"/>
      <c r="F423" s="3"/>
    </row>
    <row r="424" ht="15.0" customHeight="1">
      <c r="A424" s="284" t="s">
        <v>2342</v>
      </c>
      <c r="B424" s="284" t="s">
        <v>2343</v>
      </c>
      <c r="C424" s="858" t="s">
        <v>3407</v>
      </c>
      <c r="D424" s="858" t="s">
        <v>54</v>
      </c>
      <c r="E424" s="858"/>
      <c r="F424" s="3"/>
    </row>
    <row r="425" ht="15.0" customHeight="1">
      <c r="A425" s="284" t="s">
        <v>2344</v>
      </c>
      <c r="B425" s="284" t="s">
        <v>2345</v>
      </c>
      <c r="C425" s="858" t="s">
        <v>3407</v>
      </c>
      <c r="D425" s="858" t="s">
        <v>40</v>
      </c>
      <c r="E425" s="858"/>
      <c r="F425" s="3"/>
    </row>
    <row r="426" ht="15.0" customHeight="1">
      <c r="A426" s="284" t="s">
        <v>2348</v>
      </c>
      <c r="B426" s="284" t="s">
        <v>2349</v>
      </c>
      <c r="C426" s="858"/>
      <c r="D426" s="858"/>
      <c r="E426" s="858"/>
      <c r="F426" s="3"/>
    </row>
    <row r="427" ht="15.0" customHeight="1">
      <c r="A427" s="284" t="s">
        <v>2350</v>
      </c>
      <c r="B427" s="284" t="s">
        <v>2351</v>
      </c>
      <c r="C427" s="858" t="s">
        <v>3407</v>
      </c>
      <c r="D427" s="858" t="s">
        <v>54</v>
      </c>
      <c r="E427" s="858"/>
      <c r="F427" s="3"/>
    </row>
    <row r="428" ht="15.0" customHeight="1">
      <c r="A428" s="284" t="s">
        <v>2352</v>
      </c>
      <c r="B428" s="284" t="s">
        <v>2353</v>
      </c>
      <c r="C428" s="858" t="s">
        <v>3407</v>
      </c>
      <c r="D428" s="858" t="s">
        <v>54</v>
      </c>
      <c r="E428" s="858"/>
      <c r="F428" s="3"/>
    </row>
    <row r="429" ht="15.0" customHeight="1">
      <c r="A429" s="284" t="s">
        <v>2354</v>
      </c>
      <c r="B429" s="284" t="s">
        <v>2355</v>
      </c>
      <c r="C429" s="858" t="s">
        <v>3407</v>
      </c>
      <c r="D429" s="858" t="s">
        <v>54</v>
      </c>
      <c r="E429" s="858"/>
      <c r="F429" s="3"/>
    </row>
    <row r="430" ht="15.0" customHeight="1">
      <c r="A430" s="284" t="s">
        <v>2356</v>
      </c>
      <c r="B430" s="284" t="s">
        <v>2357</v>
      </c>
      <c r="C430" s="858" t="s">
        <v>3407</v>
      </c>
      <c r="D430" s="858" t="s">
        <v>54</v>
      </c>
      <c r="E430" s="858"/>
      <c r="F430" s="3"/>
    </row>
    <row r="431" ht="15.0" customHeight="1">
      <c r="A431" s="284" t="s">
        <v>2358</v>
      </c>
      <c r="B431" s="284" t="s">
        <v>2359</v>
      </c>
      <c r="C431" s="858" t="s">
        <v>3407</v>
      </c>
      <c r="D431" s="858" t="s">
        <v>54</v>
      </c>
      <c r="E431" s="858"/>
      <c r="F431" s="3"/>
    </row>
    <row r="432" ht="15.0" customHeight="1">
      <c r="A432" s="284" t="s">
        <v>2360</v>
      </c>
      <c r="B432" s="284" t="s">
        <v>2361</v>
      </c>
      <c r="C432" s="858" t="s">
        <v>3407</v>
      </c>
      <c r="D432" s="858" t="s">
        <v>54</v>
      </c>
      <c r="E432" s="858"/>
      <c r="F432" s="3"/>
    </row>
    <row r="433" ht="15.0" customHeight="1">
      <c r="A433" s="284" t="s">
        <v>2362</v>
      </c>
      <c r="B433" s="284" t="s">
        <v>2363</v>
      </c>
      <c r="C433" s="858" t="s">
        <v>3407</v>
      </c>
      <c r="D433" s="858" t="s">
        <v>54</v>
      </c>
      <c r="E433" s="858"/>
      <c r="F433" s="3"/>
    </row>
    <row r="434" ht="15.0" customHeight="1">
      <c r="A434" s="284" t="s">
        <v>2368</v>
      </c>
      <c r="B434" s="284" t="s">
        <v>2369</v>
      </c>
      <c r="C434" s="858" t="s">
        <v>3407</v>
      </c>
      <c r="D434" s="858" t="s">
        <v>54</v>
      </c>
      <c r="E434" s="858"/>
      <c r="F434" s="3"/>
    </row>
    <row r="435" ht="15.0" customHeight="1">
      <c r="A435" s="284" t="s">
        <v>2374</v>
      </c>
      <c r="B435" s="284" t="s">
        <v>2375</v>
      </c>
      <c r="C435" s="858" t="s">
        <v>3407</v>
      </c>
      <c r="D435" s="858" t="s">
        <v>62</v>
      </c>
      <c r="E435" s="858"/>
      <c r="F435" s="3"/>
    </row>
    <row r="436" ht="15.0" customHeight="1">
      <c r="A436" s="284" t="s">
        <v>2376</v>
      </c>
      <c r="B436" s="284" t="s">
        <v>2377</v>
      </c>
      <c r="C436" s="858" t="s">
        <v>3407</v>
      </c>
      <c r="D436" s="858" t="s">
        <v>23</v>
      </c>
      <c r="E436" s="858"/>
      <c r="F436" s="3"/>
    </row>
    <row r="437" ht="15.0" customHeight="1">
      <c r="A437" s="284" t="s">
        <v>2378</v>
      </c>
      <c r="B437" s="284" t="s">
        <v>2379</v>
      </c>
      <c r="C437" s="858" t="s">
        <v>3407</v>
      </c>
      <c r="D437" s="858" t="s">
        <v>57</v>
      </c>
      <c r="E437" s="858"/>
      <c r="F437" s="3"/>
    </row>
    <row r="438" ht="15.0" customHeight="1">
      <c r="A438" s="284" t="s">
        <v>2380</v>
      </c>
      <c r="B438" s="284" t="s">
        <v>2381</v>
      </c>
      <c r="C438" s="858"/>
      <c r="D438" s="858"/>
      <c r="E438" s="858"/>
      <c r="F438" s="3"/>
    </row>
    <row r="439" ht="15.0" customHeight="1">
      <c r="A439" s="284" t="s">
        <v>2382</v>
      </c>
      <c r="B439" s="284" t="s">
        <v>2383</v>
      </c>
      <c r="C439" s="858" t="s">
        <v>3407</v>
      </c>
      <c r="D439" s="858" t="s">
        <v>71</v>
      </c>
      <c r="E439" s="858"/>
      <c r="F439" s="3"/>
    </row>
    <row r="440" ht="15.0" customHeight="1">
      <c r="A440" s="284" t="s">
        <v>2384</v>
      </c>
      <c r="B440" s="284" t="s">
        <v>2385</v>
      </c>
      <c r="C440" s="858" t="s">
        <v>3407</v>
      </c>
      <c r="D440" s="858" t="s">
        <v>71</v>
      </c>
      <c r="E440" s="858"/>
      <c r="F440" s="3"/>
    </row>
    <row r="441" ht="15.0" customHeight="1">
      <c r="A441" s="284" t="s">
        <v>2386</v>
      </c>
      <c r="B441" s="284" t="s">
        <v>2387</v>
      </c>
      <c r="C441" s="858" t="s">
        <v>3407</v>
      </c>
      <c r="D441" s="858" t="s">
        <v>71</v>
      </c>
      <c r="E441" s="858"/>
      <c r="F441" s="3"/>
    </row>
    <row r="442" ht="15.0" customHeight="1">
      <c r="A442" s="284" t="s">
        <v>2388</v>
      </c>
      <c r="B442" s="284" t="s">
        <v>2389</v>
      </c>
      <c r="C442" s="858" t="s">
        <v>3407</v>
      </c>
      <c r="D442" s="858" t="s">
        <v>72</v>
      </c>
      <c r="E442" s="858"/>
      <c r="F442" s="3"/>
    </row>
    <row r="443" ht="15.0" customHeight="1">
      <c r="A443" s="284" t="s">
        <v>2390</v>
      </c>
      <c r="B443" s="284" t="s">
        <v>2391</v>
      </c>
      <c r="C443" s="858" t="s">
        <v>3407</v>
      </c>
      <c r="D443" s="858" t="s">
        <v>71</v>
      </c>
      <c r="E443" s="858"/>
      <c r="F443" s="3"/>
    </row>
    <row r="444" ht="15.0" customHeight="1">
      <c r="A444" s="284" t="s">
        <v>2392</v>
      </c>
      <c r="B444" s="284" t="s">
        <v>2393</v>
      </c>
      <c r="C444" s="858" t="s">
        <v>3407</v>
      </c>
      <c r="D444" s="858" t="s">
        <v>67</v>
      </c>
      <c r="E444" s="858"/>
      <c r="F444" s="3"/>
    </row>
    <row r="445" ht="15.0" customHeight="1">
      <c r="A445" s="284" t="s">
        <v>2394</v>
      </c>
      <c r="B445" s="284" t="s">
        <v>2395</v>
      </c>
      <c r="C445" s="858" t="s">
        <v>3407</v>
      </c>
      <c r="D445" s="858" t="s">
        <v>73</v>
      </c>
      <c r="E445" s="858"/>
      <c r="F445" s="3"/>
    </row>
    <row r="446" ht="15.0" customHeight="1">
      <c r="A446" s="284" t="s">
        <v>2396</v>
      </c>
      <c r="B446" s="284" t="s">
        <v>2397</v>
      </c>
      <c r="C446" s="858" t="s">
        <v>3407</v>
      </c>
      <c r="D446" s="858" t="s">
        <v>76</v>
      </c>
      <c r="E446" s="858"/>
      <c r="F446" s="3"/>
    </row>
    <row r="447" ht="15.0" customHeight="1">
      <c r="A447" s="284" t="s">
        <v>2398</v>
      </c>
      <c r="B447" s="284" t="s">
        <v>2399</v>
      </c>
      <c r="C447" s="858"/>
      <c r="D447" s="858"/>
      <c r="E447" s="858"/>
      <c r="F447" s="3"/>
    </row>
    <row r="448" ht="15.0" customHeight="1">
      <c r="A448" s="284" t="s">
        <v>2400</v>
      </c>
      <c r="B448" s="284" t="s">
        <v>2401</v>
      </c>
      <c r="C448" s="858" t="s">
        <v>3407</v>
      </c>
      <c r="D448" s="858" t="s">
        <v>81</v>
      </c>
      <c r="E448" s="858"/>
      <c r="F448" s="3"/>
    </row>
    <row r="449" ht="15.0" customHeight="1">
      <c r="A449" s="284" t="s">
        <v>2402</v>
      </c>
      <c r="B449" s="284" t="s">
        <v>2403</v>
      </c>
      <c r="C449" s="858" t="s">
        <v>3407</v>
      </c>
      <c r="D449" s="858" t="s">
        <v>81</v>
      </c>
      <c r="E449" s="858"/>
      <c r="F449" s="3"/>
    </row>
    <row r="450" ht="15.0" customHeight="1">
      <c r="A450" s="284" t="s">
        <v>2404</v>
      </c>
      <c r="B450" s="284" t="s">
        <v>2405</v>
      </c>
      <c r="C450" s="858" t="s">
        <v>3407</v>
      </c>
      <c r="D450" s="858" t="s">
        <v>81</v>
      </c>
      <c r="E450" s="858"/>
      <c r="F450" s="3"/>
    </row>
    <row r="451" ht="15.0" customHeight="1">
      <c r="A451" s="284" t="s">
        <v>2406</v>
      </c>
      <c r="B451" s="284" t="s">
        <v>2407</v>
      </c>
      <c r="C451" s="858" t="s">
        <v>3407</v>
      </c>
      <c r="D451" s="858" t="s">
        <v>81</v>
      </c>
      <c r="E451" s="858"/>
      <c r="F451" s="3"/>
    </row>
    <row r="452" ht="15.0" customHeight="1">
      <c r="A452" s="284" t="s">
        <v>2408</v>
      </c>
      <c r="B452" s="284" t="s">
        <v>2409</v>
      </c>
      <c r="C452" s="858" t="s">
        <v>3407</v>
      </c>
      <c r="D452" s="858" t="s">
        <v>81</v>
      </c>
      <c r="E452" s="858"/>
      <c r="F452" s="3"/>
    </row>
    <row r="453" ht="15.0" customHeight="1">
      <c r="A453" s="284" t="s">
        <v>2410</v>
      </c>
      <c r="B453" s="284" t="s">
        <v>2411</v>
      </c>
      <c r="C453" s="858" t="s">
        <v>3407</v>
      </c>
      <c r="D453" s="858" t="s">
        <v>81</v>
      </c>
      <c r="E453" s="858"/>
      <c r="F453" s="3"/>
    </row>
    <row r="454" ht="15.0" customHeight="1">
      <c r="A454" s="284" t="s">
        <v>2414</v>
      </c>
      <c r="B454" s="284" t="s">
        <v>2415</v>
      </c>
      <c r="C454" s="858" t="s">
        <v>3407</v>
      </c>
      <c r="D454" s="858" t="s">
        <v>81</v>
      </c>
      <c r="E454" s="858"/>
      <c r="F454" s="3"/>
    </row>
    <row r="455" ht="15.0" customHeight="1">
      <c r="A455" s="284" t="s">
        <v>2418</v>
      </c>
      <c r="B455" s="284" t="s">
        <v>2419</v>
      </c>
      <c r="C455" s="858" t="s">
        <v>3407</v>
      </c>
      <c r="D455" s="858" t="s">
        <v>83</v>
      </c>
      <c r="E455" s="858"/>
      <c r="F455" s="3"/>
    </row>
    <row r="456" ht="15.0" customHeight="1">
      <c r="A456" s="284" t="s">
        <v>2420</v>
      </c>
      <c r="B456" s="284" t="s">
        <v>2421</v>
      </c>
      <c r="C456" s="858"/>
      <c r="D456" s="858"/>
      <c r="E456" s="858"/>
      <c r="F456" s="3"/>
    </row>
    <row r="457" ht="15.0" customHeight="1">
      <c r="A457" s="284" t="s">
        <v>2424</v>
      </c>
      <c r="B457" s="284" t="s">
        <v>2425</v>
      </c>
      <c r="C457" s="858" t="s">
        <v>90</v>
      </c>
      <c r="D457" s="858" t="s">
        <v>97</v>
      </c>
      <c r="E457" s="858" t="s">
        <v>3459</v>
      </c>
      <c r="F457" s="3"/>
    </row>
    <row r="458" ht="15.0" customHeight="1">
      <c r="A458" s="284" t="s">
        <v>2427</v>
      </c>
      <c r="B458" s="284" t="s">
        <v>2428</v>
      </c>
      <c r="C458" s="858" t="s">
        <v>90</v>
      </c>
      <c r="D458" s="858" t="s">
        <v>97</v>
      </c>
      <c r="E458" s="858" t="s">
        <v>3459</v>
      </c>
      <c r="F458" s="3"/>
    </row>
    <row r="459" ht="15.0" customHeight="1">
      <c r="A459" s="284" t="s">
        <v>2429</v>
      </c>
      <c r="B459" s="284" t="s">
        <v>2430</v>
      </c>
      <c r="C459" s="858" t="s">
        <v>90</v>
      </c>
      <c r="D459" s="858" t="s">
        <v>97</v>
      </c>
      <c r="E459" s="858" t="s">
        <v>3459</v>
      </c>
      <c r="F459" s="3"/>
    </row>
    <row r="460" ht="15.0" customHeight="1">
      <c r="A460" s="284" t="s">
        <v>2431</v>
      </c>
      <c r="B460" s="284" t="s">
        <v>2432</v>
      </c>
      <c r="C460" s="858" t="s">
        <v>90</v>
      </c>
      <c r="D460" s="858" t="s">
        <v>97</v>
      </c>
      <c r="E460" s="858" t="s">
        <v>3459</v>
      </c>
      <c r="F460" s="3"/>
    </row>
    <row r="461" ht="15.0" customHeight="1">
      <c r="A461" s="284" t="s">
        <v>2439</v>
      </c>
      <c r="B461" s="284" t="s">
        <v>2440</v>
      </c>
      <c r="C461" s="858" t="s">
        <v>90</v>
      </c>
      <c r="D461" s="858" t="s">
        <v>97</v>
      </c>
      <c r="E461" s="858" t="s">
        <v>3459</v>
      </c>
      <c r="F461" s="3"/>
    </row>
    <row r="462" ht="15.0" customHeight="1">
      <c r="A462" s="284" t="s">
        <v>2441</v>
      </c>
      <c r="B462" s="284" t="s">
        <v>2442</v>
      </c>
      <c r="C462" s="858" t="s">
        <v>90</v>
      </c>
      <c r="D462" s="858" t="s">
        <v>97</v>
      </c>
      <c r="E462" s="858" t="s">
        <v>3459</v>
      </c>
      <c r="F462" s="3"/>
    </row>
    <row r="463" ht="15.0" customHeight="1">
      <c r="A463" s="284" t="s">
        <v>2445</v>
      </c>
      <c r="B463" s="284" t="s">
        <v>2446</v>
      </c>
      <c r="C463" s="858" t="s">
        <v>90</v>
      </c>
      <c r="D463" s="858" t="s">
        <v>97</v>
      </c>
      <c r="E463" s="858" t="s">
        <v>3459</v>
      </c>
      <c r="F463" s="3"/>
    </row>
    <row r="464" ht="15.0" customHeight="1">
      <c r="A464" s="284" t="s">
        <v>2447</v>
      </c>
      <c r="B464" s="284" t="s">
        <v>2448</v>
      </c>
      <c r="C464" s="858" t="s">
        <v>90</v>
      </c>
      <c r="D464" s="858" t="s">
        <v>97</v>
      </c>
      <c r="E464" s="858" t="s">
        <v>3459</v>
      </c>
      <c r="F464" s="3"/>
    </row>
    <row r="465" ht="15.0" customHeight="1">
      <c r="A465" s="284" t="s">
        <v>2453</v>
      </c>
      <c r="B465" s="284" t="s">
        <v>2454</v>
      </c>
      <c r="C465" s="858" t="s">
        <v>90</v>
      </c>
      <c r="D465" s="858" t="s">
        <v>792</v>
      </c>
      <c r="E465" s="858" t="s">
        <v>3459</v>
      </c>
      <c r="F465" s="3"/>
    </row>
    <row r="466" ht="15.0" customHeight="1">
      <c r="A466" s="284" t="s">
        <v>2461</v>
      </c>
      <c r="B466" s="284" t="s">
        <v>2462</v>
      </c>
      <c r="C466" s="858" t="s">
        <v>90</v>
      </c>
      <c r="D466" s="858" t="s">
        <v>97</v>
      </c>
      <c r="E466" s="858" t="s">
        <v>3459</v>
      </c>
      <c r="F466" s="3"/>
    </row>
    <row r="467" ht="15.0" customHeight="1">
      <c r="A467" s="284" t="s">
        <v>2465</v>
      </c>
      <c r="B467" s="284" t="s">
        <v>2466</v>
      </c>
      <c r="C467" s="858" t="s">
        <v>90</v>
      </c>
      <c r="D467" s="858" t="s">
        <v>97</v>
      </c>
      <c r="E467" s="858" t="s">
        <v>3459</v>
      </c>
      <c r="F467" s="3"/>
    </row>
    <row r="468" ht="15.0" customHeight="1">
      <c r="A468" s="284" t="s">
        <v>2467</v>
      </c>
      <c r="B468" s="284" t="s">
        <v>2468</v>
      </c>
      <c r="C468" s="858" t="s">
        <v>90</v>
      </c>
      <c r="D468" s="858" t="s">
        <v>97</v>
      </c>
      <c r="E468" s="858" t="s">
        <v>3459</v>
      </c>
      <c r="F468" s="3"/>
    </row>
    <row r="469" ht="15.0" customHeight="1">
      <c r="A469" s="284" t="s">
        <v>2469</v>
      </c>
      <c r="B469" s="849" t="s">
        <v>2470</v>
      </c>
      <c r="C469" s="858"/>
      <c r="D469" s="858"/>
      <c r="E469" s="858"/>
      <c r="F469" s="3"/>
    </row>
    <row r="470" ht="15.0" customHeight="1">
      <c r="A470" s="861" t="s">
        <v>2475</v>
      </c>
      <c r="B470" s="861" t="s">
        <v>2476</v>
      </c>
      <c r="C470" s="862"/>
      <c r="D470" s="862"/>
      <c r="E470" s="862"/>
      <c r="F470" s="3"/>
    </row>
    <row r="471" ht="15.0" customHeight="1">
      <c r="A471" s="284" t="s">
        <v>2489</v>
      </c>
      <c r="B471" s="284" t="s">
        <v>2490</v>
      </c>
      <c r="C471" s="858" t="s">
        <v>90</v>
      </c>
      <c r="D471" s="858" t="s">
        <v>98</v>
      </c>
      <c r="E471" s="858" t="s">
        <v>3459</v>
      </c>
      <c r="F471" s="3"/>
    </row>
    <row r="472" ht="15.0" customHeight="1">
      <c r="A472" s="284" t="s">
        <v>2491</v>
      </c>
      <c r="B472" s="284" t="s">
        <v>2492</v>
      </c>
      <c r="C472" s="858" t="s">
        <v>90</v>
      </c>
      <c r="D472" s="858" t="s">
        <v>792</v>
      </c>
      <c r="E472" s="858" t="s">
        <v>3459</v>
      </c>
      <c r="F472" s="3"/>
    </row>
    <row r="473" ht="15.0" customHeight="1">
      <c r="A473" s="284" t="s">
        <v>2495</v>
      </c>
      <c r="B473" s="284" t="s">
        <v>2496</v>
      </c>
      <c r="C473" s="858" t="s">
        <v>90</v>
      </c>
      <c r="D473" s="858" t="s">
        <v>98</v>
      </c>
      <c r="E473" s="858" t="s">
        <v>3459</v>
      </c>
      <c r="F473" s="3"/>
    </row>
    <row r="474" ht="15.0" customHeight="1">
      <c r="A474" s="865" t="s">
        <v>2497</v>
      </c>
      <c r="B474" s="865" t="s">
        <v>2498</v>
      </c>
      <c r="C474" s="866" t="s">
        <v>90</v>
      </c>
      <c r="D474" s="866" t="s">
        <v>792</v>
      </c>
      <c r="E474" s="866" t="s">
        <v>3459</v>
      </c>
      <c r="F474" s="3"/>
    </row>
    <row r="475" ht="15.0" customHeight="1">
      <c r="A475" s="284" t="s">
        <v>2503</v>
      </c>
      <c r="B475" s="284" t="s">
        <v>2504</v>
      </c>
      <c r="C475" s="858" t="s">
        <v>90</v>
      </c>
      <c r="D475" s="858" t="s">
        <v>98</v>
      </c>
      <c r="E475" s="858" t="s">
        <v>3459</v>
      </c>
      <c r="F475" s="3"/>
    </row>
    <row r="476" ht="15.0" customHeight="1">
      <c r="A476" s="284" t="s">
        <v>2505</v>
      </c>
      <c r="B476" s="284" t="s">
        <v>2506</v>
      </c>
      <c r="C476" s="858" t="s">
        <v>90</v>
      </c>
      <c r="D476" s="858" t="s">
        <v>98</v>
      </c>
      <c r="E476" s="858" t="s">
        <v>3459</v>
      </c>
      <c r="F476" s="3"/>
    </row>
    <row r="477" ht="15.0" customHeight="1">
      <c r="A477" s="284" t="s">
        <v>2507</v>
      </c>
      <c r="B477" s="284" t="s">
        <v>2508</v>
      </c>
      <c r="C477" s="858" t="s">
        <v>90</v>
      </c>
      <c r="D477" s="858" t="s">
        <v>98</v>
      </c>
      <c r="E477" s="858" t="s">
        <v>3459</v>
      </c>
      <c r="F477" s="3"/>
    </row>
    <row r="478" ht="15.0" customHeight="1">
      <c r="A478" s="284" t="s">
        <v>2509</v>
      </c>
      <c r="B478" s="284" t="s">
        <v>2510</v>
      </c>
      <c r="C478" s="858" t="s">
        <v>90</v>
      </c>
      <c r="D478" s="858" t="s">
        <v>98</v>
      </c>
      <c r="E478" s="858" t="s">
        <v>3459</v>
      </c>
      <c r="F478" s="3"/>
    </row>
    <row r="479" ht="15.0" customHeight="1">
      <c r="A479" s="284" t="s">
        <v>2513</v>
      </c>
      <c r="B479" s="284" t="s">
        <v>2514</v>
      </c>
      <c r="C479" s="858" t="s">
        <v>90</v>
      </c>
      <c r="D479" s="858" t="s">
        <v>98</v>
      </c>
      <c r="E479" s="858" t="s">
        <v>3459</v>
      </c>
      <c r="F479" s="3"/>
    </row>
    <row r="480" ht="15.0" customHeight="1">
      <c r="A480" s="284" t="s">
        <v>2515</v>
      </c>
      <c r="B480" s="284" t="s">
        <v>2516</v>
      </c>
      <c r="C480" s="858" t="s">
        <v>90</v>
      </c>
      <c r="D480" s="858" t="s">
        <v>98</v>
      </c>
      <c r="E480" s="858" t="s">
        <v>3459</v>
      </c>
      <c r="F480" s="3"/>
    </row>
    <row r="481" ht="15.0" customHeight="1">
      <c r="A481" s="284" t="s">
        <v>2517</v>
      </c>
      <c r="B481" s="284" t="s">
        <v>2518</v>
      </c>
      <c r="C481" s="858" t="s">
        <v>90</v>
      </c>
      <c r="D481" s="858" t="s">
        <v>98</v>
      </c>
      <c r="E481" s="858" t="s">
        <v>3459</v>
      </c>
      <c r="F481" s="3"/>
    </row>
    <row r="482" ht="15.0" customHeight="1">
      <c r="A482" s="284" t="s">
        <v>2521</v>
      </c>
      <c r="B482" s="284" t="s">
        <v>2522</v>
      </c>
      <c r="C482" s="858" t="s">
        <v>90</v>
      </c>
      <c r="D482" s="858" t="s">
        <v>98</v>
      </c>
      <c r="E482" s="858" t="s">
        <v>3459</v>
      </c>
      <c r="F482" s="3"/>
    </row>
    <row r="483" ht="15.0" customHeight="1">
      <c r="A483" s="284" t="s">
        <v>2523</v>
      </c>
      <c r="B483" s="284" t="s">
        <v>2524</v>
      </c>
      <c r="C483" s="858" t="s">
        <v>90</v>
      </c>
      <c r="D483" s="858" t="s">
        <v>98</v>
      </c>
      <c r="E483" s="858" t="s">
        <v>3459</v>
      </c>
      <c r="F483" s="3"/>
    </row>
    <row r="484" ht="15.0" customHeight="1">
      <c r="A484" s="284" t="s">
        <v>2525</v>
      </c>
      <c r="B484" s="284" t="s">
        <v>2526</v>
      </c>
      <c r="C484" s="858" t="s">
        <v>90</v>
      </c>
      <c r="D484" s="858" t="s">
        <v>98</v>
      </c>
      <c r="E484" s="858" t="s">
        <v>3459</v>
      </c>
      <c r="F484" s="3"/>
    </row>
    <row r="485" ht="15.0" customHeight="1">
      <c r="A485" s="284" t="s">
        <v>2527</v>
      </c>
      <c r="B485" s="284" t="s">
        <v>2528</v>
      </c>
      <c r="C485" s="858" t="s">
        <v>90</v>
      </c>
      <c r="D485" s="858" t="s">
        <v>792</v>
      </c>
      <c r="E485" s="858" t="s">
        <v>3459</v>
      </c>
      <c r="F485" s="3"/>
    </row>
    <row r="486" ht="15.0" customHeight="1">
      <c r="A486" s="284" t="s">
        <v>2529</v>
      </c>
      <c r="B486" s="284" t="s">
        <v>2530</v>
      </c>
      <c r="C486" s="858" t="s">
        <v>90</v>
      </c>
      <c r="D486" s="858" t="s">
        <v>98</v>
      </c>
      <c r="E486" s="858" t="s">
        <v>3459</v>
      </c>
      <c r="F486" s="3"/>
    </row>
    <row r="487" ht="15.0" customHeight="1">
      <c r="A487" s="284" t="s">
        <v>2533</v>
      </c>
      <c r="B487" s="284" t="s">
        <v>2534</v>
      </c>
      <c r="C487" s="858" t="s">
        <v>90</v>
      </c>
      <c r="D487" s="858" t="s">
        <v>98</v>
      </c>
      <c r="E487" s="858" t="s">
        <v>3459</v>
      </c>
      <c r="F487" s="3"/>
    </row>
    <row r="488" ht="15.0" customHeight="1">
      <c r="A488" s="284" t="s">
        <v>2535</v>
      </c>
      <c r="B488" s="284" t="s">
        <v>2536</v>
      </c>
      <c r="C488" s="858" t="s">
        <v>90</v>
      </c>
      <c r="D488" s="858" t="s">
        <v>98</v>
      </c>
      <c r="E488" s="858" t="s">
        <v>3459</v>
      </c>
      <c r="F488" s="3"/>
    </row>
    <row r="489" ht="15.0" customHeight="1">
      <c r="A489" s="284" t="s">
        <v>2537</v>
      </c>
      <c r="B489" s="284" t="s">
        <v>2538</v>
      </c>
      <c r="C489" s="858" t="s">
        <v>90</v>
      </c>
      <c r="D489" s="858" t="s">
        <v>792</v>
      </c>
      <c r="E489" s="858" t="s">
        <v>3459</v>
      </c>
      <c r="F489" s="3"/>
    </row>
    <row r="490" ht="15.0" customHeight="1">
      <c r="A490" s="284" t="s">
        <v>2541</v>
      </c>
      <c r="B490" s="284" t="s">
        <v>2542</v>
      </c>
      <c r="C490" s="858" t="s">
        <v>90</v>
      </c>
      <c r="D490" s="858" t="s">
        <v>98</v>
      </c>
      <c r="E490" s="858" t="s">
        <v>3459</v>
      </c>
      <c r="F490" s="3"/>
    </row>
    <row r="491" ht="15.0" customHeight="1">
      <c r="A491" s="284" t="s">
        <v>2543</v>
      </c>
      <c r="B491" s="284" t="s">
        <v>2544</v>
      </c>
      <c r="C491" s="858" t="s">
        <v>90</v>
      </c>
      <c r="D491" s="858" t="s">
        <v>98</v>
      </c>
      <c r="E491" s="858" t="s">
        <v>3459</v>
      </c>
      <c r="F491" s="3"/>
    </row>
    <row r="492" ht="15.0" customHeight="1">
      <c r="A492" s="284" t="s">
        <v>2545</v>
      </c>
      <c r="B492" s="284" t="s">
        <v>2546</v>
      </c>
      <c r="C492" s="858" t="s">
        <v>90</v>
      </c>
      <c r="D492" s="858" t="s">
        <v>98</v>
      </c>
      <c r="E492" s="858" t="s">
        <v>3459</v>
      </c>
      <c r="F492" s="3"/>
    </row>
    <row r="493" ht="15.0" customHeight="1">
      <c r="A493" s="284" t="s">
        <v>2547</v>
      </c>
      <c r="B493" s="284" t="s">
        <v>2548</v>
      </c>
      <c r="C493" s="858" t="s">
        <v>90</v>
      </c>
      <c r="D493" s="858" t="s">
        <v>98</v>
      </c>
      <c r="E493" s="858" t="s">
        <v>3459</v>
      </c>
      <c r="F493" s="3"/>
    </row>
    <row r="494" ht="15.0" customHeight="1">
      <c r="A494" s="284" t="s">
        <v>2549</v>
      </c>
      <c r="B494" s="284" t="s">
        <v>2550</v>
      </c>
      <c r="C494" s="858" t="s">
        <v>90</v>
      </c>
      <c r="D494" s="858" t="s">
        <v>792</v>
      </c>
      <c r="E494" s="858" t="s">
        <v>3459</v>
      </c>
      <c r="F494" s="3"/>
    </row>
    <row r="495" ht="15.0" customHeight="1">
      <c r="A495" s="284" t="s">
        <v>2553</v>
      </c>
      <c r="B495" s="284" t="s">
        <v>2554</v>
      </c>
      <c r="C495" s="858" t="s">
        <v>90</v>
      </c>
      <c r="D495" s="858" t="s">
        <v>98</v>
      </c>
      <c r="E495" s="858" t="s">
        <v>3459</v>
      </c>
      <c r="F495" s="3"/>
    </row>
    <row r="496" ht="15.0" customHeight="1">
      <c r="A496" s="284" t="s">
        <v>2555</v>
      </c>
      <c r="B496" s="284" t="s">
        <v>2556</v>
      </c>
      <c r="C496" s="858" t="s">
        <v>90</v>
      </c>
      <c r="D496" s="858" t="s">
        <v>792</v>
      </c>
      <c r="E496" s="858" t="s">
        <v>3459</v>
      </c>
      <c r="F496" s="3"/>
    </row>
    <row r="497" ht="15.0" customHeight="1">
      <c r="A497" s="284" t="s">
        <v>2559</v>
      </c>
      <c r="B497" s="284" t="s">
        <v>2560</v>
      </c>
      <c r="C497" s="858" t="s">
        <v>90</v>
      </c>
      <c r="D497" s="858" t="s">
        <v>98</v>
      </c>
      <c r="E497" s="858" t="s">
        <v>3459</v>
      </c>
      <c r="F497" s="3"/>
    </row>
    <row r="498" ht="15.0" customHeight="1">
      <c r="A498" s="284" t="s">
        <v>2561</v>
      </c>
      <c r="B498" s="284" t="s">
        <v>2562</v>
      </c>
      <c r="C498" s="858" t="s">
        <v>90</v>
      </c>
      <c r="D498" s="858" t="s">
        <v>792</v>
      </c>
      <c r="E498" s="858" t="s">
        <v>3459</v>
      </c>
      <c r="F498" s="3"/>
    </row>
    <row r="499" ht="15.0" customHeight="1">
      <c r="A499" s="284" t="s">
        <v>2565</v>
      </c>
      <c r="B499" s="284" t="s">
        <v>2566</v>
      </c>
      <c r="C499" s="858" t="s">
        <v>90</v>
      </c>
      <c r="D499" s="858" t="s">
        <v>98</v>
      </c>
      <c r="E499" s="858" t="s">
        <v>3459</v>
      </c>
      <c r="F499" s="3"/>
    </row>
    <row r="500" ht="15.0" customHeight="1">
      <c r="A500" s="284" t="s">
        <v>2567</v>
      </c>
      <c r="B500" s="284" t="s">
        <v>2568</v>
      </c>
      <c r="C500" s="858" t="s">
        <v>90</v>
      </c>
      <c r="D500" s="858" t="s">
        <v>98</v>
      </c>
      <c r="E500" s="858" t="s">
        <v>3459</v>
      </c>
      <c r="F500" s="3"/>
    </row>
    <row r="501" ht="15.0" customHeight="1">
      <c r="A501" s="284" t="s">
        <v>2573</v>
      </c>
      <c r="B501" s="284" t="s">
        <v>2574</v>
      </c>
      <c r="C501" s="858" t="s">
        <v>90</v>
      </c>
      <c r="D501" s="858" t="s">
        <v>103</v>
      </c>
      <c r="E501" s="858" t="s">
        <v>3459</v>
      </c>
      <c r="F501" s="3"/>
    </row>
    <row r="502" ht="15.0" customHeight="1">
      <c r="A502" s="284" t="s">
        <v>2575</v>
      </c>
      <c r="B502" s="284" t="s">
        <v>2576</v>
      </c>
      <c r="C502" s="858" t="s">
        <v>90</v>
      </c>
      <c r="D502" s="858" t="s">
        <v>103</v>
      </c>
      <c r="E502" s="858" t="s">
        <v>3459</v>
      </c>
      <c r="F502" s="3"/>
    </row>
    <row r="503" ht="15.0" customHeight="1">
      <c r="A503" s="284" t="s">
        <v>2577</v>
      </c>
      <c r="B503" s="284" t="s">
        <v>3460</v>
      </c>
      <c r="C503" s="858" t="s">
        <v>90</v>
      </c>
      <c r="D503" s="858" t="s">
        <v>106</v>
      </c>
      <c r="E503" s="858" t="s">
        <v>3459</v>
      </c>
      <c r="F503" s="3"/>
    </row>
    <row r="504" ht="15.0" customHeight="1">
      <c r="A504" s="284" t="s">
        <v>2591</v>
      </c>
      <c r="B504" s="284" t="s">
        <v>2592</v>
      </c>
      <c r="C504" s="858" t="s">
        <v>90</v>
      </c>
      <c r="D504" s="858" t="s">
        <v>106</v>
      </c>
      <c r="E504" s="858" t="s">
        <v>3459</v>
      </c>
      <c r="F504" s="3"/>
    </row>
    <row r="505" ht="15.0" customHeight="1">
      <c r="A505" s="284" t="s">
        <v>2603</v>
      </c>
      <c r="B505" s="284" t="s">
        <v>2604</v>
      </c>
      <c r="C505" s="858" t="s">
        <v>90</v>
      </c>
      <c r="D505" s="858" t="s">
        <v>107</v>
      </c>
      <c r="E505" s="858" t="s">
        <v>3459</v>
      </c>
      <c r="F505" s="3"/>
    </row>
    <row r="506" ht="15.0" customHeight="1">
      <c r="A506" s="284" t="s">
        <v>2605</v>
      </c>
      <c r="B506" s="284" t="s">
        <v>2606</v>
      </c>
      <c r="C506" s="858" t="s">
        <v>90</v>
      </c>
      <c r="D506" s="858" t="s">
        <v>107</v>
      </c>
      <c r="E506" s="858" t="s">
        <v>3459</v>
      </c>
      <c r="F506" s="3"/>
    </row>
    <row r="507" ht="15.0" customHeight="1">
      <c r="A507" s="284" t="s">
        <v>2607</v>
      </c>
      <c r="B507" s="284" t="s">
        <v>2608</v>
      </c>
      <c r="C507" s="858" t="s">
        <v>90</v>
      </c>
      <c r="D507" s="858" t="s">
        <v>106</v>
      </c>
      <c r="E507" s="858" t="s">
        <v>3459</v>
      </c>
      <c r="F507" s="3"/>
    </row>
    <row r="508" ht="15.0" customHeight="1">
      <c r="A508" s="284" t="s">
        <v>2609</v>
      </c>
      <c r="B508" s="284" t="s">
        <v>2610</v>
      </c>
      <c r="C508" s="858" t="s">
        <v>90</v>
      </c>
      <c r="D508" s="858" t="s">
        <v>107</v>
      </c>
      <c r="E508" s="858" t="s">
        <v>3459</v>
      </c>
      <c r="F508" s="3"/>
    </row>
    <row r="509" ht="15.0" customHeight="1">
      <c r="A509" s="284" t="s">
        <v>2611</v>
      </c>
      <c r="B509" s="284" t="s">
        <v>2612</v>
      </c>
      <c r="C509" s="858" t="s">
        <v>151</v>
      </c>
      <c r="D509" s="858" t="s">
        <v>152</v>
      </c>
      <c r="E509" s="858" t="s">
        <v>3459</v>
      </c>
      <c r="F509" s="3"/>
    </row>
    <row r="510" ht="15.0" customHeight="1">
      <c r="A510" s="284" t="s">
        <v>2613</v>
      </c>
      <c r="B510" s="284" t="s">
        <v>3461</v>
      </c>
      <c r="C510" s="858" t="s">
        <v>151</v>
      </c>
      <c r="D510" s="858" t="s">
        <v>153</v>
      </c>
      <c r="E510" s="858" t="s">
        <v>3459</v>
      </c>
      <c r="F510" s="3"/>
    </row>
    <row r="511" ht="15.0" customHeight="1">
      <c r="A511" s="284" t="s">
        <v>2621</v>
      </c>
      <c r="B511" s="284" t="s">
        <v>2622</v>
      </c>
      <c r="C511" s="858"/>
      <c r="D511" s="858"/>
      <c r="E511" s="858"/>
      <c r="F511" s="3"/>
    </row>
    <row r="512" ht="15.0" customHeight="1">
      <c r="A512" s="284" t="s">
        <v>2623</v>
      </c>
      <c r="B512" s="284" t="s">
        <v>2624</v>
      </c>
      <c r="C512" s="858"/>
      <c r="D512" s="858"/>
      <c r="E512" s="858"/>
      <c r="F512" s="3"/>
    </row>
    <row r="513" ht="15.0" customHeight="1">
      <c r="A513" s="284" t="s">
        <v>2625</v>
      </c>
      <c r="B513" s="284" t="s">
        <v>2626</v>
      </c>
      <c r="C513" s="858"/>
      <c r="D513" s="858"/>
      <c r="E513" s="858"/>
      <c r="F513" s="3"/>
    </row>
    <row r="514" ht="15.0" customHeight="1">
      <c r="A514" s="284" t="s">
        <v>2627</v>
      </c>
      <c r="B514" s="284" t="s">
        <v>2628</v>
      </c>
      <c r="C514" s="858" t="s">
        <v>151</v>
      </c>
      <c r="D514" s="858" t="s">
        <v>156</v>
      </c>
      <c r="E514" s="858" t="s">
        <v>3459</v>
      </c>
      <c r="F514" s="3"/>
    </row>
    <row r="515" ht="15.0" customHeight="1">
      <c r="A515" s="284" t="s">
        <v>2629</v>
      </c>
      <c r="B515" s="284" t="s">
        <v>2630</v>
      </c>
      <c r="C515" s="858"/>
      <c r="D515" s="858"/>
      <c r="E515" s="858"/>
      <c r="F515" s="3"/>
    </row>
    <row r="516" ht="15.0" customHeight="1">
      <c r="A516" s="861" t="s">
        <v>2631</v>
      </c>
      <c r="B516" s="861" t="s">
        <v>3462</v>
      </c>
      <c r="C516" s="862" t="s">
        <v>151</v>
      </c>
      <c r="D516" s="862" t="s">
        <v>156</v>
      </c>
      <c r="E516" s="862" t="s">
        <v>3459</v>
      </c>
      <c r="F516" s="3" t="s">
        <v>3463</v>
      </c>
    </row>
    <row r="517" ht="15.0" customHeight="1">
      <c r="A517" s="284" t="s">
        <v>2633</v>
      </c>
      <c r="B517" s="284" t="s">
        <v>3464</v>
      </c>
      <c r="C517" s="858" t="s">
        <v>151</v>
      </c>
      <c r="D517" s="858" t="s">
        <v>153</v>
      </c>
      <c r="E517" s="858" t="s">
        <v>3459</v>
      </c>
      <c r="F517" s="3"/>
    </row>
    <row r="518" ht="15.0" customHeight="1">
      <c r="A518" s="284" t="s">
        <v>2641</v>
      </c>
      <c r="B518" s="284" t="s">
        <v>2642</v>
      </c>
      <c r="C518" s="858"/>
      <c r="D518" s="858"/>
      <c r="E518" s="858"/>
      <c r="F518" s="3"/>
    </row>
    <row r="519" ht="15.0" customHeight="1">
      <c r="A519" s="284" t="s">
        <v>2643</v>
      </c>
      <c r="B519" s="284" t="s">
        <v>2644</v>
      </c>
      <c r="C519" s="858"/>
      <c r="D519" s="858"/>
      <c r="E519" s="858"/>
      <c r="F519" s="3"/>
    </row>
    <row r="520" ht="15.0" customHeight="1">
      <c r="A520" s="284" t="s">
        <v>2645</v>
      </c>
      <c r="B520" s="284" t="s">
        <v>2646</v>
      </c>
      <c r="C520" s="858"/>
      <c r="D520" s="858"/>
      <c r="E520" s="858"/>
      <c r="F520" s="3"/>
    </row>
    <row r="521" ht="15.0" customHeight="1">
      <c r="A521" s="284" t="s">
        <v>2647</v>
      </c>
      <c r="B521" s="284" t="s">
        <v>2648</v>
      </c>
      <c r="C521" s="858" t="s">
        <v>151</v>
      </c>
      <c r="D521" s="858" t="s">
        <v>156</v>
      </c>
      <c r="E521" s="858" t="s">
        <v>3459</v>
      </c>
      <c r="F521" s="3"/>
    </row>
    <row r="522" ht="15.0" customHeight="1">
      <c r="A522" s="284" t="s">
        <v>2649</v>
      </c>
      <c r="B522" s="284" t="s">
        <v>2650</v>
      </c>
      <c r="C522" s="858" t="s">
        <v>899</v>
      </c>
      <c r="D522" s="858" t="s">
        <v>902</v>
      </c>
      <c r="E522" s="858" t="s">
        <v>3459</v>
      </c>
      <c r="F522" s="3"/>
    </row>
    <row r="523" ht="15.0" customHeight="1">
      <c r="A523" s="284" t="s">
        <v>2653</v>
      </c>
      <c r="B523" s="284" t="s">
        <v>2654</v>
      </c>
      <c r="C523" s="858"/>
      <c r="D523" s="858"/>
      <c r="E523" s="858"/>
      <c r="F523" s="3"/>
    </row>
    <row r="524" ht="15.0" customHeight="1">
      <c r="A524" s="284" t="s">
        <v>2659</v>
      </c>
      <c r="B524" s="284" t="s">
        <v>2660</v>
      </c>
      <c r="C524" s="858" t="s">
        <v>151</v>
      </c>
      <c r="D524" s="858" t="s">
        <v>106</v>
      </c>
      <c r="E524" s="858" t="s">
        <v>3459</v>
      </c>
      <c r="F524" s="3"/>
    </row>
    <row r="525" ht="15.0" customHeight="1">
      <c r="A525" s="284" t="s">
        <v>2677</v>
      </c>
      <c r="B525" s="849" t="s">
        <v>2678</v>
      </c>
      <c r="C525" s="858" t="s">
        <v>151</v>
      </c>
      <c r="D525" s="858" t="s">
        <v>106</v>
      </c>
      <c r="E525" s="858" t="s">
        <v>3459</v>
      </c>
      <c r="F525" s="3"/>
    </row>
    <row r="526" ht="15.0" customHeight="1">
      <c r="A526" s="284" t="s">
        <v>2687</v>
      </c>
      <c r="B526" s="284" t="s">
        <v>2688</v>
      </c>
      <c r="C526" s="858" t="s">
        <v>151</v>
      </c>
      <c r="D526" s="858" t="s">
        <v>106</v>
      </c>
      <c r="E526" s="858" t="s">
        <v>3459</v>
      </c>
      <c r="F526" s="3"/>
    </row>
    <row r="527" ht="15.0" customHeight="1">
      <c r="A527" s="867" t="s">
        <v>2689</v>
      </c>
      <c r="B527" s="867" t="s">
        <v>2690</v>
      </c>
      <c r="C527" s="858" t="s">
        <v>899</v>
      </c>
      <c r="D527" s="858" t="s">
        <v>900</v>
      </c>
      <c r="E527" s="858" t="s">
        <v>3459</v>
      </c>
      <c r="F527" s="3"/>
    </row>
    <row r="528" ht="15.0" customHeight="1">
      <c r="A528" s="867" t="s">
        <v>2691</v>
      </c>
      <c r="B528" s="867" t="s">
        <v>2692</v>
      </c>
      <c r="C528" s="858" t="s">
        <v>899</v>
      </c>
      <c r="D528" s="858" t="s">
        <v>900</v>
      </c>
      <c r="E528" s="858" t="s">
        <v>3459</v>
      </c>
      <c r="F528" s="3"/>
    </row>
    <row r="529" ht="15.0" customHeight="1">
      <c r="A529" s="284" t="s">
        <v>2693</v>
      </c>
      <c r="B529" s="284" t="s">
        <v>3465</v>
      </c>
      <c r="C529" s="858" t="s">
        <v>899</v>
      </c>
      <c r="D529" s="858" t="s">
        <v>900</v>
      </c>
      <c r="E529" s="858" t="s">
        <v>3459</v>
      </c>
      <c r="F529" s="3"/>
    </row>
    <row r="530" ht="15.0" customHeight="1">
      <c r="A530" s="865" t="s">
        <v>2695</v>
      </c>
      <c r="B530" s="865" t="s">
        <v>2696</v>
      </c>
      <c r="C530" s="866"/>
      <c r="D530" s="866"/>
      <c r="E530" s="866"/>
      <c r="F530" s="3"/>
    </row>
    <row r="531" ht="15.0" customHeight="1">
      <c r="A531" s="284" t="s">
        <v>2697</v>
      </c>
      <c r="B531" s="284" t="s">
        <v>2698</v>
      </c>
      <c r="C531" s="858" t="s">
        <v>899</v>
      </c>
      <c r="D531" s="858" t="s">
        <v>901</v>
      </c>
      <c r="E531" s="858" t="s">
        <v>3459</v>
      </c>
      <c r="F531" s="3"/>
    </row>
    <row r="532" ht="15.0" customHeight="1">
      <c r="A532" s="284" t="s">
        <v>2699</v>
      </c>
      <c r="B532" s="284" t="s">
        <v>2700</v>
      </c>
      <c r="C532" s="858" t="s">
        <v>161</v>
      </c>
      <c r="D532" s="858" t="s">
        <v>162</v>
      </c>
      <c r="E532" s="858" t="s">
        <v>3459</v>
      </c>
      <c r="F532" s="3"/>
    </row>
    <row r="533" ht="15.0" customHeight="1">
      <c r="A533" s="861" t="s">
        <v>2708</v>
      </c>
      <c r="B533" s="861" t="s">
        <v>2709</v>
      </c>
      <c r="C533" s="862" t="s">
        <v>161</v>
      </c>
      <c r="D533" s="862" t="s">
        <v>162</v>
      </c>
      <c r="E533" s="862" t="s">
        <v>3459</v>
      </c>
      <c r="F533" s="3"/>
    </row>
    <row r="534" ht="15.0" customHeight="1">
      <c r="A534" s="284" t="s">
        <v>2712</v>
      </c>
      <c r="B534" s="284" t="s">
        <v>2713</v>
      </c>
      <c r="C534" s="858" t="s">
        <v>1025</v>
      </c>
      <c r="D534" s="858" t="s">
        <v>1028</v>
      </c>
      <c r="E534" s="858" t="s">
        <v>3459</v>
      </c>
      <c r="F534" s="3"/>
    </row>
    <row r="535" ht="15.0" customHeight="1">
      <c r="A535" s="284" t="s">
        <v>2716</v>
      </c>
      <c r="B535" s="284" t="s">
        <v>3466</v>
      </c>
      <c r="C535" s="858" t="s">
        <v>1025</v>
      </c>
      <c r="D535" s="858" t="s">
        <v>1029</v>
      </c>
      <c r="E535" s="858" t="s">
        <v>3459</v>
      </c>
      <c r="F535" s="3"/>
    </row>
    <row r="536" ht="15.0" customHeight="1">
      <c r="A536" s="284" t="s">
        <v>2718</v>
      </c>
      <c r="B536" s="849" t="s">
        <v>3467</v>
      </c>
      <c r="C536" s="858" t="s">
        <v>1025</v>
      </c>
      <c r="D536" s="858" t="s">
        <v>1027</v>
      </c>
      <c r="E536" s="858" t="s">
        <v>3459</v>
      </c>
      <c r="F536" s="3"/>
    </row>
    <row r="537" ht="15.0" customHeight="1">
      <c r="A537" s="284" t="s">
        <v>2722</v>
      </c>
      <c r="B537" s="284" t="s">
        <v>2723</v>
      </c>
      <c r="C537" s="858" t="s">
        <v>161</v>
      </c>
      <c r="D537" s="858" t="s">
        <v>164</v>
      </c>
      <c r="E537" s="858" t="s">
        <v>3459</v>
      </c>
      <c r="F537" s="3"/>
    </row>
    <row r="538" ht="15.0" customHeight="1">
      <c r="A538" s="284" t="s">
        <v>2724</v>
      </c>
      <c r="B538" s="284" t="s">
        <v>2725</v>
      </c>
      <c r="C538" s="858" t="s">
        <v>161</v>
      </c>
      <c r="D538" s="858" t="s">
        <v>165</v>
      </c>
      <c r="E538" s="858" t="s">
        <v>3459</v>
      </c>
      <c r="F538" s="3"/>
    </row>
    <row r="539" ht="15.0" customHeight="1">
      <c r="A539" s="284" t="s">
        <v>2728</v>
      </c>
      <c r="B539" s="284" t="s">
        <v>3468</v>
      </c>
      <c r="C539" s="858" t="s">
        <v>1025</v>
      </c>
      <c r="D539" s="858" t="s">
        <v>1029</v>
      </c>
      <c r="E539" s="858" t="s">
        <v>3459</v>
      </c>
      <c r="F539" s="3"/>
    </row>
    <row r="540" ht="15.0" customHeight="1">
      <c r="A540" s="284" t="s">
        <v>2730</v>
      </c>
      <c r="B540" s="284" t="s">
        <v>2731</v>
      </c>
      <c r="C540" s="858" t="s">
        <v>161</v>
      </c>
      <c r="D540" s="858" t="s">
        <v>165</v>
      </c>
      <c r="E540" s="858" t="s">
        <v>3459</v>
      </c>
      <c r="F540" s="3"/>
    </row>
    <row r="541" ht="15.0" customHeight="1">
      <c r="A541" s="284" t="s">
        <v>2734</v>
      </c>
      <c r="B541" s="284" t="s">
        <v>2735</v>
      </c>
      <c r="C541" s="858"/>
      <c r="D541" s="858"/>
      <c r="E541" s="858"/>
      <c r="F541" s="3"/>
    </row>
    <row r="542" ht="15.0" customHeight="1">
      <c r="A542" s="284" t="s">
        <v>2738</v>
      </c>
      <c r="B542" s="284" t="s">
        <v>2739</v>
      </c>
      <c r="C542" s="858" t="s">
        <v>161</v>
      </c>
      <c r="D542" s="858" t="s">
        <v>170</v>
      </c>
      <c r="E542" s="858" t="s">
        <v>3459</v>
      </c>
      <c r="F542" s="3"/>
    </row>
    <row r="543" ht="15.0" customHeight="1">
      <c r="A543" s="284" t="s">
        <v>2740</v>
      </c>
      <c r="B543" s="284" t="s">
        <v>2741</v>
      </c>
      <c r="C543" s="858" t="s">
        <v>1025</v>
      </c>
      <c r="D543" s="858" t="s">
        <v>1029</v>
      </c>
      <c r="E543" s="858" t="s">
        <v>3459</v>
      </c>
      <c r="F543" s="3"/>
    </row>
    <row r="544" ht="15.0" customHeight="1">
      <c r="A544" s="284" t="s">
        <v>2744</v>
      </c>
      <c r="B544" s="284" t="s">
        <v>2745</v>
      </c>
      <c r="C544" s="858" t="s">
        <v>178</v>
      </c>
      <c r="D544" s="858" t="s">
        <v>179</v>
      </c>
      <c r="E544" s="858" t="s">
        <v>3459</v>
      </c>
      <c r="F544" s="3"/>
    </row>
    <row r="545" ht="15.0" customHeight="1">
      <c r="A545" s="284" t="s">
        <v>2746</v>
      </c>
      <c r="B545" s="284" t="s">
        <v>2747</v>
      </c>
      <c r="C545" s="858" t="s">
        <v>178</v>
      </c>
      <c r="D545" s="858" t="s">
        <v>179</v>
      </c>
      <c r="E545" s="858" t="s">
        <v>3459</v>
      </c>
      <c r="F545" s="3"/>
    </row>
    <row r="546" ht="15.0" customHeight="1">
      <c r="A546" s="284" t="s">
        <v>2748</v>
      </c>
      <c r="B546" s="284" t="s">
        <v>2749</v>
      </c>
      <c r="C546" s="858"/>
      <c r="D546" s="858"/>
      <c r="E546" s="858"/>
      <c r="F546" s="3"/>
    </row>
    <row r="547" ht="15.0" customHeight="1">
      <c r="A547" s="284" t="s">
        <v>2750</v>
      </c>
      <c r="B547" s="284" t="s">
        <v>2751</v>
      </c>
      <c r="C547" s="858"/>
      <c r="D547" s="858"/>
      <c r="E547" s="858"/>
      <c r="F547" s="3"/>
    </row>
    <row r="548" ht="15.0" customHeight="1">
      <c r="A548" s="284" t="s">
        <v>2752</v>
      </c>
      <c r="B548" s="284" t="s">
        <v>2753</v>
      </c>
      <c r="C548" s="858"/>
      <c r="D548" s="858"/>
      <c r="E548" s="858"/>
      <c r="F548" s="3"/>
    </row>
    <row r="549" ht="15.0" customHeight="1">
      <c r="A549" s="284" t="s">
        <v>2756</v>
      </c>
      <c r="B549" s="284" t="s">
        <v>2757</v>
      </c>
      <c r="C549" s="858" t="s">
        <v>161</v>
      </c>
      <c r="D549" s="858" t="s">
        <v>170</v>
      </c>
      <c r="E549" s="858" t="s">
        <v>3459</v>
      </c>
      <c r="F549" s="3"/>
    </row>
    <row r="550" ht="15.0" customHeight="1">
      <c r="A550" s="284" t="s">
        <v>1124</v>
      </c>
      <c r="B550" s="284" t="s">
        <v>3469</v>
      </c>
      <c r="C550" s="858" t="s">
        <v>174</v>
      </c>
      <c r="D550" s="858" t="s">
        <v>949</v>
      </c>
      <c r="E550" s="858" t="s">
        <v>3459</v>
      </c>
      <c r="F550" s="3"/>
    </row>
    <row r="551" ht="15.0" customHeight="1">
      <c r="A551" s="284" t="s">
        <v>1174</v>
      </c>
      <c r="B551" s="284" t="s">
        <v>3470</v>
      </c>
      <c r="C551" s="858" t="s">
        <v>174</v>
      </c>
      <c r="D551" s="858" t="s">
        <v>954</v>
      </c>
      <c r="E551" s="858" t="s">
        <v>3459</v>
      </c>
      <c r="F551" s="3"/>
    </row>
    <row r="552" ht="15.0" customHeight="1">
      <c r="A552" s="284" t="s">
        <v>1121</v>
      </c>
      <c r="B552" s="284" t="s">
        <v>2760</v>
      </c>
      <c r="C552" s="858" t="s">
        <v>174</v>
      </c>
      <c r="D552" s="858" t="s">
        <v>949</v>
      </c>
      <c r="E552" s="858" t="s">
        <v>3459</v>
      </c>
      <c r="F552" s="3"/>
    </row>
    <row r="553" ht="15.0" customHeight="1">
      <c r="A553" s="284" t="s">
        <v>1171</v>
      </c>
      <c r="B553" s="284" t="s">
        <v>3471</v>
      </c>
      <c r="C553" s="858" t="s">
        <v>174</v>
      </c>
      <c r="D553" s="858" t="s">
        <v>954</v>
      </c>
      <c r="E553" s="858" t="s">
        <v>3459</v>
      </c>
      <c r="F553" s="3"/>
    </row>
    <row r="554" ht="15.0" customHeight="1">
      <c r="A554" s="284" t="s">
        <v>1127</v>
      </c>
      <c r="B554" s="284" t="s">
        <v>3472</v>
      </c>
      <c r="C554" s="858" t="s">
        <v>174</v>
      </c>
      <c r="D554" s="858" t="s">
        <v>949</v>
      </c>
      <c r="E554" s="858" t="s">
        <v>3459</v>
      </c>
      <c r="F554" s="3"/>
    </row>
    <row r="555" ht="15.0" customHeight="1">
      <c r="A555" s="284" t="s">
        <v>1177</v>
      </c>
      <c r="B555" s="284" t="s">
        <v>3473</v>
      </c>
      <c r="C555" s="858" t="s">
        <v>174</v>
      </c>
      <c r="D555" s="858" t="s">
        <v>954</v>
      </c>
      <c r="E555" s="858" t="s">
        <v>3459</v>
      </c>
      <c r="F555" s="3"/>
    </row>
    <row r="556" ht="15.0" customHeight="1">
      <c r="A556" s="284" t="s">
        <v>1194</v>
      </c>
      <c r="B556" s="284" t="s">
        <v>2764</v>
      </c>
      <c r="C556" s="858" t="s">
        <v>174</v>
      </c>
      <c r="D556" s="858" t="s">
        <v>954</v>
      </c>
      <c r="E556" s="858" t="s">
        <v>3459</v>
      </c>
      <c r="F556" s="3"/>
    </row>
    <row r="557" ht="15.0" customHeight="1">
      <c r="A557" s="284" t="s">
        <v>1166</v>
      </c>
      <c r="B557" s="284" t="s">
        <v>2765</v>
      </c>
      <c r="C557" s="858" t="s">
        <v>174</v>
      </c>
      <c r="D557" s="858" t="s">
        <v>952</v>
      </c>
      <c r="E557" s="858" t="s">
        <v>3459</v>
      </c>
      <c r="F557" s="3"/>
    </row>
    <row r="558" ht="15.0" customHeight="1">
      <c r="A558" s="284" t="s">
        <v>1145</v>
      </c>
      <c r="B558" s="284" t="s">
        <v>3474</v>
      </c>
      <c r="C558" s="858" t="s">
        <v>174</v>
      </c>
      <c r="D558" s="858" t="s">
        <v>952</v>
      </c>
      <c r="E558" s="858" t="s">
        <v>3459</v>
      </c>
      <c r="F558" s="3"/>
    </row>
    <row r="559" ht="15.0" customHeight="1">
      <c r="A559" s="284" t="s">
        <v>1148</v>
      </c>
      <c r="B559" s="284" t="s">
        <v>3475</v>
      </c>
      <c r="C559" s="858" t="s">
        <v>174</v>
      </c>
      <c r="D559" s="858" t="s">
        <v>952</v>
      </c>
      <c r="E559" s="858" t="s">
        <v>3459</v>
      </c>
      <c r="F559" s="3"/>
    </row>
    <row r="560" ht="15.0" customHeight="1">
      <c r="A560" s="284" t="s">
        <v>1151</v>
      </c>
      <c r="B560" s="284" t="s">
        <v>2768</v>
      </c>
      <c r="C560" s="858" t="s">
        <v>174</v>
      </c>
      <c r="D560" s="858" t="s">
        <v>952</v>
      </c>
      <c r="E560" s="858" t="s">
        <v>3459</v>
      </c>
      <c r="F560" s="3"/>
    </row>
    <row r="561" ht="15.0" customHeight="1">
      <c r="A561" s="284" t="s">
        <v>2769</v>
      </c>
      <c r="B561" s="284" t="s">
        <v>2770</v>
      </c>
      <c r="C561" s="858" t="s">
        <v>174</v>
      </c>
      <c r="D561" s="858" t="s">
        <v>955</v>
      </c>
      <c r="E561" s="858" t="s">
        <v>3459</v>
      </c>
      <c r="F561" s="3"/>
    </row>
    <row r="562" ht="15.0" customHeight="1">
      <c r="A562" s="284" t="s">
        <v>1139</v>
      </c>
      <c r="B562" s="284" t="s">
        <v>2771</v>
      </c>
      <c r="C562" s="858" t="s">
        <v>174</v>
      </c>
      <c r="D562" s="858" t="s">
        <v>949</v>
      </c>
      <c r="E562" s="858" t="s">
        <v>3459</v>
      </c>
      <c r="F562" s="3"/>
    </row>
    <row r="563" ht="15.0" customHeight="1">
      <c r="A563" s="284" t="s">
        <v>1163</v>
      </c>
      <c r="B563" s="284" t="s">
        <v>3476</v>
      </c>
      <c r="C563" s="858" t="s">
        <v>174</v>
      </c>
      <c r="D563" s="858" t="s">
        <v>952</v>
      </c>
      <c r="E563" s="858" t="s">
        <v>3459</v>
      </c>
      <c r="F563" s="3"/>
    </row>
    <row r="564" ht="15.0" customHeight="1">
      <c r="A564" s="284" t="s">
        <v>1189</v>
      </c>
      <c r="B564" s="284" t="s">
        <v>3477</v>
      </c>
      <c r="C564" s="858" t="s">
        <v>174</v>
      </c>
      <c r="D564" s="858" t="s">
        <v>954</v>
      </c>
      <c r="E564" s="858" t="s">
        <v>3459</v>
      </c>
      <c r="F564" s="3"/>
    </row>
    <row r="565" ht="15.0" customHeight="1">
      <c r="A565" s="284" t="s">
        <v>1130</v>
      </c>
      <c r="B565" s="284" t="s">
        <v>2774</v>
      </c>
      <c r="C565" s="858" t="s">
        <v>174</v>
      </c>
      <c r="D565" s="858" t="s">
        <v>949</v>
      </c>
      <c r="E565" s="858" t="s">
        <v>3459</v>
      </c>
      <c r="F565" s="3"/>
    </row>
    <row r="566" ht="15.0" customHeight="1">
      <c r="A566" s="284" t="s">
        <v>1154</v>
      </c>
      <c r="B566" s="284" t="s">
        <v>2775</v>
      </c>
      <c r="C566" s="858" t="s">
        <v>174</v>
      </c>
      <c r="D566" s="858" t="s">
        <v>952</v>
      </c>
      <c r="E566" s="858" t="s">
        <v>3459</v>
      </c>
      <c r="F566" s="3"/>
    </row>
    <row r="567" ht="15.0" customHeight="1">
      <c r="A567" s="284" t="s">
        <v>1180</v>
      </c>
      <c r="B567" s="284" t="s">
        <v>2776</v>
      </c>
      <c r="C567" s="858" t="s">
        <v>174</v>
      </c>
      <c r="D567" s="858" t="s">
        <v>954</v>
      </c>
      <c r="E567" s="858" t="s">
        <v>3459</v>
      </c>
      <c r="F567" s="3"/>
    </row>
    <row r="568" ht="15.0" customHeight="1">
      <c r="A568" s="865" t="s">
        <v>1142</v>
      </c>
      <c r="B568" s="865" t="s">
        <v>3478</v>
      </c>
      <c r="C568" s="866" t="s">
        <v>174</v>
      </c>
      <c r="D568" s="866" t="s">
        <v>949</v>
      </c>
      <c r="E568" s="866" t="s">
        <v>3459</v>
      </c>
      <c r="F568" s="3"/>
    </row>
    <row r="569" ht="15.0" customHeight="1">
      <c r="A569" s="284" t="s">
        <v>1168</v>
      </c>
      <c r="B569" s="284" t="s">
        <v>2778</v>
      </c>
      <c r="C569" s="858"/>
      <c r="D569" s="858"/>
      <c r="E569" s="858"/>
      <c r="F569" s="3"/>
    </row>
    <row r="570" ht="15.0" customHeight="1">
      <c r="A570" s="284" t="s">
        <v>1191</v>
      </c>
      <c r="B570" s="284" t="s">
        <v>2779</v>
      </c>
      <c r="C570" s="858"/>
      <c r="D570" s="858"/>
      <c r="E570" s="858"/>
      <c r="F570" s="3"/>
    </row>
    <row r="571" ht="15.0" customHeight="1">
      <c r="A571" s="284" t="s">
        <v>2780</v>
      </c>
      <c r="B571" s="284" t="s">
        <v>2781</v>
      </c>
      <c r="C571" s="858" t="s">
        <v>178</v>
      </c>
      <c r="D571" s="858" t="s">
        <v>180</v>
      </c>
      <c r="E571" s="858" t="s">
        <v>3459</v>
      </c>
      <c r="F571" s="3"/>
    </row>
    <row r="572" ht="15.0" customHeight="1">
      <c r="A572" s="284" t="s">
        <v>2782</v>
      </c>
      <c r="B572" s="284" t="s">
        <v>3479</v>
      </c>
      <c r="C572" s="858"/>
      <c r="D572" s="858"/>
      <c r="E572" s="858"/>
      <c r="F572" s="3"/>
    </row>
    <row r="573" ht="15.0" customHeight="1">
      <c r="A573" s="284" t="s">
        <v>2784</v>
      </c>
      <c r="B573" s="284" t="s">
        <v>2785</v>
      </c>
      <c r="C573" s="858"/>
      <c r="D573" s="858"/>
      <c r="E573" s="858"/>
      <c r="F573" s="3"/>
    </row>
    <row r="574" ht="15.0" customHeight="1">
      <c r="A574" s="284" t="s">
        <v>1133</v>
      </c>
      <c r="B574" s="284" t="s">
        <v>3480</v>
      </c>
      <c r="C574" s="858" t="s">
        <v>174</v>
      </c>
      <c r="D574" s="858" t="s">
        <v>949</v>
      </c>
      <c r="E574" s="858" t="s">
        <v>3459</v>
      </c>
      <c r="F574" s="3"/>
    </row>
    <row r="575" ht="15.0" customHeight="1">
      <c r="A575" s="284" t="s">
        <v>1157</v>
      </c>
      <c r="B575" s="284" t="s">
        <v>3481</v>
      </c>
      <c r="C575" s="858" t="s">
        <v>174</v>
      </c>
      <c r="D575" s="858" t="s">
        <v>952</v>
      </c>
      <c r="E575" s="858" t="s">
        <v>3459</v>
      </c>
      <c r="F575" s="3"/>
    </row>
    <row r="576" ht="15.0" customHeight="1">
      <c r="A576" s="284" t="s">
        <v>1183</v>
      </c>
      <c r="B576" s="284" t="s">
        <v>3482</v>
      </c>
      <c r="C576" s="858" t="s">
        <v>174</v>
      </c>
      <c r="D576" s="858" t="s">
        <v>954</v>
      </c>
      <c r="E576" s="858" t="s">
        <v>3459</v>
      </c>
      <c r="F576" s="3"/>
    </row>
    <row r="577" ht="15.0" customHeight="1">
      <c r="A577" s="284" t="s">
        <v>1136</v>
      </c>
      <c r="B577" s="284" t="s">
        <v>3483</v>
      </c>
      <c r="C577" s="858" t="s">
        <v>174</v>
      </c>
      <c r="D577" s="858" t="s">
        <v>949</v>
      </c>
      <c r="E577" s="858" t="s">
        <v>3459</v>
      </c>
      <c r="F577" s="3"/>
    </row>
    <row r="578" ht="15.0" customHeight="1">
      <c r="A578" s="284" t="s">
        <v>1160</v>
      </c>
      <c r="B578" s="284" t="s">
        <v>3484</v>
      </c>
      <c r="C578" s="858" t="s">
        <v>174</v>
      </c>
      <c r="D578" s="858" t="s">
        <v>952</v>
      </c>
      <c r="E578" s="858" t="s">
        <v>3459</v>
      </c>
      <c r="F578" s="3"/>
    </row>
    <row r="579" ht="15.0" customHeight="1">
      <c r="A579" s="284" t="s">
        <v>1186</v>
      </c>
      <c r="B579" s="284" t="s">
        <v>3485</v>
      </c>
      <c r="C579" s="858" t="s">
        <v>174</v>
      </c>
      <c r="D579" s="858" t="s">
        <v>954</v>
      </c>
      <c r="E579" s="858" t="s">
        <v>3459</v>
      </c>
      <c r="F579" s="3"/>
    </row>
    <row r="580" ht="15.0" customHeight="1">
      <c r="A580" s="284" t="s">
        <v>2792</v>
      </c>
      <c r="B580" s="284" t="s">
        <v>2793</v>
      </c>
      <c r="C580" s="858" t="s">
        <v>178</v>
      </c>
      <c r="D580" s="858" t="s">
        <v>181</v>
      </c>
      <c r="E580" s="858" t="s">
        <v>3459</v>
      </c>
      <c r="F580" s="3"/>
    </row>
    <row r="581" ht="15.0" customHeight="1">
      <c r="A581" s="284" t="s">
        <v>2794</v>
      </c>
      <c r="B581" s="284" t="s">
        <v>2795</v>
      </c>
      <c r="C581" s="858" t="s">
        <v>178</v>
      </c>
      <c r="D581" s="858" t="s">
        <v>181</v>
      </c>
      <c r="E581" s="858" t="s">
        <v>3459</v>
      </c>
      <c r="F581" s="3"/>
    </row>
    <row r="582" ht="15.0" customHeight="1">
      <c r="A582" s="284" t="s">
        <v>2796</v>
      </c>
      <c r="B582" s="284" t="s">
        <v>2797</v>
      </c>
      <c r="C582" s="858" t="s">
        <v>178</v>
      </c>
      <c r="D582" s="858" t="s">
        <v>182</v>
      </c>
      <c r="E582" s="858" t="s">
        <v>3459</v>
      </c>
      <c r="F582" s="3"/>
    </row>
    <row r="583" ht="15.0" customHeight="1">
      <c r="A583" s="284" t="s">
        <v>2798</v>
      </c>
      <c r="B583" s="284" t="s">
        <v>2799</v>
      </c>
      <c r="C583" s="858" t="s">
        <v>178</v>
      </c>
      <c r="D583" s="858" t="s">
        <v>182</v>
      </c>
      <c r="E583" s="858" t="s">
        <v>3459</v>
      </c>
      <c r="F583" s="3"/>
    </row>
    <row r="584" ht="15.0" customHeight="1">
      <c r="A584" s="284" t="s">
        <v>2800</v>
      </c>
      <c r="B584" s="284" t="s">
        <v>2801</v>
      </c>
      <c r="C584" s="858" t="s">
        <v>178</v>
      </c>
      <c r="D584" s="858" t="s">
        <v>183</v>
      </c>
      <c r="E584" s="858" t="s">
        <v>3459</v>
      </c>
      <c r="F584" s="3"/>
    </row>
    <row r="585" ht="15.0" customHeight="1">
      <c r="A585" s="284" t="s">
        <v>2802</v>
      </c>
      <c r="B585" s="284" t="s">
        <v>2803</v>
      </c>
      <c r="C585" s="858" t="s">
        <v>178</v>
      </c>
      <c r="D585" s="858" t="s">
        <v>184</v>
      </c>
      <c r="E585" s="858" t="s">
        <v>3459</v>
      </c>
      <c r="F585" s="3"/>
    </row>
    <row r="586" ht="15.0" customHeight="1">
      <c r="A586" s="284" t="s">
        <v>2804</v>
      </c>
      <c r="B586" s="284" t="s">
        <v>2805</v>
      </c>
      <c r="C586" s="858"/>
      <c r="D586" s="858"/>
      <c r="E586" s="858"/>
      <c r="F586" s="3"/>
    </row>
    <row r="587" ht="15.0" customHeight="1">
      <c r="A587" s="284" t="s">
        <v>2806</v>
      </c>
      <c r="B587" s="284" t="s">
        <v>2807</v>
      </c>
      <c r="C587" s="858"/>
      <c r="D587" s="858"/>
      <c r="E587" s="858"/>
      <c r="F587" s="3"/>
    </row>
    <row r="588" ht="15.0" customHeight="1">
      <c r="A588" s="284" t="s">
        <v>2808</v>
      </c>
      <c r="B588" s="284" t="s">
        <v>2809</v>
      </c>
      <c r="C588" s="858" t="s">
        <v>178</v>
      </c>
      <c r="D588" s="858" t="s">
        <v>188</v>
      </c>
      <c r="E588" s="858" t="s">
        <v>3459</v>
      </c>
      <c r="F588" s="3"/>
    </row>
    <row r="589" ht="15.0" customHeight="1">
      <c r="A589" s="284" t="s">
        <v>2810</v>
      </c>
      <c r="B589" s="284" t="s">
        <v>2811</v>
      </c>
      <c r="C589" s="858" t="s">
        <v>178</v>
      </c>
      <c r="D589" s="858" t="s">
        <v>189</v>
      </c>
      <c r="E589" s="858" t="s">
        <v>3459</v>
      </c>
      <c r="F589" s="3"/>
    </row>
    <row r="590" ht="15.0" customHeight="1">
      <c r="A590" s="284" t="s">
        <v>2812</v>
      </c>
      <c r="B590" s="284" t="s">
        <v>2813</v>
      </c>
      <c r="C590" s="858" t="s">
        <v>161</v>
      </c>
      <c r="D590" s="858" t="s">
        <v>130</v>
      </c>
      <c r="E590" s="858"/>
      <c r="F590" s="3"/>
    </row>
    <row r="591" ht="15.0" customHeight="1">
      <c r="A591" s="284" t="s">
        <v>2815</v>
      </c>
      <c r="B591" s="284" t="s">
        <v>2816</v>
      </c>
      <c r="C591" s="858" t="s">
        <v>174</v>
      </c>
      <c r="D591" s="858" t="s">
        <v>130</v>
      </c>
      <c r="E591" s="858"/>
      <c r="F591" s="3"/>
    </row>
    <row r="592" ht="15.0" customHeight="1">
      <c r="A592" s="284" t="s">
        <v>2841</v>
      </c>
      <c r="B592" s="284" t="s">
        <v>2842</v>
      </c>
      <c r="C592" s="858"/>
      <c r="D592" s="858"/>
      <c r="E592" s="858"/>
      <c r="F592" s="3"/>
    </row>
    <row r="593" ht="15.0" customHeight="1">
      <c r="A593" s="284" t="s">
        <v>2847</v>
      </c>
      <c r="B593" s="284" t="s">
        <v>2848</v>
      </c>
      <c r="C593" s="858"/>
      <c r="D593" s="858"/>
      <c r="E593" s="858"/>
      <c r="F593" s="3"/>
    </row>
    <row r="594" ht="15.0" customHeight="1">
      <c r="A594" s="284" t="s">
        <v>2866</v>
      </c>
      <c r="B594" s="284" t="s">
        <v>2867</v>
      </c>
      <c r="C594" s="858" t="s">
        <v>90</v>
      </c>
      <c r="D594" s="858" t="s">
        <v>97</v>
      </c>
      <c r="E594" s="858"/>
      <c r="F594" s="3"/>
    </row>
    <row r="595" ht="15.0" customHeight="1">
      <c r="A595" s="284" t="s">
        <v>2868</v>
      </c>
      <c r="B595" s="284" t="s">
        <v>2869</v>
      </c>
      <c r="C595" s="858" t="s">
        <v>90</v>
      </c>
      <c r="D595" s="858" t="s">
        <v>97</v>
      </c>
      <c r="E595" s="858"/>
      <c r="F595" s="3"/>
    </row>
    <row r="596" ht="15.0" customHeight="1">
      <c r="A596" s="284" t="s">
        <v>2870</v>
      </c>
      <c r="B596" s="284" t="s">
        <v>2871</v>
      </c>
      <c r="C596" s="858" t="s">
        <v>90</v>
      </c>
      <c r="D596" s="858" t="s">
        <v>97</v>
      </c>
      <c r="E596" s="858"/>
      <c r="F596" s="3"/>
    </row>
    <row r="597" ht="15.0" customHeight="1">
      <c r="A597" s="284" t="s">
        <v>2872</v>
      </c>
      <c r="B597" s="284" t="s">
        <v>2873</v>
      </c>
      <c r="C597" s="858" t="s">
        <v>90</v>
      </c>
      <c r="D597" s="858" t="s">
        <v>97</v>
      </c>
      <c r="E597" s="858"/>
      <c r="F597" s="3"/>
    </row>
    <row r="598" ht="15.0" customHeight="1">
      <c r="A598" s="284" t="s">
        <v>2882</v>
      </c>
      <c r="B598" s="284" t="s">
        <v>2883</v>
      </c>
      <c r="C598" s="858" t="s">
        <v>90</v>
      </c>
      <c r="D598" s="858" t="s">
        <v>97</v>
      </c>
      <c r="E598" s="858"/>
      <c r="F598" s="3"/>
    </row>
    <row r="599" ht="15.0" customHeight="1">
      <c r="A599" s="284" t="s">
        <v>2884</v>
      </c>
      <c r="B599" s="284" t="s">
        <v>2885</v>
      </c>
      <c r="C599" s="858" t="s">
        <v>90</v>
      </c>
      <c r="D599" s="858" t="s">
        <v>97</v>
      </c>
      <c r="E599" s="858"/>
      <c r="F599" s="3"/>
    </row>
    <row r="600" ht="15.0" customHeight="1">
      <c r="A600" s="284" t="s">
        <v>2888</v>
      </c>
      <c r="B600" s="284" t="s">
        <v>2889</v>
      </c>
      <c r="C600" s="858" t="s">
        <v>90</v>
      </c>
      <c r="D600" s="858" t="s">
        <v>97</v>
      </c>
      <c r="E600" s="858"/>
      <c r="F600" s="3"/>
    </row>
    <row r="601" ht="15.0" customHeight="1">
      <c r="A601" s="284" t="s">
        <v>2890</v>
      </c>
      <c r="B601" s="284" t="s">
        <v>2891</v>
      </c>
      <c r="C601" s="858" t="s">
        <v>90</v>
      </c>
      <c r="D601" s="858" t="s">
        <v>97</v>
      </c>
      <c r="E601" s="858"/>
      <c r="F601" s="3"/>
    </row>
    <row r="602" ht="15.0" customHeight="1">
      <c r="A602" s="284" t="s">
        <v>2896</v>
      </c>
      <c r="B602" s="284" t="s">
        <v>2897</v>
      </c>
      <c r="C602" s="858" t="s">
        <v>90</v>
      </c>
      <c r="D602" s="858" t="s">
        <v>792</v>
      </c>
      <c r="E602" s="858"/>
      <c r="F602" s="3"/>
    </row>
    <row r="603" ht="15.0" customHeight="1">
      <c r="A603" s="284" t="s">
        <v>2904</v>
      </c>
      <c r="B603" s="284" t="s">
        <v>2905</v>
      </c>
      <c r="C603" s="858" t="s">
        <v>90</v>
      </c>
      <c r="D603" s="858" t="s">
        <v>97</v>
      </c>
      <c r="E603" s="858"/>
      <c r="F603" s="3"/>
    </row>
    <row r="604" ht="15.0" customHeight="1">
      <c r="A604" s="284" t="s">
        <v>2908</v>
      </c>
      <c r="B604" s="284" t="s">
        <v>2909</v>
      </c>
      <c r="C604" s="858" t="s">
        <v>90</v>
      </c>
      <c r="D604" s="858" t="s">
        <v>97</v>
      </c>
      <c r="E604" s="858"/>
      <c r="F604" s="3"/>
    </row>
    <row r="605" ht="15.0" customHeight="1">
      <c r="A605" s="284" t="s">
        <v>2910</v>
      </c>
      <c r="B605" s="284" t="s">
        <v>2911</v>
      </c>
      <c r="C605" s="858" t="s">
        <v>90</v>
      </c>
      <c r="D605" s="858" t="s">
        <v>97</v>
      </c>
      <c r="E605" s="858"/>
      <c r="F605" s="3"/>
    </row>
    <row r="606" ht="15.0" customHeight="1">
      <c r="A606" s="284" t="s">
        <v>2912</v>
      </c>
      <c r="B606" s="284" t="s">
        <v>2913</v>
      </c>
      <c r="C606" s="858"/>
      <c r="D606" s="858"/>
      <c r="E606" s="858"/>
      <c r="F606" s="3"/>
    </row>
    <row r="607" ht="15.0" customHeight="1">
      <c r="A607" s="284" t="s">
        <v>2918</v>
      </c>
      <c r="B607" s="284" t="s">
        <v>2919</v>
      </c>
      <c r="C607" s="858"/>
      <c r="D607" s="858"/>
      <c r="E607" s="858"/>
      <c r="F607" s="3"/>
    </row>
    <row r="608" ht="15.0" customHeight="1">
      <c r="A608" s="284" t="s">
        <v>2932</v>
      </c>
      <c r="B608" s="284" t="s">
        <v>2933</v>
      </c>
      <c r="C608" s="858" t="s">
        <v>90</v>
      </c>
      <c r="D608" s="858" t="s">
        <v>98</v>
      </c>
      <c r="E608" s="858"/>
      <c r="F608" s="3"/>
    </row>
    <row r="609" ht="15.0" customHeight="1">
      <c r="A609" s="284" t="s">
        <v>2934</v>
      </c>
      <c r="B609" s="284" t="s">
        <v>2935</v>
      </c>
      <c r="C609" s="858" t="s">
        <v>90</v>
      </c>
      <c r="D609" s="858" t="s">
        <v>792</v>
      </c>
      <c r="E609" s="858"/>
      <c r="F609" s="3"/>
    </row>
    <row r="610" ht="15.0" customHeight="1">
      <c r="A610" s="284" t="s">
        <v>2938</v>
      </c>
      <c r="B610" s="284" t="s">
        <v>2939</v>
      </c>
      <c r="C610" s="858" t="s">
        <v>90</v>
      </c>
      <c r="D610" s="858" t="s">
        <v>98</v>
      </c>
      <c r="E610" s="858"/>
      <c r="F610" s="3"/>
    </row>
    <row r="611" ht="15.0" customHeight="1">
      <c r="A611" s="865" t="s">
        <v>2940</v>
      </c>
      <c r="B611" s="865" t="s">
        <v>2941</v>
      </c>
      <c r="C611" s="866" t="s">
        <v>90</v>
      </c>
      <c r="D611" s="866" t="s">
        <v>792</v>
      </c>
      <c r="E611" s="866"/>
      <c r="F611" s="3"/>
    </row>
    <row r="612" ht="15.0" customHeight="1">
      <c r="A612" s="284" t="s">
        <v>2946</v>
      </c>
      <c r="B612" s="284" t="s">
        <v>2947</v>
      </c>
      <c r="C612" s="858" t="s">
        <v>90</v>
      </c>
      <c r="D612" s="858" t="s">
        <v>98</v>
      </c>
      <c r="E612" s="858"/>
      <c r="F612" s="3"/>
    </row>
    <row r="613" ht="15.0" customHeight="1">
      <c r="A613" s="284" t="s">
        <v>2948</v>
      </c>
      <c r="B613" s="284" t="s">
        <v>2877</v>
      </c>
      <c r="C613" s="858" t="s">
        <v>90</v>
      </c>
      <c r="D613" s="858" t="s">
        <v>98</v>
      </c>
      <c r="E613" s="858"/>
      <c r="F613" s="3"/>
    </row>
    <row r="614" ht="15.0" customHeight="1">
      <c r="A614" s="284" t="s">
        <v>2949</v>
      </c>
      <c r="B614" s="284" t="s">
        <v>2950</v>
      </c>
      <c r="C614" s="858" t="s">
        <v>90</v>
      </c>
      <c r="D614" s="858" t="s">
        <v>98</v>
      </c>
      <c r="E614" s="858"/>
      <c r="F614" s="3"/>
    </row>
    <row r="615" ht="15.0" customHeight="1">
      <c r="A615" s="284" t="s">
        <v>2951</v>
      </c>
      <c r="B615" s="284" t="s">
        <v>2952</v>
      </c>
      <c r="C615" s="858" t="s">
        <v>90</v>
      </c>
      <c r="D615" s="858" t="s">
        <v>98</v>
      </c>
      <c r="E615" s="858"/>
      <c r="F615" s="3"/>
    </row>
    <row r="616" ht="15.0" customHeight="1">
      <c r="A616" s="284" t="s">
        <v>2955</v>
      </c>
      <c r="B616" s="284" t="s">
        <v>2956</v>
      </c>
      <c r="C616" s="858" t="s">
        <v>90</v>
      </c>
      <c r="D616" s="858" t="s">
        <v>98</v>
      </c>
      <c r="E616" s="858"/>
      <c r="F616" s="3"/>
    </row>
    <row r="617" ht="15.0" customHeight="1">
      <c r="A617" s="284" t="s">
        <v>2957</v>
      </c>
      <c r="B617" s="284" t="s">
        <v>2958</v>
      </c>
      <c r="C617" s="858" t="s">
        <v>90</v>
      </c>
      <c r="D617" s="858" t="s">
        <v>98</v>
      </c>
      <c r="E617" s="858"/>
      <c r="F617" s="3"/>
    </row>
    <row r="618" ht="15.0" customHeight="1">
      <c r="A618" s="284" t="s">
        <v>2959</v>
      </c>
      <c r="B618" s="284" t="s">
        <v>2960</v>
      </c>
      <c r="C618" s="858" t="s">
        <v>90</v>
      </c>
      <c r="D618" s="858" t="s">
        <v>98</v>
      </c>
      <c r="E618" s="858"/>
      <c r="F618" s="3"/>
    </row>
    <row r="619" ht="15.0" customHeight="1">
      <c r="A619" s="284" t="s">
        <v>2963</v>
      </c>
      <c r="B619" s="284" t="s">
        <v>2964</v>
      </c>
      <c r="C619" s="858" t="s">
        <v>90</v>
      </c>
      <c r="D619" s="858" t="s">
        <v>98</v>
      </c>
      <c r="E619" s="858"/>
      <c r="F619" s="3"/>
    </row>
    <row r="620" ht="15.0" customHeight="1">
      <c r="A620" s="284" t="s">
        <v>2965</v>
      </c>
      <c r="B620" s="284" t="s">
        <v>2966</v>
      </c>
      <c r="C620" s="858" t="s">
        <v>90</v>
      </c>
      <c r="D620" s="858" t="s">
        <v>98</v>
      </c>
      <c r="E620" s="858"/>
      <c r="F620" s="3"/>
    </row>
    <row r="621" ht="15.0" customHeight="1">
      <c r="A621" s="284" t="s">
        <v>2967</v>
      </c>
      <c r="B621" s="284" t="s">
        <v>2968</v>
      </c>
      <c r="C621" s="858" t="s">
        <v>90</v>
      </c>
      <c r="D621" s="858" t="s">
        <v>98</v>
      </c>
      <c r="E621" s="858"/>
      <c r="F621" s="3"/>
    </row>
    <row r="622" ht="15.0" customHeight="1">
      <c r="A622" s="284" t="s">
        <v>2969</v>
      </c>
      <c r="B622" s="284" t="s">
        <v>2970</v>
      </c>
      <c r="C622" s="858" t="s">
        <v>90</v>
      </c>
      <c r="D622" s="858" t="s">
        <v>792</v>
      </c>
      <c r="E622" s="858"/>
      <c r="F622" s="3"/>
    </row>
    <row r="623" ht="15.0" customHeight="1">
      <c r="A623" s="284" t="s">
        <v>2971</v>
      </c>
      <c r="B623" s="284" t="s">
        <v>2972</v>
      </c>
      <c r="C623" s="858" t="s">
        <v>90</v>
      </c>
      <c r="D623" s="858" t="s">
        <v>98</v>
      </c>
      <c r="E623" s="858"/>
      <c r="F623" s="3"/>
    </row>
    <row r="624" ht="15.0" customHeight="1">
      <c r="A624" s="284" t="s">
        <v>2975</v>
      </c>
      <c r="B624" s="284" t="s">
        <v>2976</v>
      </c>
      <c r="C624" s="858" t="s">
        <v>90</v>
      </c>
      <c r="D624" s="858" t="s">
        <v>98</v>
      </c>
      <c r="E624" s="858"/>
      <c r="F624" s="3"/>
    </row>
    <row r="625" ht="15.0" customHeight="1">
      <c r="A625" s="284" t="s">
        <v>2977</v>
      </c>
      <c r="B625" s="284" t="s">
        <v>2978</v>
      </c>
      <c r="C625" s="858" t="s">
        <v>90</v>
      </c>
      <c r="D625" s="858" t="s">
        <v>98</v>
      </c>
      <c r="E625" s="858"/>
      <c r="F625" s="3"/>
    </row>
    <row r="626" ht="15.0" customHeight="1">
      <c r="A626" s="284" t="s">
        <v>2979</v>
      </c>
      <c r="B626" s="284" t="s">
        <v>2980</v>
      </c>
      <c r="C626" s="858" t="s">
        <v>90</v>
      </c>
      <c r="D626" s="858" t="s">
        <v>792</v>
      </c>
      <c r="E626" s="858"/>
      <c r="F626" s="3"/>
    </row>
    <row r="627" ht="15.0" customHeight="1">
      <c r="A627" s="284" t="s">
        <v>2983</v>
      </c>
      <c r="B627" s="284" t="s">
        <v>2984</v>
      </c>
      <c r="C627" s="858" t="s">
        <v>90</v>
      </c>
      <c r="D627" s="858" t="s">
        <v>98</v>
      </c>
      <c r="E627" s="858"/>
      <c r="F627" s="3"/>
    </row>
    <row r="628" ht="15.0" customHeight="1">
      <c r="A628" s="284" t="s">
        <v>2985</v>
      </c>
      <c r="B628" s="284" t="s">
        <v>2986</v>
      </c>
      <c r="C628" s="858" t="s">
        <v>90</v>
      </c>
      <c r="D628" s="858" t="s">
        <v>98</v>
      </c>
      <c r="E628" s="858"/>
      <c r="F628" s="3"/>
    </row>
    <row r="629" ht="15.0" customHeight="1">
      <c r="A629" s="284" t="s">
        <v>2987</v>
      </c>
      <c r="B629" s="284" t="s">
        <v>2988</v>
      </c>
      <c r="C629" s="858" t="s">
        <v>90</v>
      </c>
      <c r="D629" s="858" t="s">
        <v>98</v>
      </c>
      <c r="E629" s="858"/>
      <c r="F629" s="3"/>
    </row>
    <row r="630" ht="15.0" customHeight="1">
      <c r="A630" s="284" t="s">
        <v>2989</v>
      </c>
      <c r="B630" s="284" t="s">
        <v>2990</v>
      </c>
      <c r="C630" s="858" t="s">
        <v>90</v>
      </c>
      <c r="D630" s="858" t="s">
        <v>98</v>
      </c>
      <c r="E630" s="858"/>
      <c r="F630" s="3"/>
    </row>
    <row r="631" ht="15.0" customHeight="1">
      <c r="A631" s="284" t="s">
        <v>2991</v>
      </c>
      <c r="B631" s="284" t="s">
        <v>2992</v>
      </c>
      <c r="C631" s="858" t="s">
        <v>90</v>
      </c>
      <c r="D631" s="858" t="s">
        <v>792</v>
      </c>
      <c r="E631" s="858"/>
      <c r="F631" s="3"/>
    </row>
    <row r="632" ht="15.0" customHeight="1">
      <c r="A632" s="284" t="s">
        <v>2995</v>
      </c>
      <c r="B632" s="284" t="s">
        <v>2996</v>
      </c>
      <c r="C632" s="858" t="s">
        <v>90</v>
      </c>
      <c r="D632" s="858" t="s">
        <v>98</v>
      </c>
      <c r="E632" s="858"/>
      <c r="F632" s="3"/>
    </row>
    <row r="633" ht="15.0" customHeight="1">
      <c r="A633" s="284" t="s">
        <v>2997</v>
      </c>
      <c r="B633" s="284" t="s">
        <v>2998</v>
      </c>
      <c r="C633" s="858" t="s">
        <v>90</v>
      </c>
      <c r="D633" s="858" t="s">
        <v>792</v>
      </c>
      <c r="E633" s="858"/>
      <c r="F633" s="3"/>
    </row>
    <row r="634" ht="15.0" customHeight="1">
      <c r="A634" s="284" t="s">
        <v>3001</v>
      </c>
      <c r="B634" s="284" t="s">
        <v>3002</v>
      </c>
      <c r="C634" s="858" t="s">
        <v>90</v>
      </c>
      <c r="D634" s="858" t="s">
        <v>98</v>
      </c>
      <c r="E634" s="858"/>
      <c r="F634" s="3"/>
    </row>
    <row r="635" ht="15.0" customHeight="1">
      <c r="A635" s="284" t="s">
        <v>3003</v>
      </c>
      <c r="B635" s="284" t="s">
        <v>3004</v>
      </c>
      <c r="C635" s="858" t="s">
        <v>90</v>
      </c>
      <c r="D635" s="858" t="s">
        <v>792</v>
      </c>
      <c r="E635" s="858"/>
      <c r="F635" s="3"/>
    </row>
    <row r="636" ht="15.0" customHeight="1">
      <c r="A636" s="284" t="s">
        <v>3007</v>
      </c>
      <c r="B636" s="284" t="s">
        <v>3008</v>
      </c>
      <c r="C636" s="858" t="s">
        <v>90</v>
      </c>
      <c r="D636" s="858" t="s">
        <v>98</v>
      </c>
      <c r="E636" s="858"/>
      <c r="F636" s="3"/>
    </row>
    <row r="637" ht="15.0" customHeight="1">
      <c r="A637" s="284" t="s">
        <v>3009</v>
      </c>
      <c r="B637" s="284" t="s">
        <v>3010</v>
      </c>
      <c r="C637" s="858" t="s">
        <v>90</v>
      </c>
      <c r="D637" s="858" t="s">
        <v>98</v>
      </c>
      <c r="E637" s="858"/>
      <c r="F637" s="3"/>
    </row>
    <row r="638" ht="15.0" customHeight="1">
      <c r="A638" s="284" t="s">
        <v>3015</v>
      </c>
      <c r="B638" s="284" t="s">
        <v>3016</v>
      </c>
      <c r="C638" s="858" t="s">
        <v>90</v>
      </c>
      <c r="D638" s="858" t="s">
        <v>103</v>
      </c>
      <c r="E638" s="858"/>
      <c r="F638" s="3"/>
    </row>
    <row r="639" ht="15.0" customHeight="1">
      <c r="A639" s="284" t="s">
        <v>3017</v>
      </c>
      <c r="B639" s="284" t="s">
        <v>3018</v>
      </c>
      <c r="C639" s="858" t="s">
        <v>90</v>
      </c>
      <c r="D639" s="858" t="s">
        <v>103</v>
      </c>
      <c r="E639" s="858"/>
      <c r="F639" s="3"/>
    </row>
    <row r="640" ht="15.0" customHeight="1">
      <c r="A640" s="284" t="s">
        <v>3021</v>
      </c>
      <c r="B640" s="284" t="s">
        <v>3022</v>
      </c>
      <c r="C640" s="858" t="s">
        <v>90</v>
      </c>
      <c r="D640" s="858" t="s">
        <v>106</v>
      </c>
      <c r="E640" s="858"/>
      <c r="F640" s="3"/>
    </row>
    <row r="641" ht="15.0" customHeight="1">
      <c r="A641" s="284" t="s">
        <v>3035</v>
      </c>
      <c r="B641" s="284" t="s">
        <v>3036</v>
      </c>
      <c r="C641" s="858" t="s">
        <v>90</v>
      </c>
      <c r="D641" s="858" t="s">
        <v>106</v>
      </c>
      <c r="E641" s="858"/>
      <c r="F641" s="3"/>
    </row>
    <row r="642" ht="15.0" customHeight="1">
      <c r="A642" s="284" t="s">
        <v>3047</v>
      </c>
      <c r="B642" s="284" t="s">
        <v>3486</v>
      </c>
      <c r="C642" s="858" t="s">
        <v>90</v>
      </c>
      <c r="D642" s="858" t="s">
        <v>107</v>
      </c>
      <c r="E642" s="858"/>
      <c r="F642" s="3"/>
    </row>
    <row r="643" ht="15.0" customHeight="1">
      <c r="A643" s="284" t="s">
        <v>3049</v>
      </c>
      <c r="B643" s="284" t="s">
        <v>2606</v>
      </c>
      <c r="C643" s="858" t="s">
        <v>90</v>
      </c>
      <c r="D643" s="858" t="s">
        <v>107</v>
      </c>
      <c r="E643" s="858"/>
      <c r="F643" s="3"/>
    </row>
    <row r="644" ht="15.0" customHeight="1">
      <c r="A644" s="284" t="s">
        <v>3050</v>
      </c>
      <c r="B644" s="284" t="s">
        <v>3051</v>
      </c>
      <c r="C644" s="858" t="s">
        <v>90</v>
      </c>
      <c r="D644" s="858" t="s">
        <v>106</v>
      </c>
      <c r="E644" s="858"/>
      <c r="F644" s="3"/>
    </row>
    <row r="645" ht="15.0" customHeight="1">
      <c r="A645" s="284" t="s">
        <v>3052</v>
      </c>
      <c r="B645" s="284" t="s">
        <v>3487</v>
      </c>
      <c r="C645" s="858" t="s">
        <v>90</v>
      </c>
      <c r="D645" s="858" t="s">
        <v>107</v>
      </c>
      <c r="E645" s="858"/>
      <c r="F645" s="3"/>
    </row>
    <row r="646" ht="15.0" customHeight="1">
      <c r="A646" s="284" t="s">
        <v>3054</v>
      </c>
      <c r="B646" s="284" t="s">
        <v>3055</v>
      </c>
      <c r="C646" s="858" t="s">
        <v>151</v>
      </c>
      <c r="D646" s="858" t="s">
        <v>152</v>
      </c>
      <c r="E646" s="858"/>
      <c r="F646" s="3"/>
    </row>
    <row r="647" ht="15.0" customHeight="1">
      <c r="A647" s="284" t="s">
        <v>3056</v>
      </c>
      <c r="B647" s="284" t="s">
        <v>3488</v>
      </c>
      <c r="C647" s="858" t="s">
        <v>151</v>
      </c>
      <c r="D647" s="858" t="s">
        <v>153</v>
      </c>
      <c r="E647" s="858"/>
      <c r="F647" s="3"/>
    </row>
    <row r="648" ht="15.0" customHeight="1">
      <c r="A648" s="284" t="s">
        <v>3062</v>
      </c>
      <c r="B648" s="284" t="s">
        <v>3063</v>
      </c>
      <c r="C648" s="858" t="s">
        <v>151</v>
      </c>
      <c r="D648" s="858" t="s">
        <v>152</v>
      </c>
      <c r="E648" s="858"/>
      <c r="F648" s="3"/>
    </row>
    <row r="649" ht="15.0" customHeight="1">
      <c r="A649" s="284" t="s">
        <v>3064</v>
      </c>
      <c r="B649" s="284" t="s">
        <v>3065</v>
      </c>
      <c r="C649" s="858"/>
      <c r="D649" s="858"/>
      <c r="E649" s="858"/>
      <c r="F649" s="3"/>
    </row>
    <row r="650" ht="15.0" customHeight="1">
      <c r="A650" s="284" t="s">
        <v>3066</v>
      </c>
      <c r="B650" s="284" t="s">
        <v>3067</v>
      </c>
      <c r="C650" s="858"/>
      <c r="D650" s="858"/>
      <c r="E650" s="858"/>
      <c r="F650" s="3"/>
    </row>
    <row r="651" ht="15.0" customHeight="1">
      <c r="A651" s="284" t="s">
        <v>3068</v>
      </c>
      <c r="B651" s="284" t="s">
        <v>3069</v>
      </c>
      <c r="C651" s="858"/>
      <c r="D651" s="858"/>
      <c r="E651" s="858"/>
      <c r="F651" s="3"/>
    </row>
    <row r="652" ht="15.0" customHeight="1">
      <c r="A652" s="284" t="s">
        <v>3070</v>
      </c>
      <c r="B652" s="284" t="s">
        <v>3071</v>
      </c>
      <c r="C652" s="858" t="s">
        <v>151</v>
      </c>
      <c r="D652" s="858" t="s">
        <v>156</v>
      </c>
      <c r="E652" s="858"/>
      <c r="F652" s="3"/>
    </row>
    <row r="653" ht="15.0" customHeight="1">
      <c r="A653" s="284" t="s">
        <v>3072</v>
      </c>
      <c r="B653" s="284" t="s">
        <v>3073</v>
      </c>
      <c r="C653" s="858"/>
      <c r="D653" s="858"/>
      <c r="E653" s="858"/>
      <c r="F653" s="3"/>
    </row>
    <row r="654" ht="15.0" customHeight="1">
      <c r="A654" s="861" t="s">
        <v>3074</v>
      </c>
      <c r="B654" s="861" t="s">
        <v>3489</v>
      </c>
      <c r="C654" s="862" t="s">
        <v>151</v>
      </c>
      <c r="D654" s="862" t="s">
        <v>156</v>
      </c>
      <c r="E654" s="862" t="s">
        <v>3459</v>
      </c>
      <c r="F654" s="3" t="s">
        <v>3463</v>
      </c>
    </row>
    <row r="655" ht="15.0" customHeight="1">
      <c r="A655" s="284" t="s">
        <v>3076</v>
      </c>
      <c r="B655" s="284" t="s">
        <v>3490</v>
      </c>
      <c r="C655" s="858" t="s">
        <v>151</v>
      </c>
      <c r="D655" s="858" t="s">
        <v>153</v>
      </c>
      <c r="E655" s="858"/>
      <c r="F655" s="3"/>
    </row>
    <row r="656" ht="15.0" customHeight="1">
      <c r="A656" s="284" t="s">
        <v>3084</v>
      </c>
      <c r="B656" s="284" t="s">
        <v>3085</v>
      </c>
      <c r="C656" s="858"/>
      <c r="D656" s="858"/>
      <c r="E656" s="858"/>
      <c r="F656" s="3"/>
    </row>
    <row r="657" ht="15.0" customHeight="1">
      <c r="A657" s="284" t="s">
        <v>3086</v>
      </c>
      <c r="B657" s="284" t="s">
        <v>3087</v>
      </c>
      <c r="C657" s="858"/>
      <c r="D657" s="858"/>
      <c r="E657" s="858"/>
      <c r="F657" s="3"/>
    </row>
    <row r="658" ht="15.0" customHeight="1">
      <c r="A658" s="284" t="s">
        <v>3088</v>
      </c>
      <c r="B658" s="284" t="s">
        <v>3089</v>
      </c>
      <c r="C658" s="858"/>
      <c r="D658" s="858"/>
      <c r="E658" s="858"/>
      <c r="F658" s="3"/>
    </row>
    <row r="659" ht="15.0" customHeight="1">
      <c r="A659" s="284" t="s">
        <v>3090</v>
      </c>
      <c r="B659" s="284" t="s">
        <v>3091</v>
      </c>
      <c r="C659" s="858" t="s">
        <v>151</v>
      </c>
      <c r="D659" s="858" t="s">
        <v>156</v>
      </c>
      <c r="E659" s="858"/>
      <c r="F659" s="3"/>
    </row>
    <row r="660" ht="15.0" customHeight="1">
      <c r="A660" s="284" t="s">
        <v>3092</v>
      </c>
      <c r="B660" s="284" t="s">
        <v>3093</v>
      </c>
      <c r="C660" s="858" t="s">
        <v>899</v>
      </c>
      <c r="D660" s="858" t="s">
        <v>902</v>
      </c>
      <c r="E660" s="858"/>
      <c r="F660" s="3"/>
    </row>
    <row r="661" ht="15.0" customHeight="1">
      <c r="A661" s="284" t="s">
        <v>3095</v>
      </c>
      <c r="B661" s="284" t="s">
        <v>3096</v>
      </c>
      <c r="C661" s="858"/>
      <c r="D661" s="858"/>
      <c r="E661" s="858"/>
      <c r="F661" s="3"/>
    </row>
    <row r="662" ht="15.0" customHeight="1">
      <c r="A662" s="284" t="s">
        <v>3101</v>
      </c>
      <c r="B662" s="284" t="s">
        <v>3102</v>
      </c>
      <c r="C662" s="858" t="s">
        <v>151</v>
      </c>
      <c r="D662" s="858" t="s">
        <v>106</v>
      </c>
      <c r="E662" s="858"/>
      <c r="F662" s="3"/>
    </row>
    <row r="663" ht="15.0" customHeight="1">
      <c r="A663" s="284" t="s">
        <v>3119</v>
      </c>
      <c r="B663" s="849" t="s">
        <v>3120</v>
      </c>
      <c r="C663" s="858" t="s">
        <v>151</v>
      </c>
      <c r="D663" s="858" t="s">
        <v>106</v>
      </c>
      <c r="E663" s="858"/>
      <c r="F663" s="3"/>
    </row>
    <row r="664" ht="15.0" customHeight="1">
      <c r="A664" s="284" t="s">
        <v>3129</v>
      </c>
      <c r="B664" s="284" t="s">
        <v>3130</v>
      </c>
      <c r="C664" s="858" t="s">
        <v>151</v>
      </c>
      <c r="D664" s="858" t="s">
        <v>106</v>
      </c>
      <c r="E664" s="858"/>
      <c r="F664" s="3"/>
    </row>
    <row r="665" ht="15.0" customHeight="1">
      <c r="A665" s="867" t="s">
        <v>3131</v>
      </c>
      <c r="B665" s="867" t="s">
        <v>3132</v>
      </c>
      <c r="C665" s="858" t="s">
        <v>899</v>
      </c>
      <c r="D665" s="858" t="s">
        <v>900</v>
      </c>
      <c r="E665" s="858"/>
      <c r="F665" s="3"/>
    </row>
    <row r="666" ht="15.0" customHeight="1">
      <c r="A666" s="867" t="s">
        <v>3133</v>
      </c>
      <c r="B666" s="867" t="s">
        <v>3134</v>
      </c>
      <c r="C666" s="858" t="s">
        <v>899</v>
      </c>
      <c r="D666" s="858" t="s">
        <v>900</v>
      </c>
      <c r="E666" s="858"/>
      <c r="F666" s="3"/>
    </row>
    <row r="667" ht="15.0" customHeight="1">
      <c r="A667" s="284" t="s">
        <v>3135</v>
      </c>
      <c r="B667" s="284" t="s">
        <v>3136</v>
      </c>
      <c r="C667" s="858" t="s">
        <v>899</v>
      </c>
      <c r="D667" s="858" t="s">
        <v>900</v>
      </c>
      <c r="E667" s="858"/>
      <c r="F667" s="3"/>
    </row>
    <row r="668" ht="15.0" customHeight="1">
      <c r="A668" s="865" t="s">
        <v>3137</v>
      </c>
      <c r="B668" s="865" t="s">
        <v>3138</v>
      </c>
      <c r="C668" s="866"/>
      <c r="D668" s="866"/>
      <c r="E668" s="858"/>
      <c r="F668" s="3"/>
    </row>
    <row r="669" ht="15.0" customHeight="1">
      <c r="A669" s="284" t="s">
        <v>3139</v>
      </c>
      <c r="B669" s="284" t="s">
        <v>3140</v>
      </c>
      <c r="C669" s="858" t="s">
        <v>899</v>
      </c>
      <c r="D669" s="858" t="s">
        <v>901</v>
      </c>
      <c r="E669" s="858"/>
      <c r="F669" s="3"/>
    </row>
    <row r="670" ht="15.0" customHeight="1">
      <c r="A670" s="284" t="s">
        <v>3141</v>
      </c>
      <c r="B670" s="284" t="s">
        <v>3142</v>
      </c>
      <c r="C670" s="858" t="s">
        <v>161</v>
      </c>
      <c r="D670" s="858" t="s">
        <v>162</v>
      </c>
      <c r="E670" s="858"/>
      <c r="F670" s="3"/>
    </row>
    <row r="671" ht="15.0" customHeight="1">
      <c r="A671" s="284" t="s">
        <v>3145</v>
      </c>
      <c r="B671" s="284" t="s">
        <v>3146</v>
      </c>
      <c r="C671" s="858" t="s">
        <v>161</v>
      </c>
      <c r="D671" s="858" t="s">
        <v>164</v>
      </c>
      <c r="E671" s="858"/>
      <c r="F671" s="3"/>
    </row>
    <row r="672" ht="15.0" customHeight="1">
      <c r="A672" s="861" t="s">
        <v>3149</v>
      </c>
      <c r="B672" s="861" t="s">
        <v>3150</v>
      </c>
      <c r="C672" s="862" t="s">
        <v>161</v>
      </c>
      <c r="D672" s="862" t="s">
        <v>162</v>
      </c>
      <c r="E672" s="862"/>
      <c r="F672" s="3"/>
    </row>
    <row r="673" ht="15.0" customHeight="1">
      <c r="A673" s="284" t="s">
        <v>3153</v>
      </c>
      <c r="B673" s="284" t="s">
        <v>3491</v>
      </c>
      <c r="C673" s="858" t="s">
        <v>1025</v>
      </c>
      <c r="D673" s="858" t="s">
        <v>1028</v>
      </c>
      <c r="E673" s="858"/>
      <c r="F673" s="3"/>
    </row>
    <row r="674" ht="15.0" customHeight="1">
      <c r="A674" s="284" t="s">
        <v>3157</v>
      </c>
      <c r="B674" s="284" t="s">
        <v>3158</v>
      </c>
      <c r="C674" s="858" t="s">
        <v>1025</v>
      </c>
      <c r="D674" s="858" t="s">
        <v>1029</v>
      </c>
      <c r="E674" s="858"/>
      <c r="F674" s="3"/>
    </row>
    <row r="675" ht="15.0" customHeight="1">
      <c r="A675" s="284" t="s">
        <v>3159</v>
      </c>
      <c r="B675" s="284" t="s">
        <v>3160</v>
      </c>
      <c r="C675" s="858" t="s">
        <v>1025</v>
      </c>
      <c r="D675" s="858" t="s">
        <v>1027</v>
      </c>
      <c r="E675" s="858"/>
      <c r="F675" s="3"/>
    </row>
    <row r="676" ht="15.0" customHeight="1">
      <c r="A676" s="284" t="s">
        <v>3163</v>
      </c>
      <c r="B676" s="284" t="s">
        <v>3164</v>
      </c>
      <c r="C676" s="858" t="s">
        <v>161</v>
      </c>
      <c r="D676" s="858" t="s">
        <v>164</v>
      </c>
      <c r="E676" s="858"/>
      <c r="F676" s="3"/>
    </row>
    <row r="677" ht="15.0" customHeight="1">
      <c r="A677" s="284" t="s">
        <v>3165</v>
      </c>
      <c r="B677" s="284" t="s">
        <v>3166</v>
      </c>
      <c r="C677" s="858" t="s">
        <v>161</v>
      </c>
      <c r="D677" s="858" t="s">
        <v>165</v>
      </c>
      <c r="E677" s="858"/>
      <c r="F677" s="3"/>
    </row>
    <row r="678" ht="15.0" customHeight="1">
      <c r="A678" s="284" t="s">
        <v>3169</v>
      </c>
      <c r="B678" s="284" t="s">
        <v>3170</v>
      </c>
      <c r="C678" s="858" t="s">
        <v>1025</v>
      </c>
      <c r="D678" s="858" t="s">
        <v>1029</v>
      </c>
      <c r="E678" s="858"/>
      <c r="F678" s="3"/>
    </row>
    <row r="679" ht="15.0" customHeight="1">
      <c r="A679" s="284" t="s">
        <v>3171</v>
      </c>
      <c r="B679" s="284" t="s">
        <v>3172</v>
      </c>
      <c r="C679" s="858" t="s">
        <v>161</v>
      </c>
      <c r="D679" s="858" t="s">
        <v>165</v>
      </c>
      <c r="E679" s="858"/>
      <c r="F679" s="3"/>
    </row>
    <row r="680" ht="15.0" customHeight="1">
      <c r="A680" s="284" t="s">
        <v>3175</v>
      </c>
      <c r="B680" s="284" t="s">
        <v>3176</v>
      </c>
      <c r="C680" s="858" t="s">
        <v>161</v>
      </c>
      <c r="D680" s="858" t="s">
        <v>167</v>
      </c>
      <c r="E680" s="858"/>
      <c r="F680" s="3"/>
    </row>
    <row r="681" ht="15.0" customHeight="1">
      <c r="A681" s="284" t="s">
        <v>3179</v>
      </c>
      <c r="B681" s="284" t="s">
        <v>3180</v>
      </c>
      <c r="C681" s="858" t="s">
        <v>161</v>
      </c>
      <c r="D681" s="858" t="s">
        <v>170</v>
      </c>
      <c r="E681" s="858"/>
      <c r="F681" s="3"/>
    </row>
    <row r="682" ht="15.0" customHeight="1">
      <c r="A682" s="284" t="s">
        <v>3181</v>
      </c>
      <c r="B682" s="284" t="s">
        <v>3182</v>
      </c>
      <c r="C682" s="858" t="s">
        <v>1025</v>
      </c>
      <c r="D682" s="858" t="s">
        <v>1029</v>
      </c>
      <c r="E682" s="858"/>
      <c r="F682" s="3"/>
    </row>
    <row r="683" ht="15.0" customHeight="1">
      <c r="A683" s="284" t="s">
        <v>3185</v>
      </c>
      <c r="B683" s="284" t="s">
        <v>3186</v>
      </c>
      <c r="C683" s="858" t="s">
        <v>178</v>
      </c>
      <c r="D683" s="858" t="s">
        <v>179</v>
      </c>
      <c r="E683" s="858"/>
      <c r="F683" s="3"/>
    </row>
    <row r="684" ht="15.0" customHeight="1">
      <c r="A684" s="284" t="s">
        <v>3187</v>
      </c>
      <c r="B684" s="284" t="s">
        <v>3188</v>
      </c>
      <c r="C684" s="858" t="s">
        <v>178</v>
      </c>
      <c r="D684" s="858" t="s">
        <v>179</v>
      </c>
      <c r="E684" s="858"/>
      <c r="F684" s="3"/>
    </row>
    <row r="685" ht="15.0" customHeight="1">
      <c r="A685" s="284" t="s">
        <v>3189</v>
      </c>
      <c r="B685" s="284" t="s">
        <v>3190</v>
      </c>
      <c r="C685" s="858"/>
      <c r="D685" s="858"/>
      <c r="E685" s="858"/>
      <c r="F685" s="3"/>
    </row>
    <row r="686" ht="15.0" customHeight="1">
      <c r="A686" s="284" t="s">
        <v>3191</v>
      </c>
      <c r="B686" s="284" t="s">
        <v>3192</v>
      </c>
      <c r="C686" s="858"/>
      <c r="D686" s="858"/>
      <c r="E686" s="858"/>
      <c r="F686" s="3"/>
    </row>
    <row r="687" ht="15.0" customHeight="1">
      <c r="A687" s="284" t="s">
        <v>3193</v>
      </c>
      <c r="B687" s="284" t="s">
        <v>3194</v>
      </c>
      <c r="C687" s="858"/>
      <c r="D687" s="858"/>
      <c r="E687" s="858"/>
      <c r="F687" s="3"/>
    </row>
    <row r="688" ht="15.0" customHeight="1">
      <c r="A688" s="284" t="s">
        <v>3197</v>
      </c>
      <c r="B688" s="284" t="s">
        <v>3198</v>
      </c>
      <c r="C688" s="858" t="s">
        <v>161</v>
      </c>
      <c r="D688" s="858" t="s">
        <v>170</v>
      </c>
      <c r="E688" s="858"/>
      <c r="F688" s="3"/>
    </row>
    <row r="689" ht="15.0" customHeight="1">
      <c r="A689" s="284" t="s">
        <v>1125</v>
      </c>
      <c r="B689" s="284" t="s">
        <v>3199</v>
      </c>
      <c r="C689" s="858" t="s">
        <v>174</v>
      </c>
      <c r="D689" s="858" t="s">
        <v>949</v>
      </c>
      <c r="E689" s="858"/>
      <c r="F689" s="3"/>
    </row>
    <row r="690" ht="15.0" customHeight="1">
      <c r="A690" s="284" t="s">
        <v>1175</v>
      </c>
      <c r="B690" s="284" t="s">
        <v>3200</v>
      </c>
      <c r="C690" s="858" t="s">
        <v>174</v>
      </c>
      <c r="D690" s="858" t="s">
        <v>954</v>
      </c>
      <c r="E690" s="858"/>
      <c r="F690" s="3"/>
    </row>
    <row r="691" ht="15.0" customHeight="1">
      <c r="A691" s="284" t="s">
        <v>1122</v>
      </c>
      <c r="B691" s="284" t="s">
        <v>3201</v>
      </c>
      <c r="C691" s="858" t="s">
        <v>174</v>
      </c>
      <c r="D691" s="858" t="s">
        <v>949</v>
      </c>
      <c r="E691" s="858"/>
      <c r="F691" s="3"/>
    </row>
    <row r="692" ht="15.0" customHeight="1">
      <c r="A692" s="284" t="s">
        <v>1172</v>
      </c>
      <c r="B692" s="284" t="s">
        <v>3202</v>
      </c>
      <c r="C692" s="858" t="s">
        <v>174</v>
      </c>
      <c r="D692" s="858" t="s">
        <v>954</v>
      </c>
      <c r="E692" s="858"/>
      <c r="F692" s="3"/>
    </row>
    <row r="693" ht="15.0" customHeight="1">
      <c r="A693" s="284" t="s">
        <v>1128</v>
      </c>
      <c r="B693" s="284" t="s">
        <v>3203</v>
      </c>
      <c r="C693" s="858" t="s">
        <v>174</v>
      </c>
      <c r="D693" s="858" t="s">
        <v>949</v>
      </c>
      <c r="E693" s="858"/>
      <c r="F693" s="3"/>
    </row>
    <row r="694" ht="15.0" customHeight="1">
      <c r="A694" s="284" t="s">
        <v>1178</v>
      </c>
      <c r="B694" s="284" t="s">
        <v>3204</v>
      </c>
      <c r="C694" s="858" t="s">
        <v>174</v>
      </c>
      <c r="D694" s="858" t="s">
        <v>954</v>
      </c>
      <c r="E694" s="858"/>
      <c r="F694" s="3"/>
    </row>
    <row r="695" ht="15.0" customHeight="1">
      <c r="A695" s="284" t="s">
        <v>1195</v>
      </c>
      <c r="B695" s="284" t="s">
        <v>3205</v>
      </c>
      <c r="C695" s="858" t="s">
        <v>174</v>
      </c>
      <c r="D695" s="858" t="s">
        <v>954</v>
      </c>
      <c r="E695" s="858"/>
      <c r="F695" s="3"/>
    </row>
    <row r="696" ht="15.0" customHeight="1">
      <c r="A696" s="284" t="s">
        <v>1167</v>
      </c>
      <c r="B696" s="284" t="s">
        <v>3206</v>
      </c>
      <c r="C696" s="858" t="s">
        <v>174</v>
      </c>
      <c r="D696" s="858" t="s">
        <v>952</v>
      </c>
      <c r="E696" s="858"/>
      <c r="F696" s="3"/>
    </row>
    <row r="697" ht="15.0" customHeight="1">
      <c r="A697" s="284" t="s">
        <v>1146</v>
      </c>
      <c r="B697" s="284" t="s">
        <v>3207</v>
      </c>
      <c r="C697" s="858" t="s">
        <v>174</v>
      </c>
      <c r="D697" s="858" t="s">
        <v>952</v>
      </c>
      <c r="E697" s="858"/>
      <c r="F697" s="3"/>
    </row>
    <row r="698" ht="15.0" customHeight="1">
      <c r="A698" s="284" t="s">
        <v>1149</v>
      </c>
      <c r="B698" s="284" t="s">
        <v>3208</v>
      </c>
      <c r="C698" s="858" t="s">
        <v>174</v>
      </c>
      <c r="D698" s="858" t="s">
        <v>952</v>
      </c>
      <c r="E698" s="858"/>
      <c r="F698" s="3"/>
    </row>
    <row r="699" ht="15.0" customHeight="1">
      <c r="A699" s="284" t="s">
        <v>1152</v>
      </c>
      <c r="B699" s="284" t="s">
        <v>3209</v>
      </c>
      <c r="C699" s="858" t="s">
        <v>174</v>
      </c>
      <c r="D699" s="858" t="s">
        <v>952</v>
      </c>
      <c r="E699" s="858"/>
      <c r="F699" s="3"/>
    </row>
    <row r="700" ht="15.0" customHeight="1">
      <c r="A700" s="284" t="s">
        <v>1196</v>
      </c>
      <c r="B700" s="284" t="s">
        <v>3210</v>
      </c>
      <c r="C700" s="858" t="s">
        <v>174</v>
      </c>
      <c r="D700" s="858" t="s">
        <v>955</v>
      </c>
      <c r="E700" s="858"/>
      <c r="F700" s="3"/>
    </row>
    <row r="701" ht="15.0" customHeight="1">
      <c r="A701" s="284" t="s">
        <v>1140</v>
      </c>
      <c r="B701" s="284" t="s">
        <v>3211</v>
      </c>
      <c r="C701" s="858" t="s">
        <v>174</v>
      </c>
      <c r="D701" s="858" t="s">
        <v>949</v>
      </c>
      <c r="E701" s="858"/>
      <c r="F701" s="3"/>
    </row>
    <row r="702" ht="15.0" customHeight="1">
      <c r="A702" s="284" t="s">
        <v>1164</v>
      </c>
      <c r="B702" s="284" t="s">
        <v>3212</v>
      </c>
      <c r="C702" s="858" t="s">
        <v>174</v>
      </c>
      <c r="D702" s="858" t="s">
        <v>952</v>
      </c>
      <c r="E702" s="858"/>
      <c r="F702" s="3"/>
    </row>
    <row r="703" ht="15.0" customHeight="1">
      <c r="A703" s="284" t="s">
        <v>1190</v>
      </c>
      <c r="B703" s="284" t="s">
        <v>3213</v>
      </c>
      <c r="C703" s="858" t="s">
        <v>174</v>
      </c>
      <c r="D703" s="858" t="s">
        <v>954</v>
      </c>
      <c r="E703" s="858"/>
      <c r="F703" s="3"/>
    </row>
    <row r="704" ht="15.0" customHeight="1">
      <c r="A704" s="284" t="s">
        <v>1131</v>
      </c>
      <c r="B704" s="284" t="s">
        <v>3214</v>
      </c>
      <c r="C704" s="858" t="s">
        <v>174</v>
      </c>
      <c r="D704" s="858" t="s">
        <v>949</v>
      </c>
      <c r="E704" s="858"/>
      <c r="F704" s="3"/>
    </row>
    <row r="705" ht="15.0" customHeight="1">
      <c r="A705" s="284" t="s">
        <v>1155</v>
      </c>
      <c r="B705" s="284" t="s">
        <v>3215</v>
      </c>
      <c r="C705" s="858" t="s">
        <v>174</v>
      </c>
      <c r="D705" s="858" t="s">
        <v>952</v>
      </c>
      <c r="E705" s="858"/>
      <c r="F705" s="3"/>
    </row>
    <row r="706" ht="15.0" customHeight="1">
      <c r="A706" s="284" t="s">
        <v>1181</v>
      </c>
      <c r="B706" s="284" t="s">
        <v>3216</v>
      </c>
      <c r="C706" s="858" t="s">
        <v>174</v>
      </c>
      <c r="D706" s="858" t="s">
        <v>954</v>
      </c>
      <c r="E706" s="858"/>
      <c r="F706" s="3"/>
    </row>
    <row r="707" ht="15.0" customHeight="1">
      <c r="A707" s="284" t="s">
        <v>1143</v>
      </c>
      <c r="B707" s="284" t="s">
        <v>3217</v>
      </c>
      <c r="C707" s="858" t="s">
        <v>174</v>
      </c>
      <c r="D707" s="858" t="s">
        <v>949</v>
      </c>
      <c r="E707" s="858"/>
      <c r="F707" s="3"/>
    </row>
    <row r="708" ht="15.0" customHeight="1">
      <c r="A708" s="284" t="s">
        <v>1169</v>
      </c>
      <c r="B708" s="284" t="s">
        <v>3218</v>
      </c>
      <c r="C708" s="858"/>
      <c r="D708" s="858"/>
      <c r="E708" s="858"/>
      <c r="F708" s="3"/>
    </row>
    <row r="709" ht="15.0" customHeight="1">
      <c r="A709" s="284" t="s">
        <v>1192</v>
      </c>
      <c r="B709" s="284" t="s">
        <v>3219</v>
      </c>
      <c r="C709" s="858"/>
      <c r="D709" s="858"/>
      <c r="E709" s="858"/>
      <c r="F709" s="3"/>
    </row>
    <row r="710" ht="15.0" customHeight="1">
      <c r="A710" s="284" t="s">
        <v>3220</v>
      </c>
      <c r="B710" s="284" t="s">
        <v>3221</v>
      </c>
      <c r="C710" s="858" t="s">
        <v>178</v>
      </c>
      <c r="D710" s="858" t="s">
        <v>180</v>
      </c>
      <c r="E710" s="858"/>
      <c r="F710" s="3"/>
    </row>
    <row r="711" ht="15.0" customHeight="1">
      <c r="A711" s="284" t="s">
        <v>3222</v>
      </c>
      <c r="B711" s="284" t="s">
        <v>3223</v>
      </c>
      <c r="C711" s="858"/>
      <c r="D711" s="858"/>
      <c r="E711" s="858"/>
      <c r="F711" s="3"/>
    </row>
    <row r="712" ht="15.0" customHeight="1">
      <c r="A712" s="284" t="s">
        <v>1134</v>
      </c>
      <c r="B712" s="284" t="s">
        <v>3226</v>
      </c>
      <c r="C712" s="858" t="s">
        <v>174</v>
      </c>
      <c r="D712" s="858" t="s">
        <v>949</v>
      </c>
      <c r="E712" s="858"/>
      <c r="F712" s="3"/>
    </row>
    <row r="713" ht="15.0" customHeight="1">
      <c r="A713" s="284" t="s">
        <v>1158</v>
      </c>
      <c r="B713" s="284" t="s">
        <v>3227</v>
      </c>
      <c r="C713" s="858" t="s">
        <v>174</v>
      </c>
      <c r="D713" s="858" t="s">
        <v>952</v>
      </c>
      <c r="E713" s="858"/>
      <c r="F713" s="3"/>
    </row>
    <row r="714" ht="15.0" customHeight="1">
      <c r="A714" s="284" t="s">
        <v>1184</v>
      </c>
      <c r="B714" s="284" t="s">
        <v>3228</v>
      </c>
      <c r="C714" s="858" t="s">
        <v>174</v>
      </c>
      <c r="D714" s="858" t="s">
        <v>954</v>
      </c>
      <c r="E714" s="858"/>
      <c r="F714" s="3"/>
    </row>
    <row r="715" ht="15.0" customHeight="1">
      <c r="A715" s="284" t="s">
        <v>1137</v>
      </c>
      <c r="B715" s="284" t="s">
        <v>3229</v>
      </c>
      <c r="C715" s="858" t="s">
        <v>174</v>
      </c>
      <c r="D715" s="858" t="s">
        <v>949</v>
      </c>
      <c r="E715" s="858"/>
      <c r="F715" s="3"/>
    </row>
    <row r="716" ht="15.0" customHeight="1">
      <c r="A716" s="284" t="s">
        <v>1161</v>
      </c>
      <c r="B716" s="284" t="s">
        <v>3230</v>
      </c>
      <c r="C716" s="858" t="s">
        <v>174</v>
      </c>
      <c r="D716" s="858" t="s">
        <v>952</v>
      </c>
      <c r="E716" s="858"/>
      <c r="F716" s="3"/>
    </row>
    <row r="717" ht="15.0" customHeight="1">
      <c r="A717" s="284" t="s">
        <v>1187</v>
      </c>
      <c r="B717" s="284" t="s">
        <v>3231</v>
      </c>
      <c r="C717" s="858" t="s">
        <v>174</v>
      </c>
      <c r="D717" s="858" t="s">
        <v>954</v>
      </c>
      <c r="E717" s="858"/>
      <c r="F717" s="3"/>
    </row>
    <row r="718" ht="15.0" customHeight="1">
      <c r="A718" s="284" t="s">
        <v>3232</v>
      </c>
      <c r="B718" s="284" t="s">
        <v>3233</v>
      </c>
      <c r="C718" s="858" t="s">
        <v>178</v>
      </c>
      <c r="D718" s="858" t="s">
        <v>181</v>
      </c>
      <c r="E718" s="858"/>
      <c r="F718" s="3"/>
    </row>
    <row r="719" ht="15.0" customHeight="1">
      <c r="A719" s="284" t="s">
        <v>3234</v>
      </c>
      <c r="B719" s="284" t="s">
        <v>3235</v>
      </c>
      <c r="C719" s="858" t="s">
        <v>178</v>
      </c>
      <c r="D719" s="858" t="s">
        <v>181</v>
      </c>
      <c r="E719" s="858"/>
      <c r="F719" s="3"/>
    </row>
    <row r="720" ht="15.0" customHeight="1">
      <c r="A720" s="284" t="s">
        <v>3236</v>
      </c>
      <c r="B720" s="284" t="s">
        <v>3237</v>
      </c>
      <c r="C720" s="858" t="s">
        <v>178</v>
      </c>
      <c r="D720" s="858" t="s">
        <v>182</v>
      </c>
      <c r="E720" s="858"/>
      <c r="F720" s="3"/>
    </row>
    <row r="721" ht="15.0" customHeight="1">
      <c r="A721" s="284" t="s">
        <v>3238</v>
      </c>
      <c r="B721" s="284" t="s">
        <v>3239</v>
      </c>
      <c r="C721" s="858" t="s">
        <v>178</v>
      </c>
      <c r="D721" s="858" t="s">
        <v>182</v>
      </c>
      <c r="E721" s="858"/>
      <c r="F721" s="3"/>
    </row>
    <row r="722" ht="15.0" customHeight="1">
      <c r="A722" s="284" t="s">
        <v>3240</v>
      </c>
      <c r="B722" s="284" t="s">
        <v>3241</v>
      </c>
      <c r="C722" s="858" t="s">
        <v>178</v>
      </c>
      <c r="D722" s="858" t="s">
        <v>183</v>
      </c>
      <c r="E722" s="858"/>
      <c r="F722" s="3"/>
    </row>
    <row r="723" ht="15.0" customHeight="1">
      <c r="A723" s="284" t="s">
        <v>3242</v>
      </c>
      <c r="B723" s="284" t="s">
        <v>3243</v>
      </c>
      <c r="C723" s="858" t="s">
        <v>178</v>
      </c>
      <c r="D723" s="858" t="s">
        <v>184</v>
      </c>
      <c r="E723" s="858"/>
      <c r="F723" s="3"/>
    </row>
    <row r="724" ht="15.0" customHeight="1">
      <c r="A724" s="284" t="s">
        <v>3244</v>
      </c>
      <c r="B724" s="284" t="s">
        <v>3245</v>
      </c>
      <c r="C724" s="858" t="s">
        <v>178</v>
      </c>
      <c r="D724" s="858" t="s">
        <v>185</v>
      </c>
      <c r="E724" s="858"/>
      <c r="F724" s="3"/>
    </row>
    <row r="725" ht="15.0" customHeight="1">
      <c r="A725" s="284" t="s">
        <v>3246</v>
      </c>
      <c r="B725" s="284" t="s">
        <v>3247</v>
      </c>
      <c r="C725" s="858" t="s">
        <v>178</v>
      </c>
      <c r="D725" s="858" t="s">
        <v>186</v>
      </c>
      <c r="E725" s="858"/>
      <c r="F725" s="3"/>
    </row>
    <row r="726" ht="15.0" customHeight="1">
      <c r="A726" s="284" t="s">
        <v>3248</v>
      </c>
      <c r="B726" s="284" t="s">
        <v>3249</v>
      </c>
      <c r="C726" s="858" t="s">
        <v>178</v>
      </c>
      <c r="D726" s="858" t="s">
        <v>188</v>
      </c>
      <c r="E726" s="858"/>
      <c r="F726" s="3"/>
    </row>
    <row r="727" ht="15.0" customHeight="1">
      <c r="A727" s="284" t="s">
        <v>3250</v>
      </c>
      <c r="B727" s="284" t="s">
        <v>3251</v>
      </c>
      <c r="C727" s="858" t="s">
        <v>178</v>
      </c>
      <c r="D727" s="858" t="s">
        <v>189</v>
      </c>
      <c r="E727" s="858"/>
      <c r="F727" s="3"/>
    </row>
    <row r="728" ht="15.0" customHeight="1">
      <c r="A728" s="284" t="s">
        <v>3286</v>
      </c>
      <c r="B728" s="284" t="s">
        <v>3287</v>
      </c>
      <c r="C728" s="858"/>
      <c r="D728" s="858"/>
      <c r="E728" s="858"/>
      <c r="F728" s="3"/>
    </row>
    <row r="729" ht="15.0" customHeight="1">
      <c r="A729" s="284" t="s">
        <v>3290</v>
      </c>
      <c r="B729" s="284" t="s">
        <v>3291</v>
      </c>
      <c r="C729" s="858"/>
      <c r="D729" s="858"/>
      <c r="E729" s="858"/>
      <c r="F729" s="3"/>
    </row>
    <row r="730" ht="15.0" customHeight="1">
      <c r="A730" s="284" t="s">
        <v>3294</v>
      </c>
      <c r="B730" s="284" t="s">
        <v>3295</v>
      </c>
      <c r="C730" s="858"/>
      <c r="D730" s="858"/>
      <c r="E730" s="858"/>
      <c r="F730" s="3"/>
    </row>
    <row r="731" ht="15.0" customHeight="1">
      <c r="A731" s="284" t="s">
        <v>3302</v>
      </c>
      <c r="B731" s="284" t="s">
        <v>3303</v>
      </c>
      <c r="C731" s="858"/>
      <c r="D731" s="858"/>
      <c r="E731" s="858"/>
      <c r="F731" s="3"/>
    </row>
    <row r="732" ht="15.0" customHeight="1">
      <c r="A732" s="284" t="s">
        <v>3308</v>
      </c>
      <c r="B732" s="284" t="s">
        <v>3309</v>
      </c>
      <c r="C732" s="858"/>
      <c r="D732" s="858"/>
      <c r="E732" s="858"/>
      <c r="F732" s="3"/>
    </row>
    <row r="733" ht="15.0" customHeight="1">
      <c r="A733" s="284" t="s">
        <v>3320</v>
      </c>
      <c r="B733" s="284" t="s">
        <v>3321</v>
      </c>
      <c r="C733" s="858" t="s">
        <v>90</v>
      </c>
      <c r="D733" s="858" t="s">
        <v>105</v>
      </c>
      <c r="E733" s="858" t="s">
        <v>3459</v>
      </c>
      <c r="F733" s="3"/>
    </row>
    <row r="734" ht="15.0" customHeight="1">
      <c r="A734" s="284" t="s">
        <v>3324</v>
      </c>
      <c r="B734" s="284" t="s">
        <v>3325</v>
      </c>
      <c r="C734" s="858" t="s">
        <v>90</v>
      </c>
      <c r="D734" s="858" t="s">
        <v>106</v>
      </c>
      <c r="E734" s="858" t="s">
        <v>3459</v>
      </c>
      <c r="F734" s="3"/>
    </row>
    <row r="735" ht="15.0" customHeight="1">
      <c r="A735" s="284" t="s">
        <v>3328</v>
      </c>
      <c r="B735" s="284" t="s">
        <v>3329</v>
      </c>
      <c r="C735" s="858" t="s">
        <v>151</v>
      </c>
      <c r="D735" s="858" t="s">
        <v>105</v>
      </c>
      <c r="E735" s="858" t="s">
        <v>3459</v>
      </c>
      <c r="F735" s="3"/>
    </row>
    <row r="736" ht="15.0" customHeight="1">
      <c r="A736" s="284" t="s">
        <v>3332</v>
      </c>
      <c r="B736" s="284" t="s">
        <v>3333</v>
      </c>
      <c r="C736" s="858" t="s">
        <v>151</v>
      </c>
      <c r="D736" s="858" t="s">
        <v>106</v>
      </c>
      <c r="E736" s="858" t="s">
        <v>3459</v>
      </c>
      <c r="F736" s="3"/>
    </row>
    <row r="737" ht="15.0" customHeight="1">
      <c r="A737" s="284" t="s">
        <v>3352</v>
      </c>
      <c r="B737" s="284" t="s">
        <v>3351</v>
      </c>
      <c r="C737" s="858"/>
      <c r="D737" s="858"/>
      <c r="E737" s="858"/>
      <c r="F737" s="3"/>
    </row>
    <row r="738" ht="15.0" customHeight="1">
      <c r="A738" s="284" t="s">
        <v>3355</v>
      </c>
      <c r="B738" s="284" t="s">
        <v>3356</v>
      </c>
      <c r="C738" s="858"/>
      <c r="D738" s="858"/>
      <c r="E738" s="858"/>
      <c r="F738" s="3"/>
    </row>
    <row r="739" ht="15.0" customHeight="1">
      <c r="A739" s="284" t="s">
        <v>3359</v>
      </c>
      <c r="B739" s="284" t="s">
        <v>3360</v>
      </c>
      <c r="C739" s="858" t="s">
        <v>90</v>
      </c>
      <c r="D739" s="858" t="s">
        <v>112</v>
      </c>
      <c r="E739" s="858"/>
      <c r="F739" s="3"/>
    </row>
    <row r="740" ht="15.0" customHeight="1">
      <c r="A740" s="284" t="s">
        <v>3363</v>
      </c>
      <c r="B740" s="284" t="s">
        <v>3364</v>
      </c>
      <c r="C740" s="858" t="s">
        <v>151</v>
      </c>
      <c r="D740" s="858" t="s">
        <v>112</v>
      </c>
      <c r="E740" s="858"/>
      <c r="F740" s="3"/>
    </row>
    <row r="741" ht="15.0" customHeight="1">
      <c r="A741" s="284" t="s">
        <v>3370</v>
      </c>
      <c r="B741" s="284" t="s">
        <v>3371</v>
      </c>
      <c r="C741" s="858"/>
      <c r="D741" s="858"/>
      <c r="E741" s="858"/>
      <c r="F741" s="3"/>
    </row>
    <row r="742" ht="15.0" customHeight="1">
      <c r="A742" s="284" t="s">
        <v>3376</v>
      </c>
      <c r="B742" s="284" t="s">
        <v>3375</v>
      </c>
      <c r="C742" s="858" t="s">
        <v>1059</v>
      </c>
      <c r="D742" s="858" t="s">
        <v>210</v>
      </c>
      <c r="E742" s="858"/>
      <c r="F742" s="3"/>
    </row>
    <row r="743" ht="15.0" customHeight="1">
      <c r="A743" s="284" t="s">
        <v>3385</v>
      </c>
      <c r="B743" s="284" t="s">
        <v>3386</v>
      </c>
      <c r="C743" s="858" t="s">
        <v>1059</v>
      </c>
      <c r="D743" s="858" t="s">
        <v>216</v>
      </c>
      <c r="E743" s="858"/>
      <c r="F743" s="3"/>
    </row>
    <row r="744" ht="15.0" customHeight="1">
      <c r="A744" s="284" t="s">
        <v>3387</v>
      </c>
      <c r="B744" s="284" t="s">
        <v>3388</v>
      </c>
      <c r="C744" s="858" t="s">
        <v>1059</v>
      </c>
      <c r="D744" s="858" t="s">
        <v>231</v>
      </c>
      <c r="E744" s="858"/>
      <c r="F744" s="3"/>
    </row>
    <row r="745" ht="15.0" customHeight="1">
      <c r="A745" s="284" t="s">
        <v>3391</v>
      </c>
      <c r="B745" s="284" t="s">
        <v>3392</v>
      </c>
      <c r="C745" s="858" t="s">
        <v>90</v>
      </c>
      <c r="D745" s="858" t="s">
        <v>842</v>
      </c>
      <c r="E745" s="858"/>
      <c r="F745" s="3"/>
    </row>
    <row r="746" ht="15.0" customHeight="1">
      <c r="A746" s="284" t="s">
        <v>3397</v>
      </c>
      <c r="B746" s="284" t="s">
        <v>3396</v>
      </c>
      <c r="C746" s="858" t="s">
        <v>1059</v>
      </c>
      <c r="D746" s="858" t="s">
        <v>210</v>
      </c>
      <c r="E746" s="858"/>
      <c r="F746" s="3"/>
    </row>
    <row r="747" ht="15.0" customHeight="1">
      <c r="A747" s="284" t="s">
        <v>3398</v>
      </c>
      <c r="B747" s="284" t="s">
        <v>3492</v>
      </c>
      <c r="C747" s="858" t="s">
        <v>1059</v>
      </c>
      <c r="D747" s="858" t="s">
        <v>216</v>
      </c>
      <c r="E747" s="858"/>
      <c r="F747" s="3"/>
    </row>
    <row r="748" ht="15.0" customHeight="1">
      <c r="A748" s="861" t="s">
        <v>3403</v>
      </c>
      <c r="B748" s="861" t="s">
        <v>3404</v>
      </c>
      <c r="C748" s="862" t="s">
        <v>899</v>
      </c>
      <c r="D748" s="862" t="s">
        <v>113</v>
      </c>
      <c r="E748" s="862"/>
      <c r="F748" s="3"/>
    </row>
    <row r="749" ht="15.0" customHeight="1">
      <c r="A749" s="284" t="s">
        <v>1271</v>
      </c>
      <c r="B749" s="5" t="s">
        <v>3493</v>
      </c>
      <c r="C749" s="858" t="s">
        <v>90</v>
      </c>
      <c r="D749" s="858" t="s">
        <v>148</v>
      </c>
      <c r="E749" s="858"/>
      <c r="F749" s="3"/>
    </row>
    <row r="750" ht="15.0" customHeight="1">
      <c r="A750" s="284" t="s">
        <v>1273</v>
      </c>
      <c r="B750" s="5" t="s">
        <v>3494</v>
      </c>
      <c r="C750" s="858" t="s">
        <v>151</v>
      </c>
      <c r="D750" s="858" t="s">
        <v>148</v>
      </c>
      <c r="E750" s="858"/>
      <c r="F750" s="3"/>
    </row>
    <row r="751" ht="15.0" customHeight="1">
      <c r="A751" s="284" t="s">
        <v>3379</v>
      </c>
      <c r="B751" s="284" t="s">
        <v>3380</v>
      </c>
      <c r="C751" s="858" t="s">
        <v>90</v>
      </c>
      <c r="D751" s="858" t="s">
        <v>814</v>
      </c>
      <c r="E751" s="858"/>
      <c r="F751" s="3"/>
    </row>
    <row r="752" ht="15.0" customHeight="1">
      <c r="A752" s="284" t="s">
        <v>3381</v>
      </c>
      <c r="B752" s="284" t="s">
        <v>3382</v>
      </c>
      <c r="C752" s="858" t="s">
        <v>151</v>
      </c>
      <c r="D752" s="858" t="s">
        <v>814</v>
      </c>
      <c r="E752" s="858"/>
      <c r="F752" s="3"/>
    </row>
    <row r="753" ht="15.0" customHeight="1">
      <c r="A753" s="284" t="s">
        <v>1666</v>
      </c>
      <c r="B753" s="284" t="s">
        <v>1667</v>
      </c>
      <c r="C753" s="858" t="s">
        <v>174</v>
      </c>
      <c r="D753" s="858" t="s">
        <v>984</v>
      </c>
      <c r="E753" s="858"/>
      <c r="F753" s="3"/>
    </row>
    <row r="754" ht="15.0" customHeight="1">
      <c r="A754" s="284" t="s">
        <v>2651</v>
      </c>
      <c r="B754" s="284" t="s">
        <v>2652</v>
      </c>
      <c r="C754" s="858" t="s">
        <v>899</v>
      </c>
      <c r="D754" s="858" t="s">
        <v>902</v>
      </c>
      <c r="E754" s="858" t="s">
        <v>3459</v>
      </c>
      <c r="F754" s="3"/>
    </row>
    <row r="755" ht="15.0" customHeight="1">
      <c r="A755" s="284" t="s">
        <v>3094</v>
      </c>
      <c r="B755" s="284" t="s">
        <v>3102</v>
      </c>
      <c r="C755" s="858" t="s">
        <v>899</v>
      </c>
      <c r="D755" s="858" t="s">
        <v>902</v>
      </c>
      <c r="E755" s="858"/>
      <c r="F755" s="3"/>
    </row>
    <row r="756" ht="15.0" customHeight="1">
      <c r="A756" s="284" t="s">
        <v>1259</v>
      </c>
      <c r="B756" s="284" t="s">
        <v>1260</v>
      </c>
      <c r="C756" s="858" t="s">
        <v>90</v>
      </c>
      <c r="D756" s="858" t="s">
        <v>115</v>
      </c>
      <c r="E756" s="858"/>
      <c r="F756" s="3"/>
    </row>
    <row r="757" ht="15.0" customHeight="1">
      <c r="A757" s="284" t="s">
        <v>1344</v>
      </c>
      <c r="B757" s="284" t="s">
        <v>1345</v>
      </c>
      <c r="C757" s="858" t="s">
        <v>161</v>
      </c>
      <c r="D757" s="858" t="s">
        <v>122</v>
      </c>
      <c r="E757" s="858"/>
      <c r="F757" s="3"/>
    </row>
    <row r="758" ht="15.0" customHeight="1">
      <c r="A758" s="284" t="s">
        <v>1590</v>
      </c>
      <c r="B758" s="284" t="s">
        <v>1591</v>
      </c>
      <c r="C758" s="858" t="s">
        <v>1025</v>
      </c>
      <c r="D758" s="858" t="s">
        <v>129</v>
      </c>
      <c r="E758" s="858"/>
      <c r="F758" s="3"/>
    </row>
    <row r="759" ht="15.0" customHeight="1">
      <c r="A759" s="284" t="s">
        <v>1714</v>
      </c>
      <c r="B759" s="284" t="s">
        <v>1715</v>
      </c>
      <c r="C759" s="858"/>
      <c r="D759" s="858"/>
      <c r="E759" s="858"/>
      <c r="F759" s="3"/>
    </row>
    <row r="760" ht="15.0" customHeight="1">
      <c r="A760" s="284" t="s">
        <v>1742</v>
      </c>
      <c r="B760" s="284" t="s">
        <v>3495</v>
      </c>
      <c r="C760" s="858"/>
      <c r="D760" s="858"/>
      <c r="E760" s="858"/>
      <c r="F760" s="3"/>
    </row>
    <row r="761" ht="15.0" customHeight="1">
      <c r="A761" s="284" t="s">
        <v>2278</v>
      </c>
      <c r="B761" s="284" t="s">
        <v>2279</v>
      </c>
      <c r="C761" s="858" t="s">
        <v>3407</v>
      </c>
      <c r="D761" s="858" t="s">
        <v>52</v>
      </c>
      <c r="E761" s="858"/>
      <c r="F761" s="3"/>
    </row>
    <row r="762" ht="15.0" customHeight="1">
      <c r="A762" s="284" t="s">
        <v>2304</v>
      </c>
      <c r="B762" s="284" t="s">
        <v>2305</v>
      </c>
      <c r="C762" s="858" t="s">
        <v>3407</v>
      </c>
      <c r="D762" s="858" t="s">
        <v>52</v>
      </c>
      <c r="E762" s="858"/>
      <c r="F762" s="3"/>
    </row>
    <row r="763" ht="15.0" customHeight="1">
      <c r="A763" s="284" t="s">
        <v>2617</v>
      </c>
      <c r="B763" s="284" t="s">
        <v>2618</v>
      </c>
      <c r="C763" s="858"/>
      <c r="D763" s="858"/>
      <c r="E763" s="858"/>
      <c r="F763" s="3"/>
    </row>
    <row r="764" ht="15.0" customHeight="1">
      <c r="A764" s="284" t="s">
        <v>3060</v>
      </c>
      <c r="B764" s="284" t="s">
        <v>3061</v>
      </c>
      <c r="C764" s="858"/>
      <c r="D764" s="858"/>
      <c r="E764" s="858"/>
      <c r="F764" s="3"/>
    </row>
    <row r="765" ht="15.0" customHeight="1">
      <c r="A765" s="284" t="s">
        <v>3143</v>
      </c>
      <c r="B765" s="284" t="s">
        <v>3144</v>
      </c>
      <c r="C765" s="858" t="s">
        <v>161</v>
      </c>
      <c r="D765" s="858" t="s">
        <v>162</v>
      </c>
      <c r="E765" s="858"/>
      <c r="F765" s="3"/>
    </row>
    <row r="766" ht="15.0" customHeight="1">
      <c r="A766" s="284" t="s">
        <v>1261</v>
      </c>
      <c r="B766" s="284" t="s">
        <v>1262</v>
      </c>
      <c r="C766" s="858" t="s">
        <v>151</v>
      </c>
      <c r="D766" s="858" t="s">
        <v>115</v>
      </c>
      <c r="E766" s="858"/>
      <c r="F766" s="3"/>
    </row>
    <row r="767" ht="15.0" customHeight="1">
      <c r="A767" s="284" t="s">
        <v>1712</v>
      </c>
      <c r="B767" s="284" t="s">
        <v>1713</v>
      </c>
      <c r="C767" s="858" t="s">
        <v>1025</v>
      </c>
      <c r="D767" s="858" t="s">
        <v>140</v>
      </c>
      <c r="E767" s="858"/>
      <c r="F767" s="3"/>
    </row>
    <row r="768" ht="15.0" customHeight="1">
      <c r="A768" s="284" t="s">
        <v>2029</v>
      </c>
      <c r="B768" s="284" t="s">
        <v>2030</v>
      </c>
      <c r="C768" s="858" t="s">
        <v>3407</v>
      </c>
      <c r="D768" s="858" t="s">
        <v>37</v>
      </c>
      <c r="E768" s="858"/>
      <c r="F768" s="3"/>
    </row>
    <row r="769" ht="15.0" customHeight="1">
      <c r="A769" s="284" t="s">
        <v>2035</v>
      </c>
      <c r="B769" s="284" t="s">
        <v>2036</v>
      </c>
      <c r="C769" s="858" t="s">
        <v>3407</v>
      </c>
      <c r="D769" s="858" t="s">
        <v>37</v>
      </c>
      <c r="E769" s="858"/>
      <c r="F769" s="3"/>
    </row>
    <row r="770" ht="15.0" customHeight="1">
      <c r="A770" s="284" t="s">
        <v>2085</v>
      </c>
      <c r="B770" s="284" t="s">
        <v>2086</v>
      </c>
      <c r="C770" s="858" t="s">
        <v>3407</v>
      </c>
      <c r="D770" s="858" t="s">
        <v>45</v>
      </c>
      <c r="E770" s="858"/>
      <c r="F770" s="3"/>
    </row>
    <row r="771" ht="15.0" customHeight="1">
      <c r="A771" s="284" t="s">
        <v>2089</v>
      </c>
      <c r="B771" s="284" t="s">
        <v>2090</v>
      </c>
      <c r="C771" s="858" t="s">
        <v>3407</v>
      </c>
      <c r="D771" s="858" t="s">
        <v>45</v>
      </c>
      <c r="E771" s="858"/>
      <c r="F771" s="3"/>
    </row>
    <row r="772" ht="15.0" customHeight="1">
      <c r="A772" s="284" t="s">
        <v>2412</v>
      </c>
      <c r="B772" s="284" t="s">
        <v>2413</v>
      </c>
      <c r="C772" s="858" t="s">
        <v>3407</v>
      </c>
      <c r="D772" s="858" t="s">
        <v>81</v>
      </c>
      <c r="E772" s="858"/>
      <c r="F772" s="3"/>
    </row>
    <row r="773" ht="15.0" customHeight="1">
      <c r="A773" s="284" t="s">
        <v>2416</v>
      </c>
      <c r="B773" s="284" t="s">
        <v>2417</v>
      </c>
      <c r="C773" s="858" t="s">
        <v>3407</v>
      </c>
      <c r="D773" s="858" t="s">
        <v>81</v>
      </c>
      <c r="E773" s="858"/>
      <c r="F773" s="3"/>
    </row>
    <row r="774" ht="15.0" customHeight="1">
      <c r="A774" s="284" t="s">
        <v>2637</v>
      </c>
      <c r="B774" s="284" t="s">
        <v>2638</v>
      </c>
      <c r="C774" s="858" t="s">
        <v>151</v>
      </c>
      <c r="D774" s="858" t="s">
        <v>104</v>
      </c>
      <c r="E774" s="858" t="s">
        <v>3496</v>
      </c>
      <c r="F774" s="3"/>
    </row>
    <row r="775" ht="15.0" customHeight="1">
      <c r="A775" s="284" t="s">
        <v>3080</v>
      </c>
      <c r="B775" s="284" t="s">
        <v>3081</v>
      </c>
      <c r="C775" s="858" t="s">
        <v>151</v>
      </c>
      <c r="D775" s="858" t="s">
        <v>104</v>
      </c>
      <c r="E775" s="858"/>
      <c r="F775" s="3"/>
    </row>
    <row r="776" ht="15.0" customHeight="1">
      <c r="A776" s="284" t="s">
        <v>2661</v>
      </c>
      <c r="B776" s="284" t="s">
        <v>2662</v>
      </c>
      <c r="C776" s="858" t="s">
        <v>151</v>
      </c>
      <c r="D776" s="858" t="s">
        <v>106</v>
      </c>
      <c r="E776" s="858" t="s">
        <v>3459</v>
      </c>
      <c r="F776" s="3"/>
    </row>
    <row r="777" ht="15.0" customHeight="1">
      <c r="A777" s="284" t="s">
        <v>2665</v>
      </c>
      <c r="B777" s="284" t="s">
        <v>2666</v>
      </c>
      <c r="C777" s="858" t="s">
        <v>151</v>
      </c>
      <c r="D777" s="858" t="s">
        <v>106</v>
      </c>
      <c r="E777" s="858" t="s">
        <v>3459</v>
      </c>
      <c r="F777" s="3"/>
    </row>
    <row r="778" ht="15.0" customHeight="1">
      <c r="A778" s="284" t="s">
        <v>3103</v>
      </c>
      <c r="B778" s="284" t="s">
        <v>3104</v>
      </c>
      <c r="C778" s="858" t="s">
        <v>151</v>
      </c>
      <c r="D778" s="858" t="s">
        <v>106</v>
      </c>
      <c r="E778" s="858"/>
      <c r="F778" s="3"/>
    </row>
    <row r="779" ht="15.0" customHeight="1">
      <c r="A779" s="284" t="s">
        <v>3177</v>
      </c>
      <c r="B779" s="284" t="s">
        <v>3178</v>
      </c>
      <c r="C779" s="858" t="s">
        <v>1025</v>
      </c>
      <c r="D779" s="858" t="s">
        <v>1030</v>
      </c>
      <c r="E779" s="858"/>
      <c r="F779" s="3"/>
    </row>
    <row r="780" ht="15.0" customHeight="1">
      <c r="A780" s="284" t="s">
        <v>3383</v>
      </c>
      <c r="B780" s="284" t="s">
        <v>3384</v>
      </c>
      <c r="C780" s="858" t="s">
        <v>899</v>
      </c>
      <c r="D780" s="858" t="s">
        <v>814</v>
      </c>
      <c r="E780" s="858"/>
      <c r="F780" s="3"/>
    </row>
    <row r="781" ht="15.0" customHeight="1">
      <c r="A781" s="284" t="s">
        <v>2220</v>
      </c>
      <c r="B781" s="284" t="s">
        <v>2221</v>
      </c>
      <c r="C781" s="858" t="s">
        <v>3407</v>
      </c>
      <c r="D781" s="858" t="s">
        <v>40</v>
      </c>
      <c r="E781" s="858"/>
      <c r="F781" s="3"/>
    </row>
    <row r="782" ht="15.0" customHeight="1">
      <c r="A782" s="284" t="s">
        <v>3107</v>
      </c>
      <c r="B782" s="284" t="s">
        <v>3108</v>
      </c>
      <c r="C782" s="858" t="s">
        <v>151</v>
      </c>
      <c r="D782" s="858" t="s">
        <v>106</v>
      </c>
      <c r="E782" s="858"/>
      <c r="F782" s="3"/>
    </row>
    <row r="783" ht="15.0" customHeight="1">
      <c r="A783" s="5" t="s">
        <v>1892</v>
      </c>
      <c r="B783" s="5" t="s">
        <v>3497</v>
      </c>
      <c r="C783" s="858" t="s">
        <v>1025</v>
      </c>
      <c r="D783" s="858" t="s">
        <v>206</v>
      </c>
      <c r="E783" s="858"/>
      <c r="F783" s="3"/>
    </row>
    <row r="784" ht="15.0" customHeight="1">
      <c r="A784" s="284" t="s">
        <v>2366</v>
      </c>
      <c r="B784" s="284" t="s">
        <v>2367</v>
      </c>
      <c r="C784" s="858" t="s">
        <v>3407</v>
      </c>
      <c r="D784" s="858" t="s">
        <v>54</v>
      </c>
      <c r="E784" s="858"/>
      <c r="F784" s="3"/>
    </row>
    <row r="785" ht="15.0" customHeight="1">
      <c r="A785" s="284" t="s">
        <v>1263</v>
      </c>
      <c r="B785" s="284" t="s">
        <v>1264</v>
      </c>
      <c r="C785" s="858" t="s">
        <v>899</v>
      </c>
      <c r="D785" s="858" t="s">
        <v>115</v>
      </c>
      <c r="E785" s="858"/>
      <c r="F785" s="3"/>
    </row>
    <row r="786" ht="15.0" customHeight="1">
      <c r="A786" s="284" t="s">
        <v>2635</v>
      </c>
      <c r="B786" s="284" t="s">
        <v>2636</v>
      </c>
      <c r="C786" s="858" t="s">
        <v>151</v>
      </c>
      <c r="D786" s="858" t="s">
        <v>154</v>
      </c>
      <c r="E786" s="858"/>
      <c r="F786" s="3"/>
    </row>
    <row r="787" ht="15.0" customHeight="1">
      <c r="A787" s="284" t="s">
        <v>3078</v>
      </c>
      <c r="B787" s="284" t="s">
        <v>3079</v>
      </c>
      <c r="C787" s="858" t="s">
        <v>151</v>
      </c>
      <c r="D787" s="858" t="s">
        <v>154</v>
      </c>
      <c r="E787" s="858"/>
      <c r="F787" s="3"/>
    </row>
    <row r="788" ht="15.0" customHeight="1">
      <c r="A788" s="284" t="s">
        <v>2615</v>
      </c>
      <c r="B788" s="284" t="s">
        <v>3498</v>
      </c>
      <c r="C788" s="858" t="s">
        <v>151</v>
      </c>
      <c r="D788" s="858" t="s">
        <v>154</v>
      </c>
      <c r="E788" s="858"/>
      <c r="F788" s="3"/>
    </row>
    <row r="789" ht="15.0" customHeight="1">
      <c r="A789" s="284" t="s">
        <v>3058</v>
      </c>
      <c r="B789" s="284" t="s">
        <v>3499</v>
      </c>
      <c r="C789" s="858" t="s">
        <v>151</v>
      </c>
      <c r="D789" s="858" t="s">
        <v>154</v>
      </c>
      <c r="E789" s="858"/>
      <c r="F789" s="3"/>
    </row>
    <row r="790" ht="15.0" customHeight="1">
      <c r="A790" s="284" t="s">
        <v>1499</v>
      </c>
      <c r="B790" s="284" t="s">
        <v>1500</v>
      </c>
      <c r="C790" s="858" t="s">
        <v>161</v>
      </c>
      <c r="D790" s="858" t="s">
        <v>135</v>
      </c>
      <c r="E790" s="858"/>
      <c r="F790" s="3"/>
    </row>
    <row r="791" ht="15.0" customHeight="1">
      <c r="A791" s="284" t="s">
        <v>1501</v>
      </c>
      <c r="B791" s="284" t="s">
        <v>1502</v>
      </c>
      <c r="C791" s="858" t="s">
        <v>174</v>
      </c>
      <c r="D791" s="858" t="s">
        <v>135</v>
      </c>
      <c r="E791" s="858"/>
      <c r="F791" s="3"/>
    </row>
    <row r="792" ht="15.0" customHeight="1">
      <c r="A792" s="284" t="s">
        <v>1505</v>
      </c>
      <c r="B792" s="284" t="s">
        <v>1506</v>
      </c>
      <c r="C792" s="858" t="s">
        <v>1025</v>
      </c>
      <c r="D792" s="858" t="s">
        <v>135</v>
      </c>
      <c r="E792" s="858"/>
      <c r="F792" s="3"/>
    </row>
    <row r="793" ht="15.0" customHeight="1">
      <c r="A793" s="284" t="s">
        <v>2178</v>
      </c>
      <c r="B793" s="284" t="s">
        <v>2179</v>
      </c>
      <c r="C793" s="858" t="s">
        <v>3407</v>
      </c>
      <c r="D793" s="858" t="s">
        <v>57</v>
      </c>
      <c r="E793" s="858"/>
      <c r="F793" s="3"/>
    </row>
    <row r="794" ht="15.0" customHeight="1">
      <c r="A794" s="284" t="s">
        <v>2372</v>
      </c>
      <c r="B794" s="284" t="s">
        <v>2373</v>
      </c>
      <c r="C794" s="858" t="s">
        <v>3407</v>
      </c>
      <c r="D794" s="858" t="s">
        <v>54</v>
      </c>
      <c r="E794" s="858"/>
      <c r="F794" s="3"/>
    </row>
    <row r="795" ht="15.0" customHeight="1">
      <c r="A795" s="284" t="s">
        <v>3400</v>
      </c>
      <c r="B795" s="284" t="s">
        <v>3401</v>
      </c>
      <c r="C795" s="858" t="s">
        <v>1059</v>
      </c>
      <c r="D795" s="858" t="s">
        <v>210</v>
      </c>
      <c r="E795" s="858"/>
      <c r="F795" s="3"/>
    </row>
    <row r="796" ht="15.0" customHeight="1">
      <c r="A796" s="5" t="s">
        <v>2346</v>
      </c>
      <c r="B796" s="5" t="s">
        <v>3500</v>
      </c>
      <c r="C796" s="858" t="s">
        <v>3407</v>
      </c>
      <c r="D796" s="858" t="s">
        <v>54</v>
      </c>
      <c r="E796" s="858"/>
      <c r="F796" s="3"/>
    </row>
    <row r="797" ht="15.0" customHeight="1">
      <c r="A797" s="284" t="s">
        <v>1804</v>
      </c>
      <c r="B797" s="284" t="s">
        <v>1805</v>
      </c>
      <c r="C797" s="858" t="s">
        <v>1025</v>
      </c>
      <c r="D797" s="858" t="s">
        <v>133</v>
      </c>
      <c r="E797" s="858"/>
      <c r="F797" s="3"/>
    </row>
    <row r="798" ht="15.0" customHeight="1">
      <c r="A798" s="284" t="s">
        <v>2142</v>
      </c>
      <c r="B798" s="284" t="s">
        <v>2143</v>
      </c>
      <c r="C798" s="858" t="s">
        <v>3407</v>
      </c>
      <c r="D798" s="858" t="s">
        <v>57</v>
      </c>
      <c r="E798" s="858"/>
      <c r="F798" s="3"/>
    </row>
    <row r="799" ht="15.0" customHeight="1">
      <c r="A799" s="284" t="s">
        <v>3389</v>
      </c>
      <c r="B799" s="284" t="s">
        <v>3390</v>
      </c>
      <c r="C799" s="858" t="s">
        <v>1059</v>
      </c>
      <c r="D799" s="858" t="s">
        <v>215</v>
      </c>
      <c r="E799" s="858"/>
      <c r="F799" s="3"/>
    </row>
    <row r="800" ht="15.0" customHeight="1">
      <c r="C800" s="858"/>
      <c r="D800" s="858"/>
      <c r="E800" s="858"/>
      <c r="F800" s="3"/>
    </row>
    <row r="801" ht="15.0" customHeight="1">
      <c r="C801" s="858"/>
      <c r="D801" s="858"/>
      <c r="E801" s="858"/>
      <c r="F801" s="3"/>
    </row>
    <row r="802" ht="15.0" customHeight="1">
      <c r="C802" s="858"/>
      <c r="D802" s="858"/>
      <c r="E802" s="858"/>
      <c r="F802" s="3"/>
    </row>
    <row r="803" ht="15.0" customHeight="1">
      <c r="C803" s="858"/>
      <c r="D803" s="858"/>
      <c r="E803" s="858"/>
      <c r="F803" s="3"/>
    </row>
    <row r="804" ht="15.0" customHeight="1">
      <c r="C804" s="858"/>
      <c r="D804" s="858"/>
      <c r="E804" s="858"/>
      <c r="F804" s="3"/>
    </row>
    <row r="805" ht="15.0" customHeight="1">
      <c r="C805" s="858"/>
      <c r="D805" s="858"/>
      <c r="E805" s="858"/>
      <c r="F805" s="3"/>
    </row>
    <row r="806" ht="15.0" customHeight="1">
      <c r="C806" s="858"/>
      <c r="D806" s="858"/>
      <c r="E806" s="858"/>
      <c r="F806" s="3"/>
    </row>
    <row r="807" ht="15.0" customHeight="1">
      <c r="C807" s="858"/>
      <c r="D807" s="858"/>
      <c r="E807" s="858"/>
      <c r="F807" s="3"/>
    </row>
    <row r="808" ht="15.0" customHeight="1">
      <c r="B808" s="284" t="s">
        <v>3501</v>
      </c>
      <c r="F808" s="3"/>
    </row>
    <row r="809" ht="15.0" customHeight="1">
      <c r="F809" s="3"/>
    </row>
    <row r="810" ht="15.0" customHeight="1">
      <c r="F810" s="3"/>
    </row>
    <row r="811" ht="15.0" customHeight="1">
      <c r="F811" s="3"/>
    </row>
    <row r="812" ht="15.0" customHeight="1">
      <c r="F812" s="3"/>
    </row>
    <row r="813" ht="15.0" customHeight="1">
      <c r="F813" s="3"/>
    </row>
    <row r="814" ht="15.0" customHeight="1">
      <c r="F814" s="3"/>
    </row>
    <row r="815" ht="15.0" customHeight="1">
      <c r="F815" s="3"/>
    </row>
    <row r="816" ht="15.0" customHeight="1">
      <c r="F816" s="3"/>
    </row>
    <row r="817" ht="15.0" customHeight="1">
      <c r="F817" s="3"/>
    </row>
    <row r="818" ht="15.0" customHeight="1">
      <c r="F818" s="3"/>
    </row>
    <row r="819" ht="15.0" customHeight="1">
      <c r="F819" s="3"/>
    </row>
    <row r="820" ht="15.0" customHeight="1">
      <c r="F820" s="3"/>
    </row>
    <row r="821" ht="15.0" customHeight="1">
      <c r="F821" s="3"/>
    </row>
    <row r="822" ht="15.0" customHeight="1">
      <c r="F822" s="3"/>
    </row>
    <row r="823" ht="15.0" customHeight="1">
      <c r="F823" s="3"/>
    </row>
    <row r="824" ht="15.0" customHeight="1">
      <c r="F824" s="3"/>
    </row>
    <row r="825" ht="15.0" customHeight="1">
      <c r="F825" s="3"/>
    </row>
    <row r="826" ht="15.0" customHeight="1">
      <c r="F826" s="3"/>
    </row>
    <row r="827" ht="15.0" customHeight="1">
      <c r="F827" s="3"/>
    </row>
    <row r="828" ht="15.0" customHeight="1">
      <c r="F828" s="3"/>
    </row>
    <row r="829" ht="15.0" customHeight="1">
      <c r="F829" s="3"/>
    </row>
    <row r="830" ht="15.0" customHeight="1">
      <c r="F830" s="3"/>
    </row>
    <row r="831" ht="15.0" customHeight="1">
      <c r="F831" s="3"/>
    </row>
    <row r="832" ht="15.0" customHeight="1">
      <c r="F832" s="3"/>
    </row>
    <row r="833" ht="15.0" customHeight="1">
      <c r="F833" s="3"/>
    </row>
    <row r="834" ht="15.0" customHeight="1">
      <c r="F834" s="3"/>
    </row>
    <row r="835" ht="15.0" customHeight="1">
      <c r="F835" s="3"/>
    </row>
    <row r="836" ht="15.0" customHeight="1">
      <c r="F836" s="3"/>
    </row>
    <row r="837" ht="15.0" customHeight="1">
      <c r="F837" s="3"/>
    </row>
    <row r="838" ht="15.0" customHeight="1">
      <c r="F838" s="3"/>
    </row>
    <row r="839" ht="15.0" customHeight="1">
      <c r="F839" s="3"/>
    </row>
    <row r="840" ht="15.0" customHeight="1">
      <c r="F840" s="3"/>
    </row>
    <row r="841" ht="15.0" customHeight="1">
      <c r="F841" s="3"/>
    </row>
    <row r="842" ht="15.0" customHeight="1">
      <c r="F842" s="3"/>
    </row>
    <row r="843" ht="15.0" customHeight="1">
      <c r="F843" s="3"/>
    </row>
    <row r="844" ht="15.0" customHeight="1">
      <c r="F844" s="3"/>
    </row>
    <row r="845" ht="15.0" customHeight="1">
      <c r="F845" s="3"/>
    </row>
    <row r="846" ht="15.0" customHeight="1">
      <c r="F846" s="3"/>
    </row>
    <row r="847" ht="15.0" customHeight="1">
      <c r="F847" s="3"/>
    </row>
    <row r="848" ht="15.0" customHeight="1">
      <c r="F848" s="3"/>
    </row>
    <row r="849" ht="15.0" customHeight="1">
      <c r="F849" s="3"/>
    </row>
    <row r="850" ht="15.0" customHeight="1">
      <c r="F850" s="3"/>
    </row>
    <row r="851" ht="15.0" customHeight="1">
      <c r="F851" s="3"/>
    </row>
    <row r="852" ht="15.0" customHeight="1">
      <c r="F852" s="3"/>
    </row>
    <row r="853" ht="15.0" customHeight="1">
      <c r="F853" s="3"/>
    </row>
    <row r="854" ht="15.0" customHeight="1">
      <c r="F854" s="3"/>
    </row>
    <row r="855" ht="15.0" customHeight="1">
      <c r="F855" s="3"/>
    </row>
    <row r="856" ht="15.0" customHeight="1">
      <c r="F856" s="3"/>
    </row>
    <row r="857" ht="15.0" customHeight="1">
      <c r="F857" s="3"/>
    </row>
    <row r="858" ht="15.0" customHeight="1">
      <c r="F858" s="3"/>
    </row>
    <row r="859" ht="15.0" customHeight="1">
      <c r="F859" s="4"/>
    </row>
    <row r="860" ht="15.0" customHeight="1">
      <c r="F860" s="4"/>
    </row>
    <row r="861" ht="15.0" customHeight="1">
      <c r="F861" s="3"/>
    </row>
    <row r="862" ht="15.0" customHeight="1">
      <c r="F862" s="3"/>
    </row>
    <row r="863" ht="15.0" customHeight="1">
      <c r="F863" s="3"/>
    </row>
    <row r="864" ht="15.0" customHeight="1">
      <c r="F864" s="3"/>
    </row>
    <row r="865" ht="15.0" customHeight="1">
      <c r="F865" s="3"/>
    </row>
    <row r="866" ht="15.0" customHeight="1">
      <c r="F866" s="3"/>
    </row>
    <row r="867" ht="15.0" customHeight="1">
      <c r="F867" s="3"/>
    </row>
    <row r="868" ht="15.0" customHeight="1">
      <c r="F868" s="3"/>
    </row>
    <row r="869" ht="15.0" customHeight="1">
      <c r="F869" s="3"/>
    </row>
    <row r="870" ht="15.0" customHeight="1">
      <c r="F870" s="3"/>
    </row>
    <row r="871" ht="15.0" customHeight="1">
      <c r="F871" s="3"/>
    </row>
    <row r="872" ht="15.0" customHeight="1">
      <c r="F872" s="3"/>
    </row>
    <row r="873" ht="15.0" customHeight="1">
      <c r="F873" s="3"/>
    </row>
    <row r="874" ht="15.0" customHeight="1">
      <c r="F874" s="3"/>
    </row>
    <row r="875" ht="15.0" customHeight="1">
      <c r="F875" s="3"/>
    </row>
    <row r="876" ht="15.0" customHeight="1">
      <c r="F876" s="3"/>
    </row>
    <row r="877" ht="15.0" customHeight="1">
      <c r="F877" s="3"/>
    </row>
    <row r="878" ht="15.0" customHeight="1">
      <c r="F878" s="3"/>
    </row>
    <row r="879" ht="15.0" customHeight="1">
      <c r="F879" s="3"/>
    </row>
    <row r="880" ht="15.0" customHeight="1">
      <c r="F880" s="3"/>
    </row>
    <row r="881" ht="15.0" customHeight="1">
      <c r="F881" s="3"/>
    </row>
    <row r="882" ht="15.0" customHeight="1">
      <c r="F882" s="3"/>
    </row>
    <row r="883" ht="15.0" customHeight="1">
      <c r="F883" s="3"/>
    </row>
    <row r="884" ht="15.0" customHeight="1">
      <c r="F884" s="3"/>
    </row>
    <row r="885" ht="15.0" customHeight="1">
      <c r="F885" s="3"/>
    </row>
    <row r="886" ht="15.0" customHeight="1">
      <c r="F886" s="3"/>
    </row>
    <row r="887" ht="15.0" customHeight="1">
      <c r="F887" s="3"/>
    </row>
    <row r="888" ht="15.0" customHeight="1">
      <c r="F888" s="3"/>
    </row>
    <row r="889" ht="15.0" customHeight="1">
      <c r="F889" s="3"/>
    </row>
    <row r="890" ht="15.0" customHeight="1">
      <c r="F890" s="3"/>
      <c r="J890" s="3"/>
    </row>
    <row r="891" ht="15.0" customHeight="1">
      <c r="F891" s="3"/>
      <c r="J891" s="3"/>
    </row>
    <row r="892" ht="15.0" customHeight="1">
      <c r="F892" s="3"/>
    </row>
    <row r="893" ht="15.0" customHeight="1">
      <c r="F893" s="3"/>
    </row>
    <row r="894" ht="15.0" customHeight="1">
      <c r="F894" s="3"/>
    </row>
    <row r="895" ht="15.0" customHeight="1">
      <c r="F895" s="3"/>
    </row>
    <row r="896" ht="15.0" customHeight="1">
      <c r="F896" s="3"/>
    </row>
    <row r="897" ht="15.0" customHeight="1">
      <c r="F897" s="3"/>
    </row>
    <row r="898" ht="15.0" customHeight="1">
      <c r="F898" s="3"/>
    </row>
    <row r="899" ht="15.0" customHeight="1">
      <c r="F899" s="3"/>
    </row>
    <row r="900" ht="15.0" customHeight="1">
      <c r="F900" s="3"/>
    </row>
    <row r="901" ht="15.0" customHeight="1">
      <c r="F901" s="3"/>
    </row>
    <row r="902" ht="15.0" customHeight="1">
      <c r="F902" s="3"/>
    </row>
    <row r="903" ht="15.0" customHeight="1">
      <c r="F903" s="3"/>
    </row>
    <row r="904" ht="15.0" customHeight="1">
      <c r="F904" s="3"/>
    </row>
    <row r="905" ht="15.0" customHeight="1">
      <c r="F905" s="3"/>
    </row>
    <row r="906" ht="15.0" customHeight="1">
      <c r="F906" s="3"/>
    </row>
    <row r="907" ht="15.0" customHeight="1">
      <c r="F907" s="3"/>
    </row>
    <row r="908" ht="15.0" customHeight="1">
      <c r="F908" s="3"/>
    </row>
    <row r="909" ht="15.0" customHeight="1">
      <c r="F909" s="3"/>
    </row>
    <row r="910" ht="15.0" customHeight="1">
      <c r="F910" s="3"/>
    </row>
    <row r="911" ht="15.0" customHeight="1">
      <c r="F911" s="3"/>
    </row>
    <row r="912" ht="15.0" customHeight="1">
      <c r="F912" s="3"/>
    </row>
    <row r="913" ht="15.0" customHeight="1">
      <c r="F913" s="3"/>
    </row>
    <row r="914" ht="15.0" customHeight="1">
      <c r="F914" s="3"/>
    </row>
    <row r="915" ht="15.0" customHeight="1">
      <c r="F915" s="3"/>
    </row>
    <row r="916" ht="15.0" customHeight="1">
      <c r="F916" s="3"/>
    </row>
    <row r="917" ht="15.0" customHeight="1">
      <c r="F917" s="3"/>
    </row>
    <row r="918" ht="15.0" customHeight="1">
      <c r="F918" s="3"/>
    </row>
    <row r="919" ht="15.0" customHeight="1">
      <c r="F919" s="3"/>
    </row>
    <row r="920" ht="15.0" customHeight="1">
      <c r="F920" s="3"/>
    </row>
    <row r="921" ht="15.0" customHeight="1">
      <c r="F921" s="3"/>
    </row>
    <row r="922" ht="15.0" customHeight="1">
      <c r="F922" s="3"/>
    </row>
    <row r="923" ht="15.0" customHeight="1">
      <c r="F923" s="3"/>
    </row>
    <row r="924" ht="15.0" customHeight="1">
      <c r="F924" s="3"/>
    </row>
    <row r="925" ht="15.0" customHeight="1">
      <c r="F925" s="3"/>
    </row>
    <row r="926" ht="15.0" customHeight="1">
      <c r="F926" s="3"/>
    </row>
    <row r="927" ht="15.0" customHeight="1">
      <c r="F927" s="3"/>
    </row>
    <row r="928" ht="15.0" customHeight="1">
      <c r="F928" s="3"/>
    </row>
    <row r="929" ht="15.0" customHeight="1">
      <c r="F929" s="3"/>
    </row>
    <row r="930" ht="15.0" customHeight="1">
      <c r="F930" s="3"/>
    </row>
    <row r="931" ht="15.0" customHeight="1">
      <c r="F931" s="3"/>
    </row>
    <row r="932" ht="15.0" customHeight="1">
      <c r="F932" s="3"/>
    </row>
    <row r="933" ht="15.0" customHeight="1">
      <c r="F933" s="3"/>
    </row>
    <row r="934" ht="15.0" customHeight="1">
      <c r="F934" s="3"/>
    </row>
    <row r="935" ht="15.0" customHeight="1">
      <c r="F935" s="3"/>
    </row>
    <row r="936" ht="15.0" customHeight="1">
      <c r="F936" s="3"/>
    </row>
    <row r="937" ht="15.0" customHeight="1">
      <c r="F937" s="3"/>
    </row>
    <row r="938" ht="15.0" customHeight="1">
      <c r="F938" s="3"/>
    </row>
    <row r="939" ht="15.0" customHeight="1">
      <c r="F939" s="3"/>
    </row>
    <row r="940" ht="15.0" customHeight="1">
      <c r="F940" s="3"/>
    </row>
    <row r="941" ht="15.0" customHeight="1">
      <c r="F941" s="3"/>
    </row>
    <row r="942" ht="15.0" customHeight="1">
      <c r="F942" s="3"/>
    </row>
    <row r="943" ht="15.0" customHeight="1">
      <c r="F943" s="3"/>
    </row>
    <row r="944" ht="15.0" customHeight="1">
      <c r="F944" s="3"/>
    </row>
    <row r="945" ht="15.0" customHeight="1">
      <c r="F945" s="3"/>
    </row>
    <row r="946" ht="15.0" customHeight="1">
      <c r="F946" s="3"/>
    </row>
    <row r="947" ht="15.0" customHeight="1">
      <c r="F947" s="3"/>
    </row>
    <row r="948" ht="15.0" customHeight="1">
      <c r="F948" s="3"/>
    </row>
    <row r="949" ht="15.0" customHeight="1">
      <c r="F949" s="3"/>
    </row>
    <row r="950" ht="15.0" customHeight="1">
      <c r="F950" s="3"/>
    </row>
    <row r="951" ht="15.0" customHeight="1">
      <c r="F951" s="3"/>
    </row>
    <row r="952" ht="15.0" customHeight="1">
      <c r="F952" s="3"/>
    </row>
    <row r="953" ht="15.0" customHeight="1">
      <c r="F953" s="3"/>
    </row>
    <row r="954" ht="15.0" customHeight="1">
      <c r="F954" s="3"/>
    </row>
    <row r="955" ht="15.0" customHeight="1">
      <c r="F955" s="3"/>
    </row>
    <row r="956" ht="15.0" customHeight="1">
      <c r="F956" s="3"/>
    </row>
    <row r="957" ht="15.0" customHeight="1">
      <c r="F957" s="3"/>
    </row>
    <row r="958" ht="15.0" customHeight="1">
      <c r="F958" s="3"/>
    </row>
    <row r="959" ht="15.0" customHeight="1">
      <c r="F959" s="3"/>
    </row>
    <row r="960" ht="15.0" customHeight="1">
      <c r="F960" s="3"/>
    </row>
    <row r="961" ht="15.0" customHeight="1">
      <c r="F961" s="3"/>
    </row>
    <row r="962" ht="15.0" customHeight="1">
      <c r="F962" s="3"/>
    </row>
    <row r="963" ht="15.0" customHeight="1">
      <c r="F963" s="3"/>
    </row>
    <row r="964" ht="15.0" customHeight="1">
      <c r="F964" s="3"/>
    </row>
    <row r="965" ht="15.0" customHeight="1">
      <c r="F965" s="3"/>
    </row>
    <row r="966" ht="15.0" customHeight="1">
      <c r="F966" s="3"/>
    </row>
    <row r="967" ht="15.0" customHeight="1">
      <c r="F967" s="3"/>
    </row>
    <row r="968" ht="15.0" customHeight="1">
      <c r="F968" s="3"/>
    </row>
    <row r="969" ht="15.0" customHeight="1">
      <c r="F969" s="3"/>
    </row>
    <row r="970" ht="15.0" customHeight="1">
      <c r="F970" s="3"/>
    </row>
    <row r="971" ht="15.0" customHeight="1">
      <c r="F971" s="3"/>
    </row>
    <row r="972" ht="15.0" customHeight="1">
      <c r="F972" s="3"/>
    </row>
    <row r="973" ht="15.0" customHeight="1">
      <c r="F973" s="3"/>
    </row>
    <row r="974" ht="15.0" customHeight="1">
      <c r="F974" s="3"/>
    </row>
    <row r="975" ht="15.0" customHeight="1">
      <c r="F975" s="3"/>
    </row>
    <row r="976" ht="15.0" customHeight="1">
      <c r="F976" s="3"/>
    </row>
    <row r="977" ht="15.0" customHeight="1">
      <c r="F977" s="3"/>
    </row>
    <row r="978" ht="15.0" customHeight="1">
      <c r="F978" s="3"/>
    </row>
    <row r="979" ht="15.0" customHeight="1">
      <c r="F979" s="3"/>
    </row>
    <row r="980" ht="15.0" customHeight="1">
      <c r="F980" s="3"/>
    </row>
    <row r="981" ht="15.0" customHeight="1">
      <c r="F981" s="3"/>
    </row>
    <row r="982" ht="15.0" customHeight="1">
      <c r="F982" s="3"/>
    </row>
    <row r="983" ht="15.0" customHeight="1">
      <c r="F983" s="3"/>
    </row>
    <row r="984" ht="15.0" customHeight="1">
      <c r="F984" s="3"/>
    </row>
    <row r="985" ht="15.0" customHeight="1">
      <c r="F985" s="3"/>
    </row>
    <row r="986" ht="15.0" customHeight="1">
      <c r="F986" s="3"/>
      <c r="G986" s="3"/>
      <c r="H986" s="3"/>
      <c r="J986" s="3"/>
      <c r="K986" s="3"/>
      <c r="L986" s="3"/>
      <c r="M986" s="3"/>
      <c r="N986" s="3"/>
      <c r="O986" s="3"/>
      <c r="P986" s="3"/>
      <c r="Q986" s="3"/>
      <c r="R986" s="3"/>
      <c r="S986" s="3"/>
      <c r="T986" s="3"/>
      <c r="U986" s="3"/>
      <c r="V986" s="3"/>
      <c r="W986" s="3"/>
      <c r="X986" s="3"/>
      <c r="Y986" s="3"/>
      <c r="Z986" s="3"/>
      <c r="AA986" s="3"/>
    </row>
    <row r="987" ht="15.0" customHeight="1">
      <c r="F987" s="3"/>
      <c r="G987" s="3"/>
      <c r="H987" s="3"/>
      <c r="J987" s="3"/>
      <c r="K987" s="3"/>
      <c r="L987" s="3"/>
      <c r="M987" s="3"/>
      <c r="N987" s="3"/>
      <c r="O987" s="3"/>
      <c r="P987" s="3"/>
      <c r="Q987" s="3"/>
      <c r="R987" s="3"/>
      <c r="S987" s="3"/>
      <c r="T987" s="3"/>
      <c r="U987" s="3"/>
      <c r="V987" s="3"/>
      <c r="W987" s="3"/>
      <c r="X987" s="3"/>
      <c r="Y987" s="3"/>
      <c r="Z987" s="3"/>
      <c r="AA987" s="3"/>
    </row>
    <row r="988" ht="13.5" customHeight="1">
      <c r="F988" s="3"/>
    </row>
    <row r="989" ht="15.0" customHeight="1">
      <c r="F989" s="3"/>
    </row>
    <row r="990" ht="15.0" customHeight="1">
      <c r="F990" s="3"/>
    </row>
    <row r="991" ht="15.0" customHeight="1">
      <c r="F991" s="3"/>
    </row>
    <row r="992" ht="15.0" customHeight="1">
      <c r="F992" s="3"/>
    </row>
    <row r="993" ht="15.0" customHeight="1">
      <c r="F993" s="3"/>
      <c r="I993" s="3"/>
    </row>
    <row r="994" ht="15.0" customHeight="1">
      <c r="F994" s="3"/>
      <c r="G994" s="3"/>
      <c r="H994" s="3"/>
      <c r="I994" s="3"/>
      <c r="J994" s="3"/>
      <c r="K994" s="3"/>
      <c r="L994" s="3"/>
      <c r="M994" s="3"/>
      <c r="N994" s="3"/>
      <c r="O994" s="3"/>
      <c r="P994" s="3"/>
      <c r="Q994" s="3"/>
      <c r="R994" s="3"/>
      <c r="S994" s="3"/>
      <c r="T994" s="3"/>
      <c r="U994" s="3"/>
      <c r="V994" s="3"/>
      <c r="W994" s="3"/>
      <c r="X994" s="3"/>
      <c r="Y994" s="3"/>
      <c r="Z994" s="3"/>
      <c r="AA994" s="3"/>
    </row>
    <row r="995" ht="15.0" customHeight="1">
      <c r="F995" s="3"/>
    </row>
    <row r="996" ht="15.0" customHeight="1">
      <c r="F996" s="3"/>
    </row>
    <row r="997" ht="15.0" customHeight="1">
      <c r="F997" s="3"/>
    </row>
    <row r="998" ht="15.0" customHeight="1">
      <c r="F998" s="3"/>
    </row>
    <row r="999" ht="15.0" customHeight="1">
      <c r="F999" s="3"/>
    </row>
    <row r="1000" ht="15.0" customHeight="1">
      <c r="F1000" s="3"/>
    </row>
    <row r="1001" ht="15.0"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ht="15.0" customHeight="1">
      <c r="F1002" s="3"/>
      <c r="I1002" s="3"/>
    </row>
    <row r="1003" ht="15.0" customHeight="1">
      <c r="F1003" s="3"/>
      <c r="I1003" s="3"/>
    </row>
    <row r="1004" ht="15.0" customHeight="1">
      <c r="F1004" s="3"/>
    </row>
    <row r="1005" ht="15.0" customHeight="1">
      <c r="F1005" s="3"/>
    </row>
    <row r="1006" ht="15.0" customHeight="1">
      <c r="F1006" s="3"/>
    </row>
    <row r="1007" ht="15.0" customHeight="1">
      <c r="F1007" s="3"/>
    </row>
    <row r="1008" ht="15.0" customHeight="1">
      <c r="F1008" s="3"/>
    </row>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sheetData>
  <autoFilter ref="$A$1:$E$1415">
    <sortState ref="A1:E1415">
      <sortCondition ref="A1:A1415"/>
    </sortState>
  </autoFilter>
  <dataValidations>
    <dataValidation type="list" allowBlank="1" showErrorMessage="1" sqref="D1">
      <formula1>$F$1:$F$144</formula1>
    </dataValidation>
  </dataValidation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2.63" defaultRowHeight="15.0"/>
  <cols>
    <col customWidth="1" min="1" max="1" width="3.75"/>
    <col customWidth="1" min="2" max="2" width="6.5"/>
    <col customWidth="1" min="3" max="3" width="9.38"/>
    <col customWidth="1" min="4" max="4" width="32.38"/>
    <col customWidth="1" min="5" max="5" width="2.75"/>
    <col customWidth="1" min="6" max="6" width="5.13"/>
    <col customWidth="1" min="7" max="7" width="18.0"/>
    <col customWidth="1" min="8" max="8" width="17.63"/>
    <col customWidth="1" min="9" max="9" width="15.88"/>
    <col customWidth="1" min="10" max="10" width="15.13"/>
    <col customWidth="1" min="11" max="11" width="14.63"/>
    <col customWidth="1" min="12" max="12" width="15.25"/>
    <col customWidth="1" min="13" max="13" width="16.75"/>
    <col customWidth="1" min="14" max="14" width="15.5"/>
    <col customWidth="1" min="15" max="15" width="21.38"/>
    <col customWidth="1" min="16" max="16" width="18.63"/>
    <col customWidth="1" min="17" max="17" width="20.75"/>
    <col customWidth="1" min="18" max="18" width="20.88"/>
    <col customWidth="1" min="19" max="19" width="22.38"/>
    <col customWidth="1" min="20" max="20" width="25.25"/>
    <col customWidth="1" min="21" max="21" width="15.0"/>
    <col customWidth="1" min="22" max="22" width="18.63"/>
    <col customWidth="1" min="23" max="23" width="18.25"/>
    <col customWidth="1" min="24" max="24" width="16.5"/>
    <col customWidth="1" min="25" max="25" width="15.75"/>
    <col customWidth="1" min="26" max="26" width="15.25"/>
    <col customWidth="1" min="27" max="27" width="15.88"/>
    <col customWidth="1" min="28" max="28" width="17.38"/>
    <col customWidth="1" min="29" max="29" width="16.13"/>
    <col customWidth="1" min="30" max="30" width="22.0"/>
    <col customWidth="1" min="31" max="31" width="19.25"/>
    <col customWidth="1" min="32" max="32" width="21.38"/>
    <col customWidth="1" min="33" max="33" width="21.5"/>
    <col customWidth="1" min="34" max="34" width="23.0"/>
    <col customWidth="1" min="35" max="35" width="25.88"/>
    <col customWidth="1" min="36" max="36" width="12.88"/>
    <col customWidth="1" min="37" max="37" width="39.75"/>
    <col customWidth="1" min="38" max="38" width="19.63"/>
    <col customWidth="1" min="39" max="39" width="19.38"/>
    <col customWidth="1" min="40" max="40" width="16.38"/>
    <col customWidth="1" min="41" max="41" width="13.0"/>
    <col customWidth="1" min="42" max="42" width="42.75"/>
    <col customWidth="1" min="43" max="43" width="25.38"/>
    <col customWidth="1" min="44" max="44" width="16.88"/>
    <col customWidth="1" min="45" max="45" width="11.5"/>
    <col customWidth="1" min="46" max="46" width="13.0"/>
    <col customWidth="1" min="47" max="47" width="32.38"/>
    <col customWidth="1" min="48" max="48" width="16.25"/>
    <col customWidth="1" min="49" max="49" width="12.75"/>
    <col customWidth="1" min="50" max="50" width="11.38"/>
  </cols>
  <sheetData>
    <row r="1" ht="30.0" customHeight="1">
      <c r="G1" s="284" t="s">
        <v>6</v>
      </c>
      <c r="H1" s="284" t="s">
        <v>8</v>
      </c>
      <c r="I1" s="284" t="s">
        <v>9</v>
      </c>
      <c r="J1" s="284" t="s">
        <v>10</v>
      </c>
      <c r="K1" s="284" t="s">
        <v>11</v>
      </c>
      <c r="L1" s="284" t="s">
        <v>12</v>
      </c>
      <c r="M1" s="284" t="s">
        <v>14</v>
      </c>
      <c r="N1" s="284" t="s">
        <v>16</v>
      </c>
      <c r="O1" s="284" t="s">
        <v>5</v>
      </c>
      <c r="P1" s="284" t="s">
        <v>18</v>
      </c>
      <c r="Q1" s="284" t="s">
        <v>19</v>
      </c>
      <c r="R1" s="284" t="s">
        <v>20</v>
      </c>
      <c r="V1" s="284" t="s">
        <v>6</v>
      </c>
      <c r="W1" s="284" t="s">
        <v>8</v>
      </c>
      <c r="X1" s="284" t="s">
        <v>9</v>
      </c>
      <c r="Y1" s="284" t="s">
        <v>10</v>
      </c>
      <c r="Z1" s="284" t="s">
        <v>11</v>
      </c>
      <c r="AA1" s="284" t="s">
        <v>12</v>
      </c>
      <c r="AB1" s="284" t="s">
        <v>14</v>
      </c>
      <c r="AC1" s="284" t="s">
        <v>16</v>
      </c>
      <c r="AD1" s="284" t="s">
        <v>5</v>
      </c>
      <c r="AE1" s="284" t="s">
        <v>18</v>
      </c>
      <c r="AF1" s="284" t="s">
        <v>19</v>
      </c>
      <c r="AG1" s="284" t="s">
        <v>20</v>
      </c>
      <c r="AL1" s="794"/>
      <c r="AM1" s="794"/>
      <c r="AN1" s="794"/>
      <c r="AU1" s="4"/>
    </row>
    <row r="2" ht="15.0" customHeight="1">
      <c r="A2" s="849" t="s">
        <v>1197</v>
      </c>
      <c r="B2" s="849" t="s">
        <v>7</v>
      </c>
      <c r="C2" s="849" t="s">
        <v>1198</v>
      </c>
      <c r="D2" s="849" t="s">
        <v>1199</v>
      </c>
      <c r="E2" s="849" t="s">
        <v>1200</v>
      </c>
      <c r="F2" s="849" t="s">
        <v>1201</v>
      </c>
      <c r="G2" s="849" t="s">
        <v>1202</v>
      </c>
      <c r="H2" s="849" t="s">
        <v>1203</v>
      </c>
      <c r="I2" s="849" t="s">
        <v>1204</v>
      </c>
      <c r="J2" s="849" t="s">
        <v>1205</v>
      </c>
      <c r="K2" s="849" t="s">
        <v>1206</v>
      </c>
      <c r="L2" s="849" t="s">
        <v>1207</v>
      </c>
      <c r="M2" s="849" t="s">
        <v>1208</v>
      </c>
      <c r="N2" s="849" t="s">
        <v>1209</v>
      </c>
      <c r="O2" s="849" t="s">
        <v>1210</v>
      </c>
      <c r="P2" s="849" t="s">
        <v>1211</v>
      </c>
      <c r="Q2" s="849" t="s">
        <v>1212</v>
      </c>
      <c r="R2" s="849" t="s">
        <v>1213</v>
      </c>
      <c r="S2" s="849" t="s">
        <v>1214</v>
      </c>
      <c r="T2" s="849" t="s">
        <v>1215</v>
      </c>
      <c r="U2" s="849" t="s">
        <v>1216</v>
      </c>
      <c r="V2" s="849" t="s">
        <v>1217</v>
      </c>
      <c r="W2" s="849" t="s">
        <v>1218</v>
      </c>
      <c r="X2" s="849" t="s">
        <v>1219</v>
      </c>
      <c r="Y2" s="849" t="s">
        <v>1220</v>
      </c>
      <c r="Z2" s="849" t="s">
        <v>1221</v>
      </c>
      <c r="AA2" s="849" t="s">
        <v>1222</v>
      </c>
      <c r="AB2" s="849" t="s">
        <v>1223</v>
      </c>
      <c r="AC2" s="849" t="s">
        <v>1224</v>
      </c>
      <c r="AD2" s="849" t="s">
        <v>1225</v>
      </c>
      <c r="AE2" s="849" t="s">
        <v>1226</v>
      </c>
      <c r="AF2" s="849" t="s">
        <v>1227</v>
      </c>
      <c r="AG2" s="849" t="s">
        <v>1228</v>
      </c>
      <c r="AH2" s="849" t="s">
        <v>1229</v>
      </c>
      <c r="AI2" s="849" t="s">
        <v>1230</v>
      </c>
      <c r="AJ2" s="850" t="s">
        <v>1231</v>
      </c>
      <c r="AK2" s="850" t="s">
        <v>1199</v>
      </c>
      <c r="AL2" s="851" t="s">
        <v>1232</v>
      </c>
      <c r="AM2" s="851" t="s">
        <v>1233</v>
      </c>
      <c r="AN2" s="851" t="s">
        <v>1234</v>
      </c>
      <c r="AO2" s="852" t="s">
        <v>1235</v>
      </c>
      <c r="AP2" s="852" t="s">
        <v>3502</v>
      </c>
      <c r="AQ2" s="852" t="s">
        <v>1236</v>
      </c>
      <c r="AR2" s="852" t="s">
        <v>1237</v>
      </c>
      <c r="AS2" s="852" t="s">
        <v>1238</v>
      </c>
      <c r="AT2" s="850" t="s">
        <v>1231</v>
      </c>
      <c r="AU2" s="850" t="s">
        <v>1199</v>
      </c>
      <c r="AV2" s="851" t="s">
        <v>1232</v>
      </c>
      <c r="AW2" s="851" t="s">
        <v>1233</v>
      </c>
      <c r="AX2" s="851" t="s">
        <v>1234</v>
      </c>
      <c r="AY2" s="852" t="s">
        <v>1237</v>
      </c>
      <c r="AZ2" s="852" t="s">
        <v>1238</v>
      </c>
    </row>
    <row r="3" ht="15.0" customHeight="1">
      <c r="A3" s="849" t="s">
        <v>1239</v>
      </c>
      <c r="B3" s="849">
        <v>2025.0</v>
      </c>
      <c r="C3" s="849" t="s">
        <v>1244</v>
      </c>
      <c r="D3" s="849" t="s">
        <v>1245</v>
      </c>
      <c r="E3" s="849" t="s">
        <v>768</v>
      </c>
      <c r="F3" s="849" t="s">
        <v>1200</v>
      </c>
      <c r="G3" s="849">
        <v>45069.93</v>
      </c>
      <c r="H3" s="849">
        <v>91230.91</v>
      </c>
      <c r="I3" s="849">
        <v>145678.45</v>
      </c>
      <c r="J3" s="849">
        <v>206547.27</v>
      </c>
      <c r="K3" s="849">
        <v>264066.35</v>
      </c>
      <c r="L3" s="849">
        <v>336297.51</v>
      </c>
      <c r="M3" s="849">
        <v>393959.75</v>
      </c>
      <c r="N3" s="849">
        <v>446262.76</v>
      </c>
      <c r="O3" s="849">
        <v>508118.17</v>
      </c>
      <c r="P3" s="849">
        <v>571165.27</v>
      </c>
      <c r="Q3" s="849">
        <v>611209.97</v>
      </c>
      <c r="R3" s="849">
        <v>651796.51</v>
      </c>
      <c r="S3" s="849">
        <v>55564.54</v>
      </c>
      <c r="T3" s="849">
        <v>55564.54</v>
      </c>
      <c r="U3" s="849">
        <v>0.0</v>
      </c>
      <c r="V3" s="849">
        <v>0.0</v>
      </c>
      <c r="W3" s="849">
        <v>0.0</v>
      </c>
      <c r="X3" s="849">
        <v>0.0</v>
      </c>
      <c r="Y3" s="849">
        <v>0.0</v>
      </c>
      <c r="Z3" s="849">
        <v>0.0</v>
      </c>
      <c r="AA3" s="849">
        <v>0.0</v>
      </c>
      <c r="AB3" s="849">
        <v>0.0</v>
      </c>
      <c r="AC3" s="849">
        <v>0.0</v>
      </c>
      <c r="AD3" s="849">
        <v>0.0</v>
      </c>
      <c r="AE3" s="849">
        <v>0.0</v>
      </c>
      <c r="AF3" s="849">
        <v>0.0</v>
      </c>
      <c r="AG3" s="849">
        <v>0.0</v>
      </c>
      <c r="AH3" s="849">
        <v>0.0</v>
      </c>
      <c r="AI3" s="849">
        <v>0.0</v>
      </c>
      <c r="AJ3" s="794" t="str">
        <f t="shared" ref="AJ3:AK3" si="1">C3</f>
        <v>G0111</v>
      </c>
      <c r="AK3" s="794" t="str">
        <f t="shared" si="1"/>
        <v>COMMISSIONS VEH. NEUFS</v>
      </c>
      <c r="AL3" s="794">
        <f t="array" ref="AL3">IFERROR(INDEX(G3:R3,1,MATCH(Parametres!$B$3,G$1:R$1,0)-1)*IF(OR(F3="L",F3="S",F3="I"),-1,1),"")</f>
        <v>446262.76</v>
      </c>
      <c r="AM3" s="794">
        <f t="shared" ref="AM3:AM899" si="4">AN3-AL3</f>
        <v>61855.41</v>
      </c>
      <c r="AN3" s="794">
        <f t="array" ref="AN3">INDEX(G3:R3,1,MATCH(Parametres!$B$3,G$1:R$1,0))*IF(OR(F3="L",F3="S",F3="I"),-1,1)</f>
        <v>508118.17</v>
      </c>
      <c r="AO3" s="853" t="str">
        <f>+VLOOKUP($AJ3,Data_Validation!$A:$D,1,0)</f>
        <v>G0111</v>
      </c>
      <c r="AP3" s="853" t="str">
        <f>+VLOOKUP($AJ3,Data_Validation!$A:$D,3,0)</f>
        <v>Véhicules neufs</v>
      </c>
      <c r="AQ3" s="853" t="str">
        <f>+VLOOKUP($AJ3,Data_Validation!$A:$D,4,0)</f>
        <v>Comm. vendeurs</v>
      </c>
      <c r="AR3" s="853" t="s">
        <v>728</v>
      </c>
      <c r="AS3" s="853" t="str">
        <f>+VLOOKUP($AJ3,Data_Validation!$A:$E,5,0)</f>
        <v/>
      </c>
      <c r="AT3" s="794" t="str">
        <f t="shared" ref="AT3:AU3" si="2">C3</f>
        <v>G0111</v>
      </c>
      <c r="AU3" s="854" t="str">
        <f t="shared" si="2"/>
        <v>COMMISSIONS VEH. NEUFS</v>
      </c>
      <c r="AV3" s="794">
        <f t="array" ref="AV3">IFERROR(INDEX(V3:AG3,1,MATCH(Parametres!$B$3,V$1:AG$1,0)-1)*IF(OR(C3="L",C3="S",C3="I"),-1,1),"")</f>
        <v>0</v>
      </c>
      <c r="AW3" s="794">
        <f t="shared" ref="AW3:AW899" si="6">AX3-AV3</f>
        <v>0</v>
      </c>
      <c r="AX3" s="794">
        <f t="array" ref="AX3">INDEX(V3:AG3,1,MATCH(Parametres!$B$3,V$1:AG$1,0))*IF(OR(C3="L",C3="S",C3="I"),-1,1)</f>
        <v>0</v>
      </c>
      <c r="AY3" s="853" t="s">
        <v>772</v>
      </c>
      <c r="AZ3" s="853" t="str">
        <f>+VLOOKUP($AJ3,Data_Validation!$A:$E,5,0)</f>
        <v/>
      </c>
    </row>
    <row r="4" ht="15.0" customHeight="1">
      <c r="A4" s="849" t="s">
        <v>1239</v>
      </c>
      <c r="B4" s="849">
        <v>2025.0</v>
      </c>
      <c r="C4" s="849" t="s">
        <v>1246</v>
      </c>
      <c r="D4" s="849" t="s">
        <v>1247</v>
      </c>
      <c r="E4" s="849" t="s">
        <v>768</v>
      </c>
      <c r="F4" s="849" t="s">
        <v>1200</v>
      </c>
      <c r="G4" s="849">
        <v>195.0</v>
      </c>
      <c r="H4" s="849">
        <v>3788.93</v>
      </c>
      <c r="I4" s="849">
        <v>11743.24</v>
      </c>
      <c r="J4" s="849">
        <v>17057.49</v>
      </c>
      <c r="K4" s="849">
        <v>21030.81</v>
      </c>
      <c r="L4" s="849">
        <v>23818.05</v>
      </c>
      <c r="M4" s="849">
        <v>34596.64</v>
      </c>
      <c r="N4" s="849">
        <v>90433.83</v>
      </c>
      <c r="O4" s="849">
        <v>113419.52</v>
      </c>
      <c r="P4" s="849">
        <v>58314.18</v>
      </c>
      <c r="Q4" s="849">
        <v>63798.21</v>
      </c>
      <c r="R4" s="849">
        <v>72414.5</v>
      </c>
      <c r="S4" s="849">
        <v>5799.84</v>
      </c>
      <c r="T4" s="849">
        <v>5799.84</v>
      </c>
      <c r="U4" s="849">
        <v>0.0</v>
      </c>
      <c r="V4" s="849">
        <v>0.0</v>
      </c>
      <c r="W4" s="849">
        <v>0.0</v>
      </c>
      <c r="X4" s="849">
        <v>0.0</v>
      </c>
      <c r="Y4" s="849">
        <v>0.0</v>
      </c>
      <c r="Z4" s="849">
        <v>0.0</v>
      </c>
      <c r="AA4" s="849">
        <v>0.0</v>
      </c>
      <c r="AB4" s="849">
        <v>0.0</v>
      </c>
      <c r="AC4" s="849">
        <v>0.0</v>
      </c>
      <c r="AD4" s="849">
        <v>0.0</v>
      </c>
      <c r="AE4" s="849">
        <v>0.0</v>
      </c>
      <c r="AF4" s="849">
        <v>0.0</v>
      </c>
      <c r="AG4" s="849">
        <v>0.0</v>
      </c>
      <c r="AH4" s="849">
        <v>0.0</v>
      </c>
      <c r="AI4" s="849">
        <v>0.0</v>
      </c>
      <c r="AJ4" s="794" t="str">
        <f t="shared" ref="AJ4:AK4" si="3">C4</f>
        <v>G0112</v>
      </c>
      <c r="AK4" s="794" t="str">
        <f t="shared" si="3"/>
        <v>COMMISSIONS VEH. USAGES</v>
      </c>
      <c r="AL4" s="794">
        <f t="array" ref="AL4">IFERROR(INDEX(G4:R4,1,MATCH(Parametres!$B$3,G$1:R$1,0)-1)*IF(OR(F4="L",F4="S",F4="I"),-1,1),"")</f>
        <v>90433.83</v>
      </c>
      <c r="AM4" s="794">
        <f t="shared" si="4"/>
        <v>22985.69</v>
      </c>
      <c r="AN4" s="794">
        <f t="array" ref="AN4">INDEX(G4:R4,1,MATCH(Parametres!$B$3,G$1:R$1,0))*IF(OR(F4="L",F4="S",F4="I"),-1,1)</f>
        <v>113419.52</v>
      </c>
      <c r="AO4" s="853" t="str">
        <f>+VLOOKUP($AJ4,Data_Validation!$A:$D,1,0)</f>
        <v>G0112</v>
      </c>
      <c r="AP4" s="853" t="str">
        <f>+VLOOKUP($AJ4,Data_Validation!$A:$D,3,0)</f>
        <v>Véhicules usagés</v>
      </c>
      <c r="AQ4" s="853" t="str">
        <f>+VLOOKUP($AJ4,Data_Validation!$A:$D,4,0)</f>
        <v>Comm. vendeurs</v>
      </c>
      <c r="AR4" s="853" t="s">
        <v>728</v>
      </c>
      <c r="AS4" s="853" t="str">
        <f>+VLOOKUP($AJ4,Data_Validation!$A:$E,5,0)</f>
        <v/>
      </c>
      <c r="AT4" s="794" t="str">
        <f t="shared" ref="AT4:AU4" si="5">C4</f>
        <v>G0112</v>
      </c>
      <c r="AU4" s="854" t="str">
        <f t="shared" si="5"/>
        <v>COMMISSIONS VEH. USAGES</v>
      </c>
      <c r="AV4" s="794">
        <f t="array" ref="AV4">IFERROR(INDEX(V4:AG4,1,MATCH(Parametres!$B$3,V$1:AG$1,0)-1)*IF(OR(C4="L",C4="S",C4="I"),-1,1),"")</f>
        <v>0</v>
      </c>
      <c r="AW4" s="794">
        <f t="shared" si="6"/>
        <v>0</v>
      </c>
      <c r="AX4" s="794">
        <f t="array" ref="AX4">INDEX(V4:AG4,1,MATCH(Parametres!$B$3,V$1:AG$1,0))*IF(OR(C4="L",C4="S",C4="I"),-1,1)</f>
        <v>0</v>
      </c>
      <c r="AY4" s="853" t="s">
        <v>772</v>
      </c>
      <c r="AZ4" s="853" t="str">
        <f>+VLOOKUP($AJ4,Data_Validation!$A:$E,5,0)</f>
        <v/>
      </c>
    </row>
    <row r="5" ht="15.75" customHeight="1">
      <c r="A5" s="849" t="s">
        <v>1239</v>
      </c>
      <c r="B5" s="849">
        <v>2025.0</v>
      </c>
      <c r="C5" s="849" t="s">
        <v>1248</v>
      </c>
      <c r="D5" s="849" t="s">
        <v>1249</v>
      </c>
      <c r="E5" s="849" t="s">
        <v>768</v>
      </c>
      <c r="F5" s="849" t="s">
        <v>1200</v>
      </c>
      <c r="G5" s="849">
        <v>0.0</v>
      </c>
      <c r="H5" s="849">
        <v>0.0</v>
      </c>
      <c r="I5" s="849">
        <v>0.0</v>
      </c>
      <c r="J5" s="849">
        <v>0.0</v>
      </c>
      <c r="K5" s="849">
        <v>0.0</v>
      </c>
      <c r="L5" s="849">
        <v>0.0</v>
      </c>
      <c r="M5" s="849">
        <v>0.0</v>
      </c>
      <c r="N5" s="849">
        <v>0.0</v>
      </c>
      <c r="O5" s="849">
        <v>0.0</v>
      </c>
      <c r="P5" s="849">
        <v>0.0</v>
      </c>
      <c r="Q5" s="849">
        <v>56.88</v>
      </c>
      <c r="R5" s="849">
        <v>56.88</v>
      </c>
      <c r="S5" s="849">
        <v>5.17</v>
      </c>
      <c r="T5" s="849">
        <v>5.17</v>
      </c>
      <c r="U5" s="849">
        <v>0.0</v>
      </c>
      <c r="V5" s="849">
        <v>0.0</v>
      </c>
      <c r="W5" s="849">
        <v>0.0</v>
      </c>
      <c r="X5" s="849">
        <v>0.0</v>
      </c>
      <c r="Y5" s="849">
        <v>0.0</v>
      </c>
      <c r="Z5" s="849">
        <v>0.0</v>
      </c>
      <c r="AA5" s="849">
        <v>0.0</v>
      </c>
      <c r="AB5" s="849">
        <v>0.0</v>
      </c>
      <c r="AC5" s="849">
        <v>0.0</v>
      </c>
      <c r="AD5" s="849">
        <v>0.0</v>
      </c>
      <c r="AE5" s="849">
        <v>0.0</v>
      </c>
      <c r="AF5" s="849">
        <v>0.0</v>
      </c>
      <c r="AG5" s="849">
        <v>0.0</v>
      </c>
      <c r="AH5" s="849">
        <v>0.0</v>
      </c>
      <c r="AI5" s="849">
        <v>0.0</v>
      </c>
      <c r="AJ5" s="794" t="str">
        <f t="shared" ref="AJ5:AK5" si="7">C5</f>
        <v>G0113</v>
      </c>
      <c r="AK5" s="794" t="str">
        <f t="shared" si="7"/>
        <v>FRAIS LIVRAISON U.S.A</v>
      </c>
      <c r="AL5" s="794">
        <f t="array" ref="AL5">IFERROR(INDEX(G5:R5,1,MATCH(Parametres!$B$3,G$1:R$1,0)-1)*IF(OR(F5="L",F5="S",F5="I"),-1,1),"")</f>
        <v>0</v>
      </c>
      <c r="AM5" s="794">
        <f t="shared" si="4"/>
        <v>0</v>
      </c>
      <c r="AN5" s="794">
        <f t="array" ref="AN5">INDEX(G5:R5,1,MATCH(Parametres!$B$3,G$1:R$1,0))*IF(OR(F5="L",F5="S",F5="I"),-1,1)</f>
        <v>0</v>
      </c>
      <c r="AO5" s="853" t="str">
        <f>+VLOOKUP($AJ5,Data_Validation!$A:$D,1,0)</f>
        <v>G0113</v>
      </c>
      <c r="AP5" s="853" t="str">
        <f>+VLOOKUP($AJ5,Data_Validation!$A:$D,3,0)</f>
        <v>Wholesale autres</v>
      </c>
      <c r="AQ5" s="853" t="str">
        <f>+VLOOKUP($AJ5,Data_Validation!$A:$D,4,0)</f>
        <v>Comm. vendeurs</v>
      </c>
      <c r="AR5" s="853" t="s">
        <v>728</v>
      </c>
      <c r="AS5" s="853" t="str">
        <f>+VLOOKUP($AJ5,Data_Validation!$A:$E,5,0)</f>
        <v/>
      </c>
      <c r="AT5" s="794" t="str">
        <f t="shared" ref="AT5:AU5" si="8">C5</f>
        <v>G0113</v>
      </c>
      <c r="AU5" s="854" t="str">
        <f t="shared" si="8"/>
        <v>FRAIS LIVRAISON U.S.A</v>
      </c>
      <c r="AV5" s="794">
        <f t="array" ref="AV5">IFERROR(INDEX(V5:AG5,1,MATCH(Parametres!$B$3,V$1:AG$1,0)-1)*IF(OR(C5="L",C5="S",C5="I"),-1,1),"")</f>
        <v>0</v>
      </c>
      <c r="AW5" s="794">
        <f t="shared" si="6"/>
        <v>0</v>
      </c>
      <c r="AX5" s="794">
        <f t="array" ref="AX5">INDEX(V5:AG5,1,MATCH(Parametres!$B$3,V$1:AG$1,0))*IF(OR(C5="L",C5="S",C5="I"),-1,1)</f>
        <v>0</v>
      </c>
      <c r="AY5" s="853" t="s">
        <v>772</v>
      </c>
      <c r="AZ5" s="853" t="str">
        <f>+VLOOKUP($AJ5,Data_Validation!$A:$E,5,0)</f>
        <v/>
      </c>
    </row>
    <row r="6" ht="15.75" customHeight="1">
      <c r="A6" s="849" t="s">
        <v>1239</v>
      </c>
      <c r="B6" s="849">
        <v>2025.0</v>
      </c>
      <c r="C6" s="849" t="s">
        <v>1250</v>
      </c>
      <c r="D6" s="849" t="s">
        <v>1251</v>
      </c>
      <c r="E6" s="849" t="s">
        <v>768</v>
      </c>
      <c r="F6" s="849" t="s">
        <v>1200</v>
      </c>
      <c r="G6" s="849">
        <v>-911.47</v>
      </c>
      <c r="H6" s="849">
        <v>4642.4</v>
      </c>
      <c r="I6" s="849">
        <v>7178.39</v>
      </c>
      <c r="J6" s="849">
        <v>9332.68</v>
      </c>
      <c r="K6" s="849">
        <v>-2789.0</v>
      </c>
      <c r="L6" s="849">
        <v>-8118.71</v>
      </c>
      <c r="M6" s="849">
        <v>-23889.51</v>
      </c>
      <c r="N6" s="849">
        <v>-33018.25</v>
      </c>
      <c r="O6" s="849">
        <v>-35159.95</v>
      </c>
      <c r="P6" s="849">
        <v>-43661.0</v>
      </c>
      <c r="Q6" s="849">
        <v>-45295.61</v>
      </c>
      <c r="R6" s="849">
        <v>-57587.0</v>
      </c>
      <c r="S6" s="849">
        <v>-4117.78</v>
      </c>
      <c r="T6" s="849">
        <v>-4117.78</v>
      </c>
      <c r="U6" s="849">
        <v>0.0</v>
      </c>
      <c r="V6" s="849">
        <v>0.0</v>
      </c>
      <c r="W6" s="849">
        <v>0.0</v>
      </c>
      <c r="X6" s="849">
        <v>0.0</v>
      </c>
      <c r="Y6" s="849">
        <v>0.0</v>
      </c>
      <c r="Z6" s="849">
        <v>0.0</v>
      </c>
      <c r="AA6" s="849">
        <v>0.0</v>
      </c>
      <c r="AB6" s="849">
        <v>0.0</v>
      </c>
      <c r="AC6" s="849">
        <v>0.0</v>
      </c>
      <c r="AD6" s="849">
        <v>0.0</v>
      </c>
      <c r="AE6" s="849">
        <v>0.0</v>
      </c>
      <c r="AF6" s="849">
        <v>0.0</v>
      </c>
      <c r="AG6" s="849">
        <v>0.0</v>
      </c>
      <c r="AH6" s="849">
        <v>0.0</v>
      </c>
      <c r="AI6" s="849">
        <v>0.0</v>
      </c>
      <c r="AJ6" s="794" t="str">
        <f t="shared" ref="AJ6:AK6" si="9">C6</f>
        <v>G0131</v>
      </c>
      <c r="AK6" s="794" t="str">
        <f t="shared" si="9"/>
        <v>FRAIS LIVRAISON-NEUFS</v>
      </c>
      <c r="AL6" s="794">
        <f t="array" ref="AL6">IFERROR(INDEX(G6:R6,1,MATCH(Parametres!$B$3,G$1:R$1,0)-1)*IF(OR(F6="L",F6="S",F6="I"),-1,1),"")</f>
        <v>-33018.25</v>
      </c>
      <c r="AM6" s="794">
        <f t="shared" si="4"/>
        <v>-2141.7</v>
      </c>
      <c r="AN6" s="794">
        <f t="array" ref="AN6">INDEX(G6:R6,1,MATCH(Parametres!$B$3,G$1:R$1,0))*IF(OR(F6="L",F6="S",F6="I"),-1,1)</f>
        <v>-35159.95</v>
      </c>
      <c r="AO6" s="853" t="str">
        <f>+VLOOKUP($AJ6,Data_Validation!$A:$D,1,0)</f>
        <v>G0131</v>
      </c>
      <c r="AP6" s="853" t="str">
        <f>+VLOOKUP($AJ6,Data_Validation!$A:$D,3,0)</f>
        <v>Véhicules neufs</v>
      </c>
      <c r="AQ6" s="853" t="str">
        <f>+VLOOKUP($AJ6,Data_Validation!$A:$D,4,0)</f>
        <v>Frais de livraison</v>
      </c>
      <c r="AR6" s="853" t="s">
        <v>728</v>
      </c>
      <c r="AS6" s="853" t="str">
        <f>+VLOOKUP($AJ6,Data_Validation!$A:$E,5,0)</f>
        <v/>
      </c>
      <c r="AT6" s="794" t="str">
        <f t="shared" ref="AT6:AU6" si="10">C6</f>
        <v>G0131</v>
      </c>
      <c r="AU6" s="854" t="str">
        <f t="shared" si="10"/>
        <v>FRAIS LIVRAISON-NEUFS</v>
      </c>
      <c r="AV6" s="794">
        <f t="array" ref="AV6">IFERROR(INDEX(V6:AG6,1,MATCH(Parametres!$B$3,V$1:AG$1,0)-1)*IF(OR(C6="L",C6="S",C6="I"),-1,1),"")</f>
        <v>0</v>
      </c>
      <c r="AW6" s="794">
        <f t="shared" si="6"/>
        <v>0</v>
      </c>
      <c r="AX6" s="794">
        <f t="array" ref="AX6">INDEX(V6:AG6,1,MATCH(Parametres!$B$3,V$1:AG$1,0))*IF(OR(C6="L",C6="S",C6="I"),-1,1)</f>
        <v>0</v>
      </c>
      <c r="AY6" s="853" t="s">
        <v>772</v>
      </c>
      <c r="AZ6" s="853" t="str">
        <f>+VLOOKUP($AJ6,Data_Validation!$A:$E,5,0)</f>
        <v/>
      </c>
    </row>
    <row r="7" ht="15.0" customHeight="1">
      <c r="A7" s="849" t="s">
        <v>1239</v>
      </c>
      <c r="B7" s="849">
        <v>2025.0</v>
      </c>
      <c r="C7" s="849" t="s">
        <v>1252</v>
      </c>
      <c r="D7" s="849" t="s">
        <v>1253</v>
      </c>
      <c r="E7" s="849" t="s">
        <v>768</v>
      </c>
      <c r="F7" s="849" t="s">
        <v>1200</v>
      </c>
      <c r="G7" s="849">
        <v>-1211.56</v>
      </c>
      <c r="H7" s="849">
        <v>7093.68</v>
      </c>
      <c r="I7" s="849">
        <v>-775.89</v>
      </c>
      <c r="J7" s="849">
        <v>1302.53</v>
      </c>
      <c r="K7" s="849">
        <v>2994.98</v>
      </c>
      <c r="L7" s="849">
        <v>5227.99</v>
      </c>
      <c r="M7" s="849">
        <v>2508.05</v>
      </c>
      <c r="N7" s="849">
        <v>-6659.07</v>
      </c>
      <c r="O7" s="849">
        <v>-12227.85</v>
      </c>
      <c r="P7" s="849">
        <v>-17339.48</v>
      </c>
      <c r="Q7" s="849">
        <v>-23647.12</v>
      </c>
      <c r="R7" s="849">
        <v>-16904.61</v>
      </c>
      <c r="S7" s="849">
        <v>-2149.74</v>
      </c>
      <c r="T7" s="849">
        <v>-2149.74</v>
      </c>
      <c r="U7" s="849">
        <v>0.0</v>
      </c>
      <c r="V7" s="849">
        <v>0.0</v>
      </c>
      <c r="W7" s="849">
        <v>0.0</v>
      </c>
      <c r="X7" s="849">
        <v>0.0</v>
      </c>
      <c r="Y7" s="849">
        <v>0.0</v>
      </c>
      <c r="Z7" s="849">
        <v>0.0</v>
      </c>
      <c r="AA7" s="849">
        <v>0.0</v>
      </c>
      <c r="AB7" s="849">
        <v>0.0</v>
      </c>
      <c r="AC7" s="849">
        <v>0.0</v>
      </c>
      <c r="AD7" s="849">
        <v>0.0</v>
      </c>
      <c r="AE7" s="849">
        <v>0.0</v>
      </c>
      <c r="AF7" s="849">
        <v>0.0</v>
      </c>
      <c r="AG7" s="849">
        <v>0.0</v>
      </c>
      <c r="AH7" s="849">
        <v>0.0</v>
      </c>
      <c r="AI7" s="849">
        <v>0.0</v>
      </c>
      <c r="AJ7" s="794" t="str">
        <f t="shared" ref="AJ7:AK7" si="11">C7</f>
        <v>G0132</v>
      </c>
      <c r="AK7" s="794" t="str">
        <f t="shared" si="11"/>
        <v>FRAIS LIVRAISON-USAGE</v>
      </c>
      <c r="AL7" s="794">
        <f t="array" ref="AL7">IFERROR(INDEX(G7:R7,1,MATCH(Parametres!$B$3,G$1:R$1,0)-1)*IF(OR(F7="L",F7="S",F7="I"),-1,1),"")</f>
        <v>-6659.07</v>
      </c>
      <c r="AM7" s="794">
        <f t="shared" si="4"/>
        <v>-5568.78</v>
      </c>
      <c r="AN7" s="794">
        <f t="array" ref="AN7">INDEX(G7:R7,1,MATCH(Parametres!$B$3,G$1:R$1,0))*IF(OR(F7="L",F7="S",F7="I"),-1,1)</f>
        <v>-12227.85</v>
      </c>
      <c r="AO7" s="853" t="str">
        <f>+VLOOKUP($AJ7,Data_Validation!$A:$D,1,0)</f>
        <v>G0132</v>
      </c>
      <c r="AP7" s="853" t="str">
        <f>+VLOOKUP($AJ7,Data_Validation!$A:$D,3,0)</f>
        <v>Véhicules usagés</v>
      </c>
      <c r="AQ7" s="853" t="str">
        <f>+VLOOKUP($AJ7,Data_Validation!$A:$D,4,0)</f>
        <v>Frais de livraison</v>
      </c>
      <c r="AR7" s="853" t="s">
        <v>728</v>
      </c>
      <c r="AS7" s="853" t="str">
        <f>+VLOOKUP($AJ7,Data_Validation!$A:$E,5,0)</f>
        <v/>
      </c>
      <c r="AT7" s="794" t="str">
        <f t="shared" ref="AT7:AU7" si="12">C7</f>
        <v>G0132</v>
      </c>
      <c r="AU7" s="854" t="str">
        <f t="shared" si="12"/>
        <v>FRAIS LIVRAISON-USAGE</v>
      </c>
      <c r="AV7" s="794">
        <f t="array" ref="AV7">IFERROR(INDEX(V7:AG7,1,MATCH(Parametres!$B$3,V$1:AG$1,0)-1)*IF(OR(C7="L",C7="S",C7="I"),-1,1),"")</f>
        <v>0</v>
      </c>
      <c r="AW7" s="794">
        <f t="shared" si="6"/>
        <v>0</v>
      </c>
      <c r="AX7" s="794">
        <f t="array" ref="AX7">INDEX(V7:AG7,1,MATCH(Parametres!$B$3,V$1:AG$1,0))*IF(OR(C7="L",C7="S",C7="I"),-1,1)</f>
        <v>0</v>
      </c>
      <c r="AY7" s="853" t="s">
        <v>772</v>
      </c>
      <c r="AZ7" s="853" t="str">
        <f>+VLOOKUP($AJ7,Data_Validation!$A:$E,5,0)</f>
        <v/>
      </c>
    </row>
    <row r="8" ht="15.0" customHeight="1">
      <c r="A8" s="849" t="s">
        <v>1239</v>
      </c>
      <c r="B8" s="849">
        <v>2025.0</v>
      </c>
      <c r="C8" s="849" t="s">
        <v>1254</v>
      </c>
      <c r="D8" s="849" t="s">
        <v>1249</v>
      </c>
      <c r="E8" s="849" t="s">
        <v>768</v>
      </c>
      <c r="F8" s="849" t="s">
        <v>1200</v>
      </c>
      <c r="G8" s="849">
        <v>850.5</v>
      </c>
      <c r="H8" s="849">
        <v>1666.5</v>
      </c>
      <c r="I8" s="849">
        <v>2492.0</v>
      </c>
      <c r="J8" s="849">
        <v>4231.06</v>
      </c>
      <c r="K8" s="849">
        <v>5464.25</v>
      </c>
      <c r="L8" s="849">
        <v>5464.25</v>
      </c>
      <c r="M8" s="849">
        <v>5960.45</v>
      </c>
      <c r="N8" s="849">
        <v>6132.45</v>
      </c>
      <c r="O8" s="849">
        <v>8337.91</v>
      </c>
      <c r="P8" s="849">
        <v>9415.61</v>
      </c>
      <c r="Q8" s="849">
        <v>10646.31</v>
      </c>
      <c r="R8" s="849">
        <v>21468.9</v>
      </c>
      <c r="S8" s="849">
        <v>967.85</v>
      </c>
      <c r="T8" s="849">
        <v>967.85</v>
      </c>
      <c r="U8" s="849">
        <v>0.0</v>
      </c>
      <c r="V8" s="849">
        <v>0.0</v>
      </c>
      <c r="W8" s="849">
        <v>0.0</v>
      </c>
      <c r="X8" s="849">
        <v>0.0</v>
      </c>
      <c r="Y8" s="849">
        <v>0.0</v>
      </c>
      <c r="Z8" s="849">
        <v>0.0</v>
      </c>
      <c r="AA8" s="849">
        <v>0.0</v>
      </c>
      <c r="AB8" s="849">
        <v>0.0</v>
      </c>
      <c r="AC8" s="849">
        <v>0.0</v>
      </c>
      <c r="AD8" s="849">
        <v>0.0</v>
      </c>
      <c r="AE8" s="849">
        <v>0.0</v>
      </c>
      <c r="AF8" s="849">
        <v>0.0</v>
      </c>
      <c r="AG8" s="849">
        <v>0.0</v>
      </c>
      <c r="AH8" s="849">
        <v>0.0</v>
      </c>
      <c r="AI8" s="849">
        <v>0.0</v>
      </c>
      <c r="AJ8" s="794" t="str">
        <f t="shared" ref="AJ8:AK8" si="13">C8</f>
        <v>G0133</v>
      </c>
      <c r="AK8" s="794" t="str">
        <f t="shared" si="13"/>
        <v>FRAIS LIVRAISON U.S.A</v>
      </c>
      <c r="AL8" s="794">
        <f t="array" ref="AL8">IFERROR(INDEX(G8:R8,1,MATCH(Parametres!$B$3,G$1:R$1,0)-1)*IF(OR(F8="L",F8="S",F8="I"),-1,1),"")</f>
        <v>6132.45</v>
      </c>
      <c r="AM8" s="794">
        <f t="shared" si="4"/>
        <v>2205.46</v>
      </c>
      <c r="AN8" s="794">
        <f t="array" ref="AN8">INDEX(G8:R8,1,MATCH(Parametres!$B$3,G$1:R$1,0))*IF(OR(F8="L",F8="S",F8="I"),-1,1)</f>
        <v>8337.91</v>
      </c>
      <c r="AO8" s="853" t="str">
        <f>+VLOOKUP($AJ8,Data_Validation!$A:$D,1,0)</f>
        <v>G0133</v>
      </c>
      <c r="AP8" s="853" t="str">
        <f>+VLOOKUP($AJ8,Data_Validation!$A:$D,3,0)</f>
        <v>Wholesale autres</v>
      </c>
      <c r="AQ8" s="853" t="str">
        <f>+VLOOKUP($AJ8,Data_Validation!$A:$D,4,0)</f>
        <v>Frais de livraison</v>
      </c>
      <c r="AR8" s="853" t="s">
        <v>728</v>
      </c>
      <c r="AS8" s="853" t="str">
        <f>+VLOOKUP($AJ8,Data_Validation!$A:$E,5,0)</f>
        <v/>
      </c>
      <c r="AT8" s="794" t="str">
        <f t="shared" ref="AT8:AU8" si="14">C8</f>
        <v>G0133</v>
      </c>
      <c r="AU8" s="854" t="str">
        <f t="shared" si="14"/>
        <v>FRAIS LIVRAISON U.S.A</v>
      </c>
      <c r="AV8" s="794">
        <f t="array" ref="AV8">IFERROR(INDEX(V8:AG8,1,MATCH(Parametres!$B$3,V$1:AG$1,0)-1)*IF(OR(C8="L",C8="S",C8="I"),-1,1),"")</f>
        <v>0</v>
      </c>
      <c r="AW8" s="794">
        <f t="shared" si="6"/>
        <v>0</v>
      </c>
      <c r="AX8" s="794">
        <f t="array" ref="AX8">INDEX(V8:AG8,1,MATCH(Parametres!$B$3,V$1:AG$1,0))*IF(OR(C8="L",C8="S",C8="I"),-1,1)</f>
        <v>0</v>
      </c>
      <c r="AY8" s="853" t="s">
        <v>772</v>
      </c>
      <c r="AZ8" s="853" t="str">
        <f>+VLOOKUP($AJ8,Data_Validation!$A:$E,5,0)</f>
        <v/>
      </c>
    </row>
    <row r="9" ht="15.0" customHeight="1">
      <c r="A9" s="849" t="s">
        <v>1239</v>
      </c>
      <c r="B9" s="849">
        <v>2025.0</v>
      </c>
      <c r="C9" s="849" t="s">
        <v>1265</v>
      </c>
      <c r="D9" s="849" t="s">
        <v>1266</v>
      </c>
      <c r="E9" s="849" t="s">
        <v>768</v>
      </c>
      <c r="F9" s="849" t="s">
        <v>1200</v>
      </c>
      <c r="G9" s="849">
        <v>550.0</v>
      </c>
      <c r="H9" s="849">
        <v>1364.0</v>
      </c>
      <c r="I9" s="849">
        <v>-203.64</v>
      </c>
      <c r="J9" s="849">
        <v>-203.64</v>
      </c>
      <c r="K9" s="849">
        <v>1965.31</v>
      </c>
      <c r="L9" s="849">
        <v>2055.28</v>
      </c>
      <c r="M9" s="849">
        <v>2725.26</v>
      </c>
      <c r="N9" s="849">
        <v>3342.81</v>
      </c>
      <c r="O9" s="849">
        <v>3686.1</v>
      </c>
      <c r="P9" s="849">
        <v>4695.11</v>
      </c>
      <c r="Q9" s="849">
        <v>6692.95</v>
      </c>
      <c r="R9" s="849">
        <v>6692.95</v>
      </c>
      <c r="S9" s="849">
        <v>608.45</v>
      </c>
      <c r="T9" s="849">
        <v>608.45</v>
      </c>
      <c r="U9" s="849">
        <v>0.0</v>
      </c>
      <c r="V9" s="849">
        <v>0.0</v>
      </c>
      <c r="W9" s="849">
        <v>0.0</v>
      </c>
      <c r="X9" s="849">
        <v>0.0</v>
      </c>
      <c r="Y9" s="849">
        <v>0.0</v>
      </c>
      <c r="Z9" s="849">
        <v>0.0</v>
      </c>
      <c r="AA9" s="849">
        <v>0.0</v>
      </c>
      <c r="AB9" s="849">
        <v>0.0</v>
      </c>
      <c r="AC9" s="849">
        <v>0.0</v>
      </c>
      <c r="AD9" s="849">
        <v>0.0</v>
      </c>
      <c r="AE9" s="849">
        <v>0.0</v>
      </c>
      <c r="AF9" s="849">
        <v>0.0</v>
      </c>
      <c r="AG9" s="849">
        <v>0.0</v>
      </c>
      <c r="AH9" s="849">
        <v>0.0</v>
      </c>
      <c r="AI9" s="849">
        <v>0.0</v>
      </c>
      <c r="AJ9" s="794" t="str">
        <f t="shared" ref="AJ9:AK9" si="15">C9</f>
        <v>G0151</v>
      </c>
      <c r="AK9" s="794" t="str">
        <f t="shared" si="15"/>
        <v>TRAV. TITRE GRATIEUX NEUF</v>
      </c>
      <c r="AL9" s="794">
        <f t="array" ref="AL9">IFERROR(INDEX(G9:R9,1,MATCH(Parametres!$B$3,G$1:R$1,0)-1)*IF(OR(F9="L",F9="S",F9="I"),-1,1),"")</f>
        <v>3342.81</v>
      </c>
      <c r="AM9" s="794">
        <f t="shared" si="4"/>
        <v>343.29</v>
      </c>
      <c r="AN9" s="794">
        <f t="array" ref="AN9">INDEX(G9:R9,1,MATCH(Parametres!$B$3,G$1:R$1,0))*IF(OR(F9="L",F9="S",F9="I"),-1,1)</f>
        <v>3686.1</v>
      </c>
      <c r="AO9" s="853" t="str">
        <f>+VLOOKUP($AJ9,Data_Validation!$A:$D,1,0)</f>
        <v>G0151</v>
      </c>
      <c r="AP9" s="853" t="str">
        <f>+VLOOKUP($AJ9,Data_Validation!$A:$D,3,0)</f>
        <v>Véhicules neufs</v>
      </c>
      <c r="AQ9" s="853" t="str">
        <f>+VLOOKUP($AJ9,Data_Validation!$A:$D,4,0)</f>
        <v>Service gratuit 1</v>
      </c>
      <c r="AR9" s="853" t="s">
        <v>728</v>
      </c>
      <c r="AS9" s="853" t="str">
        <f>+VLOOKUP($AJ9,Data_Validation!$A:$E,5,0)</f>
        <v/>
      </c>
      <c r="AT9" s="794" t="str">
        <f t="shared" ref="AT9:AU9" si="16">C9</f>
        <v>G0151</v>
      </c>
      <c r="AU9" s="854" t="str">
        <f t="shared" si="16"/>
        <v>TRAV. TITRE GRATIEUX NEUF</v>
      </c>
      <c r="AV9" s="794">
        <f t="array" ref="AV9">IFERROR(INDEX(V9:AG9,1,MATCH(Parametres!$B$3,V$1:AG$1,0)-1)*IF(OR(C9="L",C9="S",C9="I"),-1,1),"")</f>
        <v>0</v>
      </c>
      <c r="AW9" s="794">
        <f t="shared" si="6"/>
        <v>0</v>
      </c>
      <c r="AX9" s="794">
        <f t="array" ref="AX9">INDEX(V9:AG9,1,MATCH(Parametres!$B$3,V$1:AG$1,0))*IF(OR(C9="L",C9="S",C9="I"),-1,1)</f>
        <v>0</v>
      </c>
      <c r="AY9" s="853" t="s">
        <v>772</v>
      </c>
      <c r="AZ9" s="853" t="str">
        <f>+VLOOKUP($AJ9,Data_Validation!$A:$E,5,0)</f>
        <v/>
      </c>
    </row>
    <row r="10" ht="15.0" customHeight="1">
      <c r="A10" s="849" t="s">
        <v>1239</v>
      </c>
      <c r="B10" s="849">
        <v>2025.0</v>
      </c>
      <c r="C10" s="849" t="s">
        <v>1267</v>
      </c>
      <c r="D10" s="849" t="s">
        <v>1268</v>
      </c>
      <c r="E10" s="849" t="s">
        <v>768</v>
      </c>
      <c r="F10" s="849" t="s">
        <v>1200</v>
      </c>
      <c r="G10" s="849">
        <v>0.0</v>
      </c>
      <c r="H10" s="849">
        <v>0.0</v>
      </c>
      <c r="I10" s="849">
        <v>0.0</v>
      </c>
      <c r="J10" s="849">
        <v>0.0</v>
      </c>
      <c r="K10" s="849">
        <v>530.62</v>
      </c>
      <c r="L10" s="849">
        <v>530.62</v>
      </c>
      <c r="M10" s="849">
        <v>1218.05</v>
      </c>
      <c r="N10" s="849">
        <v>1462.05</v>
      </c>
      <c r="O10" s="849">
        <v>1590.78</v>
      </c>
      <c r="P10" s="849">
        <v>2088.99</v>
      </c>
      <c r="Q10" s="849">
        <v>2466.23</v>
      </c>
      <c r="R10" s="849">
        <v>4608.49</v>
      </c>
      <c r="S10" s="849">
        <v>224.2</v>
      </c>
      <c r="T10" s="849">
        <v>224.2</v>
      </c>
      <c r="U10" s="849">
        <v>0.0</v>
      </c>
      <c r="V10" s="849">
        <v>0.0</v>
      </c>
      <c r="W10" s="849">
        <v>0.0</v>
      </c>
      <c r="X10" s="849">
        <v>0.0</v>
      </c>
      <c r="Y10" s="849">
        <v>0.0</v>
      </c>
      <c r="Z10" s="849">
        <v>0.0</v>
      </c>
      <c r="AA10" s="849">
        <v>0.0</v>
      </c>
      <c r="AB10" s="849">
        <v>0.0</v>
      </c>
      <c r="AC10" s="849">
        <v>0.0</v>
      </c>
      <c r="AD10" s="849">
        <v>0.0</v>
      </c>
      <c r="AE10" s="849">
        <v>0.0</v>
      </c>
      <c r="AF10" s="849">
        <v>0.0</v>
      </c>
      <c r="AG10" s="849">
        <v>0.0</v>
      </c>
      <c r="AH10" s="849">
        <v>0.0</v>
      </c>
      <c r="AI10" s="849">
        <v>0.0</v>
      </c>
      <c r="AJ10" s="794" t="str">
        <f t="shared" ref="AJ10:AK10" si="17">C10</f>
        <v>G0152</v>
      </c>
      <c r="AK10" s="794" t="str">
        <f t="shared" si="17"/>
        <v>TRAVAIL GARANTI USAGÉS</v>
      </c>
      <c r="AL10" s="794">
        <f t="array" ref="AL10">IFERROR(INDEX(G10:R10,1,MATCH(Parametres!$B$3,G$1:R$1,0)-1)*IF(OR(F10="L",F10="S",F10="I"),-1,1),"")</f>
        <v>1462.05</v>
      </c>
      <c r="AM10" s="794">
        <f t="shared" si="4"/>
        <v>128.73</v>
      </c>
      <c r="AN10" s="794">
        <f t="array" ref="AN10">INDEX(G10:R10,1,MATCH(Parametres!$B$3,G$1:R$1,0))*IF(OR(F10="L",F10="S",F10="I"),-1,1)</f>
        <v>1590.78</v>
      </c>
      <c r="AO10" s="853" t="str">
        <f>+VLOOKUP($AJ10,Data_Validation!$A:$D,1,0)</f>
        <v>G0152</v>
      </c>
      <c r="AP10" s="853" t="str">
        <f>+VLOOKUP($AJ10,Data_Validation!$A:$D,3,0)</f>
        <v>Véhicules usagés</v>
      </c>
      <c r="AQ10" s="853" t="str">
        <f>+VLOOKUP($AJ10,Data_Validation!$A:$D,4,0)</f>
        <v>Service gratuit 1</v>
      </c>
      <c r="AR10" s="853" t="s">
        <v>728</v>
      </c>
      <c r="AS10" s="853" t="str">
        <f>+VLOOKUP($AJ10,Data_Validation!$A:$E,5,0)</f>
        <v/>
      </c>
      <c r="AT10" s="794" t="str">
        <f t="shared" ref="AT10:AU10" si="18">C10</f>
        <v>G0152</v>
      </c>
      <c r="AU10" s="854" t="str">
        <f t="shared" si="18"/>
        <v>TRAVAIL GARANTI USAGÉS</v>
      </c>
      <c r="AV10" s="794">
        <f t="array" ref="AV10">IFERROR(INDEX(V10:AG10,1,MATCH(Parametres!$B$3,V$1:AG$1,0)-1)*IF(OR(C10="L",C10="S",C10="I"),-1,1),"")</f>
        <v>0</v>
      </c>
      <c r="AW10" s="794">
        <f t="shared" si="6"/>
        <v>0</v>
      </c>
      <c r="AX10" s="794">
        <f t="array" ref="AX10">INDEX(V10:AG10,1,MATCH(Parametres!$B$3,V$1:AG$1,0))*IF(OR(C10="L",C10="S",C10="I"),-1,1)</f>
        <v>0</v>
      </c>
      <c r="AY10" s="853" t="s">
        <v>772</v>
      </c>
      <c r="AZ10" s="853" t="str">
        <f>+VLOOKUP($AJ10,Data_Validation!$A:$E,5,0)</f>
        <v/>
      </c>
    </row>
    <row r="11" ht="15.0" customHeight="1">
      <c r="A11" s="849" t="s">
        <v>1239</v>
      </c>
      <c r="B11" s="849">
        <v>2025.0</v>
      </c>
      <c r="C11" s="849" t="s">
        <v>1269</v>
      </c>
      <c r="D11" s="849" t="s">
        <v>1270</v>
      </c>
      <c r="E11" s="849" t="s">
        <v>768</v>
      </c>
      <c r="F11" s="849" t="s">
        <v>1200</v>
      </c>
      <c r="G11" s="849">
        <v>0.0</v>
      </c>
      <c r="H11" s="849">
        <v>0.0</v>
      </c>
      <c r="I11" s="849">
        <v>0.0</v>
      </c>
      <c r="J11" s="849">
        <v>0.0</v>
      </c>
      <c r="K11" s="849">
        <v>0.0</v>
      </c>
      <c r="L11" s="849">
        <v>0.0</v>
      </c>
      <c r="M11" s="849">
        <v>0.0</v>
      </c>
      <c r="N11" s="849">
        <v>0.0</v>
      </c>
      <c r="O11" s="849">
        <v>0.0</v>
      </c>
      <c r="P11" s="849">
        <v>0.0</v>
      </c>
      <c r="Q11" s="849">
        <v>0.0</v>
      </c>
      <c r="R11" s="849">
        <v>0.0</v>
      </c>
      <c r="S11" s="849">
        <v>0.0</v>
      </c>
      <c r="T11" s="849">
        <v>0.0</v>
      </c>
      <c r="U11" s="849">
        <v>0.0</v>
      </c>
      <c r="V11" s="849">
        <v>0.0</v>
      </c>
      <c r="W11" s="849">
        <v>0.0</v>
      </c>
      <c r="X11" s="849">
        <v>0.0</v>
      </c>
      <c r="Y11" s="849">
        <v>0.0</v>
      </c>
      <c r="Z11" s="849">
        <v>0.0</v>
      </c>
      <c r="AA11" s="849">
        <v>0.0</v>
      </c>
      <c r="AB11" s="849">
        <v>0.0</v>
      </c>
      <c r="AC11" s="849">
        <v>0.0</v>
      </c>
      <c r="AD11" s="849">
        <v>0.0</v>
      </c>
      <c r="AE11" s="849">
        <v>0.0</v>
      </c>
      <c r="AF11" s="849">
        <v>0.0</v>
      </c>
      <c r="AG11" s="849">
        <v>0.0</v>
      </c>
      <c r="AH11" s="849">
        <v>0.0</v>
      </c>
      <c r="AI11" s="849">
        <v>0.0</v>
      </c>
      <c r="AJ11" s="794" t="str">
        <f t="shared" ref="AJ11:AK11" si="19">C11</f>
        <v>G0153</v>
      </c>
      <c r="AK11" s="794" t="str">
        <f t="shared" si="19"/>
        <v>TRAVAUX GRATUIT U.S.A</v>
      </c>
      <c r="AL11" s="794">
        <f t="array" ref="AL11">IFERROR(INDEX(G11:R11,1,MATCH(Parametres!$B$3,G$1:R$1,0)-1)*IF(OR(F11="L",F11="S",F11="I"),-1,1),"")</f>
        <v>0</v>
      </c>
      <c r="AM11" s="794">
        <f t="shared" si="4"/>
        <v>0</v>
      </c>
      <c r="AN11" s="794">
        <f t="array" ref="AN11">INDEX(G11:R11,1,MATCH(Parametres!$B$3,G$1:R$1,0))*IF(OR(F11="L",F11="S",F11="I"),-1,1)</f>
        <v>0</v>
      </c>
      <c r="AO11" s="853" t="str">
        <f>+VLOOKUP($AJ11,Data_Validation!$A:$D,1,0)</f>
        <v>G0153</v>
      </c>
      <c r="AP11" s="853" t="str">
        <f>+VLOOKUP($AJ11,Data_Validation!$A:$D,3,0)</f>
        <v>Wholesale autres</v>
      </c>
      <c r="AQ11" s="853" t="str">
        <f>+VLOOKUP($AJ11,Data_Validation!$A:$D,4,0)</f>
        <v>Service gratuit 1</v>
      </c>
      <c r="AR11" s="853" t="s">
        <v>728</v>
      </c>
      <c r="AS11" s="853" t="str">
        <f>+VLOOKUP($AJ11,Data_Validation!$A:$E,5,0)</f>
        <v/>
      </c>
      <c r="AT11" s="794" t="str">
        <f t="shared" ref="AT11:AU11" si="20">C11</f>
        <v>G0153</v>
      </c>
      <c r="AU11" s="854" t="str">
        <f t="shared" si="20"/>
        <v>TRAVAUX GRATUIT U.S.A</v>
      </c>
      <c r="AV11" s="794">
        <f t="array" ref="AV11">IFERROR(INDEX(V11:AG11,1,MATCH(Parametres!$B$3,V$1:AG$1,0)-1)*IF(OR(C11="L",C11="S",C11="I"),-1,1),"")</f>
        <v>0</v>
      </c>
      <c r="AW11" s="794">
        <f t="shared" si="6"/>
        <v>0</v>
      </c>
      <c r="AX11" s="794">
        <f t="array" ref="AX11">INDEX(V11:AG11,1,MATCH(Parametres!$B$3,V$1:AG$1,0))*IF(OR(C11="L",C11="S",C11="I"),-1,1)</f>
        <v>0</v>
      </c>
      <c r="AY11" s="853" t="s">
        <v>772</v>
      </c>
      <c r="AZ11" s="853" t="str">
        <f>+VLOOKUP($AJ11,Data_Validation!$A:$E,5,0)</f>
        <v/>
      </c>
    </row>
    <row r="12" ht="15.0" customHeight="1">
      <c r="A12" s="849" t="s">
        <v>1239</v>
      </c>
      <c r="B12" s="849">
        <v>2025.0</v>
      </c>
      <c r="C12" s="849" t="s">
        <v>1275</v>
      </c>
      <c r="D12" s="849" t="s">
        <v>1276</v>
      </c>
      <c r="E12" s="849" t="s">
        <v>768</v>
      </c>
      <c r="F12" s="849" t="s">
        <v>1200</v>
      </c>
      <c r="G12" s="849">
        <v>0.0</v>
      </c>
      <c r="H12" s="849">
        <v>0.0</v>
      </c>
      <c r="I12" s="849">
        <v>0.0</v>
      </c>
      <c r="J12" s="849">
        <v>0.0</v>
      </c>
      <c r="K12" s="849">
        <v>0.0</v>
      </c>
      <c r="L12" s="849">
        <v>0.0</v>
      </c>
      <c r="M12" s="849">
        <v>0.0</v>
      </c>
      <c r="N12" s="849">
        <v>0.0</v>
      </c>
      <c r="O12" s="849">
        <v>0.0</v>
      </c>
      <c r="P12" s="849">
        <v>0.0</v>
      </c>
      <c r="Q12" s="849">
        <v>0.0</v>
      </c>
      <c r="R12" s="849">
        <v>0.0</v>
      </c>
      <c r="S12" s="849">
        <v>0.0</v>
      </c>
      <c r="T12" s="849">
        <v>0.0</v>
      </c>
      <c r="U12" s="849">
        <v>0.0</v>
      </c>
      <c r="V12" s="849">
        <v>0.0</v>
      </c>
      <c r="W12" s="849">
        <v>0.0</v>
      </c>
      <c r="X12" s="849">
        <v>0.0</v>
      </c>
      <c r="Y12" s="849">
        <v>0.0</v>
      </c>
      <c r="Z12" s="849">
        <v>0.0</v>
      </c>
      <c r="AA12" s="849">
        <v>0.0</v>
      </c>
      <c r="AB12" s="849">
        <v>0.0</v>
      </c>
      <c r="AC12" s="849">
        <v>0.0</v>
      </c>
      <c r="AD12" s="849">
        <v>0.0</v>
      </c>
      <c r="AE12" s="849">
        <v>0.0</v>
      </c>
      <c r="AF12" s="849">
        <v>0.0</v>
      </c>
      <c r="AG12" s="849">
        <v>0.0</v>
      </c>
      <c r="AH12" s="849">
        <v>0.0</v>
      </c>
      <c r="AI12" s="849">
        <v>0.0</v>
      </c>
      <c r="AJ12" s="794" t="str">
        <f t="shared" ref="AJ12:AK12" si="21">C12</f>
        <v>G0200</v>
      </c>
      <c r="AK12" s="794" t="str">
        <f t="shared" si="21"/>
        <v>SALAIRE PROPRIETAIRE REP.</v>
      </c>
      <c r="AL12" s="794">
        <f t="array" ref="AL12">IFERROR(INDEX(G12:R12,1,MATCH(Parametres!$B$3,G$1:R$1,0)-1)*IF(OR(F12="L",F12="S",F12="I"),-1,1),"")</f>
        <v>0</v>
      </c>
      <c r="AM12" s="794">
        <f t="shared" si="4"/>
        <v>0</v>
      </c>
      <c r="AN12" s="794">
        <f t="array" ref="AN12">INDEX(G12:R12,1,MATCH(Parametres!$B$3,G$1:R$1,0))*IF(OR(F12="L",F12="S",F12="I"),-1,1)</f>
        <v>0</v>
      </c>
      <c r="AO12" s="853" t="str">
        <f>+VLOOKUP($AJ12,Data_Validation!$A:$D,1,0)</f>
        <v>#N/A</v>
      </c>
      <c r="AP12" s="853" t="str">
        <f>+VLOOKUP($AJ12,Data_Validation!$A:$D,3,0)</f>
        <v>#N/A</v>
      </c>
      <c r="AQ12" s="853" t="str">
        <f>+VLOOKUP($AJ12,Data_Validation!$A:$D,4,0)</f>
        <v>#N/A</v>
      </c>
      <c r="AR12" s="853" t="s">
        <v>728</v>
      </c>
      <c r="AS12" s="853" t="str">
        <f>+VLOOKUP($AJ12,Data_Validation!$A:$E,5,0)</f>
        <v>#N/A</v>
      </c>
      <c r="AT12" s="794" t="str">
        <f t="shared" ref="AT12:AU12" si="22">C12</f>
        <v>G0200</v>
      </c>
      <c r="AU12" s="854" t="str">
        <f t="shared" si="22"/>
        <v>SALAIRE PROPRIETAIRE REP.</v>
      </c>
      <c r="AV12" s="794">
        <f t="array" ref="AV12">IFERROR(INDEX(V12:AG12,1,MATCH(Parametres!$B$3,V$1:AG$1,0)-1)*IF(OR(C12="L",C12="S",C12="I"),-1,1),"")</f>
        <v>0</v>
      </c>
      <c r="AW12" s="794">
        <f t="shared" si="6"/>
        <v>0</v>
      </c>
      <c r="AX12" s="794">
        <f t="array" ref="AX12">INDEX(V12:AG12,1,MATCH(Parametres!$B$3,V$1:AG$1,0))*IF(OR(C12="L",C12="S",C12="I"),-1,1)</f>
        <v>0</v>
      </c>
      <c r="AY12" s="853" t="s">
        <v>772</v>
      </c>
      <c r="AZ12" s="853" t="str">
        <f>+VLOOKUP($AJ12,Data_Validation!$A:$E,5,0)</f>
        <v>#N/A</v>
      </c>
    </row>
    <row r="13" ht="15.0" customHeight="1">
      <c r="A13" s="849" t="s">
        <v>1239</v>
      </c>
      <c r="B13" s="849">
        <v>2025.0</v>
      </c>
      <c r="C13" s="849" t="s">
        <v>1279</v>
      </c>
      <c r="D13" s="849" t="s">
        <v>1280</v>
      </c>
      <c r="E13" s="849" t="s">
        <v>768</v>
      </c>
      <c r="F13" s="849" t="s">
        <v>1200</v>
      </c>
      <c r="G13" s="849">
        <v>3812.25</v>
      </c>
      <c r="H13" s="849">
        <v>6310.37</v>
      </c>
      <c r="I13" s="849">
        <v>10316.12</v>
      </c>
      <c r="J13" s="849">
        <v>18197.12</v>
      </c>
      <c r="K13" s="849">
        <v>20625.41</v>
      </c>
      <c r="L13" s="849">
        <v>83168.61</v>
      </c>
      <c r="M13" s="849">
        <v>85596.92</v>
      </c>
      <c r="N13" s="849">
        <v>88138.82</v>
      </c>
      <c r="O13" s="849">
        <v>88895.48</v>
      </c>
      <c r="P13" s="849">
        <v>88895.48</v>
      </c>
      <c r="Q13" s="849">
        <v>78815.48</v>
      </c>
      <c r="R13" s="849">
        <v>118935.66</v>
      </c>
      <c r="S13" s="849">
        <v>7165.04</v>
      </c>
      <c r="T13" s="849">
        <v>7165.04</v>
      </c>
      <c r="U13" s="849">
        <v>0.0</v>
      </c>
      <c r="V13" s="849">
        <v>0.0</v>
      </c>
      <c r="W13" s="849">
        <v>0.0</v>
      </c>
      <c r="X13" s="849">
        <v>0.0</v>
      </c>
      <c r="Y13" s="849">
        <v>0.0</v>
      </c>
      <c r="Z13" s="849">
        <v>0.0</v>
      </c>
      <c r="AA13" s="849">
        <v>0.0</v>
      </c>
      <c r="AB13" s="849">
        <v>0.0</v>
      </c>
      <c r="AC13" s="849">
        <v>0.0</v>
      </c>
      <c r="AD13" s="849">
        <v>0.0</v>
      </c>
      <c r="AE13" s="849">
        <v>0.0</v>
      </c>
      <c r="AF13" s="849">
        <v>0.0</v>
      </c>
      <c r="AG13" s="849">
        <v>0.0</v>
      </c>
      <c r="AH13" s="849">
        <v>0.0</v>
      </c>
      <c r="AI13" s="849">
        <v>0.0</v>
      </c>
      <c r="AJ13" s="794" t="str">
        <f t="shared" ref="AJ13:AK13" si="23">C13</f>
        <v>G0201</v>
      </c>
      <c r="AK13" s="794" t="str">
        <f t="shared" si="23"/>
        <v>SALAIRE PROP. NEUF</v>
      </c>
      <c r="AL13" s="794">
        <f t="array" ref="AL13">IFERROR(INDEX(G13:R13,1,MATCH(Parametres!$B$3,G$1:R$1,0)-1)*IF(OR(F13="L",F13="S",F13="I"),-1,1),"")</f>
        <v>88138.82</v>
      </c>
      <c r="AM13" s="794">
        <f t="shared" si="4"/>
        <v>756.66</v>
      </c>
      <c r="AN13" s="794">
        <f t="array" ref="AN13">INDEX(G13:R13,1,MATCH(Parametres!$B$3,G$1:R$1,0))*IF(OR(F13="L",F13="S",F13="I"),-1,1)</f>
        <v>88895.48</v>
      </c>
      <c r="AO13" s="853" t="str">
        <f>+VLOOKUP($AJ13,Data_Validation!$A:$D,1,0)</f>
        <v>G0201</v>
      </c>
      <c r="AP13" s="853" t="str">
        <f>+VLOOKUP($AJ13,Data_Validation!$A:$D,3,0)</f>
        <v>Véhicules neufs</v>
      </c>
      <c r="AQ13" s="853" t="str">
        <f>+VLOOKUP($AJ13,Data_Validation!$A:$D,4,0)</f>
        <v>Salaires propriétaire</v>
      </c>
      <c r="AR13" s="853" t="s">
        <v>728</v>
      </c>
      <c r="AS13" s="853" t="str">
        <f>+VLOOKUP($AJ13,Data_Validation!$A:$E,5,0)</f>
        <v/>
      </c>
      <c r="AT13" s="794" t="str">
        <f t="shared" ref="AT13:AU13" si="24">C13</f>
        <v>G0201</v>
      </c>
      <c r="AU13" s="854" t="str">
        <f t="shared" si="24"/>
        <v>SALAIRE PROP. NEUF</v>
      </c>
      <c r="AV13" s="794">
        <f t="array" ref="AV13">IFERROR(INDEX(V13:AG13,1,MATCH(Parametres!$B$3,V$1:AG$1,0)-1)*IF(OR(C13="L",C13="S",C13="I"),-1,1),"")</f>
        <v>0</v>
      </c>
      <c r="AW13" s="794">
        <f t="shared" si="6"/>
        <v>0</v>
      </c>
      <c r="AX13" s="794">
        <f t="array" ref="AX13">INDEX(V13:AG13,1,MATCH(Parametres!$B$3,V$1:AG$1,0))*IF(OR(C13="L",C13="S",C13="I"),-1,1)</f>
        <v>0</v>
      </c>
      <c r="AY13" s="853" t="s">
        <v>772</v>
      </c>
      <c r="AZ13" s="853" t="str">
        <f>+VLOOKUP($AJ13,Data_Validation!$A:$E,5,0)</f>
        <v/>
      </c>
    </row>
    <row r="14" ht="15.0" customHeight="1">
      <c r="A14" s="849" t="s">
        <v>1239</v>
      </c>
      <c r="B14" s="849">
        <v>2025.0</v>
      </c>
      <c r="C14" s="849" t="s">
        <v>1282</v>
      </c>
      <c r="D14" s="849" t="s">
        <v>1283</v>
      </c>
      <c r="E14" s="849" t="s">
        <v>768</v>
      </c>
      <c r="F14" s="849" t="s">
        <v>1200</v>
      </c>
      <c r="G14" s="849">
        <v>2541.5</v>
      </c>
      <c r="H14" s="849">
        <v>4206.92</v>
      </c>
      <c r="I14" s="849">
        <v>6877.43</v>
      </c>
      <c r="J14" s="849">
        <v>12131.44</v>
      </c>
      <c r="K14" s="849">
        <v>13750.3</v>
      </c>
      <c r="L14" s="849">
        <v>55445.77</v>
      </c>
      <c r="M14" s="849">
        <v>57064.64</v>
      </c>
      <c r="N14" s="849">
        <v>58759.24</v>
      </c>
      <c r="O14" s="849">
        <v>59263.67</v>
      </c>
      <c r="P14" s="849">
        <v>59263.67</v>
      </c>
      <c r="Q14" s="849">
        <v>52543.67</v>
      </c>
      <c r="R14" s="849">
        <v>79290.45</v>
      </c>
      <c r="S14" s="849">
        <v>4776.7</v>
      </c>
      <c r="T14" s="849">
        <v>4776.7</v>
      </c>
      <c r="U14" s="849">
        <v>0.0</v>
      </c>
      <c r="V14" s="849">
        <v>0.0</v>
      </c>
      <c r="W14" s="849">
        <v>0.0</v>
      </c>
      <c r="X14" s="849">
        <v>0.0</v>
      </c>
      <c r="Y14" s="849">
        <v>0.0</v>
      </c>
      <c r="Z14" s="849">
        <v>0.0</v>
      </c>
      <c r="AA14" s="849">
        <v>0.0</v>
      </c>
      <c r="AB14" s="849">
        <v>0.0</v>
      </c>
      <c r="AC14" s="849">
        <v>0.0</v>
      </c>
      <c r="AD14" s="849">
        <v>0.0</v>
      </c>
      <c r="AE14" s="849">
        <v>0.0</v>
      </c>
      <c r="AF14" s="849">
        <v>0.0</v>
      </c>
      <c r="AG14" s="849">
        <v>0.0</v>
      </c>
      <c r="AH14" s="849">
        <v>0.0</v>
      </c>
      <c r="AI14" s="849">
        <v>0.0</v>
      </c>
      <c r="AJ14" s="794" t="str">
        <f t="shared" ref="AJ14:AK14" si="25">C14</f>
        <v>G0202</v>
      </c>
      <c r="AK14" s="794" t="str">
        <f t="shared" si="25"/>
        <v>SALAIRE PROP USAGE</v>
      </c>
      <c r="AL14" s="794">
        <f t="array" ref="AL14">IFERROR(INDEX(G14:R14,1,MATCH(Parametres!$B$3,G$1:R$1,0)-1)*IF(OR(F14="L",F14="S",F14="I"),-1,1),"")</f>
        <v>58759.24</v>
      </c>
      <c r="AM14" s="794">
        <f t="shared" si="4"/>
        <v>504.43</v>
      </c>
      <c r="AN14" s="794">
        <f t="array" ref="AN14">INDEX(G14:R14,1,MATCH(Parametres!$B$3,G$1:R$1,0))*IF(OR(F14="L",F14="S",F14="I"),-1,1)</f>
        <v>59263.67</v>
      </c>
      <c r="AO14" s="853" t="str">
        <f>+VLOOKUP($AJ14,Data_Validation!$A:$D,1,0)</f>
        <v>G0202</v>
      </c>
      <c r="AP14" s="853" t="str">
        <f>+VLOOKUP($AJ14,Data_Validation!$A:$D,3,0)</f>
        <v>Véhicules usagés</v>
      </c>
      <c r="AQ14" s="853" t="str">
        <f>+VLOOKUP($AJ14,Data_Validation!$A:$D,4,0)</f>
        <v>Salaires propriétaire</v>
      </c>
      <c r="AR14" s="853" t="s">
        <v>728</v>
      </c>
      <c r="AS14" s="853" t="str">
        <f>+VLOOKUP($AJ14,Data_Validation!$A:$E,5,0)</f>
        <v/>
      </c>
      <c r="AT14" s="794" t="str">
        <f t="shared" ref="AT14:AU14" si="26">C14</f>
        <v>G0202</v>
      </c>
      <c r="AU14" s="854" t="str">
        <f t="shared" si="26"/>
        <v>SALAIRE PROP USAGE</v>
      </c>
      <c r="AV14" s="794">
        <f t="array" ref="AV14">IFERROR(INDEX(V14:AG14,1,MATCH(Parametres!$B$3,V$1:AG$1,0)-1)*IF(OR(C14="L",C14="S",C14="I"),-1,1),"")</f>
        <v>0</v>
      </c>
      <c r="AW14" s="794">
        <f t="shared" si="6"/>
        <v>0</v>
      </c>
      <c r="AX14" s="794">
        <f t="array" ref="AX14">INDEX(V14:AG14,1,MATCH(Parametres!$B$3,V$1:AG$1,0))*IF(OR(C14="L",C14="S",C14="I"),-1,1)</f>
        <v>0</v>
      </c>
      <c r="AY14" s="853" t="s">
        <v>772</v>
      </c>
      <c r="AZ14" s="853" t="str">
        <f>+VLOOKUP($AJ14,Data_Validation!$A:$E,5,0)</f>
        <v/>
      </c>
    </row>
    <row r="15" ht="15.0" customHeight="1">
      <c r="A15" s="849" t="s">
        <v>1239</v>
      </c>
      <c r="B15" s="849">
        <v>2025.0</v>
      </c>
      <c r="C15" s="849" t="s">
        <v>1284</v>
      </c>
      <c r="D15" s="849" t="s">
        <v>1285</v>
      </c>
      <c r="E15" s="849" t="s">
        <v>768</v>
      </c>
      <c r="F15" s="849" t="s">
        <v>1200</v>
      </c>
      <c r="G15" s="849">
        <v>3812.25</v>
      </c>
      <c r="H15" s="849">
        <v>6310.37</v>
      </c>
      <c r="I15" s="849">
        <v>10316.12</v>
      </c>
      <c r="J15" s="849">
        <v>18197.12</v>
      </c>
      <c r="K15" s="849">
        <v>20625.41</v>
      </c>
      <c r="L15" s="849">
        <v>83168.61</v>
      </c>
      <c r="M15" s="849">
        <v>85596.92</v>
      </c>
      <c r="N15" s="849">
        <v>88138.82</v>
      </c>
      <c r="O15" s="849">
        <v>88895.48</v>
      </c>
      <c r="P15" s="849">
        <v>88895.48</v>
      </c>
      <c r="Q15" s="849">
        <v>78815.48</v>
      </c>
      <c r="R15" s="849">
        <v>118935.66</v>
      </c>
      <c r="S15" s="849">
        <v>7165.04</v>
      </c>
      <c r="T15" s="849">
        <v>7165.04</v>
      </c>
      <c r="U15" s="849">
        <v>0.0</v>
      </c>
      <c r="V15" s="849">
        <v>0.0</v>
      </c>
      <c r="W15" s="849">
        <v>0.0</v>
      </c>
      <c r="X15" s="849">
        <v>0.0</v>
      </c>
      <c r="Y15" s="849">
        <v>0.0</v>
      </c>
      <c r="Z15" s="849">
        <v>0.0</v>
      </c>
      <c r="AA15" s="849">
        <v>0.0</v>
      </c>
      <c r="AB15" s="849">
        <v>0.0</v>
      </c>
      <c r="AC15" s="849">
        <v>0.0</v>
      </c>
      <c r="AD15" s="849">
        <v>0.0</v>
      </c>
      <c r="AE15" s="849">
        <v>0.0</v>
      </c>
      <c r="AF15" s="849">
        <v>0.0</v>
      </c>
      <c r="AG15" s="849">
        <v>0.0</v>
      </c>
      <c r="AH15" s="849">
        <v>0.0</v>
      </c>
      <c r="AI15" s="849">
        <v>0.0</v>
      </c>
      <c r="AJ15" s="794" t="str">
        <f t="shared" ref="AJ15:AK15" si="27">C15</f>
        <v>G0204</v>
      </c>
      <c r="AK15" s="794" t="str">
        <f t="shared" si="27"/>
        <v>SALAIRE PROP SERVICE</v>
      </c>
      <c r="AL15" s="794">
        <f t="array" ref="AL15">IFERROR(INDEX(G15:R15,1,MATCH(Parametres!$B$3,G$1:R$1,0)-1)*IF(OR(F15="L",F15="S",F15="I"),-1,1),"")</f>
        <v>88138.82</v>
      </c>
      <c r="AM15" s="794">
        <f t="shared" si="4"/>
        <v>756.66</v>
      </c>
      <c r="AN15" s="794">
        <f t="array" ref="AN15">INDEX(G15:R15,1,MATCH(Parametres!$B$3,G$1:R$1,0))*IF(OR(F15="L",F15="S",F15="I"),-1,1)</f>
        <v>88895.48</v>
      </c>
      <c r="AO15" s="853" t="str">
        <f>+VLOOKUP($AJ15,Data_Validation!$A:$D,1,0)</f>
        <v>G0204</v>
      </c>
      <c r="AP15" s="853" t="str">
        <f>+VLOOKUP($AJ15,Data_Validation!$A:$D,3,0)</f>
        <v>Service</v>
      </c>
      <c r="AQ15" s="853" t="str">
        <f>+VLOOKUP($AJ15,Data_Validation!$A:$D,4,0)</f>
        <v>Salaires propriétaire</v>
      </c>
      <c r="AR15" s="853" t="s">
        <v>728</v>
      </c>
      <c r="AS15" s="853" t="str">
        <f>+VLOOKUP($AJ15,Data_Validation!$A:$E,5,0)</f>
        <v/>
      </c>
      <c r="AT15" s="794" t="str">
        <f t="shared" ref="AT15:AU15" si="28">C15</f>
        <v>G0204</v>
      </c>
      <c r="AU15" s="854" t="str">
        <f t="shared" si="28"/>
        <v>SALAIRE PROP SERVICE</v>
      </c>
      <c r="AV15" s="794">
        <f t="array" ref="AV15">IFERROR(INDEX(V15:AG15,1,MATCH(Parametres!$B$3,V$1:AG$1,0)-1)*IF(OR(C15="L",C15="S",C15="I"),-1,1),"")</f>
        <v>0</v>
      </c>
      <c r="AW15" s="794">
        <f t="shared" si="6"/>
        <v>0</v>
      </c>
      <c r="AX15" s="794">
        <f t="array" ref="AX15">INDEX(V15:AG15,1,MATCH(Parametres!$B$3,V$1:AG$1,0))*IF(OR(C15="L",C15="S",C15="I"),-1,1)</f>
        <v>0</v>
      </c>
      <c r="AY15" s="853" t="s">
        <v>772</v>
      </c>
      <c r="AZ15" s="853" t="str">
        <f>+VLOOKUP($AJ15,Data_Validation!$A:$E,5,0)</f>
        <v/>
      </c>
    </row>
    <row r="16" ht="15.0" customHeight="1">
      <c r="A16" s="849" t="s">
        <v>1239</v>
      </c>
      <c r="B16" s="849">
        <v>2025.0</v>
      </c>
      <c r="C16" s="849" t="s">
        <v>1286</v>
      </c>
      <c r="D16" s="849" t="s">
        <v>1287</v>
      </c>
      <c r="E16" s="849" t="s">
        <v>768</v>
      </c>
      <c r="F16" s="849" t="s">
        <v>1200</v>
      </c>
      <c r="G16" s="849">
        <v>1270.75</v>
      </c>
      <c r="H16" s="849">
        <v>2103.45</v>
      </c>
      <c r="I16" s="849">
        <v>3438.71</v>
      </c>
      <c r="J16" s="849">
        <v>6065.71</v>
      </c>
      <c r="K16" s="849">
        <v>6875.14</v>
      </c>
      <c r="L16" s="849">
        <v>27722.87</v>
      </c>
      <c r="M16" s="849">
        <v>28532.31</v>
      </c>
      <c r="N16" s="849">
        <v>29379.61</v>
      </c>
      <c r="O16" s="849">
        <v>29631.83</v>
      </c>
      <c r="P16" s="849">
        <v>29631.83</v>
      </c>
      <c r="Q16" s="849">
        <v>26271.83</v>
      </c>
      <c r="R16" s="849">
        <v>39645.22</v>
      </c>
      <c r="S16" s="849">
        <v>2388.35</v>
      </c>
      <c r="T16" s="849">
        <v>2388.35</v>
      </c>
      <c r="U16" s="849">
        <v>0.0</v>
      </c>
      <c r="V16" s="849">
        <v>0.0</v>
      </c>
      <c r="W16" s="849">
        <v>0.0</v>
      </c>
      <c r="X16" s="849">
        <v>0.0</v>
      </c>
      <c r="Y16" s="849">
        <v>0.0</v>
      </c>
      <c r="Z16" s="849">
        <v>0.0</v>
      </c>
      <c r="AA16" s="849">
        <v>0.0</v>
      </c>
      <c r="AB16" s="849">
        <v>0.0</v>
      </c>
      <c r="AC16" s="849">
        <v>0.0</v>
      </c>
      <c r="AD16" s="849">
        <v>0.0</v>
      </c>
      <c r="AE16" s="849">
        <v>0.0</v>
      </c>
      <c r="AF16" s="849">
        <v>0.0</v>
      </c>
      <c r="AG16" s="849">
        <v>0.0</v>
      </c>
      <c r="AH16" s="849">
        <v>0.0</v>
      </c>
      <c r="AI16" s="849">
        <v>0.0</v>
      </c>
      <c r="AJ16" s="794" t="str">
        <f t="shared" ref="AJ16:AK16" si="29">C16</f>
        <v>G0205</v>
      </c>
      <c r="AK16" s="794" t="str">
        <f t="shared" si="29"/>
        <v>SALAIRE PROP CARROSSERIE</v>
      </c>
      <c r="AL16" s="794">
        <f t="array" ref="AL16">IFERROR(INDEX(G16:R16,1,MATCH(Parametres!$B$3,G$1:R$1,0)-1)*IF(OR(F16="L",F16="S",F16="I"),-1,1),"")</f>
        <v>29379.61</v>
      </c>
      <c r="AM16" s="794">
        <f t="shared" si="4"/>
        <v>252.22</v>
      </c>
      <c r="AN16" s="794">
        <f t="array" ref="AN16">INDEX(G16:R16,1,MATCH(Parametres!$B$3,G$1:R$1,0))*IF(OR(F16="L",F16="S",F16="I"),-1,1)</f>
        <v>29631.83</v>
      </c>
      <c r="AO16" s="853" t="str">
        <f>+VLOOKUP($AJ16,Data_Validation!$A:$D,1,0)</f>
        <v>G0205</v>
      </c>
      <c r="AP16" s="853" t="str">
        <f>+VLOOKUP($AJ16,Data_Validation!$A:$D,3,0)</f>
        <v>Carrosserie</v>
      </c>
      <c r="AQ16" s="853" t="str">
        <f>+VLOOKUP($AJ16,Data_Validation!$A:$D,4,0)</f>
        <v>Salaires propriétaire</v>
      </c>
      <c r="AR16" s="853" t="s">
        <v>728</v>
      </c>
      <c r="AS16" s="853" t="str">
        <f>+VLOOKUP($AJ16,Data_Validation!$A:$E,5,0)</f>
        <v/>
      </c>
      <c r="AT16" s="794" t="str">
        <f t="shared" ref="AT16:AU16" si="30">C16</f>
        <v>G0205</v>
      </c>
      <c r="AU16" s="854" t="str">
        <f t="shared" si="30"/>
        <v>SALAIRE PROP CARROSSERIE</v>
      </c>
      <c r="AV16" s="794">
        <f t="array" ref="AV16">IFERROR(INDEX(V16:AG16,1,MATCH(Parametres!$B$3,V$1:AG$1,0)-1)*IF(OR(C16="L",C16="S",C16="I"),-1,1),"")</f>
        <v>0</v>
      </c>
      <c r="AW16" s="794">
        <f t="shared" si="6"/>
        <v>0</v>
      </c>
      <c r="AX16" s="794">
        <f t="array" ref="AX16">INDEX(V16:AG16,1,MATCH(Parametres!$B$3,V$1:AG$1,0))*IF(OR(C16="L",C16="S",C16="I"),-1,1)</f>
        <v>0</v>
      </c>
      <c r="AY16" s="853" t="s">
        <v>772</v>
      </c>
      <c r="AZ16" s="853" t="str">
        <f>+VLOOKUP($AJ16,Data_Validation!$A:$E,5,0)</f>
        <v/>
      </c>
    </row>
    <row r="17" ht="15.0" customHeight="1">
      <c r="A17" s="849" t="s">
        <v>1239</v>
      </c>
      <c r="B17" s="849">
        <v>2025.0</v>
      </c>
      <c r="C17" s="849" t="s">
        <v>1288</v>
      </c>
      <c r="D17" s="849" t="s">
        <v>1289</v>
      </c>
      <c r="E17" s="849" t="s">
        <v>768</v>
      </c>
      <c r="F17" s="849" t="s">
        <v>1200</v>
      </c>
      <c r="G17" s="849">
        <v>1270.75</v>
      </c>
      <c r="H17" s="849">
        <v>2103.45</v>
      </c>
      <c r="I17" s="849">
        <v>3438.71</v>
      </c>
      <c r="J17" s="849">
        <v>6065.69</v>
      </c>
      <c r="K17" s="849">
        <v>6875.12</v>
      </c>
      <c r="L17" s="849">
        <v>27722.87</v>
      </c>
      <c r="M17" s="849">
        <v>28532.32</v>
      </c>
      <c r="N17" s="849">
        <v>29379.6</v>
      </c>
      <c r="O17" s="849">
        <v>29631.81</v>
      </c>
      <c r="P17" s="849">
        <v>29631.81</v>
      </c>
      <c r="Q17" s="849">
        <v>26271.81</v>
      </c>
      <c r="R17" s="849">
        <v>39645.2</v>
      </c>
      <c r="S17" s="849">
        <v>2388.35</v>
      </c>
      <c r="T17" s="849">
        <v>2388.35</v>
      </c>
      <c r="U17" s="849">
        <v>0.0</v>
      </c>
      <c r="V17" s="849">
        <v>0.0</v>
      </c>
      <c r="W17" s="849">
        <v>0.0</v>
      </c>
      <c r="X17" s="849">
        <v>0.0</v>
      </c>
      <c r="Y17" s="849">
        <v>0.0</v>
      </c>
      <c r="Z17" s="849">
        <v>0.0</v>
      </c>
      <c r="AA17" s="849">
        <v>0.0</v>
      </c>
      <c r="AB17" s="849">
        <v>0.0</v>
      </c>
      <c r="AC17" s="849">
        <v>0.0</v>
      </c>
      <c r="AD17" s="849">
        <v>0.0</v>
      </c>
      <c r="AE17" s="849">
        <v>0.0</v>
      </c>
      <c r="AF17" s="849">
        <v>0.0</v>
      </c>
      <c r="AG17" s="849">
        <v>0.0</v>
      </c>
      <c r="AH17" s="849">
        <v>0.0</v>
      </c>
      <c r="AI17" s="849">
        <v>0.0</v>
      </c>
      <c r="AJ17" s="794" t="str">
        <f t="shared" ref="AJ17:AK17" si="31">C17</f>
        <v>G0206</v>
      </c>
      <c r="AK17" s="794" t="str">
        <f t="shared" si="31"/>
        <v>SALAIRE PROP. PIECES</v>
      </c>
      <c r="AL17" s="794">
        <f t="array" ref="AL17">IFERROR(INDEX(G17:R17,1,MATCH(Parametres!$B$3,G$1:R$1,0)-1)*IF(OR(F17="L",F17="S",F17="I"),-1,1),"")</f>
        <v>29379.6</v>
      </c>
      <c r="AM17" s="794">
        <f t="shared" si="4"/>
        <v>252.21</v>
      </c>
      <c r="AN17" s="794">
        <f t="array" ref="AN17">INDEX(G17:R17,1,MATCH(Parametres!$B$3,G$1:R$1,0))*IF(OR(F17="L",F17="S",F17="I"),-1,1)</f>
        <v>29631.81</v>
      </c>
      <c r="AO17" s="853" t="str">
        <f>+VLOOKUP($AJ17,Data_Validation!$A:$D,1,0)</f>
        <v>G0206</v>
      </c>
      <c r="AP17" s="853" t="str">
        <f>+VLOOKUP($AJ17,Data_Validation!$A:$D,3,0)</f>
        <v>Pièces</v>
      </c>
      <c r="AQ17" s="853" t="str">
        <f>+VLOOKUP($AJ17,Data_Validation!$A:$D,4,0)</f>
        <v>Salaires propriétaire</v>
      </c>
      <c r="AR17" s="853" t="s">
        <v>728</v>
      </c>
      <c r="AS17" s="853" t="str">
        <f>+VLOOKUP($AJ17,Data_Validation!$A:$E,5,0)</f>
        <v/>
      </c>
      <c r="AT17" s="794" t="str">
        <f t="shared" ref="AT17:AU17" si="32">C17</f>
        <v>G0206</v>
      </c>
      <c r="AU17" s="854" t="str">
        <f t="shared" si="32"/>
        <v>SALAIRE PROP. PIECES</v>
      </c>
      <c r="AV17" s="794">
        <f t="array" ref="AV17">IFERROR(INDEX(V17:AG17,1,MATCH(Parametres!$B$3,V$1:AG$1,0)-1)*IF(OR(C17="L",C17="S",C17="I"),-1,1),"")</f>
        <v>0</v>
      </c>
      <c r="AW17" s="794">
        <f t="shared" si="6"/>
        <v>0</v>
      </c>
      <c r="AX17" s="794">
        <f t="array" ref="AX17">INDEX(V17:AG17,1,MATCH(Parametres!$B$3,V$1:AG$1,0))*IF(OR(C17="L",C17="S",C17="I"),-1,1)</f>
        <v>0</v>
      </c>
      <c r="AY17" s="853" t="s">
        <v>772</v>
      </c>
      <c r="AZ17" s="853" t="str">
        <f>+VLOOKUP($AJ17,Data_Validation!$A:$E,5,0)</f>
        <v/>
      </c>
    </row>
    <row r="18" ht="15.0" customHeight="1">
      <c r="A18" s="849" t="s">
        <v>1239</v>
      </c>
      <c r="B18" s="849">
        <v>2025.0</v>
      </c>
      <c r="C18" s="849" t="s">
        <v>1290</v>
      </c>
      <c r="D18" s="849" t="s">
        <v>1291</v>
      </c>
      <c r="E18" s="849" t="s">
        <v>768</v>
      </c>
      <c r="F18" s="849" t="s">
        <v>1200</v>
      </c>
      <c r="G18" s="849">
        <v>0.0</v>
      </c>
      <c r="H18" s="849">
        <v>0.0</v>
      </c>
      <c r="I18" s="849">
        <v>0.0</v>
      </c>
      <c r="J18" s="849">
        <v>0.0</v>
      </c>
      <c r="K18" s="849">
        <v>0.0</v>
      </c>
      <c r="L18" s="849">
        <v>0.0</v>
      </c>
      <c r="M18" s="849">
        <v>0.0</v>
      </c>
      <c r="N18" s="849">
        <v>0.0</v>
      </c>
      <c r="O18" s="849">
        <v>0.0</v>
      </c>
      <c r="P18" s="849">
        <v>0.0</v>
      </c>
      <c r="Q18" s="849">
        <v>0.0</v>
      </c>
      <c r="R18" s="849">
        <v>0.0</v>
      </c>
      <c r="S18" s="849">
        <v>0.0</v>
      </c>
      <c r="T18" s="849">
        <v>0.0</v>
      </c>
      <c r="U18" s="849">
        <v>0.0</v>
      </c>
      <c r="V18" s="849">
        <v>0.0</v>
      </c>
      <c r="W18" s="849">
        <v>0.0</v>
      </c>
      <c r="X18" s="849">
        <v>0.0</v>
      </c>
      <c r="Y18" s="849">
        <v>0.0</v>
      </c>
      <c r="Z18" s="849">
        <v>0.0</v>
      </c>
      <c r="AA18" s="849">
        <v>0.0</v>
      </c>
      <c r="AB18" s="849">
        <v>0.0</v>
      </c>
      <c r="AC18" s="849">
        <v>0.0</v>
      </c>
      <c r="AD18" s="849">
        <v>0.0</v>
      </c>
      <c r="AE18" s="849">
        <v>0.0</v>
      </c>
      <c r="AF18" s="849">
        <v>0.0</v>
      </c>
      <c r="AG18" s="849">
        <v>0.0</v>
      </c>
      <c r="AH18" s="849">
        <v>0.0</v>
      </c>
      <c r="AI18" s="849">
        <v>0.0</v>
      </c>
      <c r="AJ18" s="794" t="str">
        <f t="shared" ref="AJ18:AK18" si="33">C18</f>
        <v>G0210</v>
      </c>
      <c r="AK18" s="794" t="str">
        <f t="shared" si="33"/>
        <v>SALAIRE ADMIN. TOUS</v>
      </c>
      <c r="AL18" s="794">
        <f t="array" ref="AL18">IFERROR(INDEX(G18:R18,1,MATCH(Parametres!$B$3,G$1:R$1,0)-1)*IF(OR(F18="L",F18="S",F18="I"),-1,1),"")</f>
        <v>0</v>
      </c>
      <c r="AM18" s="794">
        <f t="shared" si="4"/>
        <v>0</v>
      </c>
      <c r="AN18" s="794">
        <f t="array" ref="AN18">INDEX(G18:R18,1,MATCH(Parametres!$B$3,G$1:R$1,0))*IF(OR(F18="L",F18="S",F18="I"),-1,1)</f>
        <v>0</v>
      </c>
      <c r="AO18" s="853" t="str">
        <f>+VLOOKUP($AJ18,Data_Validation!$A:$D,1,0)</f>
        <v>#N/A</v>
      </c>
      <c r="AP18" s="853" t="str">
        <f>+VLOOKUP($AJ18,Data_Validation!$A:$D,3,0)</f>
        <v>#N/A</v>
      </c>
      <c r="AQ18" s="853" t="str">
        <f>+VLOOKUP($AJ18,Data_Validation!$A:$D,4,0)</f>
        <v>#N/A</v>
      </c>
      <c r="AR18" s="853" t="s">
        <v>728</v>
      </c>
      <c r="AS18" s="853" t="str">
        <f>+VLOOKUP($AJ18,Data_Validation!$A:$E,5,0)</f>
        <v>#N/A</v>
      </c>
      <c r="AT18" s="794" t="str">
        <f t="shared" ref="AT18:AU18" si="34">C18</f>
        <v>G0210</v>
      </c>
      <c r="AU18" s="854" t="str">
        <f t="shared" si="34"/>
        <v>SALAIRE ADMIN. TOUS</v>
      </c>
      <c r="AV18" s="794">
        <f t="array" ref="AV18">IFERROR(INDEX(V18:AG18,1,MATCH(Parametres!$B$3,V$1:AG$1,0)-1)*IF(OR(C18="L",C18="S",C18="I"),-1,1),"")</f>
        <v>0</v>
      </c>
      <c r="AW18" s="794">
        <f t="shared" si="6"/>
        <v>0</v>
      </c>
      <c r="AX18" s="794">
        <f t="array" ref="AX18">INDEX(V18:AG18,1,MATCH(Parametres!$B$3,V$1:AG$1,0))*IF(OR(C18="L",C18="S",C18="I"),-1,1)</f>
        <v>0</v>
      </c>
      <c r="AY18" s="853" t="s">
        <v>772</v>
      </c>
      <c r="AZ18" s="853" t="str">
        <f>+VLOOKUP($AJ18,Data_Validation!$A:$E,5,0)</f>
        <v>#N/A</v>
      </c>
    </row>
    <row r="19" ht="15.0" customHeight="1">
      <c r="A19" s="849" t="s">
        <v>1239</v>
      </c>
      <c r="B19" s="849">
        <v>2025.0</v>
      </c>
      <c r="C19" s="849" t="s">
        <v>1294</v>
      </c>
      <c r="D19" s="849" t="s">
        <v>1295</v>
      </c>
      <c r="E19" s="849" t="s">
        <v>768</v>
      </c>
      <c r="F19" s="849" t="s">
        <v>1200</v>
      </c>
      <c r="G19" s="849">
        <v>15856.49</v>
      </c>
      <c r="H19" s="849">
        <v>35795.04</v>
      </c>
      <c r="I19" s="849">
        <v>50767.46</v>
      </c>
      <c r="J19" s="849">
        <v>66361.23</v>
      </c>
      <c r="K19" s="849">
        <v>85134.1</v>
      </c>
      <c r="L19" s="849">
        <v>100449.03</v>
      </c>
      <c r="M19" s="849">
        <v>109706.49</v>
      </c>
      <c r="N19" s="849">
        <v>122465.64</v>
      </c>
      <c r="O19" s="849">
        <v>125661.04</v>
      </c>
      <c r="P19" s="849">
        <v>141987.87</v>
      </c>
      <c r="Q19" s="849">
        <v>150045.82</v>
      </c>
      <c r="R19" s="849">
        <v>169977.2</v>
      </c>
      <c r="S19" s="849">
        <v>13640.53</v>
      </c>
      <c r="T19" s="849">
        <v>13640.53</v>
      </c>
      <c r="U19" s="849">
        <v>0.0</v>
      </c>
      <c r="V19" s="849">
        <v>0.0</v>
      </c>
      <c r="W19" s="849">
        <v>0.0</v>
      </c>
      <c r="X19" s="849">
        <v>0.0</v>
      </c>
      <c r="Y19" s="849">
        <v>0.0</v>
      </c>
      <c r="Z19" s="849">
        <v>0.0</v>
      </c>
      <c r="AA19" s="849">
        <v>0.0</v>
      </c>
      <c r="AB19" s="849">
        <v>0.0</v>
      </c>
      <c r="AC19" s="849">
        <v>0.0</v>
      </c>
      <c r="AD19" s="849">
        <v>0.0</v>
      </c>
      <c r="AE19" s="849">
        <v>0.0</v>
      </c>
      <c r="AF19" s="849">
        <v>0.0</v>
      </c>
      <c r="AG19" s="849">
        <v>0.0</v>
      </c>
      <c r="AH19" s="849">
        <v>0.0</v>
      </c>
      <c r="AI19" s="849">
        <v>0.0</v>
      </c>
      <c r="AJ19" s="794" t="str">
        <f t="shared" ref="AJ19:AK19" si="35">C19</f>
        <v>G0211</v>
      </c>
      <c r="AK19" s="794" t="str">
        <f t="shared" si="35"/>
        <v>SALAIRES CADRES NEUFS</v>
      </c>
      <c r="AL19" s="794">
        <f t="array" ref="AL19">IFERROR(INDEX(G19:R19,1,MATCH(Parametres!$B$3,G$1:R$1,0)-1)*IF(OR(F19="L",F19="S",F19="I"),-1,1),"")</f>
        <v>122465.64</v>
      </c>
      <c r="AM19" s="794">
        <f t="shared" si="4"/>
        <v>3195.4</v>
      </c>
      <c r="AN19" s="794">
        <f t="array" ref="AN19">INDEX(G19:R19,1,MATCH(Parametres!$B$3,G$1:R$1,0))*IF(OR(F19="L",F19="S",F19="I"),-1,1)</f>
        <v>125661.04</v>
      </c>
      <c r="AO19" s="853" t="str">
        <f>+VLOOKUP($AJ19,Data_Validation!$A:$D,1,0)</f>
        <v>G0211</v>
      </c>
      <c r="AP19" s="853" t="str">
        <f>+VLOOKUP($AJ19,Data_Validation!$A:$D,3,0)</f>
        <v>Véhicules neufs</v>
      </c>
      <c r="AQ19" s="853" t="str">
        <f>+VLOOKUP($AJ19,Data_Validation!$A:$D,4,0)</f>
        <v>Salaires cadres</v>
      </c>
      <c r="AR19" s="853" t="s">
        <v>728</v>
      </c>
      <c r="AS19" s="853" t="str">
        <f>+VLOOKUP($AJ19,Data_Validation!$A:$E,5,0)</f>
        <v/>
      </c>
      <c r="AT19" s="794" t="str">
        <f t="shared" ref="AT19:AU19" si="36">C19</f>
        <v>G0211</v>
      </c>
      <c r="AU19" s="854" t="str">
        <f t="shared" si="36"/>
        <v>SALAIRES CADRES NEUFS</v>
      </c>
      <c r="AV19" s="794">
        <f t="array" ref="AV19">IFERROR(INDEX(V19:AG19,1,MATCH(Parametres!$B$3,V$1:AG$1,0)-1)*IF(OR(C19="L",C19="S",C19="I"),-1,1),"")</f>
        <v>0</v>
      </c>
      <c r="AW19" s="794">
        <f t="shared" si="6"/>
        <v>0</v>
      </c>
      <c r="AX19" s="794">
        <f t="array" ref="AX19">INDEX(V19:AG19,1,MATCH(Parametres!$B$3,V$1:AG$1,0))*IF(OR(C19="L",C19="S",C19="I"),-1,1)</f>
        <v>0</v>
      </c>
      <c r="AY19" s="853" t="s">
        <v>772</v>
      </c>
      <c r="AZ19" s="853" t="str">
        <f>+VLOOKUP($AJ19,Data_Validation!$A:$E,5,0)</f>
        <v/>
      </c>
    </row>
    <row r="20" ht="15.0" customHeight="1">
      <c r="A20" s="849" t="s">
        <v>1239</v>
      </c>
      <c r="B20" s="849">
        <v>2025.0</v>
      </c>
      <c r="C20" s="849" t="s">
        <v>1298</v>
      </c>
      <c r="D20" s="849" t="s">
        <v>1299</v>
      </c>
      <c r="E20" s="849" t="s">
        <v>768</v>
      </c>
      <c r="F20" s="849" t="s">
        <v>1200</v>
      </c>
      <c r="G20" s="849">
        <v>16207.46</v>
      </c>
      <c r="H20" s="849">
        <v>40211.38</v>
      </c>
      <c r="I20" s="849">
        <v>44424.27</v>
      </c>
      <c r="J20" s="849">
        <v>51411.33</v>
      </c>
      <c r="K20" s="849">
        <v>56983.34</v>
      </c>
      <c r="L20" s="849">
        <v>66467.29</v>
      </c>
      <c r="M20" s="849">
        <v>83509.92</v>
      </c>
      <c r="N20" s="849">
        <v>105903.06</v>
      </c>
      <c r="O20" s="849">
        <v>114469.55</v>
      </c>
      <c r="P20" s="849">
        <v>137644.88</v>
      </c>
      <c r="Q20" s="849">
        <v>140954.56</v>
      </c>
      <c r="R20" s="849">
        <v>148148.23</v>
      </c>
      <c r="S20" s="849">
        <v>12814.05</v>
      </c>
      <c r="T20" s="849">
        <v>12814.05</v>
      </c>
      <c r="U20" s="849">
        <v>0.0</v>
      </c>
      <c r="V20" s="849">
        <v>0.0</v>
      </c>
      <c r="W20" s="849">
        <v>0.0</v>
      </c>
      <c r="X20" s="849">
        <v>0.0</v>
      </c>
      <c r="Y20" s="849">
        <v>0.0</v>
      </c>
      <c r="Z20" s="849">
        <v>0.0</v>
      </c>
      <c r="AA20" s="849">
        <v>0.0</v>
      </c>
      <c r="AB20" s="849">
        <v>0.0</v>
      </c>
      <c r="AC20" s="849">
        <v>0.0</v>
      </c>
      <c r="AD20" s="849">
        <v>0.0</v>
      </c>
      <c r="AE20" s="849">
        <v>0.0</v>
      </c>
      <c r="AF20" s="849">
        <v>0.0</v>
      </c>
      <c r="AG20" s="849">
        <v>0.0</v>
      </c>
      <c r="AH20" s="849">
        <v>0.0</v>
      </c>
      <c r="AI20" s="849">
        <v>0.0</v>
      </c>
      <c r="AJ20" s="794" t="str">
        <f t="shared" ref="AJ20:AK20" si="37">C20</f>
        <v>G0212</v>
      </c>
      <c r="AK20" s="794" t="str">
        <f t="shared" si="37"/>
        <v>RENUM. CADRES-USAGES</v>
      </c>
      <c r="AL20" s="794">
        <f t="array" ref="AL20">IFERROR(INDEX(G20:R20,1,MATCH(Parametres!$B$3,G$1:R$1,0)-1)*IF(OR(F20="L",F20="S",F20="I"),-1,1),"")</f>
        <v>105903.06</v>
      </c>
      <c r="AM20" s="794">
        <f t="shared" si="4"/>
        <v>8566.49</v>
      </c>
      <c r="AN20" s="794">
        <f t="array" ref="AN20">INDEX(G20:R20,1,MATCH(Parametres!$B$3,G$1:R$1,0))*IF(OR(F20="L",F20="S",F20="I"),-1,1)</f>
        <v>114469.55</v>
      </c>
      <c r="AO20" s="853" t="str">
        <f>+VLOOKUP($AJ20,Data_Validation!$A:$D,1,0)</f>
        <v>G0212</v>
      </c>
      <c r="AP20" s="853" t="str">
        <f>+VLOOKUP($AJ20,Data_Validation!$A:$D,3,0)</f>
        <v>Véhicules usagés</v>
      </c>
      <c r="AQ20" s="853" t="str">
        <f>+VLOOKUP($AJ20,Data_Validation!$A:$D,4,0)</f>
        <v>Salaires cadres</v>
      </c>
      <c r="AR20" s="853" t="s">
        <v>728</v>
      </c>
      <c r="AS20" s="853" t="str">
        <f>+VLOOKUP($AJ20,Data_Validation!$A:$E,5,0)</f>
        <v/>
      </c>
      <c r="AT20" s="794" t="str">
        <f t="shared" ref="AT20:AU20" si="38">C20</f>
        <v>G0212</v>
      </c>
      <c r="AU20" s="854" t="str">
        <f t="shared" si="38"/>
        <v>RENUM. CADRES-USAGES</v>
      </c>
      <c r="AV20" s="794">
        <f t="array" ref="AV20">IFERROR(INDEX(V20:AG20,1,MATCH(Parametres!$B$3,V$1:AG$1,0)-1)*IF(OR(C20="L",C20="S",C20="I"),-1,1),"")</f>
        <v>0</v>
      </c>
      <c r="AW20" s="794">
        <f t="shared" si="6"/>
        <v>0</v>
      </c>
      <c r="AX20" s="794">
        <f t="array" ref="AX20">INDEX(V20:AG20,1,MATCH(Parametres!$B$3,V$1:AG$1,0))*IF(OR(C20="L",C20="S",C20="I"),-1,1)</f>
        <v>0</v>
      </c>
      <c r="AY20" s="853" t="s">
        <v>772</v>
      </c>
      <c r="AZ20" s="853" t="str">
        <f>+VLOOKUP($AJ20,Data_Validation!$A:$E,5,0)</f>
        <v/>
      </c>
    </row>
    <row r="21" ht="15.0" customHeight="1">
      <c r="A21" s="849" t="s">
        <v>1239</v>
      </c>
      <c r="B21" s="849">
        <v>2025.0</v>
      </c>
      <c r="C21" s="849" t="s">
        <v>1300</v>
      </c>
      <c r="D21" s="849" t="s">
        <v>1301</v>
      </c>
      <c r="E21" s="849" t="s">
        <v>768</v>
      </c>
      <c r="F21" s="849" t="s">
        <v>1200</v>
      </c>
      <c r="G21" s="849">
        <v>0.0</v>
      </c>
      <c r="H21" s="849">
        <v>0.0</v>
      </c>
      <c r="I21" s="849">
        <v>138366.03</v>
      </c>
      <c r="J21" s="849">
        <v>252370.73</v>
      </c>
      <c r="K21" s="849">
        <v>383851.35</v>
      </c>
      <c r="L21" s="849">
        <v>326577.74</v>
      </c>
      <c r="M21" s="849">
        <v>329540.47</v>
      </c>
      <c r="N21" s="849">
        <v>330828.59</v>
      </c>
      <c r="O21" s="849">
        <v>331828.59</v>
      </c>
      <c r="P21" s="849">
        <v>332828.59</v>
      </c>
      <c r="Q21" s="849">
        <v>332828.59</v>
      </c>
      <c r="R21" s="849">
        <v>332828.59</v>
      </c>
      <c r="S21" s="849">
        <v>30257.14</v>
      </c>
      <c r="T21" s="849">
        <v>30257.14</v>
      </c>
      <c r="U21" s="849">
        <v>0.0</v>
      </c>
      <c r="V21" s="849">
        <v>0.0</v>
      </c>
      <c r="W21" s="849">
        <v>0.0</v>
      </c>
      <c r="X21" s="849">
        <v>0.0</v>
      </c>
      <c r="Y21" s="849">
        <v>0.0</v>
      </c>
      <c r="Z21" s="849">
        <v>0.0</v>
      </c>
      <c r="AA21" s="849">
        <v>0.0</v>
      </c>
      <c r="AB21" s="849">
        <v>0.0</v>
      </c>
      <c r="AC21" s="849">
        <v>0.0</v>
      </c>
      <c r="AD21" s="849">
        <v>0.0</v>
      </c>
      <c r="AE21" s="849">
        <v>0.0</v>
      </c>
      <c r="AF21" s="849">
        <v>0.0</v>
      </c>
      <c r="AG21" s="849">
        <v>0.0</v>
      </c>
      <c r="AH21" s="849">
        <v>0.0</v>
      </c>
      <c r="AI21" s="849">
        <v>0.0</v>
      </c>
      <c r="AJ21" s="794" t="str">
        <f t="shared" ref="AJ21:AK21" si="39">C21</f>
        <v>G0213</v>
      </c>
      <c r="AK21" s="794" t="str">
        <f t="shared" si="39"/>
        <v>SALAIRE CADRE U.S.A</v>
      </c>
      <c r="AL21" s="794">
        <f t="array" ref="AL21">IFERROR(INDEX(G21:R21,1,MATCH(Parametres!$B$3,G$1:R$1,0)-1)*IF(OR(F21="L",F21="S",F21="I"),-1,1),"")</f>
        <v>330828.59</v>
      </c>
      <c r="AM21" s="794">
        <f t="shared" si="4"/>
        <v>1000</v>
      </c>
      <c r="AN21" s="794">
        <f t="array" ref="AN21">INDEX(G21:R21,1,MATCH(Parametres!$B$3,G$1:R$1,0))*IF(OR(F21="L",F21="S",F21="I"),-1,1)</f>
        <v>331828.59</v>
      </c>
      <c r="AO21" s="853" t="str">
        <f>+VLOOKUP($AJ21,Data_Validation!$A:$D,1,0)</f>
        <v>G0213</v>
      </c>
      <c r="AP21" s="853" t="str">
        <f>+VLOOKUP($AJ21,Data_Validation!$A:$D,3,0)</f>
        <v>Wholesale autres</v>
      </c>
      <c r="AQ21" s="853" t="str">
        <f>+VLOOKUP($AJ21,Data_Validation!$A:$D,4,0)</f>
        <v>Salaires cadres</v>
      </c>
      <c r="AR21" s="853" t="s">
        <v>728</v>
      </c>
      <c r="AS21" s="853" t="str">
        <f>+VLOOKUP($AJ21,Data_Validation!$A:$E,5,0)</f>
        <v/>
      </c>
      <c r="AT21" s="794" t="str">
        <f t="shared" ref="AT21:AU21" si="40">C21</f>
        <v>G0213</v>
      </c>
      <c r="AU21" s="854" t="str">
        <f t="shared" si="40"/>
        <v>SALAIRE CADRE U.S.A</v>
      </c>
      <c r="AV21" s="794">
        <f t="array" ref="AV21">IFERROR(INDEX(V21:AG21,1,MATCH(Parametres!$B$3,V$1:AG$1,0)-1)*IF(OR(C21="L",C21="S",C21="I"),-1,1),"")</f>
        <v>0</v>
      </c>
      <c r="AW21" s="794">
        <f t="shared" si="6"/>
        <v>0</v>
      </c>
      <c r="AX21" s="794">
        <f t="array" ref="AX21">INDEX(V21:AG21,1,MATCH(Parametres!$B$3,V$1:AG$1,0))*IF(OR(C21="L",C21="S",C21="I"),-1,1)</f>
        <v>0</v>
      </c>
      <c r="AY21" s="853" t="s">
        <v>772</v>
      </c>
      <c r="AZ21" s="853" t="str">
        <f>+VLOOKUP($AJ21,Data_Validation!$A:$E,5,0)</f>
        <v/>
      </c>
    </row>
    <row r="22" ht="15.0" customHeight="1">
      <c r="A22" s="849" t="s">
        <v>1239</v>
      </c>
      <c r="B22" s="849">
        <v>2025.0</v>
      </c>
      <c r="C22" s="849" t="s">
        <v>1302</v>
      </c>
      <c r="D22" s="849" t="s">
        <v>1303</v>
      </c>
      <c r="E22" s="849" t="s">
        <v>768</v>
      </c>
      <c r="F22" s="849" t="s">
        <v>1200</v>
      </c>
      <c r="G22" s="849">
        <v>10541.43</v>
      </c>
      <c r="H22" s="849">
        <v>21355.85</v>
      </c>
      <c r="I22" s="849">
        <v>27704.97</v>
      </c>
      <c r="J22" s="849">
        <v>36043.8</v>
      </c>
      <c r="K22" s="849">
        <v>44663.13</v>
      </c>
      <c r="L22" s="849">
        <v>52137.09</v>
      </c>
      <c r="M22" s="849">
        <v>58043.68</v>
      </c>
      <c r="N22" s="849">
        <v>74168.93</v>
      </c>
      <c r="O22" s="849">
        <v>89444.98</v>
      </c>
      <c r="P22" s="849">
        <v>107093.99</v>
      </c>
      <c r="Q22" s="849">
        <v>116235.41</v>
      </c>
      <c r="R22" s="849">
        <v>132922.83</v>
      </c>
      <c r="S22" s="849">
        <v>10566.86</v>
      </c>
      <c r="T22" s="849">
        <v>10566.86</v>
      </c>
      <c r="U22" s="849">
        <v>0.0</v>
      </c>
      <c r="V22" s="849">
        <v>0.0</v>
      </c>
      <c r="W22" s="849">
        <v>0.0</v>
      </c>
      <c r="X22" s="849">
        <v>0.0</v>
      </c>
      <c r="Y22" s="849">
        <v>0.0</v>
      </c>
      <c r="Z22" s="849">
        <v>0.0</v>
      </c>
      <c r="AA22" s="849">
        <v>0.0</v>
      </c>
      <c r="AB22" s="849">
        <v>0.0</v>
      </c>
      <c r="AC22" s="849">
        <v>0.0</v>
      </c>
      <c r="AD22" s="849">
        <v>0.0</v>
      </c>
      <c r="AE22" s="849">
        <v>0.0</v>
      </c>
      <c r="AF22" s="849">
        <v>0.0</v>
      </c>
      <c r="AG22" s="849">
        <v>0.0</v>
      </c>
      <c r="AH22" s="849">
        <v>0.0</v>
      </c>
      <c r="AI22" s="849">
        <v>0.0</v>
      </c>
      <c r="AJ22" s="794" t="str">
        <f t="shared" ref="AJ22:AK22" si="41">C22</f>
        <v>G0214</v>
      </c>
      <c r="AK22" s="794" t="str">
        <f t="shared" si="41"/>
        <v>SALAIRES CADRES SERV.</v>
      </c>
      <c r="AL22" s="794">
        <f t="array" ref="AL22">IFERROR(INDEX(G22:R22,1,MATCH(Parametres!$B$3,G$1:R$1,0)-1)*IF(OR(F22="L",F22="S",F22="I"),-1,1),"")</f>
        <v>74168.93</v>
      </c>
      <c r="AM22" s="794">
        <f t="shared" si="4"/>
        <v>15276.05</v>
      </c>
      <c r="AN22" s="794">
        <f t="array" ref="AN22">INDEX(G22:R22,1,MATCH(Parametres!$B$3,G$1:R$1,0))*IF(OR(F22="L",F22="S",F22="I"),-1,1)</f>
        <v>89444.98</v>
      </c>
      <c r="AO22" s="853" t="str">
        <f>+VLOOKUP($AJ22,Data_Validation!$A:$D,1,0)</f>
        <v>G0214</v>
      </c>
      <c r="AP22" s="853" t="str">
        <f>+VLOOKUP($AJ22,Data_Validation!$A:$D,3,0)</f>
        <v>Service</v>
      </c>
      <c r="AQ22" s="853" t="str">
        <f>+VLOOKUP($AJ22,Data_Validation!$A:$D,4,0)</f>
        <v>Salaires cadres</v>
      </c>
      <c r="AR22" s="853" t="s">
        <v>728</v>
      </c>
      <c r="AS22" s="853" t="str">
        <f>+VLOOKUP($AJ22,Data_Validation!$A:$E,5,0)</f>
        <v/>
      </c>
      <c r="AT22" s="794" t="str">
        <f t="shared" ref="AT22:AU22" si="42">C22</f>
        <v>G0214</v>
      </c>
      <c r="AU22" s="854" t="str">
        <f t="shared" si="42"/>
        <v>SALAIRES CADRES SERV.</v>
      </c>
      <c r="AV22" s="794">
        <f t="array" ref="AV22">IFERROR(INDEX(V22:AG22,1,MATCH(Parametres!$B$3,V$1:AG$1,0)-1)*IF(OR(C22="L",C22="S",C22="I"),-1,1),"")</f>
        <v>0</v>
      </c>
      <c r="AW22" s="794">
        <f t="shared" si="6"/>
        <v>0</v>
      </c>
      <c r="AX22" s="794">
        <f t="array" ref="AX22">INDEX(V22:AG22,1,MATCH(Parametres!$B$3,V$1:AG$1,0))*IF(OR(C22="L",C22="S",C22="I"),-1,1)</f>
        <v>0</v>
      </c>
      <c r="AY22" s="853" t="s">
        <v>772</v>
      </c>
      <c r="AZ22" s="853" t="str">
        <f>+VLOOKUP($AJ22,Data_Validation!$A:$E,5,0)</f>
        <v/>
      </c>
    </row>
    <row r="23" ht="15.0" customHeight="1">
      <c r="A23" s="849" t="s">
        <v>1239</v>
      </c>
      <c r="B23" s="849">
        <v>2025.0</v>
      </c>
      <c r="C23" s="849" t="s">
        <v>1304</v>
      </c>
      <c r="D23" s="849" t="s">
        <v>1305</v>
      </c>
      <c r="E23" s="849" t="s">
        <v>768</v>
      </c>
      <c r="F23" s="849" t="s">
        <v>1200</v>
      </c>
      <c r="G23" s="849">
        <v>9344.28</v>
      </c>
      <c r="H23" s="849">
        <v>18184.69</v>
      </c>
      <c r="I23" s="849">
        <v>26443.61</v>
      </c>
      <c r="J23" s="849">
        <v>35409.79</v>
      </c>
      <c r="K23" s="849">
        <v>44257.92</v>
      </c>
      <c r="L23" s="849">
        <v>52483.76</v>
      </c>
      <c r="M23" s="849">
        <v>60982.47</v>
      </c>
      <c r="N23" s="849">
        <v>73347.56</v>
      </c>
      <c r="O23" s="849">
        <v>94248.07</v>
      </c>
      <c r="P23" s="849">
        <v>111090.69</v>
      </c>
      <c r="Q23" s="849">
        <v>124209.97</v>
      </c>
      <c r="R23" s="849">
        <v>136762.75</v>
      </c>
      <c r="S23" s="849">
        <v>11291.82</v>
      </c>
      <c r="T23" s="849">
        <v>11291.82</v>
      </c>
      <c r="U23" s="849">
        <v>0.0</v>
      </c>
      <c r="V23" s="849">
        <v>0.0</v>
      </c>
      <c r="W23" s="849">
        <v>0.0</v>
      </c>
      <c r="X23" s="849">
        <v>0.0</v>
      </c>
      <c r="Y23" s="849">
        <v>0.0</v>
      </c>
      <c r="Z23" s="849">
        <v>0.0</v>
      </c>
      <c r="AA23" s="849">
        <v>0.0</v>
      </c>
      <c r="AB23" s="849">
        <v>0.0</v>
      </c>
      <c r="AC23" s="849">
        <v>0.0</v>
      </c>
      <c r="AD23" s="849">
        <v>0.0</v>
      </c>
      <c r="AE23" s="849">
        <v>0.0</v>
      </c>
      <c r="AF23" s="849">
        <v>0.0</v>
      </c>
      <c r="AG23" s="849">
        <v>0.0</v>
      </c>
      <c r="AH23" s="849">
        <v>0.0</v>
      </c>
      <c r="AI23" s="849">
        <v>0.0</v>
      </c>
      <c r="AJ23" s="794" t="str">
        <f t="shared" ref="AJ23:AK23" si="43">C23</f>
        <v>G0215</v>
      </c>
      <c r="AK23" s="794" t="str">
        <f t="shared" si="43"/>
        <v>RENUM. CADRES-CARROSSERIE</v>
      </c>
      <c r="AL23" s="794">
        <f t="array" ref="AL23">IFERROR(INDEX(G23:R23,1,MATCH(Parametres!$B$3,G$1:R$1,0)-1)*IF(OR(F23="L",F23="S",F23="I"),-1,1),"")</f>
        <v>73347.56</v>
      </c>
      <c r="AM23" s="794">
        <f t="shared" si="4"/>
        <v>20900.51</v>
      </c>
      <c r="AN23" s="794">
        <f t="array" ref="AN23">INDEX(G23:R23,1,MATCH(Parametres!$B$3,G$1:R$1,0))*IF(OR(F23="L",F23="S",F23="I"),-1,1)</f>
        <v>94248.07</v>
      </c>
      <c r="AO23" s="853" t="str">
        <f>+VLOOKUP($AJ23,Data_Validation!$A:$D,1,0)</f>
        <v>G0215</v>
      </c>
      <c r="AP23" s="853" t="str">
        <f>+VLOOKUP($AJ23,Data_Validation!$A:$D,3,0)</f>
        <v>Carrosserie</v>
      </c>
      <c r="AQ23" s="853" t="str">
        <f>+VLOOKUP($AJ23,Data_Validation!$A:$D,4,0)</f>
        <v>Salaires cadres</v>
      </c>
      <c r="AR23" s="853" t="s">
        <v>728</v>
      </c>
      <c r="AS23" s="853" t="str">
        <f>+VLOOKUP($AJ23,Data_Validation!$A:$E,5,0)</f>
        <v/>
      </c>
      <c r="AT23" s="794" t="str">
        <f t="shared" ref="AT23:AU23" si="44">C23</f>
        <v>G0215</v>
      </c>
      <c r="AU23" s="854" t="str">
        <f t="shared" si="44"/>
        <v>RENUM. CADRES-CARROSSERIE</v>
      </c>
      <c r="AV23" s="794">
        <f t="array" ref="AV23">IFERROR(INDEX(V23:AG23,1,MATCH(Parametres!$B$3,V$1:AG$1,0)-1)*IF(OR(C23="L",C23="S",C23="I"),-1,1),"")</f>
        <v>0</v>
      </c>
      <c r="AW23" s="794">
        <f t="shared" si="6"/>
        <v>0</v>
      </c>
      <c r="AX23" s="794">
        <f t="array" ref="AX23">INDEX(V23:AG23,1,MATCH(Parametres!$B$3,V$1:AG$1,0))*IF(OR(C23="L",C23="S",C23="I"),-1,1)</f>
        <v>0</v>
      </c>
      <c r="AY23" s="853" t="s">
        <v>772</v>
      </c>
      <c r="AZ23" s="853" t="str">
        <f>+VLOOKUP($AJ23,Data_Validation!$A:$E,5,0)</f>
        <v/>
      </c>
    </row>
    <row r="24" ht="15.0" customHeight="1">
      <c r="A24" s="849" t="s">
        <v>1239</v>
      </c>
      <c r="B24" s="849">
        <v>2025.0</v>
      </c>
      <c r="C24" s="849" t="s">
        <v>1306</v>
      </c>
      <c r="D24" s="849" t="s">
        <v>1307</v>
      </c>
      <c r="E24" s="849" t="s">
        <v>768</v>
      </c>
      <c r="F24" s="849" t="s">
        <v>1200</v>
      </c>
      <c r="G24" s="849">
        <v>6882.0</v>
      </c>
      <c r="H24" s="849">
        <v>20180.63</v>
      </c>
      <c r="I24" s="849">
        <v>19363.82</v>
      </c>
      <c r="J24" s="849">
        <v>17719.76</v>
      </c>
      <c r="K24" s="849">
        <v>19702.47</v>
      </c>
      <c r="L24" s="849">
        <v>21422.52</v>
      </c>
      <c r="M24" s="849">
        <v>22826.95</v>
      </c>
      <c r="N24" s="849">
        <v>27310.37</v>
      </c>
      <c r="O24" s="849">
        <v>24008.25</v>
      </c>
      <c r="P24" s="849">
        <v>20771.84</v>
      </c>
      <c r="Q24" s="849">
        <v>11849.49</v>
      </c>
      <c r="R24" s="849">
        <v>14542.06</v>
      </c>
      <c r="S24" s="849">
        <v>1077.23</v>
      </c>
      <c r="T24" s="849">
        <v>1077.23</v>
      </c>
      <c r="U24" s="849">
        <v>0.0</v>
      </c>
      <c r="V24" s="849">
        <v>0.0</v>
      </c>
      <c r="W24" s="849">
        <v>0.0</v>
      </c>
      <c r="X24" s="849">
        <v>0.0</v>
      </c>
      <c r="Y24" s="849">
        <v>0.0</v>
      </c>
      <c r="Z24" s="849">
        <v>0.0</v>
      </c>
      <c r="AA24" s="849">
        <v>0.0</v>
      </c>
      <c r="AB24" s="849">
        <v>0.0</v>
      </c>
      <c r="AC24" s="849">
        <v>0.0</v>
      </c>
      <c r="AD24" s="849">
        <v>0.0</v>
      </c>
      <c r="AE24" s="849">
        <v>0.0</v>
      </c>
      <c r="AF24" s="849">
        <v>0.0</v>
      </c>
      <c r="AG24" s="849">
        <v>0.0</v>
      </c>
      <c r="AH24" s="849">
        <v>0.0</v>
      </c>
      <c r="AI24" s="849">
        <v>0.0</v>
      </c>
      <c r="AJ24" s="794" t="str">
        <f t="shared" ref="AJ24:AK24" si="45">C24</f>
        <v>G0216</v>
      </c>
      <c r="AK24" s="794" t="str">
        <f t="shared" si="45"/>
        <v>SALAIRES CADRES-PCES</v>
      </c>
      <c r="AL24" s="794">
        <f t="array" ref="AL24">IFERROR(INDEX(G24:R24,1,MATCH(Parametres!$B$3,G$1:R$1,0)-1)*IF(OR(F24="L",F24="S",F24="I"),-1,1),"")</f>
        <v>27310.37</v>
      </c>
      <c r="AM24" s="794">
        <f t="shared" si="4"/>
        <v>-3302.12</v>
      </c>
      <c r="AN24" s="794">
        <f t="array" ref="AN24">INDEX(G24:R24,1,MATCH(Parametres!$B$3,G$1:R$1,0))*IF(OR(F24="L",F24="S",F24="I"),-1,1)</f>
        <v>24008.25</v>
      </c>
      <c r="AO24" s="853" t="str">
        <f>+VLOOKUP($AJ24,Data_Validation!$A:$D,1,0)</f>
        <v>G0216</v>
      </c>
      <c r="AP24" s="853" t="str">
        <f>+VLOOKUP($AJ24,Data_Validation!$A:$D,3,0)</f>
        <v>Pièces</v>
      </c>
      <c r="AQ24" s="853" t="str">
        <f>+VLOOKUP($AJ24,Data_Validation!$A:$D,4,0)</f>
        <v>Salaires cadres</v>
      </c>
      <c r="AR24" s="853" t="s">
        <v>728</v>
      </c>
      <c r="AS24" s="853" t="str">
        <f>+VLOOKUP($AJ24,Data_Validation!$A:$E,5,0)</f>
        <v/>
      </c>
      <c r="AT24" s="794" t="str">
        <f t="shared" ref="AT24:AU24" si="46">C24</f>
        <v>G0216</v>
      </c>
      <c r="AU24" s="854" t="str">
        <f t="shared" si="46"/>
        <v>SALAIRES CADRES-PCES</v>
      </c>
      <c r="AV24" s="794">
        <f t="array" ref="AV24">IFERROR(INDEX(V24:AG24,1,MATCH(Parametres!$B$3,V$1:AG$1,0)-1)*IF(OR(C24="L",C24="S",C24="I"),-1,1),"")</f>
        <v>0</v>
      </c>
      <c r="AW24" s="794">
        <f t="shared" si="6"/>
        <v>0</v>
      </c>
      <c r="AX24" s="794">
        <f t="array" ref="AX24">INDEX(V24:AG24,1,MATCH(Parametres!$B$3,V$1:AG$1,0))*IF(OR(C24="L",C24="S",C24="I"),-1,1)</f>
        <v>0</v>
      </c>
      <c r="AY24" s="853" t="s">
        <v>772</v>
      </c>
      <c r="AZ24" s="853" t="str">
        <f>+VLOOKUP($AJ24,Data_Validation!$A:$E,5,0)</f>
        <v/>
      </c>
    </row>
    <row r="25" ht="15.0" customHeight="1">
      <c r="A25" s="849" t="s">
        <v>1239</v>
      </c>
      <c r="B25" s="849">
        <v>2025.0</v>
      </c>
      <c r="C25" s="849" t="s">
        <v>1310</v>
      </c>
      <c r="D25" s="849" t="s">
        <v>1311</v>
      </c>
      <c r="E25" s="849" t="s">
        <v>768</v>
      </c>
      <c r="F25" s="849" t="s">
        <v>1200</v>
      </c>
      <c r="G25" s="849">
        <v>0.0</v>
      </c>
      <c r="H25" s="849">
        <v>0.0</v>
      </c>
      <c r="I25" s="849">
        <v>0.0</v>
      </c>
      <c r="J25" s="849">
        <v>0.0</v>
      </c>
      <c r="K25" s="849">
        <v>0.0</v>
      </c>
      <c r="L25" s="849">
        <v>0.0</v>
      </c>
      <c r="M25" s="849">
        <v>0.0</v>
      </c>
      <c r="N25" s="849">
        <v>0.0</v>
      </c>
      <c r="O25" s="849">
        <v>0.0</v>
      </c>
      <c r="P25" s="849">
        <v>0.0</v>
      </c>
      <c r="Q25" s="849">
        <v>0.0</v>
      </c>
      <c r="R25" s="849">
        <v>0.0</v>
      </c>
      <c r="S25" s="849">
        <v>0.0</v>
      </c>
      <c r="T25" s="849">
        <v>0.0</v>
      </c>
      <c r="U25" s="849">
        <v>0.0</v>
      </c>
      <c r="V25" s="849">
        <v>0.0</v>
      </c>
      <c r="W25" s="849">
        <v>0.0</v>
      </c>
      <c r="X25" s="849">
        <v>0.0</v>
      </c>
      <c r="Y25" s="849">
        <v>0.0</v>
      </c>
      <c r="Z25" s="849">
        <v>0.0</v>
      </c>
      <c r="AA25" s="849">
        <v>0.0</v>
      </c>
      <c r="AB25" s="849">
        <v>0.0</v>
      </c>
      <c r="AC25" s="849">
        <v>0.0</v>
      </c>
      <c r="AD25" s="849">
        <v>0.0</v>
      </c>
      <c r="AE25" s="849">
        <v>0.0</v>
      </c>
      <c r="AF25" s="849">
        <v>0.0</v>
      </c>
      <c r="AG25" s="849">
        <v>0.0</v>
      </c>
      <c r="AH25" s="849">
        <v>0.0</v>
      </c>
      <c r="AI25" s="849">
        <v>0.0</v>
      </c>
      <c r="AJ25" s="794" t="str">
        <f t="shared" ref="AJ25:AK25" si="47">C25</f>
        <v>G0220</v>
      </c>
      <c r="AK25" s="794" t="str">
        <f t="shared" si="47"/>
        <v>SALAIRE BUREAU REP.</v>
      </c>
      <c r="AL25" s="794">
        <f t="array" ref="AL25">IFERROR(INDEX(G25:R25,1,MATCH(Parametres!$B$3,G$1:R$1,0)-1)*IF(OR(F25="L",F25="S",F25="I"),-1,1),"")</f>
        <v>0</v>
      </c>
      <c r="AM25" s="794">
        <f t="shared" si="4"/>
        <v>0</v>
      </c>
      <c r="AN25" s="794">
        <f t="array" ref="AN25">INDEX(G25:R25,1,MATCH(Parametres!$B$3,G$1:R$1,0))*IF(OR(F25="L",F25="S",F25="I"),-1,1)</f>
        <v>0</v>
      </c>
      <c r="AO25" s="853" t="str">
        <f>+VLOOKUP($AJ25,Data_Validation!$A:$D,1,0)</f>
        <v>#N/A</v>
      </c>
      <c r="AP25" s="853" t="str">
        <f>+VLOOKUP($AJ25,Data_Validation!$A:$D,3,0)</f>
        <v>#N/A</v>
      </c>
      <c r="AQ25" s="853" t="str">
        <f>+VLOOKUP($AJ25,Data_Validation!$A:$D,4,0)</f>
        <v>#N/A</v>
      </c>
      <c r="AR25" s="853" t="s">
        <v>728</v>
      </c>
      <c r="AS25" s="853" t="str">
        <f>+VLOOKUP($AJ25,Data_Validation!$A:$E,5,0)</f>
        <v>#N/A</v>
      </c>
      <c r="AT25" s="794" t="str">
        <f t="shared" ref="AT25:AU25" si="48">C25</f>
        <v>G0220</v>
      </c>
      <c r="AU25" s="854" t="str">
        <f t="shared" si="48"/>
        <v>SALAIRE BUREAU REP.</v>
      </c>
      <c r="AV25" s="794">
        <f t="array" ref="AV25">IFERROR(INDEX(V25:AG25,1,MATCH(Parametres!$B$3,V$1:AG$1,0)-1)*IF(OR(C25="L",C25="S",C25="I"),-1,1),"")</f>
        <v>0</v>
      </c>
      <c r="AW25" s="794">
        <f t="shared" si="6"/>
        <v>0</v>
      </c>
      <c r="AX25" s="794">
        <f t="array" ref="AX25">INDEX(V25:AG25,1,MATCH(Parametres!$B$3,V$1:AG$1,0))*IF(OR(C25="L",C25="S",C25="I"),-1,1)</f>
        <v>0</v>
      </c>
      <c r="AY25" s="853" t="s">
        <v>772</v>
      </c>
      <c r="AZ25" s="853" t="str">
        <f>+VLOOKUP($AJ25,Data_Validation!$A:$E,5,0)</f>
        <v>#N/A</v>
      </c>
    </row>
    <row r="26" ht="15.75" customHeight="1">
      <c r="A26" s="849" t="s">
        <v>1239</v>
      </c>
      <c r="B26" s="849">
        <v>2025.0</v>
      </c>
      <c r="C26" s="849" t="s">
        <v>1314</v>
      </c>
      <c r="D26" s="849" t="s">
        <v>1315</v>
      </c>
      <c r="E26" s="849" t="s">
        <v>768</v>
      </c>
      <c r="F26" s="849" t="s">
        <v>1200</v>
      </c>
      <c r="G26" s="849">
        <v>19784.71</v>
      </c>
      <c r="H26" s="849">
        <v>39005.72</v>
      </c>
      <c r="I26" s="849">
        <v>62872.55</v>
      </c>
      <c r="J26" s="849">
        <v>88256.87</v>
      </c>
      <c r="K26" s="849">
        <v>115577.05</v>
      </c>
      <c r="L26" s="849">
        <v>144230.13</v>
      </c>
      <c r="M26" s="849">
        <v>171931.18</v>
      </c>
      <c r="N26" s="849">
        <v>199441.88</v>
      </c>
      <c r="O26" s="849">
        <v>232543.78</v>
      </c>
      <c r="P26" s="849">
        <v>262756.9</v>
      </c>
      <c r="Q26" s="849">
        <v>294302.75</v>
      </c>
      <c r="R26" s="849">
        <v>323031.2</v>
      </c>
      <c r="S26" s="849">
        <v>26754.8</v>
      </c>
      <c r="T26" s="849">
        <v>26754.8</v>
      </c>
      <c r="U26" s="849">
        <v>0.0</v>
      </c>
      <c r="V26" s="849">
        <v>0.0</v>
      </c>
      <c r="W26" s="849">
        <v>0.0</v>
      </c>
      <c r="X26" s="849">
        <v>0.0</v>
      </c>
      <c r="Y26" s="849">
        <v>0.0</v>
      </c>
      <c r="Z26" s="849">
        <v>0.0</v>
      </c>
      <c r="AA26" s="849">
        <v>0.0</v>
      </c>
      <c r="AB26" s="849">
        <v>0.0</v>
      </c>
      <c r="AC26" s="849">
        <v>0.0</v>
      </c>
      <c r="AD26" s="849">
        <v>0.0</v>
      </c>
      <c r="AE26" s="849">
        <v>0.0</v>
      </c>
      <c r="AF26" s="849">
        <v>0.0</v>
      </c>
      <c r="AG26" s="849">
        <v>0.0</v>
      </c>
      <c r="AH26" s="849">
        <v>0.0</v>
      </c>
      <c r="AI26" s="849">
        <v>0.0</v>
      </c>
      <c r="AJ26" s="794" t="str">
        <f t="shared" ref="AJ26:AK26" si="49">C26</f>
        <v>G0221</v>
      </c>
      <c r="AK26" s="794" t="str">
        <f t="shared" si="49"/>
        <v>SALAIRES BUREAU NEUFS</v>
      </c>
      <c r="AL26" s="794">
        <f t="array" ref="AL26">IFERROR(INDEX(G26:R26,1,MATCH(Parametres!$B$3,G$1:R$1,0)-1)*IF(OR(F26="L",F26="S",F26="I"),-1,1),"")</f>
        <v>199441.88</v>
      </c>
      <c r="AM26" s="794">
        <f t="shared" si="4"/>
        <v>33101.9</v>
      </c>
      <c r="AN26" s="794">
        <f t="array" ref="AN26">INDEX(G26:R26,1,MATCH(Parametres!$B$3,G$1:R$1,0))*IF(OR(F26="L",F26="S",F26="I"),-1,1)</f>
        <v>232543.78</v>
      </c>
      <c r="AO26" s="853" t="str">
        <f>+VLOOKUP($AJ26,Data_Validation!$A:$D,1,0)</f>
        <v>G0221</v>
      </c>
      <c r="AP26" s="853" t="str">
        <f>+VLOOKUP($AJ26,Data_Validation!$A:$D,3,0)</f>
        <v>Véhicules neufs</v>
      </c>
      <c r="AQ26" s="853" t="str">
        <f>+VLOOKUP($AJ26,Data_Validation!$A:$D,4,0)</f>
        <v>Salaires commis</v>
      </c>
      <c r="AR26" s="853" t="s">
        <v>728</v>
      </c>
      <c r="AS26" s="853" t="str">
        <f>+VLOOKUP($AJ26,Data_Validation!$A:$E,5,0)</f>
        <v/>
      </c>
      <c r="AT26" s="794" t="str">
        <f t="shared" ref="AT26:AU26" si="50">C26</f>
        <v>G0221</v>
      </c>
      <c r="AU26" s="854" t="str">
        <f t="shared" si="50"/>
        <v>SALAIRES BUREAU NEUFS</v>
      </c>
      <c r="AV26" s="794">
        <f t="array" ref="AV26">IFERROR(INDEX(V26:AG26,1,MATCH(Parametres!$B$3,V$1:AG$1,0)-1)*IF(OR(C26="L",C26="S",C26="I"),-1,1),"")</f>
        <v>0</v>
      </c>
      <c r="AW26" s="794">
        <f t="shared" si="6"/>
        <v>0</v>
      </c>
      <c r="AX26" s="794">
        <f t="array" ref="AX26">INDEX(V26:AG26,1,MATCH(Parametres!$B$3,V$1:AG$1,0))*IF(OR(C26="L",C26="S",C26="I"),-1,1)</f>
        <v>0</v>
      </c>
      <c r="AY26" s="853" t="s">
        <v>772</v>
      </c>
      <c r="AZ26" s="853" t="str">
        <f>+VLOOKUP($AJ26,Data_Validation!$A:$E,5,0)</f>
        <v/>
      </c>
    </row>
    <row r="27" ht="15.0" customHeight="1">
      <c r="A27" s="849" t="s">
        <v>1239</v>
      </c>
      <c r="B27" s="849">
        <v>2025.0</v>
      </c>
      <c r="C27" s="849" t="s">
        <v>1318</v>
      </c>
      <c r="D27" s="849" t="s">
        <v>1319</v>
      </c>
      <c r="E27" s="849" t="s">
        <v>768</v>
      </c>
      <c r="F27" s="849" t="s">
        <v>1200</v>
      </c>
      <c r="G27" s="849">
        <v>3052.87</v>
      </c>
      <c r="H27" s="849">
        <v>5510.31</v>
      </c>
      <c r="I27" s="849">
        <v>9539.14</v>
      </c>
      <c r="J27" s="849">
        <v>17737.32</v>
      </c>
      <c r="K27" s="849">
        <v>22342.78</v>
      </c>
      <c r="L27" s="849">
        <v>27394.28</v>
      </c>
      <c r="M27" s="849">
        <v>32306.41</v>
      </c>
      <c r="N27" s="849">
        <v>36912.55</v>
      </c>
      <c r="O27" s="849">
        <v>50995.63</v>
      </c>
      <c r="P27" s="849">
        <v>56594.18</v>
      </c>
      <c r="Q27" s="849">
        <v>64241.33</v>
      </c>
      <c r="R27" s="849">
        <v>68504.01</v>
      </c>
      <c r="S27" s="849">
        <v>5840.12</v>
      </c>
      <c r="T27" s="849">
        <v>5840.12</v>
      </c>
      <c r="U27" s="849">
        <v>0.0</v>
      </c>
      <c r="V27" s="849">
        <v>0.0</v>
      </c>
      <c r="W27" s="849">
        <v>0.0</v>
      </c>
      <c r="X27" s="849">
        <v>0.0</v>
      </c>
      <c r="Y27" s="849">
        <v>0.0</v>
      </c>
      <c r="Z27" s="849">
        <v>0.0</v>
      </c>
      <c r="AA27" s="849">
        <v>0.0</v>
      </c>
      <c r="AB27" s="849">
        <v>0.0</v>
      </c>
      <c r="AC27" s="849">
        <v>0.0</v>
      </c>
      <c r="AD27" s="849">
        <v>0.0</v>
      </c>
      <c r="AE27" s="849">
        <v>0.0</v>
      </c>
      <c r="AF27" s="849">
        <v>0.0</v>
      </c>
      <c r="AG27" s="849">
        <v>0.0</v>
      </c>
      <c r="AH27" s="849">
        <v>0.0</v>
      </c>
      <c r="AI27" s="849">
        <v>0.0</v>
      </c>
      <c r="AJ27" s="794" t="str">
        <f t="shared" ref="AJ27:AK27" si="51">C27</f>
        <v>G0222</v>
      </c>
      <c r="AK27" s="794" t="str">
        <f t="shared" si="51"/>
        <v>SALAIRES BUREAU USAGES</v>
      </c>
      <c r="AL27" s="794">
        <f t="array" ref="AL27">IFERROR(INDEX(G27:R27,1,MATCH(Parametres!$B$3,G$1:R$1,0)-1)*IF(OR(F27="L",F27="S",F27="I"),-1,1),"")</f>
        <v>36912.55</v>
      </c>
      <c r="AM27" s="794">
        <f t="shared" si="4"/>
        <v>14083.08</v>
      </c>
      <c r="AN27" s="794">
        <f t="array" ref="AN27">INDEX(G27:R27,1,MATCH(Parametres!$B$3,G$1:R$1,0))*IF(OR(F27="L",F27="S",F27="I"),-1,1)</f>
        <v>50995.63</v>
      </c>
      <c r="AO27" s="853" t="str">
        <f>+VLOOKUP($AJ27,Data_Validation!$A:$D,1,0)</f>
        <v>G0222</v>
      </c>
      <c r="AP27" s="853" t="str">
        <f>+VLOOKUP($AJ27,Data_Validation!$A:$D,3,0)</f>
        <v>Véhicules usagés</v>
      </c>
      <c r="AQ27" s="853" t="str">
        <f>+VLOOKUP($AJ27,Data_Validation!$A:$D,4,0)</f>
        <v>Salaires commis</v>
      </c>
      <c r="AR27" s="853" t="s">
        <v>728</v>
      </c>
      <c r="AS27" s="853" t="str">
        <f>+VLOOKUP($AJ27,Data_Validation!$A:$E,5,0)</f>
        <v/>
      </c>
      <c r="AT27" s="794" t="str">
        <f t="shared" ref="AT27:AU27" si="52">C27</f>
        <v>G0222</v>
      </c>
      <c r="AU27" s="854" t="str">
        <f t="shared" si="52"/>
        <v>SALAIRES BUREAU USAGES</v>
      </c>
      <c r="AV27" s="794">
        <f t="array" ref="AV27">IFERROR(INDEX(V27:AG27,1,MATCH(Parametres!$B$3,V$1:AG$1,0)-1)*IF(OR(C27="L",C27="S",C27="I"),-1,1),"")</f>
        <v>0</v>
      </c>
      <c r="AW27" s="794">
        <f t="shared" si="6"/>
        <v>0</v>
      </c>
      <c r="AX27" s="794">
        <f t="array" ref="AX27">INDEX(V27:AG27,1,MATCH(Parametres!$B$3,V$1:AG$1,0))*IF(OR(C27="L",C27="S",C27="I"),-1,1)</f>
        <v>0</v>
      </c>
      <c r="AY27" s="853" t="s">
        <v>772</v>
      </c>
      <c r="AZ27" s="853" t="str">
        <f>+VLOOKUP($AJ27,Data_Validation!$A:$E,5,0)</f>
        <v/>
      </c>
    </row>
    <row r="28" ht="15.0" customHeight="1">
      <c r="A28" s="849" t="s">
        <v>1239</v>
      </c>
      <c r="B28" s="849">
        <v>2025.0</v>
      </c>
      <c r="C28" s="849" t="s">
        <v>1320</v>
      </c>
      <c r="D28" s="849" t="s">
        <v>1321</v>
      </c>
      <c r="E28" s="849" t="s">
        <v>768</v>
      </c>
      <c r="F28" s="849" t="s">
        <v>1200</v>
      </c>
      <c r="G28" s="849">
        <v>10023.08</v>
      </c>
      <c r="H28" s="849">
        <v>19792.33</v>
      </c>
      <c r="I28" s="849">
        <v>32236.72</v>
      </c>
      <c r="J28" s="849">
        <v>43722.23</v>
      </c>
      <c r="K28" s="849">
        <v>52764.7</v>
      </c>
      <c r="L28" s="849">
        <v>65451.68</v>
      </c>
      <c r="M28" s="849">
        <v>70582.28</v>
      </c>
      <c r="N28" s="849">
        <v>80631.66</v>
      </c>
      <c r="O28" s="849">
        <v>94477.06</v>
      </c>
      <c r="P28" s="849">
        <v>112981.38</v>
      </c>
      <c r="Q28" s="849">
        <v>129999.86</v>
      </c>
      <c r="R28" s="849">
        <v>127585.11</v>
      </c>
      <c r="S28" s="849">
        <v>11818.17</v>
      </c>
      <c r="T28" s="849">
        <v>11818.17</v>
      </c>
      <c r="U28" s="849">
        <v>0.0</v>
      </c>
      <c r="V28" s="849">
        <v>0.0</v>
      </c>
      <c r="W28" s="849">
        <v>0.0</v>
      </c>
      <c r="X28" s="849">
        <v>0.0</v>
      </c>
      <c r="Y28" s="849">
        <v>0.0</v>
      </c>
      <c r="Z28" s="849">
        <v>0.0</v>
      </c>
      <c r="AA28" s="849">
        <v>0.0</v>
      </c>
      <c r="AB28" s="849">
        <v>0.0</v>
      </c>
      <c r="AC28" s="849">
        <v>0.0</v>
      </c>
      <c r="AD28" s="849">
        <v>0.0</v>
      </c>
      <c r="AE28" s="849">
        <v>0.0</v>
      </c>
      <c r="AF28" s="849">
        <v>0.0</v>
      </c>
      <c r="AG28" s="849">
        <v>0.0</v>
      </c>
      <c r="AH28" s="849">
        <v>0.0</v>
      </c>
      <c r="AI28" s="849">
        <v>0.0</v>
      </c>
      <c r="AJ28" s="794" t="str">
        <f t="shared" ref="AJ28:AK28" si="53">C28</f>
        <v>G0223</v>
      </c>
      <c r="AK28" s="794" t="str">
        <f t="shared" si="53"/>
        <v>SALAIRES BUREAU U.S.A</v>
      </c>
      <c r="AL28" s="794">
        <f t="array" ref="AL28">IFERROR(INDEX(G28:R28,1,MATCH(Parametres!$B$3,G$1:R$1,0)-1)*IF(OR(F28="L",F28="S",F28="I"),-1,1),"")</f>
        <v>80631.66</v>
      </c>
      <c r="AM28" s="794">
        <f t="shared" si="4"/>
        <v>13845.4</v>
      </c>
      <c r="AN28" s="794">
        <f t="array" ref="AN28">INDEX(G28:R28,1,MATCH(Parametres!$B$3,G$1:R$1,0))*IF(OR(F28="L",F28="S",F28="I"),-1,1)</f>
        <v>94477.06</v>
      </c>
      <c r="AO28" s="853" t="str">
        <f>+VLOOKUP($AJ28,Data_Validation!$A:$D,1,0)</f>
        <v>G0223</v>
      </c>
      <c r="AP28" s="853" t="str">
        <f>+VLOOKUP($AJ28,Data_Validation!$A:$D,3,0)</f>
        <v>Wholesale autres</v>
      </c>
      <c r="AQ28" s="853" t="str">
        <f>+VLOOKUP($AJ28,Data_Validation!$A:$D,4,0)</f>
        <v>Salaires commis</v>
      </c>
      <c r="AR28" s="853" t="s">
        <v>728</v>
      </c>
      <c r="AS28" s="853" t="str">
        <f>+VLOOKUP($AJ28,Data_Validation!$A:$E,5,0)</f>
        <v/>
      </c>
      <c r="AT28" s="794" t="str">
        <f t="shared" ref="AT28:AU28" si="54">C28</f>
        <v>G0223</v>
      </c>
      <c r="AU28" s="854" t="str">
        <f t="shared" si="54"/>
        <v>SALAIRES BUREAU U.S.A</v>
      </c>
      <c r="AV28" s="794">
        <f t="array" ref="AV28">IFERROR(INDEX(V28:AG28,1,MATCH(Parametres!$B$3,V$1:AG$1,0)-1)*IF(OR(C28="L",C28="S",C28="I"),-1,1),"")</f>
        <v>0</v>
      </c>
      <c r="AW28" s="794">
        <f t="shared" si="6"/>
        <v>0</v>
      </c>
      <c r="AX28" s="794">
        <f t="array" ref="AX28">INDEX(V28:AG28,1,MATCH(Parametres!$B$3,V$1:AG$1,0))*IF(OR(C28="L",C28="S",C28="I"),-1,1)</f>
        <v>0</v>
      </c>
      <c r="AY28" s="853" t="s">
        <v>772</v>
      </c>
      <c r="AZ28" s="853" t="str">
        <f>+VLOOKUP($AJ28,Data_Validation!$A:$E,5,0)</f>
        <v/>
      </c>
    </row>
    <row r="29" ht="15.0" customHeight="1">
      <c r="A29" s="849" t="s">
        <v>1239</v>
      </c>
      <c r="B29" s="849">
        <v>2025.0</v>
      </c>
      <c r="C29" s="849" t="s">
        <v>1322</v>
      </c>
      <c r="D29" s="849" t="s">
        <v>1323</v>
      </c>
      <c r="E29" s="849" t="s">
        <v>768</v>
      </c>
      <c r="F29" s="849" t="s">
        <v>1200</v>
      </c>
      <c r="G29" s="849">
        <v>24695.34</v>
      </c>
      <c r="H29" s="849">
        <v>46150.86</v>
      </c>
      <c r="I29" s="849">
        <v>71946.47</v>
      </c>
      <c r="J29" s="849">
        <v>100378.73</v>
      </c>
      <c r="K29" s="849">
        <v>128720.87</v>
      </c>
      <c r="L29" s="849">
        <v>153417.06</v>
      </c>
      <c r="M29" s="849">
        <v>179289.77</v>
      </c>
      <c r="N29" s="849">
        <v>202766.32</v>
      </c>
      <c r="O29" s="849">
        <v>230406.04</v>
      </c>
      <c r="P29" s="849">
        <v>260829.72</v>
      </c>
      <c r="Q29" s="849">
        <v>293061.84</v>
      </c>
      <c r="R29" s="849">
        <v>318139.25</v>
      </c>
      <c r="S29" s="849">
        <v>26641.99</v>
      </c>
      <c r="T29" s="849">
        <v>26641.99</v>
      </c>
      <c r="U29" s="849">
        <v>0.0</v>
      </c>
      <c r="V29" s="849">
        <v>0.0</v>
      </c>
      <c r="W29" s="849">
        <v>0.0</v>
      </c>
      <c r="X29" s="849">
        <v>0.0</v>
      </c>
      <c r="Y29" s="849">
        <v>0.0</v>
      </c>
      <c r="Z29" s="849">
        <v>0.0</v>
      </c>
      <c r="AA29" s="849">
        <v>0.0</v>
      </c>
      <c r="AB29" s="849">
        <v>0.0</v>
      </c>
      <c r="AC29" s="849">
        <v>0.0</v>
      </c>
      <c r="AD29" s="849">
        <v>0.0</v>
      </c>
      <c r="AE29" s="849">
        <v>0.0</v>
      </c>
      <c r="AF29" s="849">
        <v>0.0</v>
      </c>
      <c r="AG29" s="849">
        <v>0.0</v>
      </c>
      <c r="AH29" s="849">
        <v>0.0</v>
      </c>
      <c r="AI29" s="849">
        <v>0.0</v>
      </c>
      <c r="AJ29" s="794" t="str">
        <f t="shared" ref="AJ29:AK29" si="55">C29</f>
        <v>G0224</v>
      </c>
      <c r="AK29" s="794" t="str">
        <f t="shared" si="55"/>
        <v>SALAIRES BUREAU SERVICE</v>
      </c>
      <c r="AL29" s="794">
        <f t="array" ref="AL29">IFERROR(INDEX(G29:R29,1,MATCH(Parametres!$B$3,G$1:R$1,0)-1)*IF(OR(F29="L",F29="S",F29="I"),-1,1),"")</f>
        <v>202766.32</v>
      </c>
      <c r="AM29" s="794">
        <f t="shared" si="4"/>
        <v>27639.72</v>
      </c>
      <c r="AN29" s="794">
        <f t="array" ref="AN29">INDEX(G29:R29,1,MATCH(Parametres!$B$3,G$1:R$1,0))*IF(OR(F29="L",F29="S",F29="I"),-1,1)</f>
        <v>230406.04</v>
      </c>
      <c r="AO29" s="853" t="str">
        <f>+VLOOKUP($AJ29,Data_Validation!$A:$D,1,0)</f>
        <v>G0224</v>
      </c>
      <c r="AP29" s="853" t="str">
        <f>+VLOOKUP($AJ29,Data_Validation!$A:$D,3,0)</f>
        <v>Service</v>
      </c>
      <c r="AQ29" s="853" t="str">
        <f>+VLOOKUP($AJ29,Data_Validation!$A:$D,4,0)</f>
        <v>Salaires commis</v>
      </c>
      <c r="AR29" s="853" t="s">
        <v>728</v>
      </c>
      <c r="AS29" s="853" t="str">
        <f>+VLOOKUP($AJ29,Data_Validation!$A:$E,5,0)</f>
        <v/>
      </c>
      <c r="AT29" s="794" t="str">
        <f t="shared" ref="AT29:AU29" si="56">C29</f>
        <v>G0224</v>
      </c>
      <c r="AU29" s="854" t="str">
        <f t="shared" si="56"/>
        <v>SALAIRES BUREAU SERVICE</v>
      </c>
      <c r="AV29" s="794">
        <f t="array" ref="AV29">IFERROR(INDEX(V29:AG29,1,MATCH(Parametres!$B$3,V$1:AG$1,0)-1)*IF(OR(C29="L",C29="S",C29="I"),-1,1),"")</f>
        <v>0</v>
      </c>
      <c r="AW29" s="794">
        <f t="shared" si="6"/>
        <v>0</v>
      </c>
      <c r="AX29" s="794">
        <f t="array" ref="AX29">INDEX(V29:AG29,1,MATCH(Parametres!$B$3,V$1:AG$1,0))*IF(OR(C29="L",C29="S",C29="I"),-1,1)</f>
        <v>0</v>
      </c>
      <c r="AY29" s="853" t="s">
        <v>772</v>
      </c>
      <c r="AZ29" s="853" t="str">
        <f>+VLOOKUP($AJ29,Data_Validation!$A:$E,5,0)</f>
        <v/>
      </c>
    </row>
    <row r="30" ht="15.0" customHeight="1">
      <c r="A30" s="849" t="s">
        <v>1239</v>
      </c>
      <c r="B30" s="849">
        <v>2025.0</v>
      </c>
      <c r="C30" s="849" t="s">
        <v>1324</v>
      </c>
      <c r="D30" s="849" t="s">
        <v>1325</v>
      </c>
      <c r="E30" s="849" t="s">
        <v>768</v>
      </c>
      <c r="F30" s="849" t="s">
        <v>1200</v>
      </c>
      <c r="G30" s="849">
        <v>5851.2</v>
      </c>
      <c r="H30" s="849">
        <v>14547.5</v>
      </c>
      <c r="I30" s="849">
        <v>24927.05</v>
      </c>
      <c r="J30" s="849">
        <v>33569.01</v>
      </c>
      <c r="K30" s="849">
        <v>40246.51</v>
      </c>
      <c r="L30" s="849">
        <v>46591.12</v>
      </c>
      <c r="M30" s="849">
        <v>52518.99</v>
      </c>
      <c r="N30" s="849">
        <v>59037.86</v>
      </c>
      <c r="O30" s="849">
        <v>65265.05</v>
      </c>
      <c r="P30" s="849">
        <v>72602.23</v>
      </c>
      <c r="Q30" s="849">
        <v>80128.5</v>
      </c>
      <c r="R30" s="849">
        <v>86023.16</v>
      </c>
      <c r="S30" s="849">
        <v>7284.41</v>
      </c>
      <c r="T30" s="849">
        <v>7284.41</v>
      </c>
      <c r="U30" s="849">
        <v>0.0</v>
      </c>
      <c r="V30" s="849">
        <v>0.0</v>
      </c>
      <c r="W30" s="849">
        <v>0.0</v>
      </c>
      <c r="X30" s="849">
        <v>0.0</v>
      </c>
      <c r="Y30" s="849">
        <v>0.0</v>
      </c>
      <c r="Z30" s="849">
        <v>0.0</v>
      </c>
      <c r="AA30" s="849">
        <v>0.0</v>
      </c>
      <c r="AB30" s="849">
        <v>0.0</v>
      </c>
      <c r="AC30" s="849">
        <v>0.0</v>
      </c>
      <c r="AD30" s="849">
        <v>0.0</v>
      </c>
      <c r="AE30" s="849">
        <v>0.0</v>
      </c>
      <c r="AF30" s="849">
        <v>0.0</v>
      </c>
      <c r="AG30" s="849">
        <v>0.0</v>
      </c>
      <c r="AH30" s="849">
        <v>0.0</v>
      </c>
      <c r="AI30" s="849">
        <v>0.0</v>
      </c>
      <c r="AJ30" s="794" t="str">
        <f t="shared" ref="AJ30:AK30" si="57">C30</f>
        <v>G0225</v>
      </c>
      <c r="AK30" s="794" t="str">
        <f t="shared" si="57"/>
        <v>SALAIRES BUREAU CARROS.</v>
      </c>
      <c r="AL30" s="794">
        <f t="array" ref="AL30">IFERROR(INDEX(G30:R30,1,MATCH(Parametres!$B$3,G$1:R$1,0)-1)*IF(OR(F30="L",F30="S",F30="I"),-1,1),"")</f>
        <v>59037.86</v>
      </c>
      <c r="AM30" s="794">
        <f t="shared" si="4"/>
        <v>6227.19</v>
      </c>
      <c r="AN30" s="794">
        <f t="array" ref="AN30">INDEX(G30:R30,1,MATCH(Parametres!$B$3,G$1:R$1,0))*IF(OR(F30="L",F30="S",F30="I"),-1,1)</f>
        <v>65265.05</v>
      </c>
      <c r="AO30" s="853" t="str">
        <f>+VLOOKUP($AJ30,Data_Validation!$A:$D,1,0)</f>
        <v>G0225</v>
      </c>
      <c r="AP30" s="853" t="str">
        <f>+VLOOKUP($AJ30,Data_Validation!$A:$D,3,0)</f>
        <v>Carrosserie</v>
      </c>
      <c r="AQ30" s="853" t="str">
        <f>+VLOOKUP($AJ30,Data_Validation!$A:$D,4,0)</f>
        <v>Salaires commis</v>
      </c>
      <c r="AR30" s="853" t="s">
        <v>728</v>
      </c>
      <c r="AS30" s="853" t="str">
        <f>+VLOOKUP($AJ30,Data_Validation!$A:$E,5,0)</f>
        <v/>
      </c>
      <c r="AT30" s="794" t="str">
        <f t="shared" ref="AT30:AU30" si="58">C30</f>
        <v>G0225</v>
      </c>
      <c r="AU30" s="854" t="str">
        <f t="shared" si="58"/>
        <v>SALAIRES BUREAU CARROS.</v>
      </c>
      <c r="AV30" s="794">
        <f t="array" ref="AV30">IFERROR(INDEX(V30:AG30,1,MATCH(Parametres!$B$3,V$1:AG$1,0)-1)*IF(OR(C30="L",C30="S",C30="I"),-1,1),"")</f>
        <v>0</v>
      </c>
      <c r="AW30" s="794">
        <f t="shared" si="6"/>
        <v>0</v>
      </c>
      <c r="AX30" s="794">
        <f t="array" ref="AX30">INDEX(V30:AG30,1,MATCH(Parametres!$B$3,V$1:AG$1,0))*IF(OR(C30="L",C30="S",C30="I"),-1,1)</f>
        <v>0</v>
      </c>
      <c r="AY30" s="853" t="s">
        <v>772</v>
      </c>
      <c r="AZ30" s="853" t="str">
        <f>+VLOOKUP($AJ30,Data_Validation!$A:$E,5,0)</f>
        <v/>
      </c>
    </row>
    <row r="31" ht="15.0" customHeight="1">
      <c r="A31" s="849" t="s">
        <v>1239</v>
      </c>
      <c r="B31" s="849">
        <v>2025.0</v>
      </c>
      <c r="C31" s="849" t="s">
        <v>1326</v>
      </c>
      <c r="D31" s="849" t="s">
        <v>1327</v>
      </c>
      <c r="E31" s="849" t="s">
        <v>768</v>
      </c>
      <c r="F31" s="849" t="s">
        <v>1200</v>
      </c>
      <c r="G31" s="849">
        <v>1840.56</v>
      </c>
      <c r="H31" s="849">
        <v>3965.24</v>
      </c>
      <c r="I31" s="849">
        <v>6326.2</v>
      </c>
      <c r="J31" s="849">
        <v>8535.63</v>
      </c>
      <c r="K31" s="849">
        <v>11104.59</v>
      </c>
      <c r="L31" s="849">
        <v>13873.09</v>
      </c>
      <c r="M31" s="849">
        <v>16665.84</v>
      </c>
      <c r="N31" s="849">
        <v>19100.33</v>
      </c>
      <c r="O31" s="849">
        <v>22358.87</v>
      </c>
      <c r="P31" s="849">
        <v>25518.34</v>
      </c>
      <c r="Q31" s="849">
        <v>29655.11</v>
      </c>
      <c r="R31" s="849">
        <v>32021.37</v>
      </c>
      <c r="S31" s="849">
        <v>2695.92</v>
      </c>
      <c r="T31" s="849">
        <v>2695.92</v>
      </c>
      <c r="U31" s="849">
        <v>0.0</v>
      </c>
      <c r="V31" s="849">
        <v>0.0</v>
      </c>
      <c r="W31" s="849">
        <v>0.0</v>
      </c>
      <c r="X31" s="849">
        <v>0.0</v>
      </c>
      <c r="Y31" s="849">
        <v>0.0</v>
      </c>
      <c r="Z31" s="849">
        <v>0.0</v>
      </c>
      <c r="AA31" s="849">
        <v>0.0</v>
      </c>
      <c r="AB31" s="849">
        <v>0.0</v>
      </c>
      <c r="AC31" s="849">
        <v>0.0</v>
      </c>
      <c r="AD31" s="849">
        <v>0.0</v>
      </c>
      <c r="AE31" s="849">
        <v>0.0</v>
      </c>
      <c r="AF31" s="849">
        <v>0.0</v>
      </c>
      <c r="AG31" s="849">
        <v>0.0</v>
      </c>
      <c r="AH31" s="849">
        <v>0.0</v>
      </c>
      <c r="AI31" s="849">
        <v>0.0</v>
      </c>
      <c r="AJ31" s="794" t="str">
        <f t="shared" ref="AJ31:AK31" si="59">C31</f>
        <v>G0226</v>
      </c>
      <c r="AK31" s="794" t="str">
        <f t="shared" si="59"/>
        <v>SALAIRES BUREAU PCES</v>
      </c>
      <c r="AL31" s="794">
        <f t="array" ref="AL31">IFERROR(INDEX(G31:R31,1,MATCH(Parametres!$B$3,G$1:R$1,0)-1)*IF(OR(F31="L",F31="S",F31="I"),-1,1),"")</f>
        <v>19100.33</v>
      </c>
      <c r="AM31" s="794">
        <f t="shared" si="4"/>
        <v>3258.54</v>
      </c>
      <c r="AN31" s="794">
        <f t="array" ref="AN31">INDEX(G31:R31,1,MATCH(Parametres!$B$3,G$1:R$1,0))*IF(OR(F31="L",F31="S",F31="I"),-1,1)</f>
        <v>22358.87</v>
      </c>
      <c r="AO31" s="853" t="str">
        <f>+VLOOKUP($AJ31,Data_Validation!$A:$D,1,0)</f>
        <v>G0226</v>
      </c>
      <c r="AP31" s="853" t="str">
        <f>+VLOOKUP($AJ31,Data_Validation!$A:$D,3,0)</f>
        <v>Pièces</v>
      </c>
      <c r="AQ31" s="853" t="str">
        <f>+VLOOKUP($AJ31,Data_Validation!$A:$D,4,0)</f>
        <v>Salaires commis</v>
      </c>
      <c r="AR31" s="853" t="s">
        <v>728</v>
      </c>
      <c r="AS31" s="853" t="str">
        <f>+VLOOKUP($AJ31,Data_Validation!$A:$E,5,0)</f>
        <v/>
      </c>
      <c r="AT31" s="794" t="str">
        <f t="shared" ref="AT31:AU31" si="60">C31</f>
        <v>G0226</v>
      </c>
      <c r="AU31" s="854" t="str">
        <f t="shared" si="60"/>
        <v>SALAIRES BUREAU PCES</v>
      </c>
      <c r="AV31" s="794">
        <f t="array" ref="AV31">IFERROR(INDEX(V31:AG31,1,MATCH(Parametres!$B$3,V$1:AG$1,0)-1)*IF(OR(C31="L",C31="S",C31="I"),-1,1),"")</f>
        <v>0</v>
      </c>
      <c r="AW31" s="794">
        <f t="shared" si="6"/>
        <v>0</v>
      </c>
      <c r="AX31" s="794">
        <f t="array" ref="AX31">INDEX(V31:AG31,1,MATCH(Parametres!$B$3,V$1:AG$1,0))*IF(OR(C31="L",C31="S",C31="I"),-1,1)</f>
        <v>0</v>
      </c>
      <c r="AY31" s="853" t="s">
        <v>772</v>
      </c>
      <c r="AZ31" s="853" t="str">
        <f>+VLOOKUP($AJ31,Data_Validation!$A:$E,5,0)</f>
        <v/>
      </c>
    </row>
    <row r="32" ht="15.0" customHeight="1">
      <c r="A32" s="849" t="s">
        <v>1239</v>
      </c>
      <c r="B32" s="849">
        <v>2025.0</v>
      </c>
      <c r="C32" s="849" t="s">
        <v>1330</v>
      </c>
      <c r="D32" s="849" t="s">
        <v>1331</v>
      </c>
      <c r="E32" s="849" t="s">
        <v>768</v>
      </c>
      <c r="F32" s="849" t="s">
        <v>1200</v>
      </c>
      <c r="G32" s="849">
        <v>0.0</v>
      </c>
      <c r="H32" s="849">
        <v>0.0</v>
      </c>
      <c r="I32" s="849">
        <v>0.0</v>
      </c>
      <c r="J32" s="849">
        <v>0.0</v>
      </c>
      <c r="K32" s="849">
        <v>0.0</v>
      </c>
      <c r="L32" s="849">
        <v>0.0</v>
      </c>
      <c r="M32" s="849">
        <v>0.0</v>
      </c>
      <c r="N32" s="849">
        <v>0.0</v>
      </c>
      <c r="O32" s="849">
        <v>0.0</v>
      </c>
      <c r="P32" s="849">
        <v>0.0</v>
      </c>
      <c r="Q32" s="849">
        <v>0.0</v>
      </c>
      <c r="R32" s="849">
        <v>0.0</v>
      </c>
      <c r="S32" s="849">
        <v>0.0</v>
      </c>
      <c r="T32" s="849">
        <v>0.0</v>
      </c>
      <c r="U32" s="849">
        <v>0.0</v>
      </c>
      <c r="V32" s="849">
        <v>0.0</v>
      </c>
      <c r="W32" s="849">
        <v>0.0</v>
      </c>
      <c r="X32" s="849">
        <v>0.0</v>
      </c>
      <c r="Y32" s="849">
        <v>0.0</v>
      </c>
      <c r="Z32" s="849">
        <v>0.0</v>
      </c>
      <c r="AA32" s="849">
        <v>0.0</v>
      </c>
      <c r="AB32" s="849">
        <v>0.0</v>
      </c>
      <c r="AC32" s="849">
        <v>0.0</v>
      </c>
      <c r="AD32" s="849">
        <v>0.0</v>
      </c>
      <c r="AE32" s="849">
        <v>0.0</v>
      </c>
      <c r="AF32" s="849">
        <v>0.0</v>
      </c>
      <c r="AG32" s="849">
        <v>0.0</v>
      </c>
      <c r="AH32" s="849">
        <v>0.0</v>
      </c>
      <c r="AI32" s="849">
        <v>0.0</v>
      </c>
      <c r="AJ32" s="794" t="str">
        <f t="shared" ref="AJ32:AK32" si="61">C32</f>
        <v>G0230</v>
      </c>
      <c r="AK32" s="794" t="str">
        <f t="shared" si="61"/>
        <v>SALAIRES AUTRES REP.</v>
      </c>
      <c r="AL32" s="794">
        <f t="array" ref="AL32">IFERROR(INDEX(G32:R32,1,MATCH(Parametres!$B$3,G$1:R$1,0)-1)*IF(OR(F32="L",F32="S",F32="I"),-1,1),"")</f>
        <v>0</v>
      </c>
      <c r="AM32" s="794">
        <f t="shared" si="4"/>
        <v>0</v>
      </c>
      <c r="AN32" s="794">
        <f t="array" ref="AN32">INDEX(G32:R32,1,MATCH(Parametres!$B$3,G$1:R$1,0))*IF(OR(F32="L",F32="S",F32="I"),-1,1)</f>
        <v>0</v>
      </c>
      <c r="AO32" s="853" t="str">
        <f>+VLOOKUP($AJ32,Data_Validation!$A:$D,1,0)</f>
        <v>#N/A</v>
      </c>
      <c r="AP32" s="853" t="str">
        <f>+VLOOKUP($AJ32,Data_Validation!$A:$D,3,0)</f>
        <v>#N/A</v>
      </c>
      <c r="AQ32" s="853" t="str">
        <f>+VLOOKUP($AJ32,Data_Validation!$A:$D,4,0)</f>
        <v>#N/A</v>
      </c>
      <c r="AR32" s="853" t="s">
        <v>728</v>
      </c>
      <c r="AS32" s="853" t="str">
        <f>+VLOOKUP($AJ32,Data_Validation!$A:$E,5,0)</f>
        <v>#N/A</v>
      </c>
      <c r="AT32" s="794" t="str">
        <f t="shared" ref="AT32:AU32" si="62">C32</f>
        <v>G0230</v>
      </c>
      <c r="AU32" s="854" t="str">
        <f t="shared" si="62"/>
        <v>SALAIRES AUTRES REP.</v>
      </c>
      <c r="AV32" s="794">
        <f t="array" ref="AV32">IFERROR(INDEX(V32:AG32,1,MATCH(Parametres!$B$3,V$1:AG$1,0)-1)*IF(OR(C32="L",C32="S",C32="I"),-1,1),"")</f>
        <v>0</v>
      </c>
      <c r="AW32" s="794">
        <f t="shared" si="6"/>
        <v>0</v>
      </c>
      <c r="AX32" s="794">
        <f t="array" ref="AX32">INDEX(V32:AG32,1,MATCH(Parametres!$B$3,V$1:AG$1,0))*IF(OR(C32="L",C32="S",C32="I"),-1,1)</f>
        <v>0</v>
      </c>
      <c r="AY32" s="853" t="s">
        <v>772</v>
      </c>
      <c r="AZ32" s="853" t="str">
        <f>+VLOOKUP($AJ32,Data_Validation!$A:$E,5,0)</f>
        <v>#N/A</v>
      </c>
    </row>
    <row r="33" ht="15.0" customHeight="1">
      <c r="A33" s="849" t="s">
        <v>1239</v>
      </c>
      <c r="B33" s="849">
        <v>2025.0</v>
      </c>
      <c r="C33" s="849" t="s">
        <v>1334</v>
      </c>
      <c r="D33" s="849" t="s">
        <v>1335</v>
      </c>
      <c r="E33" s="849" t="s">
        <v>768</v>
      </c>
      <c r="F33" s="849" t="s">
        <v>1200</v>
      </c>
      <c r="G33" s="849">
        <v>4394.82</v>
      </c>
      <c r="H33" s="849">
        <v>8248.79</v>
      </c>
      <c r="I33" s="849">
        <v>12803.77</v>
      </c>
      <c r="J33" s="849">
        <v>15867.46</v>
      </c>
      <c r="K33" s="849">
        <v>16765.1</v>
      </c>
      <c r="L33" s="849">
        <v>17277.1</v>
      </c>
      <c r="M33" s="849">
        <v>21334.13</v>
      </c>
      <c r="N33" s="849">
        <v>26446.33</v>
      </c>
      <c r="O33" s="849">
        <v>31061.38</v>
      </c>
      <c r="P33" s="849">
        <v>35172.88</v>
      </c>
      <c r="Q33" s="849">
        <v>38672.53</v>
      </c>
      <c r="R33" s="849">
        <v>41995.49</v>
      </c>
      <c r="S33" s="849">
        <v>3515.68</v>
      </c>
      <c r="T33" s="849">
        <v>3515.68</v>
      </c>
      <c r="U33" s="849">
        <v>0.0</v>
      </c>
      <c r="V33" s="849">
        <v>0.0</v>
      </c>
      <c r="W33" s="849">
        <v>0.0</v>
      </c>
      <c r="X33" s="849">
        <v>0.0</v>
      </c>
      <c r="Y33" s="849">
        <v>0.0</v>
      </c>
      <c r="Z33" s="849">
        <v>0.0</v>
      </c>
      <c r="AA33" s="849">
        <v>0.0</v>
      </c>
      <c r="AB33" s="849">
        <v>0.0</v>
      </c>
      <c r="AC33" s="849">
        <v>0.0</v>
      </c>
      <c r="AD33" s="849">
        <v>0.0</v>
      </c>
      <c r="AE33" s="849">
        <v>0.0</v>
      </c>
      <c r="AF33" s="849">
        <v>0.0</v>
      </c>
      <c r="AG33" s="849">
        <v>0.0</v>
      </c>
      <c r="AH33" s="849">
        <v>0.0</v>
      </c>
      <c r="AI33" s="849">
        <v>0.0</v>
      </c>
      <c r="AJ33" s="794" t="str">
        <f t="shared" ref="AJ33:AK33" si="63">C33</f>
        <v>G0231</v>
      </c>
      <c r="AK33" s="794" t="str">
        <f t="shared" si="63"/>
        <v>SALAIRES AUTRES NEUFS</v>
      </c>
      <c r="AL33" s="794">
        <f t="array" ref="AL33">IFERROR(INDEX(G33:R33,1,MATCH(Parametres!$B$3,G$1:R$1,0)-1)*IF(OR(F33="L",F33="S",F33="I"),-1,1),"")</f>
        <v>26446.33</v>
      </c>
      <c r="AM33" s="794">
        <f t="shared" si="4"/>
        <v>4615.05</v>
      </c>
      <c r="AN33" s="794">
        <f t="array" ref="AN33">INDEX(G33:R33,1,MATCH(Parametres!$B$3,G$1:R$1,0))*IF(OR(F33="L",F33="S",F33="I"),-1,1)</f>
        <v>31061.38</v>
      </c>
      <c r="AO33" s="853" t="str">
        <f>+VLOOKUP($AJ33,Data_Validation!$A:$D,1,0)</f>
        <v>G0231</v>
      </c>
      <c r="AP33" s="853" t="str">
        <f>+VLOOKUP($AJ33,Data_Validation!$A:$D,3,0)</f>
        <v>Véhicules neufs</v>
      </c>
      <c r="AQ33" s="853" t="str">
        <f>+VLOOKUP($AJ33,Data_Validation!$A:$D,4,0)</f>
        <v>Salaires autres</v>
      </c>
      <c r="AR33" s="853" t="s">
        <v>728</v>
      </c>
      <c r="AS33" s="853" t="str">
        <f>+VLOOKUP($AJ33,Data_Validation!$A:$E,5,0)</f>
        <v/>
      </c>
      <c r="AT33" s="794" t="str">
        <f t="shared" ref="AT33:AU33" si="64">C33</f>
        <v>G0231</v>
      </c>
      <c r="AU33" s="854" t="str">
        <f t="shared" si="64"/>
        <v>SALAIRES AUTRES NEUFS</v>
      </c>
      <c r="AV33" s="794">
        <f t="array" ref="AV33">IFERROR(INDEX(V33:AG33,1,MATCH(Parametres!$B$3,V$1:AG$1,0)-1)*IF(OR(C33="L",C33="S",C33="I"),-1,1),"")</f>
        <v>0</v>
      </c>
      <c r="AW33" s="794">
        <f t="shared" si="6"/>
        <v>0</v>
      </c>
      <c r="AX33" s="794">
        <f t="array" ref="AX33">INDEX(V33:AG33,1,MATCH(Parametres!$B$3,V$1:AG$1,0))*IF(OR(C33="L",C33="S",C33="I"),-1,1)</f>
        <v>0</v>
      </c>
      <c r="AY33" s="853" t="s">
        <v>772</v>
      </c>
      <c r="AZ33" s="853" t="str">
        <f>+VLOOKUP($AJ33,Data_Validation!$A:$E,5,0)</f>
        <v/>
      </c>
    </row>
    <row r="34" ht="15.75" customHeight="1">
      <c r="A34" s="849" t="s">
        <v>1239</v>
      </c>
      <c r="B34" s="849">
        <v>2025.0</v>
      </c>
      <c r="C34" s="849" t="s">
        <v>1338</v>
      </c>
      <c r="D34" s="849" t="s">
        <v>1339</v>
      </c>
      <c r="E34" s="849" t="s">
        <v>768</v>
      </c>
      <c r="F34" s="849" t="s">
        <v>1200</v>
      </c>
      <c r="G34" s="849">
        <v>2063.64</v>
      </c>
      <c r="H34" s="849">
        <v>3697.44</v>
      </c>
      <c r="I34" s="849">
        <v>5634.0</v>
      </c>
      <c r="J34" s="849">
        <v>7455.36</v>
      </c>
      <c r="K34" s="849">
        <v>8520.24</v>
      </c>
      <c r="L34" s="849">
        <v>13065.1</v>
      </c>
      <c r="M34" s="849">
        <v>14563.86</v>
      </c>
      <c r="N34" s="849">
        <v>15221.58</v>
      </c>
      <c r="O34" s="849">
        <v>16756.26</v>
      </c>
      <c r="P34" s="849">
        <v>18196.98</v>
      </c>
      <c r="Q34" s="849">
        <v>19449.78</v>
      </c>
      <c r="R34" s="849">
        <v>68691.44</v>
      </c>
      <c r="S34" s="849">
        <v>1768.16</v>
      </c>
      <c r="T34" s="849">
        <v>1768.16</v>
      </c>
      <c r="U34" s="849">
        <v>0.0</v>
      </c>
      <c r="V34" s="849">
        <v>0.0</v>
      </c>
      <c r="W34" s="849">
        <v>0.0</v>
      </c>
      <c r="X34" s="849">
        <v>0.0</v>
      </c>
      <c r="Y34" s="849">
        <v>0.0</v>
      </c>
      <c r="Z34" s="849">
        <v>0.0</v>
      </c>
      <c r="AA34" s="849">
        <v>0.0</v>
      </c>
      <c r="AB34" s="849">
        <v>0.0</v>
      </c>
      <c r="AC34" s="849">
        <v>0.0</v>
      </c>
      <c r="AD34" s="849">
        <v>0.0</v>
      </c>
      <c r="AE34" s="849">
        <v>0.0</v>
      </c>
      <c r="AF34" s="849">
        <v>0.0</v>
      </c>
      <c r="AG34" s="849">
        <v>0.0</v>
      </c>
      <c r="AH34" s="849">
        <v>0.0</v>
      </c>
      <c r="AI34" s="849">
        <v>0.0</v>
      </c>
      <c r="AJ34" s="794" t="str">
        <f t="shared" ref="AJ34:AK34" si="65">C34</f>
        <v>G0232</v>
      </c>
      <c r="AK34" s="794" t="str">
        <f t="shared" si="65"/>
        <v>SALAIRES AUTRES USAGES</v>
      </c>
      <c r="AL34" s="794">
        <f t="array" ref="AL34">IFERROR(INDEX(G34:R34,1,MATCH(Parametres!$B$3,G$1:R$1,0)-1)*IF(OR(F34="L",F34="S",F34="I"),-1,1),"")</f>
        <v>15221.58</v>
      </c>
      <c r="AM34" s="794">
        <f t="shared" si="4"/>
        <v>1534.68</v>
      </c>
      <c r="AN34" s="794">
        <f t="array" ref="AN34">INDEX(G34:R34,1,MATCH(Parametres!$B$3,G$1:R$1,0))*IF(OR(F34="L",F34="S",F34="I"),-1,1)</f>
        <v>16756.26</v>
      </c>
      <c r="AO34" s="853" t="str">
        <f>+VLOOKUP($AJ34,Data_Validation!$A:$D,1,0)</f>
        <v>G0232</v>
      </c>
      <c r="AP34" s="853" t="str">
        <f>+VLOOKUP($AJ34,Data_Validation!$A:$D,3,0)</f>
        <v>Véhicules usagés</v>
      </c>
      <c r="AQ34" s="853" t="str">
        <f>+VLOOKUP($AJ34,Data_Validation!$A:$D,4,0)</f>
        <v>Salaires autres</v>
      </c>
      <c r="AR34" s="853" t="s">
        <v>728</v>
      </c>
      <c r="AS34" s="853" t="str">
        <f>+VLOOKUP($AJ34,Data_Validation!$A:$E,5,0)</f>
        <v/>
      </c>
      <c r="AT34" s="794" t="str">
        <f t="shared" ref="AT34:AU34" si="66">C34</f>
        <v>G0232</v>
      </c>
      <c r="AU34" s="854" t="str">
        <f t="shared" si="66"/>
        <v>SALAIRES AUTRES USAGES</v>
      </c>
      <c r="AV34" s="794">
        <f t="array" ref="AV34">IFERROR(INDEX(V34:AG34,1,MATCH(Parametres!$B$3,V$1:AG$1,0)-1)*IF(OR(C34="L",C34="S",C34="I"),-1,1),"")</f>
        <v>0</v>
      </c>
      <c r="AW34" s="794">
        <f t="shared" si="6"/>
        <v>0</v>
      </c>
      <c r="AX34" s="794">
        <f t="array" ref="AX34">INDEX(V34:AG34,1,MATCH(Parametres!$B$3,V$1:AG$1,0))*IF(OR(C34="L",C34="S",C34="I"),-1,1)</f>
        <v>0</v>
      </c>
      <c r="AY34" s="853" t="s">
        <v>772</v>
      </c>
      <c r="AZ34" s="853" t="str">
        <f>+VLOOKUP($AJ34,Data_Validation!$A:$E,5,0)</f>
        <v/>
      </c>
    </row>
    <row r="35" ht="15.0" customHeight="1">
      <c r="A35" s="849" t="s">
        <v>1239</v>
      </c>
      <c r="B35" s="849">
        <v>2025.0</v>
      </c>
      <c r="C35" s="849" t="s">
        <v>1340</v>
      </c>
      <c r="D35" s="849" t="s">
        <v>1341</v>
      </c>
      <c r="E35" s="849" t="s">
        <v>768</v>
      </c>
      <c r="F35" s="849" t="s">
        <v>1200</v>
      </c>
      <c r="G35" s="849">
        <v>13481.48</v>
      </c>
      <c r="H35" s="849">
        <v>48823.21</v>
      </c>
      <c r="I35" s="849">
        <v>74147.96</v>
      </c>
      <c r="J35" s="849">
        <v>159075.46</v>
      </c>
      <c r="K35" s="849">
        <v>200991.24</v>
      </c>
      <c r="L35" s="849">
        <v>234639.99</v>
      </c>
      <c r="M35" s="849">
        <v>269599.99</v>
      </c>
      <c r="N35" s="849">
        <v>309599.99</v>
      </c>
      <c r="O35" s="849">
        <v>356557.49</v>
      </c>
      <c r="P35" s="849">
        <v>306422.26</v>
      </c>
      <c r="Q35" s="849">
        <v>406362.32</v>
      </c>
      <c r="R35" s="849">
        <v>456362.32</v>
      </c>
      <c r="S35" s="849">
        <v>36942.03</v>
      </c>
      <c r="T35" s="849">
        <v>36942.03</v>
      </c>
      <c r="U35" s="849">
        <v>0.0</v>
      </c>
      <c r="V35" s="849">
        <v>0.0</v>
      </c>
      <c r="W35" s="849">
        <v>0.0</v>
      </c>
      <c r="X35" s="849">
        <v>0.0</v>
      </c>
      <c r="Y35" s="849">
        <v>0.0</v>
      </c>
      <c r="Z35" s="849">
        <v>0.0</v>
      </c>
      <c r="AA35" s="849">
        <v>0.0</v>
      </c>
      <c r="AB35" s="849">
        <v>0.0</v>
      </c>
      <c r="AC35" s="849">
        <v>0.0</v>
      </c>
      <c r="AD35" s="849">
        <v>0.0</v>
      </c>
      <c r="AE35" s="849">
        <v>0.0</v>
      </c>
      <c r="AF35" s="849">
        <v>0.0</v>
      </c>
      <c r="AG35" s="849">
        <v>0.0</v>
      </c>
      <c r="AH35" s="849">
        <v>0.0</v>
      </c>
      <c r="AI35" s="849">
        <v>0.0</v>
      </c>
      <c r="AJ35" s="794" t="str">
        <f t="shared" ref="AJ35:AK35" si="67">C35</f>
        <v>G0233</v>
      </c>
      <c r="AK35" s="794" t="str">
        <f t="shared" si="67"/>
        <v>SALAIRES AUTRES U.S.A</v>
      </c>
      <c r="AL35" s="794">
        <f t="array" ref="AL35">IFERROR(INDEX(G35:R35,1,MATCH(Parametres!$B$3,G$1:R$1,0)-1)*IF(OR(F35="L",F35="S",F35="I"),-1,1),"")</f>
        <v>309599.99</v>
      </c>
      <c r="AM35" s="794">
        <f t="shared" si="4"/>
        <v>46957.5</v>
      </c>
      <c r="AN35" s="794">
        <f t="array" ref="AN35">INDEX(G35:R35,1,MATCH(Parametres!$B$3,G$1:R$1,0))*IF(OR(F35="L",F35="S",F35="I"),-1,1)</f>
        <v>356557.49</v>
      </c>
      <c r="AO35" s="853" t="str">
        <f>+VLOOKUP($AJ35,Data_Validation!$A:$D,1,0)</f>
        <v>G0233</v>
      </c>
      <c r="AP35" s="853" t="str">
        <f>+VLOOKUP($AJ35,Data_Validation!$A:$D,3,0)</f>
        <v>Wholesale autres</v>
      </c>
      <c r="AQ35" s="853" t="str">
        <f>+VLOOKUP($AJ35,Data_Validation!$A:$D,4,0)</f>
        <v>Salaires autres</v>
      </c>
      <c r="AR35" s="853" t="s">
        <v>728</v>
      </c>
      <c r="AS35" s="853" t="str">
        <f>+VLOOKUP($AJ35,Data_Validation!$A:$E,5,0)</f>
        <v/>
      </c>
      <c r="AT35" s="794" t="str">
        <f t="shared" ref="AT35:AU35" si="68">C35</f>
        <v>G0233</v>
      </c>
      <c r="AU35" s="854" t="str">
        <f t="shared" si="68"/>
        <v>SALAIRES AUTRES U.S.A</v>
      </c>
      <c r="AV35" s="794">
        <f t="array" ref="AV35">IFERROR(INDEX(V35:AG35,1,MATCH(Parametres!$B$3,V$1:AG$1,0)-1)*IF(OR(C35="L",C35="S",C35="I"),-1,1),"")</f>
        <v>0</v>
      </c>
      <c r="AW35" s="794">
        <f t="shared" si="6"/>
        <v>0</v>
      </c>
      <c r="AX35" s="794">
        <f t="array" ref="AX35">INDEX(V35:AG35,1,MATCH(Parametres!$B$3,V$1:AG$1,0))*IF(OR(C35="L",C35="S",C35="I"),-1,1)</f>
        <v>0</v>
      </c>
      <c r="AY35" s="853" t="s">
        <v>772</v>
      </c>
      <c r="AZ35" s="853" t="str">
        <f>+VLOOKUP($AJ35,Data_Validation!$A:$E,5,0)</f>
        <v/>
      </c>
    </row>
    <row r="36" ht="15.0" customHeight="1">
      <c r="A36" s="849" t="s">
        <v>1239</v>
      </c>
      <c r="B36" s="849">
        <v>2025.0</v>
      </c>
      <c r="C36" s="849" t="s">
        <v>1342</v>
      </c>
      <c r="D36" s="849" t="s">
        <v>1343</v>
      </c>
      <c r="E36" s="849" t="s">
        <v>768</v>
      </c>
      <c r="F36" s="849" t="s">
        <v>1200</v>
      </c>
      <c r="G36" s="849">
        <v>20783.95</v>
      </c>
      <c r="H36" s="849">
        <v>44087.84</v>
      </c>
      <c r="I36" s="849">
        <v>72334.77</v>
      </c>
      <c r="J36" s="849">
        <v>112377.62</v>
      </c>
      <c r="K36" s="849">
        <v>137895.88</v>
      </c>
      <c r="L36" s="849">
        <v>167924.14</v>
      </c>
      <c r="M36" s="849">
        <v>196802.88</v>
      </c>
      <c r="N36" s="849">
        <v>224220.8</v>
      </c>
      <c r="O36" s="849">
        <v>243634.88</v>
      </c>
      <c r="P36" s="849">
        <v>261724.6</v>
      </c>
      <c r="Q36" s="849">
        <v>278361.06</v>
      </c>
      <c r="R36" s="849">
        <v>293686.53</v>
      </c>
      <c r="S36" s="849">
        <v>25305.55</v>
      </c>
      <c r="T36" s="849">
        <v>25305.55</v>
      </c>
      <c r="U36" s="849">
        <v>0.0</v>
      </c>
      <c r="V36" s="849">
        <v>0.0</v>
      </c>
      <c r="W36" s="849">
        <v>0.0</v>
      </c>
      <c r="X36" s="849">
        <v>0.0</v>
      </c>
      <c r="Y36" s="849">
        <v>0.0</v>
      </c>
      <c r="Z36" s="849">
        <v>0.0</v>
      </c>
      <c r="AA36" s="849">
        <v>0.0</v>
      </c>
      <c r="AB36" s="849">
        <v>0.0</v>
      </c>
      <c r="AC36" s="849">
        <v>0.0</v>
      </c>
      <c r="AD36" s="849">
        <v>0.0</v>
      </c>
      <c r="AE36" s="849">
        <v>0.0</v>
      </c>
      <c r="AF36" s="849">
        <v>0.0</v>
      </c>
      <c r="AG36" s="849">
        <v>0.0</v>
      </c>
      <c r="AH36" s="849">
        <v>0.0</v>
      </c>
      <c r="AI36" s="849">
        <v>0.0</v>
      </c>
      <c r="AJ36" s="794" t="str">
        <f t="shared" ref="AJ36:AK36" si="69">C36</f>
        <v>G0234</v>
      </c>
      <c r="AK36" s="794" t="str">
        <f t="shared" si="69"/>
        <v>SALAIRES AUTRES SERV.</v>
      </c>
      <c r="AL36" s="794">
        <f t="array" ref="AL36">IFERROR(INDEX(G36:R36,1,MATCH(Parametres!$B$3,G$1:R$1,0)-1)*IF(OR(F36="L",F36="S",F36="I"),-1,1),"")</f>
        <v>224220.8</v>
      </c>
      <c r="AM36" s="794">
        <f t="shared" si="4"/>
        <v>19414.08</v>
      </c>
      <c r="AN36" s="794">
        <f t="array" ref="AN36">INDEX(G36:R36,1,MATCH(Parametres!$B$3,G$1:R$1,0))*IF(OR(F36="L",F36="S",F36="I"),-1,1)</f>
        <v>243634.88</v>
      </c>
      <c r="AO36" s="853" t="str">
        <f>+VLOOKUP($AJ36,Data_Validation!$A:$D,1,0)</f>
        <v>G0234</v>
      </c>
      <c r="AP36" s="853" t="str">
        <f>+VLOOKUP($AJ36,Data_Validation!$A:$D,3,0)</f>
        <v>Service</v>
      </c>
      <c r="AQ36" s="853" t="str">
        <f>+VLOOKUP($AJ36,Data_Validation!$A:$D,4,0)</f>
        <v>Salaires autres</v>
      </c>
      <c r="AR36" s="853" t="s">
        <v>728</v>
      </c>
      <c r="AS36" s="853" t="str">
        <f>+VLOOKUP($AJ36,Data_Validation!$A:$E,5,0)</f>
        <v/>
      </c>
      <c r="AT36" s="794" t="str">
        <f t="shared" ref="AT36:AU36" si="70">C36</f>
        <v>G0234</v>
      </c>
      <c r="AU36" s="854" t="str">
        <f t="shared" si="70"/>
        <v>SALAIRES AUTRES SERV.</v>
      </c>
      <c r="AV36" s="794">
        <f t="array" ref="AV36">IFERROR(INDEX(V36:AG36,1,MATCH(Parametres!$B$3,V$1:AG$1,0)-1)*IF(OR(C36="L",C36="S",C36="I"),-1,1),"")</f>
        <v>0</v>
      </c>
      <c r="AW36" s="794">
        <f t="shared" si="6"/>
        <v>0</v>
      </c>
      <c r="AX36" s="794">
        <f t="array" ref="AX36">INDEX(V36:AG36,1,MATCH(Parametres!$B$3,V$1:AG$1,0))*IF(OR(C36="L",C36="S",C36="I"),-1,1)</f>
        <v>0</v>
      </c>
      <c r="AY36" s="853" t="s">
        <v>772</v>
      </c>
      <c r="AZ36" s="853" t="str">
        <f>+VLOOKUP($AJ36,Data_Validation!$A:$E,5,0)</f>
        <v/>
      </c>
    </row>
    <row r="37" ht="15.0" customHeight="1">
      <c r="A37" s="849" t="s">
        <v>1239</v>
      </c>
      <c r="B37" s="849">
        <v>2025.0</v>
      </c>
      <c r="C37" s="849" t="s">
        <v>1346</v>
      </c>
      <c r="D37" s="849" t="s">
        <v>1347</v>
      </c>
      <c r="E37" s="849" t="s">
        <v>768</v>
      </c>
      <c r="F37" s="849" t="s">
        <v>1200</v>
      </c>
      <c r="G37" s="849">
        <v>0.0</v>
      </c>
      <c r="H37" s="849">
        <v>0.0</v>
      </c>
      <c r="I37" s="849">
        <v>0.0</v>
      </c>
      <c r="J37" s="849">
        <v>0.0</v>
      </c>
      <c r="K37" s="849">
        <v>0.0</v>
      </c>
      <c r="L37" s="849">
        <v>0.0</v>
      </c>
      <c r="M37" s="849">
        <v>76.0</v>
      </c>
      <c r="N37" s="849">
        <v>76.0</v>
      </c>
      <c r="O37" s="849">
        <v>76.0</v>
      </c>
      <c r="P37" s="849">
        <v>76.0</v>
      </c>
      <c r="Q37" s="849">
        <v>76.0</v>
      </c>
      <c r="R37" s="849">
        <v>76.0</v>
      </c>
      <c r="S37" s="849">
        <v>6.91</v>
      </c>
      <c r="T37" s="849">
        <v>6.91</v>
      </c>
      <c r="U37" s="849">
        <v>0.0</v>
      </c>
      <c r="V37" s="849">
        <v>0.0</v>
      </c>
      <c r="W37" s="849">
        <v>0.0</v>
      </c>
      <c r="X37" s="849">
        <v>0.0</v>
      </c>
      <c r="Y37" s="849">
        <v>0.0</v>
      </c>
      <c r="Z37" s="849">
        <v>0.0</v>
      </c>
      <c r="AA37" s="849">
        <v>0.0</v>
      </c>
      <c r="AB37" s="849">
        <v>0.0</v>
      </c>
      <c r="AC37" s="849">
        <v>0.0</v>
      </c>
      <c r="AD37" s="849">
        <v>0.0</v>
      </c>
      <c r="AE37" s="849">
        <v>0.0</v>
      </c>
      <c r="AF37" s="849">
        <v>0.0</v>
      </c>
      <c r="AG37" s="849">
        <v>0.0</v>
      </c>
      <c r="AH37" s="849">
        <v>0.0</v>
      </c>
      <c r="AI37" s="849">
        <v>0.0</v>
      </c>
      <c r="AJ37" s="794" t="str">
        <f t="shared" ref="AJ37:AK37" si="71">C37</f>
        <v>G0235</v>
      </c>
      <c r="AK37" s="794" t="str">
        <f t="shared" si="71"/>
        <v>SALAIRES AUTRES CARR.</v>
      </c>
      <c r="AL37" s="794">
        <f t="array" ref="AL37">IFERROR(INDEX(G37:R37,1,MATCH(Parametres!$B$3,G$1:R$1,0)-1)*IF(OR(F37="L",F37="S",F37="I"),-1,1),"")</f>
        <v>76</v>
      </c>
      <c r="AM37" s="794">
        <f t="shared" si="4"/>
        <v>0</v>
      </c>
      <c r="AN37" s="794">
        <f t="array" ref="AN37">INDEX(G37:R37,1,MATCH(Parametres!$B$3,G$1:R$1,0))*IF(OR(F37="L",F37="S",F37="I"),-1,1)</f>
        <v>76</v>
      </c>
      <c r="AO37" s="853" t="str">
        <f>+VLOOKUP($AJ37,Data_Validation!$A:$D,1,0)</f>
        <v>G0235</v>
      </c>
      <c r="AP37" s="853" t="str">
        <f>+VLOOKUP($AJ37,Data_Validation!$A:$D,3,0)</f>
        <v>Carrosserie</v>
      </c>
      <c r="AQ37" s="853" t="str">
        <f>+VLOOKUP($AJ37,Data_Validation!$A:$D,4,0)</f>
        <v>Salaires autres</v>
      </c>
      <c r="AR37" s="853" t="s">
        <v>728</v>
      </c>
      <c r="AS37" s="853" t="str">
        <f>+VLOOKUP($AJ37,Data_Validation!$A:$E,5,0)</f>
        <v/>
      </c>
      <c r="AT37" s="794" t="str">
        <f t="shared" ref="AT37:AU37" si="72">C37</f>
        <v>G0235</v>
      </c>
      <c r="AU37" s="854" t="str">
        <f t="shared" si="72"/>
        <v>SALAIRES AUTRES CARR.</v>
      </c>
      <c r="AV37" s="794">
        <f t="array" ref="AV37">IFERROR(INDEX(V37:AG37,1,MATCH(Parametres!$B$3,V$1:AG$1,0)-1)*IF(OR(C37="L",C37="S",C37="I"),-1,1),"")</f>
        <v>0</v>
      </c>
      <c r="AW37" s="794">
        <f t="shared" si="6"/>
        <v>0</v>
      </c>
      <c r="AX37" s="794">
        <f t="array" ref="AX37">INDEX(V37:AG37,1,MATCH(Parametres!$B$3,V$1:AG$1,0))*IF(OR(C37="L",C37="S",C37="I"),-1,1)</f>
        <v>0</v>
      </c>
      <c r="AY37" s="853" t="s">
        <v>772</v>
      </c>
      <c r="AZ37" s="853" t="str">
        <f>+VLOOKUP($AJ37,Data_Validation!$A:$E,5,0)</f>
        <v/>
      </c>
    </row>
    <row r="38" ht="15.0" customHeight="1">
      <c r="A38" s="849" t="s">
        <v>1239</v>
      </c>
      <c r="B38" s="849">
        <v>2025.0</v>
      </c>
      <c r="C38" s="849" t="s">
        <v>1348</v>
      </c>
      <c r="D38" s="849" t="s">
        <v>1349</v>
      </c>
      <c r="E38" s="849" t="s">
        <v>768</v>
      </c>
      <c r="F38" s="849" t="s">
        <v>1200</v>
      </c>
      <c r="G38" s="849">
        <v>15810.46</v>
      </c>
      <c r="H38" s="849">
        <v>30001.65</v>
      </c>
      <c r="I38" s="849">
        <v>39100.37</v>
      </c>
      <c r="J38" s="849">
        <v>58642.1</v>
      </c>
      <c r="K38" s="849">
        <v>76968.1</v>
      </c>
      <c r="L38" s="849">
        <v>95730.56</v>
      </c>
      <c r="M38" s="849">
        <v>115909.1</v>
      </c>
      <c r="N38" s="849">
        <v>133489.11</v>
      </c>
      <c r="O38" s="849">
        <v>154728.47</v>
      </c>
      <c r="P38" s="849">
        <v>174435.89</v>
      </c>
      <c r="Q38" s="849">
        <v>194819.76</v>
      </c>
      <c r="R38" s="849">
        <v>214024.49</v>
      </c>
      <c r="S38" s="849">
        <v>17710.89</v>
      </c>
      <c r="T38" s="849">
        <v>17710.89</v>
      </c>
      <c r="U38" s="849">
        <v>0.0</v>
      </c>
      <c r="V38" s="849">
        <v>0.0</v>
      </c>
      <c r="W38" s="849">
        <v>0.0</v>
      </c>
      <c r="X38" s="849">
        <v>0.0</v>
      </c>
      <c r="Y38" s="849">
        <v>0.0</v>
      </c>
      <c r="Z38" s="849">
        <v>0.0</v>
      </c>
      <c r="AA38" s="849">
        <v>0.0</v>
      </c>
      <c r="AB38" s="849">
        <v>0.0</v>
      </c>
      <c r="AC38" s="849">
        <v>0.0</v>
      </c>
      <c r="AD38" s="849">
        <v>0.0</v>
      </c>
      <c r="AE38" s="849">
        <v>0.0</v>
      </c>
      <c r="AF38" s="849">
        <v>0.0</v>
      </c>
      <c r="AG38" s="849">
        <v>0.0</v>
      </c>
      <c r="AH38" s="849">
        <v>0.0</v>
      </c>
      <c r="AI38" s="849">
        <v>0.0</v>
      </c>
      <c r="AJ38" s="794" t="str">
        <f t="shared" ref="AJ38:AK38" si="73">C38</f>
        <v>G0236</v>
      </c>
      <c r="AK38" s="794" t="str">
        <f t="shared" si="73"/>
        <v>SALAIRES AUTRES PCES</v>
      </c>
      <c r="AL38" s="794">
        <f t="array" ref="AL38">IFERROR(INDEX(G38:R38,1,MATCH(Parametres!$B$3,G$1:R$1,0)-1)*IF(OR(F38="L",F38="S",F38="I"),-1,1),"")</f>
        <v>133489.11</v>
      </c>
      <c r="AM38" s="794">
        <f t="shared" si="4"/>
        <v>21239.36</v>
      </c>
      <c r="AN38" s="794">
        <f t="array" ref="AN38">INDEX(G38:R38,1,MATCH(Parametres!$B$3,G$1:R$1,0))*IF(OR(F38="L",F38="S",F38="I"),-1,1)</f>
        <v>154728.47</v>
      </c>
      <c r="AO38" s="853" t="str">
        <f>+VLOOKUP($AJ38,Data_Validation!$A:$D,1,0)</f>
        <v>G0236</v>
      </c>
      <c r="AP38" s="853" t="str">
        <f>+VLOOKUP($AJ38,Data_Validation!$A:$D,3,0)</f>
        <v>Pièces</v>
      </c>
      <c r="AQ38" s="853" t="str">
        <f>+VLOOKUP($AJ38,Data_Validation!$A:$D,4,0)</f>
        <v>Salaires autres</v>
      </c>
      <c r="AR38" s="853" t="s">
        <v>728</v>
      </c>
      <c r="AS38" s="853" t="str">
        <f>+VLOOKUP($AJ38,Data_Validation!$A:$E,5,0)</f>
        <v/>
      </c>
      <c r="AT38" s="794" t="str">
        <f t="shared" ref="AT38:AU38" si="74">C38</f>
        <v>G0236</v>
      </c>
      <c r="AU38" s="854" t="str">
        <f t="shared" si="74"/>
        <v>SALAIRES AUTRES PCES</v>
      </c>
      <c r="AV38" s="794">
        <f t="array" ref="AV38">IFERROR(INDEX(V38:AG38,1,MATCH(Parametres!$B$3,V$1:AG$1,0)-1)*IF(OR(C38="L",C38="S",C38="I"),-1,1),"")</f>
        <v>0</v>
      </c>
      <c r="AW38" s="794">
        <f t="shared" si="6"/>
        <v>0</v>
      </c>
      <c r="AX38" s="794">
        <f t="array" ref="AX38">INDEX(V38:AG38,1,MATCH(Parametres!$B$3,V$1:AG$1,0))*IF(OR(C38="L",C38="S",C38="I"),-1,1)</f>
        <v>0</v>
      </c>
      <c r="AY38" s="853" t="s">
        <v>772</v>
      </c>
      <c r="AZ38" s="853" t="str">
        <f>+VLOOKUP($AJ38,Data_Validation!$A:$E,5,0)</f>
        <v/>
      </c>
    </row>
    <row r="39" ht="15.0" customHeight="1">
      <c r="A39" s="849" t="s">
        <v>1239</v>
      </c>
      <c r="B39" s="849">
        <v>2025.0</v>
      </c>
      <c r="C39" s="849" t="s">
        <v>1352</v>
      </c>
      <c r="D39" s="849" t="s">
        <v>1353</v>
      </c>
      <c r="E39" s="849" t="s">
        <v>768</v>
      </c>
      <c r="F39" s="849" t="s">
        <v>1200</v>
      </c>
      <c r="G39" s="849">
        <v>0.0</v>
      </c>
      <c r="H39" s="849">
        <v>0.0</v>
      </c>
      <c r="I39" s="849">
        <v>0.0</v>
      </c>
      <c r="J39" s="849">
        <v>0.0</v>
      </c>
      <c r="K39" s="849">
        <v>0.0</v>
      </c>
      <c r="L39" s="849">
        <v>0.0</v>
      </c>
      <c r="M39" s="849">
        <v>0.0</v>
      </c>
      <c r="N39" s="849">
        <v>0.0</v>
      </c>
      <c r="O39" s="849">
        <v>0.0</v>
      </c>
      <c r="P39" s="849">
        <v>0.0</v>
      </c>
      <c r="Q39" s="849">
        <v>0.0</v>
      </c>
      <c r="R39" s="849">
        <v>0.0</v>
      </c>
      <c r="S39" s="849">
        <v>0.0</v>
      </c>
      <c r="T39" s="849">
        <v>0.0</v>
      </c>
      <c r="U39" s="849">
        <v>0.0</v>
      </c>
      <c r="V39" s="849">
        <v>0.0</v>
      </c>
      <c r="W39" s="849">
        <v>0.0</v>
      </c>
      <c r="X39" s="849">
        <v>0.0</v>
      </c>
      <c r="Y39" s="849">
        <v>0.0</v>
      </c>
      <c r="Z39" s="849">
        <v>0.0</v>
      </c>
      <c r="AA39" s="849">
        <v>0.0</v>
      </c>
      <c r="AB39" s="849">
        <v>0.0</v>
      </c>
      <c r="AC39" s="849">
        <v>0.0</v>
      </c>
      <c r="AD39" s="849">
        <v>0.0</v>
      </c>
      <c r="AE39" s="849">
        <v>0.0</v>
      </c>
      <c r="AF39" s="849">
        <v>0.0</v>
      </c>
      <c r="AG39" s="849">
        <v>0.0</v>
      </c>
      <c r="AH39" s="849">
        <v>0.0</v>
      </c>
      <c r="AI39" s="849">
        <v>0.0</v>
      </c>
      <c r="AJ39" s="794" t="str">
        <f t="shared" ref="AJ39:AK39" si="75">C39</f>
        <v>G0240</v>
      </c>
      <c r="AK39" s="794" t="str">
        <f t="shared" si="75"/>
        <v>CONGES PAYÉS REP.</v>
      </c>
      <c r="AL39" s="794">
        <f t="array" ref="AL39">IFERROR(INDEX(G39:R39,1,MATCH(Parametres!$B$3,G$1:R$1,0)-1)*IF(OR(F39="L",F39="S",F39="I"),-1,1),"")</f>
        <v>0</v>
      </c>
      <c r="AM39" s="794">
        <f t="shared" si="4"/>
        <v>0</v>
      </c>
      <c r="AN39" s="794">
        <f t="array" ref="AN39">INDEX(G39:R39,1,MATCH(Parametres!$B$3,G$1:R$1,0))*IF(OR(F39="L",F39="S",F39="I"),-1,1)</f>
        <v>0</v>
      </c>
      <c r="AO39" s="853" t="str">
        <f>+VLOOKUP($AJ39,Data_Validation!$A:$D,1,0)</f>
        <v>#N/A</v>
      </c>
      <c r="AP39" s="853" t="str">
        <f>+VLOOKUP($AJ39,Data_Validation!$A:$D,3,0)</f>
        <v>#N/A</v>
      </c>
      <c r="AQ39" s="853" t="str">
        <f>+VLOOKUP($AJ39,Data_Validation!$A:$D,4,0)</f>
        <v>#N/A</v>
      </c>
      <c r="AR39" s="853" t="s">
        <v>728</v>
      </c>
      <c r="AS39" s="853" t="str">
        <f>+VLOOKUP($AJ39,Data_Validation!$A:$E,5,0)</f>
        <v>#N/A</v>
      </c>
      <c r="AT39" s="794" t="str">
        <f t="shared" ref="AT39:AU39" si="76">C39</f>
        <v>G0240</v>
      </c>
      <c r="AU39" s="854" t="str">
        <f t="shared" si="76"/>
        <v>CONGES PAYÉS REP.</v>
      </c>
      <c r="AV39" s="794">
        <f t="array" ref="AV39">IFERROR(INDEX(V39:AG39,1,MATCH(Parametres!$B$3,V$1:AG$1,0)-1)*IF(OR(C39="L",C39="S",C39="I"),-1,1),"")</f>
        <v>0</v>
      </c>
      <c r="AW39" s="794">
        <f t="shared" si="6"/>
        <v>0</v>
      </c>
      <c r="AX39" s="794">
        <f t="array" ref="AX39">INDEX(V39:AG39,1,MATCH(Parametres!$B$3,V$1:AG$1,0))*IF(OR(C39="L",C39="S",C39="I"),-1,1)</f>
        <v>0</v>
      </c>
      <c r="AY39" s="853" t="s">
        <v>772</v>
      </c>
      <c r="AZ39" s="853" t="str">
        <f>+VLOOKUP($AJ39,Data_Validation!$A:$E,5,0)</f>
        <v>#N/A</v>
      </c>
    </row>
    <row r="40" ht="15.75" customHeight="1">
      <c r="A40" s="849" t="s">
        <v>1239</v>
      </c>
      <c r="B40" s="849">
        <v>2025.0</v>
      </c>
      <c r="C40" s="849" t="s">
        <v>1356</v>
      </c>
      <c r="D40" s="849" t="s">
        <v>1357</v>
      </c>
      <c r="E40" s="849" t="s">
        <v>768</v>
      </c>
      <c r="F40" s="849" t="s">
        <v>1200</v>
      </c>
      <c r="G40" s="849">
        <v>11391.15</v>
      </c>
      <c r="H40" s="849">
        <v>19742.73</v>
      </c>
      <c r="I40" s="849">
        <v>30770.94</v>
      </c>
      <c r="J40" s="849">
        <v>43195.92</v>
      </c>
      <c r="K40" s="849">
        <v>56455.73</v>
      </c>
      <c r="L40" s="849">
        <v>72489.7</v>
      </c>
      <c r="M40" s="849">
        <v>90582.97</v>
      </c>
      <c r="N40" s="849">
        <v>96954.97</v>
      </c>
      <c r="O40" s="849">
        <v>110342.33</v>
      </c>
      <c r="P40" s="849">
        <v>123744.27</v>
      </c>
      <c r="Q40" s="849">
        <v>130940.75</v>
      </c>
      <c r="R40" s="849">
        <v>150894.38</v>
      </c>
      <c r="S40" s="849">
        <v>11903.7</v>
      </c>
      <c r="T40" s="849">
        <v>11903.7</v>
      </c>
      <c r="U40" s="849">
        <v>0.0</v>
      </c>
      <c r="V40" s="849">
        <v>0.0</v>
      </c>
      <c r="W40" s="849">
        <v>0.0</v>
      </c>
      <c r="X40" s="849">
        <v>0.0</v>
      </c>
      <c r="Y40" s="849">
        <v>0.0</v>
      </c>
      <c r="Z40" s="849">
        <v>0.0</v>
      </c>
      <c r="AA40" s="849">
        <v>0.0</v>
      </c>
      <c r="AB40" s="849">
        <v>0.0</v>
      </c>
      <c r="AC40" s="849">
        <v>0.0</v>
      </c>
      <c r="AD40" s="849">
        <v>0.0</v>
      </c>
      <c r="AE40" s="849">
        <v>0.0</v>
      </c>
      <c r="AF40" s="849">
        <v>0.0</v>
      </c>
      <c r="AG40" s="849">
        <v>0.0</v>
      </c>
      <c r="AH40" s="849">
        <v>0.0</v>
      </c>
      <c r="AI40" s="849">
        <v>0.0</v>
      </c>
      <c r="AJ40" s="794" t="str">
        <f t="shared" ref="AJ40:AK40" si="77">C40</f>
        <v>G0241</v>
      </c>
      <c r="AK40" s="794" t="str">
        <f t="shared" si="77"/>
        <v>CONGES PAYES NEUFS</v>
      </c>
      <c r="AL40" s="794">
        <f t="array" ref="AL40">IFERROR(INDEX(G40:R40,1,MATCH(Parametres!$B$3,G$1:R$1,0)-1)*IF(OR(F40="L",F40="S",F40="I"),-1,1),"")</f>
        <v>96954.97</v>
      </c>
      <c r="AM40" s="794">
        <f t="shared" si="4"/>
        <v>13387.36</v>
      </c>
      <c r="AN40" s="794">
        <f t="array" ref="AN40">INDEX(G40:R40,1,MATCH(Parametres!$B$3,G$1:R$1,0))*IF(OR(F40="L",F40="S",F40="I"),-1,1)</f>
        <v>110342.33</v>
      </c>
      <c r="AO40" s="853" t="str">
        <f>+VLOOKUP($AJ40,Data_Validation!$A:$D,1,0)</f>
        <v>G0241</v>
      </c>
      <c r="AP40" s="853" t="str">
        <f>+VLOOKUP($AJ40,Data_Validation!$A:$D,3,0)</f>
        <v>Véhicules neufs</v>
      </c>
      <c r="AQ40" s="853" t="str">
        <f>+VLOOKUP($AJ40,Data_Validation!$A:$D,4,0)</f>
        <v>Salaires en absences</v>
      </c>
      <c r="AR40" s="853" t="s">
        <v>728</v>
      </c>
      <c r="AS40" s="853" t="str">
        <f>+VLOOKUP($AJ40,Data_Validation!$A:$E,5,0)</f>
        <v/>
      </c>
      <c r="AT40" s="794" t="str">
        <f t="shared" ref="AT40:AU40" si="78">C40</f>
        <v>G0241</v>
      </c>
      <c r="AU40" s="854" t="str">
        <f t="shared" si="78"/>
        <v>CONGES PAYES NEUFS</v>
      </c>
      <c r="AV40" s="794">
        <f t="array" ref="AV40">IFERROR(INDEX(V40:AG40,1,MATCH(Parametres!$B$3,V$1:AG$1,0)-1)*IF(OR(C40="L",C40="S",C40="I"),-1,1),"")</f>
        <v>0</v>
      </c>
      <c r="AW40" s="794">
        <f t="shared" si="6"/>
        <v>0</v>
      </c>
      <c r="AX40" s="794">
        <f t="array" ref="AX40">INDEX(V40:AG40,1,MATCH(Parametres!$B$3,V$1:AG$1,0))*IF(OR(C40="L",C40="S",C40="I"),-1,1)</f>
        <v>0</v>
      </c>
      <c r="AY40" s="853" t="s">
        <v>772</v>
      </c>
      <c r="AZ40" s="853" t="str">
        <f>+VLOOKUP($AJ40,Data_Validation!$A:$E,5,0)</f>
        <v/>
      </c>
    </row>
    <row r="41" ht="15.0" customHeight="1">
      <c r="A41" s="849" t="s">
        <v>1239</v>
      </c>
      <c r="B41" s="849">
        <v>2025.0</v>
      </c>
      <c r="C41" s="849" t="s">
        <v>1358</v>
      </c>
      <c r="D41" s="849" t="s">
        <v>1359</v>
      </c>
      <c r="E41" s="849" t="s">
        <v>768</v>
      </c>
      <c r="F41" s="849" t="s">
        <v>1200</v>
      </c>
      <c r="G41" s="849">
        <v>1774.9</v>
      </c>
      <c r="H41" s="849">
        <v>2621.56</v>
      </c>
      <c r="I41" s="849">
        <v>3150.56</v>
      </c>
      <c r="J41" s="849">
        <v>4346.54</v>
      </c>
      <c r="K41" s="849">
        <v>5255.5</v>
      </c>
      <c r="L41" s="849">
        <v>6723.83</v>
      </c>
      <c r="M41" s="849">
        <v>8490.13</v>
      </c>
      <c r="N41" s="849">
        <v>8749.76</v>
      </c>
      <c r="O41" s="849">
        <v>10188.86</v>
      </c>
      <c r="P41" s="849">
        <v>11751.42</v>
      </c>
      <c r="Q41" s="849">
        <v>12225.49</v>
      </c>
      <c r="R41" s="849">
        <v>16446.92</v>
      </c>
      <c r="S41" s="849">
        <v>1111.41</v>
      </c>
      <c r="T41" s="849">
        <v>1111.41</v>
      </c>
      <c r="U41" s="849">
        <v>0.0</v>
      </c>
      <c r="V41" s="849">
        <v>0.0</v>
      </c>
      <c r="W41" s="849">
        <v>0.0</v>
      </c>
      <c r="X41" s="849">
        <v>0.0</v>
      </c>
      <c r="Y41" s="849">
        <v>0.0</v>
      </c>
      <c r="Z41" s="849">
        <v>0.0</v>
      </c>
      <c r="AA41" s="849">
        <v>0.0</v>
      </c>
      <c r="AB41" s="849">
        <v>0.0</v>
      </c>
      <c r="AC41" s="849">
        <v>0.0</v>
      </c>
      <c r="AD41" s="849">
        <v>0.0</v>
      </c>
      <c r="AE41" s="849">
        <v>0.0</v>
      </c>
      <c r="AF41" s="849">
        <v>0.0</v>
      </c>
      <c r="AG41" s="849">
        <v>0.0</v>
      </c>
      <c r="AH41" s="849">
        <v>0.0</v>
      </c>
      <c r="AI41" s="849">
        <v>0.0</v>
      </c>
      <c r="AJ41" s="794" t="str">
        <f t="shared" ref="AJ41:AK41" si="79">C41</f>
        <v>G0242</v>
      </c>
      <c r="AK41" s="794" t="str">
        <f t="shared" si="79"/>
        <v>CONGES PAYES USAGES</v>
      </c>
      <c r="AL41" s="794">
        <f t="array" ref="AL41">IFERROR(INDEX(G41:R41,1,MATCH(Parametres!$B$3,G$1:R$1,0)-1)*IF(OR(F41="L",F41="S",F41="I"),-1,1),"")</f>
        <v>8749.76</v>
      </c>
      <c r="AM41" s="794">
        <f t="shared" si="4"/>
        <v>1439.1</v>
      </c>
      <c r="AN41" s="794">
        <f t="array" ref="AN41">INDEX(G41:R41,1,MATCH(Parametres!$B$3,G$1:R$1,0))*IF(OR(F41="L",F41="S",F41="I"),-1,1)</f>
        <v>10188.86</v>
      </c>
      <c r="AO41" s="853" t="str">
        <f>+VLOOKUP($AJ41,Data_Validation!$A:$D,1,0)</f>
        <v>G0242</v>
      </c>
      <c r="AP41" s="853" t="str">
        <f>+VLOOKUP($AJ41,Data_Validation!$A:$D,3,0)</f>
        <v>Véhicules usagés</v>
      </c>
      <c r="AQ41" s="853" t="str">
        <f>+VLOOKUP($AJ41,Data_Validation!$A:$D,4,0)</f>
        <v>Salaires en absences</v>
      </c>
      <c r="AR41" s="853" t="s">
        <v>728</v>
      </c>
      <c r="AS41" s="853" t="str">
        <f>+VLOOKUP($AJ41,Data_Validation!$A:$E,5,0)</f>
        <v/>
      </c>
      <c r="AT41" s="794" t="str">
        <f t="shared" ref="AT41:AU41" si="80">C41</f>
        <v>G0242</v>
      </c>
      <c r="AU41" s="854" t="str">
        <f t="shared" si="80"/>
        <v>CONGES PAYES USAGES</v>
      </c>
      <c r="AV41" s="794">
        <f t="array" ref="AV41">IFERROR(INDEX(V41:AG41,1,MATCH(Parametres!$B$3,V$1:AG$1,0)-1)*IF(OR(C41="L",C41="S",C41="I"),-1,1),"")</f>
        <v>0</v>
      </c>
      <c r="AW41" s="794">
        <f t="shared" si="6"/>
        <v>0</v>
      </c>
      <c r="AX41" s="794">
        <f t="array" ref="AX41">INDEX(V41:AG41,1,MATCH(Parametres!$B$3,V$1:AG$1,0))*IF(OR(C41="L",C41="S",C41="I"),-1,1)</f>
        <v>0</v>
      </c>
      <c r="AY41" s="853" t="s">
        <v>772</v>
      </c>
      <c r="AZ41" s="853" t="str">
        <f>+VLOOKUP($AJ41,Data_Validation!$A:$E,5,0)</f>
        <v/>
      </c>
    </row>
    <row r="42" ht="15.0" customHeight="1">
      <c r="A42" s="849" t="s">
        <v>1239</v>
      </c>
      <c r="B42" s="849">
        <v>2025.0</v>
      </c>
      <c r="C42" s="849" t="s">
        <v>1360</v>
      </c>
      <c r="D42" s="849" t="s">
        <v>1361</v>
      </c>
      <c r="E42" s="849" t="s">
        <v>768</v>
      </c>
      <c r="F42" s="849" t="s">
        <v>1200</v>
      </c>
      <c r="G42" s="849">
        <v>2338.62</v>
      </c>
      <c r="H42" s="849">
        <v>4304.78</v>
      </c>
      <c r="I42" s="849">
        <v>6775.51</v>
      </c>
      <c r="J42" s="849">
        <v>9592.1</v>
      </c>
      <c r="K42" s="849">
        <v>12901.13</v>
      </c>
      <c r="L42" s="849">
        <v>15395.81</v>
      </c>
      <c r="M42" s="849">
        <v>17992.01</v>
      </c>
      <c r="N42" s="849">
        <v>20648.81</v>
      </c>
      <c r="O42" s="849">
        <v>23357.18</v>
      </c>
      <c r="P42" s="849">
        <v>26840.12</v>
      </c>
      <c r="Q42" s="849">
        <v>27830.82</v>
      </c>
      <c r="R42" s="849">
        <v>31067.39</v>
      </c>
      <c r="S42" s="849">
        <v>2530.07</v>
      </c>
      <c r="T42" s="849">
        <v>2530.07</v>
      </c>
      <c r="U42" s="849">
        <v>0.0</v>
      </c>
      <c r="V42" s="849">
        <v>0.0</v>
      </c>
      <c r="W42" s="849">
        <v>0.0</v>
      </c>
      <c r="X42" s="849">
        <v>0.0</v>
      </c>
      <c r="Y42" s="849">
        <v>0.0</v>
      </c>
      <c r="Z42" s="849">
        <v>0.0</v>
      </c>
      <c r="AA42" s="849">
        <v>0.0</v>
      </c>
      <c r="AB42" s="849">
        <v>0.0</v>
      </c>
      <c r="AC42" s="849">
        <v>0.0</v>
      </c>
      <c r="AD42" s="849">
        <v>0.0</v>
      </c>
      <c r="AE42" s="849">
        <v>0.0</v>
      </c>
      <c r="AF42" s="849">
        <v>0.0</v>
      </c>
      <c r="AG42" s="849">
        <v>0.0</v>
      </c>
      <c r="AH42" s="849">
        <v>0.0</v>
      </c>
      <c r="AI42" s="849">
        <v>0.0</v>
      </c>
      <c r="AJ42" s="794" t="str">
        <f t="shared" ref="AJ42:AK42" si="81">C42</f>
        <v>G0243</v>
      </c>
      <c r="AK42" s="794" t="str">
        <f t="shared" si="81"/>
        <v>CONGES PAYES U.S.A</v>
      </c>
      <c r="AL42" s="794">
        <f t="array" ref="AL42">IFERROR(INDEX(G42:R42,1,MATCH(Parametres!$B$3,G$1:R$1,0)-1)*IF(OR(F42="L",F42="S",F42="I"),-1,1),"")</f>
        <v>20648.81</v>
      </c>
      <c r="AM42" s="794">
        <f t="shared" si="4"/>
        <v>2708.37</v>
      </c>
      <c r="AN42" s="794">
        <f t="array" ref="AN42">INDEX(G42:R42,1,MATCH(Parametres!$B$3,G$1:R$1,0))*IF(OR(F42="L",F42="S",F42="I"),-1,1)</f>
        <v>23357.18</v>
      </c>
      <c r="AO42" s="853" t="str">
        <f>+VLOOKUP($AJ42,Data_Validation!$A:$D,1,0)</f>
        <v>G0243</v>
      </c>
      <c r="AP42" s="853" t="str">
        <f>+VLOOKUP($AJ42,Data_Validation!$A:$D,3,0)</f>
        <v>Wholesale autres</v>
      </c>
      <c r="AQ42" s="853" t="str">
        <f>+VLOOKUP($AJ42,Data_Validation!$A:$D,4,0)</f>
        <v>Salaires en absences</v>
      </c>
      <c r="AR42" s="853" t="s">
        <v>728</v>
      </c>
      <c r="AS42" s="853" t="str">
        <f>+VLOOKUP($AJ42,Data_Validation!$A:$E,5,0)</f>
        <v/>
      </c>
      <c r="AT42" s="794" t="str">
        <f t="shared" ref="AT42:AU42" si="82">C42</f>
        <v>G0243</v>
      </c>
      <c r="AU42" s="854" t="str">
        <f t="shared" si="82"/>
        <v>CONGES PAYES U.S.A</v>
      </c>
      <c r="AV42" s="794">
        <f t="array" ref="AV42">IFERROR(INDEX(V42:AG42,1,MATCH(Parametres!$B$3,V$1:AG$1,0)-1)*IF(OR(C42="L",C42="S",C42="I"),-1,1),"")</f>
        <v>0</v>
      </c>
      <c r="AW42" s="794">
        <f t="shared" si="6"/>
        <v>0</v>
      </c>
      <c r="AX42" s="794">
        <f t="array" ref="AX42">INDEX(V42:AG42,1,MATCH(Parametres!$B$3,V$1:AG$1,0))*IF(OR(C42="L",C42="S",C42="I"),-1,1)</f>
        <v>0</v>
      </c>
      <c r="AY42" s="853" t="s">
        <v>772</v>
      </c>
      <c r="AZ42" s="853" t="str">
        <f>+VLOOKUP($AJ42,Data_Validation!$A:$E,5,0)</f>
        <v/>
      </c>
    </row>
    <row r="43" ht="15.0" customHeight="1">
      <c r="A43" s="849" t="s">
        <v>1239</v>
      </c>
      <c r="B43" s="849">
        <v>2025.0</v>
      </c>
      <c r="C43" s="849" t="s">
        <v>1362</v>
      </c>
      <c r="D43" s="849" t="s">
        <v>1363</v>
      </c>
      <c r="E43" s="849" t="s">
        <v>768</v>
      </c>
      <c r="F43" s="849" t="s">
        <v>1200</v>
      </c>
      <c r="G43" s="849">
        <v>27957.53</v>
      </c>
      <c r="H43" s="849">
        <v>40578.77</v>
      </c>
      <c r="I43" s="849">
        <v>48624.76</v>
      </c>
      <c r="J43" s="849">
        <v>65289.99</v>
      </c>
      <c r="K43" s="849">
        <v>80958.81</v>
      </c>
      <c r="L43" s="849">
        <v>97373.06</v>
      </c>
      <c r="M43" s="849">
        <v>122247.07</v>
      </c>
      <c r="N43" s="849">
        <v>128310.71</v>
      </c>
      <c r="O43" s="849">
        <v>143902.31</v>
      </c>
      <c r="P43" s="849">
        <v>159913.66</v>
      </c>
      <c r="Q43" s="849">
        <v>168992.33</v>
      </c>
      <c r="R43" s="849">
        <v>222377.28</v>
      </c>
      <c r="S43" s="849">
        <v>15362.94</v>
      </c>
      <c r="T43" s="849">
        <v>15362.94</v>
      </c>
      <c r="U43" s="849">
        <v>0.0</v>
      </c>
      <c r="V43" s="849">
        <v>0.0</v>
      </c>
      <c r="W43" s="849">
        <v>0.0</v>
      </c>
      <c r="X43" s="849">
        <v>0.0</v>
      </c>
      <c r="Y43" s="849">
        <v>0.0</v>
      </c>
      <c r="Z43" s="849">
        <v>0.0</v>
      </c>
      <c r="AA43" s="849">
        <v>0.0</v>
      </c>
      <c r="AB43" s="849">
        <v>0.0</v>
      </c>
      <c r="AC43" s="849">
        <v>0.0</v>
      </c>
      <c r="AD43" s="849">
        <v>0.0</v>
      </c>
      <c r="AE43" s="849">
        <v>0.0</v>
      </c>
      <c r="AF43" s="849">
        <v>0.0</v>
      </c>
      <c r="AG43" s="849">
        <v>0.0</v>
      </c>
      <c r="AH43" s="849">
        <v>0.0</v>
      </c>
      <c r="AI43" s="849">
        <v>0.0</v>
      </c>
      <c r="AJ43" s="794" t="str">
        <f t="shared" ref="AJ43:AK43" si="83">C43</f>
        <v>G0244</v>
      </c>
      <c r="AK43" s="794" t="str">
        <f t="shared" si="83"/>
        <v>CONGES PAYES SERVICE</v>
      </c>
      <c r="AL43" s="794">
        <f t="array" ref="AL43">IFERROR(INDEX(G43:R43,1,MATCH(Parametres!$B$3,G$1:R$1,0)-1)*IF(OR(F43="L",F43="S",F43="I"),-1,1),"")</f>
        <v>128310.71</v>
      </c>
      <c r="AM43" s="794">
        <f t="shared" si="4"/>
        <v>15591.6</v>
      </c>
      <c r="AN43" s="794">
        <f t="array" ref="AN43">INDEX(G43:R43,1,MATCH(Parametres!$B$3,G$1:R$1,0))*IF(OR(F43="L",F43="S",F43="I"),-1,1)</f>
        <v>143902.31</v>
      </c>
      <c r="AO43" s="853" t="str">
        <f>+VLOOKUP($AJ43,Data_Validation!$A:$D,1,0)</f>
        <v>G0244</v>
      </c>
      <c r="AP43" s="853" t="str">
        <f>+VLOOKUP($AJ43,Data_Validation!$A:$D,3,0)</f>
        <v>Service</v>
      </c>
      <c r="AQ43" s="853" t="str">
        <f>+VLOOKUP($AJ43,Data_Validation!$A:$D,4,0)</f>
        <v>Salaires en absences</v>
      </c>
      <c r="AR43" s="853" t="s">
        <v>728</v>
      </c>
      <c r="AS43" s="853" t="str">
        <f>+VLOOKUP($AJ43,Data_Validation!$A:$E,5,0)</f>
        <v/>
      </c>
      <c r="AT43" s="794" t="str">
        <f t="shared" ref="AT43:AU43" si="84">C43</f>
        <v>G0244</v>
      </c>
      <c r="AU43" s="854" t="str">
        <f t="shared" si="84"/>
        <v>CONGES PAYES SERVICE</v>
      </c>
      <c r="AV43" s="794">
        <f t="array" ref="AV43">IFERROR(INDEX(V43:AG43,1,MATCH(Parametres!$B$3,V$1:AG$1,0)-1)*IF(OR(C43="L",C43="S",C43="I"),-1,1),"")</f>
        <v>0</v>
      </c>
      <c r="AW43" s="794">
        <f t="shared" si="6"/>
        <v>0</v>
      </c>
      <c r="AX43" s="794">
        <f t="array" ref="AX43">INDEX(V43:AG43,1,MATCH(Parametres!$B$3,V$1:AG$1,0))*IF(OR(C43="L",C43="S",C43="I"),-1,1)</f>
        <v>0</v>
      </c>
      <c r="AY43" s="853" t="s">
        <v>772</v>
      </c>
      <c r="AZ43" s="853" t="str">
        <f>+VLOOKUP($AJ43,Data_Validation!$A:$E,5,0)</f>
        <v/>
      </c>
    </row>
    <row r="44" ht="15.75" customHeight="1">
      <c r="A44" s="849" t="s">
        <v>1239</v>
      </c>
      <c r="B44" s="849">
        <v>2025.0</v>
      </c>
      <c r="C44" s="849" t="s">
        <v>1364</v>
      </c>
      <c r="D44" s="849" t="s">
        <v>1365</v>
      </c>
      <c r="E44" s="849" t="s">
        <v>768</v>
      </c>
      <c r="F44" s="849" t="s">
        <v>1200</v>
      </c>
      <c r="G44" s="849">
        <v>7176.85</v>
      </c>
      <c r="H44" s="849">
        <v>10138.48</v>
      </c>
      <c r="I44" s="849">
        <v>12452.66</v>
      </c>
      <c r="J44" s="849">
        <v>15922.04</v>
      </c>
      <c r="K44" s="849">
        <v>18633.95</v>
      </c>
      <c r="L44" s="849">
        <v>21820.63</v>
      </c>
      <c r="M44" s="849">
        <v>25236.86</v>
      </c>
      <c r="N44" s="849">
        <v>26397.12</v>
      </c>
      <c r="O44" s="849">
        <v>30921.54</v>
      </c>
      <c r="P44" s="849">
        <v>34994.65</v>
      </c>
      <c r="Q44" s="849">
        <v>37850.02</v>
      </c>
      <c r="R44" s="849">
        <v>51494.01</v>
      </c>
      <c r="S44" s="849">
        <v>3440.91</v>
      </c>
      <c r="T44" s="849">
        <v>3440.91</v>
      </c>
      <c r="U44" s="849">
        <v>0.0</v>
      </c>
      <c r="V44" s="849">
        <v>0.0</v>
      </c>
      <c r="W44" s="849">
        <v>0.0</v>
      </c>
      <c r="X44" s="849">
        <v>0.0</v>
      </c>
      <c r="Y44" s="849">
        <v>0.0</v>
      </c>
      <c r="Z44" s="849">
        <v>0.0</v>
      </c>
      <c r="AA44" s="849">
        <v>0.0</v>
      </c>
      <c r="AB44" s="849">
        <v>0.0</v>
      </c>
      <c r="AC44" s="849">
        <v>0.0</v>
      </c>
      <c r="AD44" s="849">
        <v>0.0</v>
      </c>
      <c r="AE44" s="849">
        <v>0.0</v>
      </c>
      <c r="AF44" s="849">
        <v>0.0</v>
      </c>
      <c r="AG44" s="849">
        <v>0.0</v>
      </c>
      <c r="AH44" s="849">
        <v>0.0</v>
      </c>
      <c r="AI44" s="849">
        <v>0.0</v>
      </c>
      <c r="AJ44" s="794" t="str">
        <f t="shared" ref="AJ44:AK44" si="85">C44</f>
        <v>G0245</v>
      </c>
      <c r="AK44" s="794" t="str">
        <f t="shared" si="85"/>
        <v>CONGES PAYES CARROSS.</v>
      </c>
      <c r="AL44" s="794">
        <f t="array" ref="AL44">IFERROR(INDEX(G44:R44,1,MATCH(Parametres!$B$3,G$1:R$1,0)-1)*IF(OR(F44="L",F44="S",F44="I"),-1,1),"")</f>
        <v>26397.12</v>
      </c>
      <c r="AM44" s="794">
        <f t="shared" si="4"/>
        <v>4524.42</v>
      </c>
      <c r="AN44" s="794">
        <f t="array" ref="AN44">INDEX(G44:R44,1,MATCH(Parametres!$B$3,G$1:R$1,0))*IF(OR(F44="L",F44="S",F44="I"),-1,1)</f>
        <v>30921.54</v>
      </c>
      <c r="AO44" s="853" t="str">
        <f>+VLOOKUP($AJ44,Data_Validation!$A:$D,1,0)</f>
        <v>G0245</v>
      </c>
      <c r="AP44" s="853" t="str">
        <f>+VLOOKUP($AJ44,Data_Validation!$A:$D,3,0)</f>
        <v>Carrosserie</v>
      </c>
      <c r="AQ44" s="853" t="str">
        <f>+VLOOKUP($AJ44,Data_Validation!$A:$D,4,0)</f>
        <v>Salaires en absences</v>
      </c>
      <c r="AR44" s="853" t="s">
        <v>728</v>
      </c>
      <c r="AS44" s="853" t="str">
        <f>+VLOOKUP($AJ44,Data_Validation!$A:$E,5,0)</f>
        <v/>
      </c>
      <c r="AT44" s="794" t="str">
        <f t="shared" ref="AT44:AU44" si="86">C44</f>
        <v>G0245</v>
      </c>
      <c r="AU44" s="854" t="str">
        <f t="shared" si="86"/>
        <v>CONGES PAYES CARROSS.</v>
      </c>
      <c r="AV44" s="794">
        <f t="array" ref="AV44">IFERROR(INDEX(V44:AG44,1,MATCH(Parametres!$B$3,V$1:AG$1,0)-1)*IF(OR(C44="L",C44="S",C44="I"),-1,1),"")</f>
        <v>0</v>
      </c>
      <c r="AW44" s="794">
        <f t="shared" si="6"/>
        <v>0</v>
      </c>
      <c r="AX44" s="794">
        <f t="array" ref="AX44">INDEX(V44:AG44,1,MATCH(Parametres!$B$3,V$1:AG$1,0))*IF(OR(C44="L",C44="S",C44="I"),-1,1)</f>
        <v>0</v>
      </c>
      <c r="AY44" s="853" t="s">
        <v>772</v>
      </c>
      <c r="AZ44" s="853" t="str">
        <f>+VLOOKUP($AJ44,Data_Validation!$A:$E,5,0)</f>
        <v/>
      </c>
    </row>
    <row r="45" ht="15.0" customHeight="1">
      <c r="A45" s="849" t="s">
        <v>1239</v>
      </c>
      <c r="B45" s="849">
        <v>2025.0</v>
      </c>
      <c r="C45" s="849" t="s">
        <v>1366</v>
      </c>
      <c r="D45" s="849" t="s">
        <v>1367</v>
      </c>
      <c r="E45" s="849" t="s">
        <v>768</v>
      </c>
      <c r="F45" s="849" t="s">
        <v>1200</v>
      </c>
      <c r="G45" s="849">
        <v>4744.25</v>
      </c>
      <c r="H45" s="849">
        <v>6875.26</v>
      </c>
      <c r="I45" s="849">
        <v>7314.29</v>
      </c>
      <c r="J45" s="849">
        <v>9300.56</v>
      </c>
      <c r="K45" s="849">
        <v>11391.25</v>
      </c>
      <c r="L45" s="849">
        <v>13906.2</v>
      </c>
      <c r="M45" s="849">
        <v>16604.65</v>
      </c>
      <c r="N45" s="849">
        <v>17739.57</v>
      </c>
      <c r="O45" s="849">
        <v>20423.5</v>
      </c>
      <c r="P45" s="849">
        <v>22641.65</v>
      </c>
      <c r="Q45" s="849">
        <v>23688.85</v>
      </c>
      <c r="R45" s="849">
        <v>32015.07</v>
      </c>
      <c r="S45" s="849">
        <v>2153.53</v>
      </c>
      <c r="T45" s="849">
        <v>2153.53</v>
      </c>
      <c r="U45" s="849">
        <v>0.0</v>
      </c>
      <c r="V45" s="849">
        <v>0.0</v>
      </c>
      <c r="W45" s="849">
        <v>0.0</v>
      </c>
      <c r="X45" s="849">
        <v>0.0</v>
      </c>
      <c r="Y45" s="849">
        <v>0.0</v>
      </c>
      <c r="Z45" s="849">
        <v>0.0</v>
      </c>
      <c r="AA45" s="849">
        <v>0.0</v>
      </c>
      <c r="AB45" s="849">
        <v>0.0</v>
      </c>
      <c r="AC45" s="849">
        <v>0.0</v>
      </c>
      <c r="AD45" s="849">
        <v>0.0</v>
      </c>
      <c r="AE45" s="849">
        <v>0.0</v>
      </c>
      <c r="AF45" s="849">
        <v>0.0</v>
      </c>
      <c r="AG45" s="849">
        <v>0.0</v>
      </c>
      <c r="AH45" s="849">
        <v>0.0</v>
      </c>
      <c r="AI45" s="849">
        <v>0.0</v>
      </c>
      <c r="AJ45" s="794" t="str">
        <f t="shared" ref="AJ45:AK45" si="87">C45</f>
        <v>G0246</v>
      </c>
      <c r="AK45" s="794" t="str">
        <f t="shared" si="87"/>
        <v>CONGES PAYES PIECES</v>
      </c>
      <c r="AL45" s="794">
        <f t="array" ref="AL45">IFERROR(INDEX(G45:R45,1,MATCH(Parametres!$B$3,G$1:R$1,0)-1)*IF(OR(F45="L",F45="S",F45="I"),-1,1),"")</f>
        <v>17739.57</v>
      </c>
      <c r="AM45" s="794">
        <f t="shared" si="4"/>
        <v>2683.93</v>
      </c>
      <c r="AN45" s="794">
        <f t="array" ref="AN45">INDEX(G45:R45,1,MATCH(Parametres!$B$3,G$1:R$1,0))*IF(OR(F45="L",F45="S",F45="I"),-1,1)</f>
        <v>20423.5</v>
      </c>
      <c r="AO45" s="853" t="str">
        <f>+VLOOKUP($AJ45,Data_Validation!$A:$D,1,0)</f>
        <v>G0246</v>
      </c>
      <c r="AP45" s="853" t="str">
        <f>+VLOOKUP($AJ45,Data_Validation!$A:$D,3,0)</f>
        <v>Pièces</v>
      </c>
      <c r="AQ45" s="853" t="str">
        <f>+VLOOKUP($AJ45,Data_Validation!$A:$D,4,0)</f>
        <v>Salaires en absences</v>
      </c>
      <c r="AR45" s="853" t="s">
        <v>728</v>
      </c>
      <c r="AS45" s="853" t="str">
        <f>+VLOOKUP($AJ45,Data_Validation!$A:$E,5,0)</f>
        <v/>
      </c>
      <c r="AT45" s="794" t="str">
        <f t="shared" ref="AT45:AU45" si="88">C45</f>
        <v>G0246</v>
      </c>
      <c r="AU45" s="854" t="str">
        <f t="shared" si="88"/>
        <v>CONGES PAYES PIECES</v>
      </c>
      <c r="AV45" s="794">
        <f t="array" ref="AV45">IFERROR(INDEX(V45:AG45,1,MATCH(Parametres!$B$3,V$1:AG$1,0)-1)*IF(OR(C45="L",C45="S",C45="I"),-1,1),"")</f>
        <v>0</v>
      </c>
      <c r="AW45" s="794">
        <f t="shared" si="6"/>
        <v>0</v>
      </c>
      <c r="AX45" s="794">
        <f t="array" ref="AX45">INDEX(V45:AG45,1,MATCH(Parametres!$B$3,V$1:AG$1,0))*IF(OR(C45="L",C45="S",C45="I"),-1,1)</f>
        <v>0</v>
      </c>
      <c r="AY45" s="853" t="s">
        <v>772</v>
      </c>
      <c r="AZ45" s="853" t="str">
        <f>+VLOOKUP($AJ45,Data_Validation!$A:$E,5,0)</f>
        <v/>
      </c>
    </row>
    <row r="46" ht="15.0" customHeight="1">
      <c r="A46" s="849" t="s">
        <v>1239</v>
      </c>
      <c r="B46" s="849">
        <v>2025.0</v>
      </c>
      <c r="C46" s="849" t="s">
        <v>1370</v>
      </c>
      <c r="D46" s="849" t="s">
        <v>1371</v>
      </c>
      <c r="E46" s="849" t="s">
        <v>768</v>
      </c>
      <c r="F46" s="849" t="s">
        <v>1200</v>
      </c>
      <c r="G46" s="849">
        <v>0.0</v>
      </c>
      <c r="H46" s="849">
        <v>0.0</v>
      </c>
      <c r="I46" s="849">
        <v>0.0</v>
      </c>
      <c r="J46" s="849">
        <v>0.0</v>
      </c>
      <c r="K46" s="849">
        <v>0.0</v>
      </c>
      <c r="L46" s="849">
        <v>0.0</v>
      </c>
      <c r="M46" s="849">
        <v>0.0</v>
      </c>
      <c r="N46" s="849">
        <v>0.0</v>
      </c>
      <c r="O46" s="849">
        <v>0.0</v>
      </c>
      <c r="P46" s="849">
        <v>0.0</v>
      </c>
      <c r="Q46" s="849">
        <v>0.0</v>
      </c>
      <c r="R46" s="849">
        <v>0.0</v>
      </c>
      <c r="S46" s="849">
        <v>0.0</v>
      </c>
      <c r="T46" s="849">
        <v>0.0</v>
      </c>
      <c r="U46" s="849">
        <v>0.0</v>
      </c>
      <c r="V46" s="849">
        <v>0.0</v>
      </c>
      <c r="W46" s="849">
        <v>0.0</v>
      </c>
      <c r="X46" s="849">
        <v>0.0</v>
      </c>
      <c r="Y46" s="849">
        <v>0.0</v>
      </c>
      <c r="Z46" s="849">
        <v>0.0</v>
      </c>
      <c r="AA46" s="849">
        <v>0.0</v>
      </c>
      <c r="AB46" s="849">
        <v>0.0</v>
      </c>
      <c r="AC46" s="849">
        <v>0.0</v>
      </c>
      <c r="AD46" s="849">
        <v>0.0</v>
      </c>
      <c r="AE46" s="849">
        <v>0.0</v>
      </c>
      <c r="AF46" s="849">
        <v>0.0</v>
      </c>
      <c r="AG46" s="849">
        <v>0.0</v>
      </c>
      <c r="AH46" s="849">
        <v>0.0</v>
      </c>
      <c r="AI46" s="849">
        <v>0.0</v>
      </c>
      <c r="AJ46" s="794" t="str">
        <f t="shared" ref="AJ46:AK46" si="89">C46</f>
        <v>G0250</v>
      </c>
      <c r="AK46" s="794" t="str">
        <f t="shared" si="89"/>
        <v>TAXES PAYES REP.</v>
      </c>
      <c r="AL46" s="794">
        <f t="array" ref="AL46">IFERROR(INDEX(G46:R46,1,MATCH(Parametres!$B$3,G$1:R$1,0)-1)*IF(OR(F46="L",F46="S",F46="I"),-1,1),"")</f>
        <v>0</v>
      </c>
      <c r="AM46" s="794">
        <f t="shared" si="4"/>
        <v>0</v>
      </c>
      <c r="AN46" s="794">
        <f t="array" ref="AN46">INDEX(G46:R46,1,MATCH(Parametres!$B$3,G$1:R$1,0))*IF(OR(F46="L",F46="S",F46="I"),-1,1)</f>
        <v>0</v>
      </c>
      <c r="AO46" s="853" t="str">
        <f>+VLOOKUP($AJ46,Data_Validation!$A:$D,1,0)</f>
        <v>#N/A</v>
      </c>
      <c r="AP46" s="853" t="str">
        <f>+VLOOKUP($AJ46,Data_Validation!$A:$D,3,0)</f>
        <v>#N/A</v>
      </c>
      <c r="AQ46" s="853" t="str">
        <f>+VLOOKUP($AJ46,Data_Validation!$A:$D,4,0)</f>
        <v>#N/A</v>
      </c>
      <c r="AR46" s="853" t="s">
        <v>728</v>
      </c>
      <c r="AS46" s="853" t="str">
        <f>+VLOOKUP($AJ46,Data_Validation!$A:$E,5,0)</f>
        <v>#N/A</v>
      </c>
      <c r="AT46" s="794" t="str">
        <f t="shared" ref="AT46:AU46" si="90">C46</f>
        <v>G0250</v>
      </c>
      <c r="AU46" s="854" t="str">
        <f t="shared" si="90"/>
        <v>TAXES PAYES REP.</v>
      </c>
      <c r="AV46" s="794">
        <f t="array" ref="AV46">IFERROR(INDEX(V46:AG46,1,MATCH(Parametres!$B$3,V$1:AG$1,0)-1)*IF(OR(C46="L",C46="S",C46="I"),-1,1),"")</f>
        <v>0</v>
      </c>
      <c r="AW46" s="794">
        <f t="shared" si="6"/>
        <v>0</v>
      </c>
      <c r="AX46" s="794">
        <f t="array" ref="AX46">INDEX(V46:AG46,1,MATCH(Parametres!$B$3,V$1:AG$1,0))*IF(OR(C46="L",C46="S",C46="I"),-1,1)</f>
        <v>0</v>
      </c>
      <c r="AY46" s="853" t="s">
        <v>772</v>
      </c>
      <c r="AZ46" s="853" t="str">
        <f>+VLOOKUP($AJ46,Data_Validation!$A:$E,5,0)</f>
        <v>#N/A</v>
      </c>
    </row>
    <row r="47" ht="15.0" customHeight="1">
      <c r="A47" s="849" t="s">
        <v>1239</v>
      </c>
      <c r="B47" s="849">
        <v>2025.0</v>
      </c>
      <c r="C47" s="849" t="s">
        <v>1374</v>
      </c>
      <c r="D47" s="849" t="s">
        <v>1375</v>
      </c>
      <c r="E47" s="849" t="s">
        <v>768</v>
      </c>
      <c r="F47" s="849" t="s">
        <v>1200</v>
      </c>
      <c r="G47" s="849">
        <v>16291.7</v>
      </c>
      <c r="H47" s="849">
        <v>30701.56</v>
      </c>
      <c r="I47" s="849">
        <v>53115.6</v>
      </c>
      <c r="J47" s="849">
        <v>79098.35</v>
      </c>
      <c r="K47" s="849">
        <v>97212.27</v>
      </c>
      <c r="L47" s="849">
        <v>117988.72</v>
      </c>
      <c r="M47" s="849">
        <v>137771.09</v>
      </c>
      <c r="N47" s="849">
        <v>152045.3</v>
      </c>
      <c r="O47" s="849">
        <v>166766.05</v>
      </c>
      <c r="P47" s="849">
        <v>180235.32</v>
      </c>
      <c r="Q47" s="849">
        <v>211306.65</v>
      </c>
      <c r="R47" s="849">
        <v>226649.79</v>
      </c>
      <c r="S47" s="849">
        <v>19209.7</v>
      </c>
      <c r="T47" s="849">
        <v>19209.7</v>
      </c>
      <c r="U47" s="849">
        <v>0.0</v>
      </c>
      <c r="V47" s="849">
        <v>0.0</v>
      </c>
      <c r="W47" s="849">
        <v>0.0</v>
      </c>
      <c r="X47" s="849">
        <v>0.0</v>
      </c>
      <c r="Y47" s="849">
        <v>0.0</v>
      </c>
      <c r="Z47" s="849">
        <v>0.0</v>
      </c>
      <c r="AA47" s="849">
        <v>0.0</v>
      </c>
      <c r="AB47" s="849">
        <v>0.0</v>
      </c>
      <c r="AC47" s="849">
        <v>0.0</v>
      </c>
      <c r="AD47" s="849">
        <v>0.0</v>
      </c>
      <c r="AE47" s="849">
        <v>0.0</v>
      </c>
      <c r="AF47" s="849">
        <v>0.0</v>
      </c>
      <c r="AG47" s="849">
        <v>0.0</v>
      </c>
      <c r="AH47" s="849">
        <v>0.0</v>
      </c>
      <c r="AI47" s="849">
        <v>0.0</v>
      </c>
      <c r="AJ47" s="794" t="str">
        <f t="shared" ref="AJ47:AK47" si="91">C47</f>
        <v>G0251</v>
      </c>
      <c r="AK47" s="794" t="str">
        <f t="shared" si="91"/>
        <v>TAXES PAYROLL NEUFS</v>
      </c>
      <c r="AL47" s="794">
        <f t="array" ref="AL47">IFERROR(INDEX(G47:R47,1,MATCH(Parametres!$B$3,G$1:R$1,0)-1)*IF(OR(F47="L",F47="S",F47="I"),-1,1),"")</f>
        <v>152045.3</v>
      </c>
      <c r="AM47" s="794">
        <f t="shared" si="4"/>
        <v>14720.75</v>
      </c>
      <c r="AN47" s="794">
        <f t="array" ref="AN47">INDEX(G47:R47,1,MATCH(Parametres!$B$3,G$1:R$1,0))*IF(OR(F47="L",F47="S",F47="I"),-1,1)</f>
        <v>166766.05</v>
      </c>
      <c r="AO47" s="853" t="str">
        <f>+VLOOKUP($AJ47,Data_Validation!$A:$D,1,0)</f>
        <v>G0251</v>
      </c>
      <c r="AP47" s="853" t="str">
        <f>+VLOOKUP($AJ47,Data_Validation!$A:$D,3,0)</f>
        <v>Véhicules neufs</v>
      </c>
      <c r="AQ47" s="853" t="str">
        <f>+VLOOKUP($AJ47,Data_Validation!$A:$D,4,0)</f>
        <v>Déduction à la source</v>
      </c>
      <c r="AR47" s="853" t="s">
        <v>728</v>
      </c>
      <c r="AS47" s="853" t="str">
        <f>+VLOOKUP($AJ47,Data_Validation!$A:$E,5,0)</f>
        <v/>
      </c>
      <c r="AT47" s="794" t="str">
        <f t="shared" ref="AT47:AU47" si="92">C47</f>
        <v>G0251</v>
      </c>
      <c r="AU47" s="854" t="str">
        <f t="shared" si="92"/>
        <v>TAXES PAYROLL NEUFS</v>
      </c>
      <c r="AV47" s="794">
        <f t="array" ref="AV47">IFERROR(INDEX(V47:AG47,1,MATCH(Parametres!$B$3,V$1:AG$1,0)-1)*IF(OR(C47="L",C47="S",C47="I"),-1,1),"")</f>
        <v>0</v>
      </c>
      <c r="AW47" s="794">
        <f t="shared" si="6"/>
        <v>0</v>
      </c>
      <c r="AX47" s="794">
        <f t="array" ref="AX47">INDEX(V47:AG47,1,MATCH(Parametres!$B$3,V$1:AG$1,0))*IF(OR(C47="L",C47="S",C47="I"),-1,1)</f>
        <v>0</v>
      </c>
      <c r="AY47" s="853" t="s">
        <v>772</v>
      </c>
      <c r="AZ47" s="853" t="str">
        <f>+VLOOKUP($AJ47,Data_Validation!$A:$E,5,0)</f>
        <v/>
      </c>
    </row>
    <row r="48" ht="15.75" customHeight="1">
      <c r="A48" s="849" t="s">
        <v>1239</v>
      </c>
      <c r="B48" s="849">
        <v>2025.0</v>
      </c>
      <c r="C48" s="849" t="s">
        <v>1378</v>
      </c>
      <c r="D48" s="849" t="s">
        <v>1379</v>
      </c>
      <c r="E48" s="849" t="s">
        <v>768</v>
      </c>
      <c r="F48" s="849" t="s">
        <v>1200</v>
      </c>
      <c r="G48" s="849">
        <v>3298.86</v>
      </c>
      <c r="H48" s="849">
        <v>4724.44</v>
      </c>
      <c r="I48" s="849">
        <v>6073.7</v>
      </c>
      <c r="J48" s="849">
        <v>10927.5</v>
      </c>
      <c r="K48" s="849">
        <v>11478.64</v>
      </c>
      <c r="L48" s="849">
        <v>13342.01</v>
      </c>
      <c r="M48" s="849">
        <v>16671.07</v>
      </c>
      <c r="N48" s="849">
        <v>19814.14</v>
      </c>
      <c r="O48" s="849">
        <v>21607.07</v>
      </c>
      <c r="P48" s="849">
        <v>24990.61</v>
      </c>
      <c r="Q48" s="849">
        <v>29559.57</v>
      </c>
      <c r="R48" s="849">
        <v>32676.92</v>
      </c>
      <c r="S48" s="849">
        <v>2687.23</v>
      </c>
      <c r="T48" s="849">
        <v>2687.23</v>
      </c>
      <c r="U48" s="849">
        <v>0.0</v>
      </c>
      <c r="V48" s="849">
        <v>0.0</v>
      </c>
      <c r="W48" s="849">
        <v>0.0</v>
      </c>
      <c r="X48" s="849">
        <v>0.0</v>
      </c>
      <c r="Y48" s="849">
        <v>0.0</v>
      </c>
      <c r="Z48" s="849">
        <v>0.0</v>
      </c>
      <c r="AA48" s="849">
        <v>0.0</v>
      </c>
      <c r="AB48" s="849">
        <v>0.0</v>
      </c>
      <c r="AC48" s="849">
        <v>0.0</v>
      </c>
      <c r="AD48" s="849">
        <v>0.0</v>
      </c>
      <c r="AE48" s="849">
        <v>0.0</v>
      </c>
      <c r="AF48" s="849">
        <v>0.0</v>
      </c>
      <c r="AG48" s="849">
        <v>0.0</v>
      </c>
      <c r="AH48" s="849">
        <v>0.0</v>
      </c>
      <c r="AI48" s="849">
        <v>0.0</v>
      </c>
      <c r="AJ48" s="794" t="str">
        <f t="shared" ref="AJ48:AK48" si="93">C48</f>
        <v>G0252</v>
      </c>
      <c r="AK48" s="794" t="str">
        <f t="shared" si="93"/>
        <v>TAXES PAYROLL USAGES</v>
      </c>
      <c r="AL48" s="794">
        <f t="array" ref="AL48">IFERROR(INDEX(G48:R48,1,MATCH(Parametres!$B$3,G$1:R$1,0)-1)*IF(OR(F48="L",F48="S",F48="I"),-1,1),"")</f>
        <v>19814.14</v>
      </c>
      <c r="AM48" s="794">
        <f t="shared" si="4"/>
        <v>1792.93</v>
      </c>
      <c r="AN48" s="794">
        <f t="array" ref="AN48">INDEX(G48:R48,1,MATCH(Parametres!$B$3,G$1:R$1,0))*IF(OR(F48="L",F48="S",F48="I"),-1,1)</f>
        <v>21607.07</v>
      </c>
      <c r="AO48" s="853" t="str">
        <f>+VLOOKUP($AJ48,Data_Validation!$A:$D,1,0)</f>
        <v>G0252</v>
      </c>
      <c r="AP48" s="853" t="str">
        <f>+VLOOKUP($AJ48,Data_Validation!$A:$D,3,0)</f>
        <v>Véhicules usagés</v>
      </c>
      <c r="AQ48" s="853" t="str">
        <f>+VLOOKUP($AJ48,Data_Validation!$A:$D,4,0)</f>
        <v>Déduction à la source</v>
      </c>
      <c r="AR48" s="853" t="s">
        <v>728</v>
      </c>
      <c r="AS48" s="853" t="str">
        <f>+VLOOKUP($AJ48,Data_Validation!$A:$E,5,0)</f>
        <v/>
      </c>
      <c r="AT48" s="794" t="str">
        <f t="shared" ref="AT48:AU48" si="94">C48</f>
        <v>G0252</v>
      </c>
      <c r="AU48" s="854" t="str">
        <f t="shared" si="94"/>
        <v>TAXES PAYROLL USAGES</v>
      </c>
      <c r="AV48" s="794">
        <f t="array" ref="AV48">IFERROR(INDEX(V48:AG48,1,MATCH(Parametres!$B$3,V$1:AG$1,0)-1)*IF(OR(C48="L",C48="S",C48="I"),-1,1),"")</f>
        <v>0</v>
      </c>
      <c r="AW48" s="794">
        <f t="shared" si="6"/>
        <v>0</v>
      </c>
      <c r="AX48" s="794">
        <f t="array" ref="AX48">INDEX(V48:AG48,1,MATCH(Parametres!$B$3,V$1:AG$1,0))*IF(OR(C48="L",C48="S",C48="I"),-1,1)</f>
        <v>0</v>
      </c>
      <c r="AY48" s="853" t="s">
        <v>772</v>
      </c>
      <c r="AZ48" s="853" t="str">
        <f>+VLOOKUP($AJ48,Data_Validation!$A:$E,5,0)</f>
        <v/>
      </c>
    </row>
    <row r="49" ht="15.0" customHeight="1">
      <c r="A49" s="849" t="s">
        <v>1239</v>
      </c>
      <c r="B49" s="849">
        <v>2025.0</v>
      </c>
      <c r="C49" s="849" t="s">
        <v>1380</v>
      </c>
      <c r="D49" s="849" t="s">
        <v>1381</v>
      </c>
      <c r="E49" s="849" t="s">
        <v>768</v>
      </c>
      <c r="F49" s="849" t="s">
        <v>1200</v>
      </c>
      <c r="G49" s="849">
        <v>3237.79</v>
      </c>
      <c r="H49" s="849">
        <v>8381.9</v>
      </c>
      <c r="I49" s="849">
        <v>16047.97</v>
      </c>
      <c r="J49" s="849">
        <v>17933.5</v>
      </c>
      <c r="K49" s="849">
        <v>21426.61</v>
      </c>
      <c r="L49" s="849">
        <v>24268.27</v>
      </c>
      <c r="M49" s="849">
        <v>27234.66</v>
      </c>
      <c r="N49" s="849">
        <v>30879.29</v>
      </c>
      <c r="O49" s="849">
        <v>34124.55</v>
      </c>
      <c r="P49" s="849">
        <v>37720.35</v>
      </c>
      <c r="Q49" s="849">
        <v>45654.34</v>
      </c>
      <c r="R49" s="849">
        <v>54352.13</v>
      </c>
      <c r="S49" s="849">
        <v>4150.39</v>
      </c>
      <c r="T49" s="849">
        <v>4150.39</v>
      </c>
      <c r="U49" s="849">
        <v>0.0</v>
      </c>
      <c r="V49" s="849">
        <v>0.0</v>
      </c>
      <c r="W49" s="849">
        <v>0.0</v>
      </c>
      <c r="X49" s="849">
        <v>0.0</v>
      </c>
      <c r="Y49" s="849">
        <v>0.0</v>
      </c>
      <c r="Z49" s="849">
        <v>0.0</v>
      </c>
      <c r="AA49" s="849">
        <v>0.0</v>
      </c>
      <c r="AB49" s="849">
        <v>0.0</v>
      </c>
      <c r="AC49" s="849">
        <v>0.0</v>
      </c>
      <c r="AD49" s="849">
        <v>0.0</v>
      </c>
      <c r="AE49" s="849">
        <v>0.0</v>
      </c>
      <c r="AF49" s="849">
        <v>0.0</v>
      </c>
      <c r="AG49" s="849">
        <v>0.0</v>
      </c>
      <c r="AH49" s="849">
        <v>0.0</v>
      </c>
      <c r="AI49" s="849">
        <v>0.0</v>
      </c>
      <c r="AJ49" s="794" t="str">
        <f t="shared" ref="AJ49:AK49" si="95">C49</f>
        <v>G0253</v>
      </c>
      <c r="AK49" s="794" t="str">
        <f t="shared" si="95"/>
        <v>TAXES PAYROLL U.S.A</v>
      </c>
      <c r="AL49" s="794">
        <f t="array" ref="AL49">IFERROR(INDEX(G49:R49,1,MATCH(Parametres!$B$3,G$1:R$1,0)-1)*IF(OR(F49="L",F49="S",F49="I"),-1,1),"")</f>
        <v>30879.29</v>
      </c>
      <c r="AM49" s="794">
        <f t="shared" si="4"/>
        <v>3245.26</v>
      </c>
      <c r="AN49" s="794">
        <f t="array" ref="AN49">INDEX(G49:R49,1,MATCH(Parametres!$B$3,G$1:R$1,0))*IF(OR(F49="L",F49="S",F49="I"),-1,1)</f>
        <v>34124.55</v>
      </c>
      <c r="AO49" s="853" t="str">
        <f>+VLOOKUP($AJ49,Data_Validation!$A:$D,1,0)</f>
        <v>G0253</v>
      </c>
      <c r="AP49" s="853" t="str">
        <f>+VLOOKUP($AJ49,Data_Validation!$A:$D,3,0)</f>
        <v>Wholesale autres</v>
      </c>
      <c r="AQ49" s="853" t="str">
        <f>+VLOOKUP($AJ49,Data_Validation!$A:$D,4,0)</f>
        <v>Déduction à la source</v>
      </c>
      <c r="AR49" s="853" t="s">
        <v>728</v>
      </c>
      <c r="AS49" s="853" t="str">
        <f>+VLOOKUP($AJ49,Data_Validation!$A:$E,5,0)</f>
        <v/>
      </c>
      <c r="AT49" s="794" t="str">
        <f t="shared" ref="AT49:AU49" si="96">C49</f>
        <v>G0253</v>
      </c>
      <c r="AU49" s="854" t="str">
        <f t="shared" si="96"/>
        <v>TAXES PAYROLL U.S.A</v>
      </c>
      <c r="AV49" s="794">
        <f t="array" ref="AV49">IFERROR(INDEX(V49:AG49,1,MATCH(Parametres!$B$3,V$1:AG$1,0)-1)*IF(OR(C49="L",C49="S",C49="I"),-1,1),"")</f>
        <v>0</v>
      </c>
      <c r="AW49" s="794">
        <f t="shared" si="6"/>
        <v>0</v>
      </c>
      <c r="AX49" s="794">
        <f t="array" ref="AX49">INDEX(V49:AG49,1,MATCH(Parametres!$B$3,V$1:AG$1,0))*IF(OR(C49="L",C49="S",C49="I"),-1,1)</f>
        <v>0</v>
      </c>
      <c r="AY49" s="853" t="s">
        <v>772</v>
      </c>
      <c r="AZ49" s="853" t="str">
        <f>+VLOOKUP($AJ49,Data_Validation!$A:$E,5,0)</f>
        <v/>
      </c>
    </row>
    <row r="50" ht="15.0" customHeight="1">
      <c r="A50" s="849" t="s">
        <v>1239</v>
      </c>
      <c r="B50" s="849">
        <v>2025.0</v>
      </c>
      <c r="C50" s="849" t="s">
        <v>1382</v>
      </c>
      <c r="D50" s="849" t="s">
        <v>1383</v>
      </c>
      <c r="E50" s="849" t="s">
        <v>768</v>
      </c>
      <c r="F50" s="849" t="s">
        <v>1200</v>
      </c>
      <c r="G50" s="849">
        <v>19081.87</v>
      </c>
      <c r="H50" s="849">
        <v>33569.22</v>
      </c>
      <c r="I50" s="849">
        <v>51040.77</v>
      </c>
      <c r="J50" s="849">
        <v>77794.11</v>
      </c>
      <c r="K50" s="849">
        <v>96576.76</v>
      </c>
      <c r="L50" s="849">
        <v>115176.26</v>
      </c>
      <c r="M50" s="849">
        <v>126027.47</v>
      </c>
      <c r="N50" s="849">
        <v>142421.77</v>
      </c>
      <c r="O50" s="849">
        <v>157880.81</v>
      </c>
      <c r="P50" s="849">
        <v>174071.8</v>
      </c>
      <c r="Q50" s="849">
        <v>207150.57</v>
      </c>
      <c r="R50" s="849">
        <v>228817.9</v>
      </c>
      <c r="S50" s="849">
        <v>18831.87</v>
      </c>
      <c r="T50" s="849">
        <v>18831.87</v>
      </c>
      <c r="U50" s="849">
        <v>0.0</v>
      </c>
      <c r="V50" s="849">
        <v>0.0</v>
      </c>
      <c r="W50" s="849">
        <v>0.0</v>
      </c>
      <c r="X50" s="849">
        <v>0.0</v>
      </c>
      <c r="Y50" s="849">
        <v>0.0</v>
      </c>
      <c r="Z50" s="849">
        <v>0.0</v>
      </c>
      <c r="AA50" s="849">
        <v>0.0</v>
      </c>
      <c r="AB50" s="849">
        <v>0.0</v>
      </c>
      <c r="AC50" s="849">
        <v>0.0</v>
      </c>
      <c r="AD50" s="849">
        <v>0.0</v>
      </c>
      <c r="AE50" s="849">
        <v>0.0</v>
      </c>
      <c r="AF50" s="849">
        <v>0.0</v>
      </c>
      <c r="AG50" s="849">
        <v>0.0</v>
      </c>
      <c r="AH50" s="849">
        <v>0.0</v>
      </c>
      <c r="AI50" s="849">
        <v>0.0</v>
      </c>
      <c r="AJ50" s="794" t="str">
        <f t="shared" ref="AJ50:AK50" si="97">C50</f>
        <v>G0254</v>
      </c>
      <c r="AK50" s="794" t="str">
        <f t="shared" si="97"/>
        <v>TAXES PAYROLL SERVICE</v>
      </c>
      <c r="AL50" s="794">
        <f t="array" ref="AL50">IFERROR(INDEX(G50:R50,1,MATCH(Parametres!$B$3,G$1:R$1,0)-1)*IF(OR(F50="L",F50="S",F50="I"),-1,1),"")</f>
        <v>142421.77</v>
      </c>
      <c r="AM50" s="794">
        <f t="shared" si="4"/>
        <v>15459.04</v>
      </c>
      <c r="AN50" s="794">
        <f t="array" ref="AN50">INDEX(G50:R50,1,MATCH(Parametres!$B$3,G$1:R$1,0))*IF(OR(F50="L",F50="S",F50="I"),-1,1)</f>
        <v>157880.81</v>
      </c>
      <c r="AO50" s="853" t="str">
        <f>+VLOOKUP($AJ50,Data_Validation!$A:$D,1,0)</f>
        <v>G0254</v>
      </c>
      <c r="AP50" s="853" t="str">
        <f>+VLOOKUP($AJ50,Data_Validation!$A:$D,3,0)</f>
        <v>Service</v>
      </c>
      <c r="AQ50" s="853" t="str">
        <f>+VLOOKUP($AJ50,Data_Validation!$A:$D,4,0)</f>
        <v>Déduction à la source</v>
      </c>
      <c r="AR50" s="853" t="s">
        <v>728</v>
      </c>
      <c r="AS50" s="853" t="str">
        <f>+VLOOKUP($AJ50,Data_Validation!$A:$E,5,0)</f>
        <v/>
      </c>
      <c r="AT50" s="794" t="str">
        <f t="shared" ref="AT50:AU50" si="98">C50</f>
        <v>G0254</v>
      </c>
      <c r="AU50" s="854" t="str">
        <f t="shared" si="98"/>
        <v>TAXES PAYROLL SERVICE</v>
      </c>
      <c r="AV50" s="794">
        <f t="array" ref="AV50">IFERROR(INDEX(V50:AG50,1,MATCH(Parametres!$B$3,V$1:AG$1,0)-1)*IF(OR(C50="L",C50="S",C50="I"),-1,1),"")</f>
        <v>0</v>
      </c>
      <c r="AW50" s="794">
        <f t="shared" si="6"/>
        <v>0</v>
      </c>
      <c r="AX50" s="794">
        <f t="array" ref="AX50">INDEX(V50:AG50,1,MATCH(Parametres!$B$3,V$1:AG$1,0))*IF(OR(C50="L",C50="S",C50="I"),-1,1)</f>
        <v>0</v>
      </c>
      <c r="AY50" s="853" t="s">
        <v>772</v>
      </c>
      <c r="AZ50" s="853" t="str">
        <f>+VLOOKUP($AJ50,Data_Validation!$A:$E,5,0)</f>
        <v/>
      </c>
    </row>
    <row r="51" ht="15.0" customHeight="1">
      <c r="A51" s="849" t="s">
        <v>1239</v>
      </c>
      <c r="B51" s="849">
        <v>2025.0</v>
      </c>
      <c r="C51" s="849" t="s">
        <v>1384</v>
      </c>
      <c r="D51" s="849" t="s">
        <v>1385</v>
      </c>
      <c r="E51" s="849" t="s">
        <v>768</v>
      </c>
      <c r="F51" s="849" t="s">
        <v>1200</v>
      </c>
      <c r="G51" s="849">
        <v>4557.47</v>
      </c>
      <c r="H51" s="849">
        <v>7630.7</v>
      </c>
      <c r="I51" s="849">
        <v>11311.55</v>
      </c>
      <c r="J51" s="849">
        <v>17830.9</v>
      </c>
      <c r="K51" s="849">
        <v>21640.47</v>
      </c>
      <c r="L51" s="849">
        <v>25491.6</v>
      </c>
      <c r="M51" s="849">
        <v>29529.8</v>
      </c>
      <c r="N51" s="849">
        <v>34080.07</v>
      </c>
      <c r="O51" s="849">
        <v>39203.98</v>
      </c>
      <c r="P51" s="849">
        <v>43992.62</v>
      </c>
      <c r="Q51" s="849">
        <v>52839.29</v>
      </c>
      <c r="R51" s="849">
        <v>58461.33</v>
      </c>
      <c r="S51" s="849">
        <v>4803.57</v>
      </c>
      <c r="T51" s="849">
        <v>4803.57</v>
      </c>
      <c r="U51" s="849">
        <v>0.0</v>
      </c>
      <c r="V51" s="849">
        <v>0.0</v>
      </c>
      <c r="W51" s="849">
        <v>0.0</v>
      </c>
      <c r="X51" s="849">
        <v>0.0</v>
      </c>
      <c r="Y51" s="849">
        <v>0.0</v>
      </c>
      <c r="Z51" s="849">
        <v>0.0</v>
      </c>
      <c r="AA51" s="849">
        <v>0.0</v>
      </c>
      <c r="AB51" s="849">
        <v>0.0</v>
      </c>
      <c r="AC51" s="849">
        <v>0.0</v>
      </c>
      <c r="AD51" s="849">
        <v>0.0</v>
      </c>
      <c r="AE51" s="849">
        <v>0.0</v>
      </c>
      <c r="AF51" s="849">
        <v>0.0</v>
      </c>
      <c r="AG51" s="849">
        <v>0.0</v>
      </c>
      <c r="AH51" s="849">
        <v>0.0</v>
      </c>
      <c r="AI51" s="849">
        <v>0.0</v>
      </c>
      <c r="AJ51" s="794" t="str">
        <f t="shared" ref="AJ51:AK51" si="99">C51</f>
        <v>G0255</v>
      </c>
      <c r="AK51" s="794" t="str">
        <f t="shared" si="99"/>
        <v>TAXES PAYROLL CARROSS.</v>
      </c>
      <c r="AL51" s="794">
        <f t="array" ref="AL51">IFERROR(INDEX(G51:R51,1,MATCH(Parametres!$B$3,G$1:R$1,0)-1)*IF(OR(F51="L",F51="S",F51="I"),-1,1),"")</f>
        <v>34080.07</v>
      </c>
      <c r="AM51" s="794">
        <f t="shared" si="4"/>
        <v>5123.91</v>
      </c>
      <c r="AN51" s="794">
        <f t="array" ref="AN51">INDEX(G51:R51,1,MATCH(Parametres!$B$3,G$1:R$1,0))*IF(OR(F51="L",F51="S",F51="I"),-1,1)</f>
        <v>39203.98</v>
      </c>
      <c r="AO51" s="853" t="str">
        <f>+VLOOKUP($AJ51,Data_Validation!$A:$D,1,0)</f>
        <v>G0255</v>
      </c>
      <c r="AP51" s="853" t="str">
        <f>+VLOOKUP($AJ51,Data_Validation!$A:$D,3,0)</f>
        <v>Carrosserie</v>
      </c>
      <c r="AQ51" s="853" t="str">
        <f>+VLOOKUP($AJ51,Data_Validation!$A:$D,4,0)</f>
        <v>Déduction à la source</v>
      </c>
      <c r="AR51" s="853" t="s">
        <v>728</v>
      </c>
      <c r="AS51" s="853" t="str">
        <f>+VLOOKUP($AJ51,Data_Validation!$A:$E,5,0)</f>
        <v/>
      </c>
      <c r="AT51" s="794" t="str">
        <f t="shared" ref="AT51:AU51" si="100">C51</f>
        <v>G0255</v>
      </c>
      <c r="AU51" s="854" t="str">
        <f t="shared" si="100"/>
        <v>TAXES PAYROLL CARROSS.</v>
      </c>
      <c r="AV51" s="794">
        <f t="array" ref="AV51">IFERROR(INDEX(V51:AG51,1,MATCH(Parametres!$B$3,V$1:AG$1,0)-1)*IF(OR(C51="L",C51="S",C51="I"),-1,1),"")</f>
        <v>0</v>
      </c>
      <c r="AW51" s="794">
        <f t="shared" si="6"/>
        <v>0</v>
      </c>
      <c r="AX51" s="794">
        <f t="array" ref="AX51">INDEX(V51:AG51,1,MATCH(Parametres!$B$3,V$1:AG$1,0))*IF(OR(C51="L",C51="S",C51="I"),-1,1)</f>
        <v>0</v>
      </c>
      <c r="AY51" s="853" t="s">
        <v>772</v>
      </c>
      <c r="AZ51" s="853" t="str">
        <f>+VLOOKUP($AJ51,Data_Validation!$A:$E,5,0)</f>
        <v/>
      </c>
    </row>
    <row r="52" ht="15.75" customHeight="1">
      <c r="A52" s="849" t="s">
        <v>1239</v>
      </c>
      <c r="B52" s="849">
        <v>2025.0</v>
      </c>
      <c r="C52" s="849" t="s">
        <v>1386</v>
      </c>
      <c r="D52" s="849" t="s">
        <v>1387</v>
      </c>
      <c r="E52" s="849" t="s">
        <v>768</v>
      </c>
      <c r="F52" s="849" t="s">
        <v>1200</v>
      </c>
      <c r="G52" s="849">
        <v>3536.58</v>
      </c>
      <c r="H52" s="849">
        <v>7502.01</v>
      </c>
      <c r="I52" s="849">
        <v>9953.91</v>
      </c>
      <c r="J52" s="849">
        <v>13556.89</v>
      </c>
      <c r="K52" s="849">
        <v>16074.72</v>
      </c>
      <c r="L52" s="849">
        <v>19035.15</v>
      </c>
      <c r="M52" s="849">
        <v>21744.2</v>
      </c>
      <c r="N52" s="849">
        <v>24797.1</v>
      </c>
      <c r="O52" s="849">
        <v>27638.27</v>
      </c>
      <c r="P52" s="849">
        <v>30230.27</v>
      </c>
      <c r="Q52" s="849">
        <v>36265.1</v>
      </c>
      <c r="R52" s="849">
        <v>39473.6</v>
      </c>
      <c r="S52" s="849">
        <v>3296.83</v>
      </c>
      <c r="T52" s="849">
        <v>3296.83</v>
      </c>
      <c r="U52" s="849">
        <v>0.0</v>
      </c>
      <c r="V52" s="849">
        <v>0.0</v>
      </c>
      <c r="W52" s="849">
        <v>0.0</v>
      </c>
      <c r="X52" s="849">
        <v>0.0</v>
      </c>
      <c r="Y52" s="849">
        <v>0.0</v>
      </c>
      <c r="Z52" s="849">
        <v>0.0</v>
      </c>
      <c r="AA52" s="849">
        <v>0.0</v>
      </c>
      <c r="AB52" s="849">
        <v>0.0</v>
      </c>
      <c r="AC52" s="849">
        <v>0.0</v>
      </c>
      <c r="AD52" s="849">
        <v>0.0</v>
      </c>
      <c r="AE52" s="849">
        <v>0.0</v>
      </c>
      <c r="AF52" s="849">
        <v>0.0</v>
      </c>
      <c r="AG52" s="849">
        <v>0.0</v>
      </c>
      <c r="AH52" s="849">
        <v>0.0</v>
      </c>
      <c r="AI52" s="849">
        <v>0.0</v>
      </c>
      <c r="AJ52" s="794" t="str">
        <f t="shared" ref="AJ52:AK52" si="101">C52</f>
        <v>G0256</v>
      </c>
      <c r="AK52" s="794" t="str">
        <f t="shared" si="101"/>
        <v>TAXES PAYROLL PIECES</v>
      </c>
      <c r="AL52" s="794">
        <f t="array" ref="AL52">IFERROR(INDEX(G52:R52,1,MATCH(Parametres!$B$3,G$1:R$1,0)-1)*IF(OR(F52="L",F52="S",F52="I"),-1,1),"")</f>
        <v>24797.1</v>
      </c>
      <c r="AM52" s="794">
        <f t="shared" si="4"/>
        <v>2841.17</v>
      </c>
      <c r="AN52" s="794">
        <f t="array" ref="AN52">INDEX(G52:R52,1,MATCH(Parametres!$B$3,G$1:R$1,0))*IF(OR(F52="L",F52="S",F52="I"),-1,1)</f>
        <v>27638.27</v>
      </c>
      <c r="AO52" s="853" t="str">
        <f>+VLOOKUP($AJ52,Data_Validation!$A:$D,1,0)</f>
        <v>G0256</v>
      </c>
      <c r="AP52" s="853" t="str">
        <f>+VLOOKUP($AJ52,Data_Validation!$A:$D,3,0)</f>
        <v>Pièces</v>
      </c>
      <c r="AQ52" s="853" t="str">
        <f>+VLOOKUP($AJ52,Data_Validation!$A:$D,4,0)</f>
        <v>Déduction à la source</v>
      </c>
      <c r="AR52" s="853" t="s">
        <v>728</v>
      </c>
      <c r="AS52" s="853" t="str">
        <f>+VLOOKUP($AJ52,Data_Validation!$A:$E,5,0)</f>
        <v/>
      </c>
      <c r="AT52" s="794" t="str">
        <f t="shared" ref="AT52:AU52" si="102">C52</f>
        <v>G0256</v>
      </c>
      <c r="AU52" s="854" t="str">
        <f t="shared" si="102"/>
        <v>TAXES PAYROLL PIECES</v>
      </c>
      <c r="AV52" s="794">
        <f t="array" ref="AV52">IFERROR(INDEX(V52:AG52,1,MATCH(Parametres!$B$3,V$1:AG$1,0)-1)*IF(OR(C52="L",C52="S",C52="I"),-1,1),"")</f>
        <v>0</v>
      </c>
      <c r="AW52" s="794">
        <f t="shared" si="6"/>
        <v>0</v>
      </c>
      <c r="AX52" s="794">
        <f t="array" ref="AX52">INDEX(V52:AG52,1,MATCH(Parametres!$B$3,V$1:AG$1,0))*IF(OR(C52="L",C52="S",C52="I"),-1,1)</f>
        <v>0</v>
      </c>
      <c r="AY52" s="853" t="s">
        <v>772</v>
      </c>
      <c r="AZ52" s="853" t="str">
        <f>+VLOOKUP($AJ52,Data_Validation!$A:$E,5,0)</f>
        <v/>
      </c>
    </row>
    <row r="53" ht="15.0" customHeight="1">
      <c r="A53" s="849" t="s">
        <v>1239</v>
      </c>
      <c r="B53" s="849">
        <v>2025.0</v>
      </c>
      <c r="C53" s="849" t="s">
        <v>1390</v>
      </c>
      <c r="D53" s="849" t="s">
        <v>1391</v>
      </c>
      <c r="E53" s="849" t="s">
        <v>768</v>
      </c>
      <c r="F53" s="849" t="s">
        <v>1200</v>
      </c>
      <c r="G53" s="849">
        <v>0.0</v>
      </c>
      <c r="H53" s="849">
        <v>0.0</v>
      </c>
      <c r="I53" s="849">
        <v>0.0</v>
      </c>
      <c r="J53" s="849">
        <v>0.0</v>
      </c>
      <c r="K53" s="849">
        <v>0.0</v>
      </c>
      <c r="L53" s="849">
        <v>0.0</v>
      </c>
      <c r="M53" s="849">
        <v>0.0</v>
      </c>
      <c r="N53" s="849">
        <v>0.0</v>
      </c>
      <c r="O53" s="849">
        <v>0.0</v>
      </c>
      <c r="P53" s="849">
        <v>0.0</v>
      </c>
      <c r="Q53" s="849">
        <v>0.0</v>
      </c>
      <c r="R53" s="849">
        <v>0.0</v>
      </c>
      <c r="S53" s="849">
        <v>0.0</v>
      </c>
      <c r="T53" s="849">
        <v>0.0</v>
      </c>
      <c r="U53" s="849">
        <v>0.0</v>
      </c>
      <c r="V53" s="849">
        <v>0.0</v>
      </c>
      <c r="W53" s="849">
        <v>0.0</v>
      </c>
      <c r="X53" s="849">
        <v>0.0</v>
      </c>
      <c r="Y53" s="849">
        <v>0.0</v>
      </c>
      <c r="Z53" s="849">
        <v>0.0</v>
      </c>
      <c r="AA53" s="849">
        <v>0.0</v>
      </c>
      <c r="AB53" s="849">
        <v>0.0</v>
      </c>
      <c r="AC53" s="849">
        <v>0.0</v>
      </c>
      <c r="AD53" s="849">
        <v>0.0</v>
      </c>
      <c r="AE53" s="849">
        <v>0.0</v>
      </c>
      <c r="AF53" s="849">
        <v>0.0</v>
      </c>
      <c r="AG53" s="849">
        <v>0.0</v>
      </c>
      <c r="AH53" s="849">
        <v>0.0</v>
      </c>
      <c r="AI53" s="849">
        <v>0.0</v>
      </c>
      <c r="AJ53" s="794" t="str">
        <f t="shared" ref="AJ53:AK53" si="103">C53</f>
        <v>G0270</v>
      </c>
      <c r="AK53" s="794" t="str">
        <f t="shared" si="103"/>
        <v>AVANTAG.SOCIAUX REP.</v>
      </c>
      <c r="AL53" s="794">
        <f t="array" ref="AL53">IFERROR(INDEX(G53:R53,1,MATCH(Parametres!$B$3,G$1:R$1,0)-1)*IF(OR(F53="L",F53="S",F53="I"),-1,1),"")</f>
        <v>0</v>
      </c>
      <c r="AM53" s="794">
        <f t="shared" si="4"/>
        <v>0</v>
      </c>
      <c r="AN53" s="794">
        <f t="array" ref="AN53">INDEX(G53:R53,1,MATCH(Parametres!$B$3,G$1:R$1,0))*IF(OR(F53="L",F53="S",F53="I"),-1,1)</f>
        <v>0</v>
      </c>
      <c r="AO53" s="853" t="str">
        <f>+VLOOKUP($AJ53,Data_Validation!$A:$D,1,0)</f>
        <v>#N/A</v>
      </c>
      <c r="AP53" s="853" t="str">
        <f>+VLOOKUP($AJ53,Data_Validation!$A:$D,3,0)</f>
        <v>#N/A</v>
      </c>
      <c r="AQ53" s="853" t="str">
        <f>+VLOOKUP($AJ53,Data_Validation!$A:$D,4,0)</f>
        <v>#N/A</v>
      </c>
      <c r="AR53" s="853" t="s">
        <v>728</v>
      </c>
      <c r="AS53" s="853" t="str">
        <f>+VLOOKUP($AJ53,Data_Validation!$A:$E,5,0)</f>
        <v>#N/A</v>
      </c>
      <c r="AT53" s="794" t="str">
        <f t="shared" ref="AT53:AU53" si="104">C53</f>
        <v>G0270</v>
      </c>
      <c r="AU53" s="854" t="str">
        <f t="shared" si="104"/>
        <v>AVANTAG.SOCIAUX REP.</v>
      </c>
      <c r="AV53" s="794">
        <f t="array" ref="AV53">IFERROR(INDEX(V53:AG53,1,MATCH(Parametres!$B$3,V$1:AG$1,0)-1)*IF(OR(C53="L",C53="S",C53="I"),-1,1),"")</f>
        <v>0</v>
      </c>
      <c r="AW53" s="794">
        <f t="shared" si="6"/>
        <v>0</v>
      </c>
      <c r="AX53" s="794">
        <f t="array" ref="AX53">INDEX(V53:AG53,1,MATCH(Parametres!$B$3,V$1:AG$1,0))*IF(OR(C53="L",C53="S",C53="I"),-1,1)</f>
        <v>0</v>
      </c>
      <c r="AY53" s="853" t="s">
        <v>772</v>
      </c>
      <c r="AZ53" s="853" t="str">
        <f>+VLOOKUP($AJ53,Data_Validation!$A:$E,5,0)</f>
        <v>#N/A</v>
      </c>
    </row>
    <row r="54" ht="15.0" customHeight="1">
      <c r="A54" s="849" t="s">
        <v>1239</v>
      </c>
      <c r="B54" s="849">
        <v>2025.0</v>
      </c>
      <c r="C54" s="849" t="s">
        <v>1394</v>
      </c>
      <c r="D54" s="849" t="s">
        <v>1395</v>
      </c>
      <c r="E54" s="849" t="s">
        <v>768</v>
      </c>
      <c r="F54" s="849" t="s">
        <v>1200</v>
      </c>
      <c r="G54" s="849">
        <v>4767.59</v>
      </c>
      <c r="H54" s="849">
        <v>9562.75</v>
      </c>
      <c r="I54" s="849">
        <v>15038.33</v>
      </c>
      <c r="J54" s="849">
        <v>22914.94</v>
      </c>
      <c r="K54" s="849">
        <v>27887.57</v>
      </c>
      <c r="L54" s="849">
        <v>33032.29</v>
      </c>
      <c r="M54" s="849">
        <v>36595.67</v>
      </c>
      <c r="N54" s="849">
        <v>41061.14</v>
      </c>
      <c r="O54" s="849">
        <v>45602.89</v>
      </c>
      <c r="P54" s="849">
        <v>46352.32</v>
      </c>
      <c r="Q54" s="849">
        <v>61073.99</v>
      </c>
      <c r="R54" s="849">
        <v>88098.38</v>
      </c>
      <c r="S54" s="849">
        <v>5552.18</v>
      </c>
      <c r="T54" s="849">
        <v>5552.18</v>
      </c>
      <c r="U54" s="849">
        <v>0.0</v>
      </c>
      <c r="V54" s="849">
        <v>0.0</v>
      </c>
      <c r="W54" s="849">
        <v>0.0</v>
      </c>
      <c r="X54" s="849">
        <v>0.0</v>
      </c>
      <c r="Y54" s="849">
        <v>0.0</v>
      </c>
      <c r="Z54" s="849">
        <v>0.0</v>
      </c>
      <c r="AA54" s="849">
        <v>0.0</v>
      </c>
      <c r="AB54" s="849">
        <v>0.0</v>
      </c>
      <c r="AC54" s="849">
        <v>0.0</v>
      </c>
      <c r="AD54" s="849">
        <v>0.0</v>
      </c>
      <c r="AE54" s="849">
        <v>0.0</v>
      </c>
      <c r="AF54" s="849">
        <v>0.0</v>
      </c>
      <c r="AG54" s="849">
        <v>0.0</v>
      </c>
      <c r="AH54" s="849">
        <v>0.0</v>
      </c>
      <c r="AI54" s="849">
        <v>0.0</v>
      </c>
      <c r="AJ54" s="794" t="str">
        <f t="shared" ref="AJ54:AK54" si="105">C54</f>
        <v>G0271</v>
      </c>
      <c r="AK54" s="794" t="str">
        <f t="shared" si="105"/>
        <v>AVANTAGES SOCIAUX NEUF</v>
      </c>
      <c r="AL54" s="794">
        <f t="array" ref="AL54">IFERROR(INDEX(G54:R54,1,MATCH(Parametres!$B$3,G$1:R$1,0)-1)*IF(OR(F54="L",F54="S",F54="I"),-1,1),"")</f>
        <v>41061.14</v>
      </c>
      <c r="AM54" s="794">
        <f t="shared" si="4"/>
        <v>4541.75</v>
      </c>
      <c r="AN54" s="794">
        <f t="array" ref="AN54">INDEX(G54:R54,1,MATCH(Parametres!$B$3,G$1:R$1,0))*IF(OR(F54="L",F54="S",F54="I"),-1,1)</f>
        <v>45602.89</v>
      </c>
      <c r="AO54" s="853" t="str">
        <f>+VLOOKUP($AJ54,Data_Validation!$A:$D,1,0)</f>
        <v>G0271</v>
      </c>
      <c r="AP54" s="853" t="str">
        <f>+VLOOKUP($AJ54,Data_Validation!$A:$D,3,0)</f>
        <v>Véhicules neufs</v>
      </c>
      <c r="AQ54" s="853" t="str">
        <f>+VLOOKUP($AJ54,Data_Validation!$A:$D,4,0)</f>
        <v>Bénéfices marginaux</v>
      </c>
      <c r="AR54" s="853" t="s">
        <v>728</v>
      </c>
      <c r="AS54" s="853" t="str">
        <f>+VLOOKUP($AJ54,Data_Validation!$A:$E,5,0)</f>
        <v/>
      </c>
      <c r="AT54" s="794" t="str">
        <f t="shared" ref="AT54:AU54" si="106">C54</f>
        <v>G0271</v>
      </c>
      <c r="AU54" s="854" t="str">
        <f t="shared" si="106"/>
        <v>AVANTAGES SOCIAUX NEUF</v>
      </c>
      <c r="AV54" s="794">
        <f t="array" ref="AV54">IFERROR(INDEX(V54:AG54,1,MATCH(Parametres!$B$3,V$1:AG$1,0)-1)*IF(OR(C54="L",C54="S",C54="I"),-1,1),"")</f>
        <v>0</v>
      </c>
      <c r="AW54" s="794">
        <f t="shared" si="6"/>
        <v>0</v>
      </c>
      <c r="AX54" s="794">
        <f t="array" ref="AX54">INDEX(V54:AG54,1,MATCH(Parametres!$B$3,V$1:AG$1,0))*IF(OR(C54="L",C54="S",C54="I"),-1,1)</f>
        <v>0</v>
      </c>
      <c r="AY54" s="853" t="s">
        <v>772</v>
      </c>
      <c r="AZ54" s="853" t="str">
        <f>+VLOOKUP($AJ54,Data_Validation!$A:$E,5,0)</f>
        <v/>
      </c>
    </row>
    <row r="55" ht="15.0" customHeight="1">
      <c r="A55" s="849" t="s">
        <v>1239</v>
      </c>
      <c r="B55" s="849">
        <v>2025.0</v>
      </c>
      <c r="C55" s="849" t="s">
        <v>1397</v>
      </c>
      <c r="D55" s="849" t="s">
        <v>1398</v>
      </c>
      <c r="E55" s="849" t="s">
        <v>768</v>
      </c>
      <c r="F55" s="849" t="s">
        <v>1200</v>
      </c>
      <c r="G55" s="849">
        <v>2188.56</v>
      </c>
      <c r="H55" s="849">
        <v>5555.0</v>
      </c>
      <c r="I55" s="849">
        <v>7695.78</v>
      </c>
      <c r="J55" s="849">
        <v>11389.57</v>
      </c>
      <c r="K55" s="849">
        <v>13230.66</v>
      </c>
      <c r="L55" s="849">
        <v>15305.24</v>
      </c>
      <c r="M55" s="849">
        <v>16364.59</v>
      </c>
      <c r="N55" s="849">
        <v>18432.87</v>
      </c>
      <c r="O55" s="849">
        <v>21863.45</v>
      </c>
      <c r="P55" s="849">
        <v>22506.73</v>
      </c>
      <c r="Q55" s="849">
        <v>31699.73</v>
      </c>
      <c r="R55" s="849">
        <v>48393.09</v>
      </c>
      <c r="S55" s="849">
        <v>2881.79</v>
      </c>
      <c r="T55" s="849">
        <v>2881.79</v>
      </c>
      <c r="U55" s="849">
        <v>0.0</v>
      </c>
      <c r="V55" s="849">
        <v>0.0</v>
      </c>
      <c r="W55" s="849">
        <v>0.0</v>
      </c>
      <c r="X55" s="849">
        <v>0.0</v>
      </c>
      <c r="Y55" s="849">
        <v>0.0</v>
      </c>
      <c r="Z55" s="849">
        <v>0.0</v>
      </c>
      <c r="AA55" s="849">
        <v>0.0</v>
      </c>
      <c r="AB55" s="849">
        <v>0.0</v>
      </c>
      <c r="AC55" s="849">
        <v>0.0</v>
      </c>
      <c r="AD55" s="849">
        <v>0.0</v>
      </c>
      <c r="AE55" s="849">
        <v>0.0</v>
      </c>
      <c r="AF55" s="849">
        <v>0.0</v>
      </c>
      <c r="AG55" s="849">
        <v>0.0</v>
      </c>
      <c r="AH55" s="849">
        <v>0.0</v>
      </c>
      <c r="AI55" s="849">
        <v>0.0</v>
      </c>
      <c r="AJ55" s="794" t="str">
        <f t="shared" ref="AJ55:AK55" si="107">C55</f>
        <v>G0272</v>
      </c>
      <c r="AK55" s="794" t="str">
        <f t="shared" si="107"/>
        <v>AVANTAGES SOCIAUX USAG</v>
      </c>
      <c r="AL55" s="794">
        <f t="array" ref="AL55">IFERROR(INDEX(G55:R55,1,MATCH(Parametres!$B$3,G$1:R$1,0)-1)*IF(OR(F55="L",F55="S",F55="I"),-1,1),"")</f>
        <v>18432.87</v>
      </c>
      <c r="AM55" s="794">
        <f t="shared" si="4"/>
        <v>3430.58</v>
      </c>
      <c r="AN55" s="794">
        <f t="array" ref="AN55">INDEX(G55:R55,1,MATCH(Parametres!$B$3,G$1:R$1,0))*IF(OR(F55="L",F55="S",F55="I"),-1,1)</f>
        <v>21863.45</v>
      </c>
      <c r="AO55" s="853" t="str">
        <f>+VLOOKUP($AJ55,Data_Validation!$A:$D,1,0)</f>
        <v>G0272</v>
      </c>
      <c r="AP55" s="853" t="str">
        <f>+VLOOKUP($AJ55,Data_Validation!$A:$D,3,0)</f>
        <v>Véhicules usagés</v>
      </c>
      <c r="AQ55" s="853" t="str">
        <f>+VLOOKUP($AJ55,Data_Validation!$A:$D,4,0)</f>
        <v>Bénéfices marginaux</v>
      </c>
      <c r="AR55" s="853" t="s">
        <v>728</v>
      </c>
      <c r="AS55" s="853" t="str">
        <f>+VLOOKUP($AJ55,Data_Validation!$A:$E,5,0)</f>
        <v/>
      </c>
      <c r="AT55" s="794" t="str">
        <f t="shared" ref="AT55:AU55" si="108">C55</f>
        <v>G0272</v>
      </c>
      <c r="AU55" s="854" t="str">
        <f t="shared" si="108"/>
        <v>AVANTAGES SOCIAUX USAG</v>
      </c>
      <c r="AV55" s="794">
        <f t="array" ref="AV55">IFERROR(INDEX(V55:AG55,1,MATCH(Parametres!$B$3,V$1:AG$1,0)-1)*IF(OR(C55="L",C55="S",C55="I"),-1,1),"")</f>
        <v>0</v>
      </c>
      <c r="AW55" s="794">
        <f t="shared" si="6"/>
        <v>0</v>
      </c>
      <c r="AX55" s="794">
        <f t="array" ref="AX55">INDEX(V55:AG55,1,MATCH(Parametres!$B$3,V$1:AG$1,0))*IF(OR(C55="L",C55="S",C55="I"),-1,1)</f>
        <v>0</v>
      </c>
      <c r="AY55" s="853" t="s">
        <v>772</v>
      </c>
      <c r="AZ55" s="853" t="str">
        <f>+VLOOKUP($AJ55,Data_Validation!$A:$E,5,0)</f>
        <v/>
      </c>
    </row>
    <row r="56" ht="15.75" customHeight="1">
      <c r="A56" s="849" t="s">
        <v>1239</v>
      </c>
      <c r="B56" s="849">
        <v>2025.0</v>
      </c>
      <c r="C56" s="849" t="s">
        <v>1399</v>
      </c>
      <c r="D56" s="849" t="s">
        <v>1400</v>
      </c>
      <c r="E56" s="849" t="s">
        <v>768</v>
      </c>
      <c r="F56" s="849" t="s">
        <v>1200</v>
      </c>
      <c r="G56" s="849">
        <v>500.33</v>
      </c>
      <c r="H56" s="849">
        <v>1239.61</v>
      </c>
      <c r="I56" s="849">
        <v>2171.03</v>
      </c>
      <c r="J56" s="849">
        <v>5990.13</v>
      </c>
      <c r="K56" s="849">
        <v>8193.39</v>
      </c>
      <c r="L56" s="849">
        <v>14904.9</v>
      </c>
      <c r="M56" s="849">
        <v>15233.84</v>
      </c>
      <c r="N56" s="849">
        <v>15530.62</v>
      </c>
      <c r="O56" s="849">
        <v>15841.94</v>
      </c>
      <c r="P56" s="849">
        <v>16166.55</v>
      </c>
      <c r="Q56" s="849">
        <v>16447.85</v>
      </c>
      <c r="R56" s="849">
        <v>18027.6</v>
      </c>
      <c r="S56" s="849">
        <v>1495.26</v>
      </c>
      <c r="T56" s="849">
        <v>1495.26</v>
      </c>
      <c r="U56" s="849">
        <v>0.0</v>
      </c>
      <c r="V56" s="849">
        <v>0.0</v>
      </c>
      <c r="W56" s="849">
        <v>0.0</v>
      </c>
      <c r="X56" s="849">
        <v>0.0</v>
      </c>
      <c r="Y56" s="849">
        <v>0.0</v>
      </c>
      <c r="Z56" s="849">
        <v>0.0</v>
      </c>
      <c r="AA56" s="849">
        <v>0.0</v>
      </c>
      <c r="AB56" s="849">
        <v>0.0</v>
      </c>
      <c r="AC56" s="849">
        <v>0.0</v>
      </c>
      <c r="AD56" s="849">
        <v>0.0</v>
      </c>
      <c r="AE56" s="849">
        <v>0.0</v>
      </c>
      <c r="AF56" s="849">
        <v>0.0</v>
      </c>
      <c r="AG56" s="849">
        <v>0.0</v>
      </c>
      <c r="AH56" s="849">
        <v>0.0</v>
      </c>
      <c r="AI56" s="849">
        <v>0.0</v>
      </c>
      <c r="AJ56" s="794" t="str">
        <f t="shared" ref="AJ56:AK56" si="109">C56</f>
        <v>G0273</v>
      </c>
      <c r="AK56" s="794" t="str">
        <f t="shared" si="109"/>
        <v>AVANTAGES SOCIAUX U.S.A</v>
      </c>
      <c r="AL56" s="794">
        <f t="array" ref="AL56">IFERROR(INDEX(G56:R56,1,MATCH(Parametres!$B$3,G$1:R$1,0)-1)*IF(OR(F56="L",F56="S",F56="I"),-1,1),"")</f>
        <v>15530.62</v>
      </c>
      <c r="AM56" s="794">
        <f t="shared" si="4"/>
        <v>311.32</v>
      </c>
      <c r="AN56" s="794">
        <f t="array" ref="AN56">INDEX(G56:R56,1,MATCH(Parametres!$B$3,G$1:R$1,0))*IF(OR(F56="L",F56="S",F56="I"),-1,1)</f>
        <v>15841.94</v>
      </c>
      <c r="AO56" s="853" t="str">
        <f>+VLOOKUP($AJ56,Data_Validation!$A:$D,1,0)</f>
        <v>G0273</v>
      </c>
      <c r="AP56" s="853" t="str">
        <f>+VLOOKUP($AJ56,Data_Validation!$A:$D,3,0)</f>
        <v>Wholesale autres</v>
      </c>
      <c r="AQ56" s="853" t="str">
        <f>+VLOOKUP($AJ56,Data_Validation!$A:$D,4,0)</f>
        <v>Bénéfices marginaux</v>
      </c>
      <c r="AR56" s="853" t="s">
        <v>728</v>
      </c>
      <c r="AS56" s="853" t="str">
        <f>+VLOOKUP($AJ56,Data_Validation!$A:$E,5,0)</f>
        <v/>
      </c>
      <c r="AT56" s="794" t="str">
        <f t="shared" ref="AT56:AU56" si="110">C56</f>
        <v>G0273</v>
      </c>
      <c r="AU56" s="854" t="str">
        <f t="shared" si="110"/>
        <v>AVANTAGES SOCIAUX U.S.A</v>
      </c>
      <c r="AV56" s="794">
        <f t="array" ref="AV56">IFERROR(INDEX(V56:AG56,1,MATCH(Parametres!$B$3,V$1:AG$1,0)-1)*IF(OR(C56="L",C56="S",C56="I"),-1,1),"")</f>
        <v>0</v>
      </c>
      <c r="AW56" s="794">
        <f t="shared" si="6"/>
        <v>0</v>
      </c>
      <c r="AX56" s="794">
        <f t="array" ref="AX56">INDEX(V56:AG56,1,MATCH(Parametres!$B$3,V$1:AG$1,0))*IF(OR(C56="L",C56="S",C56="I"),-1,1)</f>
        <v>0</v>
      </c>
      <c r="AY56" s="853" t="s">
        <v>772</v>
      </c>
      <c r="AZ56" s="853" t="str">
        <f>+VLOOKUP($AJ56,Data_Validation!$A:$E,5,0)</f>
        <v/>
      </c>
    </row>
    <row r="57" ht="15.0" customHeight="1">
      <c r="A57" s="849" t="s">
        <v>1239</v>
      </c>
      <c r="B57" s="849">
        <v>2025.0</v>
      </c>
      <c r="C57" s="849" t="s">
        <v>1401</v>
      </c>
      <c r="D57" s="849" t="s">
        <v>1402</v>
      </c>
      <c r="E57" s="849" t="s">
        <v>768</v>
      </c>
      <c r="F57" s="849" t="s">
        <v>1200</v>
      </c>
      <c r="G57" s="849">
        <v>12288.32</v>
      </c>
      <c r="H57" s="849">
        <v>21046.91</v>
      </c>
      <c r="I57" s="849">
        <v>31337.79</v>
      </c>
      <c r="J57" s="849">
        <v>43715.18</v>
      </c>
      <c r="K57" s="849">
        <v>54377.19</v>
      </c>
      <c r="L57" s="849">
        <v>64946.56</v>
      </c>
      <c r="M57" s="849">
        <v>74457.94</v>
      </c>
      <c r="N57" s="849">
        <v>84659.79</v>
      </c>
      <c r="O57" s="849">
        <v>94032.66</v>
      </c>
      <c r="P57" s="849">
        <v>104039.21</v>
      </c>
      <c r="Q57" s="849">
        <v>125767.5</v>
      </c>
      <c r="R57" s="849">
        <v>158009.27</v>
      </c>
      <c r="S57" s="849">
        <v>11433.41</v>
      </c>
      <c r="T57" s="849">
        <v>11433.41</v>
      </c>
      <c r="U57" s="849">
        <v>0.0</v>
      </c>
      <c r="V57" s="849">
        <v>0.0</v>
      </c>
      <c r="W57" s="849">
        <v>0.0</v>
      </c>
      <c r="X57" s="849">
        <v>0.0</v>
      </c>
      <c r="Y57" s="849">
        <v>0.0</v>
      </c>
      <c r="Z57" s="849">
        <v>0.0</v>
      </c>
      <c r="AA57" s="849">
        <v>0.0</v>
      </c>
      <c r="AB57" s="849">
        <v>0.0</v>
      </c>
      <c r="AC57" s="849">
        <v>0.0</v>
      </c>
      <c r="AD57" s="849">
        <v>0.0</v>
      </c>
      <c r="AE57" s="849">
        <v>0.0</v>
      </c>
      <c r="AF57" s="849">
        <v>0.0</v>
      </c>
      <c r="AG57" s="849">
        <v>0.0</v>
      </c>
      <c r="AH57" s="849">
        <v>0.0</v>
      </c>
      <c r="AI57" s="849">
        <v>0.0</v>
      </c>
      <c r="AJ57" s="794" t="str">
        <f t="shared" ref="AJ57:AK57" si="111">C57</f>
        <v>G0274</v>
      </c>
      <c r="AK57" s="794" t="str">
        <f t="shared" si="111"/>
        <v>AVANTAGES SOCIAUX SERV</v>
      </c>
      <c r="AL57" s="794">
        <f t="array" ref="AL57">IFERROR(INDEX(G57:R57,1,MATCH(Parametres!$B$3,G$1:R$1,0)-1)*IF(OR(F57="L",F57="S",F57="I"),-1,1),"")</f>
        <v>84659.79</v>
      </c>
      <c r="AM57" s="794">
        <f t="shared" si="4"/>
        <v>9372.87</v>
      </c>
      <c r="AN57" s="794">
        <f t="array" ref="AN57">INDEX(G57:R57,1,MATCH(Parametres!$B$3,G$1:R$1,0))*IF(OR(F57="L",F57="S",F57="I"),-1,1)</f>
        <v>94032.66</v>
      </c>
      <c r="AO57" s="853" t="str">
        <f>+VLOOKUP($AJ57,Data_Validation!$A:$D,1,0)</f>
        <v>G0274</v>
      </c>
      <c r="AP57" s="853" t="str">
        <f>+VLOOKUP($AJ57,Data_Validation!$A:$D,3,0)</f>
        <v>Service</v>
      </c>
      <c r="AQ57" s="853" t="str">
        <f>+VLOOKUP($AJ57,Data_Validation!$A:$D,4,0)</f>
        <v>Bénéfices marginaux</v>
      </c>
      <c r="AR57" s="853" t="s">
        <v>728</v>
      </c>
      <c r="AS57" s="853" t="str">
        <f>+VLOOKUP($AJ57,Data_Validation!$A:$E,5,0)</f>
        <v/>
      </c>
      <c r="AT57" s="794" t="str">
        <f t="shared" ref="AT57:AU57" si="112">C57</f>
        <v>G0274</v>
      </c>
      <c r="AU57" s="854" t="str">
        <f t="shared" si="112"/>
        <v>AVANTAGES SOCIAUX SERV</v>
      </c>
      <c r="AV57" s="794">
        <f t="array" ref="AV57">IFERROR(INDEX(V57:AG57,1,MATCH(Parametres!$B$3,V$1:AG$1,0)-1)*IF(OR(C57="L",C57="S",C57="I"),-1,1),"")</f>
        <v>0</v>
      </c>
      <c r="AW57" s="794">
        <f t="shared" si="6"/>
        <v>0</v>
      </c>
      <c r="AX57" s="794">
        <f t="array" ref="AX57">INDEX(V57:AG57,1,MATCH(Parametres!$B$3,V$1:AG$1,0))*IF(OR(C57="L",C57="S",C57="I"),-1,1)</f>
        <v>0</v>
      </c>
      <c r="AY57" s="853" t="s">
        <v>772</v>
      </c>
      <c r="AZ57" s="853" t="str">
        <f>+VLOOKUP($AJ57,Data_Validation!$A:$E,5,0)</f>
        <v/>
      </c>
    </row>
    <row r="58" ht="15.0" customHeight="1">
      <c r="A58" s="849" t="s">
        <v>1239</v>
      </c>
      <c r="B58" s="849">
        <v>2025.0</v>
      </c>
      <c r="C58" s="849" t="s">
        <v>1403</v>
      </c>
      <c r="D58" s="849" t="s">
        <v>1404</v>
      </c>
      <c r="E58" s="849" t="s">
        <v>768</v>
      </c>
      <c r="F58" s="849" t="s">
        <v>1200</v>
      </c>
      <c r="G58" s="849">
        <v>3002.06</v>
      </c>
      <c r="H58" s="849">
        <v>5178.07</v>
      </c>
      <c r="I58" s="849">
        <v>7899.99</v>
      </c>
      <c r="J58" s="849">
        <v>11297.0</v>
      </c>
      <c r="K58" s="849">
        <v>13434.02</v>
      </c>
      <c r="L58" s="849">
        <v>16070.17</v>
      </c>
      <c r="M58" s="849">
        <v>18356.16</v>
      </c>
      <c r="N58" s="849">
        <v>21136.63</v>
      </c>
      <c r="O58" s="849">
        <v>23810.55</v>
      </c>
      <c r="P58" s="849">
        <v>25772.43</v>
      </c>
      <c r="Q58" s="849">
        <v>32247.22</v>
      </c>
      <c r="R58" s="849">
        <v>42261.05</v>
      </c>
      <c r="S58" s="849">
        <v>2931.57</v>
      </c>
      <c r="T58" s="849">
        <v>2931.57</v>
      </c>
      <c r="U58" s="849">
        <v>0.0</v>
      </c>
      <c r="V58" s="849">
        <v>0.0</v>
      </c>
      <c r="W58" s="849">
        <v>0.0</v>
      </c>
      <c r="X58" s="849">
        <v>0.0</v>
      </c>
      <c r="Y58" s="849">
        <v>0.0</v>
      </c>
      <c r="Z58" s="849">
        <v>0.0</v>
      </c>
      <c r="AA58" s="849">
        <v>0.0</v>
      </c>
      <c r="AB58" s="849">
        <v>0.0</v>
      </c>
      <c r="AC58" s="849">
        <v>0.0</v>
      </c>
      <c r="AD58" s="849">
        <v>0.0</v>
      </c>
      <c r="AE58" s="849">
        <v>0.0</v>
      </c>
      <c r="AF58" s="849">
        <v>0.0</v>
      </c>
      <c r="AG58" s="849">
        <v>0.0</v>
      </c>
      <c r="AH58" s="849">
        <v>0.0</v>
      </c>
      <c r="AI58" s="849">
        <v>0.0</v>
      </c>
      <c r="AJ58" s="794" t="str">
        <f t="shared" ref="AJ58:AK58" si="113">C58</f>
        <v>G0275</v>
      </c>
      <c r="AK58" s="794" t="str">
        <f t="shared" si="113"/>
        <v>AVANTAGES SOCIAUX CARROSS</v>
      </c>
      <c r="AL58" s="794">
        <f t="array" ref="AL58">IFERROR(INDEX(G58:R58,1,MATCH(Parametres!$B$3,G$1:R$1,0)-1)*IF(OR(F58="L",F58="S",F58="I"),-1,1),"")</f>
        <v>21136.63</v>
      </c>
      <c r="AM58" s="794">
        <f t="shared" si="4"/>
        <v>2673.92</v>
      </c>
      <c r="AN58" s="794">
        <f t="array" ref="AN58">INDEX(G58:R58,1,MATCH(Parametres!$B$3,G$1:R$1,0))*IF(OR(F58="L",F58="S",F58="I"),-1,1)</f>
        <v>23810.55</v>
      </c>
      <c r="AO58" s="853" t="str">
        <f>+VLOOKUP($AJ58,Data_Validation!$A:$D,1,0)</f>
        <v>G0275</v>
      </c>
      <c r="AP58" s="853" t="str">
        <f>+VLOOKUP($AJ58,Data_Validation!$A:$D,3,0)</f>
        <v>Carrosserie</v>
      </c>
      <c r="AQ58" s="853" t="str">
        <f>+VLOOKUP($AJ58,Data_Validation!$A:$D,4,0)</f>
        <v>Bénéfices marginaux</v>
      </c>
      <c r="AR58" s="853" t="s">
        <v>728</v>
      </c>
      <c r="AS58" s="853" t="str">
        <f>+VLOOKUP($AJ58,Data_Validation!$A:$E,5,0)</f>
        <v/>
      </c>
      <c r="AT58" s="794" t="str">
        <f t="shared" ref="AT58:AU58" si="114">C58</f>
        <v>G0275</v>
      </c>
      <c r="AU58" s="854" t="str">
        <f t="shared" si="114"/>
        <v>AVANTAGES SOCIAUX CARROSS</v>
      </c>
      <c r="AV58" s="794">
        <f t="array" ref="AV58">IFERROR(INDEX(V58:AG58,1,MATCH(Parametres!$B$3,V$1:AG$1,0)-1)*IF(OR(C58="L",C58="S",C58="I"),-1,1),"")</f>
        <v>0</v>
      </c>
      <c r="AW58" s="794">
        <f t="shared" si="6"/>
        <v>0</v>
      </c>
      <c r="AX58" s="794">
        <f t="array" ref="AX58">INDEX(V58:AG58,1,MATCH(Parametres!$B$3,V$1:AG$1,0))*IF(OR(C58="L",C58="S",C58="I"),-1,1)</f>
        <v>0</v>
      </c>
      <c r="AY58" s="853" t="s">
        <v>772</v>
      </c>
      <c r="AZ58" s="853" t="str">
        <f>+VLOOKUP($AJ58,Data_Validation!$A:$E,5,0)</f>
        <v/>
      </c>
    </row>
    <row r="59" ht="15.0" customHeight="1">
      <c r="A59" s="849" t="s">
        <v>1239</v>
      </c>
      <c r="B59" s="849">
        <v>2025.0</v>
      </c>
      <c r="C59" s="849" t="s">
        <v>1405</v>
      </c>
      <c r="D59" s="849" t="s">
        <v>1406</v>
      </c>
      <c r="E59" s="849" t="s">
        <v>768</v>
      </c>
      <c r="F59" s="849" t="s">
        <v>1200</v>
      </c>
      <c r="G59" s="849">
        <v>1560.86</v>
      </c>
      <c r="H59" s="849">
        <v>3259.53</v>
      </c>
      <c r="I59" s="849">
        <v>4667.76</v>
      </c>
      <c r="J59" s="849">
        <v>6781.75</v>
      </c>
      <c r="K59" s="849">
        <v>8101.27</v>
      </c>
      <c r="L59" s="849">
        <v>9496.68</v>
      </c>
      <c r="M59" s="849">
        <v>10368.6</v>
      </c>
      <c r="N59" s="849">
        <v>11797.05</v>
      </c>
      <c r="O59" s="849">
        <v>13255.36</v>
      </c>
      <c r="P59" s="849">
        <v>13446.4</v>
      </c>
      <c r="Q59" s="849">
        <v>18398.75</v>
      </c>
      <c r="R59" s="849">
        <v>27217.42</v>
      </c>
      <c r="S59" s="849">
        <v>1672.61</v>
      </c>
      <c r="T59" s="849">
        <v>1672.61</v>
      </c>
      <c r="U59" s="849">
        <v>0.0</v>
      </c>
      <c r="V59" s="849">
        <v>0.0</v>
      </c>
      <c r="W59" s="849">
        <v>0.0</v>
      </c>
      <c r="X59" s="849">
        <v>0.0</v>
      </c>
      <c r="Y59" s="849">
        <v>0.0</v>
      </c>
      <c r="Z59" s="849">
        <v>0.0</v>
      </c>
      <c r="AA59" s="849">
        <v>0.0</v>
      </c>
      <c r="AB59" s="849">
        <v>0.0</v>
      </c>
      <c r="AC59" s="849">
        <v>0.0</v>
      </c>
      <c r="AD59" s="849">
        <v>0.0</v>
      </c>
      <c r="AE59" s="849">
        <v>0.0</v>
      </c>
      <c r="AF59" s="849">
        <v>0.0</v>
      </c>
      <c r="AG59" s="849">
        <v>0.0</v>
      </c>
      <c r="AH59" s="849">
        <v>0.0</v>
      </c>
      <c r="AI59" s="849">
        <v>0.0</v>
      </c>
      <c r="AJ59" s="794" t="str">
        <f t="shared" ref="AJ59:AK59" si="115">C59</f>
        <v>G0276</v>
      </c>
      <c r="AK59" s="794" t="str">
        <f t="shared" si="115"/>
        <v>AVANTAGES SOCIAUX PCES</v>
      </c>
      <c r="AL59" s="794">
        <f t="array" ref="AL59">IFERROR(INDEX(G59:R59,1,MATCH(Parametres!$B$3,G$1:R$1,0)-1)*IF(OR(F59="L",F59="S",F59="I"),-1,1),"")</f>
        <v>11797.05</v>
      </c>
      <c r="AM59" s="794">
        <f t="shared" si="4"/>
        <v>1458.31</v>
      </c>
      <c r="AN59" s="794">
        <f t="array" ref="AN59">INDEX(G59:R59,1,MATCH(Parametres!$B$3,G$1:R$1,0))*IF(OR(F59="L",F59="S",F59="I"),-1,1)</f>
        <v>13255.36</v>
      </c>
      <c r="AO59" s="853" t="str">
        <f>+VLOOKUP($AJ59,Data_Validation!$A:$D,1,0)</f>
        <v>G0276</v>
      </c>
      <c r="AP59" s="853" t="str">
        <f>+VLOOKUP($AJ59,Data_Validation!$A:$D,3,0)</f>
        <v>Pièces</v>
      </c>
      <c r="AQ59" s="853" t="str">
        <f>+VLOOKUP($AJ59,Data_Validation!$A:$D,4,0)</f>
        <v>Bénéfices marginaux</v>
      </c>
      <c r="AR59" s="853" t="s">
        <v>728</v>
      </c>
      <c r="AS59" s="853" t="str">
        <f>+VLOOKUP($AJ59,Data_Validation!$A:$E,5,0)</f>
        <v/>
      </c>
      <c r="AT59" s="794" t="str">
        <f t="shared" ref="AT59:AU59" si="116">C59</f>
        <v>G0276</v>
      </c>
      <c r="AU59" s="854" t="str">
        <f t="shared" si="116"/>
        <v>AVANTAGES SOCIAUX PCES</v>
      </c>
      <c r="AV59" s="794">
        <f t="array" ref="AV59">IFERROR(INDEX(V59:AG59,1,MATCH(Parametres!$B$3,V$1:AG$1,0)-1)*IF(OR(C59="L",C59="S",C59="I"),-1,1),"")</f>
        <v>0</v>
      </c>
      <c r="AW59" s="794">
        <f t="shared" si="6"/>
        <v>0</v>
      </c>
      <c r="AX59" s="794">
        <f t="array" ref="AX59">INDEX(V59:AG59,1,MATCH(Parametres!$B$3,V$1:AG$1,0))*IF(OR(C59="L",C59="S",C59="I"),-1,1)</f>
        <v>0</v>
      </c>
      <c r="AY59" s="853" t="s">
        <v>772</v>
      </c>
      <c r="AZ59" s="853" t="str">
        <f>+VLOOKUP($AJ59,Data_Validation!$A:$E,5,0)</f>
        <v/>
      </c>
    </row>
    <row r="60" ht="15.0" customHeight="1">
      <c r="A60" s="849" t="s">
        <v>1239</v>
      </c>
      <c r="B60" s="849">
        <v>2025.0</v>
      </c>
      <c r="C60" s="849" t="s">
        <v>1409</v>
      </c>
      <c r="D60" s="849" t="s">
        <v>1410</v>
      </c>
      <c r="E60" s="849" t="s">
        <v>768</v>
      </c>
      <c r="F60" s="849" t="s">
        <v>1200</v>
      </c>
      <c r="G60" s="849">
        <v>0.0</v>
      </c>
      <c r="H60" s="849">
        <v>0.0</v>
      </c>
      <c r="I60" s="849">
        <v>0.0</v>
      </c>
      <c r="J60" s="849">
        <v>0.0</v>
      </c>
      <c r="K60" s="849">
        <v>0.0</v>
      </c>
      <c r="L60" s="849">
        <v>0.0</v>
      </c>
      <c r="M60" s="849">
        <v>0.0</v>
      </c>
      <c r="N60" s="849">
        <v>0.0</v>
      </c>
      <c r="O60" s="849">
        <v>0.0</v>
      </c>
      <c r="P60" s="849">
        <v>0.0</v>
      </c>
      <c r="Q60" s="849">
        <v>0.0</v>
      </c>
      <c r="R60" s="849">
        <v>0.0</v>
      </c>
      <c r="S60" s="849">
        <v>0.0</v>
      </c>
      <c r="T60" s="849">
        <v>0.0</v>
      </c>
      <c r="U60" s="849">
        <v>0.0</v>
      </c>
      <c r="V60" s="849">
        <v>0.0</v>
      </c>
      <c r="W60" s="849">
        <v>0.0</v>
      </c>
      <c r="X60" s="849">
        <v>0.0</v>
      </c>
      <c r="Y60" s="849">
        <v>0.0</v>
      </c>
      <c r="Z60" s="849">
        <v>0.0</v>
      </c>
      <c r="AA60" s="849">
        <v>0.0</v>
      </c>
      <c r="AB60" s="849">
        <v>0.0</v>
      </c>
      <c r="AC60" s="849">
        <v>0.0</v>
      </c>
      <c r="AD60" s="849">
        <v>0.0</v>
      </c>
      <c r="AE60" s="849">
        <v>0.0</v>
      </c>
      <c r="AF60" s="849">
        <v>0.0</v>
      </c>
      <c r="AG60" s="849">
        <v>0.0</v>
      </c>
      <c r="AH60" s="849">
        <v>0.0</v>
      </c>
      <c r="AI60" s="849">
        <v>0.0</v>
      </c>
      <c r="AJ60" s="794" t="str">
        <f t="shared" ref="AJ60:AK60" si="117">C60</f>
        <v>G0279</v>
      </c>
      <c r="AK60" s="794" t="str">
        <f t="shared" si="117"/>
        <v>AVANTAGES SOCIAUX ADM.</v>
      </c>
      <c r="AL60" s="794">
        <f t="array" ref="AL60">IFERROR(INDEX(G60:R60,1,MATCH(Parametres!$B$3,G$1:R$1,0)-1)*IF(OR(F60="L",F60="S",F60="I"),-1,1),"")</f>
        <v>0</v>
      </c>
      <c r="AM60" s="794">
        <f t="shared" si="4"/>
        <v>0</v>
      </c>
      <c r="AN60" s="794">
        <f t="array" ref="AN60">INDEX(G60:R60,1,MATCH(Parametres!$B$3,G$1:R$1,0))*IF(OR(F60="L",F60="S",F60="I"),-1,1)</f>
        <v>0</v>
      </c>
      <c r="AO60" s="853" t="str">
        <f>+VLOOKUP($AJ60,Data_Validation!$A:$D,1,0)</f>
        <v>#N/A</v>
      </c>
      <c r="AP60" s="853" t="str">
        <f>+VLOOKUP($AJ60,Data_Validation!$A:$D,3,0)</f>
        <v>#N/A</v>
      </c>
      <c r="AQ60" s="853" t="str">
        <f>+VLOOKUP($AJ60,Data_Validation!$A:$D,4,0)</f>
        <v>#N/A</v>
      </c>
      <c r="AR60" s="853" t="s">
        <v>728</v>
      </c>
      <c r="AS60" s="853" t="str">
        <f>+VLOOKUP($AJ60,Data_Validation!$A:$E,5,0)</f>
        <v>#N/A</v>
      </c>
      <c r="AT60" s="794" t="str">
        <f t="shared" ref="AT60:AU60" si="118">C60</f>
        <v>G0279</v>
      </c>
      <c r="AU60" s="854" t="str">
        <f t="shared" si="118"/>
        <v>AVANTAGES SOCIAUX ADM.</v>
      </c>
      <c r="AV60" s="794">
        <f t="array" ref="AV60">IFERROR(INDEX(V60:AG60,1,MATCH(Parametres!$B$3,V$1:AG$1,0)-1)*IF(OR(C60="L",C60="S",C60="I"),-1,1),"")</f>
        <v>0</v>
      </c>
      <c r="AW60" s="794">
        <f t="shared" si="6"/>
        <v>0</v>
      </c>
      <c r="AX60" s="794">
        <f t="array" ref="AX60">INDEX(V60:AG60,1,MATCH(Parametres!$B$3,V$1:AG$1,0))*IF(OR(C60="L",C60="S",C60="I"),-1,1)</f>
        <v>0</v>
      </c>
      <c r="AY60" s="853" t="s">
        <v>772</v>
      </c>
      <c r="AZ60" s="853" t="str">
        <f>+VLOOKUP($AJ60,Data_Validation!$A:$E,5,0)</f>
        <v>#N/A</v>
      </c>
    </row>
    <row r="61" ht="15.0" customHeight="1">
      <c r="A61" s="849" t="s">
        <v>1239</v>
      </c>
      <c r="B61" s="849">
        <v>2025.0</v>
      </c>
      <c r="C61" s="849" t="s">
        <v>1411</v>
      </c>
      <c r="D61" s="849" t="s">
        <v>1412</v>
      </c>
      <c r="E61" s="849" t="s">
        <v>768</v>
      </c>
      <c r="F61" s="849" t="s">
        <v>1200</v>
      </c>
      <c r="G61" s="849">
        <v>0.0</v>
      </c>
      <c r="H61" s="849">
        <v>0.0</v>
      </c>
      <c r="I61" s="849">
        <v>0.0</v>
      </c>
      <c r="J61" s="849">
        <v>0.0</v>
      </c>
      <c r="K61" s="849">
        <v>0.0</v>
      </c>
      <c r="L61" s="849">
        <v>0.0</v>
      </c>
      <c r="M61" s="849">
        <v>0.0</v>
      </c>
      <c r="N61" s="849">
        <v>0.0</v>
      </c>
      <c r="O61" s="849">
        <v>0.0</v>
      </c>
      <c r="P61" s="849">
        <v>0.0</v>
      </c>
      <c r="Q61" s="849">
        <v>0.0</v>
      </c>
      <c r="R61" s="849">
        <v>0.0</v>
      </c>
      <c r="S61" s="849">
        <v>0.0</v>
      </c>
      <c r="T61" s="849">
        <v>0.0</v>
      </c>
      <c r="U61" s="849">
        <v>0.0</v>
      </c>
      <c r="V61" s="849">
        <v>0.0</v>
      </c>
      <c r="W61" s="849">
        <v>0.0</v>
      </c>
      <c r="X61" s="849">
        <v>0.0</v>
      </c>
      <c r="Y61" s="849">
        <v>0.0</v>
      </c>
      <c r="Z61" s="849">
        <v>0.0</v>
      </c>
      <c r="AA61" s="849">
        <v>0.0</v>
      </c>
      <c r="AB61" s="849">
        <v>0.0</v>
      </c>
      <c r="AC61" s="849">
        <v>0.0</v>
      </c>
      <c r="AD61" s="849">
        <v>0.0</v>
      </c>
      <c r="AE61" s="849">
        <v>0.0</v>
      </c>
      <c r="AF61" s="849">
        <v>0.0</v>
      </c>
      <c r="AG61" s="849">
        <v>0.0</v>
      </c>
      <c r="AH61" s="849">
        <v>0.0</v>
      </c>
      <c r="AI61" s="849">
        <v>0.0</v>
      </c>
      <c r="AJ61" s="794" t="str">
        <f t="shared" ref="AJ61:AK61" si="119">C61</f>
        <v>G0290</v>
      </c>
      <c r="AK61" s="794" t="str">
        <f t="shared" si="119"/>
        <v>FONDS PENSION REP.</v>
      </c>
      <c r="AL61" s="794">
        <f t="array" ref="AL61">IFERROR(INDEX(G61:R61,1,MATCH(Parametres!$B$3,G$1:R$1,0)-1)*IF(OR(F61="L",F61="S",F61="I"),-1,1),"")</f>
        <v>0</v>
      </c>
      <c r="AM61" s="794">
        <f t="shared" si="4"/>
        <v>0</v>
      </c>
      <c r="AN61" s="794">
        <f t="array" ref="AN61">INDEX(G61:R61,1,MATCH(Parametres!$B$3,G$1:R$1,0))*IF(OR(F61="L",F61="S",F61="I"),-1,1)</f>
        <v>0</v>
      </c>
      <c r="AO61" s="853" t="str">
        <f>+VLOOKUP($AJ61,Data_Validation!$A:$D,1,0)</f>
        <v>#N/A</v>
      </c>
      <c r="AP61" s="853" t="str">
        <f>+VLOOKUP($AJ61,Data_Validation!$A:$D,3,0)</f>
        <v>#N/A</v>
      </c>
      <c r="AQ61" s="853" t="str">
        <f>+VLOOKUP($AJ61,Data_Validation!$A:$D,4,0)</f>
        <v>#N/A</v>
      </c>
      <c r="AR61" s="853" t="s">
        <v>728</v>
      </c>
      <c r="AS61" s="853" t="str">
        <f>+VLOOKUP($AJ61,Data_Validation!$A:$E,5,0)</f>
        <v>#N/A</v>
      </c>
      <c r="AT61" s="794" t="str">
        <f t="shared" ref="AT61:AU61" si="120">C61</f>
        <v>G0290</v>
      </c>
      <c r="AU61" s="854" t="str">
        <f t="shared" si="120"/>
        <v>FONDS PENSION REP.</v>
      </c>
      <c r="AV61" s="794">
        <f t="array" ref="AV61">IFERROR(INDEX(V61:AG61,1,MATCH(Parametres!$B$3,V$1:AG$1,0)-1)*IF(OR(C61="L",C61="S",C61="I"),-1,1),"")</f>
        <v>0</v>
      </c>
      <c r="AW61" s="794">
        <f t="shared" si="6"/>
        <v>0</v>
      </c>
      <c r="AX61" s="794">
        <f t="array" ref="AX61">INDEX(V61:AG61,1,MATCH(Parametres!$B$3,V$1:AG$1,0))*IF(OR(C61="L",C61="S",C61="I"),-1,1)</f>
        <v>0</v>
      </c>
      <c r="AY61" s="853" t="s">
        <v>772</v>
      </c>
      <c r="AZ61" s="853" t="str">
        <f>+VLOOKUP($AJ61,Data_Validation!$A:$E,5,0)</f>
        <v>#N/A</v>
      </c>
    </row>
    <row r="62" ht="15.0" customHeight="1">
      <c r="A62" s="849" t="s">
        <v>1239</v>
      </c>
      <c r="B62" s="849">
        <v>2025.0</v>
      </c>
      <c r="C62" s="849" t="s">
        <v>1415</v>
      </c>
      <c r="D62" s="849" t="s">
        <v>1416</v>
      </c>
      <c r="E62" s="849" t="s">
        <v>768</v>
      </c>
      <c r="F62" s="849" t="s">
        <v>1200</v>
      </c>
      <c r="G62" s="849">
        <v>416.5</v>
      </c>
      <c r="H62" s="849">
        <v>697.97</v>
      </c>
      <c r="I62" s="849">
        <v>733.31</v>
      </c>
      <c r="J62" s="849">
        <v>700.47</v>
      </c>
      <c r="K62" s="849">
        <v>729.32</v>
      </c>
      <c r="L62" s="849">
        <v>751.73</v>
      </c>
      <c r="M62" s="849">
        <v>763.58</v>
      </c>
      <c r="N62" s="849">
        <v>799.62</v>
      </c>
      <c r="O62" s="849">
        <v>799.78</v>
      </c>
      <c r="P62" s="849">
        <v>807.3</v>
      </c>
      <c r="Q62" s="849">
        <v>813.56</v>
      </c>
      <c r="R62" s="849">
        <v>878.79</v>
      </c>
      <c r="S62" s="849">
        <v>73.96</v>
      </c>
      <c r="T62" s="849">
        <v>73.96</v>
      </c>
      <c r="U62" s="849">
        <v>0.0</v>
      </c>
      <c r="V62" s="849">
        <v>0.0</v>
      </c>
      <c r="W62" s="849">
        <v>0.0</v>
      </c>
      <c r="X62" s="849">
        <v>0.0</v>
      </c>
      <c r="Y62" s="849">
        <v>0.0</v>
      </c>
      <c r="Z62" s="849">
        <v>0.0</v>
      </c>
      <c r="AA62" s="849">
        <v>0.0</v>
      </c>
      <c r="AB62" s="849">
        <v>0.0</v>
      </c>
      <c r="AC62" s="849">
        <v>0.0</v>
      </c>
      <c r="AD62" s="849">
        <v>0.0</v>
      </c>
      <c r="AE62" s="849">
        <v>0.0</v>
      </c>
      <c r="AF62" s="849">
        <v>0.0</v>
      </c>
      <c r="AG62" s="849">
        <v>0.0</v>
      </c>
      <c r="AH62" s="849">
        <v>0.0</v>
      </c>
      <c r="AI62" s="849">
        <v>0.0</v>
      </c>
      <c r="AJ62" s="794" t="str">
        <f t="shared" ref="AJ62:AK62" si="121">C62</f>
        <v>G0291</v>
      </c>
      <c r="AK62" s="794" t="str">
        <f t="shared" si="121"/>
        <v>FONDS PENSION VEH. NEUFS</v>
      </c>
      <c r="AL62" s="794">
        <f t="array" ref="AL62">IFERROR(INDEX(G62:R62,1,MATCH(Parametres!$B$3,G$1:R$1,0)-1)*IF(OR(F62="L",F62="S",F62="I"),-1,1),"")</f>
        <v>799.62</v>
      </c>
      <c r="AM62" s="794">
        <f t="shared" si="4"/>
        <v>0.16</v>
      </c>
      <c r="AN62" s="794">
        <f t="array" ref="AN62">INDEX(G62:R62,1,MATCH(Parametres!$B$3,G$1:R$1,0))*IF(OR(F62="L",F62="S",F62="I"),-1,1)</f>
        <v>799.78</v>
      </c>
      <c r="AO62" s="853" t="str">
        <f>+VLOOKUP($AJ62,Data_Validation!$A:$D,1,0)</f>
        <v>G0291</v>
      </c>
      <c r="AP62" s="853" t="str">
        <f>+VLOOKUP($AJ62,Data_Validation!$A:$D,3,0)</f>
        <v>Véhicules neufs</v>
      </c>
      <c r="AQ62" s="853" t="str">
        <f>+VLOOKUP($AJ62,Data_Validation!$A:$D,4,0)</f>
        <v>Csst</v>
      </c>
      <c r="AR62" s="853" t="s">
        <v>728</v>
      </c>
      <c r="AS62" s="853" t="str">
        <f>+VLOOKUP($AJ62,Data_Validation!$A:$E,5,0)</f>
        <v/>
      </c>
      <c r="AT62" s="794" t="str">
        <f t="shared" ref="AT62:AU62" si="122">C62</f>
        <v>G0291</v>
      </c>
      <c r="AU62" s="854" t="str">
        <f t="shared" si="122"/>
        <v>FONDS PENSION VEH. NEUFS</v>
      </c>
      <c r="AV62" s="794">
        <f t="array" ref="AV62">IFERROR(INDEX(V62:AG62,1,MATCH(Parametres!$B$3,V$1:AG$1,0)-1)*IF(OR(C62="L",C62="S",C62="I"),-1,1),"")</f>
        <v>0</v>
      </c>
      <c r="AW62" s="794">
        <f t="shared" si="6"/>
        <v>0</v>
      </c>
      <c r="AX62" s="794">
        <f t="array" ref="AX62">INDEX(V62:AG62,1,MATCH(Parametres!$B$3,V$1:AG$1,0))*IF(OR(C62="L",C62="S",C62="I"),-1,1)</f>
        <v>0</v>
      </c>
      <c r="AY62" s="853" t="s">
        <v>772</v>
      </c>
      <c r="AZ62" s="853" t="str">
        <f>+VLOOKUP($AJ62,Data_Validation!$A:$E,5,0)</f>
        <v/>
      </c>
    </row>
    <row r="63" ht="15.0" customHeight="1">
      <c r="A63" s="849" t="s">
        <v>1239</v>
      </c>
      <c r="B63" s="849">
        <v>2025.0</v>
      </c>
      <c r="C63" s="849" t="s">
        <v>1419</v>
      </c>
      <c r="D63" s="849" t="s">
        <v>1420</v>
      </c>
      <c r="E63" s="849" t="s">
        <v>768</v>
      </c>
      <c r="F63" s="849" t="s">
        <v>1200</v>
      </c>
      <c r="G63" s="849">
        <v>28.37</v>
      </c>
      <c r="H63" s="849">
        <v>50.55</v>
      </c>
      <c r="I63" s="849">
        <v>78.39</v>
      </c>
      <c r="J63" s="849">
        <v>108.27</v>
      </c>
      <c r="K63" s="849">
        <v>130.83</v>
      </c>
      <c r="L63" s="849">
        <v>151.63</v>
      </c>
      <c r="M63" s="849">
        <v>180.26</v>
      </c>
      <c r="N63" s="849">
        <v>192.9</v>
      </c>
      <c r="O63" s="849">
        <v>224.85</v>
      </c>
      <c r="P63" s="849">
        <v>254.92</v>
      </c>
      <c r="Q63" s="849">
        <v>279.98</v>
      </c>
      <c r="R63" s="849">
        <v>308.82</v>
      </c>
      <c r="S63" s="849">
        <v>25.45</v>
      </c>
      <c r="T63" s="849">
        <v>25.45</v>
      </c>
      <c r="U63" s="849">
        <v>0.0</v>
      </c>
      <c r="V63" s="849">
        <v>0.0</v>
      </c>
      <c r="W63" s="849">
        <v>0.0</v>
      </c>
      <c r="X63" s="849">
        <v>0.0</v>
      </c>
      <c r="Y63" s="849">
        <v>0.0</v>
      </c>
      <c r="Z63" s="849">
        <v>0.0</v>
      </c>
      <c r="AA63" s="849">
        <v>0.0</v>
      </c>
      <c r="AB63" s="849">
        <v>0.0</v>
      </c>
      <c r="AC63" s="849">
        <v>0.0</v>
      </c>
      <c r="AD63" s="849">
        <v>0.0</v>
      </c>
      <c r="AE63" s="849">
        <v>0.0</v>
      </c>
      <c r="AF63" s="849">
        <v>0.0</v>
      </c>
      <c r="AG63" s="849">
        <v>0.0</v>
      </c>
      <c r="AH63" s="849">
        <v>0.0</v>
      </c>
      <c r="AI63" s="849">
        <v>0.0</v>
      </c>
      <c r="AJ63" s="794" t="str">
        <f t="shared" ref="AJ63:AK63" si="123">C63</f>
        <v>G0292</v>
      </c>
      <c r="AK63" s="794" t="str">
        <f t="shared" si="123"/>
        <v>FONDS PENSION VEH. USAG.</v>
      </c>
      <c r="AL63" s="794">
        <f t="array" ref="AL63">IFERROR(INDEX(G63:R63,1,MATCH(Parametres!$B$3,G$1:R$1,0)-1)*IF(OR(F63="L",F63="S",F63="I"),-1,1),"")</f>
        <v>192.9</v>
      </c>
      <c r="AM63" s="794">
        <f t="shared" si="4"/>
        <v>31.95</v>
      </c>
      <c r="AN63" s="794">
        <f t="array" ref="AN63">INDEX(G63:R63,1,MATCH(Parametres!$B$3,G$1:R$1,0))*IF(OR(F63="L",F63="S",F63="I"),-1,1)</f>
        <v>224.85</v>
      </c>
      <c r="AO63" s="853" t="str">
        <f>+VLOOKUP($AJ63,Data_Validation!$A:$D,1,0)</f>
        <v>G0292</v>
      </c>
      <c r="AP63" s="853" t="str">
        <f>+VLOOKUP($AJ63,Data_Validation!$A:$D,3,0)</f>
        <v>Véhicules usagés</v>
      </c>
      <c r="AQ63" s="853" t="str">
        <f>+VLOOKUP($AJ63,Data_Validation!$A:$D,4,0)</f>
        <v>Csst</v>
      </c>
      <c r="AR63" s="853" t="s">
        <v>728</v>
      </c>
      <c r="AS63" s="853" t="str">
        <f>+VLOOKUP($AJ63,Data_Validation!$A:$E,5,0)</f>
        <v/>
      </c>
      <c r="AT63" s="794" t="str">
        <f t="shared" ref="AT63:AU63" si="124">C63</f>
        <v>G0292</v>
      </c>
      <c r="AU63" s="854" t="str">
        <f t="shared" si="124"/>
        <v>FONDS PENSION VEH. USAG.</v>
      </c>
      <c r="AV63" s="794">
        <f t="array" ref="AV63">IFERROR(INDEX(V63:AG63,1,MATCH(Parametres!$B$3,V$1:AG$1,0)-1)*IF(OR(C63="L",C63="S",C63="I"),-1,1),"")</f>
        <v>0</v>
      </c>
      <c r="AW63" s="794">
        <f t="shared" si="6"/>
        <v>0</v>
      </c>
      <c r="AX63" s="794">
        <f t="array" ref="AX63">INDEX(V63:AG63,1,MATCH(Parametres!$B$3,V$1:AG$1,0))*IF(OR(C63="L",C63="S",C63="I"),-1,1)</f>
        <v>0</v>
      </c>
      <c r="AY63" s="853" t="s">
        <v>772</v>
      </c>
      <c r="AZ63" s="853" t="str">
        <f>+VLOOKUP($AJ63,Data_Validation!$A:$E,5,0)</f>
        <v/>
      </c>
    </row>
    <row r="64" ht="15.0" customHeight="1">
      <c r="A64" s="849" t="s">
        <v>1239</v>
      </c>
      <c r="B64" s="849">
        <v>2025.0</v>
      </c>
      <c r="C64" s="849" t="s">
        <v>1421</v>
      </c>
      <c r="D64" s="849" t="s">
        <v>1422</v>
      </c>
      <c r="E64" s="849" t="s">
        <v>768</v>
      </c>
      <c r="F64" s="849" t="s">
        <v>1200</v>
      </c>
      <c r="G64" s="849">
        <v>0.0</v>
      </c>
      <c r="H64" s="849">
        <v>0.0</v>
      </c>
      <c r="I64" s="849">
        <v>0.0</v>
      </c>
      <c r="J64" s="849">
        <v>0.0</v>
      </c>
      <c r="K64" s="849">
        <v>0.0</v>
      </c>
      <c r="L64" s="849">
        <v>0.0</v>
      </c>
      <c r="M64" s="849">
        <v>0.0</v>
      </c>
      <c r="N64" s="849">
        <v>0.0</v>
      </c>
      <c r="O64" s="849">
        <v>0.0</v>
      </c>
      <c r="P64" s="849">
        <v>0.0</v>
      </c>
      <c r="Q64" s="849">
        <v>0.0</v>
      </c>
      <c r="R64" s="849">
        <v>0.0</v>
      </c>
      <c r="S64" s="849">
        <v>0.0</v>
      </c>
      <c r="T64" s="849">
        <v>0.0</v>
      </c>
      <c r="U64" s="849">
        <v>0.0</v>
      </c>
      <c r="V64" s="849">
        <v>0.0</v>
      </c>
      <c r="W64" s="849">
        <v>0.0</v>
      </c>
      <c r="X64" s="849">
        <v>0.0</v>
      </c>
      <c r="Y64" s="849">
        <v>0.0</v>
      </c>
      <c r="Z64" s="849">
        <v>0.0</v>
      </c>
      <c r="AA64" s="849">
        <v>0.0</v>
      </c>
      <c r="AB64" s="849">
        <v>0.0</v>
      </c>
      <c r="AC64" s="849">
        <v>0.0</v>
      </c>
      <c r="AD64" s="849">
        <v>0.0</v>
      </c>
      <c r="AE64" s="849">
        <v>0.0</v>
      </c>
      <c r="AF64" s="849">
        <v>0.0</v>
      </c>
      <c r="AG64" s="849">
        <v>0.0</v>
      </c>
      <c r="AH64" s="849">
        <v>0.0</v>
      </c>
      <c r="AI64" s="849">
        <v>0.0</v>
      </c>
      <c r="AJ64" s="794" t="str">
        <f t="shared" ref="AJ64:AK64" si="125">C64</f>
        <v>G0293</v>
      </c>
      <c r="AK64" s="794" t="str">
        <f t="shared" si="125"/>
        <v>FONDS PENSION U.S.A</v>
      </c>
      <c r="AL64" s="794">
        <f t="array" ref="AL64">IFERROR(INDEX(G64:R64,1,MATCH(Parametres!$B$3,G$1:R$1,0)-1)*IF(OR(F64="L",F64="S",F64="I"),-1,1),"")</f>
        <v>0</v>
      </c>
      <c r="AM64" s="794">
        <f t="shared" si="4"/>
        <v>0</v>
      </c>
      <c r="AN64" s="794">
        <f t="array" ref="AN64">INDEX(G64:R64,1,MATCH(Parametres!$B$3,G$1:R$1,0))*IF(OR(F64="L",F64="S",F64="I"),-1,1)</f>
        <v>0</v>
      </c>
      <c r="AO64" s="853" t="str">
        <f>+VLOOKUP($AJ64,Data_Validation!$A:$D,1,0)</f>
        <v>G0293</v>
      </c>
      <c r="AP64" s="853" t="str">
        <f>+VLOOKUP($AJ64,Data_Validation!$A:$D,3,0)</f>
        <v>Wholesale autres</v>
      </c>
      <c r="AQ64" s="853" t="str">
        <f>+VLOOKUP($AJ64,Data_Validation!$A:$D,4,0)</f>
        <v>Csst</v>
      </c>
      <c r="AR64" s="853" t="s">
        <v>728</v>
      </c>
      <c r="AS64" s="853" t="str">
        <f>+VLOOKUP($AJ64,Data_Validation!$A:$E,5,0)</f>
        <v/>
      </c>
      <c r="AT64" s="794" t="str">
        <f t="shared" ref="AT64:AU64" si="126">C64</f>
        <v>G0293</v>
      </c>
      <c r="AU64" s="854" t="str">
        <f t="shared" si="126"/>
        <v>FONDS PENSION U.S.A</v>
      </c>
      <c r="AV64" s="794">
        <f t="array" ref="AV64">IFERROR(INDEX(V64:AG64,1,MATCH(Parametres!$B$3,V$1:AG$1,0)-1)*IF(OR(C64="L",C64="S",C64="I"),-1,1),"")</f>
        <v>0</v>
      </c>
      <c r="AW64" s="794">
        <f t="shared" si="6"/>
        <v>0</v>
      </c>
      <c r="AX64" s="794">
        <f t="array" ref="AX64">INDEX(V64:AG64,1,MATCH(Parametres!$B$3,V$1:AG$1,0))*IF(OR(C64="L",C64="S",C64="I"),-1,1)</f>
        <v>0</v>
      </c>
      <c r="AY64" s="853" t="s">
        <v>772</v>
      </c>
      <c r="AZ64" s="853" t="str">
        <f>+VLOOKUP($AJ64,Data_Validation!$A:$E,5,0)</f>
        <v/>
      </c>
    </row>
    <row r="65" ht="15.0" customHeight="1">
      <c r="A65" s="849" t="s">
        <v>1239</v>
      </c>
      <c r="B65" s="849">
        <v>2025.0</v>
      </c>
      <c r="C65" s="849" t="s">
        <v>1423</v>
      </c>
      <c r="D65" s="849" t="s">
        <v>1424</v>
      </c>
      <c r="E65" s="849" t="s">
        <v>768</v>
      </c>
      <c r="F65" s="849" t="s">
        <v>1200</v>
      </c>
      <c r="G65" s="849">
        <v>1148.64</v>
      </c>
      <c r="H65" s="849">
        <v>2130.05</v>
      </c>
      <c r="I65" s="849">
        <v>3186.75</v>
      </c>
      <c r="J65" s="849">
        <v>4450.56</v>
      </c>
      <c r="K65" s="849">
        <v>5490.76</v>
      </c>
      <c r="L65" s="849">
        <v>6459.24</v>
      </c>
      <c r="M65" s="849">
        <v>7464.28</v>
      </c>
      <c r="N65" s="849">
        <v>8292.61</v>
      </c>
      <c r="O65" s="849">
        <v>9111.88</v>
      </c>
      <c r="P65" s="849">
        <v>10043.3</v>
      </c>
      <c r="Q65" s="849">
        <v>10703.46</v>
      </c>
      <c r="R65" s="849">
        <v>11294.77</v>
      </c>
      <c r="S65" s="849">
        <v>973.04</v>
      </c>
      <c r="T65" s="849">
        <v>973.04</v>
      </c>
      <c r="U65" s="849">
        <v>0.0</v>
      </c>
      <c r="V65" s="849">
        <v>0.0</v>
      </c>
      <c r="W65" s="849">
        <v>0.0</v>
      </c>
      <c r="X65" s="849">
        <v>0.0</v>
      </c>
      <c r="Y65" s="849">
        <v>0.0</v>
      </c>
      <c r="Z65" s="849">
        <v>0.0</v>
      </c>
      <c r="AA65" s="849">
        <v>0.0</v>
      </c>
      <c r="AB65" s="849">
        <v>0.0</v>
      </c>
      <c r="AC65" s="849">
        <v>0.0</v>
      </c>
      <c r="AD65" s="849">
        <v>0.0</v>
      </c>
      <c r="AE65" s="849">
        <v>0.0</v>
      </c>
      <c r="AF65" s="849">
        <v>0.0</v>
      </c>
      <c r="AG65" s="849">
        <v>0.0</v>
      </c>
      <c r="AH65" s="849">
        <v>0.0</v>
      </c>
      <c r="AI65" s="849">
        <v>0.0</v>
      </c>
      <c r="AJ65" s="794" t="str">
        <f t="shared" ref="AJ65:AK65" si="127">C65</f>
        <v>G0294</v>
      </c>
      <c r="AK65" s="794" t="str">
        <f t="shared" si="127"/>
        <v>FONDS PENSION SERV AUTO</v>
      </c>
      <c r="AL65" s="794">
        <f t="array" ref="AL65">IFERROR(INDEX(G65:R65,1,MATCH(Parametres!$B$3,G$1:R$1,0)-1)*IF(OR(F65="L",F65="S",F65="I"),-1,1),"")</f>
        <v>8292.61</v>
      </c>
      <c r="AM65" s="794">
        <f t="shared" si="4"/>
        <v>819.27</v>
      </c>
      <c r="AN65" s="794">
        <f t="array" ref="AN65">INDEX(G65:R65,1,MATCH(Parametres!$B$3,G$1:R$1,0))*IF(OR(F65="L",F65="S",F65="I"),-1,1)</f>
        <v>9111.88</v>
      </c>
      <c r="AO65" s="853" t="str">
        <f>+VLOOKUP($AJ65,Data_Validation!$A:$D,1,0)</f>
        <v>G0294</v>
      </c>
      <c r="AP65" s="853" t="str">
        <f>+VLOOKUP($AJ65,Data_Validation!$A:$D,3,0)</f>
        <v>Service</v>
      </c>
      <c r="AQ65" s="853" t="str">
        <f>+VLOOKUP($AJ65,Data_Validation!$A:$D,4,0)</f>
        <v>Csst</v>
      </c>
      <c r="AR65" s="853" t="s">
        <v>728</v>
      </c>
      <c r="AS65" s="853" t="str">
        <f>+VLOOKUP($AJ65,Data_Validation!$A:$E,5,0)</f>
        <v/>
      </c>
      <c r="AT65" s="794" t="str">
        <f t="shared" ref="AT65:AU65" si="128">C65</f>
        <v>G0294</v>
      </c>
      <c r="AU65" s="854" t="str">
        <f t="shared" si="128"/>
        <v>FONDS PENSION SERV AUTO</v>
      </c>
      <c r="AV65" s="794">
        <f t="array" ref="AV65">IFERROR(INDEX(V65:AG65,1,MATCH(Parametres!$B$3,V$1:AG$1,0)-1)*IF(OR(C65="L",C65="S",C65="I"),-1,1),"")</f>
        <v>0</v>
      </c>
      <c r="AW65" s="794">
        <f t="shared" si="6"/>
        <v>0</v>
      </c>
      <c r="AX65" s="794">
        <f t="array" ref="AX65">INDEX(V65:AG65,1,MATCH(Parametres!$B$3,V$1:AG$1,0))*IF(OR(C65="L",C65="S",C65="I"),-1,1)</f>
        <v>0</v>
      </c>
      <c r="AY65" s="853" t="s">
        <v>772</v>
      </c>
      <c r="AZ65" s="853" t="str">
        <f>+VLOOKUP($AJ65,Data_Validation!$A:$E,5,0)</f>
        <v/>
      </c>
    </row>
    <row r="66" ht="15.0" customHeight="1">
      <c r="A66" s="849" t="s">
        <v>1239</v>
      </c>
      <c r="B66" s="849">
        <v>2025.0</v>
      </c>
      <c r="C66" s="849" t="s">
        <v>1425</v>
      </c>
      <c r="D66" s="849" t="s">
        <v>1426</v>
      </c>
      <c r="E66" s="849" t="s">
        <v>768</v>
      </c>
      <c r="F66" s="849" t="s">
        <v>1200</v>
      </c>
      <c r="G66" s="849">
        <v>41.58</v>
      </c>
      <c r="H66" s="849">
        <v>77.13</v>
      </c>
      <c r="I66" s="849">
        <v>115.58</v>
      </c>
      <c r="J66" s="849">
        <v>156.05</v>
      </c>
      <c r="K66" s="849">
        <v>194.69</v>
      </c>
      <c r="L66" s="849">
        <v>231.85</v>
      </c>
      <c r="M66" s="849">
        <v>260.0</v>
      </c>
      <c r="N66" s="849">
        <v>294.68</v>
      </c>
      <c r="O66" s="849">
        <v>340.94</v>
      </c>
      <c r="P66" s="849">
        <v>387.47</v>
      </c>
      <c r="Q66" s="849">
        <v>428.35</v>
      </c>
      <c r="R66" s="849">
        <v>468.62</v>
      </c>
      <c r="S66" s="849">
        <v>38.94</v>
      </c>
      <c r="T66" s="849">
        <v>38.94</v>
      </c>
      <c r="U66" s="849">
        <v>0.0</v>
      </c>
      <c r="V66" s="849">
        <v>0.0</v>
      </c>
      <c r="W66" s="849">
        <v>0.0</v>
      </c>
      <c r="X66" s="849">
        <v>0.0</v>
      </c>
      <c r="Y66" s="849">
        <v>0.0</v>
      </c>
      <c r="Z66" s="849">
        <v>0.0</v>
      </c>
      <c r="AA66" s="849">
        <v>0.0</v>
      </c>
      <c r="AB66" s="849">
        <v>0.0</v>
      </c>
      <c r="AC66" s="849">
        <v>0.0</v>
      </c>
      <c r="AD66" s="849">
        <v>0.0</v>
      </c>
      <c r="AE66" s="849">
        <v>0.0</v>
      </c>
      <c r="AF66" s="849">
        <v>0.0</v>
      </c>
      <c r="AG66" s="849">
        <v>0.0</v>
      </c>
      <c r="AH66" s="849">
        <v>0.0</v>
      </c>
      <c r="AI66" s="849">
        <v>0.0</v>
      </c>
      <c r="AJ66" s="794" t="str">
        <f t="shared" ref="AJ66:AK66" si="129">C66</f>
        <v>G0295</v>
      </c>
      <c r="AK66" s="794" t="str">
        <f t="shared" si="129"/>
        <v>FONDS PENSION CARROSSERIE</v>
      </c>
      <c r="AL66" s="794">
        <f t="array" ref="AL66">IFERROR(INDEX(G66:R66,1,MATCH(Parametres!$B$3,G$1:R$1,0)-1)*IF(OR(F66="L",F66="S",F66="I"),-1,1),"")</f>
        <v>294.68</v>
      </c>
      <c r="AM66" s="794">
        <f t="shared" si="4"/>
        <v>46.26</v>
      </c>
      <c r="AN66" s="794">
        <f t="array" ref="AN66">INDEX(G66:R66,1,MATCH(Parametres!$B$3,G$1:R$1,0))*IF(OR(F66="L",F66="S",F66="I"),-1,1)</f>
        <v>340.94</v>
      </c>
      <c r="AO66" s="853" t="str">
        <f>+VLOOKUP($AJ66,Data_Validation!$A:$D,1,0)</f>
        <v>G0295</v>
      </c>
      <c r="AP66" s="853" t="str">
        <f>+VLOOKUP($AJ66,Data_Validation!$A:$D,3,0)</f>
        <v>Carrosserie</v>
      </c>
      <c r="AQ66" s="853" t="str">
        <f>+VLOOKUP($AJ66,Data_Validation!$A:$D,4,0)</f>
        <v>Csst</v>
      </c>
      <c r="AR66" s="853" t="s">
        <v>728</v>
      </c>
      <c r="AS66" s="853" t="str">
        <f>+VLOOKUP($AJ66,Data_Validation!$A:$E,5,0)</f>
        <v/>
      </c>
      <c r="AT66" s="794" t="str">
        <f t="shared" ref="AT66:AU66" si="130">C66</f>
        <v>G0295</v>
      </c>
      <c r="AU66" s="854" t="str">
        <f t="shared" si="130"/>
        <v>FONDS PENSION CARROSSERIE</v>
      </c>
      <c r="AV66" s="794">
        <f t="array" ref="AV66">IFERROR(INDEX(V66:AG66,1,MATCH(Parametres!$B$3,V$1:AG$1,0)-1)*IF(OR(C66="L",C66="S",C66="I"),-1,1),"")</f>
        <v>0</v>
      </c>
      <c r="AW66" s="794">
        <f t="shared" si="6"/>
        <v>0</v>
      </c>
      <c r="AX66" s="794">
        <f t="array" ref="AX66">INDEX(V66:AG66,1,MATCH(Parametres!$B$3,V$1:AG$1,0))*IF(OR(C66="L",C66="S",C66="I"),-1,1)</f>
        <v>0</v>
      </c>
      <c r="AY66" s="853" t="s">
        <v>772</v>
      </c>
      <c r="AZ66" s="853" t="str">
        <f>+VLOOKUP($AJ66,Data_Validation!$A:$E,5,0)</f>
        <v/>
      </c>
    </row>
    <row r="67" ht="15.0" customHeight="1">
      <c r="A67" s="849" t="s">
        <v>1239</v>
      </c>
      <c r="B67" s="849">
        <v>2025.0</v>
      </c>
      <c r="C67" s="849" t="s">
        <v>1427</v>
      </c>
      <c r="D67" s="849" t="s">
        <v>1428</v>
      </c>
      <c r="E67" s="849" t="s">
        <v>768</v>
      </c>
      <c r="F67" s="849" t="s">
        <v>1200</v>
      </c>
      <c r="G67" s="849">
        <v>318.1</v>
      </c>
      <c r="H67" s="849">
        <v>841.15</v>
      </c>
      <c r="I67" s="849">
        <v>1002.55</v>
      </c>
      <c r="J67" s="849">
        <v>1012.88</v>
      </c>
      <c r="K67" s="849">
        <v>1162.63</v>
      </c>
      <c r="L67" s="849">
        <v>1322.54</v>
      </c>
      <c r="M67" s="849">
        <v>1482.1</v>
      </c>
      <c r="N67" s="849">
        <v>1666.01</v>
      </c>
      <c r="O67" s="849">
        <v>1849.29</v>
      </c>
      <c r="P67" s="849">
        <v>1937.34</v>
      </c>
      <c r="Q67" s="849">
        <v>1978.2</v>
      </c>
      <c r="R67" s="849">
        <v>2018.47</v>
      </c>
      <c r="S67" s="849">
        <v>179.84</v>
      </c>
      <c r="T67" s="849">
        <v>179.84</v>
      </c>
      <c r="U67" s="849">
        <v>0.0</v>
      </c>
      <c r="V67" s="849">
        <v>0.0</v>
      </c>
      <c r="W67" s="849">
        <v>0.0</v>
      </c>
      <c r="X67" s="849">
        <v>0.0</v>
      </c>
      <c r="Y67" s="849">
        <v>0.0</v>
      </c>
      <c r="Z67" s="849">
        <v>0.0</v>
      </c>
      <c r="AA67" s="849">
        <v>0.0</v>
      </c>
      <c r="AB67" s="849">
        <v>0.0</v>
      </c>
      <c r="AC67" s="849">
        <v>0.0</v>
      </c>
      <c r="AD67" s="849">
        <v>0.0</v>
      </c>
      <c r="AE67" s="849">
        <v>0.0</v>
      </c>
      <c r="AF67" s="849">
        <v>0.0</v>
      </c>
      <c r="AG67" s="849">
        <v>0.0</v>
      </c>
      <c r="AH67" s="849">
        <v>0.0</v>
      </c>
      <c r="AI67" s="849">
        <v>0.0</v>
      </c>
      <c r="AJ67" s="794" t="str">
        <f t="shared" ref="AJ67:AK67" si="131">C67</f>
        <v>G0296</v>
      </c>
      <c r="AK67" s="794" t="str">
        <f t="shared" si="131"/>
        <v>FONDS PENSION PCE AUTO</v>
      </c>
      <c r="AL67" s="794">
        <f t="array" ref="AL67">IFERROR(INDEX(G67:R67,1,MATCH(Parametres!$B$3,G$1:R$1,0)-1)*IF(OR(F67="L",F67="S",F67="I"),-1,1),"")</f>
        <v>1666.01</v>
      </c>
      <c r="AM67" s="794">
        <f t="shared" si="4"/>
        <v>183.28</v>
      </c>
      <c r="AN67" s="794">
        <f t="array" ref="AN67">INDEX(G67:R67,1,MATCH(Parametres!$B$3,G$1:R$1,0))*IF(OR(F67="L",F67="S",F67="I"),-1,1)</f>
        <v>1849.29</v>
      </c>
      <c r="AO67" s="853" t="str">
        <f>+VLOOKUP($AJ67,Data_Validation!$A:$D,1,0)</f>
        <v>G0296</v>
      </c>
      <c r="AP67" s="853" t="str">
        <f>+VLOOKUP($AJ67,Data_Validation!$A:$D,3,0)</f>
        <v>Pièces</v>
      </c>
      <c r="AQ67" s="853" t="str">
        <f>+VLOOKUP($AJ67,Data_Validation!$A:$D,4,0)</f>
        <v>Csst</v>
      </c>
      <c r="AR67" s="853" t="s">
        <v>728</v>
      </c>
      <c r="AS67" s="853" t="str">
        <f>+VLOOKUP($AJ67,Data_Validation!$A:$E,5,0)</f>
        <v/>
      </c>
      <c r="AT67" s="794" t="str">
        <f t="shared" ref="AT67:AU67" si="132">C67</f>
        <v>G0296</v>
      </c>
      <c r="AU67" s="854" t="str">
        <f t="shared" si="132"/>
        <v>FONDS PENSION PCE AUTO</v>
      </c>
      <c r="AV67" s="794">
        <f t="array" ref="AV67">IFERROR(INDEX(V67:AG67,1,MATCH(Parametres!$B$3,V$1:AG$1,0)-1)*IF(OR(C67="L",C67="S",C67="I"),-1,1),"")</f>
        <v>0</v>
      </c>
      <c r="AW67" s="794">
        <f t="shared" si="6"/>
        <v>0</v>
      </c>
      <c r="AX67" s="794">
        <f t="array" ref="AX67">INDEX(V67:AG67,1,MATCH(Parametres!$B$3,V$1:AG$1,0))*IF(OR(C67="L",C67="S",C67="I"),-1,1)</f>
        <v>0</v>
      </c>
      <c r="AY67" s="853" t="s">
        <v>772</v>
      </c>
      <c r="AZ67" s="853" t="str">
        <f>+VLOOKUP($AJ67,Data_Validation!$A:$E,5,0)</f>
        <v/>
      </c>
    </row>
    <row r="68" ht="15.0" customHeight="1">
      <c r="A68" s="849" t="s">
        <v>1239</v>
      </c>
      <c r="B68" s="849">
        <v>2025.0</v>
      </c>
      <c r="C68" s="849" t="s">
        <v>1429</v>
      </c>
      <c r="D68" s="849" t="s">
        <v>3420</v>
      </c>
      <c r="E68" s="849" t="s">
        <v>768</v>
      </c>
      <c r="F68" s="849" t="s">
        <v>1200</v>
      </c>
      <c r="G68" s="849">
        <v>0.0</v>
      </c>
      <c r="H68" s="849">
        <v>0.0</v>
      </c>
      <c r="I68" s="849">
        <v>0.0</v>
      </c>
      <c r="J68" s="849">
        <v>0.0</v>
      </c>
      <c r="K68" s="849">
        <v>0.0</v>
      </c>
      <c r="L68" s="849">
        <v>0.0</v>
      </c>
      <c r="M68" s="849">
        <v>0.0</v>
      </c>
      <c r="N68" s="849">
        <v>0.0</v>
      </c>
      <c r="O68" s="849">
        <v>0.0</v>
      </c>
      <c r="P68" s="849">
        <v>0.0</v>
      </c>
      <c r="Q68" s="849">
        <v>0.0</v>
      </c>
      <c r="R68" s="849">
        <v>0.0</v>
      </c>
      <c r="S68" s="849">
        <v>0.0</v>
      </c>
      <c r="T68" s="849">
        <v>0.0</v>
      </c>
      <c r="U68" s="849">
        <v>0.0</v>
      </c>
      <c r="V68" s="849">
        <v>0.0</v>
      </c>
      <c r="W68" s="849">
        <v>0.0</v>
      </c>
      <c r="X68" s="849">
        <v>0.0</v>
      </c>
      <c r="Y68" s="849">
        <v>0.0</v>
      </c>
      <c r="Z68" s="849">
        <v>0.0</v>
      </c>
      <c r="AA68" s="849">
        <v>0.0</v>
      </c>
      <c r="AB68" s="849">
        <v>0.0</v>
      </c>
      <c r="AC68" s="849">
        <v>0.0</v>
      </c>
      <c r="AD68" s="849">
        <v>0.0</v>
      </c>
      <c r="AE68" s="849">
        <v>0.0</v>
      </c>
      <c r="AF68" s="849">
        <v>0.0</v>
      </c>
      <c r="AG68" s="849">
        <v>0.0</v>
      </c>
      <c r="AH68" s="849">
        <v>0.0</v>
      </c>
      <c r="AI68" s="849">
        <v>0.0</v>
      </c>
      <c r="AJ68" s="794" t="str">
        <f t="shared" ref="AJ68:AK68" si="133">C68</f>
        <v>G0297</v>
      </c>
      <c r="AK68" s="794" t="str">
        <f t="shared" si="133"/>
        <v>INDEMNITE RETRAITE-PCS</v>
      </c>
      <c r="AL68" s="794">
        <f t="array" ref="AL68">IFERROR(INDEX(G68:R68,1,MATCH(Parametres!$B$3,G$1:R$1,0)-1)*IF(OR(F68="L",F68="S",F68="I"),-1,1),"")</f>
        <v>0</v>
      </c>
      <c r="AM68" s="794">
        <f t="shared" si="4"/>
        <v>0</v>
      </c>
      <c r="AN68" s="794">
        <f t="array" ref="AN68">INDEX(G68:R68,1,MATCH(Parametres!$B$3,G$1:R$1,0))*IF(OR(F68="L",F68="S",F68="I"),-1,1)</f>
        <v>0</v>
      </c>
      <c r="AO68" s="853" t="str">
        <f>+VLOOKUP($AJ68,Data_Validation!$A:$D,1,0)</f>
        <v>G0297</v>
      </c>
      <c r="AP68" s="853" t="str">
        <f>+VLOOKUP($AJ68,Data_Validation!$A:$D,3,0)</f>
        <v>SAAQ</v>
      </c>
      <c r="AQ68" s="853" t="str">
        <f>+VLOOKUP($AJ68,Data_Validation!$A:$D,4,0)</f>
        <v>Csst</v>
      </c>
      <c r="AR68" s="853" t="s">
        <v>728</v>
      </c>
      <c r="AS68" s="853" t="str">
        <f>+VLOOKUP($AJ68,Data_Validation!$A:$E,5,0)</f>
        <v/>
      </c>
      <c r="AT68" s="794" t="str">
        <f t="shared" ref="AT68:AU68" si="134">C68</f>
        <v>G0297</v>
      </c>
      <c r="AU68" s="854" t="str">
        <f t="shared" si="134"/>
        <v>INDEMNITE RETRAITE-PCS</v>
      </c>
      <c r="AV68" s="794">
        <f t="array" ref="AV68">IFERROR(INDEX(V68:AG68,1,MATCH(Parametres!$B$3,V$1:AG$1,0)-1)*IF(OR(C68="L",C68="S",C68="I"),-1,1),"")</f>
        <v>0</v>
      </c>
      <c r="AW68" s="794">
        <f t="shared" si="6"/>
        <v>0</v>
      </c>
      <c r="AX68" s="794">
        <f t="array" ref="AX68">INDEX(V68:AG68,1,MATCH(Parametres!$B$3,V$1:AG$1,0))*IF(OR(C68="L",C68="S",C68="I"),-1,1)</f>
        <v>0</v>
      </c>
      <c r="AY68" s="853" t="s">
        <v>772</v>
      </c>
      <c r="AZ68" s="853" t="str">
        <f>+VLOOKUP($AJ68,Data_Validation!$A:$E,5,0)</f>
        <v/>
      </c>
    </row>
    <row r="69" ht="15.0" customHeight="1">
      <c r="A69" s="849" t="s">
        <v>1239</v>
      </c>
      <c r="B69" s="849">
        <v>2025.0</v>
      </c>
      <c r="C69" s="849" t="s">
        <v>1431</v>
      </c>
      <c r="D69" s="849" t="s">
        <v>1432</v>
      </c>
      <c r="E69" s="849" t="s">
        <v>768</v>
      </c>
      <c r="F69" s="849" t="s">
        <v>1200</v>
      </c>
      <c r="G69" s="849">
        <v>0.0</v>
      </c>
      <c r="H69" s="849">
        <v>0.0</v>
      </c>
      <c r="I69" s="849">
        <v>0.0</v>
      </c>
      <c r="J69" s="849">
        <v>0.0</v>
      </c>
      <c r="K69" s="849">
        <v>0.0</v>
      </c>
      <c r="L69" s="849">
        <v>0.0</v>
      </c>
      <c r="M69" s="849">
        <v>0.0</v>
      </c>
      <c r="N69" s="849">
        <v>0.0</v>
      </c>
      <c r="O69" s="849">
        <v>0.0</v>
      </c>
      <c r="P69" s="849">
        <v>0.0</v>
      </c>
      <c r="Q69" s="849">
        <v>0.0</v>
      </c>
      <c r="R69" s="849">
        <v>0.0</v>
      </c>
      <c r="S69" s="849">
        <v>0.0</v>
      </c>
      <c r="T69" s="849">
        <v>0.0</v>
      </c>
      <c r="U69" s="849">
        <v>0.0</v>
      </c>
      <c r="V69" s="849">
        <v>0.0</v>
      </c>
      <c r="W69" s="849">
        <v>0.0</v>
      </c>
      <c r="X69" s="849">
        <v>0.0</v>
      </c>
      <c r="Y69" s="849">
        <v>0.0</v>
      </c>
      <c r="Z69" s="849">
        <v>0.0</v>
      </c>
      <c r="AA69" s="849">
        <v>0.0</v>
      </c>
      <c r="AB69" s="849">
        <v>0.0</v>
      </c>
      <c r="AC69" s="849">
        <v>0.0</v>
      </c>
      <c r="AD69" s="849">
        <v>0.0</v>
      </c>
      <c r="AE69" s="849">
        <v>0.0</v>
      </c>
      <c r="AF69" s="849">
        <v>0.0</v>
      </c>
      <c r="AG69" s="849">
        <v>0.0</v>
      </c>
      <c r="AH69" s="849">
        <v>0.0</v>
      </c>
      <c r="AI69" s="849">
        <v>0.0</v>
      </c>
      <c r="AJ69" s="794" t="str">
        <f t="shared" ref="AJ69:AK69" si="135">C69</f>
        <v>G0299</v>
      </c>
      <c r="AK69" s="794" t="str">
        <f t="shared" si="135"/>
        <v>FONDS PENSION ADMIN</v>
      </c>
      <c r="AL69" s="794">
        <f t="array" ref="AL69">IFERROR(INDEX(G69:R69,1,MATCH(Parametres!$B$3,G$1:R$1,0)-1)*IF(OR(F69="L",F69="S",F69="I"),-1,1),"")</f>
        <v>0</v>
      </c>
      <c r="AM69" s="794">
        <f t="shared" si="4"/>
        <v>0</v>
      </c>
      <c r="AN69" s="794">
        <f t="array" ref="AN69">INDEX(G69:R69,1,MATCH(Parametres!$B$3,G$1:R$1,0))*IF(OR(F69="L",F69="S",F69="I"),-1,1)</f>
        <v>0</v>
      </c>
      <c r="AO69" s="853" t="str">
        <f>+VLOOKUP($AJ69,Data_Validation!$A:$D,1,0)</f>
        <v>#N/A</v>
      </c>
      <c r="AP69" s="853" t="str">
        <f>+VLOOKUP($AJ69,Data_Validation!$A:$D,3,0)</f>
        <v>#N/A</v>
      </c>
      <c r="AQ69" s="853" t="str">
        <f>+VLOOKUP($AJ69,Data_Validation!$A:$D,4,0)</f>
        <v>#N/A</v>
      </c>
      <c r="AR69" s="853" t="s">
        <v>728</v>
      </c>
      <c r="AS69" s="853" t="str">
        <f>+VLOOKUP($AJ69,Data_Validation!$A:$E,5,0)</f>
        <v>#N/A</v>
      </c>
      <c r="AT69" s="794" t="str">
        <f t="shared" ref="AT69:AU69" si="136">C69</f>
        <v>G0299</v>
      </c>
      <c r="AU69" s="854" t="str">
        <f t="shared" si="136"/>
        <v>FONDS PENSION ADMIN</v>
      </c>
      <c r="AV69" s="794">
        <f t="array" ref="AV69">IFERROR(INDEX(V69:AG69,1,MATCH(Parametres!$B$3,V$1:AG$1,0)-1)*IF(OR(C69="L",C69="S",C69="I"),-1,1),"")</f>
        <v>0</v>
      </c>
      <c r="AW69" s="794">
        <f t="shared" si="6"/>
        <v>0</v>
      </c>
      <c r="AX69" s="794">
        <f t="array" ref="AX69">INDEX(V69:AG69,1,MATCH(Parametres!$B$3,V$1:AG$1,0))*IF(OR(C69="L",C69="S",C69="I"),-1,1)</f>
        <v>0</v>
      </c>
      <c r="AY69" s="853" t="s">
        <v>772</v>
      </c>
      <c r="AZ69" s="853" t="str">
        <f>+VLOOKUP($AJ69,Data_Validation!$A:$E,5,0)</f>
        <v>#N/A</v>
      </c>
    </row>
    <row r="70" ht="15.0" customHeight="1">
      <c r="A70" s="849" t="s">
        <v>1239</v>
      </c>
      <c r="B70" s="849">
        <v>2025.0</v>
      </c>
      <c r="C70" s="849" t="s">
        <v>1433</v>
      </c>
      <c r="D70" s="849" t="s">
        <v>1434</v>
      </c>
      <c r="E70" s="849" t="s">
        <v>768</v>
      </c>
      <c r="F70" s="849" t="s">
        <v>1200</v>
      </c>
      <c r="G70" s="849">
        <v>0.0</v>
      </c>
      <c r="H70" s="849">
        <v>0.0</v>
      </c>
      <c r="I70" s="849">
        <v>0.0</v>
      </c>
      <c r="J70" s="849">
        <v>0.0</v>
      </c>
      <c r="K70" s="849">
        <v>0.0</v>
      </c>
      <c r="L70" s="849">
        <v>0.0</v>
      </c>
      <c r="M70" s="849">
        <v>0.0</v>
      </c>
      <c r="N70" s="849">
        <v>0.0</v>
      </c>
      <c r="O70" s="849">
        <v>0.0</v>
      </c>
      <c r="P70" s="849">
        <v>0.0</v>
      </c>
      <c r="Q70" s="849">
        <v>0.0</v>
      </c>
      <c r="R70" s="849">
        <v>0.0</v>
      </c>
      <c r="S70" s="849">
        <v>0.0</v>
      </c>
      <c r="T70" s="849">
        <v>0.0</v>
      </c>
      <c r="U70" s="849">
        <v>0.0</v>
      </c>
      <c r="V70" s="849">
        <v>0.0</v>
      </c>
      <c r="W70" s="849">
        <v>0.0</v>
      </c>
      <c r="X70" s="849">
        <v>0.0</v>
      </c>
      <c r="Y70" s="849">
        <v>0.0</v>
      </c>
      <c r="Z70" s="849">
        <v>0.0</v>
      </c>
      <c r="AA70" s="849">
        <v>0.0</v>
      </c>
      <c r="AB70" s="849">
        <v>0.0</v>
      </c>
      <c r="AC70" s="849">
        <v>0.0</v>
      </c>
      <c r="AD70" s="849">
        <v>0.0</v>
      </c>
      <c r="AE70" s="849">
        <v>0.0</v>
      </c>
      <c r="AF70" s="849">
        <v>0.0</v>
      </c>
      <c r="AG70" s="849">
        <v>0.0</v>
      </c>
      <c r="AH70" s="849">
        <v>0.0</v>
      </c>
      <c r="AI70" s="849">
        <v>0.0</v>
      </c>
      <c r="AJ70" s="794" t="str">
        <f t="shared" ref="AJ70:AK70" si="137">C70</f>
        <v>G0330</v>
      </c>
      <c r="AK70" s="794" t="str">
        <f t="shared" si="137"/>
        <v>FRAIS POSTE-TRANSPORT REP</v>
      </c>
      <c r="AL70" s="794">
        <f t="array" ref="AL70">IFERROR(INDEX(G70:R70,1,MATCH(Parametres!$B$3,G$1:R$1,0)-1)*IF(OR(F70="L",F70="S",F70="I"),-1,1),"")</f>
        <v>0</v>
      </c>
      <c r="AM70" s="794">
        <f t="shared" si="4"/>
        <v>0</v>
      </c>
      <c r="AN70" s="794">
        <f t="array" ref="AN70">INDEX(G70:R70,1,MATCH(Parametres!$B$3,G$1:R$1,0))*IF(OR(F70="L",F70="S",F70="I"),-1,1)</f>
        <v>0</v>
      </c>
      <c r="AO70" s="853" t="str">
        <f>+VLOOKUP($AJ70,Data_Validation!$A:$D,1,0)</f>
        <v>#N/A</v>
      </c>
      <c r="AP70" s="853" t="str">
        <f>+VLOOKUP($AJ70,Data_Validation!$A:$D,3,0)</f>
        <v>#N/A</v>
      </c>
      <c r="AQ70" s="853" t="str">
        <f>+VLOOKUP($AJ70,Data_Validation!$A:$D,4,0)</f>
        <v>#N/A</v>
      </c>
      <c r="AR70" s="853" t="s">
        <v>728</v>
      </c>
      <c r="AS70" s="853" t="str">
        <f>+VLOOKUP($AJ70,Data_Validation!$A:$E,5,0)</f>
        <v>#N/A</v>
      </c>
      <c r="AT70" s="794" t="str">
        <f t="shared" ref="AT70:AU70" si="138">C70</f>
        <v>G0330</v>
      </c>
      <c r="AU70" s="854" t="str">
        <f t="shared" si="138"/>
        <v>FRAIS POSTE-TRANSPORT REP</v>
      </c>
      <c r="AV70" s="794">
        <f t="array" ref="AV70">IFERROR(INDEX(V70:AG70,1,MATCH(Parametres!$B$3,V$1:AG$1,0)-1)*IF(OR(C70="L",C70="S",C70="I"),-1,1),"")</f>
        <v>0</v>
      </c>
      <c r="AW70" s="794">
        <f t="shared" si="6"/>
        <v>0</v>
      </c>
      <c r="AX70" s="794">
        <f t="array" ref="AX70">INDEX(V70:AG70,1,MATCH(Parametres!$B$3,V$1:AG$1,0))*IF(OR(C70="L",C70="S",C70="I"),-1,1)</f>
        <v>0</v>
      </c>
      <c r="AY70" s="853" t="s">
        <v>772</v>
      </c>
      <c r="AZ70" s="853" t="str">
        <f>+VLOOKUP($AJ70,Data_Validation!$A:$E,5,0)</f>
        <v>#N/A</v>
      </c>
    </row>
    <row r="71" ht="15.0" customHeight="1">
      <c r="A71" s="849" t="s">
        <v>1239</v>
      </c>
      <c r="B71" s="849">
        <v>2025.0</v>
      </c>
      <c r="C71" s="849" t="s">
        <v>1435</v>
      </c>
      <c r="D71" s="849" t="s">
        <v>1436</v>
      </c>
      <c r="E71" s="849" t="s">
        <v>768</v>
      </c>
      <c r="F71" s="849" t="s">
        <v>1200</v>
      </c>
      <c r="G71" s="849">
        <v>52.29</v>
      </c>
      <c r="H71" s="849">
        <v>431.03</v>
      </c>
      <c r="I71" s="849">
        <v>1050.81</v>
      </c>
      <c r="J71" s="849">
        <v>2333.96</v>
      </c>
      <c r="K71" s="849">
        <v>3679.48</v>
      </c>
      <c r="L71" s="849">
        <v>4943.67</v>
      </c>
      <c r="M71" s="849">
        <v>5948.56</v>
      </c>
      <c r="N71" s="849">
        <v>6865.05</v>
      </c>
      <c r="O71" s="849">
        <v>8079.51</v>
      </c>
      <c r="P71" s="849">
        <v>8760.73</v>
      </c>
      <c r="Q71" s="849">
        <v>9900.02</v>
      </c>
      <c r="R71" s="849">
        <v>11511.44</v>
      </c>
      <c r="S71" s="849">
        <v>900.0</v>
      </c>
      <c r="T71" s="849">
        <v>900.0</v>
      </c>
      <c r="U71" s="849">
        <v>0.0</v>
      </c>
      <c r="V71" s="849">
        <v>0.0</v>
      </c>
      <c r="W71" s="849">
        <v>0.0</v>
      </c>
      <c r="X71" s="849">
        <v>0.0</v>
      </c>
      <c r="Y71" s="849">
        <v>0.0</v>
      </c>
      <c r="Z71" s="849">
        <v>0.0</v>
      </c>
      <c r="AA71" s="849">
        <v>0.0</v>
      </c>
      <c r="AB71" s="849">
        <v>0.0</v>
      </c>
      <c r="AC71" s="849">
        <v>0.0</v>
      </c>
      <c r="AD71" s="849">
        <v>0.0</v>
      </c>
      <c r="AE71" s="849">
        <v>0.0</v>
      </c>
      <c r="AF71" s="849">
        <v>0.0</v>
      </c>
      <c r="AG71" s="849">
        <v>0.0</v>
      </c>
      <c r="AH71" s="849">
        <v>0.0</v>
      </c>
      <c r="AI71" s="849">
        <v>0.0</v>
      </c>
      <c r="AJ71" s="794" t="str">
        <f t="shared" ref="AJ71:AK71" si="139">C71</f>
        <v>G0331</v>
      </c>
      <c r="AK71" s="794" t="str">
        <f t="shared" si="139"/>
        <v>FRAIS POSTE-TRANSP NEUF</v>
      </c>
      <c r="AL71" s="794">
        <f t="array" ref="AL71">IFERROR(INDEX(G71:R71,1,MATCH(Parametres!$B$3,G$1:R$1,0)-1)*IF(OR(F71="L",F71="S",F71="I"),-1,1),"")</f>
        <v>6865.05</v>
      </c>
      <c r="AM71" s="794">
        <f t="shared" si="4"/>
        <v>1214.46</v>
      </c>
      <c r="AN71" s="794">
        <f t="array" ref="AN71">INDEX(G71:R71,1,MATCH(Parametres!$B$3,G$1:R$1,0))*IF(OR(F71="L",F71="S",F71="I"),-1,1)</f>
        <v>8079.51</v>
      </c>
      <c r="AO71" s="853" t="str">
        <f>+VLOOKUP($AJ71,Data_Validation!$A:$D,1,0)</f>
        <v>G0331</v>
      </c>
      <c r="AP71" s="853" t="str">
        <f>+VLOOKUP($AJ71,Data_Validation!$A:$D,3,0)</f>
        <v>Véhicules neufs</v>
      </c>
      <c r="AQ71" s="853" t="str">
        <f>+VLOOKUP($AJ71,Data_Validation!$A:$D,4,0)</f>
        <v>Frais postaux</v>
      </c>
      <c r="AR71" s="853" t="s">
        <v>728</v>
      </c>
      <c r="AS71" s="853" t="str">
        <f>+VLOOKUP($AJ71,Data_Validation!$A:$E,5,0)</f>
        <v/>
      </c>
      <c r="AT71" s="794" t="str">
        <f t="shared" ref="AT71:AU71" si="140">C71</f>
        <v>G0331</v>
      </c>
      <c r="AU71" s="854" t="str">
        <f t="shared" si="140"/>
        <v>FRAIS POSTE-TRANSP NEUF</v>
      </c>
      <c r="AV71" s="794">
        <f t="array" ref="AV71">IFERROR(INDEX(V71:AG71,1,MATCH(Parametres!$B$3,V$1:AG$1,0)-1)*IF(OR(C71="L",C71="S",C71="I"),-1,1),"")</f>
        <v>0</v>
      </c>
      <c r="AW71" s="794">
        <f t="shared" si="6"/>
        <v>0</v>
      </c>
      <c r="AX71" s="794">
        <f t="array" ref="AX71">INDEX(V71:AG71,1,MATCH(Parametres!$B$3,V$1:AG$1,0))*IF(OR(C71="L",C71="S",C71="I"),-1,1)</f>
        <v>0</v>
      </c>
      <c r="AY71" s="853" t="s">
        <v>772</v>
      </c>
      <c r="AZ71" s="853" t="str">
        <f>+VLOOKUP($AJ71,Data_Validation!$A:$E,5,0)</f>
        <v/>
      </c>
    </row>
    <row r="72" ht="15.0" customHeight="1">
      <c r="A72" s="849" t="s">
        <v>1239</v>
      </c>
      <c r="B72" s="849">
        <v>2025.0</v>
      </c>
      <c r="C72" s="849" t="s">
        <v>1437</v>
      </c>
      <c r="D72" s="849" t="s">
        <v>1438</v>
      </c>
      <c r="E72" s="849" t="s">
        <v>768</v>
      </c>
      <c r="F72" s="849" t="s">
        <v>1200</v>
      </c>
      <c r="G72" s="849">
        <v>899.12</v>
      </c>
      <c r="H72" s="849">
        <v>1498.98</v>
      </c>
      <c r="I72" s="849">
        <v>2738.89</v>
      </c>
      <c r="J72" s="849">
        <v>3364.49</v>
      </c>
      <c r="K72" s="849">
        <v>4571.48</v>
      </c>
      <c r="L72" s="849">
        <v>5615.85</v>
      </c>
      <c r="M72" s="849">
        <v>6693.81</v>
      </c>
      <c r="N72" s="849">
        <v>8033.8</v>
      </c>
      <c r="O72" s="849">
        <v>9620.06</v>
      </c>
      <c r="P72" s="849">
        <v>10381.82</v>
      </c>
      <c r="Q72" s="849">
        <v>11320.59</v>
      </c>
      <c r="R72" s="849">
        <v>11945.28</v>
      </c>
      <c r="S72" s="849">
        <v>1029.14</v>
      </c>
      <c r="T72" s="849">
        <v>1029.14</v>
      </c>
      <c r="U72" s="849">
        <v>0.0</v>
      </c>
      <c r="V72" s="849">
        <v>0.0</v>
      </c>
      <c r="W72" s="849">
        <v>0.0</v>
      </c>
      <c r="X72" s="849">
        <v>0.0</v>
      </c>
      <c r="Y72" s="849">
        <v>0.0</v>
      </c>
      <c r="Z72" s="849">
        <v>0.0</v>
      </c>
      <c r="AA72" s="849">
        <v>0.0</v>
      </c>
      <c r="AB72" s="849">
        <v>0.0</v>
      </c>
      <c r="AC72" s="849">
        <v>0.0</v>
      </c>
      <c r="AD72" s="849">
        <v>0.0</v>
      </c>
      <c r="AE72" s="849">
        <v>0.0</v>
      </c>
      <c r="AF72" s="849">
        <v>0.0</v>
      </c>
      <c r="AG72" s="849">
        <v>0.0</v>
      </c>
      <c r="AH72" s="849">
        <v>0.0</v>
      </c>
      <c r="AI72" s="849">
        <v>0.0</v>
      </c>
      <c r="AJ72" s="794" t="str">
        <f t="shared" ref="AJ72:AK72" si="141">C72</f>
        <v>G0332</v>
      </c>
      <c r="AK72" s="794" t="str">
        <f t="shared" si="141"/>
        <v>FRAIS POSTE-TRANSP.USAGE</v>
      </c>
      <c r="AL72" s="794">
        <f t="array" ref="AL72">IFERROR(INDEX(G72:R72,1,MATCH(Parametres!$B$3,G$1:R$1,0)-1)*IF(OR(F72="L",F72="S",F72="I"),-1,1),"")</f>
        <v>8033.8</v>
      </c>
      <c r="AM72" s="794">
        <f t="shared" si="4"/>
        <v>1586.26</v>
      </c>
      <c r="AN72" s="794">
        <f t="array" ref="AN72">INDEX(G72:R72,1,MATCH(Parametres!$B$3,G$1:R$1,0))*IF(OR(F72="L",F72="S",F72="I"),-1,1)</f>
        <v>9620.06</v>
      </c>
      <c r="AO72" s="853" t="str">
        <f>+VLOOKUP($AJ72,Data_Validation!$A:$D,1,0)</f>
        <v>G0332</v>
      </c>
      <c r="AP72" s="853" t="str">
        <f>+VLOOKUP($AJ72,Data_Validation!$A:$D,3,0)</f>
        <v>Véhicules usagés</v>
      </c>
      <c r="AQ72" s="853" t="str">
        <f>+VLOOKUP($AJ72,Data_Validation!$A:$D,4,0)</f>
        <v>Frais postaux</v>
      </c>
      <c r="AR72" s="853" t="s">
        <v>728</v>
      </c>
      <c r="AS72" s="853" t="str">
        <f>+VLOOKUP($AJ72,Data_Validation!$A:$E,5,0)</f>
        <v/>
      </c>
      <c r="AT72" s="794" t="str">
        <f t="shared" ref="AT72:AU72" si="142">C72</f>
        <v>G0332</v>
      </c>
      <c r="AU72" s="854" t="str">
        <f t="shared" si="142"/>
        <v>FRAIS POSTE-TRANSP.USAGE</v>
      </c>
      <c r="AV72" s="794">
        <f t="array" ref="AV72">IFERROR(INDEX(V72:AG72,1,MATCH(Parametres!$B$3,V$1:AG$1,0)-1)*IF(OR(C72="L",C72="S",C72="I"),-1,1),"")</f>
        <v>0</v>
      </c>
      <c r="AW72" s="794">
        <f t="shared" si="6"/>
        <v>0</v>
      </c>
      <c r="AX72" s="794">
        <f t="array" ref="AX72">INDEX(V72:AG72,1,MATCH(Parametres!$B$3,V$1:AG$1,0))*IF(OR(C72="L",C72="S",C72="I"),-1,1)</f>
        <v>0</v>
      </c>
      <c r="AY72" s="853" t="s">
        <v>772</v>
      </c>
      <c r="AZ72" s="853" t="str">
        <f>+VLOOKUP($AJ72,Data_Validation!$A:$E,5,0)</f>
        <v/>
      </c>
    </row>
    <row r="73" ht="15.0" customHeight="1">
      <c r="A73" s="849" t="s">
        <v>1239</v>
      </c>
      <c r="B73" s="849">
        <v>2025.0</v>
      </c>
      <c r="C73" s="849" t="s">
        <v>1439</v>
      </c>
      <c r="D73" s="849" t="s">
        <v>1440</v>
      </c>
      <c r="E73" s="849" t="s">
        <v>768</v>
      </c>
      <c r="F73" s="849" t="s">
        <v>1200</v>
      </c>
      <c r="G73" s="849">
        <v>117.14</v>
      </c>
      <c r="H73" s="849">
        <v>2711.97</v>
      </c>
      <c r="I73" s="849">
        <v>2840.44</v>
      </c>
      <c r="J73" s="849">
        <v>4962.14</v>
      </c>
      <c r="K73" s="849">
        <v>5023.55</v>
      </c>
      <c r="L73" s="849">
        <v>5065.53</v>
      </c>
      <c r="M73" s="849">
        <v>5086.6</v>
      </c>
      <c r="N73" s="849">
        <v>5129.63</v>
      </c>
      <c r="O73" s="849">
        <v>5801.95</v>
      </c>
      <c r="P73" s="849">
        <v>5801.95</v>
      </c>
      <c r="Q73" s="849">
        <v>5825.4</v>
      </c>
      <c r="R73" s="849">
        <v>6196.98</v>
      </c>
      <c r="S73" s="849">
        <v>529.58</v>
      </c>
      <c r="T73" s="849">
        <v>529.58</v>
      </c>
      <c r="U73" s="849">
        <v>0.0</v>
      </c>
      <c r="V73" s="849">
        <v>0.0</v>
      </c>
      <c r="W73" s="849">
        <v>0.0</v>
      </c>
      <c r="X73" s="849">
        <v>0.0</v>
      </c>
      <c r="Y73" s="849">
        <v>0.0</v>
      </c>
      <c r="Z73" s="849">
        <v>0.0</v>
      </c>
      <c r="AA73" s="849">
        <v>0.0</v>
      </c>
      <c r="AB73" s="849">
        <v>0.0</v>
      </c>
      <c r="AC73" s="849">
        <v>0.0</v>
      </c>
      <c r="AD73" s="849">
        <v>0.0</v>
      </c>
      <c r="AE73" s="849">
        <v>0.0</v>
      </c>
      <c r="AF73" s="849">
        <v>0.0</v>
      </c>
      <c r="AG73" s="849">
        <v>0.0</v>
      </c>
      <c r="AH73" s="849">
        <v>0.0</v>
      </c>
      <c r="AI73" s="849">
        <v>0.0</v>
      </c>
      <c r="AJ73" s="794" t="str">
        <f t="shared" ref="AJ73:AK73" si="143">C73</f>
        <v>G0333</v>
      </c>
      <c r="AK73" s="794" t="str">
        <f t="shared" si="143"/>
        <v>FRAIS POSTE-TRANSP U.S.A</v>
      </c>
      <c r="AL73" s="794">
        <f t="array" ref="AL73">IFERROR(INDEX(G73:R73,1,MATCH(Parametres!$B$3,G$1:R$1,0)-1)*IF(OR(F73="L",F73="S",F73="I"),-1,1),"")</f>
        <v>5129.63</v>
      </c>
      <c r="AM73" s="794">
        <f t="shared" si="4"/>
        <v>672.32</v>
      </c>
      <c r="AN73" s="794">
        <f t="array" ref="AN73">INDEX(G73:R73,1,MATCH(Parametres!$B$3,G$1:R$1,0))*IF(OR(F73="L",F73="S",F73="I"),-1,1)</f>
        <v>5801.95</v>
      </c>
      <c r="AO73" s="853" t="str">
        <f>+VLOOKUP($AJ73,Data_Validation!$A:$D,1,0)</f>
        <v>G0333</v>
      </c>
      <c r="AP73" s="853" t="str">
        <f>+VLOOKUP($AJ73,Data_Validation!$A:$D,3,0)</f>
        <v>Wholesale autres</v>
      </c>
      <c r="AQ73" s="853" t="str">
        <f>+VLOOKUP($AJ73,Data_Validation!$A:$D,4,0)</f>
        <v>Frais postaux</v>
      </c>
      <c r="AR73" s="853" t="s">
        <v>728</v>
      </c>
      <c r="AS73" s="853" t="str">
        <f>+VLOOKUP($AJ73,Data_Validation!$A:$E,5,0)</f>
        <v/>
      </c>
      <c r="AT73" s="794" t="str">
        <f t="shared" ref="AT73:AU73" si="144">C73</f>
        <v>G0333</v>
      </c>
      <c r="AU73" s="854" t="str">
        <f t="shared" si="144"/>
        <v>FRAIS POSTE-TRANSP U.S.A</v>
      </c>
      <c r="AV73" s="794">
        <f t="array" ref="AV73">IFERROR(INDEX(V73:AG73,1,MATCH(Parametres!$B$3,V$1:AG$1,0)-1)*IF(OR(C73="L",C73="S",C73="I"),-1,1),"")</f>
        <v>0</v>
      </c>
      <c r="AW73" s="794">
        <f t="shared" si="6"/>
        <v>0</v>
      </c>
      <c r="AX73" s="794">
        <f t="array" ref="AX73">INDEX(V73:AG73,1,MATCH(Parametres!$B$3,V$1:AG$1,0))*IF(OR(C73="L",C73="S",C73="I"),-1,1)</f>
        <v>0</v>
      </c>
      <c r="AY73" s="853" t="s">
        <v>772</v>
      </c>
      <c r="AZ73" s="853" t="str">
        <f>+VLOOKUP($AJ73,Data_Validation!$A:$E,5,0)</f>
        <v/>
      </c>
    </row>
    <row r="74" ht="15.0" customHeight="1">
      <c r="A74" s="849" t="s">
        <v>1239</v>
      </c>
      <c r="B74" s="849">
        <v>2025.0</v>
      </c>
      <c r="C74" s="849" t="s">
        <v>1441</v>
      </c>
      <c r="D74" s="849" t="s">
        <v>1442</v>
      </c>
      <c r="E74" s="849" t="s">
        <v>768</v>
      </c>
      <c r="F74" s="849" t="s">
        <v>1200</v>
      </c>
      <c r="G74" s="849">
        <v>29.6</v>
      </c>
      <c r="H74" s="849">
        <v>286.5</v>
      </c>
      <c r="I74" s="849">
        <v>752.78</v>
      </c>
      <c r="J74" s="849">
        <v>1382.75</v>
      </c>
      <c r="K74" s="849">
        <v>2456.99</v>
      </c>
      <c r="L74" s="849">
        <v>3321.14</v>
      </c>
      <c r="M74" s="849">
        <v>4036.58</v>
      </c>
      <c r="N74" s="849">
        <v>4870.98</v>
      </c>
      <c r="O74" s="849">
        <v>6122.0</v>
      </c>
      <c r="P74" s="849">
        <v>6443.17</v>
      </c>
      <c r="Q74" s="849">
        <v>7169.47</v>
      </c>
      <c r="R74" s="849">
        <v>7910.41</v>
      </c>
      <c r="S74" s="849">
        <v>651.77</v>
      </c>
      <c r="T74" s="849">
        <v>651.77</v>
      </c>
      <c r="U74" s="849">
        <v>0.0</v>
      </c>
      <c r="V74" s="849">
        <v>0.0</v>
      </c>
      <c r="W74" s="849">
        <v>0.0</v>
      </c>
      <c r="X74" s="849">
        <v>0.0</v>
      </c>
      <c r="Y74" s="849">
        <v>0.0</v>
      </c>
      <c r="Z74" s="849">
        <v>0.0</v>
      </c>
      <c r="AA74" s="849">
        <v>0.0</v>
      </c>
      <c r="AB74" s="849">
        <v>0.0</v>
      </c>
      <c r="AC74" s="849">
        <v>0.0</v>
      </c>
      <c r="AD74" s="849">
        <v>0.0</v>
      </c>
      <c r="AE74" s="849">
        <v>0.0</v>
      </c>
      <c r="AF74" s="849">
        <v>0.0</v>
      </c>
      <c r="AG74" s="849">
        <v>0.0</v>
      </c>
      <c r="AH74" s="849">
        <v>0.0</v>
      </c>
      <c r="AI74" s="849">
        <v>0.0</v>
      </c>
      <c r="AJ74" s="794" t="str">
        <f t="shared" ref="AJ74:AK74" si="145">C74</f>
        <v>G0334</v>
      </c>
      <c r="AK74" s="794" t="str">
        <f t="shared" si="145"/>
        <v>FRAIS POSTE-TRANSP.SER.</v>
      </c>
      <c r="AL74" s="794">
        <f t="array" ref="AL74">IFERROR(INDEX(G74:R74,1,MATCH(Parametres!$B$3,G$1:R$1,0)-1)*IF(OR(F74="L",F74="S",F74="I"),-1,1),"")</f>
        <v>4870.98</v>
      </c>
      <c r="AM74" s="794">
        <f t="shared" si="4"/>
        <v>1251.02</v>
      </c>
      <c r="AN74" s="794">
        <f t="array" ref="AN74">INDEX(G74:R74,1,MATCH(Parametres!$B$3,G$1:R$1,0))*IF(OR(F74="L",F74="S",F74="I"),-1,1)</f>
        <v>6122</v>
      </c>
      <c r="AO74" s="853" t="str">
        <f>+VLOOKUP($AJ74,Data_Validation!$A:$D,1,0)</f>
        <v>G0334</v>
      </c>
      <c r="AP74" s="853" t="str">
        <f>+VLOOKUP($AJ74,Data_Validation!$A:$D,3,0)</f>
        <v>Service</v>
      </c>
      <c r="AQ74" s="853" t="str">
        <f>+VLOOKUP($AJ74,Data_Validation!$A:$D,4,0)</f>
        <v>Frais postaux</v>
      </c>
      <c r="AR74" s="853" t="s">
        <v>728</v>
      </c>
      <c r="AS74" s="853" t="str">
        <f>+VLOOKUP($AJ74,Data_Validation!$A:$E,5,0)</f>
        <v/>
      </c>
      <c r="AT74" s="794" t="str">
        <f t="shared" ref="AT74:AU74" si="146">C74</f>
        <v>G0334</v>
      </c>
      <c r="AU74" s="854" t="str">
        <f t="shared" si="146"/>
        <v>FRAIS POSTE-TRANSP.SER.</v>
      </c>
      <c r="AV74" s="794">
        <f t="array" ref="AV74">IFERROR(INDEX(V74:AG74,1,MATCH(Parametres!$B$3,V$1:AG$1,0)-1)*IF(OR(C74="L",C74="S",C74="I"),-1,1),"")</f>
        <v>0</v>
      </c>
      <c r="AW74" s="794">
        <f t="shared" si="6"/>
        <v>0</v>
      </c>
      <c r="AX74" s="794">
        <f t="array" ref="AX74">INDEX(V74:AG74,1,MATCH(Parametres!$B$3,V$1:AG$1,0))*IF(OR(C74="L",C74="S",C74="I"),-1,1)</f>
        <v>0</v>
      </c>
      <c r="AY74" s="853" t="s">
        <v>772</v>
      </c>
      <c r="AZ74" s="853" t="str">
        <f>+VLOOKUP($AJ74,Data_Validation!$A:$E,5,0)</f>
        <v/>
      </c>
    </row>
    <row r="75" ht="15.0" customHeight="1">
      <c r="A75" s="849" t="s">
        <v>1239</v>
      </c>
      <c r="B75" s="849">
        <v>2025.0</v>
      </c>
      <c r="C75" s="849" t="s">
        <v>1443</v>
      </c>
      <c r="D75" s="849" t="s">
        <v>1444</v>
      </c>
      <c r="E75" s="849" t="s">
        <v>768</v>
      </c>
      <c r="F75" s="849" t="s">
        <v>1200</v>
      </c>
      <c r="G75" s="849">
        <v>2.85</v>
      </c>
      <c r="H75" s="849">
        <v>89.65</v>
      </c>
      <c r="I75" s="849">
        <v>645.91</v>
      </c>
      <c r="J75" s="849">
        <v>854.16</v>
      </c>
      <c r="K75" s="849">
        <v>1213.07</v>
      </c>
      <c r="L75" s="849">
        <v>1501.12</v>
      </c>
      <c r="M75" s="849">
        <v>1728.28</v>
      </c>
      <c r="N75" s="849">
        <v>2000.08</v>
      </c>
      <c r="O75" s="849">
        <v>2261.53</v>
      </c>
      <c r="P75" s="849">
        <v>2363.47</v>
      </c>
      <c r="Q75" s="849">
        <v>2626.57</v>
      </c>
      <c r="R75" s="849">
        <v>2873.55</v>
      </c>
      <c r="S75" s="849">
        <v>238.78</v>
      </c>
      <c r="T75" s="849">
        <v>238.78</v>
      </c>
      <c r="U75" s="849">
        <v>0.0</v>
      </c>
      <c r="V75" s="849">
        <v>0.0</v>
      </c>
      <c r="W75" s="849">
        <v>0.0</v>
      </c>
      <c r="X75" s="849">
        <v>0.0</v>
      </c>
      <c r="Y75" s="849">
        <v>0.0</v>
      </c>
      <c r="Z75" s="849">
        <v>0.0</v>
      </c>
      <c r="AA75" s="849">
        <v>0.0</v>
      </c>
      <c r="AB75" s="849">
        <v>0.0</v>
      </c>
      <c r="AC75" s="849">
        <v>0.0</v>
      </c>
      <c r="AD75" s="849">
        <v>0.0</v>
      </c>
      <c r="AE75" s="849">
        <v>0.0</v>
      </c>
      <c r="AF75" s="849">
        <v>0.0</v>
      </c>
      <c r="AG75" s="849">
        <v>0.0</v>
      </c>
      <c r="AH75" s="849">
        <v>0.0</v>
      </c>
      <c r="AI75" s="849">
        <v>0.0</v>
      </c>
      <c r="AJ75" s="794" t="str">
        <f t="shared" ref="AJ75:AK75" si="147">C75</f>
        <v>G0335</v>
      </c>
      <c r="AK75" s="794" t="str">
        <f t="shared" si="147"/>
        <v>FRAIS POSTE-TRANSP. CARR.</v>
      </c>
      <c r="AL75" s="794">
        <f t="array" ref="AL75">IFERROR(INDEX(G75:R75,1,MATCH(Parametres!$B$3,G$1:R$1,0)-1)*IF(OR(F75="L",F75="S",F75="I"),-1,1),"")</f>
        <v>2000.08</v>
      </c>
      <c r="AM75" s="794">
        <f t="shared" si="4"/>
        <v>261.45</v>
      </c>
      <c r="AN75" s="794">
        <f t="array" ref="AN75">INDEX(G75:R75,1,MATCH(Parametres!$B$3,G$1:R$1,0))*IF(OR(F75="L",F75="S",F75="I"),-1,1)</f>
        <v>2261.53</v>
      </c>
      <c r="AO75" s="853" t="str">
        <f>+VLOOKUP($AJ75,Data_Validation!$A:$D,1,0)</f>
        <v>G0335</v>
      </c>
      <c r="AP75" s="853" t="str">
        <f>+VLOOKUP($AJ75,Data_Validation!$A:$D,3,0)</f>
        <v>Carrosserie</v>
      </c>
      <c r="AQ75" s="853" t="str">
        <f>+VLOOKUP($AJ75,Data_Validation!$A:$D,4,0)</f>
        <v>Frais postaux</v>
      </c>
      <c r="AR75" s="853" t="s">
        <v>728</v>
      </c>
      <c r="AS75" s="853" t="str">
        <f>+VLOOKUP($AJ75,Data_Validation!$A:$E,5,0)</f>
        <v/>
      </c>
      <c r="AT75" s="794" t="str">
        <f t="shared" ref="AT75:AU75" si="148">C75</f>
        <v>G0335</v>
      </c>
      <c r="AU75" s="854" t="str">
        <f t="shared" si="148"/>
        <v>FRAIS POSTE-TRANSP. CARR.</v>
      </c>
      <c r="AV75" s="794">
        <f t="array" ref="AV75">IFERROR(INDEX(V75:AG75,1,MATCH(Parametres!$B$3,V$1:AG$1,0)-1)*IF(OR(C75="L",C75="S",C75="I"),-1,1),"")</f>
        <v>0</v>
      </c>
      <c r="AW75" s="794">
        <f t="shared" si="6"/>
        <v>0</v>
      </c>
      <c r="AX75" s="794">
        <f t="array" ref="AX75">INDEX(V75:AG75,1,MATCH(Parametres!$B$3,V$1:AG$1,0))*IF(OR(C75="L",C75="S",C75="I"),-1,1)</f>
        <v>0</v>
      </c>
      <c r="AY75" s="853" t="s">
        <v>772</v>
      </c>
      <c r="AZ75" s="853" t="str">
        <f>+VLOOKUP($AJ75,Data_Validation!$A:$E,5,0)</f>
        <v/>
      </c>
    </row>
    <row r="76" ht="15.0" customHeight="1">
      <c r="A76" s="849" t="s">
        <v>1239</v>
      </c>
      <c r="B76" s="849">
        <v>2025.0</v>
      </c>
      <c r="C76" s="849" t="s">
        <v>1445</v>
      </c>
      <c r="D76" s="849" t="s">
        <v>1446</v>
      </c>
      <c r="E76" s="849" t="s">
        <v>768</v>
      </c>
      <c r="F76" s="849" t="s">
        <v>1200</v>
      </c>
      <c r="G76" s="849">
        <v>773.86</v>
      </c>
      <c r="H76" s="849">
        <v>1026.26</v>
      </c>
      <c r="I76" s="849">
        <v>1551.63</v>
      </c>
      <c r="J76" s="849">
        <v>1930.48</v>
      </c>
      <c r="K76" s="849">
        <v>2979.84</v>
      </c>
      <c r="L76" s="849">
        <v>3311.11</v>
      </c>
      <c r="M76" s="849">
        <v>3860.03</v>
      </c>
      <c r="N76" s="849">
        <v>5443.35</v>
      </c>
      <c r="O76" s="849">
        <v>6105.21</v>
      </c>
      <c r="P76" s="849">
        <v>6345.13</v>
      </c>
      <c r="Q76" s="849">
        <v>6709.73</v>
      </c>
      <c r="R76" s="849">
        <v>7330.78</v>
      </c>
      <c r="S76" s="849">
        <v>609.98</v>
      </c>
      <c r="T76" s="849">
        <v>609.98</v>
      </c>
      <c r="U76" s="849">
        <v>0.0</v>
      </c>
      <c r="V76" s="849">
        <v>0.0</v>
      </c>
      <c r="W76" s="849">
        <v>0.0</v>
      </c>
      <c r="X76" s="849">
        <v>0.0</v>
      </c>
      <c r="Y76" s="849">
        <v>0.0</v>
      </c>
      <c r="Z76" s="849">
        <v>0.0</v>
      </c>
      <c r="AA76" s="849">
        <v>0.0</v>
      </c>
      <c r="AB76" s="849">
        <v>0.0</v>
      </c>
      <c r="AC76" s="849">
        <v>0.0</v>
      </c>
      <c r="AD76" s="849">
        <v>0.0</v>
      </c>
      <c r="AE76" s="849">
        <v>0.0</v>
      </c>
      <c r="AF76" s="849">
        <v>0.0</v>
      </c>
      <c r="AG76" s="849">
        <v>0.0</v>
      </c>
      <c r="AH76" s="849">
        <v>0.0</v>
      </c>
      <c r="AI76" s="849">
        <v>0.0</v>
      </c>
      <c r="AJ76" s="794" t="str">
        <f t="shared" ref="AJ76:AK76" si="149">C76</f>
        <v>G0336</v>
      </c>
      <c r="AK76" s="794" t="str">
        <f t="shared" si="149"/>
        <v>FRAIS POSTE-TRANSP PIECE</v>
      </c>
      <c r="AL76" s="794">
        <f t="array" ref="AL76">IFERROR(INDEX(G76:R76,1,MATCH(Parametres!$B$3,G$1:R$1,0)-1)*IF(OR(F76="L",F76="S",F76="I"),-1,1),"")</f>
        <v>5443.35</v>
      </c>
      <c r="AM76" s="794">
        <f t="shared" si="4"/>
        <v>661.86</v>
      </c>
      <c r="AN76" s="794">
        <f t="array" ref="AN76">INDEX(G76:R76,1,MATCH(Parametres!$B$3,G$1:R$1,0))*IF(OR(F76="L",F76="S",F76="I"),-1,1)</f>
        <v>6105.21</v>
      </c>
      <c r="AO76" s="853" t="str">
        <f>+VLOOKUP($AJ76,Data_Validation!$A:$D,1,0)</f>
        <v>G0336</v>
      </c>
      <c r="AP76" s="853" t="str">
        <f>+VLOOKUP($AJ76,Data_Validation!$A:$D,3,0)</f>
        <v>Pièces</v>
      </c>
      <c r="AQ76" s="853" t="str">
        <f>+VLOOKUP($AJ76,Data_Validation!$A:$D,4,0)</f>
        <v>Frais postaux</v>
      </c>
      <c r="AR76" s="853" t="s">
        <v>728</v>
      </c>
      <c r="AS76" s="853" t="str">
        <f>+VLOOKUP($AJ76,Data_Validation!$A:$E,5,0)</f>
        <v/>
      </c>
      <c r="AT76" s="794" t="str">
        <f t="shared" ref="AT76:AU76" si="150">C76</f>
        <v>G0336</v>
      </c>
      <c r="AU76" s="854" t="str">
        <f t="shared" si="150"/>
        <v>FRAIS POSTE-TRANSP PIECE</v>
      </c>
      <c r="AV76" s="794">
        <f t="array" ref="AV76">IFERROR(INDEX(V76:AG76,1,MATCH(Parametres!$B$3,V$1:AG$1,0)-1)*IF(OR(C76="L",C76="S",C76="I"),-1,1),"")</f>
        <v>0</v>
      </c>
      <c r="AW76" s="794">
        <f t="shared" si="6"/>
        <v>0</v>
      </c>
      <c r="AX76" s="794">
        <f t="array" ref="AX76">INDEX(V76:AG76,1,MATCH(Parametres!$B$3,V$1:AG$1,0))*IF(OR(C76="L",C76="S",C76="I"),-1,1)</f>
        <v>0</v>
      </c>
      <c r="AY76" s="853" t="s">
        <v>772</v>
      </c>
      <c r="AZ76" s="853" t="str">
        <f>+VLOOKUP($AJ76,Data_Validation!$A:$E,5,0)</f>
        <v/>
      </c>
    </row>
    <row r="77" ht="15.0" customHeight="1">
      <c r="A77" s="849" t="s">
        <v>1239</v>
      </c>
      <c r="B77" s="849">
        <v>2025.0</v>
      </c>
      <c r="C77" s="849" t="s">
        <v>1447</v>
      </c>
      <c r="D77" s="849" t="s">
        <v>1448</v>
      </c>
      <c r="E77" s="849" t="s">
        <v>768</v>
      </c>
      <c r="F77" s="849" t="s">
        <v>1200</v>
      </c>
      <c r="G77" s="849">
        <v>0.0</v>
      </c>
      <c r="H77" s="849">
        <v>0.0</v>
      </c>
      <c r="I77" s="849">
        <v>0.0</v>
      </c>
      <c r="J77" s="849">
        <v>0.0</v>
      </c>
      <c r="K77" s="849">
        <v>0.0</v>
      </c>
      <c r="L77" s="849">
        <v>0.0</v>
      </c>
      <c r="M77" s="849">
        <v>0.0</v>
      </c>
      <c r="N77" s="849">
        <v>0.0</v>
      </c>
      <c r="O77" s="849">
        <v>0.0</v>
      </c>
      <c r="P77" s="849">
        <v>0.0</v>
      </c>
      <c r="Q77" s="849">
        <v>0.0</v>
      </c>
      <c r="R77" s="849">
        <v>0.0</v>
      </c>
      <c r="S77" s="849">
        <v>0.0</v>
      </c>
      <c r="T77" s="849">
        <v>0.0</v>
      </c>
      <c r="U77" s="849">
        <v>0.0</v>
      </c>
      <c r="V77" s="849">
        <v>0.0</v>
      </c>
      <c r="W77" s="849">
        <v>0.0</v>
      </c>
      <c r="X77" s="849">
        <v>0.0</v>
      </c>
      <c r="Y77" s="849">
        <v>0.0</v>
      </c>
      <c r="Z77" s="849">
        <v>0.0</v>
      </c>
      <c r="AA77" s="849">
        <v>0.0</v>
      </c>
      <c r="AB77" s="849">
        <v>0.0</v>
      </c>
      <c r="AC77" s="849">
        <v>0.0</v>
      </c>
      <c r="AD77" s="849">
        <v>0.0</v>
      </c>
      <c r="AE77" s="849">
        <v>0.0</v>
      </c>
      <c r="AF77" s="849">
        <v>0.0</v>
      </c>
      <c r="AG77" s="849">
        <v>0.0</v>
      </c>
      <c r="AH77" s="849">
        <v>0.0</v>
      </c>
      <c r="AI77" s="849">
        <v>0.0</v>
      </c>
      <c r="AJ77" s="794" t="str">
        <f t="shared" ref="AJ77:AK77" si="151">C77</f>
        <v>G0510</v>
      </c>
      <c r="AK77" s="794" t="str">
        <f t="shared" si="151"/>
        <v>ENT. DEMOS REP.</v>
      </c>
      <c r="AL77" s="794">
        <f t="array" ref="AL77">IFERROR(INDEX(G77:R77,1,MATCH(Parametres!$B$3,G$1:R$1,0)-1)*IF(OR(F77="L",F77="S",F77="I"),-1,1),"")</f>
        <v>0</v>
      </c>
      <c r="AM77" s="794">
        <f t="shared" si="4"/>
        <v>0</v>
      </c>
      <c r="AN77" s="794">
        <f t="array" ref="AN77">INDEX(G77:R77,1,MATCH(Parametres!$B$3,G$1:R$1,0))*IF(OR(F77="L",F77="S",F77="I"),-1,1)</f>
        <v>0</v>
      </c>
      <c r="AO77" s="853" t="str">
        <f>+VLOOKUP($AJ77,Data_Validation!$A:$D,1,0)</f>
        <v>#N/A</v>
      </c>
      <c r="AP77" s="853" t="str">
        <f>+VLOOKUP($AJ77,Data_Validation!$A:$D,3,0)</f>
        <v>#N/A</v>
      </c>
      <c r="AQ77" s="853" t="str">
        <f>+VLOOKUP($AJ77,Data_Validation!$A:$D,4,0)</f>
        <v>#N/A</v>
      </c>
      <c r="AR77" s="853" t="s">
        <v>728</v>
      </c>
      <c r="AS77" s="853" t="str">
        <f>+VLOOKUP($AJ77,Data_Validation!$A:$E,5,0)</f>
        <v>#N/A</v>
      </c>
      <c r="AT77" s="794" t="str">
        <f t="shared" ref="AT77:AU77" si="152">C77</f>
        <v>G0510</v>
      </c>
      <c r="AU77" s="854" t="str">
        <f t="shared" si="152"/>
        <v>ENT. DEMOS REP.</v>
      </c>
      <c r="AV77" s="794">
        <f t="array" ref="AV77">IFERROR(INDEX(V77:AG77,1,MATCH(Parametres!$B$3,V$1:AG$1,0)-1)*IF(OR(C77="L",C77="S",C77="I"),-1,1),"")</f>
        <v>0</v>
      </c>
      <c r="AW77" s="794">
        <f t="shared" si="6"/>
        <v>0</v>
      </c>
      <c r="AX77" s="794">
        <f t="array" ref="AX77">INDEX(V77:AG77,1,MATCH(Parametres!$B$3,V$1:AG$1,0))*IF(OR(C77="L",C77="S",C77="I"),-1,1)</f>
        <v>0</v>
      </c>
      <c r="AY77" s="853" t="s">
        <v>772</v>
      </c>
      <c r="AZ77" s="853" t="str">
        <f>+VLOOKUP($AJ77,Data_Validation!$A:$E,5,0)</f>
        <v>#N/A</v>
      </c>
    </row>
    <row r="78" ht="15.0" customHeight="1">
      <c r="A78" s="849" t="s">
        <v>1239</v>
      </c>
      <c r="B78" s="849">
        <v>2025.0</v>
      </c>
      <c r="C78" s="849" t="s">
        <v>1449</v>
      </c>
      <c r="D78" s="849" t="s">
        <v>1450</v>
      </c>
      <c r="E78" s="849" t="s">
        <v>768</v>
      </c>
      <c r="F78" s="849" t="s">
        <v>1200</v>
      </c>
      <c r="G78" s="849">
        <v>3746.05</v>
      </c>
      <c r="H78" s="849">
        <v>8646.73</v>
      </c>
      <c r="I78" s="849">
        <v>26260.8</v>
      </c>
      <c r="J78" s="849">
        <v>39758.06</v>
      </c>
      <c r="K78" s="849">
        <v>63424.18</v>
      </c>
      <c r="L78" s="849">
        <v>74292.91</v>
      </c>
      <c r="M78" s="849">
        <v>91532.42</v>
      </c>
      <c r="N78" s="849">
        <v>99842.55</v>
      </c>
      <c r="O78" s="849">
        <v>109093.9</v>
      </c>
      <c r="P78" s="849">
        <v>113876.73</v>
      </c>
      <c r="Q78" s="849">
        <v>130663.61</v>
      </c>
      <c r="R78" s="849">
        <v>138425.68</v>
      </c>
      <c r="S78" s="849">
        <v>11878.51</v>
      </c>
      <c r="T78" s="849">
        <v>11878.51</v>
      </c>
      <c r="U78" s="849">
        <v>0.0</v>
      </c>
      <c r="V78" s="849">
        <v>0.0</v>
      </c>
      <c r="W78" s="849">
        <v>0.0</v>
      </c>
      <c r="X78" s="849">
        <v>0.0</v>
      </c>
      <c r="Y78" s="849">
        <v>0.0</v>
      </c>
      <c r="Z78" s="849">
        <v>0.0</v>
      </c>
      <c r="AA78" s="849">
        <v>0.0</v>
      </c>
      <c r="AB78" s="849">
        <v>0.0</v>
      </c>
      <c r="AC78" s="849">
        <v>0.0</v>
      </c>
      <c r="AD78" s="849">
        <v>0.0</v>
      </c>
      <c r="AE78" s="849">
        <v>0.0</v>
      </c>
      <c r="AF78" s="849">
        <v>0.0</v>
      </c>
      <c r="AG78" s="849">
        <v>0.0</v>
      </c>
      <c r="AH78" s="849">
        <v>0.0</v>
      </c>
      <c r="AI78" s="849">
        <v>0.0</v>
      </c>
      <c r="AJ78" s="794" t="str">
        <f t="shared" ref="AJ78:AK78" si="153">C78</f>
        <v>G0511</v>
      </c>
      <c r="AK78" s="794" t="str">
        <f t="shared" si="153"/>
        <v>ENT. DEMOS NEUFS</v>
      </c>
      <c r="AL78" s="794">
        <f t="array" ref="AL78">IFERROR(INDEX(G78:R78,1,MATCH(Parametres!$B$3,G$1:R$1,0)-1)*IF(OR(F78="L",F78="S",F78="I"),-1,1),"")</f>
        <v>99842.55</v>
      </c>
      <c r="AM78" s="794">
        <f t="shared" si="4"/>
        <v>9251.35</v>
      </c>
      <c r="AN78" s="794">
        <f t="array" ref="AN78">INDEX(G78:R78,1,MATCH(Parametres!$B$3,G$1:R$1,0))*IF(OR(F78="L",F78="S",F78="I"),-1,1)</f>
        <v>109093.9</v>
      </c>
      <c r="AO78" s="853" t="str">
        <f>+VLOOKUP($AJ78,Data_Validation!$A:$D,1,0)</f>
        <v>G0511</v>
      </c>
      <c r="AP78" s="853" t="str">
        <f>+VLOOKUP($AJ78,Data_Validation!$A:$D,3,0)</f>
        <v>Véhicules neufs</v>
      </c>
      <c r="AQ78" s="853" t="str">
        <f>+VLOOKUP($AJ78,Data_Validation!$A:$D,4,0)</f>
        <v>Frais véhicules de cie</v>
      </c>
      <c r="AR78" s="853" t="s">
        <v>728</v>
      </c>
      <c r="AS78" s="853" t="str">
        <f>+VLOOKUP($AJ78,Data_Validation!$A:$E,5,0)</f>
        <v/>
      </c>
      <c r="AT78" s="794" t="str">
        <f t="shared" ref="AT78:AU78" si="154">C78</f>
        <v>G0511</v>
      </c>
      <c r="AU78" s="854" t="str">
        <f t="shared" si="154"/>
        <v>ENT. DEMOS NEUFS</v>
      </c>
      <c r="AV78" s="794">
        <f t="array" ref="AV78">IFERROR(INDEX(V78:AG78,1,MATCH(Parametres!$B$3,V$1:AG$1,0)-1)*IF(OR(C78="L",C78="S",C78="I"),-1,1),"")</f>
        <v>0</v>
      </c>
      <c r="AW78" s="794">
        <f t="shared" si="6"/>
        <v>0</v>
      </c>
      <c r="AX78" s="794">
        <f t="array" ref="AX78">INDEX(V78:AG78,1,MATCH(Parametres!$B$3,V$1:AG$1,0))*IF(OR(C78="L",C78="S",C78="I"),-1,1)</f>
        <v>0</v>
      </c>
      <c r="AY78" s="853" t="s">
        <v>772</v>
      </c>
      <c r="AZ78" s="853" t="str">
        <f>+VLOOKUP($AJ78,Data_Validation!$A:$E,5,0)</f>
        <v/>
      </c>
    </row>
    <row r="79" ht="15.0" customHeight="1">
      <c r="A79" s="849" t="s">
        <v>1239</v>
      </c>
      <c r="B79" s="849">
        <v>2025.0</v>
      </c>
      <c r="C79" s="849" t="s">
        <v>1451</v>
      </c>
      <c r="D79" s="849" t="s">
        <v>1452</v>
      </c>
      <c r="E79" s="849" t="s">
        <v>768</v>
      </c>
      <c r="F79" s="849" t="s">
        <v>1200</v>
      </c>
      <c r="G79" s="849">
        <v>300.0</v>
      </c>
      <c r="H79" s="849">
        <v>1805.72</v>
      </c>
      <c r="I79" s="849">
        <v>4297.75</v>
      </c>
      <c r="J79" s="849">
        <v>6741.75</v>
      </c>
      <c r="K79" s="849">
        <v>10133.88</v>
      </c>
      <c r="L79" s="849">
        <v>11311.73</v>
      </c>
      <c r="M79" s="849">
        <v>14068.99</v>
      </c>
      <c r="N79" s="849">
        <v>15284.65</v>
      </c>
      <c r="O79" s="849">
        <v>19273.33</v>
      </c>
      <c r="P79" s="849">
        <v>28656.82</v>
      </c>
      <c r="Q79" s="849">
        <v>37103.26</v>
      </c>
      <c r="R79" s="849">
        <v>43532.77</v>
      </c>
      <c r="S79" s="849">
        <v>3373.02</v>
      </c>
      <c r="T79" s="849">
        <v>3373.02</v>
      </c>
      <c r="U79" s="849">
        <v>0.0</v>
      </c>
      <c r="V79" s="849">
        <v>0.0</v>
      </c>
      <c r="W79" s="849">
        <v>0.0</v>
      </c>
      <c r="X79" s="849">
        <v>0.0</v>
      </c>
      <c r="Y79" s="849">
        <v>0.0</v>
      </c>
      <c r="Z79" s="849">
        <v>0.0</v>
      </c>
      <c r="AA79" s="849">
        <v>0.0</v>
      </c>
      <c r="AB79" s="849">
        <v>0.0</v>
      </c>
      <c r="AC79" s="849">
        <v>0.0</v>
      </c>
      <c r="AD79" s="849">
        <v>0.0</v>
      </c>
      <c r="AE79" s="849">
        <v>0.0</v>
      </c>
      <c r="AF79" s="849">
        <v>0.0</v>
      </c>
      <c r="AG79" s="849">
        <v>0.0</v>
      </c>
      <c r="AH79" s="849">
        <v>0.0</v>
      </c>
      <c r="AI79" s="849">
        <v>0.0</v>
      </c>
      <c r="AJ79" s="794" t="str">
        <f t="shared" ref="AJ79:AK79" si="155">C79</f>
        <v>G0512</v>
      </c>
      <c r="AK79" s="794" t="str">
        <f t="shared" si="155"/>
        <v>ENT. DEMOS USAGES</v>
      </c>
      <c r="AL79" s="794">
        <f t="array" ref="AL79">IFERROR(INDEX(G79:R79,1,MATCH(Parametres!$B$3,G$1:R$1,0)-1)*IF(OR(F79="L",F79="S",F79="I"),-1,1),"")</f>
        <v>15284.65</v>
      </c>
      <c r="AM79" s="794">
        <f t="shared" si="4"/>
        <v>3988.68</v>
      </c>
      <c r="AN79" s="794">
        <f t="array" ref="AN79">INDEX(G79:R79,1,MATCH(Parametres!$B$3,G$1:R$1,0))*IF(OR(F79="L",F79="S",F79="I"),-1,1)</f>
        <v>19273.33</v>
      </c>
      <c r="AO79" s="853" t="str">
        <f>+VLOOKUP($AJ79,Data_Validation!$A:$D,1,0)</f>
        <v>G0512</v>
      </c>
      <c r="AP79" s="853" t="str">
        <f>+VLOOKUP($AJ79,Data_Validation!$A:$D,3,0)</f>
        <v>Véhicules usagés</v>
      </c>
      <c r="AQ79" s="853" t="str">
        <f>+VLOOKUP($AJ79,Data_Validation!$A:$D,4,0)</f>
        <v>Frais véhicules de cie</v>
      </c>
      <c r="AR79" s="853" t="s">
        <v>728</v>
      </c>
      <c r="AS79" s="853" t="str">
        <f>+VLOOKUP($AJ79,Data_Validation!$A:$E,5,0)</f>
        <v/>
      </c>
      <c r="AT79" s="794" t="str">
        <f t="shared" ref="AT79:AU79" si="156">C79</f>
        <v>G0512</v>
      </c>
      <c r="AU79" s="854" t="str">
        <f t="shared" si="156"/>
        <v>ENT. DEMOS USAGES</v>
      </c>
      <c r="AV79" s="794">
        <f t="array" ref="AV79">IFERROR(INDEX(V79:AG79,1,MATCH(Parametres!$B$3,V$1:AG$1,0)-1)*IF(OR(C79="L",C79="S",C79="I"),-1,1),"")</f>
        <v>0</v>
      </c>
      <c r="AW79" s="794">
        <f t="shared" si="6"/>
        <v>0</v>
      </c>
      <c r="AX79" s="794">
        <f t="array" ref="AX79">INDEX(V79:AG79,1,MATCH(Parametres!$B$3,V$1:AG$1,0))*IF(OR(C79="L",C79="S",C79="I"),-1,1)</f>
        <v>0</v>
      </c>
      <c r="AY79" s="853" t="s">
        <v>772</v>
      </c>
      <c r="AZ79" s="853" t="str">
        <f>+VLOOKUP($AJ79,Data_Validation!$A:$E,5,0)</f>
        <v/>
      </c>
    </row>
    <row r="80" ht="15.75" customHeight="1">
      <c r="A80" s="849" t="s">
        <v>1239</v>
      </c>
      <c r="B80" s="849">
        <v>2025.0</v>
      </c>
      <c r="C80" s="849" t="s">
        <v>1453</v>
      </c>
      <c r="D80" s="849" t="s">
        <v>1454</v>
      </c>
      <c r="E80" s="849" t="s">
        <v>768</v>
      </c>
      <c r="F80" s="849" t="s">
        <v>1200</v>
      </c>
      <c r="G80" s="849">
        <v>0.0</v>
      </c>
      <c r="H80" s="849">
        <v>0.0</v>
      </c>
      <c r="I80" s="849">
        <v>0.0</v>
      </c>
      <c r="J80" s="849">
        <v>0.0</v>
      </c>
      <c r="K80" s="849">
        <v>0.0</v>
      </c>
      <c r="L80" s="849">
        <v>0.0</v>
      </c>
      <c r="M80" s="849">
        <v>0.0</v>
      </c>
      <c r="N80" s="849">
        <v>0.0</v>
      </c>
      <c r="O80" s="849">
        <v>0.0</v>
      </c>
      <c r="P80" s="849">
        <v>0.0</v>
      </c>
      <c r="Q80" s="849">
        <v>0.0</v>
      </c>
      <c r="R80" s="849">
        <v>0.0</v>
      </c>
      <c r="S80" s="849">
        <v>0.0</v>
      </c>
      <c r="T80" s="849">
        <v>0.0</v>
      </c>
      <c r="U80" s="849">
        <v>0.0</v>
      </c>
      <c r="V80" s="849">
        <v>0.0</v>
      </c>
      <c r="W80" s="849">
        <v>0.0</v>
      </c>
      <c r="X80" s="849">
        <v>0.0</v>
      </c>
      <c r="Y80" s="849">
        <v>0.0</v>
      </c>
      <c r="Z80" s="849">
        <v>0.0</v>
      </c>
      <c r="AA80" s="849">
        <v>0.0</v>
      </c>
      <c r="AB80" s="849">
        <v>0.0</v>
      </c>
      <c r="AC80" s="849">
        <v>0.0</v>
      </c>
      <c r="AD80" s="849">
        <v>0.0</v>
      </c>
      <c r="AE80" s="849">
        <v>0.0</v>
      </c>
      <c r="AF80" s="849">
        <v>0.0</v>
      </c>
      <c r="AG80" s="849">
        <v>0.0</v>
      </c>
      <c r="AH80" s="849">
        <v>0.0</v>
      </c>
      <c r="AI80" s="849">
        <v>0.0</v>
      </c>
      <c r="AJ80" s="794" t="str">
        <f t="shared" ref="AJ80:AK80" si="157">C80</f>
        <v>G0513</v>
      </c>
      <c r="AK80" s="794" t="str">
        <f t="shared" si="157"/>
        <v>ENT. DEMOS U.S.A</v>
      </c>
      <c r="AL80" s="794">
        <f t="array" ref="AL80">IFERROR(INDEX(G80:R80,1,MATCH(Parametres!$B$3,G$1:R$1,0)-1)*IF(OR(F80="L",F80="S",F80="I"),-1,1),"")</f>
        <v>0</v>
      </c>
      <c r="AM80" s="794">
        <f t="shared" si="4"/>
        <v>0</v>
      </c>
      <c r="AN80" s="794">
        <f t="array" ref="AN80">INDEX(G80:R80,1,MATCH(Parametres!$B$3,G$1:R$1,0))*IF(OR(F80="L",F80="S",F80="I"),-1,1)</f>
        <v>0</v>
      </c>
      <c r="AO80" s="853" t="str">
        <f>+VLOOKUP($AJ80,Data_Validation!$A:$D,1,0)</f>
        <v>G0513</v>
      </c>
      <c r="AP80" s="853" t="str">
        <f>+VLOOKUP($AJ80,Data_Validation!$A:$D,3,0)</f>
        <v>Wholesale autres</v>
      </c>
      <c r="AQ80" s="853" t="str">
        <f>+VLOOKUP($AJ80,Data_Validation!$A:$D,4,0)</f>
        <v>Frais véhicules de cie</v>
      </c>
      <c r="AR80" s="853" t="s">
        <v>728</v>
      </c>
      <c r="AS80" s="853" t="str">
        <f>+VLOOKUP($AJ80,Data_Validation!$A:$E,5,0)</f>
        <v/>
      </c>
      <c r="AT80" s="794" t="str">
        <f t="shared" ref="AT80:AU80" si="158">C80</f>
        <v>G0513</v>
      </c>
      <c r="AU80" s="854" t="str">
        <f t="shared" si="158"/>
        <v>ENT. DEMOS U.S.A</v>
      </c>
      <c r="AV80" s="794">
        <f t="array" ref="AV80">IFERROR(INDEX(V80:AG80,1,MATCH(Parametres!$B$3,V$1:AG$1,0)-1)*IF(OR(C80="L",C80="S",C80="I"),-1,1),"")</f>
        <v>0</v>
      </c>
      <c r="AW80" s="794">
        <f t="shared" si="6"/>
        <v>0</v>
      </c>
      <c r="AX80" s="794">
        <f t="array" ref="AX80">INDEX(V80:AG80,1,MATCH(Parametres!$B$3,V$1:AG$1,0))*IF(OR(C80="L",C80="S",C80="I"),-1,1)</f>
        <v>0</v>
      </c>
      <c r="AY80" s="853" t="s">
        <v>772</v>
      </c>
      <c r="AZ80" s="853" t="str">
        <f>+VLOOKUP($AJ80,Data_Validation!$A:$E,5,0)</f>
        <v/>
      </c>
    </row>
    <row r="81" ht="15.0" customHeight="1">
      <c r="A81" s="849" t="s">
        <v>1239</v>
      </c>
      <c r="B81" s="849">
        <v>2025.0</v>
      </c>
      <c r="C81" s="849" t="s">
        <v>1455</v>
      </c>
      <c r="D81" s="849" t="s">
        <v>1456</v>
      </c>
      <c r="E81" s="849" t="s">
        <v>768</v>
      </c>
      <c r="F81" s="849" t="s">
        <v>1200</v>
      </c>
      <c r="G81" s="849">
        <v>-161.0</v>
      </c>
      <c r="H81" s="849">
        <v>3298.33</v>
      </c>
      <c r="I81" s="849">
        <v>-43636.45</v>
      </c>
      <c r="J81" s="849">
        <v>-39014.58</v>
      </c>
      <c r="K81" s="849">
        <v>-42443.04</v>
      </c>
      <c r="L81" s="849">
        <v>-55917.49</v>
      </c>
      <c r="M81" s="849">
        <v>-45213.94</v>
      </c>
      <c r="N81" s="849">
        <v>-53284.01</v>
      </c>
      <c r="O81" s="849">
        <v>-58458.94</v>
      </c>
      <c r="P81" s="849">
        <v>-51075.23</v>
      </c>
      <c r="Q81" s="849">
        <v>-37860.84</v>
      </c>
      <c r="R81" s="849">
        <v>-33836.78</v>
      </c>
      <c r="S81" s="849">
        <v>-3441.89</v>
      </c>
      <c r="T81" s="849">
        <v>-3441.89</v>
      </c>
      <c r="U81" s="849">
        <v>0.0</v>
      </c>
      <c r="V81" s="849">
        <v>0.0</v>
      </c>
      <c r="W81" s="849">
        <v>0.0</v>
      </c>
      <c r="X81" s="849">
        <v>0.0</v>
      </c>
      <c r="Y81" s="849">
        <v>0.0</v>
      </c>
      <c r="Z81" s="849">
        <v>0.0</v>
      </c>
      <c r="AA81" s="849">
        <v>0.0</v>
      </c>
      <c r="AB81" s="849">
        <v>0.0</v>
      </c>
      <c r="AC81" s="849">
        <v>0.0</v>
      </c>
      <c r="AD81" s="849">
        <v>0.0</v>
      </c>
      <c r="AE81" s="849">
        <v>0.0</v>
      </c>
      <c r="AF81" s="849">
        <v>0.0</v>
      </c>
      <c r="AG81" s="849">
        <v>0.0</v>
      </c>
      <c r="AH81" s="849">
        <v>0.0</v>
      </c>
      <c r="AI81" s="849">
        <v>0.0</v>
      </c>
      <c r="AJ81" s="794" t="str">
        <f t="shared" ref="AJ81:AK81" si="159">C81</f>
        <v>G0514</v>
      </c>
      <c r="AK81" s="794" t="str">
        <f t="shared" si="159"/>
        <v>ENT. DEMOS SERVICE</v>
      </c>
      <c r="AL81" s="794">
        <f t="array" ref="AL81">IFERROR(INDEX(G81:R81,1,MATCH(Parametres!$B$3,G$1:R$1,0)-1)*IF(OR(F81="L",F81="S",F81="I"),-1,1),"")</f>
        <v>-53284.01</v>
      </c>
      <c r="AM81" s="794">
        <f t="shared" si="4"/>
        <v>-5174.93</v>
      </c>
      <c r="AN81" s="794">
        <f t="array" ref="AN81">INDEX(G81:R81,1,MATCH(Parametres!$B$3,G$1:R$1,0))*IF(OR(F81="L",F81="S",F81="I"),-1,1)</f>
        <v>-58458.94</v>
      </c>
      <c r="AO81" s="853" t="str">
        <f>+VLOOKUP($AJ81,Data_Validation!$A:$D,1,0)</f>
        <v>G0514</v>
      </c>
      <c r="AP81" s="853" t="str">
        <f>+VLOOKUP($AJ81,Data_Validation!$A:$D,3,0)</f>
        <v>Service</v>
      </c>
      <c r="AQ81" s="853" t="str">
        <f>+VLOOKUP($AJ81,Data_Validation!$A:$D,4,0)</f>
        <v>Frais véhicules de cie</v>
      </c>
      <c r="AR81" s="853" t="s">
        <v>728</v>
      </c>
      <c r="AS81" s="853" t="str">
        <f>+VLOOKUP($AJ81,Data_Validation!$A:$E,5,0)</f>
        <v/>
      </c>
      <c r="AT81" s="794" t="str">
        <f t="shared" ref="AT81:AU81" si="160">C81</f>
        <v>G0514</v>
      </c>
      <c r="AU81" s="854" t="str">
        <f t="shared" si="160"/>
        <v>ENT. DEMOS SERVICE</v>
      </c>
      <c r="AV81" s="794">
        <f t="array" ref="AV81">IFERROR(INDEX(V81:AG81,1,MATCH(Parametres!$B$3,V$1:AG$1,0)-1)*IF(OR(C81="L",C81="S",C81="I"),-1,1),"")</f>
        <v>0</v>
      </c>
      <c r="AW81" s="794">
        <f t="shared" si="6"/>
        <v>0</v>
      </c>
      <c r="AX81" s="794">
        <f t="array" ref="AX81">INDEX(V81:AG81,1,MATCH(Parametres!$B$3,V$1:AG$1,0))*IF(OR(C81="L",C81="S",C81="I"),-1,1)</f>
        <v>0</v>
      </c>
      <c r="AY81" s="853" t="s">
        <v>772</v>
      </c>
      <c r="AZ81" s="853" t="str">
        <f>+VLOOKUP($AJ81,Data_Validation!$A:$E,5,0)</f>
        <v/>
      </c>
    </row>
    <row r="82" ht="15.0" customHeight="1">
      <c r="A82" s="849" t="s">
        <v>1239</v>
      </c>
      <c r="B82" s="849">
        <v>2025.0</v>
      </c>
      <c r="C82" s="849" t="s">
        <v>1457</v>
      </c>
      <c r="D82" s="849" t="s">
        <v>1458</v>
      </c>
      <c r="E82" s="849" t="s">
        <v>768</v>
      </c>
      <c r="F82" s="849" t="s">
        <v>1200</v>
      </c>
      <c r="G82" s="849">
        <v>-498.0</v>
      </c>
      <c r="H82" s="849">
        <v>-2146.32</v>
      </c>
      <c r="I82" s="849">
        <v>-3015.27</v>
      </c>
      <c r="J82" s="849">
        <v>-3130.47</v>
      </c>
      <c r="K82" s="849">
        <v>-1806.12</v>
      </c>
      <c r="L82" s="849">
        <v>-4977.1</v>
      </c>
      <c r="M82" s="849">
        <v>-4728.47</v>
      </c>
      <c r="N82" s="849">
        <v>-10731.61</v>
      </c>
      <c r="O82" s="849">
        <v>-9690.45</v>
      </c>
      <c r="P82" s="849">
        <v>-8498.84</v>
      </c>
      <c r="Q82" s="849">
        <v>-7440.42</v>
      </c>
      <c r="R82" s="849">
        <v>-14767.51</v>
      </c>
      <c r="S82" s="849">
        <v>-676.4</v>
      </c>
      <c r="T82" s="849">
        <v>-676.4</v>
      </c>
      <c r="U82" s="849">
        <v>0.0</v>
      </c>
      <c r="V82" s="849">
        <v>0.0</v>
      </c>
      <c r="W82" s="849">
        <v>0.0</v>
      </c>
      <c r="X82" s="849">
        <v>0.0</v>
      </c>
      <c r="Y82" s="849">
        <v>0.0</v>
      </c>
      <c r="Z82" s="849">
        <v>0.0</v>
      </c>
      <c r="AA82" s="849">
        <v>0.0</v>
      </c>
      <c r="AB82" s="849">
        <v>0.0</v>
      </c>
      <c r="AC82" s="849">
        <v>0.0</v>
      </c>
      <c r="AD82" s="849">
        <v>0.0</v>
      </c>
      <c r="AE82" s="849">
        <v>0.0</v>
      </c>
      <c r="AF82" s="849">
        <v>0.0</v>
      </c>
      <c r="AG82" s="849">
        <v>0.0</v>
      </c>
      <c r="AH82" s="849">
        <v>0.0</v>
      </c>
      <c r="AI82" s="849">
        <v>0.0</v>
      </c>
      <c r="AJ82" s="794" t="str">
        <f t="shared" ref="AJ82:AK82" si="161">C82</f>
        <v>G0515</v>
      </c>
      <c r="AK82" s="794" t="str">
        <f t="shared" si="161"/>
        <v>ENT. DEMOS CARROSSERIE</v>
      </c>
      <c r="AL82" s="794">
        <f t="array" ref="AL82">IFERROR(INDEX(G82:R82,1,MATCH(Parametres!$B$3,G$1:R$1,0)-1)*IF(OR(F82="L",F82="S",F82="I"),-1,1),"")</f>
        <v>-10731.61</v>
      </c>
      <c r="AM82" s="794">
        <f t="shared" si="4"/>
        <v>1041.16</v>
      </c>
      <c r="AN82" s="794">
        <f t="array" ref="AN82">INDEX(G82:R82,1,MATCH(Parametres!$B$3,G$1:R$1,0))*IF(OR(F82="L",F82="S",F82="I"),-1,1)</f>
        <v>-9690.45</v>
      </c>
      <c r="AO82" s="853" t="str">
        <f>+VLOOKUP($AJ82,Data_Validation!$A:$D,1,0)</f>
        <v>G0515</v>
      </c>
      <c r="AP82" s="853" t="str">
        <f>+VLOOKUP($AJ82,Data_Validation!$A:$D,3,0)</f>
        <v>Carrosserie</v>
      </c>
      <c r="AQ82" s="853" t="str">
        <f>+VLOOKUP($AJ82,Data_Validation!$A:$D,4,0)</f>
        <v>Frais véhicules de cie</v>
      </c>
      <c r="AR82" s="853" t="s">
        <v>728</v>
      </c>
      <c r="AS82" s="853" t="str">
        <f>+VLOOKUP($AJ82,Data_Validation!$A:$E,5,0)</f>
        <v/>
      </c>
      <c r="AT82" s="794" t="str">
        <f t="shared" ref="AT82:AU82" si="162">C82</f>
        <v>G0515</v>
      </c>
      <c r="AU82" s="854" t="str">
        <f t="shared" si="162"/>
        <v>ENT. DEMOS CARROSSERIE</v>
      </c>
      <c r="AV82" s="794">
        <f t="array" ref="AV82">IFERROR(INDEX(V82:AG82,1,MATCH(Parametres!$B$3,V$1:AG$1,0)-1)*IF(OR(C82="L",C82="S",C82="I"),-1,1),"")</f>
        <v>0</v>
      </c>
      <c r="AW82" s="794">
        <f t="shared" si="6"/>
        <v>0</v>
      </c>
      <c r="AX82" s="794">
        <f t="array" ref="AX82">INDEX(V82:AG82,1,MATCH(Parametres!$B$3,V$1:AG$1,0))*IF(OR(C82="L",C82="S",C82="I"),-1,1)</f>
        <v>0</v>
      </c>
      <c r="AY82" s="853" t="s">
        <v>772</v>
      </c>
      <c r="AZ82" s="853" t="str">
        <f>+VLOOKUP($AJ82,Data_Validation!$A:$E,5,0)</f>
        <v/>
      </c>
    </row>
    <row r="83" ht="15.0" customHeight="1">
      <c r="A83" s="849" t="s">
        <v>1239</v>
      </c>
      <c r="B83" s="849">
        <v>2025.0</v>
      </c>
      <c r="C83" s="849" t="s">
        <v>1459</v>
      </c>
      <c r="D83" s="849" t="s">
        <v>1460</v>
      </c>
      <c r="E83" s="849" t="s">
        <v>768</v>
      </c>
      <c r="F83" s="849" t="s">
        <v>1200</v>
      </c>
      <c r="G83" s="849">
        <v>1025.0</v>
      </c>
      <c r="H83" s="849">
        <v>7536.07</v>
      </c>
      <c r="I83" s="849">
        <v>10333.98</v>
      </c>
      <c r="J83" s="849">
        <v>13395.62</v>
      </c>
      <c r="K83" s="849">
        <v>15716.11</v>
      </c>
      <c r="L83" s="849">
        <v>17042.83</v>
      </c>
      <c r="M83" s="849">
        <v>19522.59</v>
      </c>
      <c r="N83" s="849">
        <v>21881.7</v>
      </c>
      <c r="O83" s="849">
        <v>24811.64</v>
      </c>
      <c r="P83" s="849">
        <v>27449.44</v>
      </c>
      <c r="Q83" s="849">
        <v>29850.97</v>
      </c>
      <c r="R83" s="849">
        <v>31295.32</v>
      </c>
      <c r="S83" s="849">
        <v>2713.72</v>
      </c>
      <c r="T83" s="849">
        <v>2713.72</v>
      </c>
      <c r="U83" s="849">
        <v>0.0</v>
      </c>
      <c r="V83" s="849">
        <v>0.0</v>
      </c>
      <c r="W83" s="849">
        <v>0.0</v>
      </c>
      <c r="X83" s="849">
        <v>0.0</v>
      </c>
      <c r="Y83" s="849">
        <v>0.0</v>
      </c>
      <c r="Z83" s="849">
        <v>0.0</v>
      </c>
      <c r="AA83" s="849">
        <v>0.0</v>
      </c>
      <c r="AB83" s="849">
        <v>0.0</v>
      </c>
      <c r="AC83" s="849">
        <v>0.0</v>
      </c>
      <c r="AD83" s="849">
        <v>0.0</v>
      </c>
      <c r="AE83" s="849">
        <v>0.0</v>
      </c>
      <c r="AF83" s="849">
        <v>0.0</v>
      </c>
      <c r="AG83" s="849">
        <v>0.0</v>
      </c>
      <c r="AH83" s="849">
        <v>0.0</v>
      </c>
      <c r="AI83" s="849">
        <v>0.0</v>
      </c>
      <c r="AJ83" s="794" t="str">
        <f t="shared" ref="AJ83:AK83" si="163">C83</f>
        <v>G0516</v>
      </c>
      <c r="AK83" s="794" t="str">
        <f t="shared" si="163"/>
        <v>ENT. DEMOS PIECES</v>
      </c>
      <c r="AL83" s="794">
        <f t="array" ref="AL83">IFERROR(INDEX(G83:R83,1,MATCH(Parametres!$B$3,G$1:R$1,0)-1)*IF(OR(F83="L",F83="S",F83="I"),-1,1),"")</f>
        <v>21881.7</v>
      </c>
      <c r="AM83" s="794">
        <f t="shared" si="4"/>
        <v>2929.94</v>
      </c>
      <c r="AN83" s="794">
        <f t="array" ref="AN83">INDEX(G83:R83,1,MATCH(Parametres!$B$3,G$1:R$1,0))*IF(OR(F83="L",F83="S",F83="I"),-1,1)</f>
        <v>24811.64</v>
      </c>
      <c r="AO83" s="853" t="str">
        <f>+VLOOKUP($AJ83,Data_Validation!$A:$D,1,0)</f>
        <v>G0516</v>
      </c>
      <c r="AP83" s="853" t="str">
        <f>+VLOOKUP($AJ83,Data_Validation!$A:$D,3,0)</f>
        <v>Pièces</v>
      </c>
      <c r="AQ83" s="853" t="str">
        <f>+VLOOKUP($AJ83,Data_Validation!$A:$D,4,0)</f>
        <v>Frais véhicules de cie</v>
      </c>
      <c r="AR83" s="853" t="s">
        <v>728</v>
      </c>
      <c r="AS83" s="853" t="str">
        <f>+VLOOKUP($AJ83,Data_Validation!$A:$E,5,0)</f>
        <v/>
      </c>
      <c r="AT83" s="794" t="str">
        <f t="shared" ref="AT83:AU83" si="164">C83</f>
        <v>G0516</v>
      </c>
      <c r="AU83" s="854" t="str">
        <f t="shared" si="164"/>
        <v>ENT. DEMOS PIECES</v>
      </c>
      <c r="AV83" s="794">
        <f t="array" ref="AV83">IFERROR(INDEX(V83:AG83,1,MATCH(Parametres!$B$3,V$1:AG$1,0)-1)*IF(OR(C83="L",C83="S",C83="I"),-1,1),"")</f>
        <v>0</v>
      </c>
      <c r="AW83" s="794">
        <f t="shared" si="6"/>
        <v>0</v>
      </c>
      <c r="AX83" s="794">
        <f t="array" ref="AX83">INDEX(V83:AG83,1,MATCH(Parametres!$B$3,V$1:AG$1,0))*IF(OR(C83="L",C83="S",C83="I"),-1,1)</f>
        <v>0</v>
      </c>
      <c r="AY83" s="853" t="s">
        <v>772</v>
      </c>
      <c r="AZ83" s="853" t="str">
        <f>+VLOOKUP($AJ83,Data_Validation!$A:$E,5,0)</f>
        <v/>
      </c>
    </row>
    <row r="84" ht="15.75" customHeight="1">
      <c r="A84" s="849" t="s">
        <v>1239</v>
      </c>
      <c r="B84" s="849">
        <v>2025.0</v>
      </c>
      <c r="C84" s="849" t="s">
        <v>1461</v>
      </c>
      <c r="D84" s="849" t="s">
        <v>1462</v>
      </c>
      <c r="E84" s="849" t="s">
        <v>768</v>
      </c>
      <c r="F84" s="849" t="s">
        <v>1200</v>
      </c>
      <c r="G84" s="849">
        <v>0.0</v>
      </c>
      <c r="H84" s="849">
        <v>0.0</v>
      </c>
      <c r="I84" s="849">
        <v>0.0</v>
      </c>
      <c r="J84" s="849">
        <v>0.0</v>
      </c>
      <c r="K84" s="849">
        <v>0.0</v>
      </c>
      <c r="L84" s="849">
        <v>0.0</v>
      </c>
      <c r="M84" s="849">
        <v>0.0</v>
      </c>
      <c r="N84" s="849">
        <v>0.0</v>
      </c>
      <c r="O84" s="849">
        <v>0.0</v>
      </c>
      <c r="P84" s="849">
        <v>0.0</v>
      </c>
      <c r="Q84" s="849">
        <v>0.0</v>
      </c>
      <c r="R84" s="849">
        <v>0.0</v>
      </c>
      <c r="S84" s="849">
        <v>0.0</v>
      </c>
      <c r="T84" s="849">
        <v>0.0</v>
      </c>
      <c r="U84" s="849">
        <v>0.0</v>
      </c>
      <c r="V84" s="849">
        <v>0.0</v>
      </c>
      <c r="W84" s="849">
        <v>0.0</v>
      </c>
      <c r="X84" s="849">
        <v>0.0</v>
      </c>
      <c r="Y84" s="849">
        <v>0.0</v>
      </c>
      <c r="Z84" s="849">
        <v>0.0</v>
      </c>
      <c r="AA84" s="849">
        <v>0.0</v>
      </c>
      <c r="AB84" s="849">
        <v>0.0</v>
      </c>
      <c r="AC84" s="849">
        <v>0.0</v>
      </c>
      <c r="AD84" s="849">
        <v>0.0</v>
      </c>
      <c r="AE84" s="849">
        <v>0.0</v>
      </c>
      <c r="AF84" s="849">
        <v>0.0</v>
      </c>
      <c r="AG84" s="849">
        <v>0.0</v>
      </c>
      <c r="AH84" s="849">
        <v>0.0</v>
      </c>
      <c r="AI84" s="849">
        <v>0.0</v>
      </c>
      <c r="AJ84" s="794" t="str">
        <f t="shared" ref="AJ84:AK84" si="165">C84</f>
        <v>G0560</v>
      </c>
      <c r="AK84" s="794" t="str">
        <f t="shared" si="165"/>
        <v>ASSURANCES STOCK REP.</v>
      </c>
      <c r="AL84" s="794">
        <f t="array" ref="AL84">IFERROR(INDEX(G84:R84,1,MATCH(Parametres!$B$3,G$1:R$1,0)-1)*IF(OR(F84="L",F84="S",F84="I"),-1,1),"")</f>
        <v>0</v>
      </c>
      <c r="AM84" s="794">
        <f t="shared" si="4"/>
        <v>0</v>
      </c>
      <c r="AN84" s="794">
        <f t="array" ref="AN84">INDEX(G84:R84,1,MATCH(Parametres!$B$3,G$1:R$1,0))*IF(OR(F84="L",F84="S",F84="I"),-1,1)</f>
        <v>0</v>
      </c>
      <c r="AO84" s="853" t="str">
        <f>+VLOOKUP($AJ84,Data_Validation!$A:$D,1,0)</f>
        <v>#N/A</v>
      </c>
      <c r="AP84" s="853" t="str">
        <f>+VLOOKUP($AJ84,Data_Validation!$A:$D,3,0)</f>
        <v>#N/A</v>
      </c>
      <c r="AQ84" s="853" t="str">
        <f>+VLOOKUP($AJ84,Data_Validation!$A:$D,4,0)</f>
        <v>#N/A</v>
      </c>
      <c r="AR84" s="853" t="s">
        <v>728</v>
      </c>
      <c r="AS84" s="853" t="str">
        <f>+VLOOKUP($AJ84,Data_Validation!$A:$E,5,0)</f>
        <v>#N/A</v>
      </c>
      <c r="AT84" s="794" t="str">
        <f t="shared" ref="AT84:AU84" si="166">C84</f>
        <v>G0560</v>
      </c>
      <c r="AU84" s="854" t="str">
        <f t="shared" si="166"/>
        <v>ASSURANCES STOCK REP.</v>
      </c>
      <c r="AV84" s="794">
        <f t="array" ref="AV84">IFERROR(INDEX(V84:AG84,1,MATCH(Parametres!$B$3,V$1:AG$1,0)-1)*IF(OR(C84="L",C84="S",C84="I"),-1,1),"")</f>
        <v>0</v>
      </c>
      <c r="AW84" s="794">
        <f t="shared" si="6"/>
        <v>0</v>
      </c>
      <c r="AX84" s="794">
        <f t="array" ref="AX84">INDEX(V84:AG84,1,MATCH(Parametres!$B$3,V$1:AG$1,0))*IF(OR(C84="L",C84="S",C84="I"),-1,1)</f>
        <v>0</v>
      </c>
      <c r="AY84" s="853" t="s">
        <v>772</v>
      </c>
      <c r="AZ84" s="853" t="str">
        <f>+VLOOKUP($AJ84,Data_Validation!$A:$E,5,0)</f>
        <v>#N/A</v>
      </c>
    </row>
    <row r="85" ht="15.0" customHeight="1">
      <c r="A85" s="849" t="s">
        <v>1239</v>
      </c>
      <c r="B85" s="849">
        <v>2025.0</v>
      </c>
      <c r="C85" s="849" t="s">
        <v>1463</v>
      </c>
      <c r="D85" s="849" t="s">
        <v>1464</v>
      </c>
      <c r="E85" s="849" t="s">
        <v>768</v>
      </c>
      <c r="F85" s="849" t="s">
        <v>1200</v>
      </c>
      <c r="G85" s="849">
        <v>0.0</v>
      </c>
      <c r="H85" s="849">
        <v>0.0</v>
      </c>
      <c r="I85" s="849">
        <v>0.0</v>
      </c>
      <c r="J85" s="849">
        <v>0.0</v>
      </c>
      <c r="K85" s="849">
        <v>0.0</v>
      </c>
      <c r="L85" s="849">
        <v>0.0</v>
      </c>
      <c r="M85" s="849">
        <v>0.0</v>
      </c>
      <c r="N85" s="849">
        <v>0.0</v>
      </c>
      <c r="O85" s="849">
        <v>0.0</v>
      </c>
      <c r="P85" s="849">
        <v>0.0</v>
      </c>
      <c r="Q85" s="849">
        <v>0.0</v>
      </c>
      <c r="R85" s="849">
        <v>0.0</v>
      </c>
      <c r="S85" s="849">
        <v>0.0</v>
      </c>
      <c r="T85" s="849">
        <v>0.0</v>
      </c>
      <c r="U85" s="849">
        <v>0.0</v>
      </c>
      <c r="V85" s="849">
        <v>0.0</v>
      </c>
      <c r="W85" s="849">
        <v>0.0</v>
      </c>
      <c r="X85" s="849">
        <v>0.0</v>
      </c>
      <c r="Y85" s="849">
        <v>0.0</v>
      </c>
      <c r="Z85" s="849">
        <v>0.0</v>
      </c>
      <c r="AA85" s="849">
        <v>0.0</v>
      </c>
      <c r="AB85" s="849">
        <v>0.0</v>
      </c>
      <c r="AC85" s="849">
        <v>0.0</v>
      </c>
      <c r="AD85" s="849">
        <v>0.0</v>
      </c>
      <c r="AE85" s="849">
        <v>0.0</v>
      </c>
      <c r="AF85" s="849">
        <v>0.0</v>
      </c>
      <c r="AG85" s="849">
        <v>0.0</v>
      </c>
      <c r="AH85" s="849">
        <v>0.0</v>
      </c>
      <c r="AI85" s="849">
        <v>0.0</v>
      </c>
      <c r="AJ85" s="794" t="str">
        <f t="shared" ref="AJ85:AK85" si="167">C85</f>
        <v>G0561</v>
      </c>
      <c r="AK85" s="794" t="str">
        <f t="shared" si="167"/>
        <v>ASSURANCE STOCK VEH.NEUF</v>
      </c>
      <c r="AL85" s="794">
        <f t="array" ref="AL85">IFERROR(INDEX(G85:R85,1,MATCH(Parametres!$B$3,G$1:R$1,0)-1)*IF(OR(F85="L",F85="S",F85="I"),-1,1),"")</f>
        <v>0</v>
      </c>
      <c r="AM85" s="794">
        <f t="shared" si="4"/>
        <v>0</v>
      </c>
      <c r="AN85" s="794">
        <f t="array" ref="AN85">INDEX(G85:R85,1,MATCH(Parametres!$B$3,G$1:R$1,0))*IF(OR(F85="L",F85="S",F85="I"),-1,1)</f>
        <v>0</v>
      </c>
      <c r="AO85" s="853" t="str">
        <f>+VLOOKUP($AJ85,Data_Validation!$A:$D,1,0)</f>
        <v>G0561</v>
      </c>
      <c r="AP85" s="853" t="str">
        <f>+VLOOKUP($AJ85,Data_Validation!$A:$D,3,0)</f>
        <v/>
      </c>
      <c r="AQ85" s="853" t="str">
        <f>+VLOOKUP($AJ85,Data_Validation!$A:$D,4,0)</f>
        <v/>
      </c>
      <c r="AR85" s="853" t="s">
        <v>728</v>
      </c>
      <c r="AS85" s="853" t="str">
        <f>+VLOOKUP($AJ85,Data_Validation!$A:$E,5,0)</f>
        <v/>
      </c>
      <c r="AT85" s="794" t="str">
        <f t="shared" ref="AT85:AU85" si="168">C85</f>
        <v>G0561</v>
      </c>
      <c r="AU85" s="854" t="str">
        <f t="shared" si="168"/>
        <v>ASSURANCE STOCK VEH.NEUF</v>
      </c>
      <c r="AV85" s="794">
        <f t="array" ref="AV85">IFERROR(INDEX(V85:AG85,1,MATCH(Parametres!$B$3,V$1:AG$1,0)-1)*IF(OR(C85="L",C85="S",C85="I"),-1,1),"")</f>
        <v>0</v>
      </c>
      <c r="AW85" s="794">
        <f t="shared" si="6"/>
        <v>0</v>
      </c>
      <c r="AX85" s="794">
        <f t="array" ref="AX85">INDEX(V85:AG85,1,MATCH(Parametres!$B$3,V$1:AG$1,0))*IF(OR(C85="L",C85="S",C85="I"),-1,1)</f>
        <v>0</v>
      </c>
      <c r="AY85" s="853" t="s">
        <v>772</v>
      </c>
      <c r="AZ85" s="853" t="str">
        <f>+VLOOKUP($AJ85,Data_Validation!$A:$E,5,0)</f>
        <v/>
      </c>
    </row>
    <row r="86" ht="15.0" customHeight="1">
      <c r="A86" s="849" t="s">
        <v>1239</v>
      </c>
      <c r="B86" s="849">
        <v>2025.0</v>
      </c>
      <c r="C86" s="849" t="s">
        <v>1465</v>
      </c>
      <c r="D86" s="849" t="s">
        <v>1466</v>
      </c>
      <c r="E86" s="849" t="s">
        <v>768</v>
      </c>
      <c r="F86" s="849" t="s">
        <v>1200</v>
      </c>
      <c r="G86" s="849">
        <v>0.0</v>
      </c>
      <c r="H86" s="849">
        <v>0.0</v>
      </c>
      <c r="I86" s="849">
        <v>0.0</v>
      </c>
      <c r="J86" s="849">
        <v>0.0</v>
      </c>
      <c r="K86" s="849">
        <v>0.0</v>
      </c>
      <c r="L86" s="849">
        <v>0.0</v>
      </c>
      <c r="M86" s="849">
        <v>0.0</v>
      </c>
      <c r="N86" s="849">
        <v>0.0</v>
      </c>
      <c r="O86" s="849">
        <v>0.0</v>
      </c>
      <c r="P86" s="849">
        <v>0.0</v>
      </c>
      <c r="Q86" s="849">
        <v>0.0</v>
      </c>
      <c r="R86" s="849">
        <v>0.0</v>
      </c>
      <c r="S86" s="849">
        <v>0.0</v>
      </c>
      <c r="T86" s="849">
        <v>0.0</v>
      </c>
      <c r="U86" s="849">
        <v>0.0</v>
      </c>
      <c r="V86" s="849">
        <v>0.0</v>
      </c>
      <c r="W86" s="849">
        <v>0.0</v>
      </c>
      <c r="X86" s="849">
        <v>0.0</v>
      </c>
      <c r="Y86" s="849">
        <v>0.0</v>
      </c>
      <c r="Z86" s="849">
        <v>0.0</v>
      </c>
      <c r="AA86" s="849">
        <v>0.0</v>
      </c>
      <c r="AB86" s="849">
        <v>0.0</v>
      </c>
      <c r="AC86" s="849">
        <v>0.0</v>
      </c>
      <c r="AD86" s="849">
        <v>0.0</v>
      </c>
      <c r="AE86" s="849">
        <v>0.0</v>
      </c>
      <c r="AF86" s="849">
        <v>0.0</v>
      </c>
      <c r="AG86" s="849">
        <v>0.0</v>
      </c>
      <c r="AH86" s="849">
        <v>0.0</v>
      </c>
      <c r="AI86" s="849">
        <v>0.0</v>
      </c>
      <c r="AJ86" s="794" t="str">
        <f t="shared" ref="AJ86:AK86" si="169">C86</f>
        <v>G0562</v>
      </c>
      <c r="AK86" s="794" t="str">
        <f t="shared" si="169"/>
        <v>ASSURANCE STOCK VEH USAGE</v>
      </c>
      <c r="AL86" s="794">
        <f t="array" ref="AL86">IFERROR(INDEX(G86:R86,1,MATCH(Parametres!$B$3,G$1:R$1,0)-1)*IF(OR(F86="L",F86="S",F86="I"),-1,1),"")</f>
        <v>0</v>
      </c>
      <c r="AM86" s="794">
        <f t="shared" si="4"/>
        <v>0</v>
      </c>
      <c r="AN86" s="794">
        <f t="array" ref="AN86">INDEX(G86:R86,1,MATCH(Parametres!$B$3,G$1:R$1,0))*IF(OR(F86="L",F86="S",F86="I"),-1,1)</f>
        <v>0</v>
      </c>
      <c r="AO86" s="853" t="str">
        <f>+VLOOKUP($AJ86,Data_Validation!$A:$D,1,0)</f>
        <v>G0562</v>
      </c>
      <c r="AP86" s="853" t="str">
        <f>+VLOOKUP($AJ86,Data_Validation!$A:$D,3,0)</f>
        <v/>
      </c>
      <c r="AQ86" s="853" t="str">
        <f>+VLOOKUP($AJ86,Data_Validation!$A:$D,4,0)</f>
        <v/>
      </c>
      <c r="AR86" s="853" t="s">
        <v>728</v>
      </c>
      <c r="AS86" s="853" t="str">
        <f>+VLOOKUP($AJ86,Data_Validation!$A:$E,5,0)</f>
        <v/>
      </c>
      <c r="AT86" s="794" t="str">
        <f t="shared" ref="AT86:AU86" si="170">C86</f>
        <v>G0562</v>
      </c>
      <c r="AU86" s="854" t="str">
        <f t="shared" si="170"/>
        <v>ASSURANCE STOCK VEH USAGE</v>
      </c>
      <c r="AV86" s="794">
        <f t="array" ref="AV86">IFERROR(INDEX(V86:AG86,1,MATCH(Parametres!$B$3,V$1:AG$1,0)-1)*IF(OR(C86="L",C86="S",C86="I"),-1,1),"")</f>
        <v>0</v>
      </c>
      <c r="AW86" s="794">
        <f t="shared" si="6"/>
        <v>0</v>
      </c>
      <c r="AX86" s="794">
        <f t="array" ref="AX86">INDEX(V86:AG86,1,MATCH(Parametres!$B$3,V$1:AG$1,0))*IF(OR(C86="L",C86="S",C86="I"),-1,1)</f>
        <v>0</v>
      </c>
      <c r="AY86" s="853" t="s">
        <v>772</v>
      </c>
      <c r="AZ86" s="853" t="str">
        <f>+VLOOKUP($AJ86,Data_Validation!$A:$E,5,0)</f>
        <v/>
      </c>
    </row>
    <row r="87" ht="15.0" customHeight="1">
      <c r="A87" s="849" t="s">
        <v>1239</v>
      </c>
      <c r="B87" s="849">
        <v>2025.0</v>
      </c>
      <c r="C87" s="849" t="s">
        <v>1467</v>
      </c>
      <c r="D87" s="849" t="s">
        <v>1468</v>
      </c>
      <c r="E87" s="849" t="s">
        <v>768</v>
      </c>
      <c r="F87" s="849" t="s">
        <v>1200</v>
      </c>
      <c r="G87" s="849">
        <v>0.0</v>
      </c>
      <c r="H87" s="849">
        <v>0.0</v>
      </c>
      <c r="I87" s="849">
        <v>0.0</v>
      </c>
      <c r="J87" s="849">
        <v>0.0</v>
      </c>
      <c r="K87" s="849">
        <v>0.0</v>
      </c>
      <c r="L87" s="849">
        <v>0.0</v>
      </c>
      <c r="M87" s="849">
        <v>0.0</v>
      </c>
      <c r="N87" s="849">
        <v>0.0</v>
      </c>
      <c r="O87" s="849">
        <v>0.0</v>
      </c>
      <c r="P87" s="849">
        <v>0.0</v>
      </c>
      <c r="Q87" s="849">
        <v>0.0</v>
      </c>
      <c r="R87" s="849">
        <v>0.0</v>
      </c>
      <c r="S87" s="849">
        <v>0.0</v>
      </c>
      <c r="T87" s="849">
        <v>0.0</v>
      </c>
      <c r="U87" s="849">
        <v>0.0</v>
      </c>
      <c r="V87" s="849">
        <v>0.0</v>
      </c>
      <c r="W87" s="849">
        <v>0.0</v>
      </c>
      <c r="X87" s="849">
        <v>0.0</v>
      </c>
      <c r="Y87" s="849">
        <v>0.0</v>
      </c>
      <c r="Z87" s="849">
        <v>0.0</v>
      </c>
      <c r="AA87" s="849">
        <v>0.0</v>
      </c>
      <c r="AB87" s="849">
        <v>0.0</v>
      </c>
      <c r="AC87" s="849">
        <v>0.0</v>
      </c>
      <c r="AD87" s="849">
        <v>0.0</v>
      </c>
      <c r="AE87" s="849">
        <v>0.0</v>
      </c>
      <c r="AF87" s="849">
        <v>0.0</v>
      </c>
      <c r="AG87" s="849">
        <v>0.0</v>
      </c>
      <c r="AH87" s="849">
        <v>0.0</v>
      </c>
      <c r="AI87" s="849">
        <v>0.0</v>
      </c>
      <c r="AJ87" s="794" t="str">
        <f t="shared" ref="AJ87:AK87" si="171">C87</f>
        <v>G0563</v>
      </c>
      <c r="AK87" s="794" t="str">
        <f t="shared" si="171"/>
        <v>ASSURANCES STOCK U.S.A</v>
      </c>
      <c r="AL87" s="794">
        <f t="array" ref="AL87">IFERROR(INDEX(G87:R87,1,MATCH(Parametres!$B$3,G$1:R$1,0)-1)*IF(OR(F87="L",F87="S",F87="I"),-1,1),"")</f>
        <v>0</v>
      </c>
      <c r="AM87" s="794">
        <f t="shared" si="4"/>
        <v>0</v>
      </c>
      <c r="AN87" s="794">
        <f t="array" ref="AN87">INDEX(G87:R87,1,MATCH(Parametres!$B$3,G$1:R$1,0))*IF(OR(F87="L",F87="S",F87="I"),-1,1)</f>
        <v>0</v>
      </c>
      <c r="AO87" s="853" t="str">
        <f>+VLOOKUP($AJ87,Data_Validation!$A:$D,1,0)</f>
        <v>G0563</v>
      </c>
      <c r="AP87" s="853" t="str">
        <f>+VLOOKUP($AJ87,Data_Validation!$A:$D,3,0)</f>
        <v/>
      </c>
      <c r="AQ87" s="853" t="str">
        <f>+VLOOKUP($AJ87,Data_Validation!$A:$D,4,0)</f>
        <v/>
      </c>
      <c r="AR87" s="853" t="s">
        <v>728</v>
      </c>
      <c r="AS87" s="853" t="str">
        <f>+VLOOKUP($AJ87,Data_Validation!$A:$E,5,0)</f>
        <v/>
      </c>
      <c r="AT87" s="794" t="str">
        <f t="shared" ref="AT87:AU87" si="172">C87</f>
        <v>G0563</v>
      </c>
      <c r="AU87" s="854" t="str">
        <f t="shared" si="172"/>
        <v>ASSURANCES STOCK U.S.A</v>
      </c>
      <c r="AV87" s="794">
        <f t="array" ref="AV87">IFERROR(INDEX(V87:AG87,1,MATCH(Parametres!$B$3,V$1:AG$1,0)-1)*IF(OR(C87="L",C87="S",C87="I"),-1,1),"")</f>
        <v>0</v>
      </c>
      <c r="AW87" s="794">
        <f t="shared" si="6"/>
        <v>0</v>
      </c>
      <c r="AX87" s="794">
        <f t="array" ref="AX87">INDEX(V87:AG87,1,MATCH(Parametres!$B$3,V$1:AG$1,0))*IF(OR(C87="L",C87="S",C87="I"),-1,1)</f>
        <v>0</v>
      </c>
      <c r="AY87" s="853" t="s">
        <v>772</v>
      </c>
      <c r="AZ87" s="853" t="str">
        <f>+VLOOKUP($AJ87,Data_Validation!$A:$E,5,0)</f>
        <v/>
      </c>
    </row>
    <row r="88" ht="15.0" customHeight="1">
      <c r="A88" s="849" t="s">
        <v>1239</v>
      </c>
      <c r="B88" s="849">
        <v>2025.0</v>
      </c>
      <c r="C88" s="849" t="s">
        <v>1469</v>
      </c>
      <c r="D88" s="849" t="s">
        <v>1470</v>
      </c>
      <c r="E88" s="849" t="s">
        <v>768</v>
      </c>
      <c r="F88" s="849" t="s">
        <v>1200</v>
      </c>
      <c r="G88" s="849">
        <v>0.0</v>
      </c>
      <c r="H88" s="849">
        <v>0.0</v>
      </c>
      <c r="I88" s="849">
        <v>0.0</v>
      </c>
      <c r="J88" s="849">
        <v>0.0</v>
      </c>
      <c r="K88" s="849">
        <v>0.0</v>
      </c>
      <c r="L88" s="849">
        <v>0.0</v>
      </c>
      <c r="M88" s="849">
        <v>0.0</v>
      </c>
      <c r="N88" s="849">
        <v>0.0</v>
      </c>
      <c r="O88" s="849">
        <v>0.0</v>
      </c>
      <c r="P88" s="849">
        <v>0.0</v>
      </c>
      <c r="Q88" s="849">
        <v>0.0</v>
      </c>
      <c r="R88" s="849">
        <v>0.0</v>
      </c>
      <c r="S88" s="849">
        <v>0.0</v>
      </c>
      <c r="T88" s="849">
        <v>0.0</v>
      </c>
      <c r="U88" s="849">
        <v>0.0</v>
      </c>
      <c r="V88" s="849">
        <v>0.0</v>
      </c>
      <c r="W88" s="849">
        <v>0.0</v>
      </c>
      <c r="X88" s="849">
        <v>0.0</v>
      </c>
      <c r="Y88" s="849">
        <v>0.0</v>
      </c>
      <c r="Z88" s="849">
        <v>0.0</v>
      </c>
      <c r="AA88" s="849">
        <v>0.0</v>
      </c>
      <c r="AB88" s="849">
        <v>0.0</v>
      </c>
      <c r="AC88" s="849">
        <v>0.0</v>
      </c>
      <c r="AD88" s="849">
        <v>0.0</v>
      </c>
      <c r="AE88" s="849">
        <v>0.0</v>
      </c>
      <c r="AF88" s="849">
        <v>0.0</v>
      </c>
      <c r="AG88" s="849">
        <v>0.0</v>
      </c>
      <c r="AH88" s="849">
        <v>0.0</v>
      </c>
      <c r="AI88" s="849">
        <v>0.0</v>
      </c>
      <c r="AJ88" s="794" t="str">
        <f t="shared" ref="AJ88:AK88" si="173">C88</f>
        <v>G0571</v>
      </c>
      <c r="AK88" s="794" t="str">
        <f t="shared" si="173"/>
        <v>MAUVAISE CREANCES NEUF</v>
      </c>
      <c r="AL88" s="794">
        <f t="array" ref="AL88">IFERROR(INDEX(G88:R88,1,MATCH(Parametres!$B$3,G$1:R$1,0)-1)*IF(OR(F88="L",F88="S",F88="I"),-1,1),"")</f>
        <v>0</v>
      </c>
      <c r="AM88" s="794">
        <f t="shared" si="4"/>
        <v>0</v>
      </c>
      <c r="AN88" s="794">
        <f t="array" ref="AN88">INDEX(G88:R88,1,MATCH(Parametres!$B$3,G$1:R$1,0))*IF(OR(F88="L",F88="S",F88="I"),-1,1)</f>
        <v>0</v>
      </c>
      <c r="AO88" s="853" t="str">
        <f>+VLOOKUP($AJ88,Data_Validation!$A:$D,1,0)</f>
        <v>G0571</v>
      </c>
      <c r="AP88" s="853" t="str">
        <f>+VLOOKUP($AJ88,Data_Validation!$A:$D,3,0)</f>
        <v>Véhicules neufs</v>
      </c>
      <c r="AQ88" s="853" t="str">
        <f>+VLOOKUP($AJ88,Data_Validation!$A:$D,4,0)</f>
        <v>Divers</v>
      </c>
      <c r="AR88" s="853" t="s">
        <v>728</v>
      </c>
      <c r="AS88" s="853" t="str">
        <f>+VLOOKUP($AJ88,Data_Validation!$A:$E,5,0)</f>
        <v/>
      </c>
      <c r="AT88" s="794" t="str">
        <f t="shared" ref="AT88:AU88" si="174">C88</f>
        <v>G0571</v>
      </c>
      <c r="AU88" s="854" t="str">
        <f t="shared" si="174"/>
        <v>MAUVAISE CREANCES NEUF</v>
      </c>
      <c r="AV88" s="794">
        <f t="array" ref="AV88">IFERROR(INDEX(V88:AG88,1,MATCH(Parametres!$B$3,V$1:AG$1,0)-1)*IF(OR(C88="L",C88="S",C88="I"),-1,1),"")</f>
        <v>0</v>
      </c>
      <c r="AW88" s="794">
        <f t="shared" si="6"/>
        <v>0</v>
      </c>
      <c r="AX88" s="794">
        <f t="array" ref="AX88">INDEX(V88:AG88,1,MATCH(Parametres!$B$3,V$1:AG$1,0))*IF(OR(C88="L",C88="S",C88="I"),-1,1)</f>
        <v>0</v>
      </c>
      <c r="AY88" s="853" t="s">
        <v>772</v>
      </c>
      <c r="AZ88" s="853" t="str">
        <f>+VLOOKUP($AJ88,Data_Validation!$A:$E,5,0)</f>
        <v/>
      </c>
    </row>
    <row r="89" ht="15.0" customHeight="1">
      <c r="A89" s="849" t="s">
        <v>1239</v>
      </c>
      <c r="B89" s="849">
        <v>2025.0</v>
      </c>
      <c r="C89" s="849" t="s">
        <v>1471</v>
      </c>
      <c r="D89" s="849" t="s">
        <v>1472</v>
      </c>
      <c r="E89" s="849" t="s">
        <v>768</v>
      </c>
      <c r="F89" s="849" t="s">
        <v>1200</v>
      </c>
      <c r="G89" s="849">
        <v>0.0</v>
      </c>
      <c r="H89" s="849">
        <v>0.0</v>
      </c>
      <c r="I89" s="849">
        <v>0.0</v>
      </c>
      <c r="J89" s="849">
        <v>0.0</v>
      </c>
      <c r="K89" s="849">
        <v>0.0</v>
      </c>
      <c r="L89" s="849">
        <v>0.0</v>
      </c>
      <c r="M89" s="849">
        <v>0.0</v>
      </c>
      <c r="N89" s="849">
        <v>0.0</v>
      </c>
      <c r="O89" s="849">
        <v>0.0</v>
      </c>
      <c r="P89" s="849">
        <v>0.0</v>
      </c>
      <c r="Q89" s="849">
        <v>0.0</v>
      </c>
      <c r="R89" s="849">
        <v>0.0</v>
      </c>
      <c r="S89" s="849">
        <v>0.0</v>
      </c>
      <c r="T89" s="849">
        <v>0.0</v>
      </c>
      <c r="U89" s="849">
        <v>0.0</v>
      </c>
      <c r="V89" s="849">
        <v>0.0</v>
      </c>
      <c r="W89" s="849">
        <v>0.0</v>
      </c>
      <c r="X89" s="849">
        <v>0.0</v>
      </c>
      <c r="Y89" s="849">
        <v>0.0</v>
      </c>
      <c r="Z89" s="849">
        <v>0.0</v>
      </c>
      <c r="AA89" s="849">
        <v>0.0</v>
      </c>
      <c r="AB89" s="849">
        <v>0.0</v>
      </c>
      <c r="AC89" s="849">
        <v>0.0</v>
      </c>
      <c r="AD89" s="849">
        <v>0.0</v>
      </c>
      <c r="AE89" s="849">
        <v>0.0</v>
      </c>
      <c r="AF89" s="849">
        <v>0.0</v>
      </c>
      <c r="AG89" s="849">
        <v>0.0</v>
      </c>
      <c r="AH89" s="849">
        <v>0.0</v>
      </c>
      <c r="AI89" s="849">
        <v>0.0</v>
      </c>
      <c r="AJ89" s="794" t="str">
        <f t="shared" ref="AJ89:AK89" si="175">C89</f>
        <v>G0572</v>
      </c>
      <c r="AK89" s="794" t="str">
        <f t="shared" si="175"/>
        <v>MAUVAISES CREANCES USAGÉS</v>
      </c>
      <c r="AL89" s="794">
        <f t="array" ref="AL89">IFERROR(INDEX(G89:R89,1,MATCH(Parametres!$B$3,G$1:R$1,0)-1)*IF(OR(F89="L",F89="S",F89="I"),-1,1),"")</f>
        <v>0</v>
      </c>
      <c r="AM89" s="794">
        <f t="shared" si="4"/>
        <v>0</v>
      </c>
      <c r="AN89" s="794">
        <f t="array" ref="AN89">INDEX(G89:R89,1,MATCH(Parametres!$B$3,G$1:R$1,0))*IF(OR(F89="L",F89="S",F89="I"),-1,1)</f>
        <v>0</v>
      </c>
      <c r="AO89" s="853" t="str">
        <f>+VLOOKUP($AJ89,Data_Validation!$A:$D,1,0)</f>
        <v>G0572</v>
      </c>
      <c r="AP89" s="853" t="str">
        <f>+VLOOKUP($AJ89,Data_Validation!$A:$D,3,0)</f>
        <v>Véhicules usagés</v>
      </c>
      <c r="AQ89" s="853" t="str">
        <f>+VLOOKUP($AJ89,Data_Validation!$A:$D,4,0)</f>
        <v>Divers</v>
      </c>
      <c r="AR89" s="853" t="s">
        <v>728</v>
      </c>
      <c r="AS89" s="853" t="str">
        <f>+VLOOKUP($AJ89,Data_Validation!$A:$E,5,0)</f>
        <v/>
      </c>
      <c r="AT89" s="794" t="str">
        <f t="shared" ref="AT89:AU89" si="176">C89</f>
        <v>G0572</v>
      </c>
      <c r="AU89" s="854" t="str">
        <f t="shared" si="176"/>
        <v>MAUVAISES CREANCES USAGÉS</v>
      </c>
      <c r="AV89" s="794">
        <f t="array" ref="AV89">IFERROR(INDEX(V89:AG89,1,MATCH(Parametres!$B$3,V$1:AG$1,0)-1)*IF(OR(C89="L",C89="S",C89="I"),-1,1),"")</f>
        <v>0</v>
      </c>
      <c r="AW89" s="794">
        <f t="shared" si="6"/>
        <v>0</v>
      </c>
      <c r="AX89" s="794">
        <f t="array" ref="AX89">INDEX(V89:AG89,1,MATCH(Parametres!$B$3,V$1:AG$1,0))*IF(OR(C89="L",C89="S",C89="I"),-1,1)</f>
        <v>0</v>
      </c>
      <c r="AY89" s="853" t="s">
        <v>772</v>
      </c>
      <c r="AZ89" s="853" t="str">
        <f>+VLOOKUP($AJ89,Data_Validation!$A:$E,5,0)</f>
        <v/>
      </c>
    </row>
    <row r="90" ht="15.0" customHeight="1">
      <c r="A90" s="849" t="s">
        <v>1239</v>
      </c>
      <c r="B90" s="849">
        <v>2025.0</v>
      </c>
      <c r="C90" s="849" t="s">
        <v>1473</v>
      </c>
      <c r="D90" s="849" t="s">
        <v>1474</v>
      </c>
      <c r="E90" s="849" t="s">
        <v>768</v>
      </c>
      <c r="F90" s="849" t="s">
        <v>1200</v>
      </c>
      <c r="G90" s="849">
        <v>0.0</v>
      </c>
      <c r="H90" s="849">
        <v>0.0</v>
      </c>
      <c r="I90" s="849">
        <v>0.0</v>
      </c>
      <c r="J90" s="849">
        <v>0.0</v>
      </c>
      <c r="K90" s="849">
        <v>0.0</v>
      </c>
      <c r="L90" s="849">
        <v>0.0</v>
      </c>
      <c r="M90" s="849">
        <v>0.0</v>
      </c>
      <c r="N90" s="849">
        <v>0.0</v>
      </c>
      <c r="O90" s="849">
        <v>0.0</v>
      </c>
      <c r="P90" s="849">
        <v>0.0</v>
      </c>
      <c r="Q90" s="849">
        <v>0.0</v>
      </c>
      <c r="R90" s="849">
        <v>0.0</v>
      </c>
      <c r="S90" s="849">
        <v>0.0</v>
      </c>
      <c r="T90" s="849">
        <v>0.0</v>
      </c>
      <c r="U90" s="849">
        <v>0.0</v>
      </c>
      <c r="V90" s="849">
        <v>0.0</v>
      </c>
      <c r="W90" s="849">
        <v>0.0</v>
      </c>
      <c r="X90" s="849">
        <v>0.0</v>
      </c>
      <c r="Y90" s="849">
        <v>0.0</v>
      </c>
      <c r="Z90" s="849">
        <v>0.0</v>
      </c>
      <c r="AA90" s="849">
        <v>0.0</v>
      </c>
      <c r="AB90" s="849">
        <v>0.0</v>
      </c>
      <c r="AC90" s="849">
        <v>0.0</v>
      </c>
      <c r="AD90" s="849">
        <v>0.0</v>
      </c>
      <c r="AE90" s="849">
        <v>0.0</v>
      </c>
      <c r="AF90" s="849">
        <v>0.0</v>
      </c>
      <c r="AG90" s="849">
        <v>0.0</v>
      </c>
      <c r="AH90" s="849">
        <v>0.0</v>
      </c>
      <c r="AI90" s="849">
        <v>0.0</v>
      </c>
      <c r="AJ90" s="794" t="str">
        <f t="shared" ref="AJ90:AK90" si="177">C90</f>
        <v>G0574</v>
      </c>
      <c r="AK90" s="794" t="str">
        <f t="shared" si="177"/>
        <v>MAUVAISES CRÉANCES SERVIC</v>
      </c>
      <c r="AL90" s="794">
        <f t="array" ref="AL90">IFERROR(INDEX(G90:R90,1,MATCH(Parametres!$B$3,G$1:R$1,0)-1)*IF(OR(F90="L",F90="S",F90="I"),-1,1),"")</f>
        <v>0</v>
      </c>
      <c r="AM90" s="794">
        <f t="shared" si="4"/>
        <v>0</v>
      </c>
      <c r="AN90" s="794">
        <f t="array" ref="AN90">INDEX(G90:R90,1,MATCH(Parametres!$B$3,G$1:R$1,0))*IF(OR(F90="L",F90="S",F90="I"),-1,1)</f>
        <v>0</v>
      </c>
      <c r="AO90" s="853" t="str">
        <f>+VLOOKUP($AJ90,Data_Validation!$A:$D,1,0)</f>
        <v>G0574</v>
      </c>
      <c r="AP90" s="853" t="str">
        <f>+VLOOKUP($AJ90,Data_Validation!$A:$D,3,0)</f>
        <v>Service</v>
      </c>
      <c r="AQ90" s="853" t="str">
        <f>+VLOOKUP($AJ90,Data_Validation!$A:$D,4,0)</f>
        <v>Divers</v>
      </c>
      <c r="AR90" s="853" t="s">
        <v>728</v>
      </c>
      <c r="AS90" s="853" t="str">
        <f>+VLOOKUP($AJ90,Data_Validation!$A:$E,5,0)</f>
        <v/>
      </c>
      <c r="AT90" s="794" t="str">
        <f t="shared" ref="AT90:AU90" si="178">C90</f>
        <v>G0574</v>
      </c>
      <c r="AU90" s="854" t="str">
        <f t="shared" si="178"/>
        <v>MAUVAISES CRÉANCES SERVIC</v>
      </c>
      <c r="AV90" s="794">
        <f t="array" ref="AV90">IFERROR(INDEX(V90:AG90,1,MATCH(Parametres!$B$3,V$1:AG$1,0)-1)*IF(OR(C90="L",C90="S",C90="I"),-1,1),"")</f>
        <v>0</v>
      </c>
      <c r="AW90" s="794">
        <f t="shared" si="6"/>
        <v>0</v>
      </c>
      <c r="AX90" s="794">
        <f t="array" ref="AX90">INDEX(V90:AG90,1,MATCH(Parametres!$B$3,V$1:AG$1,0))*IF(OR(C90="L",C90="S",C90="I"),-1,1)</f>
        <v>0</v>
      </c>
      <c r="AY90" s="853" t="s">
        <v>772</v>
      </c>
      <c r="AZ90" s="853" t="str">
        <f>+VLOOKUP($AJ90,Data_Validation!$A:$E,5,0)</f>
        <v/>
      </c>
    </row>
    <row r="91" ht="15.0" customHeight="1">
      <c r="A91" s="849" t="s">
        <v>1239</v>
      </c>
      <c r="B91" s="849">
        <v>2025.0</v>
      </c>
      <c r="C91" s="849" t="s">
        <v>1475</v>
      </c>
      <c r="D91" s="849" t="s">
        <v>1476</v>
      </c>
      <c r="E91" s="849" t="s">
        <v>768</v>
      </c>
      <c r="F91" s="849" t="s">
        <v>1200</v>
      </c>
      <c r="G91" s="849">
        <v>0.0</v>
      </c>
      <c r="H91" s="849">
        <v>0.0</v>
      </c>
      <c r="I91" s="849">
        <v>0.0</v>
      </c>
      <c r="J91" s="849">
        <v>0.0</v>
      </c>
      <c r="K91" s="849">
        <v>0.0</v>
      </c>
      <c r="L91" s="849">
        <v>0.0</v>
      </c>
      <c r="M91" s="849">
        <v>0.0</v>
      </c>
      <c r="N91" s="849">
        <v>0.0</v>
      </c>
      <c r="O91" s="849">
        <v>0.0</v>
      </c>
      <c r="P91" s="849">
        <v>0.0</v>
      </c>
      <c r="Q91" s="849">
        <v>0.0</v>
      </c>
      <c r="R91" s="849">
        <v>0.0</v>
      </c>
      <c r="S91" s="849">
        <v>0.0</v>
      </c>
      <c r="T91" s="849">
        <v>0.0</v>
      </c>
      <c r="U91" s="849">
        <v>0.0</v>
      </c>
      <c r="V91" s="849">
        <v>0.0</v>
      </c>
      <c r="W91" s="849">
        <v>0.0</v>
      </c>
      <c r="X91" s="849">
        <v>0.0</v>
      </c>
      <c r="Y91" s="849">
        <v>0.0</v>
      </c>
      <c r="Z91" s="849">
        <v>0.0</v>
      </c>
      <c r="AA91" s="849">
        <v>0.0</v>
      </c>
      <c r="AB91" s="849">
        <v>0.0</v>
      </c>
      <c r="AC91" s="849">
        <v>0.0</v>
      </c>
      <c r="AD91" s="849">
        <v>0.0</v>
      </c>
      <c r="AE91" s="849">
        <v>0.0</v>
      </c>
      <c r="AF91" s="849">
        <v>0.0</v>
      </c>
      <c r="AG91" s="849">
        <v>0.0</v>
      </c>
      <c r="AH91" s="849">
        <v>0.0</v>
      </c>
      <c r="AI91" s="849">
        <v>0.0</v>
      </c>
      <c r="AJ91" s="794" t="str">
        <f t="shared" ref="AJ91:AK91" si="179">C91</f>
        <v>G0576</v>
      </c>
      <c r="AK91" s="794" t="str">
        <f t="shared" si="179"/>
        <v>MAUVAISES CRÉANCES PIÈCES</v>
      </c>
      <c r="AL91" s="794">
        <f t="array" ref="AL91">IFERROR(INDEX(G91:R91,1,MATCH(Parametres!$B$3,G$1:R$1,0)-1)*IF(OR(F91="L",F91="S",F91="I"),-1,1),"")</f>
        <v>0</v>
      </c>
      <c r="AM91" s="794">
        <f t="shared" si="4"/>
        <v>0</v>
      </c>
      <c r="AN91" s="794">
        <f t="array" ref="AN91">INDEX(G91:R91,1,MATCH(Parametres!$B$3,G$1:R$1,0))*IF(OR(F91="L",F91="S",F91="I"),-1,1)</f>
        <v>0</v>
      </c>
      <c r="AO91" s="853" t="str">
        <f>+VLOOKUP($AJ91,Data_Validation!$A:$D,1,0)</f>
        <v>G0576</v>
      </c>
      <c r="AP91" s="853" t="str">
        <f>+VLOOKUP($AJ91,Data_Validation!$A:$D,3,0)</f>
        <v>Pièces</v>
      </c>
      <c r="AQ91" s="853" t="str">
        <f>+VLOOKUP($AJ91,Data_Validation!$A:$D,4,0)</f>
        <v>Divers</v>
      </c>
      <c r="AR91" s="853" t="s">
        <v>728</v>
      </c>
      <c r="AS91" s="853" t="str">
        <f>+VLOOKUP($AJ91,Data_Validation!$A:$E,5,0)</f>
        <v/>
      </c>
      <c r="AT91" s="794" t="str">
        <f t="shared" ref="AT91:AU91" si="180">C91</f>
        <v>G0576</v>
      </c>
      <c r="AU91" s="854" t="str">
        <f t="shared" si="180"/>
        <v>MAUVAISES CRÉANCES PIÈCES</v>
      </c>
      <c r="AV91" s="794">
        <f t="array" ref="AV91">IFERROR(INDEX(V91:AG91,1,MATCH(Parametres!$B$3,V$1:AG$1,0)-1)*IF(OR(C91="L",C91="S",C91="I"),-1,1),"")</f>
        <v>0</v>
      </c>
      <c r="AW91" s="794">
        <f t="shared" si="6"/>
        <v>0</v>
      </c>
      <c r="AX91" s="794">
        <f t="array" ref="AX91">INDEX(V91:AG91,1,MATCH(Parametres!$B$3,V$1:AG$1,0))*IF(OR(C91="L",C91="S",C91="I"),-1,1)</f>
        <v>0</v>
      </c>
      <c r="AY91" s="853" t="s">
        <v>772</v>
      </c>
      <c r="AZ91" s="853" t="str">
        <f>+VLOOKUP($AJ91,Data_Validation!$A:$E,5,0)</f>
        <v/>
      </c>
    </row>
    <row r="92" ht="15.0" customHeight="1">
      <c r="A92" s="849" t="s">
        <v>1239</v>
      </c>
      <c r="B92" s="849">
        <v>2025.0</v>
      </c>
      <c r="C92" s="849" t="s">
        <v>1477</v>
      </c>
      <c r="D92" s="849" t="s">
        <v>1478</v>
      </c>
      <c r="E92" s="849" t="s">
        <v>768</v>
      </c>
      <c r="F92" s="849" t="s">
        <v>1200</v>
      </c>
      <c r="G92" s="849">
        <v>0.0</v>
      </c>
      <c r="H92" s="849">
        <v>0.0</v>
      </c>
      <c r="I92" s="849">
        <v>0.0</v>
      </c>
      <c r="J92" s="849">
        <v>0.0</v>
      </c>
      <c r="K92" s="849">
        <v>0.0</v>
      </c>
      <c r="L92" s="849">
        <v>0.0</v>
      </c>
      <c r="M92" s="849">
        <v>0.0</v>
      </c>
      <c r="N92" s="849">
        <v>0.0</v>
      </c>
      <c r="O92" s="849">
        <v>0.0</v>
      </c>
      <c r="P92" s="849">
        <v>0.0</v>
      </c>
      <c r="Q92" s="849">
        <v>0.0</v>
      </c>
      <c r="R92" s="849">
        <v>0.0</v>
      </c>
      <c r="S92" s="849">
        <v>0.0</v>
      </c>
      <c r="T92" s="849">
        <v>0.0</v>
      </c>
      <c r="U92" s="849">
        <v>0.0</v>
      </c>
      <c r="V92" s="849">
        <v>0.0</v>
      </c>
      <c r="W92" s="849">
        <v>0.0</v>
      </c>
      <c r="X92" s="849">
        <v>0.0</v>
      </c>
      <c r="Y92" s="849">
        <v>0.0</v>
      </c>
      <c r="Z92" s="849">
        <v>0.0</v>
      </c>
      <c r="AA92" s="849">
        <v>0.0</v>
      </c>
      <c r="AB92" s="849">
        <v>0.0</v>
      </c>
      <c r="AC92" s="849">
        <v>0.0</v>
      </c>
      <c r="AD92" s="849">
        <v>0.0</v>
      </c>
      <c r="AE92" s="849">
        <v>0.0</v>
      </c>
      <c r="AF92" s="849">
        <v>0.0</v>
      </c>
      <c r="AG92" s="849">
        <v>0.0</v>
      </c>
      <c r="AH92" s="849">
        <v>0.0</v>
      </c>
      <c r="AI92" s="849">
        <v>0.0</v>
      </c>
      <c r="AJ92" s="794" t="str">
        <f t="shared" ref="AJ92:AK92" si="181">C92</f>
        <v>G0580</v>
      </c>
      <c r="AK92" s="794" t="str">
        <f t="shared" si="181"/>
        <v>FRAIS DE BANQUE</v>
      </c>
      <c r="AL92" s="794">
        <f t="array" ref="AL92">IFERROR(INDEX(G92:R92,1,MATCH(Parametres!$B$3,G$1:R$1,0)-1)*IF(OR(F92="L",F92="S",F92="I"),-1,1),"")</f>
        <v>0</v>
      </c>
      <c r="AM92" s="794">
        <f t="shared" si="4"/>
        <v>0</v>
      </c>
      <c r="AN92" s="794">
        <f t="array" ref="AN92">INDEX(G92:R92,1,MATCH(Parametres!$B$3,G$1:R$1,0))*IF(OR(F92="L",F92="S",F92="I"),-1,1)</f>
        <v>0</v>
      </c>
      <c r="AO92" s="853" t="str">
        <f>+VLOOKUP($AJ92,Data_Validation!$A:$D,1,0)</f>
        <v>#N/A</v>
      </c>
      <c r="AP92" s="853" t="str">
        <f>+VLOOKUP($AJ92,Data_Validation!$A:$D,3,0)</f>
        <v>#N/A</v>
      </c>
      <c r="AQ92" s="853" t="str">
        <f>+VLOOKUP($AJ92,Data_Validation!$A:$D,4,0)</f>
        <v>#N/A</v>
      </c>
      <c r="AR92" s="853" t="s">
        <v>728</v>
      </c>
      <c r="AS92" s="853" t="str">
        <f>+VLOOKUP($AJ92,Data_Validation!$A:$E,5,0)</f>
        <v>#N/A</v>
      </c>
      <c r="AT92" s="794" t="str">
        <f t="shared" ref="AT92:AU92" si="182">C92</f>
        <v>G0580</v>
      </c>
      <c r="AU92" s="854" t="str">
        <f t="shared" si="182"/>
        <v>FRAIS DE BANQUE</v>
      </c>
      <c r="AV92" s="794">
        <f t="array" ref="AV92">IFERROR(INDEX(V92:AG92,1,MATCH(Parametres!$B$3,V$1:AG$1,0)-1)*IF(OR(C92="L",C92="S",C92="I"),-1,1),"")</f>
        <v>0</v>
      </c>
      <c r="AW92" s="794">
        <f t="shared" si="6"/>
        <v>0</v>
      </c>
      <c r="AX92" s="794">
        <f t="array" ref="AX92">INDEX(V92:AG92,1,MATCH(Parametres!$B$3,V$1:AG$1,0))*IF(OR(C92="L",C92="S",C92="I"),-1,1)</f>
        <v>0</v>
      </c>
      <c r="AY92" s="853" t="s">
        <v>772</v>
      </c>
      <c r="AZ92" s="853" t="str">
        <f>+VLOOKUP($AJ92,Data_Validation!$A:$E,5,0)</f>
        <v>#N/A</v>
      </c>
    </row>
    <row r="93" ht="15.0" customHeight="1">
      <c r="A93" s="849" t="s">
        <v>1239</v>
      </c>
      <c r="B93" s="849">
        <v>2025.0</v>
      </c>
      <c r="C93" s="849" t="s">
        <v>1479</v>
      </c>
      <c r="D93" s="849" t="s">
        <v>1480</v>
      </c>
      <c r="E93" s="849" t="s">
        <v>768</v>
      </c>
      <c r="F93" s="849" t="s">
        <v>1200</v>
      </c>
      <c r="G93" s="849">
        <v>421.56</v>
      </c>
      <c r="H93" s="849">
        <v>719.52</v>
      </c>
      <c r="I93" s="849">
        <v>1214.21</v>
      </c>
      <c r="J93" s="849">
        <v>1588.67</v>
      </c>
      <c r="K93" s="849">
        <v>1922.84</v>
      </c>
      <c r="L93" s="849">
        <v>2201.13</v>
      </c>
      <c r="M93" s="849">
        <v>2542.61</v>
      </c>
      <c r="N93" s="849">
        <v>2841.99</v>
      </c>
      <c r="O93" s="849">
        <v>3227.62</v>
      </c>
      <c r="P93" s="849">
        <v>3672.91</v>
      </c>
      <c r="Q93" s="849">
        <v>4366.9</v>
      </c>
      <c r="R93" s="849">
        <v>6226.82</v>
      </c>
      <c r="S93" s="849">
        <v>396.99</v>
      </c>
      <c r="T93" s="849">
        <v>396.99</v>
      </c>
      <c r="U93" s="849">
        <v>0.0</v>
      </c>
      <c r="V93" s="849">
        <v>0.0</v>
      </c>
      <c r="W93" s="849">
        <v>0.0</v>
      </c>
      <c r="X93" s="849">
        <v>0.0</v>
      </c>
      <c r="Y93" s="849">
        <v>0.0</v>
      </c>
      <c r="Z93" s="849">
        <v>0.0</v>
      </c>
      <c r="AA93" s="849">
        <v>0.0</v>
      </c>
      <c r="AB93" s="849">
        <v>0.0</v>
      </c>
      <c r="AC93" s="849">
        <v>0.0</v>
      </c>
      <c r="AD93" s="849">
        <v>0.0</v>
      </c>
      <c r="AE93" s="849">
        <v>0.0</v>
      </c>
      <c r="AF93" s="849">
        <v>0.0</v>
      </c>
      <c r="AG93" s="849">
        <v>0.0</v>
      </c>
      <c r="AH93" s="849">
        <v>0.0</v>
      </c>
      <c r="AI93" s="849">
        <v>0.0</v>
      </c>
      <c r="AJ93" s="794" t="str">
        <f t="shared" ref="AJ93:AK93" si="183">C93</f>
        <v>G0581</v>
      </c>
      <c r="AK93" s="794" t="str">
        <f t="shared" si="183"/>
        <v>FRAIS DE BANQUE NEUF</v>
      </c>
      <c r="AL93" s="794">
        <f t="array" ref="AL93">IFERROR(INDEX(G93:R93,1,MATCH(Parametres!$B$3,G$1:R$1,0)-1)*IF(OR(F93="L",F93="S",F93="I"),-1,1),"")</f>
        <v>2841.99</v>
      </c>
      <c r="AM93" s="794">
        <f t="shared" si="4"/>
        <v>385.63</v>
      </c>
      <c r="AN93" s="794">
        <f t="array" ref="AN93">INDEX(G93:R93,1,MATCH(Parametres!$B$3,G$1:R$1,0))*IF(OR(F93="L",F93="S",F93="I"),-1,1)</f>
        <v>3227.62</v>
      </c>
      <c r="AO93" s="853" t="str">
        <f>+VLOOKUP($AJ93,Data_Validation!$A:$D,1,0)</f>
        <v>G0581</v>
      </c>
      <c r="AP93" s="853" t="str">
        <f>+VLOOKUP($AJ93,Data_Validation!$A:$D,3,0)</f>
        <v>Véhicules neufs</v>
      </c>
      <c r="AQ93" s="853" t="str">
        <f>+VLOOKUP($AJ93,Data_Validation!$A:$D,4,0)</f>
        <v>Frais bancaires</v>
      </c>
      <c r="AR93" s="853" t="s">
        <v>728</v>
      </c>
      <c r="AS93" s="853" t="str">
        <f>+VLOOKUP($AJ93,Data_Validation!$A:$E,5,0)</f>
        <v/>
      </c>
      <c r="AT93" s="794" t="str">
        <f t="shared" ref="AT93:AU93" si="184">C93</f>
        <v>G0581</v>
      </c>
      <c r="AU93" s="854" t="str">
        <f t="shared" si="184"/>
        <v>FRAIS DE BANQUE NEUF</v>
      </c>
      <c r="AV93" s="794">
        <f t="array" ref="AV93">IFERROR(INDEX(V93:AG93,1,MATCH(Parametres!$B$3,V$1:AG$1,0)-1)*IF(OR(C93="L",C93="S",C93="I"),-1,1),"")</f>
        <v>0</v>
      </c>
      <c r="AW93" s="794">
        <f t="shared" si="6"/>
        <v>0</v>
      </c>
      <c r="AX93" s="794">
        <f t="array" ref="AX93">INDEX(V93:AG93,1,MATCH(Parametres!$B$3,V$1:AG$1,0))*IF(OR(C93="L",C93="S",C93="I"),-1,1)</f>
        <v>0</v>
      </c>
      <c r="AY93" s="853" t="s">
        <v>772</v>
      </c>
      <c r="AZ93" s="853" t="str">
        <f>+VLOOKUP($AJ93,Data_Validation!$A:$E,5,0)</f>
        <v/>
      </c>
    </row>
    <row r="94" ht="15.75" customHeight="1">
      <c r="A94" s="849" t="s">
        <v>1239</v>
      </c>
      <c r="B94" s="849">
        <v>2025.0</v>
      </c>
      <c r="C94" s="849" t="s">
        <v>1481</v>
      </c>
      <c r="D94" s="849" t="s">
        <v>1482</v>
      </c>
      <c r="E94" s="849" t="s">
        <v>768</v>
      </c>
      <c r="F94" s="849" t="s">
        <v>1200</v>
      </c>
      <c r="G94" s="849">
        <v>294.55</v>
      </c>
      <c r="H94" s="849">
        <v>485.54</v>
      </c>
      <c r="I94" s="849">
        <v>796.5</v>
      </c>
      <c r="J94" s="849">
        <v>1062.8</v>
      </c>
      <c r="K94" s="849">
        <v>1277.58</v>
      </c>
      <c r="L94" s="849">
        <v>1463.1</v>
      </c>
      <c r="M94" s="849">
        <v>1729.91</v>
      </c>
      <c r="N94" s="849">
        <v>1921.5</v>
      </c>
      <c r="O94" s="849">
        <v>2173.25</v>
      </c>
      <c r="P94" s="849">
        <v>2465.82</v>
      </c>
      <c r="Q94" s="849">
        <v>2915.13</v>
      </c>
      <c r="R94" s="849">
        <v>4149.73</v>
      </c>
      <c r="S94" s="849">
        <v>265.01</v>
      </c>
      <c r="T94" s="849">
        <v>265.01</v>
      </c>
      <c r="U94" s="849">
        <v>0.0</v>
      </c>
      <c r="V94" s="849">
        <v>0.0</v>
      </c>
      <c r="W94" s="849">
        <v>0.0</v>
      </c>
      <c r="X94" s="849">
        <v>0.0</v>
      </c>
      <c r="Y94" s="849">
        <v>0.0</v>
      </c>
      <c r="Z94" s="849">
        <v>0.0</v>
      </c>
      <c r="AA94" s="849">
        <v>0.0</v>
      </c>
      <c r="AB94" s="849">
        <v>0.0</v>
      </c>
      <c r="AC94" s="849">
        <v>0.0</v>
      </c>
      <c r="AD94" s="849">
        <v>0.0</v>
      </c>
      <c r="AE94" s="849">
        <v>0.0</v>
      </c>
      <c r="AF94" s="849">
        <v>0.0</v>
      </c>
      <c r="AG94" s="849">
        <v>0.0</v>
      </c>
      <c r="AH94" s="849">
        <v>0.0</v>
      </c>
      <c r="AI94" s="849">
        <v>0.0</v>
      </c>
      <c r="AJ94" s="794" t="str">
        <f t="shared" ref="AJ94:AK94" si="185">C94</f>
        <v>G0582</v>
      </c>
      <c r="AK94" s="794" t="str">
        <f t="shared" si="185"/>
        <v>FRAIS DE BANQUE USAGE</v>
      </c>
      <c r="AL94" s="794">
        <f t="array" ref="AL94">IFERROR(INDEX(G94:R94,1,MATCH(Parametres!$B$3,G$1:R$1,0)-1)*IF(OR(F94="L",F94="S",F94="I"),-1,1),"")</f>
        <v>1921.5</v>
      </c>
      <c r="AM94" s="794">
        <f t="shared" si="4"/>
        <v>251.75</v>
      </c>
      <c r="AN94" s="794">
        <f t="array" ref="AN94">INDEX(G94:R94,1,MATCH(Parametres!$B$3,G$1:R$1,0))*IF(OR(F94="L",F94="S",F94="I"),-1,1)</f>
        <v>2173.25</v>
      </c>
      <c r="AO94" s="853" t="str">
        <f>+VLOOKUP($AJ94,Data_Validation!$A:$D,1,0)</f>
        <v>G0582</v>
      </c>
      <c r="AP94" s="853" t="str">
        <f>+VLOOKUP($AJ94,Data_Validation!$A:$D,3,0)</f>
        <v>Véhicules usagés</v>
      </c>
      <c r="AQ94" s="853" t="str">
        <f>+VLOOKUP($AJ94,Data_Validation!$A:$D,4,0)</f>
        <v>Frais bancaires</v>
      </c>
      <c r="AR94" s="853" t="s">
        <v>728</v>
      </c>
      <c r="AS94" s="853" t="str">
        <f>+VLOOKUP($AJ94,Data_Validation!$A:$E,5,0)</f>
        <v/>
      </c>
      <c r="AT94" s="794" t="str">
        <f t="shared" ref="AT94:AU94" si="186">C94</f>
        <v>G0582</v>
      </c>
      <c r="AU94" s="854" t="str">
        <f t="shared" si="186"/>
        <v>FRAIS DE BANQUE USAGE</v>
      </c>
      <c r="AV94" s="794">
        <f t="array" ref="AV94">IFERROR(INDEX(V94:AG94,1,MATCH(Parametres!$B$3,V$1:AG$1,0)-1)*IF(OR(C94="L",C94="S",C94="I"),-1,1),"")</f>
        <v>0</v>
      </c>
      <c r="AW94" s="794">
        <f t="shared" si="6"/>
        <v>0</v>
      </c>
      <c r="AX94" s="794">
        <f t="array" ref="AX94">INDEX(V94:AG94,1,MATCH(Parametres!$B$3,V$1:AG$1,0))*IF(OR(C94="L",C94="S",C94="I"),-1,1)</f>
        <v>0</v>
      </c>
      <c r="AY94" s="853" t="s">
        <v>772</v>
      </c>
      <c r="AZ94" s="853" t="str">
        <f>+VLOOKUP($AJ94,Data_Validation!$A:$E,5,0)</f>
        <v/>
      </c>
    </row>
    <row r="95" ht="15.0" customHeight="1">
      <c r="A95" s="849" t="s">
        <v>1239</v>
      </c>
      <c r="B95" s="849">
        <v>2025.0</v>
      </c>
      <c r="C95" s="849" t="s">
        <v>1483</v>
      </c>
      <c r="D95" s="849" t="s">
        <v>1484</v>
      </c>
      <c r="E95" s="849" t="s">
        <v>768</v>
      </c>
      <c r="F95" s="849" t="s">
        <v>1200</v>
      </c>
      <c r="G95" s="849">
        <v>17.5</v>
      </c>
      <c r="H95" s="849">
        <v>52.5</v>
      </c>
      <c r="I95" s="849">
        <v>2117.09</v>
      </c>
      <c r="J95" s="849">
        <v>2117.09</v>
      </c>
      <c r="K95" s="849">
        <v>2134.59</v>
      </c>
      <c r="L95" s="849">
        <v>2134.59</v>
      </c>
      <c r="M95" s="849">
        <v>2134.59</v>
      </c>
      <c r="N95" s="849">
        <v>2134.59</v>
      </c>
      <c r="O95" s="849">
        <v>2134.59</v>
      </c>
      <c r="P95" s="849">
        <v>2134.59</v>
      </c>
      <c r="Q95" s="849">
        <v>2134.59</v>
      </c>
      <c r="R95" s="849">
        <v>2134.59</v>
      </c>
      <c r="S95" s="849">
        <v>194.05</v>
      </c>
      <c r="T95" s="849">
        <v>194.05</v>
      </c>
      <c r="U95" s="849">
        <v>0.0</v>
      </c>
      <c r="V95" s="849">
        <v>0.0</v>
      </c>
      <c r="W95" s="849">
        <v>0.0</v>
      </c>
      <c r="X95" s="849">
        <v>0.0</v>
      </c>
      <c r="Y95" s="849">
        <v>0.0</v>
      </c>
      <c r="Z95" s="849">
        <v>0.0</v>
      </c>
      <c r="AA95" s="849">
        <v>0.0</v>
      </c>
      <c r="AB95" s="849">
        <v>0.0</v>
      </c>
      <c r="AC95" s="849">
        <v>0.0</v>
      </c>
      <c r="AD95" s="849">
        <v>0.0</v>
      </c>
      <c r="AE95" s="849">
        <v>0.0</v>
      </c>
      <c r="AF95" s="849">
        <v>0.0</v>
      </c>
      <c r="AG95" s="849">
        <v>0.0</v>
      </c>
      <c r="AH95" s="849">
        <v>0.0</v>
      </c>
      <c r="AI95" s="849">
        <v>0.0</v>
      </c>
      <c r="AJ95" s="794" t="str">
        <f t="shared" ref="AJ95:AK95" si="187">C95</f>
        <v>G0583</v>
      </c>
      <c r="AK95" s="794" t="str">
        <f t="shared" si="187"/>
        <v>FRAIS DE BANQUE U.S.A</v>
      </c>
      <c r="AL95" s="794">
        <f t="array" ref="AL95">IFERROR(INDEX(G95:R95,1,MATCH(Parametres!$B$3,G$1:R$1,0)-1)*IF(OR(F95="L",F95="S",F95="I"),-1,1),"")</f>
        <v>2134.59</v>
      </c>
      <c r="AM95" s="794">
        <f t="shared" si="4"/>
        <v>0</v>
      </c>
      <c r="AN95" s="794">
        <f t="array" ref="AN95">INDEX(G95:R95,1,MATCH(Parametres!$B$3,G$1:R$1,0))*IF(OR(F95="L",F95="S",F95="I"),-1,1)</f>
        <v>2134.59</v>
      </c>
      <c r="AO95" s="853" t="str">
        <f>+VLOOKUP($AJ95,Data_Validation!$A:$D,1,0)</f>
        <v>G0583</v>
      </c>
      <c r="AP95" s="853" t="str">
        <f>+VLOOKUP($AJ95,Data_Validation!$A:$D,3,0)</f>
        <v>Wholesale autres</v>
      </c>
      <c r="AQ95" s="853" t="str">
        <f>+VLOOKUP($AJ95,Data_Validation!$A:$D,4,0)</f>
        <v>Frais bancaires</v>
      </c>
      <c r="AR95" s="853" t="s">
        <v>728</v>
      </c>
      <c r="AS95" s="853" t="str">
        <f>+VLOOKUP($AJ95,Data_Validation!$A:$E,5,0)</f>
        <v/>
      </c>
      <c r="AT95" s="794" t="str">
        <f t="shared" ref="AT95:AU95" si="188">C95</f>
        <v>G0583</v>
      </c>
      <c r="AU95" s="854" t="str">
        <f t="shared" si="188"/>
        <v>FRAIS DE BANQUE U.S.A</v>
      </c>
      <c r="AV95" s="794">
        <f t="array" ref="AV95">IFERROR(INDEX(V95:AG95,1,MATCH(Parametres!$B$3,V$1:AG$1,0)-1)*IF(OR(C95="L",C95="S",C95="I"),-1,1),"")</f>
        <v>0</v>
      </c>
      <c r="AW95" s="794">
        <f t="shared" si="6"/>
        <v>0</v>
      </c>
      <c r="AX95" s="794">
        <f t="array" ref="AX95">INDEX(V95:AG95,1,MATCH(Parametres!$B$3,V$1:AG$1,0))*IF(OR(C95="L",C95="S",C95="I"),-1,1)</f>
        <v>0</v>
      </c>
      <c r="AY95" s="853" t="s">
        <v>772</v>
      </c>
      <c r="AZ95" s="853" t="str">
        <f>+VLOOKUP($AJ95,Data_Validation!$A:$E,5,0)</f>
        <v/>
      </c>
    </row>
    <row r="96" ht="15.0" customHeight="1">
      <c r="A96" s="849" t="s">
        <v>1239</v>
      </c>
      <c r="B96" s="849">
        <v>2025.0</v>
      </c>
      <c r="C96" s="849" t="s">
        <v>1485</v>
      </c>
      <c r="D96" s="849" t="s">
        <v>1486</v>
      </c>
      <c r="E96" s="849" t="s">
        <v>768</v>
      </c>
      <c r="F96" s="849" t="s">
        <v>1200</v>
      </c>
      <c r="G96" s="849">
        <v>430.86</v>
      </c>
      <c r="H96" s="849">
        <v>739.54</v>
      </c>
      <c r="I96" s="849">
        <v>1142.23</v>
      </c>
      <c r="J96" s="849">
        <v>1504.19</v>
      </c>
      <c r="K96" s="849">
        <v>1850.66</v>
      </c>
      <c r="L96" s="849">
        <v>2152.05</v>
      </c>
      <c r="M96" s="849">
        <v>2498.28</v>
      </c>
      <c r="N96" s="849">
        <v>2810.71</v>
      </c>
      <c r="O96" s="849">
        <v>3203.64</v>
      </c>
      <c r="P96" s="849">
        <v>3666.95</v>
      </c>
      <c r="Q96" s="849">
        <v>4355.94</v>
      </c>
      <c r="R96" s="849">
        <v>6225.26</v>
      </c>
      <c r="S96" s="849">
        <v>395.99</v>
      </c>
      <c r="T96" s="849">
        <v>395.99</v>
      </c>
      <c r="U96" s="849">
        <v>0.0</v>
      </c>
      <c r="V96" s="849">
        <v>0.0</v>
      </c>
      <c r="W96" s="849">
        <v>0.0</v>
      </c>
      <c r="X96" s="849">
        <v>0.0</v>
      </c>
      <c r="Y96" s="849">
        <v>0.0</v>
      </c>
      <c r="Z96" s="849">
        <v>0.0</v>
      </c>
      <c r="AA96" s="849">
        <v>0.0</v>
      </c>
      <c r="AB96" s="849">
        <v>0.0</v>
      </c>
      <c r="AC96" s="849">
        <v>0.0</v>
      </c>
      <c r="AD96" s="849">
        <v>0.0</v>
      </c>
      <c r="AE96" s="849">
        <v>0.0</v>
      </c>
      <c r="AF96" s="849">
        <v>0.0</v>
      </c>
      <c r="AG96" s="849">
        <v>0.0</v>
      </c>
      <c r="AH96" s="849">
        <v>0.0</v>
      </c>
      <c r="AI96" s="849">
        <v>0.0</v>
      </c>
      <c r="AJ96" s="794" t="str">
        <f t="shared" ref="AJ96:AK96" si="189">C96</f>
        <v>G0584</v>
      </c>
      <c r="AK96" s="794" t="str">
        <f t="shared" si="189"/>
        <v>FRAIS DE BANQUE SERVICE</v>
      </c>
      <c r="AL96" s="794">
        <f t="array" ref="AL96">IFERROR(INDEX(G96:R96,1,MATCH(Parametres!$B$3,G$1:R$1,0)-1)*IF(OR(F96="L",F96="S",F96="I"),-1,1),"")</f>
        <v>2810.71</v>
      </c>
      <c r="AM96" s="794">
        <f t="shared" si="4"/>
        <v>392.93</v>
      </c>
      <c r="AN96" s="794">
        <f t="array" ref="AN96">INDEX(G96:R96,1,MATCH(Parametres!$B$3,G$1:R$1,0))*IF(OR(F96="L",F96="S",F96="I"),-1,1)</f>
        <v>3203.64</v>
      </c>
      <c r="AO96" s="853" t="str">
        <f>+VLOOKUP($AJ96,Data_Validation!$A:$D,1,0)</f>
        <v>G0584</v>
      </c>
      <c r="AP96" s="853" t="str">
        <f>+VLOOKUP($AJ96,Data_Validation!$A:$D,3,0)</f>
        <v>Service</v>
      </c>
      <c r="AQ96" s="853" t="str">
        <f>+VLOOKUP($AJ96,Data_Validation!$A:$D,4,0)</f>
        <v>Frais bancaires</v>
      </c>
      <c r="AR96" s="853" t="s">
        <v>728</v>
      </c>
      <c r="AS96" s="853" t="str">
        <f>+VLOOKUP($AJ96,Data_Validation!$A:$E,5,0)</f>
        <v/>
      </c>
      <c r="AT96" s="794" t="str">
        <f t="shared" ref="AT96:AU96" si="190">C96</f>
        <v>G0584</v>
      </c>
      <c r="AU96" s="854" t="str">
        <f t="shared" si="190"/>
        <v>FRAIS DE BANQUE SERVICE</v>
      </c>
      <c r="AV96" s="794">
        <f t="array" ref="AV96">IFERROR(INDEX(V96:AG96,1,MATCH(Parametres!$B$3,V$1:AG$1,0)-1)*IF(OR(C96="L",C96="S",C96="I"),-1,1),"")</f>
        <v>0</v>
      </c>
      <c r="AW96" s="794">
        <f t="shared" si="6"/>
        <v>0</v>
      </c>
      <c r="AX96" s="794">
        <f t="array" ref="AX96">INDEX(V96:AG96,1,MATCH(Parametres!$B$3,V$1:AG$1,0))*IF(OR(C96="L",C96="S",C96="I"),-1,1)</f>
        <v>0</v>
      </c>
      <c r="AY96" s="853" t="s">
        <v>772</v>
      </c>
      <c r="AZ96" s="853" t="str">
        <f>+VLOOKUP($AJ96,Data_Validation!$A:$E,5,0)</f>
        <v/>
      </c>
    </row>
    <row r="97" ht="15.0" customHeight="1">
      <c r="A97" s="849" t="s">
        <v>1239</v>
      </c>
      <c r="B97" s="849">
        <v>2025.0</v>
      </c>
      <c r="C97" s="849" t="s">
        <v>1487</v>
      </c>
      <c r="D97" s="849" t="s">
        <v>1488</v>
      </c>
      <c r="E97" s="849" t="s">
        <v>768</v>
      </c>
      <c r="F97" s="849" t="s">
        <v>1200</v>
      </c>
      <c r="G97" s="849">
        <v>138.52</v>
      </c>
      <c r="H97" s="849">
        <v>234.01</v>
      </c>
      <c r="I97" s="849">
        <v>363.24</v>
      </c>
      <c r="J97" s="849">
        <v>478.89</v>
      </c>
      <c r="K97" s="849">
        <v>586.28</v>
      </c>
      <c r="L97" s="849">
        <v>679.04</v>
      </c>
      <c r="M97" s="849">
        <v>786.2</v>
      </c>
      <c r="N97" s="849">
        <v>881.99</v>
      </c>
      <c r="O97" s="849">
        <v>1007.87</v>
      </c>
      <c r="P97" s="849">
        <v>1154.16</v>
      </c>
      <c r="Q97" s="849">
        <v>1378.83</v>
      </c>
      <c r="R97" s="849">
        <v>1996.14</v>
      </c>
      <c r="S97" s="849">
        <v>125.35</v>
      </c>
      <c r="T97" s="849">
        <v>125.35</v>
      </c>
      <c r="U97" s="849">
        <v>0.0</v>
      </c>
      <c r="V97" s="849">
        <v>0.0</v>
      </c>
      <c r="W97" s="849">
        <v>0.0</v>
      </c>
      <c r="X97" s="849">
        <v>0.0</v>
      </c>
      <c r="Y97" s="849">
        <v>0.0</v>
      </c>
      <c r="Z97" s="849">
        <v>0.0</v>
      </c>
      <c r="AA97" s="849">
        <v>0.0</v>
      </c>
      <c r="AB97" s="849">
        <v>0.0</v>
      </c>
      <c r="AC97" s="849">
        <v>0.0</v>
      </c>
      <c r="AD97" s="849">
        <v>0.0</v>
      </c>
      <c r="AE97" s="849">
        <v>0.0</v>
      </c>
      <c r="AF97" s="849">
        <v>0.0</v>
      </c>
      <c r="AG97" s="849">
        <v>0.0</v>
      </c>
      <c r="AH97" s="849">
        <v>0.0</v>
      </c>
      <c r="AI97" s="849">
        <v>0.0</v>
      </c>
      <c r="AJ97" s="794" t="str">
        <f t="shared" ref="AJ97:AK97" si="191">C97</f>
        <v>G0585</v>
      </c>
      <c r="AK97" s="794" t="str">
        <f t="shared" si="191"/>
        <v>FRAIS DE BANQUE CARROSERI</v>
      </c>
      <c r="AL97" s="794">
        <f t="array" ref="AL97">IFERROR(INDEX(G97:R97,1,MATCH(Parametres!$B$3,G$1:R$1,0)-1)*IF(OR(F97="L",F97="S",F97="I"),-1,1),"")</f>
        <v>881.99</v>
      </c>
      <c r="AM97" s="794">
        <f t="shared" si="4"/>
        <v>125.88</v>
      </c>
      <c r="AN97" s="794">
        <f t="array" ref="AN97">INDEX(G97:R97,1,MATCH(Parametres!$B$3,G$1:R$1,0))*IF(OR(F97="L",F97="S",F97="I"),-1,1)</f>
        <v>1007.87</v>
      </c>
      <c r="AO97" s="853" t="str">
        <f>+VLOOKUP($AJ97,Data_Validation!$A:$D,1,0)</f>
        <v>G0585</v>
      </c>
      <c r="AP97" s="853" t="str">
        <f>+VLOOKUP($AJ97,Data_Validation!$A:$D,3,0)</f>
        <v>Carrosserie</v>
      </c>
      <c r="AQ97" s="853" t="str">
        <f>+VLOOKUP($AJ97,Data_Validation!$A:$D,4,0)</f>
        <v>Frais bancaires</v>
      </c>
      <c r="AR97" s="853" t="s">
        <v>728</v>
      </c>
      <c r="AS97" s="853" t="str">
        <f>+VLOOKUP($AJ97,Data_Validation!$A:$E,5,0)</f>
        <v/>
      </c>
      <c r="AT97" s="794" t="str">
        <f t="shared" ref="AT97:AU97" si="192">C97</f>
        <v>G0585</v>
      </c>
      <c r="AU97" s="854" t="str">
        <f t="shared" si="192"/>
        <v>FRAIS DE BANQUE CARROSERI</v>
      </c>
      <c r="AV97" s="794">
        <f t="array" ref="AV97">IFERROR(INDEX(V97:AG97,1,MATCH(Parametres!$B$3,V$1:AG$1,0)-1)*IF(OR(C97="L",C97="S",C97="I"),-1,1),"")</f>
        <v>0</v>
      </c>
      <c r="AW97" s="794">
        <f t="shared" si="6"/>
        <v>0</v>
      </c>
      <c r="AX97" s="794">
        <f t="array" ref="AX97">INDEX(V97:AG97,1,MATCH(Parametres!$B$3,V$1:AG$1,0))*IF(OR(C97="L",C97="S",C97="I"),-1,1)</f>
        <v>0</v>
      </c>
      <c r="AY97" s="853" t="s">
        <v>772</v>
      </c>
      <c r="AZ97" s="853" t="str">
        <f>+VLOOKUP($AJ97,Data_Validation!$A:$E,5,0)</f>
        <v/>
      </c>
    </row>
    <row r="98" ht="15.0" customHeight="1">
      <c r="A98" s="849" t="s">
        <v>1239</v>
      </c>
      <c r="B98" s="849">
        <v>2025.0</v>
      </c>
      <c r="C98" s="849" t="s">
        <v>1489</v>
      </c>
      <c r="D98" s="849" t="s">
        <v>1490</v>
      </c>
      <c r="E98" s="849" t="s">
        <v>768</v>
      </c>
      <c r="F98" s="849" t="s">
        <v>1200</v>
      </c>
      <c r="G98" s="849">
        <v>138.53</v>
      </c>
      <c r="H98" s="849">
        <v>234.02</v>
      </c>
      <c r="I98" s="849">
        <v>363.26</v>
      </c>
      <c r="J98" s="849">
        <v>478.91</v>
      </c>
      <c r="K98" s="849">
        <v>586.29</v>
      </c>
      <c r="L98" s="849">
        <v>679.05</v>
      </c>
      <c r="M98" s="849">
        <v>786.2</v>
      </c>
      <c r="N98" s="849">
        <v>882.0</v>
      </c>
      <c r="O98" s="849">
        <v>1007.85</v>
      </c>
      <c r="P98" s="849">
        <v>1154.14</v>
      </c>
      <c r="Q98" s="849">
        <v>1378.76</v>
      </c>
      <c r="R98" s="849">
        <v>1996.03</v>
      </c>
      <c r="S98" s="849">
        <v>125.34</v>
      </c>
      <c r="T98" s="849">
        <v>125.34</v>
      </c>
      <c r="U98" s="849">
        <v>0.0</v>
      </c>
      <c r="V98" s="849">
        <v>0.0</v>
      </c>
      <c r="W98" s="849">
        <v>0.0</v>
      </c>
      <c r="X98" s="849">
        <v>0.0</v>
      </c>
      <c r="Y98" s="849">
        <v>0.0</v>
      </c>
      <c r="Z98" s="849">
        <v>0.0</v>
      </c>
      <c r="AA98" s="849">
        <v>0.0</v>
      </c>
      <c r="AB98" s="849">
        <v>0.0</v>
      </c>
      <c r="AC98" s="849">
        <v>0.0</v>
      </c>
      <c r="AD98" s="849">
        <v>0.0</v>
      </c>
      <c r="AE98" s="849">
        <v>0.0</v>
      </c>
      <c r="AF98" s="849">
        <v>0.0</v>
      </c>
      <c r="AG98" s="849">
        <v>0.0</v>
      </c>
      <c r="AH98" s="849">
        <v>0.0</v>
      </c>
      <c r="AI98" s="849">
        <v>0.0</v>
      </c>
      <c r="AJ98" s="794" t="str">
        <f t="shared" ref="AJ98:AK98" si="193">C98</f>
        <v>G0586</v>
      </c>
      <c r="AK98" s="794" t="str">
        <f t="shared" si="193"/>
        <v>FRAIS DE BANQUE PIECES</v>
      </c>
      <c r="AL98" s="794">
        <f t="array" ref="AL98">IFERROR(INDEX(G98:R98,1,MATCH(Parametres!$B$3,G$1:R$1,0)-1)*IF(OR(F98="L",F98="S",F98="I"),-1,1),"")</f>
        <v>882</v>
      </c>
      <c r="AM98" s="794">
        <f t="shared" si="4"/>
        <v>125.85</v>
      </c>
      <c r="AN98" s="794">
        <f t="array" ref="AN98">INDEX(G98:R98,1,MATCH(Parametres!$B$3,G$1:R$1,0))*IF(OR(F98="L",F98="S",F98="I"),-1,1)</f>
        <v>1007.85</v>
      </c>
      <c r="AO98" s="853" t="str">
        <f>+VLOOKUP($AJ98,Data_Validation!$A:$D,1,0)</f>
        <v>G0586</v>
      </c>
      <c r="AP98" s="853" t="str">
        <f>+VLOOKUP($AJ98,Data_Validation!$A:$D,3,0)</f>
        <v>Pièces</v>
      </c>
      <c r="AQ98" s="853" t="str">
        <f>+VLOOKUP($AJ98,Data_Validation!$A:$D,4,0)</f>
        <v>Frais bancaires</v>
      </c>
      <c r="AR98" s="853" t="s">
        <v>728</v>
      </c>
      <c r="AS98" s="853" t="str">
        <f>+VLOOKUP($AJ98,Data_Validation!$A:$E,5,0)</f>
        <v/>
      </c>
      <c r="AT98" s="794" t="str">
        <f t="shared" ref="AT98:AU98" si="194">C98</f>
        <v>G0586</v>
      </c>
      <c r="AU98" s="854" t="str">
        <f t="shared" si="194"/>
        <v>FRAIS DE BANQUE PIECES</v>
      </c>
      <c r="AV98" s="794">
        <f t="array" ref="AV98">IFERROR(INDEX(V98:AG98,1,MATCH(Parametres!$B$3,V$1:AG$1,0)-1)*IF(OR(C98="L",C98="S",C98="I"),-1,1),"")</f>
        <v>0</v>
      </c>
      <c r="AW98" s="794">
        <f t="shared" si="6"/>
        <v>0</v>
      </c>
      <c r="AX98" s="794">
        <f t="array" ref="AX98">INDEX(V98:AG98,1,MATCH(Parametres!$B$3,V$1:AG$1,0))*IF(OR(C98="L",C98="S",C98="I"),-1,1)</f>
        <v>0</v>
      </c>
      <c r="AY98" s="853" t="s">
        <v>772</v>
      </c>
      <c r="AZ98" s="853" t="str">
        <f>+VLOOKUP($AJ98,Data_Validation!$A:$E,5,0)</f>
        <v/>
      </c>
    </row>
    <row r="99" ht="15.75" customHeight="1">
      <c r="A99" s="849" t="s">
        <v>1239</v>
      </c>
      <c r="B99" s="849">
        <v>2025.0</v>
      </c>
      <c r="C99" s="849" t="s">
        <v>1507</v>
      </c>
      <c r="D99" s="849" t="s">
        <v>1508</v>
      </c>
      <c r="E99" s="849" t="s">
        <v>768</v>
      </c>
      <c r="F99" s="849" t="s">
        <v>1200</v>
      </c>
      <c r="G99" s="849">
        <v>0.0</v>
      </c>
      <c r="H99" s="849">
        <v>0.0</v>
      </c>
      <c r="I99" s="849">
        <v>0.0</v>
      </c>
      <c r="J99" s="849">
        <v>0.0</v>
      </c>
      <c r="K99" s="849">
        <v>0.0</v>
      </c>
      <c r="L99" s="849">
        <v>0.0</v>
      </c>
      <c r="M99" s="849">
        <v>0.0</v>
      </c>
      <c r="N99" s="849">
        <v>0.0</v>
      </c>
      <c r="O99" s="849">
        <v>0.0</v>
      </c>
      <c r="P99" s="849">
        <v>0.0</v>
      </c>
      <c r="Q99" s="849">
        <v>0.0</v>
      </c>
      <c r="R99" s="849">
        <v>0.0</v>
      </c>
      <c r="S99" s="849">
        <v>0.0</v>
      </c>
      <c r="T99" s="849">
        <v>0.0</v>
      </c>
      <c r="U99" s="849">
        <v>0.0</v>
      </c>
      <c r="V99" s="849">
        <v>0.0</v>
      </c>
      <c r="W99" s="849">
        <v>0.0</v>
      </c>
      <c r="X99" s="849">
        <v>0.0</v>
      </c>
      <c r="Y99" s="849">
        <v>0.0</v>
      </c>
      <c r="Z99" s="849">
        <v>0.0</v>
      </c>
      <c r="AA99" s="849">
        <v>0.0</v>
      </c>
      <c r="AB99" s="849">
        <v>0.0</v>
      </c>
      <c r="AC99" s="849">
        <v>0.0</v>
      </c>
      <c r="AD99" s="849">
        <v>0.0</v>
      </c>
      <c r="AE99" s="849">
        <v>0.0</v>
      </c>
      <c r="AF99" s="849">
        <v>0.0</v>
      </c>
      <c r="AG99" s="849">
        <v>0.0</v>
      </c>
      <c r="AH99" s="849">
        <v>0.0</v>
      </c>
      <c r="AI99" s="849">
        <v>0.0</v>
      </c>
      <c r="AJ99" s="794" t="str">
        <f t="shared" ref="AJ99:AK99" si="195">C99</f>
        <v>G0600</v>
      </c>
      <c r="AK99" s="794" t="str">
        <f t="shared" si="195"/>
        <v>FRAIS BUREAU REP.</v>
      </c>
      <c r="AL99" s="794">
        <f t="array" ref="AL99">IFERROR(INDEX(G99:R99,1,MATCH(Parametres!$B$3,G$1:R$1,0)-1)*IF(OR(F99="L",F99="S",F99="I"),-1,1),"")</f>
        <v>0</v>
      </c>
      <c r="AM99" s="794">
        <f t="shared" si="4"/>
        <v>0</v>
      </c>
      <c r="AN99" s="794">
        <f t="array" ref="AN99">INDEX(G99:R99,1,MATCH(Parametres!$B$3,G$1:R$1,0))*IF(OR(F99="L",F99="S",F99="I"),-1,1)</f>
        <v>0</v>
      </c>
      <c r="AO99" s="853" t="str">
        <f>+VLOOKUP($AJ99,Data_Validation!$A:$D,1,0)</f>
        <v>#N/A</v>
      </c>
      <c r="AP99" s="853" t="str">
        <f>+VLOOKUP($AJ99,Data_Validation!$A:$D,3,0)</f>
        <v>#N/A</v>
      </c>
      <c r="AQ99" s="853" t="str">
        <f>+VLOOKUP($AJ99,Data_Validation!$A:$D,4,0)</f>
        <v>#N/A</v>
      </c>
      <c r="AR99" s="853" t="s">
        <v>728</v>
      </c>
      <c r="AS99" s="853" t="str">
        <f>+VLOOKUP($AJ99,Data_Validation!$A:$E,5,0)</f>
        <v>#N/A</v>
      </c>
      <c r="AT99" s="794" t="str">
        <f t="shared" ref="AT99:AU99" si="196">C99</f>
        <v>G0600</v>
      </c>
      <c r="AU99" s="854" t="str">
        <f t="shared" si="196"/>
        <v>FRAIS BUREAU REP.</v>
      </c>
      <c r="AV99" s="794">
        <f t="array" ref="AV99">IFERROR(INDEX(V99:AG99,1,MATCH(Parametres!$B$3,V$1:AG$1,0)-1)*IF(OR(C99="L",C99="S",C99="I"),-1,1),"")</f>
        <v>0</v>
      </c>
      <c r="AW99" s="794">
        <f t="shared" si="6"/>
        <v>0</v>
      </c>
      <c r="AX99" s="794">
        <f t="array" ref="AX99">INDEX(V99:AG99,1,MATCH(Parametres!$B$3,V$1:AG$1,0))*IF(OR(C99="L",C99="S",C99="I"),-1,1)</f>
        <v>0</v>
      </c>
      <c r="AY99" s="853" t="s">
        <v>772</v>
      </c>
      <c r="AZ99" s="853" t="str">
        <f>+VLOOKUP($AJ99,Data_Validation!$A:$E,5,0)</f>
        <v>#N/A</v>
      </c>
    </row>
    <row r="100" ht="15.0" customHeight="1">
      <c r="A100" s="849" t="s">
        <v>1239</v>
      </c>
      <c r="B100" s="849">
        <v>2025.0</v>
      </c>
      <c r="C100" s="849" t="s">
        <v>1509</v>
      </c>
      <c r="D100" s="849" t="s">
        <v>1510</v>
      </c>
      <c r="E100" s="849" t="s">
        <v>768</v>
      </c>
      <c r="F100" s="849" t="s">
        <v>1200</v>
      </c>
      <c r="G100" s="849">
        <v>2786.13</v>
      </c>
      <c r="H100" s="849">
        <v>4100.78</v>
      </c>
      <c r="I100" s="849">
        <v>6276.17</v>
      </c>
      <c r="J100" s="849">
        <v>9752.32</v>
      </c>
      <c r="K100" s="849">
        <v>11011.09</v>
      </c>
      <c r="L100" s="849">
        <v>14100.19</v>
      </c>
      <c r="M100" s="849">
        <v>14891.58</v>
      </c>
      <c r="N100" s="849">
        <v>16404.61</v>
      </c>
      <c r="O100" s="849">
        <v>19170.64</v>
      </c>
      <c r="P100" s="849">
        <v>21341.96</v>
      </c>
      <c r="Q100" s="849">
        <v>22867.97</v>
      </c>
      <c r="R100" s="849">
        <v>25484.0</v>
      </c>
      <c r="S100" s="849">
        <v>2078.91</v>
      </c>
      <c r="T100" s="849">
        <v>2078.91</v>
      </c>
      <c r="U100" s="849">
        <v>0.0</v>
      </c>
      <c r="V100" s="849">
        <v>0.0</v>
      </c>
      <c r="W100" s="849">
        <v>0.0</v>
      </c>
      <c r="X100" s="849">
        <v>0.0</v>
      </c>
      <c r="Y100" s="849">
        <v>0.0</v>
      </c>
      <c r="Z100" s="849">
        <v>0.0</v>
      </c>
      <c r="AA100" s="849">
        <v>0.0</v>
      </c>
      <c r="AB100" s="849">
        <v>0.0</v>
      </c>
      <c r="AC100" s="849">
        <v>0.0</v>
      </c>
      <c r="AD100" s="849">
        <v>0.0</v>
      </c>
      <c r="AE100" s="849">
        <v>0.0</v>
      </c>
      <c r="AF100" s="849">
        <v>0.0</v>
      </c>
      <c r="AG100" s="849">
        <v>0.0</v>
      </c>
      <c r="AH100" s="849">
        <v>0.0</v>
      </c>
      <c r="AI100" s="849">
        <v>0.0</v>
      </c>
      <c r="AJ100" s="794" t="str">
        <f t="shared" ref="AJ100:AK100" si="197">C100</f>
        <v>G0601</v>
      </c>
      <c r="AK100" s="794" t="str">
        <f t="shared" si="197"/>
        <v>FRAIS BUREAU NEUFS</v>
      </c>
      <c r="AL100" s="794">
        <f t="array" ref="AL100">IFERROR(INDEX(G100:R100,1,MATCH(Parametres!$B$3,G$1:R$1,0)-1)*IF(OR(F100="L",F100="S",F100="I"),-1,1),"")</f>
        <v>16404.61</v>
      </c>
      <c r="AM100" s="794">
        <f t="shared" si="4"/>
        <v>2766.03</v>
      </c>
      <c r="AN100" s="794">
        <f t="array" ref="AN100">INDEX(G100:R100,1,MATCH(Parametres!$B$3,G$1:R$1,0))*IF(OR(F100="L",F100="S",F100="I"),-1,1)</f>
        <v>19170.64</v>
      </c>
      <c r="AO100" s="853" t="str">
        <f>+VLOOKUP($AJ100,Data_Validation!$A:$D,1,0)</f>
        <v>G0601</v>
      </c>
      <c r="AP100" s="853" t="str">
        <f>+VLOOKUP($AJ100,Data_Validation!$A:$D,3,0)</f>
        <v>Véhicules neufs</v>
      </c>
      <c r="AQ100" s="853" t="str">
        <f>+VLOOKUP($AJ100,Data_Validation!$A:$D,4,0)</f>
        <v>Papeterie</v>
      </c>
      <c r="AR100" s="853" t="s">
        <v>728</v>
      </c>
      <c r="AS100" s="853" t="str">
        <f>+VLOOKUP($AJ100,Data_Validation!$A:$E,5,0)</f>
        <v/>
      </c>
      <c r="AT100" s="794" t="str">
        <f t="shared" ref="AT100:AU100" si="198">C100</f>
        <v>G0601</v>
      </c>
      <c r="AU100" s="854" t="str">
        <f t="shared" si="198"/>
        <v>FRAIS BUREAU NEUFS</v>
      </c>
      <c r="AV100" s="794">
        <f t="array" ref="AV100">IFERROR(INDEX(V100:AG100,1,MATCH(Parametres!$B$3,V$1:AG$1,0)-1)*IF(OR(C100="L",C100="S",C100="I"),-1,1),"")</f>
        <v>0</v>
      </c>
      <c r="AW100" s="794">
        <f t="shared" si="6"/>
        <v>0</v>
      </c>
      <c r="AX100" s="794">
        <f t="array" ref="AX100">INDEX(V100:AG100,1,MATCH(Parametres!$B$3,V$1:AG$1,0))*IF(OR(C100="L",C100="S",C100="I"),-1,1)</f>
        <v>0</v>
      </c>
      <c r="AY100" s="853" t="s">
        <v>772</v>
      </c>
      <c r="AZ100" s="853" t="str">
        <f>+VLOOKUP($AJ100,Data_Validation!$A:$E,5,0)</f>
        <v/>
      </c>
    </row>
    <row r="101" ht="15.0" customHeight="1">
      <c r="A101" s="849" t="s">
        <v>1239</v>
      </c>
      <c r="B101" s="849">
        <v>2025.0</v>
      </c>
      <c r="C101" s="849" t="s">
        <v>1511</v>
      </c>
      <c r="D101" s="849" t="s">
        <v>1512</v>
      </c>
      <c r="E101" s="849" t="s">
        <v>768</v>
      </c>
      <c r="F101" s="849" t="s">
        <v>1200</v>
      </c>
      <c r="G101" s="849">
        <v>936.55</v>
      </c>
      <c r="H101" s="849">
        <v>1461.12</v>
      </c>
      <c r="I101" s="849">
        <v>1912.57</v>
      </c>
      <c r="J101" s="849">
        <v>2663.35</v>
      </c>
      <c r="K101" s="849">
        <v>3521.18</v>
      </c>
      <c r="L101" s="849">
        <v>4498.06</v>
      </c>
      <c r="M101" s="849">
        <v>4860.94</v>
      </c>
      <c r="N101" s="849">
        <v>5531.85</v>
      </c>
      <c r="O101" s="849">
        <v>5772.1</v>
      </c>
      <c r="P101" s="849">
        <v>6680.39</v>
      </c>
      <c r="Q101" s="849">
        <v>7492.21</v>
      </c>
      <c r="R101" s="849">
        <v>8201.39</v>
      </c>
      <c r="S101" s="849">
        <v>681.11</v>
      </c>
      <c r="T101" s="849">
        <v>681.11</v>
      </c>
      <c r="U101" s="849">
        <v>0.0</v>
      </c>
      <c r="V101" s="849">
        <v>0.0</v>
      </c>
      <c r="W101" s="849">
        <v>0.0</v>
      </c>
      <c r="X101" s="849">
        <v>0.0</v>
      </c>
      <c r="Y101" s="849">
        <v>0.0</v>
      </c>
      <c r="Z101" s="849">
        <v>0.0</v>
      </c>
      <c r="AA101" s="849">
        <v>0.0</v>
      </c>
      <c r="AB101" s="849">
        <v>0.0</v>
      </c>
      <c r="AC101" s="849">
        <v>0.0</v>
      </c>
      <c r="AD101" s="849">
        <v>0.0</v>
      </c>
      <c r="AE101" s="849">
        <v>0.0</v>
      </c>
      <c r="AF101" s="849">
        <v>0.0</v>
      </c>
      <c r="AG101" s="849">
        <v>0.0</v>
      </c>
      <c r="AH101" s="849">
        <v>0.0</v>
      </c>
      <c r="AI101" s="849">
        <v>0.0</v>
      </c>
      <c r="AJ101" s="794" t="str">
        <f t="shared" ref="AJ101:AK101" si="199">C101</f>
        <v>G0602</v>
      </c>
      <c r="AK101" s="794" t="str">
        <f t="shared" si="199"/>
        <v>FRAIS BUREAU USAGES</v>
      </c>
      <c r="AL101" s="794">
        <f t="array" ref="AL101">IFERROR(INDEX(G101:R101,1,MATCH(Parametres!$B$3,G$1:R$1,0)-1)*IF(OR(F101="L",F101="S",F101="I"),-1,1),"")</f>
        <v>5531.85</v>
      </c>
      <c r="AM101" s="794">
        <f t="shared" si="4"/>
        <v>240.25</v>
      </c>
      <c r="AN101" s="794">
        <f t="array" ref="AN101">INDEX(G101:R101,1,MATCH(Parametres!$B$3,G$1:R$1,0))*IF(OR(F101="L",F101="S",F101="I"),-1,1)</f>
        <v>5772.1</v>
      </c>
      <c r="AO101" s="853" t="str">
        <f>+VLOOKUP($AJ101,Data_Validation!$A:$D,1,0)</f>
        <v>G0602</v>
      </c>
      <c r="AP101" s="853" t="str">
        <f>+VLOOKUP($AJ101,Data_Validation!$A:$D,3,0)</f>
        <v>Véhicules usagés</v>
      </c>
      <c r="AQ101" s="853" t="str">
        <f>+VLOOKUP($AJ101,Data_Validation!$A:$D,4,0)</f>
        <v>Papeterie</v>
      </c>
      <c r="AR101" s="853" t="s">
        <v>728</v>
      </c>
      <c r="AS101" s="853" t="str">
        <f>+VLOOKUP($AJ101,Data_Validation!$A:$E,5,0)</f>
        <v/>
      </c>
      <c r="AT101" s="794" t="str">
        <f t="shared" ref="AT101:AU101" si="200">C101</f>
        <v>G0602</v>
      </c>
      <c r="AU101" s="854" t="str">
        <f t="shared" si="200"/>
        <v>FRAIS BUREAU USAGES</v>
      </c>
      <c r="AV101" s="794">
        <f t="array" ref="AV101">IFERROR(INDEX(V101:AG101,1,MATCH(Parametres!$B$3,V$1:AG$1,0)-1)*IF(OR(C101="L",C101="S",C101="I"),-1,1),"")</f>
        <v>0</v>
      </c>
      <c r="AW101" s="794">
        <f t="shared" si="6"/>
        <v>0</v>
      </c>
      <c r="AX101" s="794">
        <f t="array" ref="AX101">INDEX(V101:AG101,1,MATCH(Parametres!$B$3,V$1:AG$1,0))*IF(OR(C101="L",C101="S",C101="I"),-1,1)</f>
        <v>0</v>
      </c>
      <c r="AY101" s="853" t="s">
        <v>772</v>
      </c>
      <c r="AZ101" s="853" t="str">
        <f>+VLOOKUP($AJ101,Data_Validation!$A:$E,5,0)</f>
        <v/>
      </c>
    </row>
    <row r="102" ht="15.0" customHeight="1">
      <c r="A102" s="849" t="s">
        <v>1239</v>
      </c>
      <c r="B102" s="849">
        <v>2025.0</v>
      </c>
      <c r="C102" s="849" t="s">
        <v>1513</v>
      </c>
      <c r="D102" s="849" t="s">
        <v>1514</v>
      </c>
      <c r="E102" s="849" t="s">
        <v>768</v>
      </c>
      <c r="F102" s="849" t="s">
        <v>1200</v>
      </c>
      <c r="G102" s="849">
        <v>0.0</v>
      </c>
      <c r="H102" s="849">
        <v>0.0</v>
      </c>
      <c r="I102" s="849">
        <v>636.0</v>
      </c>
      <c r="J102" s="849">
        <v>1008.0</v>
      </c>
      <c r="K102" s="849">
        <v>1531.37</v>
      </c>
      <c r="L102" s="849">
        <v>1531.37</v>
      </c>
      <c r="M102" s="849">
        <v>1647.37</v>
      </c>
      <c r="N102" s="849">
        <v>1727.37</v>
      </c>
      <c r="O102" s="849">
        <v>1727.37</v>
      </c>
      <c r="P102" s="849">
        <v>-5272.63</v>
      </c>
      <c r="Q102" s="849">
        <v>-5124.63</v>
      </c>
      <c r="R102" s="849">
        <v>-5008.63</v>
      </c>
      <c r="S102" s="849">
        <v>-465.88</v>
      </c>
      <c r="T102" s="849">
        <v>-465.88</v>
      </c>
      <c r="U102" s="849">
        <v>0.0</v>
      </c>
      <c r="V102" s="849">
        <v>0.0</v>
      </c>
      <c r="W102" s="849">
        <v>0.0</v>
      </c>
      <c r="X102" s="849">
        <v>0.0</v>
      </c>
      <c r="Y102" s="849">
        <v>0.0</v>
      </c>
      <c r="Z102" s="849">
        <v>0.0</v>
      </c>
      <c r="AA102" s="849">
        <v>0.0</v>
      </c>
      <c r="AB102" s="849">
        <v>0.0</v>
      </c>
      <c r="AC102" s="849">
        <v>0.0</v>
      </c>
      <c r="AD102" s="849">
        <v>0.0</v>
      </c>
      <c r="AE102" s="849">
        <v>0.0</v>
      </c>
      <c r="AF102" s="849">
        <v>0.0</v>
      </c>
      <c r="AG102" s="849">
        <v>0.0</v>
      </c>
      <c r="AH102" s="849">
        <v>0.0</v>
      </c>
      <c r="AI102" s="849">
        <v>0.0</v>
      </c>
      <c r="AJ102" s="794" t="str">
        <f t="shared" ref="AJ102:AK102" si="201">C102</f>
        <v>G0603</v>
      </c>
      <c r="AK102" s="794" t="str">
        <f t="shared" si="201"/>
        <v>FRAIS BUREAU U.S.A</v>
      </c>
      <c r="AL102" s="794">
        <f t="array" ref="AL102">IFERROR(INDEX(G102:R102,1,MATCH(Parametres!$B$3,G$1:R$1,0)-1)*IF(OR(F102="L",F102="S",F102="I"),-1,1),"")</f>
        <v>1727.37</v>
      </c>
      <c r="AM102" s="794">
        <f t="shared" si="4"/>
        <v>0</v>
      </c>
      <c r="AN102" s="794">
        <f t="array" ref="AN102">INDEX(G102:R102,1,MATCH(Parametres!$B$3,G$1:R$1,0))*IF(OR(F102="L",F102="S",F102="I"),-1,1)</f>
        <v>1727.37</v>
      </c>
      <c r="AO102" s="853" t="str">
        <f>+VLOOKUP($AJ102,Data_Validation!$A:$D,1,0)</f>
        <v>G0603</v>
      </c>
      <c r="AP102" s="853" t="str">
        <f>+VLOOKUP($AJ102,Data_Validation!$A:$D,3,0)</f>
        <v>Wholesale autres</v>
      </c>
      <c r="AQ102" s="853" t="str">
        <f>+VLOOKUP($AJ102,Data_Validation!$A:$D,4,0)</f>
        <v>Papeterie</v>
      </c>
      <c r="AR102" s="853" t="s">
        <v>728</v>
      </c>
      <c r="AS102" s="853" t="str">
        <f>+VLOOKUP($AJ102,Data_Validation!$A:$E,5,0)</f>
        <v/>
      </c>
      <c r="AT102" s="794" t="str">
        <f t="shared" ref="AT102:AU102" si="202">C102</f>
        <v>G0603</v>
      </c>
      <c r="AU102" s="854" t="str">
        <f t="shared" si="202"/>
        <v>FRAIS BUREAU U.S.A</v>
      </c>
      <c r="AV102" s="794">
        <f t="array" ref="AV102">IFERROR(INDEX(V102:AG102,1,MATCH(Parametres!$B$3,V$1:AG$1,0)-1)*IF(OR(C102="L",C102="S",C102="I"),-1,1),"")</f>
        <v>0</v>
      </c>
      <c r="AW102" s="794">
        <f t="shared" si="6"/>
        <v>0</v>
      </c>
      <c r="AX102" s="794">
        <f t="array" ref="AX102">INDEX(V102:AG102,1,MATCH(Parametres!$B$3,V$1:AG$1,0))*IF(OR(C102="L",C102="S",C102="I"),-1,1)</f>
        <v>0</v>
      </c>
      <c r="AY102" s="853" t="s">
        <v>772</v>
      </c>
      <c r="AZ102" s="853" t="str">
        <f>+VLOOKUP($AJ102,Data_Validation!$A:$E,5,0)</f>
        <v/>
      </c>
    </row>
    <row r="103" ht="15.75" customHeight="1">
      <c r="A103" s="849" t="s">
        <v>1239</v>
      </c>
      <c r="B103" s="849">
        <v>2025.0</v>
      </c>
      <c r="C103" s="849" t="s">
        <v>1515</v>
      </c>
      <c r="D103" s="849" t="s">
        <v>1516</v>
      </c>
      <c r="E103" s="849" t="s">
        <v>768</v>
      </c>
      <c r="F103" s="849" t="s">
        <v>1200</v>
      </c>
      <c r="G103" s="849">
        <v>1966.73</v>
      </c>
      <c r="H103" s="849">
        <v>3445.04</v>
      </c>
      <c r="I103" s="849">
        <v>4404.95</v>
      </c>
      <c r="J103" s="849">
        <v>5953.45</v>
      </c>
      <c r="K103" s="849">
        <v>7192.96</v>
      </c>
      <c r="L103" s="849">
        <v>8658.26</v>
      </c>
      <c r="M103" s="849">
        <v>10114.56</v>
      </c>
      <c r="N103" s="849">
        <v>12128.48</v>
      </c>
      <c r="O103" s="849">
        <v>12536.21</v>
      </c>
      <c r="P103" s="849">
        <v>14098.72</v>
      </c>
      <c r="Q103" s="849">
        <v>16228.0</v>
      </c>
      <c r="R103" s="849">
        <v>17356.33</v>
      </c>
      <c r="S103" s="849">
        <v>1475.27</v>
      </c>
      <c r="T103" s="849">
        <v>1475.27</v>
      </c>
      <c r="U103" s="849">
        <v>0.0</v>
      </c>
      <c r="V103" s="849">
        <v>0.0</v>
      </c>
      <c r="W103" s="849">
        <v>0.0</v>
      </c>
      <c r="X103" s="849">
        <v>0.0</v>
      </c>
      <c r="Y103" s="849">
        <v>0.0</v>
      </c>
      <c r="Z103" s="849">
        <v>0.0</v>
      </c>
      <c r="AA103" s="849">
        <v>0.0</v>
      </c>
      <c r="AB103" s="849">
        <v>0.0</v>
      </c>
      <c r="AC103" s="849">
        <v>0.0</v>
      </c>
      <c r="AD103" s="849">
        <v>0.0</v>
      </c>
      <c r="AE103" s="849">
        <v>0.0</v>
      </c>
      <c r="AF103" s="849">
        <v>0.0</v>
      </c>
      <c r="AG103" s="849">
        <v>0.0</v>
      </c>
      <c r="AH103" s="849">
        <v>0.0</v>
      </c>
      <c r="AI103" s="849">
        <v>0.0</v>
      </c>
      <c r="AJ103" s="794" t="str">
        <f t="shared" ref="AJ103:AK103" si="203">C103</f>
        <v>G0604</v>
      </c>
      <c r="AK103" s="794" t="str">
        <f t="shared" si="203"/>
        <v>FRAIS BUREAU SERVICE</v>
      </c>
      <c r="AL103" s="794">
        <f t="array" ref="AL103">IFERROR(INDEX(G103:R103,1,MATCH(Parametres!$B$3,G$1:R$1,0)-1)*IF(OR(F103="L",F103="S",F103="I"),-1,1),"")</f>
        <v>12128.48</v>
      </c>
      <c r="AM103" s="794">
        <f t="shared" si="4"/>
        <v>407.73</v>
      </c>
      <c r="AN103" s="794">
        <f t="array" ref="AN103">INDEX(G103:R103,1,MATCH(Parametres!$B$3,G$1:R$1,0))*IF(OR(F103="L",F103="S",F103="I"),-1,1)</f>
        <v>12536.21</v>
      </c>
      <c r="AO103" s="853" t="str">
        <f>+VLOOKUP($AJ103,Data_Validation!$A:$D,1,0)</f>
        <v>G0604</v>
      </c>
      <c r="AP103" s="853" t="str">
        <f>+VLOOKUP($AJ103,Data_Validation!$A:$D,3,0)</f>
        <v>Service</v>
      </c>
      <c r="AQ103" s="853" t="str">
        <f>+VLOOKUP($AJ103,Data_Validation!$A:$D,4,0)</f>
        <v>Papeterie</v>
      </c>
      <c r="AR103" s="853" t="s">
        <v>728</v>
      </c>
      <c r="AS103" s="853" t="str">
        <f>+VLOOKUP($AJ103,Data_Validation!$A:$E,5,0)</f>
        <v/>
      </c>
      <c r="AT103" s="794" t="str">
        <f t="shared" ref="AT103:AU103" si="204">C103</f>
        <v>G0604</v>
      </c>
      <c r="AU103" s="854" t="str">
        <f t="shared" si="204"/>
        <v>FRAIS BUREAU SERVICE</v>
      </c>
      <c r="AV103" s="794">
        <f t="array" ref="AV103">IFERROR(INDEX(V103:AG103,1,MATCH(Parametres!$B$3,V$1:AG$1,0)-1)*IF(OR(C103="L",C103="S",C103="I"),-1,1),"")</f>
        <v>0</v>
      </c>
      <c r="AW103" s="794">
        <f t="shared" si="6"/>
        <v>0</v>
      </c>
      <c r="AX103" s="794">
        <f t="array" ref="AX103">INDEX(V103:AG103,1,MATCH(Parametres!$B$3,V$1:AG$1,0))*IF(OR(C103="L",C103="S",C103="I"),-1,1)</f>
        <v>0</v>
      </c>
      <c r="AY103" s="853" t="s">
        <v>772</v>
      </c>
      <c r="AZ103" s="853" t="str">
        <f>+VLOOKUP($AJ103,Data_Validation!$A:$E,5,0)</f>
        <v/>
      </c>
    </row>
    <row r="104" ht="15.0" customHeight="1">
      <c r="A104" s="849" t="s">
        <v>1239</v>
      </c>
      <c r="B104" s="849">
        <v>2025.0</v>
      </c>
      <c r="C104" s="849" t="s">
        <v>1517</v>
      </c>
      <c r="D104" s="849" t="s">
        <v>1518</v>
      </c>
      <c r="E104" s="849" t="s">
        <v>768</v>
      </c>
      <c r="F104" s="849" t="s">
        <v>1200</v>
      </c>
      <c r="G104" s="849">
        <v>559.73</v>
      </c>
      <c r="H104" s="849">
        <v>1941.71</v>
      </c>
      <c r="I104" s="849">
        <v>1843.34</v>
      </c>
      <c r="J104" s="849">
        <v>2814.28</v>
      </c>
      <c r="K104" s="849">
        <v>3215.23</v>
      </c>
      <c r="L104" s="849">
        <v>3703.68</v>
      </c>
      <c r="M104" s="849">
        <v>3885.14</v>
      </c>
      <c r="N104" s="849">
        <v>4220.62</v>
      </c>
      <c r="O104" s="849">
        <v>4913.13</v>
      </c>
      <c r="P104" s="849">
        <v>5367.39</v>
      </c>
      <c r="Q104" s="849">
        <v>5747.07</v>
      </c>
      <c r="R104" s="849">
        <v>6184.47</v>
      </c>
      <c r="S104" s="849">
        <v>522.46</v>
      </c>
      <c r="T104" s="849">
        <v>522.46</v>
      </c>
      <c r="U104" s="849">
        <v>0.0</v>
      </c>
      <c r="V104" s="849">
        <v>0.0</v>
      </c>
      <c r="W104" s="849">
        <v>0.0</v>
      </c>
      <c r="X104" s="849">
        <v>0.0</v>
      </c>
      <c r="Y104" s="849">
        <v>0.0</v>
      </c>
      <c r="Z104" s="849">
        <v>0.0</v>
      </c>
      <c r="AA104" s="849">
        <v>0.0</v>
      </c>
      <c r="AB104" s="849">
        <v>0.0</v>
      </c>
      <c r="AC104" s="849">
        <v>0.0</v>
      </c>
      <c r="AD104" s="849">
        <v>0.0</v>
      </c>
      <c r="AE104" s="849">
        <v>0.0</v>
      </c>
      <c r="AF104" s="849">
        <v>0.0</v>
      </c>
      <c r="AG104" s="849">
        <v>0.0</v>
      </c>
      <c r="AH104" s="849">
        <v>0.0</v>
      </c>
      <c r="AI104" s="849">
        <v>0.0</v>
      </c>
      <c r="AJ104" s="794" t="str">
        <f t="shared" ref="AJ104:AK104" si="205">C104</f>
        <v>G0605</v>
      </c>
      <c r="AK104" s="794" t="str">
        <f t="shared" si="205"/>
        <v>FRAIS BUREAU CARROSS.</v>
      </c>
      <c r="AL104" s="794">
        <f t="array" ref="AL104">IFERROR(INDEX(G104:R104,1,MATCH(Parametres!$B$3,G$1:R$1,0)-1)*IF(OR(F104="L",F104="S",F104="I"),-1,1),"")</f>
        <v>4220.62</v>
      </c>
      <c r="AM104" s="794">
        <f t="shared" si="4"/>
        <v>692.51</v>
      </c>
      <c r="AN104" s="794">
        <f t="array" ref="AN104">INDEX(G104:R104,1,MATCH(Parametres!$B$3,G$1:R$1,0))*IF(OR(F104="L",F104="S",F104="I"),-1,1)</f>
        <v>4913.13</v>
      </c>
      <c r="AO104" s="853" t="str">
        <f>+VLOOKUP($AJ104,Data_Validation!$A:$D,1,0)</f>
        <v>G0605</v>
      </c>
      <c r="AP104" s="853" t="str">
        <f>+VLOOKUP($AJ104,Data_Validation!$A:$D,3,0)</f>
        <v>Carrosserie</v>
      </c>
      <c r="AQ104" s="853" t="str">
        <f>+VLOOKUP($AJ104,Data_Validation!$A:$D,4,0)</f>
        <v>Papeterie</v>
      </c>
      <c r="AR104" s="853" t="s">
        <v>728</v>
      </c>
      <c r="AS104" s="853" t="str">
        <f>+VLOOKUP($AJ104,Data_Validation!$A:$E,5,0)</f>
        <v/>
      </c>
      <c r="AT104" s="794" t="str">
        <f t="shared" ref="AT104:AU104" si="206">C104</f>
        <v>G0605</v>
      </c>
      <c r="AU104" s="854" t="str">
        <f t="shared" si="206"/>
        <v>FRAIS BUREAU CARROSS.</v>
      </c>
      <c r="AV104" s="794">
        <f t="array" ref="AV104">IFERROR(INDEX(V104:AG104,1,MATCH(Parametres!$B$3,V$1:AG$1,0)-1)*IF(OR(C104="L",C104="S",C104="I"),-1,1),"")</f>
        <v>0</v>
      </c>
      <c r="AW104" s="794">
        <f t="shared" si="6"/>
        <v>0</v>
      </c>
      <c r="AX104" s="794">
        <f t="array" ref="AX104">INDEX(V104:AG104,1,MATCH(Parametres!$B$3,V$1:AG$1,0))*IF(OR(C104="L",C104="S",C104="I"),-1,1)</f>
        <v>0</v>
      </c>
      <c r="AY104" s="853" t="s">
        <v>772</v>
      </c>
      <c r="AZ104" s="853" t="str">
        <f>+VLOOKUP($AJ104,Data_Validation!$A:$E,5,0)</f>
        <v/>
      </c>
    </row>
    <row r="105" ht="15.0" customHeight="1">
      <c r="A105" s="849" t="s">
        <v>1239</v>
      </c>
      <c r="B105" s="849">
        <v>2025.0</v>
      </c>
      <c r="C105" s="849" t="s">
        <v>1519</v>
      </c>
      <c r="D105" s="849" t="s">
        <v>1520</v>
      </c>
      <c r="E105" s="849" t="s">
        <v>768</v>
      </c>
      <c r="F105" s="849" t="s">
        <v>1200</v>
      </c>
      <c r="G105" s="849">
        <v>695.19</v>
      </c>
      <c r="H105" s="849">
        <v>971.22</v>
      </c>
      <c r="I105" s="849">
        <v>1276.81</v>
      </c>
      <c r="J105" s="849">
        <v>1729.91</v>
      </c>
      <c r="K105" s="849">
        <v>2171.89</v>
      </c>
      <c r="L105" s="849">
        <v>2660.27</v>
      </c>
      <c r="M105" s="849">
        <v>3141.24</v>
      </c>
      <c r="N105" s="849">
        <v>4163.09</v>
      </c>
      <c r="O105" s="849">
        <v>4283.19</v>
      </c>
      <c r="P105" s="849">
        <v>5471.65</v>
      </c>
      <c r="Q105" s="849">
        <v>5851.25</v>
      </c>
      <c r="R105" s="849">
        <v>6363.07</v>
      </c>
      <c r="S105" s="849">
        <v>531.93</v>
      </c>
      <c r="T105" s="849">
        <v>531.93</v>
      </c>
      <c r="U105" s="849">
        <v>0.0</v>
      </c>
      <c r="V105" s="849">
        <v>0.0</v>
      </c>
      <c r="W105" s="849">
        <v>0.0</v>
      </c>
      <c r="X105" s="849">
        <v>0.0</v>
      </c>
      <c r="Y105" s="849">
        <v>0.0</v>
      </c>
      <c r="Z105" s="849">
        <v>0.0</v>
      </c>
      <c r="AA105" s="849">
        <v>0.0</v>
      </c>
      <c r="AB105" s="849">
        <v>0.0</v>
      </c>
      <c r="AC105" s="849">
        <v>0.0</v>
      </c>
      <c r="AD105" s="849">
        <v>0.0</v>
      </c>
      <c r="AE105" s="849">
        <v>0.0</v>
      </c>
      <c r="AF105" s="849">
        <v>0.0</v>
      </c>
      <c r="AG105" s="849">
        <v>0.0</v>
      </c>
      <c r="AH105" s="849">
        <v>0.0</v>
      </c>
      <c r="AI105" s="849">
        <v>0.0</v>
      </c>
      <c r="AJ105" s="794" t="str">
        <f t="shared" ref="AJ105:AK105" si="207">C105</f>
        <v>G0606</v>
      </c>
      <c r="AK105" s="794" t="str">
        <f t="shared" si="207"/>
        <v>FRAIS BUREAU PIECES</v>
      </c>
      <c r="AL105" s="794">
        <f t="array" ref="AL105">IFERROR(INDEX(G105:R105,1,MATCH(Parametres!$B$3,G$1:R$1,0)-1)*IF(OR(F105="L",F105="S",F105="I"),-1,1),"")</f>
        <v>4163.09</v>
      </c>
      <c r="AM105" s="794">
        <f t="shared" si="4"/>
        <v>120.1</v>
      </c>
      <c r="AN105" s="794">
        <f t="array" ref="AN105">INDEX(G105:R105,1,MATCH(Parametres!$B$3,G$1:R$1,0))*IF(OR(F105="L",F105="S",F105="I"),-1,1)</f>
        <v>4283.19</v>
      </c>
      <c r="AO105" s="853" t="str">
        <f>+VLOOKUP($AJ105,Data_Validation!$A:$D,1,0)</f>
        <v>G0606</v>
      </c>
      <c r="AP105" s="853" t="str">
        <f>+VLOOKUP($AJ105,Data_Validation!$A:$D,3,0)</f>
        <v>Pièces</v>
      </c>
      <c r="AQ105" s="853" t="str">
        <f>+VLOOKUP($AJ105,Data_Validation!$A:$D,4,0)</f>
        <v>Papeterie</v>
      </c>
      <c r="AR105" s="853" t="s">
        <v>728</v>
      </c>
      <c r="AS105" s="853" t="str">
        <f>+VLOOKUP($AJ105,Data_Validation!$A:$E,5,0)</f>
        <v/>
      </c>
      <c r="AT105" s="794" t="str">
        <f t="shared" ref="AT105:AU105" si="208">C105</f>
        <v>G0606</v>
      </c>
      <c r="AU105" s="854" t="str">
        <f t="shared" si="208"/>
        <v>FRAIS BUREAU PIECES</v>
      </c>
      <c r="AV105" s="794">
        <f t="array" ref="AV105">IFERROR(INDEX(V105:AG105,1,MATCH(Parametres!$B$3,V$1:AG$1,0)-1)*IF(OR(C105="L",C105="S",C105="I"),-1,1),"")</f>
        <v>0</v>
      </c>
      <c r="AW105" s="794">
        <f t="shared" si="6"/>
        <v>0</v>
      </c>
      <c r="AX105" s="794">
        <f t="array" ref="AX105">INDEX(V105:AG105,1,MATCH(Parametres!$B$3,V$1:AG$1,0))*IF(OR(C105="L",C105="S",C105="I"),-1,1)</f>
        <v>0</v>
      </c>
      <c r="AY105" s="853" t="s">
        <v>772</v>
      </c>
      <c r="AZ105" s="853" t="str">
        <f>+VLOOKUP($AJ105,Data_Validation!$A:$E,5,0)</f>
        <v/>
      </c>
    </row>
    <row r="106" ht="15.0" customHeight="1">
      <c r="A106" s="849" t="s">
        <v>1239</v>
      </c>
      <c r="B106" s="849">
        <v>2025.0</v>
      </c>
      <c r="C106" s="849" t="s">
        <v>1521</v>
      </c>
      <c r="D106" s="849" t="s">
        <v>1522</v>
      </c>
      <c r="E106" s="849" t="s">
        <v>768</v>
      </c>
      <c r="F106" s="849" t="s">
        <v>1200</v>
      </c>
      <c r="G106" s="849">
        <v>0.0</v>
      </c>
      <c r="H106" s="849">
        <v>0.0</v>
      </c>
      <c r="I106" s="849">
        <v>0.0</v>
      </c>
      <c r="J106" s="849">
        <v>0.0</v>
      </c>
      <c r="K106" s="849">
        <v>0.0</v>
      </c>
      <c r="L106" s="849">
        <v>0.0</v>
      </c>
      <c r="M106" s="849">
        <v>0.0</v>
      </c>
      <c r="N106" s="849">
        <v>0.0</v>
      </c>
      <c r="O106" s="849">
        <v>0.0</v>
      </c>
      <c r="P106" s="849">
        <v>0.0</v>
      </c>
      <c r="Q106" s="849">
        <v>0.0</v>
      </c>
      <c r="R106" s="849">
        <v>0.0</v>
      </c>
      <c r="S106" s="849">
        <v>0.0</v>
      </c>
      <c r="T106" s="849">
        <v>0.0</v>
      </c>
      <c r="U106" s="849">
        <v>0.0</v>
      </c>
      <c r="V106" s="849">
        <v>0.0</v>
      </c>
      <c r="W106" s="849">
        <v>0.0</v>
      </c>
      <c r="X106" s="849">
        <v>0.0</v>
      </c>
      <c r="Y106" s="849">
        <v>0.0</v>
      </c>
      <c r="Z106" s="849">
        <v>0.0</v>
      </c>
      <c r="AA106" s="849">
        <v>0.0</v>
      </c>
      <c r="AB106" s="849">
        <v>0.0</v>
      </c>
      <c r="AC106" s="849">
        <v>0.0</v>
      </c>
      <c r="AD106" s="849">
        <v>0.0</v>
      </c>
      <c r="AE106" s="849">
        <v>0.0</v>
      </c>
      <c r="AF106" s="849">
        <v>0.0</v>
      </c>
      <c r="AG106" s="849">
        <v>0.0</v>
      </c>
      <c r="AH106" s="849">
        <v>0.0</v>
      </c>
      <c r="AI106" s="849">
        <v>0.0</v>
      </c>
      <c r="AJ106" s="794" t="str">
        <f t="shared" ref="AJ106:AK106" si="209">C106</f>
        <v>G0610</v>
      </c>
      <c r="AK106" s="794" t="str">
        <f t="shared" si="209"/>
        <v>AUTRES FOURNITURES REP.</v>
      </c>
      <c r="AL106" s="794">
        <f t="array" ref="AL106">IFERROR(INDEX(G106:R106,1,MATCH(Parametres!$B$3,G$1:R$1,0)-1)*IF(OR(F106="L",F106="S",F106="I"),-1,1),"")</f>
        <v>0</v>
      </c>
      <c r="AM106" s="794">
        <f t="shared" si="4"/>
        <v>0</v>
      </c>
      <c r="AN106" s="794">
        <f t="array" ref="AN106">INDEX(G106:R106,1,MATCH(Parametres!$B$3,G$1:R$1,0))*IF(OR(F106="L",F106="S",F106="I"),-1,1)</f>
        <v>0</v>
      </c>
      <c r="AO106" s="853" t="str">
        <f>+VLOOKUP($AJ106,Data_Validation!$A:$D,1,0)</f>
        <v>#N/A</v>
      </c>
      <c r="AP106" s="853" t="str">
        <f>+VLOOKUP($AJ106,Data_Validation!$A:$D,3,0)</f>
        <v>#N/A</v>
      </c>
      <c r="AQ106" s="853" t="str">
        <f>+VLOOKUP($AJ106,Data_Validation!$A:$D,4,0)</f>
        <v>#N/A</v>
      </c>
      <c r="AR106" s="853" t="s">
        <v>728</v>
      </c>
      <c r="AS106" s="853" t="str">
        <f>+VLOOKUP($AJ106,Data_Validation!$A:$E,5,0)</f>
        <v>#N/A</v>
      </c>
      <c r="AT106" s="794" t="str">
        <f t="shared" ref="AT106:AU106" si="210">C106</f>
        <v>G0610</v>
      </c>
      <c r="AU106" s="854" t="str">
        <f t="shared" si="210"/>
        <v>AUTRES FOURNITURES REP.</v>
      </c>
      <c r="AV106" s="794">
        <f t="array" ref="AV106">IFERROR(INDEX(V106:AG106,1,MATCH(Parametres!$B$3,V$1:AG$1,0)-1)*IF(OR(C106="L",C106="S",C106="I"),-1,1),"")</f>
        <v>0</v>
      </c>
      <c r="AW106" s="794">
        <f t="shared" si="6"/>
        <v>0</v>
      </c>
      <c r="AX106" s="794">
        <f t="array" ref="AX106">INDEX(V106:AG106,1,MATCH(Parametres!$B$3,V$1:AG$1,0))*IF(OR(C106="L",C106="S",C106="I"),-1,1)</f>
        <v>0</v>
      </c>
      <c r="AY106" s="853" t="s">
        <v>772</v>
      </c>
      <c r="AZ106" s="853" t="str">
        <f>+VLOOKUP($AJ106,Data_Validation!$A:$E,5,0)</f>
        <v>#N/A</v>
      </c>
    </row>
    <row r="107" ht="15.0" customHeight="1">
      <c r="A107" s="849" t="s">
        <v>1239</v>
      </c>
      <c r="B107" s="849">
        <v>2025.0</v>
      </c>
      <c r="C107" s="849" t="s">
        <v>1523</v>
      </c>
      <c r="D107" s="849" t="s">
        <v>1524</v>
      </c>
      <c r="E107" s="849" t="s">
        <v>768</v>
      </c>
      <c r="F107" s="849" t="s">
        <v>1200</v>
      </c>
      <c r="G107" s="849">
        <v>432.98</v>
      </c>
      <c r="H107" s="849">
        <v>1039.23</v>
      </c>
      <c r="I107" s="849">
        <v>1286.25</v>
      </c>
      <c r="J107" s="849">
        <v>1698.64</v>
      </c>
      <c r="K107" s="849">
        <v>2517.07</v>
      </c>
      <c r="L107" s="849">
        <v>4016.64</v>
      </c>
      <c r="M107" s="849">
        <v>4953.75</v>
      </c>
      <c r="N107" s="849">
        <v>5936.56</v>
      </c>
      <c r="O107" s="849">
        <v>6191.83</v>
      </c>
      <c r="P107" s="849">
        <v>6836.33</v>
      </c>
      <c r="Q107" s="849">
        <v>7005.17</v>
      </c>
      <c r="R107" s="849">
        <v>7111.2</v>
      </c>
      <c r="S107" s="849">
        <v>636.83</v>
      </c>
      <c r="T107" s="849">
        <v>636.83</v>
      </c>
      <c r="U107" s="849">
        <v>0.0</v>
      </c>
      <c r="V107" s="849">
        <v>0.0</v>
      </c>
      <c r="W107" s="849">
        <v>0.0</v>
      </c>
      <c r="X107" s="849">
        <v>0.0</v>
      </c>
      <c r="Y107" s="849">
        <v>0.0</v>
      </c>
      <c r="Z107" s="849">
        <v>0.0</v>
      </c>
      <c r="AA107" s="849">
        <v>0.0</v>
      </c>
      <c r="AB107" s="849">
        <v>0.0</v>
      </c>
      <c r="AC107" s="849">
        <v>0.0</v>
      </c>
      <c r="AD107" s="849">
        <v>0.0</v>
      </c>
      <c r="AE107" s="849">
        <v>0.0</v>
      </c>
      <c r="AF107" s="849">
        <v>0.0</v>
      </c>
      <c r="AG107" s="849">
        <v>0.0</v>
      </c>
      <c r="AH107" s="849">
        <v>0.0</v>
      </c>
      <c r="AI107" s="849">
        <v>0.0</v>
      </c>
      <c r="AJ107" s="794" t="str">
        <f t="shared" ref="AJ107:AK107" si="211">C107</f>
        <v>G0611</v>
      </c>
      <c r="AK107" s="794" t="str">
        <f t="shared" si="211"/>
        <v>AUTRES FOURNITURES-NEUF</v>
      </c>
      <c r="AL107" s="794">
        <f t="array" ref="AL107">IFERROR(INDEX(G107:R107,1,MATCH(Parametres!$B$3,G$1:R$1,0)-1)*IF(OR(F107="L",F107="S",F107="I"),-1,1),"")</f>
        <v>5936.56</v>
      </c>
      <c r="AM107" s="794">
        <f t="shared" si="4"/>
        <v>255.27</v>
      </c>
      <c r="AN107" s="794">
        <f t="array" ref="AN107">INDEX(G107:R107,1,MATCH(Parametres!$B$3,G$1:R$1,0))*IF(OR(F107="L",F107="S",F107="I"),-1,1)</f>
        <v>6191.83</v>
      </c>
      <c r="AO107" s="853" t="str">
        <f>+VLOOKUP($AJ107,Data_Validation!$A:$D,1,0)</f>
        <v>G0611</v>
      </c>
      <c r="AP107" s="853" t="str">
        <f>+VLOOKUP($AJ107,Data_Validation!$A:$D,3,0)</f>
        <v>Véhicules neufs</v>
      </c>
      <c r="AQ107" s="853" t="str">
        <f>+VLOOKUP($AJ107,Data_Validation!$A:$D,4,0)</f>
        <v>Fournitures autres</v>
      </c>
      <c r="AR107" s="853" t="s">
        <v>728</v>
      </c>
      <c r="AS107" s="853" t="str">
        <f>+VLOOKUP($AJ107,Data_Validation!$A:$E,5,0)</f>
        <v/>
      </c>
      <c r="AT107" s="794" t="str">
        <f t="shared" ref="AT107:AU107" si="212">C107</f>
        <v>G0611</v>
      </c>
      <c r="AU107" s="854" t="str">
        <f t="shared" si="212"/>
        <v>AUTRES FOURNITURES-NEUF</v>
      </c>
      <c r="AV107" s="794">
        <f t="array" ref="AV107">IFERROR(INDEX(V107:AG107,1,MATCH(Parametres!$B$3,V$1:AG$1,0)-1)*IF(OR(C107="L",C107="S",C107="I"),-1,1),"")</f>
        <v>0</v>
      </c>
      <c r="AW107" s="794">
        <f t="shared" si="6"/>
        <v>0</v>
      </c>
      <c r="AX107" s="794">
        <f t="array" ref="AX107">INDEX(V107:AG107,1,MATCH(Parametres!$B$3,V$1:AG$1,0))*IF(OR(C107="L",C107="S",C107="I"),-1,1)</f>
        <v>0</v>
      </c>
      <c r="AY107" s="853" t="s">
        <v>772</v>
      </c>
      <c r="AZ107" s="853" t="str">
        <f>+VLOOKUP($AJ107,Data_Validation!$A:$E,5,0)</f>
        <v/>
      </c>
    </row>
    <row r="108" ht="15.0" customHeight="1">
      <c r="A108" s="849" t="s">
        <v>1239</v>
      </c>
      <c r="B108" s="849">
        <v>2025.0</v>
      </c>
      <c r="C108" s="849" t="s">
        <v>1525</v>
      </c>
      <c r="D108" s="849" t="s">
        <v>1526</v>
      </c>
      <c r="E108" s="849" t="s">
        <v>768</v>
      </c>
      <c r="F108" s="849" t="s">
        <v>1200</v>
      </c>
      <c r="G108" s="849">
        <v>89.63</v>
      </c>
      <c r="H108" s="849">
        <v>89.63</v>
      </c>
      <c r="I108" s="849">
        <v>254.31</v>
      </c>
      <c r="J108" s="849">
        <v>505.92</v>
      </c>
      <c r="K108" s="849">
        <v>717.11</v>
      </c>
      <c r="L108" s="849">
        <v>842.06</v>
      </c>
      <c r="M108" s="849">
        <v>909.21</v>
      </c>
      <c r="N108" s="849">
        <v>1068.39</v>
      </c>
      <c r="O108" s="849">
        <v>1172.51</v>
      </c>
      <c r="P108" s="849">
        <v>1281.35</v>
      </c>
      <c r="Q108" s="849">
        <v>1350.47</v>
      </c>
      <c r="R108" s="849">
        <v>1371.59</v>
      </c>
      <c r="S108" s="849">
        <v>122.77</v>
      </c>
      <c r="T108" s="849">
        <v>122.77</v>
      </c>
      <c r="U108" s="849">
        <v>0.0</v>
      </c>
      <c r="V108" s="849">
        <v>0.0</v>
      </c>
      <c r="W108" s="849">
        <v>0.0</v>
      </c>
      <c r="X108" s="849">
        <v>0.0</v>
      </c>
      <c r="Y108" s="849">
        <v>0.0</v>
      </c>
      <c r="Z108" s="849">
        <v>0.0</v>
      </c>
      <c r="AA108" s="849">
        <v>0.0</v>
      </c>
      <c r="AB108" s="849">
        <v>0.0</v>
      </c>
      <c r="AC108" s="849">
        <v>0.0</v>
      </c>
      <c r="AD108" s="849">
        <v>0.0</v>
      </c>
      <c r="AE108" s="849">
        <v>0.0</v>
      </c>
      <c r="AF108" s="849">
        <v>0.0</v>
      </c>
      <c r="AG108" s="849">
        <v>0.0</v>
      </c>
      <c r="AH108" s="849">
        <v>0.0</v>
      </c>
      <c r="AI108" s="849">
        <v>0.0</v>
      </c>
      <c r="AJ108" s="794" t="str">
        <f t="shared" ref="AJ108:AK108" si="213">C108</f>
        <v>G0612</v>
      </c>
      <c r="AK108" s="794" t="str">
        <f t="shared" si="213"/>
        <v>AUTRES FOURNITURES-USAG</v>
      </c>
      <c r="AL108" s="794">
        <f t="array" ref="AL108">IFERROR(INDEX(G108:R108,1,MATCH(Parametres!$B$3,G$1:R$1,0)-1)*IF(OR(F108="L",F108="S",F108="I"),-1,1),"")</f>
        <v>1068.39</v>
      </c>
      <c r="AM108" s="794">
        <f t="shared" si="4"/>
        <v>104.12</v>
      </c>
      <c r="AN108" s="794">
        <f t="array" ref="AN108">INDEX(G108:R108,1,MATCH(Parametres!$B$3,G$1:R$1,0))*IF(OR(F108="L",F108="S",F108="I"),-1,1)</f>
        <v>1172.51</v>
      </c>
      <c r="AO108" s="853" t="str">
        <f>+VLOOKUP($AJ108,Data_Validation!$A:$D,1,0)</f>
        <v>G0612</v>
      </c>
      <c r="AP108" s="853" t="str">
        <f>+VLOOKUP($AJ108,Data_Validation!$A:$D,3,0)</f>
        <v>Véhicules usagés</v>
      </c>
      <c r="AQ108" s="853" t="str">
        <f>+VLOOKUP($AJ108,Data_Validation!$A:$D,4,0)</f>
        <v>Fournitures autres</v>
      </c>
      <c r="AR108" s="853" t="s">
        <v>728</v>
      </c>
      <c r="AS108" s="853" t="str">
        <f>+VLOOKUP($AJ108,Data_Validation!$A:$E,5,0)</f>
        <v/>
      </c>
      <c r="AT108" s="794" t="str">
        <f t="shared" ref="AT108:AU108" si="214">C108</f>
        <v>G0612</v>
      </c>
      <c r="AU108" s="854" t="str">
        <f t="shared" si="214"/>
        <v>AUTRES FOURNITURES-USAG</v>
      </c>
      <c r="AV108" s="794">
        <f t="array" ref="AV108">IFERROR(INDEX(V108:AG108,1,MATCH(Parametres!$B$3,V$1:AG$1,0)-1)*IF(OR(C108="L",C108="S",C108="I"),-1,1),"")</f>
        <v>0</v>
      </c>
      <c r="AW108" s="794">
        <f t="shared" si="6"/>
        <v>0</v>
      </c>
      <c r="AX108" s="794">
        <f t="array" ref="AX108">INDEX(V108:AG108,1,MATCH(Parametres!$B$3,V$1:AG$1,0))*IF(OR(C108="L",C108="S",C108="I"),-1,1)</f>
        <v>0</v>
      </c>
      <c r="AY108" s="853" t="s">
        <v>772</v>
      </c>
      <c r="AZ108" s="853" t="str">
        <f>+VLOOKUP($AJ108,Data_Validation!$A:$E,5,0)</f>
        <v/>
      </c>
    </row>
    <row r="109" ht="15.75" customHeight="1">
      <c r="A109" s="849" t="s">
        <v>1239</v>
      </c>
      <c r="B109" s="849">
        <v>2025.0</v>
      </c>
      <c r="C109" s="849" t="s">
        <v>1527</v>
      </c>
      <c r="D109" s="849" t="s">
        <v>1528</v>
      </c>
      <c r="E109" s="849" t="s">
        <v>768</v>
      </c>
      <c r="F109" s="849" t="s">
        <v>1200</v>
      </c>
      <c r="G109" s="849">
        <v>0.0</v>
      </c>
      <c r="H109" s="849">
        <v>0.0</v>
      </c>
      <c r="I109" s="849">
        <v>0.0</v>
      </c>
      <c r="J109" s="849">
        <v>0.0</v>
      </c>
      <c r="K109" s="849">
        <v>0.0</v>
      </c>
      <c r="L109" s="849">
        <v>0.0</v>
      </c>
      <c r="M109" s="849">
        <v>0.0</v>
      </c>
      <c r="N109" s="849">
        <v>0.0</v>
      </c>
      <c r="O109" s="849">
        <v>0.0</v>
      </c>
      <c r="P109" s="849">
        <v>0.0</v>
      </c>
      <c r="Q109" s="849">
        <v>0.0</v>
      </c>
      <c r="R109" s="849">
        <v>0.0</v>
      </c>
      <c r="S109" s="849">
        <v>0.0</v>
      </c>
      <c r="T109" s="849">
        <v>0.0</v>
      </c>
      <c r="U109" s="849">
        <v>0.0</v>
      </c>
      <c r="V109" s="849">
        <v>0.0</v>
      </c>
      <c r="W109" s="849">
        <v>0.0</v>
      </c>
      <c r="X109" s="849">
        <v>0.0</v>
      </c>
      <c r="Y109" s="849">
        <v>0.0</v>
      </c>
      <c r="Z109" s="849">
        <v>0.0</v>
      </c>
      <c r="AA109" s="849">
        <v>0.0</v>
      </c>
      <c r="AB109" s="849">
        <v>0.0</v>
      </c>
      <c r="AC109" s="849">
        <v>0.0</v>
      </c>
      <c r="AD109" s="849">
        <v>0.0</v>
      </c>
      <c r="AE109" s="849">
        <v>0.0</v>
      </c>
      <c r="AF109" s="849">
        <v>0.0</v>
      </c>
      <c r="AG109" s="849">
        <v>0.0</v>
      </c>
      <c r="AH109" s="849">
        <v>0.0</v>
      </c>
      <c r="AI109" s="849">
        <v>0.0</v>
      </c>
      <c r="AJ109" s="794" t="str">
        <f t="shared" ref="AJ109:AK109" si="215">C109</f>
        <v>G0613</v>
      </c>
      <c r="AK109" s="794" t="str">
        <f t="shared" si="215"/>
        <v>AUTRES FOURNITURES U.S.A</v>
      </c>
      <c r="AL109" s="794">
        <f t="array" ref="AL109">IFERROR(INDEX(G109:R109,1,MATCH(Parametres!$B$3,G$1:R$1,0)-1)*IF(OR(F109="L",F109="S",F109="I"),-1,1),"")</f>
        <v>0</v>
      </c>
      <c r="AM109" s="794">
        <f t="shared" si="4"/>
        <v>0</v>
      </c>
      <c r="AN109" s="794">
        <f t="array" ref="AN109">INDEX(G109:R109,1,MATCH(Parametres!$B$3,G$1:R$1,0))*IF(OR(F109="L",F109="S",F109="I"),-1,1)</f>
        <v>0</v>
      </c>
      <c r="AO109" s="853" t="str">
        <f>+VLOOKUP($AJ109,Data_Validation!$A:$D,1,0)</f>
        <v>G0613</v>
      </c>
      <c r="AP109" s="853" t="str">
        <f>+VLOOKUP($AJ109,Data_Validation!$A:$D,3,0)</f>
        <v>Wholesale autres</v>
      </c>
      <c r="AQ109" s="853" t="str">
        <f>+VLOOKUP($AJ109,Data_Validation!$A:$D,4,0)</f>
        <v>Fournitures autres</v>
      </c>
      <c r="AR109" s="853" t="s">
        <v>728</v>
      </c>
      <c r="AS109" s="853" t="str">
        <f>+VLOOKUP($AJ109,Data_Validation!$A:$E,5,0)</f>
        <v/>
      </c>
      <c r="AT109" s="794" t="str">
        <f t="shared" ref="AT109:AU109" si="216">C109</f>
        <v>G0613</v>
      </c>
      <c r="AU109" s="854" t="str">
        <f t="shared" si="216"/>
        <v>AUTRES FOURNITURES U.S.A</v>
      </c>
      <c r="AV109" s="794">
        <f t="array" ref="AV109">IFERROR(INDEX(V109:AG109,1,MATCH(Parametres!$B$3,V$1:AG$1,0)-1)*IF(OR(C109="L",C109="S",C109="I"),-1,1),"")</f>
        <v>0</v>
      </c>
      <c r="AW109" s="794">
        <f t="shared" si="6"/>
        <v>0</v>
      </c>
      <c r="AX109" s="794">
        <f t="array" ref="AX109">INDEX(V109:AG109,1,MATCH(Parametres!$B$3,V$1:AG$1,0))*IF(OR(C109="L",C109="S",C109="I"),-1,1)</f>
        <v>0</v>
      </c>
      <c r="AY109" s="853" t="s">
        <v>772</v>
      </c>
      <c r="AZ109" s="853" t="str">
        <f>+VLOOKUP($AJ109,Data_Validation!$A:$E,5,0)</f>
        <v/>
      </c>
    </row>
    <row r="110" ht="15.0" customHeight="1">
      <c r="A110" s="849" t="s">
        <v>1239</v>
      </c>
      <c r="B110" s="849">
        <v>2025.0</v>
      </c>
      <c r="C110" s="849" t="s">
        <v>1529</v>
      </c>
      <c r="D110" s="849" t="s">
        <v>1530</v>
      </c>
      <c r="E110" s="849" t="s">
        <v>768</v>
      </c>
      <c r="F110" s="849" t="s">
        <v>1200</v>
      </c>
      <c r="G110" s="849">
        <v>2789.52</v>
      </c>
      <c r="H110" s="849">
        <v>6335.97</v>
      </c>
      <c r="I110" s="849">
        <v>13243.82</v>
      </c>
      <c r="J110" s="849">
        <v>21390.71</v>
      </c>
      <c r="K110" s="849">
        <v>28168.54</v>
      </c>
      <c r="L110" s="849">
        <v>26504.52</v>
      </c>
      <c r="M110" s="849">
        <v>32195.04</v>
      </c>
      <c r="N110" s="849">
        <v>32535.02</v>
      </c>
      <c r="O110" s="849">
        <v>38536.49</v>
      </c>
      <c r="P110" s="849">
        <v>44834.05</v>
      </c>
      <c r="Q110" s="849">
        <v>45955.07</v>
      </c>
      <c r="R110" s="849">
        <v>52720.72</v>
      </c>
      <c r="S110" s="849">
        <v>4177.73</v>
      </c>
      <c r="T110" s="849">
        <v>4177.73</v>
      </c>
      <c r="U110" s="849">
        <v>0.0</v>
      </c>
      <c r="V110" s="849">
        <v>0.0</v>
      </c>
      <c r="W110" s="849">
        <v>0.0</v>
      </c>
      <c r="X110" s="849">
        <v>0.0</v>
      </c>
      <c r="Y110" s="849">
        <v>0.0</v>
      </c>
      <c r="Z110" s="849">
        <v>0.0</v>
      </c>
      <c r="AA110" s="849">
        <v>0.0</v>
      </c>
      <c r="AB110" s="849">
        <v>0.0</v>
      </c>
      <c r="AC110" s="849">
        <v>0.0</v>
      </c>
      <c r="AD110" s="849">
        <v>0.0</v>
      </c>
      <c r="AE110" s="849">
        <v>0.0</v>
      </c>
      <c r="AF110" s="849">
        <v>0.0</v>
      </c>
      <c r="AG110" s="849">
        <v>0.0</v>
      </c>
      <c r="AH110" s="849">
        <v>0.0</v>
      </c>
      <c r="AI110" s="849">
        <v>0.0</v>
      </c>
      <c r="AJ110" s="794" t="str">
        <f t="shared" ref="AJ110:AK110" si="217">C110</f>
        <v>G0614</v>
      </c>
      <c r="AK110" s="794" t="str">
        <f t="shared" si="217"/>
        <v>AUTRES FOURNITURES SERV.</v>
      </c>
      <c r="AL110" s="794">
        <f t="array" ref="AL110">IFERROR(INDEX(G110:R110,1,MATCH(Parametres!$B$3,G$1:R$1,0)-1)*IF(OR(F110="L",F110="S",F110="I"),-1,1),"")</f>
        <v>32535.02</v>
      </c>
      <c r="AM110" s="794">
        <f t="shared" si="4"/>
        <v>6001.47</v>
      </c>
      <c r="AN110" s="794">
        <f t="array" ref="AN110">INDEX(G110:R110,1,MATCH(Parametres!$B$3,G$1:R$1,0))*IF(OR(F110="L",F110="S",F110="I"),-1,1)</f>
        <v>38536.49</v>
      </c>
      <c r="AO110" s="853" t="str">
        <f>+VLOOKUP($AJ110,Data_Validation!$A:$D,1,0)</f>
        <v>G0614</v>
      </c>
      <c r="AP110" s="853" t="str">
        <f>+VLOOKUP($AJ110,Data_Validation!$A:$D,3,0)</f>
        <v>Service</v>
      </c>
      <c r="AQ110" s="853" t="str">
        <f>+VLOOKUP($AJ110,Data_Validation!$A:$D,4,0)</f>
        <v>Fournitures autres</v>
      </c>
      <c r="AR110" s="853" t="s">
        <v>728</v>
      </c>
      <c r="AS110" s="853" t="str">
        <f>+VLOOKUP($AJ110,Data_Validation!$A:$E,5,0)</f>
        <v/>
      </c>
      <c r="AT110" s="794" t="str">
        <f t="shared" ref="AT110:AU110" si="218">C110</f>
        <v>G0614</v>
      </c>
      <c r="AU110" s="854" t="str">
        <f t="shared" si="218"/>
        <v>AUTRES FOURNITURES SERV.</v>
      </c>
      <c r="AV110" s="794">
        <f t="array" ref="AV110">IFERROR(INDEX(V110:AG110,1,MATCH(Parametres!$B$3,V$1:AG$1,0)-1)*IF(OR(C110="L",C110="S",C110="I"),-1,1),"")</f>
        <v>0</v>
      </c>
      <c r="AW110" s="794">
        <f t="shared" si="6"/>
        <v>0</v>
      </c>
      <c r="AX110" s="794">
        <f t="array" ref="AX110">INDEX(V110:AG110,1,MATCH(Parametres!$B$3,V$1:AG$1,0))*IF(OR(C110="L",C110="S",C110="I"),-1,1)</f>
        <v>0</v>
      </c>
      <c r="AY110" s="853" t="s">
        <v>772</v>
      </c>
      <c r="AZ110" s="853" t="str">
        <f>+VLOOKUP($AJ110,Data_Validation!$A:$E,5,0)</f>
        <v/>
      </c>
    </row>
    <row r="111" ht="15.0" customHeight="1">
      <c r="A111" s="849" t="s">
        <v>1239</v>
      </c>
      <c r="B111" s="849">
        <v>2025.0</v>
      </c>
      <c r="C111" s="849" t="s">
        <v>1531</v>
      </c>
      <c r="D111" s="849" t="s">
        <v>1532</v>
      </c>
      <c r="E111" s="849" t="s">
        <v>768</v>
      </c>
      <c r="F111" s="849" t="s">
        <v>1200</v>
      </c>
      <c r="G111" s="849">
        <v>-874.11</v>
      </c>
      <c r="H111" s="849">
        <v>10814.74</v>
      </c>
      <c r="I111" s="849">
        <v>14047.19</v>
      </c>
      <c r="J111" s="849">
        <v>4792.74</v>
      </c>
      <c r="K111" s="849">
        <v>7362.58</v>
      </c>
      <c r="L111" s="849">
        <v>15295.91</v>
      </c>
      <c r="M111" s="849">
        <v>17577.79</v>
      </c>
      <c r="N111" s="849">
        <v>23481.94</v>
      </c>
      <c r="O111" s="849">
        <v>32506.39</v>
      </c>
      <c r="P111" s="849">
        <v>39181.64</v>
      </c>
      <c r="Q111" s="849">
        <v>42132.87</v>
      </c>
      <c r="R111" s="849">
        <v>45785.83</v>
      </c>
      <c r="S111" s="849">
        <v>3830.26</v>
      </c>
      <c r="T111" s="849">
        <v>3830.26</v>
      </c>
      <c r="U111" s="849">
        <v>0.0</v>
      </c>
      <c r="V111" s="849">
        <v>0.0</v>
      </c>
      <c r="W111" s="849">
        <v>0.0</v>
      </c>
      <c r="X111" s="849">
        <v>0.0</v>
      </c>
      <c r="Y111" s="849">
        <v>0.0</v>
      </c>
      <c r="Z111" s="849">
        <v>0.0</v>
      </c>
      <c r="AA111" s="849">
        <v>0.0</v>
      </c>
      <c r="AB111" s="849">
        <v>0.0</v>
      </c>
      <c r="AC111" s="849">
        <v>0.0</v>
      </c>
      <c r="AD111" s="849">
        <v>0.0</v>
      </c>
      <c r="AE111" s="849">
        <v>0.0</v>
      </c>
      <c r="AF111" s="849">
        <v>0.0</v>
      </c>
      <c r="AG111" s="849">
        <v>0.0</v>
      </c>
      <c r="AH111" s="849">
        <v>0.0</v>
      </c>
      <c r="AI111" s="849">
        <v>0.0</v>
      </c>
      <c r="AJ111" s="794" t="str">
        <f t="shared" ref="AJ111:AK111" si="219">C111</f>
        <v>G0615</v>
      </c>
      <c r="AK111" s="794" t="str">
        <f t="shared" si="219"/>
        <v>AUTRES FOURNITURES-CARR.</v>
      </c>
      <c r="AL111" s="794">
        <f t="array" ref="AL111">IFERROR(INDEX(G111:R111,1,MATCH(Parametres!$B$3,G$1:R$1,0)-1)*IF(OR(F111="L",F111="S",F111="I"),-1,1),"")</f>
        <v>23481.94</v>
      </c>
      <c r="AM111" s="794">
        <f t="shared" si="4"/>
        <v>9024.45</v>
      </c>
      <c r="AN111" s="794">
        <f t="array" ref="AN111">INDEX(G111:R111,1,MATCH(Parametres!$B$3,G$1:R$1,0))*IF(OR(F111="L",F111="S",F111="I"),-1,1)</f>
        <v>32506.39</v>
      </c>
      <c r="AO111" s="853" t="str">
        <f>+VLOOKUP($AJ111,Data_Validation!$A:$D,1,0)</f>
        <v>G0615</v>
      </c>
      <c r="AP111" s="853" t="str">
        <f>+VLOOKUP($AJ111,Data_Validation!$A:$D,3,0)</f>
        <v>Carrosserie</v>
      </c>
      <c r="AQ111" s="853" t="str">
        <f>+VLOOKUP($AJ111,Data_Validation!$A:$D,4,0)</f>
        <v>Fournitures autres</v>
      </c>
      <c r="AR111" s="853" t="s">
        <v>728</v>
      </c>
      <c r="AS111" s="853" t="str">
        <f>+VLOOKUP($AJ111,Data_Validation!$A:$E,5,0)</f>
        <v/>
      </c>
      <c r="AT111" s="794" t="str">
        <f t="shared" ref="AT111:AU111" si="220">C111</f>
        <v>G0615</v>
      </c>
      <c r="AU111" s="854" t="str">
        <f t="shared" si="220"/>
        <v>AUTRES FOURNITURES-CARR.</v>
      </c>
      <c r="AV111" s="794">
        <f t="array" ref="AV111">IFERROR(INDEX(V111:AG111,1,MATCH(Parametres!$B$3,V$1:AG$1,0)-1)*IF(OR(C111="L",C111="S",C111="I"),-1,1),"")</f>
        <v>0</v>
      </c>
      <c r="AW111" s="794">
        <f t="shared" si="6"/>
        <v>0</v>
      </c>
      <c r="AX111" s="794">
        <f t="array" ref="AX111">INDEX(V111:AG111,1,MATCH(Parametres!$B$3,V$1:AG$1,0))*IF(OR(C111="L",C111="S",C111="I"),-1,1)</f>
        <v>0</v>
      </c>
      <c r="AY111" s="853" t="s">
        <v>772</v>
      </c>
      <c r="AZ111" s="853" t="str">
        <f>+VLOOKUP($AJ111,Data_Validation!$A:$E,5,0)</f>
        <v/>
      </c>
    </row>
    <row r="112" ht="15.0" customHeight="1">
      <c r="A112" s="849" t="s">
        <v>1239</v>
      </c>
      <c r="B112" s="849">
        <v>2025.0</v>
      </c>
      <c r="C112" s="849" t="s">
        <v>1533</v>
      </c>
      <c r="D112" s="849" t="s">
        <v>1534</v>
      </c>
      <c r="E112" s="849" t="s">
        <v>768</v>
      </c>
      <c r="F112" s="849" t="s">
        <v>1200</v>
      </c>
      <c r="G112" s="849">
        <v>175.45</v>
      </c>
      <c r="H112" s="849">
        <v>175.45</v>
      </c>
      <c r="I112" s="849">
        <v>434.77</v>
      </c>
      <c r="J112" s="849">
        <v>569.53</v>
      </c>
      <c r="K112" s="849">
        <v>748.69</v>
      </c>
      <c r="L112" s="849">
        <v>836.96</v>
      </c>
      <c r="M112" s="849">
        <v>871.93</v>
      </c>
      <c r="N112" s="849">
        <v>1001.53</v>
      </c>
      <c r="O112" s="849">
        <v>1055.05</v>
      </c>
      <c r="P112" s="849">
        <v>1495.8</v>
      </c>
      <c r="Q112" s="849">
        <v>1537.59</v>
      </c>
      <c r="R112" s="849">
        <v>1551.66</v>
      </c>
      <c r="S112" s="849">
        <v>139.78</v>
      </c>
      <c r="T112" s="849">
        <v>139.78</v>
      </c>
      <c r="U112" s="849">
        <v>0.0</v>
      </c>
      <c r="V112" s="849">
        <v>0.0</v>
      </c>
      <c r="W112" s="849">
        <v>0.0</v>
      </c>
      <c r="X112" s="849">
        <v>0.0</v>
      </c>
      <c r="Y112" s="849">
        <v>0.0</v>
      </c>
      <c r="Z112" s="849">
        <v>0.0</v>
      </c>
      <c r="AA112" s="849">
        <v>0.0</v>
      </c>
      <c r="AB112" s="849">
        <v>0.0</v>
      </c>
      <c r="AC112" s="849">
        <v>0.0</v>
      </c>
      <c r="AD112" s="849">
        <v>0.0</v>
      </c>
      <c r="AE112" s="849">
        <v>0.0</v>
      </c>
      <c r="AF112" s="849">
        <v>0.0</v>
      </c>
      <c r="AG112" s="849">
        <v>0.0</v>
      </c>
      <c r="AH112" s="849">
        <v>0.0</v>
      </c>
      <c r="AI112" s="849">
        <v>0.0</v>
      </c>
      <c r="AJ112" s="794" t="str">
        <f t="shared" ref="AJ112:AK112" si="221">C112</f>
        <v>G0616</v>
      </c>
      <c r="AK112" s="794" t="str">
        <f t="shared" si="221"/>
        <v>AUTRES FOURNITURES-PCES</v>
      </c>
      <c r="AL112" s="794">
        <f t="array" ref="AL112">IFERROR(INDEX(G112:R112,1,MATCH(Parametres!$B$3,G$1:R$1,0)-1)*IF(OR(F112="L",F112="S",F112="I"),-1,1),"")</f>
        <v>1001.53</v>
      </c>
      <c r="AM112" s="794">
        <f t="shared" si="4"/>
        <v>53.52</v>
      </c>
      <c r="AN112" s="794">
        <f t="array" ref="AN112">INDEX(G112:R112,1,MATCH(Parametres!$B$3,G$1:R$1,0))*IF(OR(F112="L",F112="S",F112="I"),-1,1)</f>
        <v>1055.05</v>
      </c>
      <c r="AO112" s="853" t="str">
        <f>+VLOOKUP($AJ112,Data_Validation!$A:$D,1,0)</f>
        <v>G0616</v>
      </c>
      <c r="AP112" s="853" t="str">
        <f>+VLOOKUP($AJ112,Data_Validation!$A:$D,3,0)</f>
        <v>Pièces</v>
      </c>
      <c r="AQ112" s="853" t="str">
        <f>+VLOOKUP($AJ112,Data_Validation!$A:$D,4,0)</f>
        <v>Fournitures autres</v>
      </c>
      <c r="AR112" s="853" t="s">
        <v>728</v>
      </c>
      <c r="AS112" s="853" t="str">
        <f>+VLOOKUP($AJ112,Data_Validation!$A:$E,5,0)</f>
        <v/>
      </c>
      <c r="AT112" s="794" t="str">
        <f t="shared" ref="AT112:AU112" si="222">C112</f>
        <v>G0616</v>
      </c>
      <c r="AU112" s="854" t="str">
        <f t="shared" si="222"/>
        <v>AUTRES FOURNITURES-PCES</v>
      </c>
      <c r="AV112" s="794">
        <f t="array" ref="AV112">IFERROR(INDEX(V112:AG112,1,MATCH(Parametres!$B$3,V$1:AG$1,0)-1)*IF(OR(C112="L",C112="S",C112="I"),-1,1),"")</f>
        <v>0</v>
      </c>
      <c r="AW112" s="794">
        <f t="shared" si="6"/>
        <v>0</v>
      </c>
      <c r="AX112" s="794">
        <f t="array" ref="AX112">INDEX(V112:AG112,1,MATCH(Parametres!$B$3,V$1:AG$1,0))*IF(OR(C112="L",C112="S",C112="I"),-1,1)</f>
        <v>0</v>
      </c>
      <c r="AY112" s="853" t="s">
        <v>772</v>
      </c>
      <c r="AZ112" s="853" t="str">
        <f>+VLOOKUP($AJ112,Data_Validation!$A:$E,5,0)</f>
        <v/>
      </c>
    </row>
    <row r="113" ht="15.75" customHeight="1">
      <c r="A113" s="849" t="s">
        <v>1239</v>
      </c>
      <c r="B113" s="849">
        <v>2025.0</v>
      </c>
      <c r="C113" s="849" t="s">
        <v>1535</v>
      </c>
      <c r="D113" s="849" t="s">
        <v>1536</v>
      </c>
      <c r="E113" s="849" t="s">
        <v>768</v>
      </c>
      <c r="F113" s="849" t="s">
        <v>1200</v>
      </c>
      <c r="G113" s="849">
        <v>0.0</v>
      </c>
      <c r="H113" s="849">
        <v>0.0</v>
      </c>
      <c r="I113" s="849">
        <v>0.0</v>
      </c>
      <c r="J113" s="849">
        <v>0.0</v>
      </c>
      <c r="K113" s="849">
        <v>0.0</v>
      </c>
      <c r="L113" s="849">
        <v>0.0</v>
      </c>
      <c r="M113" s="849">
        <v>0.0</v>
      </c>
      <c r="N113" s="849">
        <v>0.0</v>
      </c>
      <c r="O113" s="849">
        <v>0.0</v>
      </c>
      <c r="P113" s="849">
        <v>0.0</v>
      </c>
      <c r="Q113" s="849">
        <v>0.0</v>
      </c>
      <c r="R113" s="849">
        <v>0.0</v>
      </c>
      <c r="S113" s="849">
        <v>0.0</v>
      </c>
      <c r="T113" s="849">
        <v>0.0</v>
      </c>
      <c r="U113" s="849">
        <v>0.0</v>
      </c>
      <c r="V113" s="849">
        <v>0.0</v>
      </c>
      <c r="W113" s="849">
        <v>0.0</v>
      </c>
      <c r="X113" s="849">
        <v>0.0</v>
      </c>
      <c r="Y113" s="849">
        <v>0.0</v>
      </c>
      <c r="Z113" s="849">
        <v>0.0</v>
      </c>
      <c r="AA113" s="849">
        <v>0.0</v>
      </c>
      <c r="AB113" s="849">
        <v>0.0</v>
      </c>
      <c r="AC113" s="849">
        <v>0.0</v>
      </c>
      <c r="AD113" s="849">
        <v>0.0</v>
      </c>
      <c r="AE113" s="849">
        <v>0.0</v>
      </c>
      <c r="AF113" s="849">
        <v>0.0</v>
      </c>
      <c r="AG113" s="849">
        <v>0.0</v>
      </c>
      <c r="AH113" s="849">
        <v>0.0</v>
      </c>
      <c r="AI113" s="849">
        <v>0.0</v>
      </c>
      <c r="AJ113" s="794" t="str">
        <f t="shared" ref="AJ113:AK113" si="223">C113</f>
        <v>G0624</v>
      </c>
      <c r="AK113" s="794" t="str">
        <f t="shared" si="223"/>
        <v>PETIT OUTILLAGE</v>
      </c>
      <c r="AL113" s="794">
        <f t="array" ref="AL113">IFERROR(INDEX(G113:R113,1,MATCH(Parametres!$B$3,G$1:R$1,0)-1)*IF(OR(F113="L",F113="S",F113="I"),-1,1),"")</f>
        <v>0</v>
      </c>
      <c r="AM113" s="794">
        <f t="shared" si="4"/>
        <v>0</v>
      </c>
      <c r="AN113" s="794">
        <f t="array" ref="AN113">INDEX(G113:R113,1,MATCH(Parametres!$B$3,G$1:R$1,0))*IF(OR(F113="L",F113="S",F113="I"),-1,1)</f>
        <v>0</v>
      </c>
      <c r="AO113" s="853" t="str">
        <f>+VLOOKUP($AJ113,Data_Validation!$A:$D,1,0)</f>
        <v>G0624</v>
      </c>
      <c r="AP113" s="853" t="str">
        <f>+VLOOKUP($AJ113,Data_Validation!$A:$D,3,0)</f>
        <v>Service</v>
      </c>
      <c r="AQ113" s="853" t="str">
        <f>+VLOOKUP($AJ113,Data_Validation!$A:$D,4,0)</f>
        <v>Fournitures autres</v>
      </c>
      <c r="AR113" s="853" t="s">
        <v>728</v>
      </c>
      <c r="AS113" s="853" t="str">
        <f>+VLOOKUP($AJ113,Data_Validation!$A:$E,5,0)</f>
        <v/>
      </c>
      <c r="AT113" s="794" t="str">
        <f t="shared" ref="AT113:AU113" si="224">C113</f>
        <v>G0624</v>
      </c>
      <c r="AU113" s="854" t="str">
        <f t="shared" si="224"/>
        <v>PETIT OUTILLAGE</v>
      </c>
      <c r="AV113" s="794">
        <f t="array" ref="AV113">IFERROR(INDEX(V113:AG113,1,MATCH(Parametres!$B$3,V$1:AG$1,0)-1)*IF(OR(C113="L",C113="S",C113="I"),-1,1),"")</f>
        <v>0</v>
      </c>
      <c r="AW113" s="794">
        <f t="shared" si="6"/>
        <v>0</v>
      </c>
      <c r="AX113" s="794">
        <f t="array" ref="AX113">INDEX(V113:AG113,1,MATCH(Parametres!$B$3,V$1:AG$1,0))*IF(OR(C113="L",C113="S",C113="I"),-1,1)</f>
        <v>0</v>
      </c>
      <c r="AY113" s="853" t="s">
        <v>772</v>
      </c>
      <c r="AZ113" s="853" t="str">
        <f>+VLOOKUP($AJ113,Data_Validation!$A:$E,5,0)</f>
        <v/>
      </c>
    </row>
    <row r="114" ht="15.0" customHeight="1">
      <c r="A114" s="849" t="s">
        <v>1239</v>
      </c>
      <c r="B114" s="849">
        <v>2025.0</v>
      </c>
      <c r="C114" s="849" t="s">
        <v>1537</v>
      </c>
      <c r="D114" s="849" t="s">
        <v>1538</v>
      </c>
      <c r="E114" s="849" t="s">
        <v>768</v>
      </c>
      <c r="F114" s="849" t="s">
        <v>1200</v>
      </c>
      <c r="G114" s="849">
        <v>0.0</v>
      </c>
      <c r="H114" s="849">
        <v>0.0</v>
      </c>
      <c r="I114" s="849">
        <v>0.0</v>
      </c>
      <c r="J114" s="849">
        <v>0.0</v>
      </c>
      <c r="K114" s="849">
        <v>0.0</v>
      </c>
      <c r="L114" s="849">
        <v>0.0</v>
      </c>
      <c r="M114" s="849">
        <v>0.0</v>
      </c>
      <c r="N114" s="849">
        <v>0.0</v>
      </c>
      <c r="O114" s="849">
        <v>0.0</v>
      </c>
      <c r="P114" s="849">
        <v>0.0</v>
      </c>
      <c r="Q114" s="849">
        <v>0.0</v>
      </c>
      <c r="R114" s="849">
        <v>0.0</v>
      </c>
      <c r="S114" s="849">
        <v>0.0</v>
      </c>
      <c r="T114" s="849">
        <v>0.0</v>
      </c>
      <c r="U114" s="849">
        <v>0.0</v>
      </c>
      <c r="V114" s="849">
        <v>0.0</v>
      </c>
      <c r="W114" s="849">
        <v>0.0</v>
      </c>
      <c r="X114" s="849">
        <v>0.0</v>
      </c>
      <c r="Y114" s="849">
        <v>0.0</v>
      </c>
      <c r="Z114" s="849">
        <v>0.0</v>
      </c>
      <c r="AA114" s="849">
        <v>0.0</v>
      </c>
      <c r="AB114" s="849">
        <v>0.0</v>
      </c>
      <c r="AC114" s="849">
        <v>0.0</v>
      </c>
      <c r="AD114" s="849">
        <v>0.0</v>
      </c>
      <c r="AE114" s="849">
        <v>0.0</v>
      </c>
      <c r="AF114" s="849">
        <v>0.0</v>
      </c>
      <c r="AG114" s="849">
        <v>0.0</v>
      </c>
      <c r="AH114" s="849">
        <v>0.0</v>
      </c>
      <c r="AI114" s="849">
        <v>0.0</v>
      </c>
      <c r="AJ114" s="794" t="str">
        <f t="shared" ref="AJ114:AK114" si="225">C114</f>
        <v>G0630</v>
      </c>
      <c r="AK114" s="794" t="str">
        <f t="shared" si="225"/>
        <v>COMMERCE ELECTRON. REP</v>
      </c>
      <c r="AL114" s="794">
        <f t="array" ref="AL114">IFERROR(INDEX(G114:R114,1,MATCH(Parametres!$B$3,G$1:R$1,0)-1)*IF(OR(F114="L",F114="S",F114="I"),-1,1),"")</f>
        <v>0</v>
      </c>
      <c r="AM114" s="794">
        <f t="shared" si="4"/>
        <v>0</v>
      </c>
      <c r="AN114" s="794">
        <f t="array" ref="AN114">INDEX(G114:R114,1,MATCH(Parametres!$B$3,G$1:R$1,0))*IF(OR(F114="L",F114="S",F114="I"),-1,1)</f>
        <v>0</v>
      </c>
      <c r="AO114" s="853" t="str">
        <f>+VLOOKUP($AJ114,Data_Validation!$A:$D,1,0)</f>
        <v>#N/A</v>
      </c>
      <c r="AP114" s="853" t="str">
        <f>+VLOOKUP($AJ114,Data_Validation!$A:$D,3,0)</f>
        <v>#N/A</v>
      </c>
      <c r="AQ114" s="853" t="str">
        <f>+VLOOKUP($AJ114,Data_Validation!$A:$D,4,0)</f>
        <v>#N/A</v>
      </c>
      <c r="AR114" s="853" t="s">
        <v>728</v>
      </c>
      <c r="AS114" s="853" t="str">
        <f>+VLOOKUP($AJ114,Data_Validation!$A:$E,5,0)</f>
        <v>#N/A</v>
      </c>
      <c r="AT114" s="794" t="str">
        <f t="shared" ref="AT114:AU114" si="226">C114</f>
        <v>G0630</v>
      </c>
      <c r="AU114" s="854" t="str">
        <f t="shared" si="226"/>
        <v>COMMERCE ELECTRON. REP</v>
      </c>
      <c r="AV114" s="794">
        <f t="array" ref="AV114">IFERROR(INDEX(V114:AG114,1,MATCH(Parametres!$B$3,V$1:AG$1,0)-1)*IF(OR(C114="L",C114="S",C114="I"),-1,1),"")</f>
        <v>0</v>
      </c>
      <c r="AW114" s="794">
        <f t="shared" si="6"/>
        <v>0</v>
      </c>
      <c r="AX114" s="794">
        <f t="array" ref="AX114">INDEX(V114:AG114,1,MATCH(Parametres!$B$3,V$1:AG$1,0))*IF(OR(C114="L",C114="S",C114="I"),-1,1)</f>
        <v>0</v>
      </c>
      <c r="AY114" s="853" t="s">
        <v>772</v>
      </c>
      <c r="AZ114" s="853" t="str">
        <f>+VLOOKUP($AJ114,Data_Validation!$A:$E,5,0)</f>
        <v>#N/A</v>
      </c>
    </row>
    <row r="115" ht="15.0" customHeight="1">
      <c r="A115" s="849" t="s">
        <v>1239</v>
      </c>
      <c r="B115" s="849">
        <v>2025.0</v>
      </c>
      <c r="C115" s="849" t="s">
        <v>1539</v>
      </c>
      <c r="D115" s="849" t="s">
        <v>1540</v>
      </c>
      <c r="E115" s="849" t="s">
        <v>768</v>
      </c>
      <c r="F115" s="849" t="s">
        <v>1200</v>
      </c>
      <c r="G115" s="849">
        <v>898.78</v>
      </c>
      <c r="H115" s="849">
        <v>1769.46</v>
      </c>
      <c r="I115" s="849">
        <v>2648.48</v>
      </c>
      <c r="J115" s="849">
        <v>3859.17</v>
      </c>
      <c r="K115" s="849">
        <v>4993.19</v>
      </c>
      <c r="L115" s="849">
        <v>6127.21</v>
      </c>
      <c r="M115" s="849">
        <v>7261.23</v>
      </c>
      <c r="N115" s="849">
        <v>8395.25</v>
      </c>
      <c r="O115" s="849">
        <v>9975.93</v>
      </c>
      <c r="P115" s="849">
        <v>13601.43</v>
      </c>
      <c r="Q115" s="849">
        <v>14134.62</v>
      </c>
      <c r="R115" s="849">
        <v>15902.81</v>
      </c>
      <c r="S115" s="849">
        <v>1284.97</v>
      </c>
      <c r="T115" s="849">
        <v>1284.97</v>
      </c>
      <c r="U115" s="849">
        <v>0.0</v>
      </c>
      <c r="V115" s="849">
        <v>0.0</v>
      </c>
      <c r="W115" s="849">
        <v>0.0</v>
      </c>
      <c r="X115" s="849">
        <v>0.0</v>
      </c>
      <c r="Y115" s="849">
        <v>0.0</v>
      </c>
      <c r="Z115" s="849">
        <v>0.0</v>
      </c>
      <c r="AA115" s="849">
        <v>0.0</v>
      </c>
      <c r="AB115" s="849">
        <v>0.0</v>
      </c>
      <c r="AC115" s="849">
        <v>0.0</v>
      </c>
      <c r="AD115" s="849">
        <v>0.0</v>
      </c>
      <c r="AE115" s="849">
        <v>0.0</v>
      </c>
      <c r="AF115" s="849">
        <v>0.0</v>
      </c>
      <c r="AG115" s="849">
        <v>0.0</v>
      </c>
      <c r="AH115" s="849">
        <v>0.0</v>
      </c>
      <c r="AI115" s="849">
        <v>0.0</v>
      </c>
      <c r="AJ115" s="794" t="str">
        <f t="shared" ref="AJ115:AK115" si="227">C115</f>
        <v>G0631</v>
      </c>
      <c r="AK115" s="794" t="str">
        <f t="shared" si="227"/>
        <v>COMMERCE ELECTRONIQUE-PUB</v>
      </c>
      <c r="AL115" s="794">
        <f t="array" ref="AL115">IFERROR(INDEX(G115:R115,1,MATCH(Parametres!$B$3,G$1:R$1,0)-1)*IF(OR(F115="L",F115="S",F115="I"),-1,1),"")</f>
        <v>8395.25</v>
      </c>
      <c r="AM115" s="794">
        <f t="shared" si="4"/>
        <v>1580.68</v>
      </c>
      <c r="AN115" s="794">
        <f t="array" ref="AN115">INDEX(G115:R115,1,MATCH(Parametres!$B$3,G$1:R$1,0))*IF(OR(F115="L",F115="S",F115="I"),-1,1)</f>
        <v>9975.93</v>
      </c>
      <c r="AO115" s="853" t="str">
        <f>+VLOOKUP($AJ115,Data_Validation!$A:$D,1,0)</f>
        <v>G0631</v>
      </c>
      <c r="AP115" s="853" t="str">
        <f>+VLOOKUP($AJ115,Data_Validation!$A:$D,3,0)</f>
        <v>Véhicules neufs</v>
      </c>
      <c r="AQ115" s="853" t="str">
        <f>+VLOOKUP($AJ115,Data_Validation!$A:$D,4,0)</f>
        <v>Publicité 1</v>
      </c>
      <c r="AR115" s="853" t="s">
        <v>728</v>
      </c>
      <c r="AS115" s="853" t="str">
        <f>+VLOOKUP($AJ115,Data_Validation!$A:$E,5,0)</f>
        <v/>
      </c>
      <c r="AT115" s="794" t="str">
        <f t="shared" ref="AT115:AU115" si="228">C115</f>
        <v>G0631</v>
      </c>
      <c r="AU115" s="854" t="str">
        <f t="shared" si="228"/>
        <v>COMMERCE ELECTRONIQUE-PUB</v>
      </c>
      <c r="AV115" s="794">
        <f t="array" ref="AV115">IFERROR(INDEX(V115:AG115,1,MATCH(Parametres!$B$3,V$1:AG$1,0)-1)*IF(OR(C115="L",C115="S",C115="I"),-1,1),"")</f>
        <v>0</v>
      </c>
      <c r="AW115" s="794">
        <f t="shared" si="6"/>
        <v>0</v>
      </c>
      <c r="AX115" s="794">
        <f t="array" ref="AX115">INDEX(V115:AG115,1,MATCH(Parametres!$B$3,V$1:AG$1,0))*IF(OR(C115="L",C115="S",C115="I"),-1,1)</f>
        <v>0</v>
      </c>
      <c r="AY115" s="853" t="s">
        <v>772</v>
      </c>
      <c r="AZ115" s="853" t="str">
        <f>+VLOOKUP($AJ115,Data_Validation!$A:$E,5,0)</f>
        <v/>
      </c>
    </row>
    <row r="116" ht="15.0" customHeight="1">
      <c r="A116" s="849" t="s">
        <v>1239</v>
      </c>
      <c r="B116" s="849">
        <v>2025.0</v>
      </c>
      <c r="C116" s="849" t="s">
        <v>1541</v>
      </c>
      <c r="D116" s="849" t="s">
        <v>1540</v>
      </c>
      <c r="E116" s="849" t="s">
        <v>768</v>
      </c>
      <c r="F116" s="849" t="s">
        <v>1200</v>
      </c>
      <c r="G116" s="849">
        <v>19.8</v>
      </c>
      <c r="H116" s="849">
        <v>39.6</v>
      </c>
      <c r="I116" s="849">
        <v>59.4</v>
      </c>
      <c r="J116" s="849">
        <v>79.2</v>
      </c>
      <c r="K116" s="849">
        <v>99.0</v>
      </c>
      <c r="L116" s="849">
        <v>118.8</v>
      </c>
      <c r="M116" s="849">
        <v>138.6</v>
      </c>
      <c r="N116" s="849">
        <v>158.4</v>
      </c>
      <c r="O116" s="849">
        <v>178.2</v>
      </c>
      <c r="P116" s="849">
        <v>918.97</v>
      </c>
      <c r="Q116" s="849">
        <v>748.77</v>
      </c>
      <c r="R116" s="849">
        <v>958.57</v>
      </c>
      <c r="S116" s="849">
        <v>68.07</v>
      </c>
      <c r="T116" s="849">
        <v>68.07</v>
      </c>
      <c r="U116" s="849">
        <v>0.0</v>
      </c>
      <c r="V116" s="849">
        <v>0.0</v>
      </c>
      <c r="W116" s="849">
        <v>0.0</v>
      </c>
      <c r="X116" s="849">
        <v>0.0</v>
      </c>
      <c r="Y116" s="849">
        <v>0.0</v>
      </c>
      <c r="Z116" s="849">
        <v>0.0</v>
      </c>
      <c r="AA116" s="849">
        <v>0.0</v>
      </c>
      <c r="AB116" s="849">
        <v>0.0</v>
      </c>
      <c r="AC116" s="849">
        <v>0.0</v>
      </c>
      <c r="AD116" s="849">
        <v>0.0</v>
      </c>
      <c r="AE116" s="849">
        <v>0.0</v>
      </c>
      <c r="AF116" s="849">
        <v>0.0</v>
      </c>
      <c r="AG116" s="849">
        <v>0.0</v>
      </c>
      <c r="AH116" s="849">
        <v>0.0</v>
      </c>
      <c r="AI116" s="849">
        <v>0.0</v>
      </c>
      <c r="AJ116" s="794" t="str">
        <f t="shared" ref="AJ116:AK116" si="229">C116</f>
        <v>G0632</v>
      </c>
      <c r="AK116" s="794" t="str">
        <f t="shared" si="229"/>
        <v>COMMERCE ELECTRONIQUE-PUB</v>
      </c>
      <c r="AL116" s="794">
        <f t="array" ref="AL116">IFERROR(INDEX(G116:R116,1,MATCH(Parametres!$B$3,G$1:R$1,0)-1)*IF(OR(F116="L",F116="S",F116="I"),-1,1),"")</f>
        <v>158.4</v>
      </c>
      <c r="AM116" s="794">
        <f t="shared" si="4"/>
        <v>19.8</v>
      </c>
      <c r="AN116" s="794">
        <f t="array" ref="AN116">INDEX(G116:R116,1,MATCH(Parametres!$B$3,G$1:R$1,0))*IF(OR(F116="L",F116="S",F116="I"),-1,1)</f>
        <v>178.2</v>
      </c>
      <c r="AO116" s="853" t="str">
        <f>+VLOOKUP($AJ116,Data_Validation!$A:$D,1,0)</f>
        <v>G0632</v>
      </c>
      <c r="AP116" s="853" t="str">
        <f>+VLOOKUP($AJ116,Data_Validation!$A:$D,3,0)</f>
        <v>Véhicules usagés</v>
      </c>
      <c r="AQ116" s="853" t="str">
        <f>+VLOOKUP($AJ116,Data_Validation!$A:$D,4,0)</f>
        <v>Publicité 1</v>
      </c>
      <c r="AR116" s="853" t="s">
        <v>728</v>
      </c>
      <c r="AS116" s="853" t="str">
        <f>+VLOOKUP($AJ116,Data_Validation!$A:$E,5,0)</f>
        <v/>
      </c>
      <c r="AT116" s="794" t="str">
        <f t="shared" ref="AT116:AU116" si="230">C116</f>
        <v>G0632</v>
      </c>
      <c r="AU116" s="854" t="str">
        <f t="shared" si="230"/>
        <v>COMMERCE ELECTRONIQUE-PUB</v>
      </c>
      <c r="AV116" s="794">
        <f t="array" ref="AV116">IFERROR(INDEX(V116:AG116,1,MATCH(Parametres!$B$3,V$1:AG$1,0)-1)*IF(OR(C116="L",C116="S",C116="I"),-1,1),"")</f>
        <v>0</v>
      </c>
      <c r="AW116" s="794">
        <f t="shared" si="6"/>
        <v>0</v>
      </c>
      <c r="AX116" s="794">
        <f t="array" ref="AX116">INDEX(V116:AG116,1,MATCH(Parametres!$B$3,V$1:AG$1,0))*IF(OR(C116="L",C116="S",C116="I"),-1,1)</f>
        <v>0</v>
      </c>
      <c r="AY116" s="853" t="s">
        <v>772</v>
      </c>
      <c r="AZ116" s="853" t="str">
        <f>+VLOOKUP($AJ116,Data_Validation!$A:$E,5,0)</f>
        <v/>
      </c>
    </row>
    <row r="117" ht="15.75" customHeight="1">
      <c r="A117" s="849" t="s">
        <v>1239</v>
      </c>
      <c r="B117" s="849">
        <v>2025.0</v>
      </c>
      <c r="C117" s="849" t="s">
        <v>1542</v>
      </c>
      <c r="D117" s="849" t="s">
        <v>1543</v>
      </c>
      <c r="E117" s="849" t="s">
        <v>768</v>
      </c>
      <c r="F117" s="849" t="s">
        <v>1200</v>
      </c>
      <c r="G117" s="849">
        <v>0.0</v>
      </c>
      <c r="H117" s="849">
        <v>0.0</v>
      </c>
      <c r="I117" s="849">
        <v>0.0</v>
      </c>
      <c r="J117" s="849">
        <v>0.0</v>
      </c>
      <c r="K117" s="849">
        <v>0.0</v>
      </c>
      <c r="L117" s="849">
        <v>0.0</v>
      </c>
      <c r="M117" s="849">
        <v>0.0</v>
      </c>
      <c r="N117" s="849">
        <v>0.0</v>
      </c>
      <c r="O117" s="849">
        <v>0.0</v>
      </c>
      <c r="P117" s="849">
        <v>0.0</v>
      </c>
      <c r="Q117" s="849">
        <v>0.0</v>
      </c>
      <c r="R117" s="849">
        <v>0.0</v>
      </c>
      <c r="S117" s="849">
        <v>0.0</v>
      </c>
      <c r="T117" s="849">
        <v>0.0</v>
      </c>
      <c r="U117" s="849">
        <v>0.0</v>
      </c>
      <c r="V117" s="849">
        <v>0.0</v>
      </c>
      <c r="W117" s="849">
        <v>0.0</v>
      </c>
      <c r="X117" s="849">
        <v>0.0</v>
      </c>
      <c r="Y117" s="849">
        <v>0.0</v>
      </c>
      <c r="Z117" s="849">
        <v>0.0</v>
      </c>
      <c r="AA117" s="849">
        <v>0.0</v>
      </c>
      <c r="AB117" s="849">
        <v>0.0</v>
      </c>
      <c r="AC117" s="849">
        <v>0.0</v>
      </c>
      <c r="AD117" s="849">
        <v>0.0</v>
      </c>
      <c r="AE117" s="849">
        <v>0.0</v>
      </c>
      <c r="AF117" s="849">
        <v>0.0</v>
      </c>
      <c r="AG117" s="849">
        <v>0.0</v>
      </c>
      <c r="AH117" s="849">
        <v>0.0</v>
      </c>
      <c r="AI117" s="849">
        <v>0.0</v>
      </c>
      <c r="AJ117" s="794" t="str">
        <f t="shared" ref="AJ117:AK117" si="231">C117</f>
        <v>G0633</v>
      </c>
      <c r="AK117" s="794" t="str">
        <f t="shared" si="231"/>
        <v>COMMERCE ELECTRONIQ U.S.A</v>
      </c>
      <c r="AL117" s="794">
        <f t="array" ref="AL117">IFERROR(INDEX(G117:R117,1,MATCH(Parametres!$B$3,G$1:R$1,0)-1)*IF(OR(F117="L",F117="S",F117="I"),-1,1),"")</f>
        <v>0</v>
      </c>
      <c r="AM117" s="794">
        <f t="shared" si="4"/>
        <v>0</v>
      </c>
      <c r="AN117" s="794">
        <f t="array" ref="AN117">INDEX(G117:R117,1,MATCH(Parametres!$B$3,G$1:R$1,0))*IF(OR(F117="L",F117="S",F117="I"),-1,1)</f>
        <v>0</v>
      </c>
      <c r="AO117" s="853" t="str">
        <f>+VLOOKUP($AJ117,Data_Validation!$A:$D,1,0)</f>
        <v>G0633</v>
      </c>
      <c r="AP117" s="853" t="str">
        <f>+VLOOKUP($AJ117,Data_Validation!$A:$D,3,0)</f>
        <v>Wholesale autres</v>
      </c>
      <c r="AQ117" s="853" t="str">
        <f>+VLOOKUP($AJ117,Data_Validation!$A:$D,4,0)</f>
        <v>Publicité 1</v>
      </c>
      <c r="AR117" s="853" t="s">
        <v>728</v>
      </c>
      <c r="AS117" s="853" t="str">
        <f>+VLOOKUP($AJ117,Data_Validation!$A:$E,5,0)</f>
        <v/>
      </c>
      <c r="AT117" s="794" t="str">
        <f t="shared" ref="AT117:AU117" si="232">C117</f>
        <v>G0633</v>
      </c>
      <c r="AU117" s="854" t="str">
        <f t="shared" si="232"/>
        <v>COMMERCE ELECTRONIQ U.S.A</v>
      </c>
      <c r="AV117" s="794">
        <f t="array" ref="AV117">IFERROR(INDEX(V117:AG117,1,MATCH(Parametres!$B$3,V$1:AG$1,0)-1)*IF(OR(C117="L",C117="S",C117="I"),-1,1),"")</f>
        <v>0</v>
      </c>
      <c r="AW117" s="794">
        <f t="shared" si="6"/>
        <v>0</v>
      </c>
      <c r="AX117" s="794">
        <f t="array" ref="AX117">INDEX(V117:AG117,1,MATCH(Parametres!$B$3,V$1:AG$1,0))*IF(OR(C117="L",C117="S",C117="I"),-1,1)</f>
        <v>0</v>
      </c>
      <c r="AY117" s="853" t="s">
        <v>772</v>
      </c>
      <c r="AZ117" s="853" t="str">
        <f>+VLOOKUP($AJ117,Data_Validation!$A:$E,5,0)</f>
        <v/>
      </c>
    </row>
    <row r="118" ht="15.0" customHeight="1">
      <c r="A118" s="849" t="s">
        <v>1239</v>
      </c>
      <c r="B118" s="849">
        <v>2025.0</v>
      </c>
      <c r="C118" s="849" t="s">
        <v>1544</v>
      </c>
      <c r="D118" s="849" t="s">
        <v>1540</v>
      </c>
      <c r="E118" s="849" t="s">
        <v>768</v>
      </c>
      <c r="F118" s="849" t="s">
        <v>1200</v>
      </c>
      <c r="G118" s="849">
        <v>794.65</v>
      </c>
      <c r="H118" s="849">
        <v>1605.94</v>
      </c>
      <c r="I118" s="849">
        <v>2425.56</v>
      </c>
      <c r="J118" s="849">
        <v>3576.84</v>
      </c>
      <c r="K118" s="849">
        <v>4651.46</v>
      </c>
      <c r="L118" s="849">
        <v>5726.08</v>
      </c>
      <c r="M118" s="849">
        <v>6800.7</v>
      </c>
      <c r="N118" s="849">
        <v>7875.32</v>
      </c>
      <c r="O118" s="849">
        <v>9396.6</v>
      </c>
      <c r="P118" s="849">
        <v>10799.79</v>
      </c>
      <c r="Q118" s="849">
        <v>11843.57</v>
      </c>
      <c r="R118" s="849">
        <v>12982.35</v>
      </c>
      <c r="S118" s="849">
        <v>1076.69</v>
      </c>
      <c r="T118" s="849">
        <v>1076.69</v>
      </c>
      <c r="U118" s="849">
        <v>0.0</v>
      </c>
      <c r="V118" s="849">
        <v>0.0</v>
      </c>
      <c r="W118" s="849">
        <v>0.0</v>
      </c>
      <c r="X118" s="849">
        <v>0.0</v>
      </c>
      <c r="Y118" s="849">
        <v>0.0</v>
      </c>
      <c r="Z118" s="849">
        <v>0.0</v>
      </c>
      <c r="AA118" s="849">
        <v>0.0</v>
      </c>
      <c r="AB118" s="849">
        <v>0.0</v>
      </c>
      <c r="AC118" s="849">
        <v>0.0</v>
      </c>
      <c r="AD118" s="849">
        <v>0.0</v>
      </c>
      <c r="AE118" s="849">
        <v>0.0</v>
      </c>
      <c r="AF118" s="849">
        <v>0.0</v>
      </c>
      <c r="AG118" s="849">
        <v>0.0</v>
      </c>
      <c r="AH118" s="849">
        <v>0.0</v>
      </c>
      <c r="AI118" s="849">
        <v>0.0</v>
      </c>
      <c r="AJ118" s="794" t="str">
        <f t="shared" ref="AJ118:AK118" si="233">C118</f>
        <v>G0634</v>
      </c>
      <c r="AK118" s="794" t="str">
        <f t="shared" si="233"/>
        <v>COMMERCE ELECTRONIQUE-PUB</v>
      </c>
      <c r="AL118" s="794">
        <f t="array" ref="AL118">IFERROR(INDEX(G118:R118,1,MATCH(Parametres!$B$3,G$1:R$1,0)-1)*IF(OR(F118="L",F118="S",F118="I"),-1,1),"")</f>
        <v>7875.32</v>
      </c>
      <c r="AM118" s="794">
        <f t="shared" si="4"/>
        <v>1521.28</v>
      </c>
      <c r="AN118" s="794">
        <f t="array" ref="AN118">INDEX(G118:R118,1,MATCH(Parametres!$B$3,G$1:R$1,0))*IF(OR(F118="L",F118="S",F118="I"),-1,1)</f>
        <v>9396.6</v>
      </c>
      <c r="AO118" s="853" t="str">
        <f>+VLOOKUP($AJ118,Data_Validation!$A:$D,1,0)</f>
        <v>G0634</v>
      </c>
      <c r="AP118" s="853" t="str">
        <f>+VLOOKUP($AJ118,Data_Validation!$A:$D,3,0)</f>
        <v>Service</v>
      </c>
      <c r="AQ118" s="853" t="str">
        <f>+VLOOKUP($AJ118,Data_Validation!$A:$D,4,0)</f>
        <v>Publicité 2</v>
      </c>
      <c r="AR118" s="853" t="s">
        <v>728</v>
      </c>
      <c r="AS118" s="853" t="str">
        <f>+VLOOKUP($AJ118,Data_Validation!$A:$E,5,0)</f>
        <v/>
      </c>
      <c r="AT118" s="794" t="str">
        <f t="shared" ref="AT118:AU118" si="234">C118</f>
        <v>G0634</v>
      </c>
      <c r="AU118" s="854" t="str">
        <f t="shared" si="234"/>
        <v>COMMERCE ELECTRONIQUE-PUB</v>
      </c>
      <c r="AV118" s="794">
        <f t="array" ref="AV118">IFERROR(INDEX(V118:AG118,1,MATCH(Parametres!$B$3,V$1:AG$1,0)-1)*IF(OR(C118="L",C118="S",C118="I"),-1,1),"")</f>
        <v>0</v>
      </c>
      <c r="AW118" s="794">
        <f t="shared" si="6"/>
        <v>0</v>
      </c>
      <c r="AX118" s="794">
        <f t="array" ref="AX118">INDEX(V118:AG118,1,MATCH(Parametres!$B$3,V$1:AG$1,0))*IF(OR(C118="L",C118="S",C118="I"),-1,1)</f>
        <v>0</v>
      </c>
      <c r="AY118" s="853" t="s">
        <v>772</v>
      </c>
      <c r="AZ118" s="853" t="str">
        <f>+VLOOKUP($AJ118,Data_Validation!$A:$E,5,0)</f>
        <v/>
      </c>
    </row>
    <row r="119" ht="15.0" customHeight="1">
      <c r="A119" s="849" t="s">
        <v>1239</v>
      </c>
      <c r="B119" s="849">
        <v>2025.0</v>
      </c>
      <c r="C119" s="849" t="s">
        <v>1545</v>
      </c>
      <c r="D119" s="849" t="s">
        <v>1540</v>
      </c>
      <c r="E119" s="849" t="s">
        <v>768</v>
      </c>
      <c r="F119" s="849" t="s">
        <v>1200</v>
      </c>
      <c r="G119" s="849">
        <v>4.95</v>
      </c>
      <c r="H119" s="849">
        <v>9.9</v>
      </c>
      <c r="I119" s="849">
        <v>14.85</v>
      </c>
      <c r="J119" s="849">
        <v>19.8</v>
      </c>
      <c r="K119" s="849">
        <v>24.75</v>
      </c>
      <c r="L119" s="849">
        <v>29.7</v>
      </c>
      <c r="M119" s="849">
        <v>34.65</v>
      </c>
      <c r="N119" s="849">
        <v>39.6</v>
      </c>
      <c r="O119" s="849">
        <v>44.55</v>
      </c>
      <c r="P119" s="849">
        <v>229.74</v>
      </c>
      <c r="Q119" s="849">
        <v>187.19</v>
      </c>
      <c r="R119" s="849">
        <v>239.64</v>
      </c>
      <c r="S119" s="849">
        <v>17.02</v>
      </c>
      <c r="T119" s="849">
        <v>17.02</v>
      </c>
      <c r="U119" s="849">
        <v>0.0</v>
      </c>
      <c r="V119" s="849">
        <v>0.0</v>
      </c>
      <c r="W119" s="849">
        <v>0.0</v>
      </c>
      <c r="X119" s="849">
        <v>0.0</v>
      </c>
      <c r="Y119" s="849">
        <v>0.0</v>
      </c>
      <c r="Z119" s="849">
        <v>0.0</v>
      </c>
      <c r="AA119" s="849">
        <v>0.0</v>
      </c>
      <c r="AB119" s="849">
        <v>0.0</v>
      </c>
      <c r="AC119" s="849">
        <v>0.0</v>
      </c>
      <c r="AD119" s="849">
        <v>0.0</v>
      </c>
      <c r="AE119" s="849">
        <v>0.0</v>
      </c>
      <c r="AF119" s="849">
        <v>0.0</v>
      </c>
      <c r="AG119" s="849">
        <v>0.0</v>
      </c>
      <c r="AH119" s="849">
        <v>0.0</v>
      </c>
      <c r="AI119" s="849">
        <v>0.0</v>
      </c>
      <c r="AJ119" s="794" t="str">
        <f t="shared" ref="AJ119:AK119" si="235">C119</f>
        <v>G0635</v>
      </c>
      <c r="AK119" s="794" t="str">
        <f t="shared" si="235"/>
        <v>COMMERCE ELECTRONIQUE-PUB</v>
      </c>
      <c r="AL119" s="794">
        <f t="array" ref="AL119">IFERROR(INDEX(G119:R119,1,MATCH(Parametres!$B$3,G$1:R$1,0)-1)*IF(OR(F119="L",F119="S",F119="I"),-1,1),"")</f>
        <v>39.6</v>
      </c>
      <c r="AM119" s="794">
        <f t="shared" si="4"/>
        <v>4.95</v>
      </c>
      <c r="AN119" s="794">
        <f t="array" ref="AN119">INDEX(G119:R119,1,MATCH(Parametres!$B$3,G$1:R$1,0))*IF(OR(F119="L",F119="S",F119="I"),-1,1)</f>
        <v>44.55</v>
      </c>
      <c r="AO119" s="853" t="str">
        <f>+VLOOKUP($AJ119,Data_Validation!$A:$D,1,0)</f>
        <v>G0635</v>
      </c>
      <c r="AP119" s="853" t="str">
        <f>+VLOOKUP($AJ119,Data_Validation!$A:$D,3,0)</f>
        <v>Carrosserie</v>
      </c>
      <c r="AQ119" s="853" t="str">
        <f>+VLOOKUP($AJ119,Data_Validation!$A:$D,4,0)</f>
        <v>Publicité 2</v>
      </c>
      <c r="AR119" s="853" t="s">
        <v>728</v>
      </c>
      <c r="AS119" s="853" t="str">
        <f>+VLOOKUP($AJ119,Data_Validation!$A:$E,5,0)</f>
        <v/>
      </c>
      <c r="AT119" s="794" t="str">
        <f t="shared" ref="AT119:AU119" si="236">C119</f>
        <v>G0635</v>
      </c>
      <c r="AU119" s="854" t="str">
        <f t="shared" si="236"/>
        <v>COMMERCE ELECTRONIQUE-PUB</v>
      </c>
      <c r="AV119" s="794">
        <f t="array" ref="AV119">IFERROR(INDEX(V119:AG119,1,MATCH(Parametres!$B$3,V$1:AG$1,0)-1)*IF(OR(C119="L",C119="S",C119="I"),-1,1),"")</f>
        <v>0</v>
      </c>
      <c r="AW119" s="794">
        <f t="shared" si="6"/>
        <v>0</v>
      </c>
      <c r="AX119" s="794">
        <f t="array" ref="AX119">INDEX(V119:AG119,1,MATCH(Parametres!$B$3,V$1:AG$1,0))*IF(OR(C119="L",C119="S",C119="I"),-1,1)</f>
        <v>0</v>
      </c>
      <c r="AY119" s="853" t="s">
        <v>772</v>
      </c>
      <c r="AZ119" s="853" t="str">
        <f>+VLOOKUP($AJ119,Data_Validation!$A:$E,5,0)</f>
        <v/>
      </c>
    </row>
    <row r="120" ht="15.0" customHeight="1">
      <c r="A120" s="849" t="s">
        <v>1239</v>
      </c>
      <c r="B120" s="849">
        <v>2025.0</v>
      </c>
      <c r="C120" s="849" t="s">
        <v>1546</v>
      </c>
      <c r="D120" s="849" t="s">
        <v>1540</v>
      </c>
      <c r="E120" s="849" t="s">
        <v>768</v>
      </c>
      <c r="F120" s="849" t="s">
        <v>1200</v>
      </c>
      <c r="G120" s="849">
        <v>794.65</v>
      </c>
      <c r="H120" s="849">
        <v>1605.94</v>
      </c>
      <c r="I120" s="849">
        <v>2425.55</v>
      </c>
      <c r="J120" s="849">
        <v>3576.83</v>
      </c>
      <c r="K120" s="849">
        <v>4651.44</v>
      </c>
      <c r="L120" s="849">
        <v>5726.05</v>
      </c>
      <c r="M120" s="849">
        <v>6800.66</v>
      </c>
      <c r="N120" s="849">
        <v>7875.27</v>
      </c>
      <c r="O120" s="849">
        <v>9396.56</v>
      </c>
      <c r="P120" s="849">
        <v>10799.75</v>
      </c>
      <c r="Q120" s="849">
        <v>11843.53</v>
      </c>
      <c r="R120" s="849">
        <v>12982.31</v>
      </c>
      <c r="S120" s="849">
        <v>1076.68</v>
      </c>
      <c r="T120" s="849">
        <v>1076.68</v>
      </c>
      <c r="U120" s="849">
        <v>0.0</v>
      </c>
      <c r="V120" s="849">
        <v>0.0</v>
      </c>
      <c r="W120" s="849">
        <v>0.0</v>
      </c>
      <c r="X120" s="849">
        <v>0.0</v>
      </c>
      <c r="Y120" s="849">
        <v>0.0</v>
      </c>
      <c r="Z120" s="849">
        <v>0.0</v>
      </c>
      <c r="AA120" s="849">
        <v>0.0</v>
      </c>
      <c r="AB120" s="849">
        <v>0.0</v>
      </c>
      <c r="AC120" s="849">
        <v>0.0</v>
      </c>
      <c r="AD120" s="849">
        <v>0.0</v>
      </c>
      <c r="AE120" s="849">
        <v>0.0</v>
      </c>
      <c r="AF120" s="849">
        <v>0.0</v>
      </c>
      <c r="AG120" s="849">
        <v>0.0</v>
      </c>
      <c r="AH120" s="849">
        <v>0.0</v>
      </c>
      <c r="AI120" s="849">
        <v>0.0</v>
      </c>
      <c r="AJ120" s="794" t="str">
        <f t="shared" ref="AJ120:AK120" si="237">C120</f>
        <v>G0636</v>
      </c>
      <c r="AK120" s="794" t="str">
        <f t="shared" si="237"/>
        <v>COMMERCE ELECTRONIQUE-PUB</v>
      </c>
      <c r="AL120" s="794">
        <f t="array" ref="AL120">IFERROR(INDEX(G120:R120,1,MATCH(Parametres!$B$3,G$1:R$1,0)-1)*IF(OR(F120="L",F120="S",F120="I"),-1,1),"")</f>
        <v>7875.27</v>
      </c>
      <c r="AM120" s="794">
        <f t="shared" si="4"/>
        <v>1521.29</v>
      </c>
      <c r="AN120" s="794">
        <f t="array" ref="AN120">INDEX(G120:R120,1,MATCH(Parametres!$B$3,G$1:R$1,0))*IF(OR(F120="L",F120="S",F120="I"),-1,1)</f>
        <v>9396.56</v>
      </c>
      <c r="AO120" s="853" t="str">
        <f>+VLOOKUP($AJ120,Data_Validation!$A:$D,1,0)</f>
        <v>G0636</v>
      </c>
      <c r="AP120" s="853" t="str">
        <f>+VLOOKUP($AJ120,Data_Validation!$A:$D,3,0)</f>
        <v>Pièces</v>
      </c>
      <c r="AQ120" s="853" t="str">
        <f>+VLOOKUP($AJ120,Data_Validation!$A:$D,4,0)</f>
        <v>Publicité 2</v>
      </c>
      <c r="AR120" s="853" t="s">
        <v>728</v>
      </c>
      <c r="AS120" s="853" t="str">
        <f>+VLOOKUP($AJ120,Data_Validation!$A:$E,5,0)</f>
        <v/>
      </c>
      <c r="AT120" s="794" t="str">
        <f t="shared" ref="AT120:AU120" si="238">C120</f>
        <v>G0636</v>
      </c>
      <c r="AU120" s="854" t="str">
        <f t="shared" si="238"/>
        <v>COMMERCE ELECTRONIQUE-PUB</v>
      </c>
      <c r="AV120" s="794">
        <f t="array" ref="AV120">IFERROR(INDEX(V120:AG120,1,MATCH(Parametres!$B$3,V$1:AG$1,0)-1)*IF(OR(C120="L",C120="S",C120="I"),-1,1),"")</f>
        <v>0</v>
      </c>
      <c r="AW120" s="794">
        <f t="shared" si="6"/>
        <v>0</v>
      </c>
      <c r="AX120" s="794">
        <f t="array" ref="AX120">INDEX(V120:AG120,1,MATCH(Parametres!$B$3,V$1:AG$1,0))*IF(OR(C120="L",C120="S",C120="I"),-1,1)</f>
        <v>0</v>
      </c>
      <c r="AY120" s="853" t="s">
        <v>772</v>
      </c>
      <c r="AZ120" s="853" t="str">
        <f>+VLOOKUP($AJ120,Data_Validation!$A:$E,5,0)</f>
        <v/>
      </c>
    </row>
    <row r="121" ht="15.0" customHeight="1">
      <c r="A121" s="849" t="s">
        <v>1239</v>
      </c>
      <c r="B121" s="849">
        <v>2025.0</v>
      </c>
      <c r="C121" s="849" t="s">
        <v>1547</v>
      </c>
      <c r="D121" s="849" t="s">
        <v>1548</v>
      </c>
      <c r="E121" s="849" t="s">
        <v>768</v>
      </c>
      <c r="F121" s="849" t="s">
        <v>1200</v>
      </c>
      <c r="G121" s="849">
        <v>0.0</v>
      </c>
      <c r="H121" s="849">
        <v>0.0</v>
      </c>
      <c r="I121" s="849">
        <v>-112035.0</v>
      </c>
      <c r="J121" s="849">
        <v>-112035.0</v>
      </c>
      <c r="K121" s="849">
        <v>-112035.0</v>
      </c>
      <c r="L121" s="849">
        <v>-243328.0</v>
      </c>
      <c r="M121" s="849">
        <v>-243328.0</v>
      </c>
      <c r="N121" s="849">
        <v>-243328.0</v>
      </c>
      <c r="O121" s="849">
        <v>-359484.0</v>
      </c>
      <c r="P121" s="849">
        <v>-359484.0</v>
      </c>
      <c r="Q121" s="849">
        <v>-359484.0</v>
      </c>
      <c r="R121" s="849">
        <v>-507917.45</v>
      </c>
      <c r="S121" s="849">
        <v>-32680.36</v>
      </c>
      <c r="T121" s="849">
        <v>-32680.36</v>
      </c>
      <c r="U121" s="849">
        <v>0.0</v>
      </c>
      <c r="V121" s="849">
        <v>0.0</v>
      </c>
      <c r="W121" s="849">
        <v>0.0</v>
      </c>
      <c r="X121" s="849">
        <v>0.0</v>
      </c>
      <c r="Y121" s="849">
        <v>0.0</v>
      </c>
      <c r="Z121" s="849">
        <v>0.0</v>
      </c>
      <c r="AA121" s="849">
        <v>0.0</v>
      </c>
      <c r="AB121" s="849">
        <v>0.0</v>
      </c>
      <c r="AC121" s="849">
        <v>0.0</v>
      </c>
      <c r="AD121" s="849">
        <v>0.0</v>
      </c>
      <c r="AE121" s="849">
        <v>0.0</v>
      </c>
      <c r="AF121" s="849">
        <v>0.0</v>
      </c>
      <c r="AG121" s="849">
        <v>0.0</v>
      </c>
      <c r="AH121" s="849">
        <v>0.0</v>
      </c>
      <c r="AI121" s="849">
        <v>0.0</v>
      </c>
      <c r="AJ121" s="794" t="str">
        <f t="shared" ref="AJ121:AK121" si="239">C121</f>
        <v>G0641</v>
      </c>
      <c r="AK121" s="794" t="str">
        <f t="shared" si="239"/>
        <v>RISTOURNES DE PUBLICITE</v>
      </c>
      <c r="AL121" s="794">
        <f t="array" ref="AL121">IFERROR(INDEX(G121:R121,1,MATCH(Parametres!$B$3,G$1:R$1,0)-1)*IF(OR(F121="L",F121="S",F121="I"),-1,1),"")</f>
        <v>-243328</v>
      </c>
      <c r="AM121" s="794">
        <f t="shared" si="4"/>
        <v>-116156</v>
      </c>
      <c r="AN121" s="794">
        <f t="array" ref="AN121">INDEX(G121:R121,1,MATCH(Parametres!$B$3,G$1:R$1,0))*IF(OR(F121="L",F121="S",F121="I"),-1,1)</f>
        <v>-359484</v>
      </c>
      <c r="AO121" s="853" t="str">
        <f>+VLOOKUP($AJ121,Data_Validation!$A:$D,1,0)</f>
        <v>G0641</v>
      </c>
      <c r="AP121" s="853" t="str">
        <f>+VLOOKUP($AJ121,Data_Validation!$A:$D,3,0)</f>
        <v>Véhicules neufs</v>
      </c>
      <c r="AQ121" s="853" t="str">
        <f>+VLOOKUP($AJ121,Data_Validation!$A:$D,4,0)</f>
        <v>Publicité 1</v>
      </c>
      <c r="AR121" s="853" t="s">
        <v>728</v>
      </c>
      <c r="AS121" s="853" t="str">
        <f>+VLOOKUP($AJ121,Data_Validation!$A:$E,5,0)</f>
        <v/>
      </c>
      <c r="AT121" s="794" t="str">
        <f t="shared" ref="AT121:AU121" si="240">C121</f>
        <v>G0641</v>
      </c>
      <c r="AU121" s="854" t="str">
        <f t="shared" si="240"/>
        <v>RISTOURNES DE PUBLICITE</v>
      </c>
      <c r="AV121" s="794">
        <f t="array" ref="AV121">IFERROR(INDEX(V121:AG121,1,MATCH(Parametres!$B$3,V$1:AG$1,0)-1)*IF(OR(C121="L",C121="S",C121="I"),-1,1),"")</f>
        <v>0</v>
      </c>
      <c r="AW121" s="794">
        <f t="shared" si="6"/>
        <v>0</v>
      </c>
      <c r="AX121" s="794">
        <f t="array" ref="AX121">INDEX(V121:AG121,1,MATCH(Parametres!$B$3,V$1:AG$1,0))*IF(OR(C121="L",C121="S",C121="I"),-1,1)</f>
        <v>0</v>
      </c>
      <c r="AY121" s="853" t="s">
        <v>772</v>
      </c>
      <c r="AZ121" s="853" t="str">
        <f>+VLOOKUP($AJ121,Data_Validation!$A:$E,5,0)</f>
        <v/>
      </c>
    </row>
    <row r="122" ht="15.0" customHeight="1">
      <c r="A122" s="849" t="s">
        <v>1239</v>
      </c>
      <c r="B122" s="849">
        <v>2025.0</v>
      </c>
      <c r="C122" s="849" t="s">
        <v>1549</v>
      </c>
      <c r="D122" s="849" t="s">
        <v>1548</v>
      </c>
      <c r="E122" s="849" t="s">
        <v>768</v>
      </c>
      <c r="F122" s="849" t="s">
        <v>1200</v>
      </c>
      <c r="G122" s="849">
        <v>0.0</v>
      </c>
      <c r="H122" s="849">
        <v>0.0</v>
      </c>
      <c r="I122" s="849">
        <v>0.0</v>
      </c>
      <c r="J122" s="849">
        <v>0.0</v>
      </c>
      <c r="K122" s="849">
        <v>0.0</v>
      </c>
      <c r="L122" s="849">
        <v>0.0</v>
      </c>
      <c r="M122" s="849">
        <v>0.0</v>
      </c>
      <c r="N122" s="849">
        <v>0.0</v>
      </c>
      <c r="O122" s="849">
        <v>0.0</v>
      </c>
      <c r="P122" s="849">
        <v>0.0</v>
      </c>
      <c r="Q122" s="849">
        <v>0.0</v>
      </c>
      <c r="R122" s="849">
        <v>0.0</v>
      </c>
      <c r="S122" s="849">
        <v>0.0</v>
      </c>
      <c r="T122" s="849">
        <v>0.0</v>
      </c>
      <c r="U122" s="849">
        <v>0.0</v>
      </c>
      <c r="V122" s="849">
        <v>0.0</v>
      </c>
      <c r="W122" s="849">
        <v>0.0</v>
      </c>
      <c r="X122" s="849">
        <v>0.0</v>
      </c>
      <c r="Y122" s="849">
        <v>0.0</v>
      </c>
      <c r="Z122" s="849">
        <v>0.0</v>
      </c>
      <c r="AA122" s="849">
        <v>0.0</v>
      </c>
      <c r="AB122" s="849">
        <v>0.0</v>
      </c>
      <c r="AC122" s="849">
        <v>0.0</v>
      </c>
      <c r="AD122" s="849">
        <v>0.0</v>
      </c>
      <c r="AE122" s="849">
        <v>0.0</v>
      </c>
      <c r="AF122" s="849">
        <v>0.0</v>
      </c>
      <c r="AG122" s="849">
        <v>0.0</v>
      </c>
      <c r="AH122" s="849">
        <v>0.0</v>
      </c>
      <c r="AI122" s="849">
        <v>0.0</v>
      </c>
      <c r="AJ122" s="794" t="str">
        <f t="shared" ref="AJ122:AK122" si="241">C122</f>
        <v>G0642</v>
      </c>
      <c r="AK122" s="794" t="str">
        <f t="shared" si="241"/>
        <v>RISTOURNES DE PUBLICITE</v>
      </c>
      <c r="AL122" s="794">
        <f t="array" ref="AL122">IFERROR(INDEX(G122:R122,1,MATCH(Parametres!$B$3,G$1:R$1,0)-1)*IF(OR(F122="L",F122="S",F122="I"),-1,1),"")</f>
        <v>0</v>
      </c>
      <c r="AM122" s="794">
        <f t="shared" si="4"/>
        <v>0</v>
      </c>
      <c r="AN122" s="794">
        <f t="array" ref="AN122">INDEX(G122:R122,1,MATCH(Parametres!$B$3,G$1:R$1,0))*IF(OR(F122="L",F122="S",F122="I"),-1,1)</f>
        <v>0</v>
      </c>
      <c r="AO122" s="853" t="str">
        <f>+VLOOKUP($AJ122,Data_Validation!$A:$D,1,0)</f>
        <v>G0642</v>
      </c>
      <c r="AP122" s="853" t="str">
        <f>+VLOOKUP($AJ122,Data_Validation!$A:$D,3,0)</f>
        <v>Véhicules usagés</v>
      </c>
      <c r="AQ122" s="853" t="str">
        <f>+VLOOKUP($AJ122,Data_Validation!$A:$D,4,0)</f>
        <v>Publicité 1</v>
      </c>
      <c r="AR122" s="853" t="s">
        <v>728</v>
      </c>
      <c r="AS122" s="853" t="str">
        <f>+VLOOKUP($AJ122,Data_Validation!$A:$E,5,0)</f>
        <v/>
      </c>
      <c r="AT122" s="794" t="str">
        <f t="shared" ref="AT122:AU122" si="242">C122</f>
        <v>G0642</v>
      </c>
      <c r="AU122" s="854" t="str">
        <f t="shared" si="242"/>
        <v>RISTOURNES DE PUBLICITE</v>
      </c>
      <c r="AV122" s="794">
        <f t="array" ref="AV122">IFERROR(INDEX(V122:AG122,1,MATCH(Parametres!$B$3,V$1:AG$1,0)-1)*IF(OR(C122="L",C122="S",C122="I"),-1,1),"")</f>
        <v>0</v>
      </c>
      <c r="AW122" s="794">
        <f t="shared" si="6"/>
        <v>0</v>
      </c>
      <c r="AX122" s="794">
        <f t="array" ref="AX122">INDEX(V122:AG122,1,MATCH(Parametres!$B$3,V$1:AG$1,0))*IF(OR(C122="L",C122="S",C122="I"),-1,1)</f>
        <v>0</v>
      </c>
      <c r="AY122" s="853" t="s">
        <v>772</v>
      </c>
      <c r="AZ122" s="853" t="str">
        <f>+VLOOKUP($AJ122,Data_Validation!$A:$E,5,0)</f>
        <v/>
      </c>
    </row>
    <row r="123" ht="15.75" customHeight="1">
      <c r="A123" s="849" t="s">
        <v>1239</v>
      </c>
      <c r="B123" s="849">
        <v>2025.0</v>
      </c>
      <c r="C123" s="849" t="s">
        <v>1550</v>
      </c>
      <c r="D123" s="849" t="s">
        <v>1548</v>
      </c>
      <c r="E123" s="849" t="s">
        <v>768</v>
      </c>
      <c r="F123" s="849" t="s">
        <v>1200</v>
      </c>
      <c r="G123" s="849">
        <v>0.0</v>
      </c>
      <c r="H123" s="849">
        <v>0.0</v>
      </c>
      <c r="I123" s="849">
        <v>0.0</v>
      </c>
      <c r="J123" s="849">
        <v>0.0</v>
      </c>
      <c r="K123" s="849">
        <v>0.0</v>
      </c>
      <c r="L123" s="849">
        <v>0.0</v>
      </c>
      <c r="M123" s="849">
        <v>0.0</v>
      </c>
      <c r="N123" s="849">
        <v>0.0</v>
      </c>
      <c r="O123" s="849">
        <v>0.0</v>
      </c>
      <c r="P123" s="849">
        <v>0.0</v>
      </c>
      <c r="Q123" s="849">
        <v>0.0</v>
      </c>
      <c r="R123" s="849">
        <v>0.0</v>
      </c>
      <c r="S123" s="849">
        <v>0.0</v>
      </c>
      <c r="T123" s="849">
        <v>0.0</v>
      </c>
      <c r="U123" s="849">
        <v>0.0</v>
      </c>
      <c r="V123" s="849">
        <v>0.0</v>
      </c>
      <c r="W123" s="849">
        <v>0.0</v>
      </c>
      <c r="X123" s="849">
        <v>0.0</v>
      </c>
      <c r="Y123" s="849">
        <v>0.0</v>
      </c>
      <c r="Z123" s="849">
        <v>0.0</v>
      </c>
      <c r="AA123" s="849">
        <v>0.0</v>
      </c>
      <c r="AB123" s="849">
        <v>0.0</v>
      </c>
      <c r="AC123" s="849">
        <v>0.0</v>
      </c>
      <c r="AD123" s="849">
        <v>0.0</v>
      </c>
      <c r="AE123" s="849">
        <v>0.0</v>
      </c>
      <c r="AF123" s="849">
        <v>0.0</v>
      </c>
      <c r="AG123" s="849">
        <v>0.0</v>
      </c>
      <c r="AH123" s="849">
        <v>0.0</v>
      </c>
      <c r="AI123" s="849">
        <v>0.0</v>
      </c>
      <c r="AJ123" s="794" t="str">
        <f t="shared" ref="AJ123:AK123" si="243">C123</f>
        <v>G0644</v>
      </c>
      <c r="AK123" s="794" t="str">
        <f t="shared" si="243"/>
        <v>RISTOURNES DE PUBLICITE</v>
      </c>
      <c r="AL123" s="794">
        <f t="array" ref="AL123">IFERROR(INDEX(G123:R123,1,MATCH(Parametres!$B$3,G$1:R$1,0)-1)*IF(OR(F123="L",F123="S",F123="I"),-1,1),"")</f>
        <v>0</v>
      </c>
      <c r="AM123" s="794">
        <f t="shared" si="4"/>
        <v>0</v>
      </c>
      <c r="AN123" s="794">
        <f t="array" ref="AN123">INDEX(G123:R123,1,MATCH(Parametres!$B$3,G$1:R$1,0))*IF(OR(F123="L",F123="S",F123="I"),-1,1)</f>
        <v>0</v>
      </c>
      <c r="AO123" s="853" t="str">
        <f>+VLOOKUP($AJ123,Data_Validation!$A:$D,1,0)</f>
        <v>G0644</v>
      </c>
      <c r="AP123" s="853" t="str">
        <f>+VLOOKUP($AJ123,Data_Validation!$A:$D,3,0)</f>
        <v>Service</v>
      </c>
      <c r="AQ123" s="853" t="str">
        <f>+VLOOKUP($AJ123,Data_Validation!$A:$D,4,0)</f>
        <v>Publicité 2</v>
      </c>
      <c r="AR123" s="853" t="s">
        <v>728</v>
      </c>
      <c r="AS123" s="853" t="str">
        <f>+VLOOKUP($AJ123,Data_Validation!$A:$E,5,0)</f>
        <v/>
      </c>
      <c r="AT123" s="794" t="str">
        <f t="shared" ref="AT123:AU123" si="244">C123</f>
        <v>G0644</v>
      </c>
      <c r="AU123" s="854" t="str">
        <f t="shared" si="244"/>
        <v>RISTOURNES DE PUBLICITE</v>
      </c>
      <c r="AV123" s="794">
        <f t="array" ref="AV123">IFERROR(INDEX(V123:AG123,1,MATCH(Parametres!$B$3,V$1:AG$1,0)-1)*IF(OR(C123="L",C123="S",C123="I"),-1,1),"")</f>
        <v>0</v>
      </c>
      <c r="AW123" s="794">
        <f t="shared" si="6"/>
        <v>0</v>
      </c>
      <c r="AX123" s="794">
        <f t="array" ref="AX123">INDEX(V123:AG123,1,MATCH(Parametres!$B$3,V$1:AG$1,0))*IF(OR(C123="L",C123="S",C123="I"),-1,1)</f>
        <v>0</v>
      </c>
      <c r="AY123" s="853" t="s">
        <v>772</v>
      </c>
      <c r="AZ123" s="853" t="str">
        <f>+VLOOKUP($AJ123,Data_Validation!$A:$E,5,0)</f>
        <v/>
      </c>
    </row>
    <row r="124" ht="15.0" customHeight="1">
      <c r="A124" s="849" t="s">
        <v>1239</v>
      </c>
      <c r="B124" s="849">
        <v>2025.0</v>
      </c>
      <c r="C124" s="849" t="s">
        <v>1551</v>
      </c>
      <c r="D124" s="849" t="s">
        <v>1552</v>
      </c>
      <c r="E124" s="849" t="s">
        <v>768</v>
      </c>
      <c r="F124" s="849" t="s">
        <v>1200</v>
      </c>
      <c r="G124" s="849">
        <v>0.0</v>
      </c>
      <c r="H124" s="849">
        <v>0.0</v>
      </c>
      <c r="I124" s="849">
        <v>0.0</v>
      </c>
      <c r="J124" s="849">
        <v>0.0</v>
      </c>
      <c r="K124" s="849">
        <v>0.0</v>
      </c>
      <c r="L124" s="849">
        <v>0.0</v>
      </c>
      <c r="M124" s="849">
        <v>0.0</v>
      </c>
      <c r="N124" s="849">
        <v>0.0</v>
      </c>
      <c r="O124" s="849">
        <v>0.0</v>
      </c>
      <c r="P124" s="849">
        <v>0.0</v>
      </c>
      <c r="Q124" s="849">
        <v>0.0</v>
      </c>
      <c r="R124" s="849">
        <v>0.0</v>
      </c>
      <c r="S124" s="849">
        <v>0.0</v>
      </c>
      <c r="T124" s="849">
        <v>0.0</v>
      </c>
      <c r="U124" s="849">
        <v>0.0</v>
      </c>
      <c r="V124" s="849">
        <v>0.0</v>
      </c>
      <c r="W124" s="849">
        <v>0.0</v>
      </c>
      <c r="X124" s="849">
        <v>0.0</v>
      </c>
      <c r="Y124" s="849">
        <v>0.0</v>
      </c>
      <c r="Z124" s="849">
        <v>0.0</v>
      </c>
      <c r="AA124" s="849">
        <v>0.0</v>
      </c>
      <c r="AB124" s="849">
        <v>0.0</v>
      </c>
      <c r="AC124" s="849">
        <v>0.0</v>
      </c>
      <c r="AD124" s="849">
        <v>0.0</v>
      </c>
      <c r="AE124" s="849">
        <v>0.0</v>
      </c>
      <c r="AF124" s="849">
        <v>0.0</v>
      </c>
      <c r="AG124" s="849">
        <v>0.0</v>
      </c>
      <c r="AH124" s="849">
        <v>0.0</v>
      </c>
      <c r="AI124" s="849">
        <v>0.0</v>
      </c>
      <c r="AJ124" s="794" t="str">
        <f t="shared" ref="AJ124:AK124" si="245">C124</f>
        <v>G0645</v>
      </c>
      <c r="AK124" s="794" t="str">
        <f t="shared" si="245"/>
        <v>RABAIS PUBLICITE-SERVIC</v>
      </c>
      <c r="AL124" s="794">
        <f t="array" ref="AL124">IFERROR(INDEX(G124:R124,1,MATCH(Parametres!$B$3,G$1:R$1,0)-1)*IF(OR(F124="L",F124="S",F124="I"),-1,1),"")</f>
        <v>0</v>
      </c>
      <c r="AM124" s="794">
        <f t="shared" si="4"/>
        <v>0</v>
      </c>
      <c r="AN124" s="794">
        <f t="array" ref="AN124">INDEX(G124:R124,1,MATCH(Parametres!$B$3,G$1:R$1,0))*IF(OR(F124="L",F124="S",F124="I"),-1,1)</f>
        <v>0</v>
      </c>
      <c r="AO124" s="853" t="str">
        <f>+VLOOKUP($AJ124,Data_Validation!$A:$D,1,0)</f>
        <v>G0645</v>
      </c>
      <c r="AP124" s="853" t="str">
        <f>+VLOOKUP($AJ124,Data_Validation!$A:$D,3,0)</f>
        <v>Carrosserie</v>
      </c>
      <c r="AQ124" s="853" t="str">
        <f>+VLOOKUP($AJ124,Data_Validation!$A:$D,4,0)</f>
        <v>Publicité 2</v>
      </c>
      <c r="AR124" s="853" t="s">
        <v>728</v>
      </c>
      <c r="AS124" s="853" t="str">
        <f>+VLOOKUP($AJ124,Data_Validation!$A:$E,5,0)</f>
        <v/>
      </c>
      <c r="AT124" s="794" t="str">
        <f t="shared" ref="AT124:AU124" si="246">C124</f>
        <v>G0645</v>
      </c>
      <c r="AU124" s="854" t="str">
        <f t="shared" si="246"/>
        <v>RABAIS PUBLICITE-SERVIC</v>
      </c>
      <c r="AV124" s="794">
        <f t="array" ref="AV124">IFERROR(INDEX(V124:AG124,1,MATCH(Parametres!$B$3,V$1:AG$1,0)-1)*IF(OR(C124="L",C124="S",C124="I"),-1,1),"")</f>
        <v>0</v>
      </c>
      <c r="AW124" s="794">
        <f t="shared" si="6"/>
        <v>0</v>
      </c>
      <c r="AX124" s="794">
        <f t="array" ref="AX124">INDEX(V124:AG124,1,MATCH(Parametres!$B$3,V$1:AG$1,0))*IF(OR(C124="L",C124="S",C124="I"),-1,1)</f>
        <v>0</v>
      </c>
      <c r="AY124" s="853" t="s">
        <v>772</v>
      </c>
      <c r="AZ124" s="853" t="str">
        <f>+VLOOKUP($AJ124,Data_Validation!$A:$E,5,0)</f>
        <v/>
      </c>
    </row>
    <row r="125" ht="15.0" customHeight="1">
      <c r="A125" s="849" t="s">
        <v>1239</v>
      </c>
      <c r="B125" s="849">
        <v>2025.0</v>
      </c>
      <c r="C125" s="849" t="s">
        <v>1553</v>
      </c>
      <c r="D125" s="849" t="s">
        <v>1548</v>
      </c>
      <c r="E125" s="849" t="s">
        <v>768</v>
      </c>
      <c r="F125" s="849" t="s">
        <v>1200</v>
      </c>
      <c r="G125" s="849">
        <v>0.0</v>
      </c>
      <c r="H125" s="849">
        <v>0.0</v>
      </c>
      <c r="I125" s="849">
        <v>0.0</v>
      </c>
      <c r="J125" s="849">
        <v>0.0</v>
      </c>
      <c r="K125" s="849">
        <v>0.0</v>
      </c>
      <c r="L125" s="849">
        <v>0.0</v>
      </c>
      <c r="M125" s="849">
        <v>0.0</v>
      </c>
      <c r="N125" s="849">
        <v>0.0</v>
      </c>
      <c r="O125" s="849">
        <v>0.0</v>
      </c>
      <c r="P125" s="849">
        <v>0.0</v>
      </c>
      <c r="Q125" s="849">
        <v>0.0</v>
      </c>
      <c r="R125" s="849">
        <v>0.0</v>
      </c>
      <c r="S125" s="849">
        <v>0.0</v>
      </c>
      <c r="T125" s="849">
        <v>0.0</v>
      </c>
      <c r="U125" s="849">
        <v>0.0</v>
      </c>
      <c r="V125" s="849">
        <v>0.0</v>
      </c>
      <c r="W125" s="849">
        <v>0.0</v>
      </c>
      <c r="X125" s="849">
        <v>0.0</v>
      </c>
      <c r="Y125" s="849">
        <v>0.0</v>
      </c>
      <c r="Z125" s="849">
        <v>0.0</v>
      </c>
      <c r="AA125" s="849">
        <v>0.0</v>
      </c>
      <c r="AB125" s="849">
        <v>0.0</v>
      </c>
      <c r="AC125" s="849">
        <v>0.0</v>
      </c>
      <c r="AD125" s="849">
        <v>0.0</v>
      </c>
      <c r="AE125" s="849">
        <v>0.0</v>
      </c>
      <c r="AF125" s="849">
        <v>0.0</v>
      </c>
      <c r="AG125" s="849">
        <v>0.0</v>
      </c>
      <c r="AH125" s="849">
        <v>0.0</v>
      </c>
      <c r="AI125" s="849">
        <v>0.0</v>
      </c>
      <c r="AJ125" s="794" t="str">
        <f t="shared" ref="AJ125:AK125" si="247">C125</f>
        <v>G0646</v>
      </c>
      <c r="AK125" s="794" t="str">
        <f t="shared" si="247"/>
        <v>RISTOURNES DE PUBLICITE</v>
      </c>
      <c r="AL125" s="794">
        <f t="array" ref="AL125">IFERROR(INDEX(G125:R125,1,MATCH(Parametres!$B$3,G$1:R$1,0)-1)*IF(OR(F125="L",F125="S",F125="I"),-1,1),"")</f>
        <v>0</v>
      </c>
      <c r="AM125" s="794">
        <f t="shared" si="4"/>
        <v>0</v>
      </c>
      <c r="AN125" s="794">
        <f t="array" ref="AN125">INDEX(G125:R125,1,MATCH(Parametres!$B$3,G$1:R$1,0))*IF(OR(F125="L",F125="S",F125="I"),-1,1)</f>
        <v>0</v>
      </c>
      <c r="AO125" s="853" t="str">
        <f>+VLOOKUP($AJ125,Data_Validation!$A:$D,1,0)</f>
        <v>G0646</v>
      </c>
      <c r="AP125" s="853" t="str">
        <f>+VLOOKUP($AJ125,Data_Validation!$A:$D,3,0)</f>
        <v>Pièces</v>
      </c>
      <c r="AQ125" s="853" t="str">
        <f>+VLOOKUP($AJ125,Data_Validation!$A:$D,4,0)</f>
        <v>Publicité 2</v>
      </c>
      <c r="AR125" s="853" t="s">
        <v>728</v>
      </c>
      <c r="AS125" s="853" t="str">
        <f>+VLOOKUP($AJ125,Data_Validation!$A:$E,5,0)</f>
        <v/>
      </c>
      <c r="AT125" s="794" t="str">
        <f t="shared" ref="AT125:AU125" si="248">C125</f>
        <v>G0646</v>
      </c>
      <c r="AU125" s="854" t="str">
        <f t="shared" si="248"/>
        <v>RISTOURNES DE PUBLICITE</v>
      </c>
      <c r="AV125" s="794">
        <f t="array" ref="AV125">IFERROR(INDEX(V125:AG125,1,MATCH(Parametres!$B$3,V$1:AG$1,0)-1)*IF(OR(C125="L",C125="S",C125="I"),-1,1),"")</f>
        <v>0</v>
      </c>
      <c r="AW125" s="794">
        <f t="shared" si="6"/>
        <v>0</v>
      </c>
      <c r="AX125" s="794">
        <f t="array" ref="AX125">INDEX(V125:AG125,1,MATCH(Parametres!$B$3,V$1:AG$1,0))*IF(OR(C125="L",C125="S",C125="I"),-1,1)</f>
        <v>0</v>
      </c>
      <c r="AY125" s="853" t="s">
        <v>772</v>
      </c>
      <c r="AZ125" s="853" t="str">
        <f>+VLOOKUP($AJ125,Data_Validation!$A:$E,5,0)</f>
        <v/>
      </c>
    </row>
    <row r="126" ht="15.0" customHeight="1">
      <c r="A126" s="849" t="s">
        <v>1239</v>
      </c>
      <c r="B126" s="849">
        <v>2025.0</v>
      </c>
      <c r="C126" s="849" t="s">
        <v>1554</v>
      </c>
      <c r="D126" s="849" t="s">
        <v>1555</v>
      </c>
      <c r="E126" s="849" t="s">
        <v>768</v>
      </c>
      <c r="F126" s="849" t="s">
        <v>1200</v>
      </c>
      <c r="G126" s="849">
        <v>0.0</v>
      </c>
      <c r="H126" s="849">
        <v>0.0</v>
      </c>
      <c r="I126" s="849">
        <v>0.0</v>
      </c>
      <c r="J126" s="849">
        <v>0.0</v>
      </c>
      <c r="K126" s="849">
        <v>0.0</v>
      </c>
      <c r="L126" s="849">
        <v>0.0</v>
      </c>
      <c r="M126" s="849">
        <v>0.0</v>
      </c>
      <c r="N126" s="849">
        <v>0.0</v>
      </c>
      <c r="O126" s="849">
        <v>0.0</v>
      </c>
      <c r="P126" s="849">
        <v>0.0</v>
      </c>
      <c r="Q126" s="849">
        <v>0.0</v>
      </c>
      <c r="R126" s="849">
        <v>0.0</v>
      </c>
      <c r="S126" s="849">
        <v>0.0</v>
      </c>
      <c r="T126" s="849">
        <v>0.0</v>
      </c>
      <c r="U126" s="849">
        <v>0.0</v>
      </c>
      <c r="V126" s="849">
        <v>0.0</v>
      </c>
      <c r="W126" s="849">
        <v>0.0</v>
      </c>
      <c r="X126" s="849">
        <v>0.0</v>
      </c>
      <c r="Y126" s="849">
        <v>0.0</v>
      </c>
      <c r="Z126" s="849">
        <v>0.0</v>
      </c>
      <c r="AA126" s="849">
        <v>0.0</v>
      </c>
      <c r="AB126" s="849">
        <v>0.0</v>
      </c>
      <c r="AC126" s="849">
        <v>0.0</v>
      </c>
      <c r="AD126" s="849">
        <v>0.0</v>
      </c>
      <c r="AE126" s="849">
        <v>0.0</v>
      </c>
      <c r="AF126" s="849">
        <v>0.0</v>
      </c>
      <c r="AG126" s="849">
        <v>0.0</v>
      </c>
      <c r="AH126" s="849">
        <v>0.0</v>
      </c>
      <c r="AI126" s="849">
        <v>0.0</v>
      </c>
      <c r="AJ126" s="794" t="str">
        <f t="shared" ref="AJ126:AK126" si="249">C126</f>
        <v>G0647</v>
      </c>
      <c r="AK126" s="794" t="str">
        <f t="shared" si="249"/>
        <v>RABAIS PUBLICITE-PIECE</v>
      </c>
      <c r="AL126" s="794">
        <f t="array" ref="AL126">IFERROR(INDEX(G126:R126,1,MATCH(Parametres!$B$3,G$1:R$1,0)-1)*IF(OR(F126="L",F126="S",F126="I"),-1,1),"")</f>
        <v>0</v>
      </c>
      <c r="AM126" s="794">
        <f t="shared" si="4"/>
        <v>0</v>
      </c>
      <c r="AN126" s="794">
        <f t="array" ref="AN126">INDEX(G126:R126,1,MATCH(Parametres!$B$3,G$1:R$1,0))*IF(OR(F126="L",F126="S",F126="I"),-1,1)</f>
        <v>0</v>
      </c>
      <c r="AO126" s="853" t="str">
        <f>+VLOOKUP($AJ126,Data_Validation!$A:$D,1,0)</f>
        <v>G0647</v>
      </c>
      <c r="AP126" s="853" t="str">
        <f>+VLOOKUP($AJ126,Data_Validation!$A:$D,3,0)</f>
        <v>SAAQ</v>
      </c>
      <c r="AQ126" s="853" t="str">
        <f>+VLOOKUP($AJ126,Data_Validation!$A:$D,4,0)</f>
        <v>Publicité 2</v>
      </c>
      <c r="AR126" s="853" t="s">
        <v>728</v>
      </c>
      <c r="AS126" s="853" t="str">
        <f>+VLOOKUP($AJ126,Data_Validation!$A:$E,5,0)</f>
        <v/>
      </c>
      <c r="AT126" s="794" t="str">
        <f t="shared" ref="AT126:AU126" si="250">C126</f>
        <v>G0647</v>
      </c>
      <c r="AU126" s="854" t="str">
        <f t="shared" si="250"/>
        <v>RABAIS PUBLICITE-PIECE</v>
      </c>
      <c r="AV126" s="794">
        <f t="array" ref="AV126">IFERROR(INDEX(V126:AG126,1,MATCH(Parametres!$B$3,V$1:AG$1,0)-1)*IF(OR(C126="L",C126="S",C126="I"),-1,1),"")</f>
        <v>0</v>
      </c>
      <c r="AW126" s="794">
        <f t="shared" si="6"/>
        <v>0</v>
      </c>
      <c r="AX126" s="794">
        <f t="array" ref="AX126">INDEX(V126:AG126,1,MATCH(Parametres!$B$3,V$1:AG$1,0))*IF(OR(C126="L",C126="S",C126="I"),-1,1)</f>
        <v>0</v>
      </c>
      <c r="AY126" s="853" t="s">
        <v>772</v>
      </c>
      <c r="AZ126" s="853" t="str">
        <f>+VLOOKUP($AJ126,Data_Validation!$A:$E,5,0)</f>
        <v/>
      </c>
    </row>
    <row r="127" ht="15.0" customHeight="1">
      <c r="A127" s="849" t="s">
        <v>1239</v>
      </c>
      <c r="B127" s="849">
        <v>2025.0</v>
      </c>
      <c r="C127" s="849" t="s">
        <v>1556</v>
      </c>
      <c r="D127" s="849" t="s">
        <v>1557</v>
      </c>
      <c r="E127" s="849" t="s">
        <v>768</v>
      </c>
      <c r="F127" s="849" t="s">
        <v>1200</v>
      </c>
      <c r="G127" s="849">
        <v>0.0</v>
      </c>
      <c r="H127" s="849">
        <v>0.0</v>
      </c>
      <c r="I127" s="849">
        <v>0.0</v>
      </c>
      <c r="J127" s="849">
        <v>0.0</v>
      </c>
      <c r="K127" s="849">
        <v>0.0</v>
      </c>
      <c r="L127" s="849">
        <v>0.0</v>
      </c>
      <c r="M127" s="849">
        <v>0.0</v>
      </c>
      <c r="N127" s="849">
        <v>0.0</v>
      </c>
      <c r="O127" s="849">
        <v>0.0</v>
      </c>
      <c r="P127" s="849">
        <v>0.0</v>
      </c>
      <c r="Q127" s="849">
        <v>0.0</v>
      </c>
      <c r="R127" s="849">
        <v>0.0</v>
      </c>
      <c r="S127" s="849">
        <v>0.0</v>
      </c>
      <c r="T127" s="849">
        <v>0.0</v>
      </c>
      <c r="U127" s="849">
        <v>0.0</v>
      </c>
      <c r="V127" s="849">
        <v>0.0</v>
      </c>
      <c r="W127" s="849">
        <v>0.0</v>
      </c>
      <c r="X127" s="849">
        <v>0.0</v>
      </c>
      <c r="Y127" s="849">
        <v>0.0</v>
      </c>
      <c r="Z127" s="849">
        <v>0.0</v>
      </c>
      <c r="AA127" s="849">
        <v>0.0</v>
      </c>
      <c r="AB127" s="849">
        <v>0.0</v>
      </c>
      <c r="AC127" s="849">
        <v>0.0</v>
      </c>
      <c r="AD127" s="849">
        <v>0.0</v>
      </c>
      <c r="AE127" s="849">
        <v>0.0</v>
      </c>
      <c r="AF127" s="849">
        <v>0.0</v>
      </c>
      <c r="AG127" s="849">
        <v>0.0</v>
      </c>
      <c r="AH127" s="849">
        <v>0.0</v>
      </c>
      <c r="AI127" s="849">
        <v>0.0</v>
      </c>
      <c r="AJ127" s="794" t="str">
        <f t="shared" ref="AJ127:AK127" si="251">C127</f>
        <v>G0649</v>
      </c>
      <c r="AK127" s="794" t="str">
        <f t="shared" si="251"/>
        <v>RABAIS PUBLICITE-ADMIN</v>
      </c>
      <c r="AL127" s="794">
        <f t="array" ref="AL127">IFERROR(INDEX(G127:R127,1,MATCH(Parametres!$B$3,G$1:R$1,0)-1)*IF(OR(F127="L",F127="S",F127="I"),-1,1),"")</f>
        <v>0</v>
      </c>
      <c r="AM127" s="794">
        <f t="shared" si="4"/>
        <v>0</v>
      </c>
      <c r="AN127" s="794">
        <f t="array" ref="AN127">INDEX(G127:R127,1,MATCH(Parametres!$B$3,G$1:R$1,0))*IF(OR(F127="L",F127="S",F127="I"),-1,1)</f>
        <v>0</v>
      </c>
      <c r="AO127" s="853" t="str">
        <f>+VLOOKUP($AJ127,Data_Validation!$A:$D,1,0)</f>
        <v>#N/A</v>
      </c>
      <c r="AP127" s="853" t="str">
        <f>+VLOOKUP($AJ127,Data_Validation!$A:$D,3,0)</f>
        <v>#N/A</v>
      </c>
      <c r="AQ127" s="853" t="str">
        <f>+VLOOKUP($AJ127,Data_Validation!$A:$D,4,0)</f>
        <v>#N/A</v>
      </c>
      <c r="AR127" s="853" t="s">
        <v>728</v>
      </c>
      <c r="AS127" s="853" t="str">
        <f>+VLOOKUP($AJ127,Data_Validation!$A:$E,5,0)</f>
        <v>#N/A</v>
      </c>
      <c r="AT127" s="794" t="str">
        <f t="shared" ref="AT127:AU127" si="252">C127</f>
        <v>G0649</v>
      </c>
      <c r="AU127" s="854" t="str">
        <f t="shared" si="252"/>
        <v>RABAIS PUBLICITE-ADMIN</v>
      </c>
      <c r="AV127" s="794">
        <f t="array" ref="AV127">IFERROR(INDEX(V127:AG127,1,MATCH(Parametres!$B$3,V$1:AG$1,0)-1)*IF(OR(C127="L",C127="S",C127="I"),-1,1),"")</f>
        <v>0</v>
      </c>
      <c r="AW127" s="794">
        <f t="shared" si="6"/>
        <v>0</v>
      </c>
      <c r="AX127" s="794">
        <f t="array" ref="AX127">INDEX(V127:AG127,1,MATCH(Parametres!$B$3,V$1:AG$1,0))*IF(OR(C127="L",C127="S",C127="I"),-1,1)</f>
        <v>0</v>
      </c>
      <c r="AY127" s="853" t="s">
        <v>772</v>
      </c>
      <c r="AZ127" s="853" t="str">
        <f>+VLOOKUP($AJ127,Data_Validation!$A:$E,5,0)</f>
        <v>#N/A</v>
      </c>
    </row>
    <row r="128" ht="15.0" customHeight="1">
      <c r="A128" s="849" t="s">
        <v>1239</v>
      </c>
      <c r="B128" s="849">
        <v>2025.0</v>
      </c>
      <c r="C128" s="849" t="s">
        <v>1558</v>
      </c>
      <c r="D128" s="849" t="s">
        <v>3503</v>
      </c>
      <c r="E128" s="849" t="s">
        <v>768</v>
      </c>
      <c r="F128" s="849" t="s">
        <v>1200</v>
      </c>
      <c r="G128" s="849">
        <v>0.0</v>
      </c>
      <c r="H128" s="849">
        <v>0.0</v>
      </c>
      <c r="I128" s="849">
        <v>0.0</v>
      </c>
      <c r="J128" s="849">
        <v>0.0</v>
      </c>
      <c r="K128" s="849">
        <v>0.0</v>
      </c>
      <c r="L128" s="849">
        <v>0.0</v>
      </c>
      <c r="M128" s="849">
        <v>0.0</v>
      </c>
      <c r="N128" s="849">
        <v>0.0</v>
      </c>
      <c r="O128" s="849">
        <v>0.0</v>
      </c>
      <c r="P128" s="849">
        <v>0.0</v>
      </c>
      <c r="Q128" s="849">
        <v>0.0</v>
      </c>
      <c r="R128" s="849">
        <v>0.0</v>
      </c>
      <c r="S128" s="849">
        <v>0.0</v>
      </c>
      <c r="T128" s="849">
        <v>0.0</v>
      </c>
      <c r="U128" s="849">
        <v>0.0</v>
      </c>
      <c r="V128" s="849">
        <v>0.0</v>
      </c>
      <c r="W128" s="849">
        <v>0.0</v>
      </c>
      <c r="X128" s="849">
        <v>0.0</v>
      </c>
      <c r="Y128" s="849">
        <v>0.0</v>
      </c>
      <c r="Z128" s="849">
        <v>0.0</v>
      </c>
      <c r="AA128" s="849">
        <v>0.0</v>
      </c>
      <c r="AB128" s="849">
        <v>0.0</v>
      </c>
      <c r="AC128" s="849">
        <v>0.0</v>
      </c>
      <c r="AD128" s="849">
        <v>0.0</v>
      </c>
      <c r="AE128" s="849">
        <v>0.0</v>
      </c>
      <c r="AF128" s="849">
        <v>0.0</v>
      </c>
      <c r="AG128" s="849">
        <v>0.0</v>
      </c>
      <c r="AH128" s="849">
        <v>0.0</v>
      </c>
      <c r="AI128" s="849">
        <v>0.0</v>
      </c>
      <c r="AJ128" s="794" t="str">
        <f t="shared" ref="AJ128:AK128" si="253">C128</f>
        <v>G0650</v>
      </c>
      <c r="AK128" s="794" t="str">
        <f t="shared" si="253"/>
        <v>PUBLICITE REP.</v>
      </c>
      <c r="AL128" s="794">
        <f t="array" ref="AL128">IFERROR(INDEX(G128:R128,1,MATCH(Parametres!$B$3,G$1:R$1,0)-1)*IF(OR(F128="L",F128="S",F128="I"),-1,1),"")</f>
        <v>0</v>
      </c>
      <c r="AM128" s="794">
        <f t="shared" si="4"/>
        <v>0</v>
      </c>
      <c r="AN128" s="794">
        <f t="array" ref="AN128">INDEX(G128:R128,1,MATCH(Parametres!$B$3,G$1:R$1,0))*IF(OR(F128="L",F128="S",F128="I"),-1,1)</f>
        <v>0</v>
      </c>
      <c r="AO128" s="853" t="str">
        <f>+VLOOKUP($AJ128,Data_Validation!$A:$D,1,0)</f>
        <v>#N/A</v>
      </c>
      <c r="AP128" s="853" t="str">
        <f>+VLOOKUP($AJ128,Data_Validation!$A:$D,3,0)</f>
        <v>#N/A</v>
      </c>
      <c r="AQ128" s="853" t="str">
        <f>+VLOOKUP($AJ128,Data_Validation!$A:$D,4,0)</f>
        <v>#N/A</v>
      </c>
      <c r="AR128" s="853" t="s">
        <v>728</v>
      </c>
      <c r="AS128" s="853" t="str">
        <f>+VLOOKUP($AJ128,Data_Validation!$A:$E,5,0)</f>
        <v>#N/A</v>
      </c>
      <c r="AT128" s="794" t="str">
        <f t="shared" ref="AT128:AU128" si="254">C128</f>
        <v>G0650</v>
      </c>
      <c r="AU128" s="854" t="str">
        <f t="shared" si="254"/>
        <v>PUBLICITE REP.</v>
      </c>
      <c r="AV128" s="794">
        <f t="array" ref="AV128">IFERROR(INDEX(V128:AG128,1,MATCH(Parametres!$B$3,V$1:AG$1,0)-1)*IF(OR(C128="L",C128="S",C128="I"),-1,1),"")</f>
        <v>0</v>
      </c>
      <c r="AW128" s="794">
        <f t="shared" si="6"/>
        <v>0</v>
      </c>
      <c r="AX128" s="794">
        <f t="array" ref="AX128">INDEX(V128:AG128,1,MATCH(Parametres!$B$3,V$1:AG$1,0))*IF(OR(C128="L",C128="S",C128="I"),-1,1)</f>
        <v>0</v>
      </c>
      <c r="AY128" s="853" t="s">
        <v>772</v>
      </c>
      <c r="AZ128" s="853" t="str">
        <f>+VLOOKUP($AJ128,Data_Validation!$A:$E,5,0)</f>
        <v>#N/A</v>
      </c>
    </row>
    <row r="129" ht="15.0" customHeight="1">
      <c r="A129" s="849" t="s">
        <v>1239</v>
      </c>
      <c r="B129" s="849">
        <v>2025.0</v>
      </c>
      <c r="C129" s="849" t="s">
        <v>1560</v>
      </c>
      <c r="D129" s="849" t="s">
        <v>1561</v>
      </c>
      <c r="E129" s="849" t="s">
        <v>768</v>
      </c>
      <c r="F129" s="849" t="s">
        <v>1200</v>
      </c>
      <c r="G129" s="849">
        <v>1220.8</v>
      </c>
      <c r="H129" s="849">
        <v>13385.63</v>
      </c>
      <c r="I129" s="849">
        <v>22358.36</v>
      </c>
      <c r="J129" s="849">
        <v>31701.49</v>
      </c>
      <c r="K129" s="849">
        <v>43377.25</v>
      </c>
      <c r="L129" s="849">
        <v>55644.93</v>
      </c>
      <c r="M129" s="849">
        <v>73093.94</v>
      </c>
      <c r="N129" s="849">
        <v>86692.71</v>
      </c>
      <c r="O129" s="849">
        <v>102244.94</v>
      </c>
      <c r="P129" s="849">
        <v>119700.11</v>
      </c>
      <c r="Q129" s="849">
        <v>128444.76</v>
      </c>
      <c r="R129" s="849">
        <v>137675.11</v>
      </c>
      <c r="S129" s="849">
        <v>11676.8</v>
      </c>
      <c r="T129" s="849">
        <v>11676.8</v>
      </c>
      <c r="U129" s="849">
        <v>0.0</v>
      </c>
      <c r="V129" s="849">
        <v>0.0</v>
      </c>
      <c r="W129" s="849">
        <v>0.0</v>
      </c>
      <c r="X129" s="849">
        <v>0.0</v>
      </c>
      <c r="Y129" s="849">
        <v>0.0</v>
      </c>
      <c r="Z129" s="849">
        <v>0.0</v>
      </c>
      <c r="AA129" s="849">
        <v>0.0</v>
      </c>
      <c r="AB129" s="849">
        <v>0.0</v>
      </c>
      <c r="AC129" s="849">
        <v>0.0</v>
      </c>
      <c r="AD129" s="849">
        <v>0.0</v>
      </c>
      <c r="AE129" s="849">
        <v>0.0</v>
      </c>
      <c r="AF129" s="849">
        <v>0.0</v>
      </c>
      <c r="AG129" s="849">
        <v>0.0</v>
      </c>
      <c r="AH129" s="849">
        <v>0.0</v>
      </c>
      <c r="AI129" s="849">
        <v>0.0</v>
      </c>
      <c r="AJ129" s="794" t="str">
        <f t="shared" ref="AJ129:AK129" si="255">C129</f>
        <v>G0651</v>
      </c>
      <c r="AK129" s="794" t="str">
        <f t="shared" si="255"/>
        <v>PUBLICITE-NEUFS</v>
      </c>
      <c r="AL129" s="794">
        <f t="array" ref="AL129">IFERROR(INDEX(G129:R129,1,MATCH(Parametres!$B$3,G$1:R$1,0)-1)*IF(OR(F129="L",F129="S",F129="I"),-1,1),"")</f>
        <v>86692.71</v>
      </c>
      <c r="AM129" s="794">
        <f t="shared" si="4"/>
        <v>15552.23</v>
      </c>
      <c r="AN129" s="794">
        <f t="array" ref="AN129">INDEX(G129:R129,1,MATCH(Parametres!$B$3,G$1:R$1,0))*IF(OR(F129="L",F129="S",F129="I"),-1,1)</f>
        <v>102244.94</v>
      </c>
      <c r="AO129" s="853" t="str">
        <f>+VLOOKUP($AJ129,Data_Validation!$A:$D,1,0)</f>
        <v>G0651</v>
      </c>
      <c r="AP129" s="853" t="str">
        <f>+VLOOKUP($AJ129,Data_Validation!$A:$D,3,0)</f>
        <v>Véhicules neufs</v>
      </c>
      <c r="AQ129" s="853" t="str">
        <f>+VLOOKUP($AJ129,Data_Validation!$A:$D,4,0)</f>
        <v>Publicité 1</v>
      </c>
      <c r="AR129" s="853" t="s">
        <v>728</v>
      </c>
      <c r="AS129" s="853" t="str">
        <f>+VLOOKUP($AJ129,Data_Validation!$A:$E,5,0)</f>
        <v/>
      </c>
      <c r="AT129" s="794" t="str">
        <f t="shared" ref="AT129:AU129" si="256">C129</f>
        <v>G0651</v>
      </c>
      <c r="AU129" s="854" t="str">
        <f t="shared" si="256"/>
        <v>PUBLICITE-NEUFS</v>
      </c>
      <c r="AV129" s="794">
        <f t="array" ref="AV129">IFERROR(INDEX(V129:AG129,1,MATCH(Parametres!$B$3,V$1:AG$1,0)-1)*IF(OR(C129="L",C129="S",C129="I"),-1,1),"")</f>
        <v>0</v>
      </c>
      <c r="AW129" s="794">
        <f t="shared" si="6"/>
        <v>0</v>
      </c>
      <c r="AX129" s="794">
        <f t="array" ref="AX129">INDEX(V129:AG129,1,MATCH(Parametres!$B$3,V$1:AG$1,0))*IF(OR(C129="L",C129="S",C129="I"),-1,1)</f>
        <v>0</v>
      </c>
      <c r="AY129" s="853" t="s">
        <v>772</v>
      </c>
      <c r="AZ129" s="853" t="str">
        <f>+VLOOKUP($AJ129,Data_Validation!$A:$E,5,0)</f>
        <v/>
      </c>
    </row>
    <row r="130" ht="15.0" customHeight="1">
      <c r="A130" s="849" t="s">
        <v>1239</v>
      </c>
      <c r="B130" s="849">
        <v>2025.0</v>
      </c>
      <c r="C130" s="849" t="s">
        <v>1562</v>
      </c>
      <c r="D130" s="849" t="s">
        <v>1563</v>
      </c>
      <c r="E130" s="849" t="s">
        <v>768</v>
      </c>
      <c r="F130" s="849" t="s">
        <v>1200</v>
      </c>
      <c r="G130" s="849">
        <v>7204.37</v>
      </c>
      <c r="H130" s="849">
        <v>12879.87</v>
      </c>
      <c r="I130" s="849">
        <v>17977.5</v>
      </c>
      <c r="J130" s="849">
        <v>21125.73</v>
      </c>
      <c r="K130" s="849">
        <v>21009.66</v>
      </c>
      <c r="L130" s="849">
        <v>23352.81</v>
      </c>
      <c r="M130" s="849">
        <v>26089.62</v>
      </c>
      <c r="N130" s="849">
        <v>29452.97</v>
      </c>
      <c r="O130" s="849">
        <v>38313.11</v>
      </c>
      <c r="P130" s="849">
        <v>42765.71</v>
      </c>
      <c r="Q130" s="849">
        <v>46311.11</v>
      </c>
      <c r="R130" s="849">
        <v>55828.98</v>
      </c>
      <c r="S130" s="849">
        <v>4210.1</v>
      </c>
      <c r="T130" s="849">
        <v>4210.1</v>
      </c>
      <c r="U130" s="849">
        <v>0.0</v>
      </c>
      <c r="V130" s="849">
        <v>0.0</v>
      </c>
      <c r="W130" s="849">
        <v>0.0</v>
      </c>
      <c r="X130" s="849">
        <v>0.0</v>
      </c>
      <c r="Y130" s="849">
        <v>0.0</v>
      </c>
      <c r="Z130" s="849">
        <v>0.0</v>
      </c>
      <c r="AA130" s="849">
        <v>0.0</v>
      </c>
      <c r="AB130" s="849">
        <v>0.0</v>
      </c>
      <c r="AC130" s="849">
        <v>0.0</v>
      </c>
      <c r="AD130" s="849">
        <v>0.0</v>
      </c>
      <c r="AE130" s="849">
        <v>0.0</v>
      </c>
      <c r="AF130" s="849">
        <v>0.0</v>
      </c>
      <c r="AG130" s="849">
        <v>0.0</v>
      </c>
      <c r="AH130" s="849">
        <v>0.0</v>
      </c>
      <c r="AI130" s="849">
        <v>0.0</v>
      </c>
      <c r="AJ130" s="794" t="str">
        <f t="shared" ref="AJ130:AK130" si="257">C130</f>
        <v>G0652</v>
      </c>
      <c r="AK130" s="794" t="str">
        <f t="shared" si="257"/>
        <v>PUBLICITE-USAGE</v>
      </c>
      <c r="AL130" s="794">
        <f t="array" ref="AL130">IFERROR(INDEX(G130:R130,1,MATCH(Parametres!$B$3,G$1:R$1,0)-1)*IF(OR(F130="L",F130="S",F130="I"),-1,1),"")</f>
        <v>29452.97</v>
      </c>
      <c r="AM130" s="794">
        <f t="shared" si="4"/>
        <v>8860.14</v>
      </c>
      <c r="AN130" s="794">
        <f t="array" ref="AN130">INDEX(G130:R130,1,MATCH(Parametres!$B$3,G$1:R$1,0))*IF(OR(F130="L",F130="S",F130="I"),-1,1)</f>
        <v>38313.11</v>
      </c>
      <c r="AO130" s="853" t="str">
        <f>+VLOOKUP($AJ130,Data_Validation!$A:$D,1,0)</f>
        <v>G0652</v>
      </c>
      <c r="AP130" s="853" t="str">
        <f>+VLOOKUP($AJ130,Data_Validation!$A:$D,3,0)</f>
        <v>Véhicules usagés</v>
      </c>
      <c r="AQ130" s="853" t="str">
        <f>+VLOOKUP($AJ130,Data_Validation!$A:$D,4,0)</f>
        <v>Publicité 1</v>
      </c>
      <c r="AR130" s="853" t="s">
        <v>728</v>
      </c>
      <c r="AS130" s="853" t="str">
        <f>+VLOOKUP($AJ130,Data_Validation!$A:$E,5,0)</f>
        <v/>
      </c>
      <c r="AT130" s="794" t="str">
        <f t="shared" ref="AT130:AU130" si="258">C130</f>
        <v>G0652</v>
      </c>
      <c r="AU130" s="854" t="str">
        <f t="shared" si="258"/>
        <v>PUBLICITE-USAGE</v>
      </c>
      <c r="AV130" s="794">
        <f t="array" ref="AV130">IFERROR(INDEX(V130:AG130,1,MATCH(Parametres!$B$3,V$1:AG$1,0)-1)*IF(OR(C130="L",C130="S",C130="I"),-1,1),"")</f>
        <v>0</v>
      </c>
      <c r="AW130" s="794">
        <f t="shared" si="6"/>
        <v>0</v>
      </c>
      <c r="AX130" s="794">
        <f t="array" ref="AX130">INDEX(V130:AG130,1,MATCH(Parametres!$B$3,V$1:AG$1,0))*IF(OR(C130="L",C130="S",C130="I"),-1,1)</f>
        <v>0</v>
      </c>
      <c r="AY130" s="853" t="s">
        <v>772</v>
      </c>
      <c r="AZ130" s="853" t="str">
        <f>+VLOOKUP($AJ130,Data_Validation!$A:$E,5,0)</f>
        <v/>
      </c>
    </row>
    <row r="131" ht="15.75" customHeight="1">
      <c r="A131" s="849" t="s">
        <v>1239</v>
      </c>
      <c r="B131" s="849">
        <v>2025.0</v>
      </c>
      <c r="C131" s="849" t="s">
        <v>1564</v>
      </c>
      <c r="D131" s="849" t="s">
        <v>1565</v>
      </c>
      <c r="E131" s="849" t="s">
        <v>768</v>
      </c>
      <c r="F131" s="849" t="s">
        <v>1200</v>
      </c>
      <c r="G131" s="849">
        <v>0.0</v>
      </c>
      <c r="H131" s="849">
        <v>0.0</v>
      </c>
      <c r="I131" s="849">
        <v>0.0</v>
      </c>
      <c r="J131" s="849">
        <v>0.0</v>
      </c>
      <c r="K131" s="849">
        <v>0.0</v>
      </c>
      <c r="L131" s="849">
        <v>0.0</v>
      </c>
      <c r="M131" s="849">
        <v>0.0</v>
      </c>
      <c r="N131" s="849">
        <v>0.0</v>
      </c>
      <c r="O131" s="849">
        <v>0.0</v>
      </c>
      <c r="P131" s="849">
        <v>0.0</v>
      </c>
      <c r="Q131" s="849">
        <v>0.0</v>
      </c>
      <c r="R131" s="849">
        <v>0.0</v>
      </c>
      <c r="S131" s="849">
        <v>0.0</v>
      </c>
      <c r="T131" s="849">
        <v>0.0</v>
      </c>
      <c r="U131" s="849">
        <v>0.0</v>
      </c>
      <c r="V131" s="849">
        <v>0.0</v>
      </c>
      <c r="W131" s="849">
        <v>0.0</v>
      </c>
      <c r="X131" s="849">
        <v>0.0</v>
      </c>
      <c r="Y131" s="849">
        <v>0.0</v>
      </c>
      <c r="Z131" s="849">
        <v>0.0</v>
      </c>
      <c r="AA131" s="849">
        <v>0.0</v>
      </c>
      <c r="AB131" s="849">
        <v>0.0</v>
      </c>
      <c r="AC131" s="849">
        <v>0.0</v>
      </c>
      <c r="AD131" s="849">
        <v>0.0</v>
      </c>
      <c r="AE131" s="849">
        <v>0.0</v>
      </c>
      <c r="AF131" s="849">
        <v>0.0</v>
      </c>
      <c r="AG131" s="849">
        <v>0.0</v>
      </c>
      <c r="AH131" s="849">
        <v>0.0</v>
      </c>
      <c r="AI131" s="849">
        <v>0.0</v>
      </c>
      <c r="AJ131" s="794" t="str">
        <f t="shared" ref="AJ131:AK131" si="259">C131</f>
        <v>G0653</v>
      </c>
      <c r="AK131" s="794" t="str">
        <f t="shared" si="259"/>
        <v>PUBLICITE U.S.A</v>
      </c>
      <c r="AL131" s="794">
        <f t="array" ref="AL131">IFERROR(INDEX(G131:R131,1,MATCH(Parametres!$B$3,G$1:R$1,0)-1)*IF(OR(F131="L",F131="S",F131="I"),-1,1),"")</f>
        <v>0</v>
      </c>
      <c r="AM131" s="794">
        <f t="shared" si="4"/>
        <v>0</v>
      </c>
      <c r="AN131" s="794">
        <f t="array" ref="AN131">INDEX(G131:R131,1,MATCH(Parametres!$B$3,G$1:R$1,0))*IF(OR(F131="L",F131="S",F131="I"),-1,1)</f>
        <v>0</v>
      </c>
      <c r="AO131" s="853" t="str">
        <f>+VLOOKUP($AJ131,Data_Validation!$A:$D,1,0)</f>
        <v>G0653</v>
      </c>
      <c r="AP131" s="853" t="str">
        <f>+VLOOKUP($AJ131,Data_Validation!$A:$D,3,0)</f>
        <v>Wholesale autres</v>
      </c>
      <c r="AQ131" s="853" t="str">
        <f>+VLOOKUP($AJ131,Data_Validation!$A:$D,4,0)</f>
        <v>Publicité 1</v>
      </c>
      <c r="AR131" s="853" t="s">
        <v>728</v>
      </c>
      <c r="AS131" s="853" t="str">
        <f>+VLOOKUP($AJ131,Data_Validation!$A:$E,5,0)</f>
        <v/>
      </c>
      <c r="AT131" s="794" t="str">
        <f t="shared" ref="AT131:AU131" si="260">C131</f>
        <v>G0653</v>
      </c>
      <c r="AU131" s="854" t="str">
        <f t="shared" si="260"/>
        <v>PUBLICITE U.S.A</v>
      </c>
      <c r="AV131" s="794">
        <f t="array" ref="AV131">IFERROR(INDEX(V131:AG131,1,MATCH(Parametres!$B$3,V$1:AG$1,0)-1)*IF(OR(C131="L",C131="S",C131="I"),-1,1),"")</f>
        <v>0</v>
      </c>
      <c r="AW131" s="794">
        <f t="shared" si="6"/>
        <v>0</v>
      </c>
      <c r="AX131" s="794">
        <f t="array" ref="AX131">INDEX(V131:AG131,1,MATCH(Parametres!$B$3,V$1:AG$1,0))*IF(OR(C131="L",C131="S",C131="I"),-1,1)</f>
        <v>0</v>
      </c>
      <c r="AY131" s="853" t="s">
        <v>772</v>
      </c>
      <c r="AZ131" s="853" t="str">
        <f>+VLOOKUP($AJ131,Data_Validation!$A:$E,5,0)</f>
        <v/>
      </c>
    </row>
    <row r="132" ht="15.0" customHeight="1">
      <c r="A132" s="849" t="s">
        <v>1239</v>
      </c>
      <c r="B132" s="849">
        <v>2025.0</v>
      </c>
      <c r="C132" s="849" t="s">
        <v>1566</v>
      </c>
      <c r="D132" s="849" t="s">
        <v>1567</v>
      </c>
      <c r="E132" s="849" t="s">
        <v>768</v>
      </c>
      <c r="F132" s="849" t="s">
        <v>1200</v>
      </c>
      <c r="G132" s="849">
        <v>515.5</v>
      </c>
      <c r="H132" s="849">
        <v>2687.3</v>
      </c>
      <c r="I132" s="849">
        <v>5332.3</v>
      </c>
      <c r="J132" s="849">
        <v>6934.54</v>
      </c>
      <c r="K132" s="849">
        <v>7767.48</v>
      </c>
      <c r="L132" s="849">
        <v>7319.25</v>
      </c>
      <c r="M132" s="849">
        <v>7433.35</v>
      </c>
      <c r="N132" s="849">
        <v>7499.35</v>
      </c>
      <c r="O132" s="849">
        <v>8609.26</v>
      </c>
      <c r="P132" s="849">
        <v>8911.44</v>
      </c>
      <c r="Q132" s="849">
        <v>9157.07</v>
      </c>
      <c r="R132" s="849">
        <v>11205.0</v>
      </c>
      <c r="S132" s="849">
        <v>832.46</v>
      </c>
      <c r="T132" s="849">
        <v>832.46</v>
      </c>
      <c r="U132" s="849">
        <v>0.0</v>
      </c>
      <c r="V132" s="849">
        <v>0.0</v>
      </c>
      <c r="W132" s="849">
        <v>0.0</v>
      </c>
      <c r="X132" s="849">
        <v>0.0</v>
      </c>
      <c r="Y132" s="849">
        <v>0.0</v>
      </c>
      <c r="Z132" s="849">
        <v>0.0</v>
      </c>
      <c r="AA132" s="849">
        <v>0.0</v>
      </c>
      <c r="AB132" s="849">
        <v>0.0</v>
      </c>
      <c r="AC132" s="849">
        <v>0.0</v>
      </c>
      <c r="AD132" s="849">
        <v>0.0</v>
      </c>
      <c r="AE132" s="849">
        <v>0.0</v>
      </c>
      <c r="AF132" s="849">
        <v>0.0</v>
      </c>
      <c r="AG132" s="849">
        <v>0.0</v>
      </c>
      <c r="AH132" s="849">
        <v>0.0</v>
      </c>
      <c r="AI132" s="849">
        <v>0.0</v>
      </c>
      <c r="AJ132" s="794" t="str">
        <f t="shared" ref="AJ132:AK132" si="261">C132</f>
        <v>G0654</v>
      </c>
      <c r="AK132" s="794" t="str">
        <f t="shared" si="261"/>
        <v>PUBLICITE-SERVICE</v>
      </c>
      <c r="AL132" s="794">
        <f t="array" ref="AL132">IFERROR(INDEX(G132:R132,1,MATCH(Parametres!$B$3,G$1:R$1,0)-1)*IF(OR(F132="L",F132="S",F132="I"),-1,1),"")</f>
        <v>7499.35</v>
      </c>
      <c r="AM132" s="794">
        <f t="shared" si="4"/>
        <v>1109.91</v>
      </c>
      <c r="AN132" s="794">
        <f t="array" ref="AN132">INDEX(G132:R132,1,MATCH(Parametres!$B$3,G$1:R$1,0))*IF(OR(F132="L",F132="S",F132="I"),-1,1)</f>
        <v>8609.26</v>
      </c>
      <c r="AO132" s="853" t="str">
        <f>+VLOOKUP($AJ132,Data_Validation!$A:$D,1,0)</f>
        <v>G0654</v>
      </c>
      <c r="AP132" s="853" t="str">
        <f>+VLOOKUP($AJ132,Data_Validation!$A:$D,3,0)</f>
        <v>Service</v>
      </c>
      <c r="AQ132" s="853" t="str">
        <f>+VLOOKUP($AJ132,Data_Validation!$A:$D,4,0)</f>
        <v>Publicité 2</v>
      </c>
      <c r="AR132" s="853" t="s">
        <v>728</v>
      </c>
      <c r="AS132" s="853" t="str">
        <f>+VLOOKUP($AJ132,Data_Validation!$A:$E,5,0)</f>
        <v/>
      </c>
      <c r="AT132" s="794" t="str">
        <f t="shared" ref="AT132:AU132" si="262">C132</f>
        <v>G0654</v>
      </c>
      <c r="AU132" s="854" t="str">
        <f t="shared" si="262"/>
        <v>PUBLICITE-SERVICE</v>
      </c>
      <c r="AV132" s="794">
        <f t="array" ref="AV132">IFERROR(INDEX(V132:AG132,1,MATCH(Parametres!$B$3,V$1:AG$1,0)-1)*IF(OR(C132="L",C132="S",C132="I"),-1,1),"")</f>
        <v>0</v>
      </c>
      <c r="AW132" s="794">
        <f t="shared" si="6"/>
        <v>0</v>
      </c>
      <c r="AX132" s="794">
        <f t="array" ref="AX132">INDEX(V132:AG132,1,MATCH(Parametres!$B$3,V$1:AG$1,0))*IF(OR(C132="L",C132="S",C132="I"),-1,1)</f>
        <v>0</v>
      </c>
      <c r="AY132" s="853" t="s">
        <v>772</v>
      </c>
      <c r="AZ132" s="853" t="str">
        <f>+VLOOKUP($AJ132,Data_Validation!$A:$E,5,0)</f>
        <v/>
      </c>
    </row>
    <row r="133" ht="15.0" customHeight="1">
      <c r="A133" s="849" t="s">
        <v>1239</v>
      </c>
      <c r="B133" s="849">
        <v>2025.0</v>
      </c>
      <c r="C133" s="849" t="s">
        <v>1568</v>
      </c>
      <c r="D133" s="849" t="s">
        <v>1569</v>
      </c>
      <c r="E133" s="849" t="s">
        <v>768</v>
      </c>
      <c r="F133" s="849" t="s">
        <v>1200</v>
      </c>
      <c r="G133" s="849">
        <v>42.75</v>
      </c>
      <c r="H133" s="849">
        <v>665.5</v>
      </c>
      <c r="I133" s="849">
        <v>1410.07</v>
      </c>
      <c r="J133" s="849">
        <v>1644.18</v>
      </c>
      <c r="K133" s="849">
        <v>1854.89</v>
      </c>
      <c r="L133" s="849">
        <v>1645.55</v>
      </c>
      <c r="M133" s="849">
        <v>1628.96</v>
      </c>
      <c r="N133" s="849">
        <v>2579.96</v>
      </c>
      <c r="O133" s="849">
        <v>3841.1</v>
      </c>
      <c r="P133" s="849">
        <v>6292.1</v>
      </c>
      <c r="Q133" s="849">
        <v>6689.1</v>
      </c>
      <c r="R133" s="849">
        <v>9584.73</v>
      </c>
      <c r="S133" s="849">
        <v>608.1</v>
      </c>
      <c r="T133" s="849">
        <v>608.1</v>
      </c>
      <c r="U133" s="849">
        <v>0.0</v>
      </c>
      <c r="V133" s="849">
        <v>0.0</v>
      </c>
      <c r="W133" s="849">
        <v>0.0</v>
      </c>
      <c r="X133" s="849">
        <v>0.0</v>
      </c>
      <c r="Y133" s="849">
        <v>0.0</v>
      </c>
      <c r="Z133" s="849">
        <v>0.0</v>
      </c>
      <c r="AA133" s="849">
        <v>0.0</v>
      </c>
      <c r="AB133" s="849">
        <v>0.0</v>
      </c>
      <c r="AC133" s="849">
        <v>0.0</v>
      </c>
      <c r="AD133" s="849">
        <v>0.0</v>
      </c>
      <c r="AE133" s="849">
        <v>0.0</v>
      </c>
      <c r="AF133" s="849">
        <v>0.0</v>
      </c>
      <c r="AG133" s="849">
        <v>0.0</v>
      </c>
      <c r="AH133" s="849">
        <v>0.0</v>
      </c>
      <c r="AI133" s="849">
        <v>0.0</v>
      </c>
      <c r="AJ133" s="794" t="str">
        <f t="shared" ref="AJ133:AK133" si="263">C133</f>
        <v>G0655</v>
      </c>
      <c r="AK133" s="794" t="str">
        <f t="shared" si="263"/>
        <v>PUBLICITE-CARROSSERIE</v>
      </c>
      <c r="AL133" s="794">
        <f t="array" ref="AL133">IFERROR(INDEX(G133:R133,1,MATCH(Parametres!$B$3,G$1:R$1,0)-1)*IF(OR(F133="L",F133="S",F133="I"),-1,1),"")</f>
        <v>2579.96</v>
      </c>
      <c r="AM133" s="794">
        <f t="shared" si="4"/>
        <v>1261.14</v>
      </c>
      <c r="AN133" s="794">
        <f t="array" ref="AN133">INDEX(G133:R133,1,MATCH(Parametres!$B$3,G$1:R$1,0))*IF(OR(F133="L",F133="S",F133="I"),-1,1)</f>
        <v>3841.1</v>
      </c>
      <c r="AO133" s="853" t="str">
        <f>+VLOOKUP($AJ133,Data_Validation!$A:$D,1,0)</f>
        <v>G0655</v>
      </c>
      <c r="AP133" s="853" t="str">
        <f>+VLOOKUP($AJ133,Data_Validation!$A:$D,3,0)</f>
        <v>Carrosserie</v>
      </c>
      <c r="AQ133" s="853" t="str">
        <f>+VLOOKUP($AJ133,Data_Validation!$A:$D,4,0)</f>
        <v>Publicité 2</v>
      </c>
      <c r="AR133" s="853" t="s">
        <v>728</v>
      </c>
      <c r="AS133" s="853" t="str">
        <f>+VLOOKUP($AJ133,Data_Validation!$A:$E,5,0)</f>
        <v/>
      </c>
      <c r="AT133" s="794" t="str">
        <f t="shared" ref="AT133:AU133" si="264">C133</f>
        <v>G0655</v>
      </c>
      <c r="AU133" s="854" t="str">
        <f t="shared" si="264"/>
        <v>PUBLICITE-CARROSSERIE</v>
      </c>
      <c r="AV133" s="794">
        <f t="array" ref="AV133">IFERROR(INDEX(V133:AG133,1,MATCH(Parametres!$B$3,V$1:AG$1,0)-1)*IF(OR(C133="L",C133="S",C133="I"),-1,1),"")</f>
        <v>0</v>
      </c>
      <c r="AW133" s="794">
        <f t="shared" si="6"/>
        <v>0</v>
      </c>
      <c r="AX133" s="794">
        <f t="array" ref="AX133">INDEX(V133:AG133,1,MATCH(Parametres!$B$3,V$1:AG$1,0))*IF(OR(C133="L",C133="S",C133="I"),-1,1)</f>
        <v>0</v>
      </c>
      <c r="AY133" s="853" t="s">
        <v>772</v>
      </c>
      <c r="AZ133" s="853" t="str">
        <f>+VLOOKUP($AJ133,Data_Validation!$A:$E,5,0)</f>
        <v/>
      </c>
    </row>
    <row r="134" ht="15.0" customHeight="1">
      <c r="A134" s="849" t="s">
        <v>1239</v>
      </c>
      <c r="B134" s="849">
        <v>2025.0</v>
      </c>
      <c r="C134" s="849" t="s">
        <v>1570</v>
      </c>
      <c r="D134" s="849" t="s">
        <v>1571</v>
      </c>
      <c r="E134" s="849" t="s">
        <v>768</v>
      </c>
      <c r="F134" s="849" t="s">
        <v>1200</v>
      </c>
      <c r="G134" s="849">
        <v>42.74</v>
      </c>
      <c r="H134" s="849">
        <v>665.48</v>
      </c>
      <c r="I134" s="849">
        <v>1410.01</v>
      </c>
      <c r="J134" s="849">
        <v>1644.11</v>
      </c>
      <c r="K134" s="849">
        <v>1854.81</v>
      </c>
      <c r="L134" s="849">
        <v>1645.47</v>
      </c>
      <c r="M134" s="849">
        <v>1628.88</v>
      </c>
      <c r="N134" s="849">
        <v>1498.88</v>
      </c>
      <c r="O134" s="849">
        <v>1752.02</v>
      </c>
      <c r="P134" s="849">
        <v>1693.16</v>
      </c>
      <c r="Q134" s="849">
        <v>1593.16</v>
      </c>
      <c r="R134" s="849">
        <v>1833.77</v>
      </c>
      <c r="S134" s="849">
        <v>144.83</v>
      </c>
      <c r="T134" s="849">
        <v>144.83</v>
      </c>
      <c r="U134" s="849">
        <v>0.0</v>
      </c>
      <c r="V134" s="849">
        <v>0.0</v>
      </c>
      <c r="W134" s="849">
        <v>0.0</v>
      </c>
      <c r="X134" s="849">
        <v>0.0</v>
      </c>
      <c r="Y134" s="849">
        <v>0.0</v>
      </c>
      <c r="Z134" s="849">
        <v>0.0</v>
      </c>
      <c r="AA134" s="849">
        <v>0.0</v>
      </c>
      <c r="AB134" s="849">
        <v>0.0</v>
      </c>
      <c r="AC134" s="849">
        <v>0.0</v>
      </c>
      <c r="AD134" s="849">
        <v>0.0</v>
      </c>
      <c r="AE134" s="849">
        <v>0.0</v>
      </c>
      <c r="AF134" s="849">
        <v>0.0</v>
      </c>
      <c r="AG134" s="849">
        <v>0.0</v>
      </c>
      <c r="AH134" s="849">
        <v>0.0</v>
      </c>
      <c r="AI134" s="849">
        <v>0.0</v>
      </c>
      <c r="AJ134" s="794" t="str">
        <f t="shared" ref="AJ134:AK134" si="265">C134</f>
        <v>G0656</v>
      </c>
      <c r="AK134" s="794" t="str">
        <f t="shared" si="265"/>
        <v>PUBLICITE-PIECES</v>
      </c>
      <c r="AL134" s="794">
        <f t="array" ref="AL134">IFERROR(INDEX(G134:R134,1,MATCH(Parametres!$B$3,G$1:R$1,0)-1)*IF(OR(F134="L",F134="S",F134="I"),-1,1),"")</f>
        <v>1498.88</v>
      </c>
      <c r="AM134" s="794">
        <f t="shared" si="4"/>
        <v>253.14</v>
      </c>
      <c r="AN134" s="794">
        <f t="array" ref="AN134">INDEX(G134:R134,1,MATCH(Parametres!$B$3,G$1:R$1,0))*IF(OR(F134="L",F134="S",F134="I"),-1,1)</f>
        <v>1752.02</v>
      </c>
      <c r="AO134" s="853" t="str">
        <f>+VLOOKUP($AJ134,Data_Validation!$A:$D,1,0)</f>
        <v>G0656</v>
      </c>
      <c r="AP134" s="853" t="str">
        <f>+VLOOKUP($AJ134,Data_Validation!$A:$D,3,0)</f>
        <v>Pièces</v>
      </c>
      <c r="AQ134" s="853" t="str">
        <f>+VLOOKUP($AJ134,Data_Validation!$A:$D,4,0)</f>
        <v>Publicité 2</v>
      </c>
      <c r="AR134" s="853" t="s">
        <v>728</v>
      </c>
      <c r="AS134" s="853" t="str">
        <f>+VLOOKUP($AJ134,Data_Validation!$A:$E,5,0)</f>
        <v/>
      </c>
      <c r="AT134" s="794" t="str">
        <f t="shared" ref="AT134:AU134" si="266">C134</f>
        <v>G0656</v>
      </c>
      <c r="AU134" s="854" t="str">
        <f t="shared" si="266"/>
        <v>PUBLICITE-PIECES</v>
      </c>
      <c r="AV134" s="794">
        <f t="array" ref="AV134">IFERROR(INDEX(V134:AG134,1,MATCH(Parametres!$B$3,V$1:AG$1,0)-1)*IF(OR(C134="L",C134="S",C134="I"),-1,1),"")</f>
        <v>0</v>
      </c>
      <c r="AW134" s="794">
        <f t="shared" si="6"/>
        <v>0</v>
      </c>
      <c r="AX134" s="794">
        <f t="array" ref="AX134">INDEX(V134:AG134,1,MATCH(Parametres!$B$3,V$1:AG$1,0))*IF(OR(C134="L",C134="S",C134="I"),-1,1)</f>
        <v>0</v>
      </c>
      <c r="AY134" s="853" t="s">
        <v>772</v>
      </c>
      <c r="AZ134" s="853" t="str">
        <f>+VLOOKUP($AJ134,Data_Validation!$A:$E,5,0)</f>
        <v/>
      </c>
    </row>
    <row r="135" ht="15.75" customHeight="1">
      <c r="A135" s="849" t="s">
        <v>1239</v>
      </c>
      <c r="B135" s="849">
        <v>2025.0</v>
      </c>
      <c r="C135" s="849" t="s">
        <v>1572</v>
      </c>
      <c r="D135" s="849" t="s">
        <v>1573</v>
      </c>
      <c r="E135" s="849" t="s">
        <v>768</v>
      </c>
      <c r="F135" s="849" t="s">
        <v>1200</v>
      </c>
      <c r="G135" s="849">
        <v>0.0</v>
      </c>
      <c r="H135" s="849">
        <v>0.0</v>
      </c>
      <c r="I135" s="849">
        <v>0.0</v>
      </c>
      <c r="J135" s="849">
        <v>0.0</v>
      </c>
      <c r="K135" s="849">
        <v>0.0</v>
      </c>
      <c r="L135" s="849">
        <v>0.0</v>
      </c>
      <c r="M135" s="849">
        <v>0.0</v>
      </c>
      <c r="N135" s="849">
        <v>0.0</v>
      </c>
      <c r="O135" s="849">
        <v>0.0</v>
      </c>
      <c r="P135" s="849">
        <v>0.0</v>
      </c>
      <c r="Q135" s="849">
        <v>0.0</v>
      </c>
      <c r="R135" s="849">
        <v>0.0</v>
      </c>
      <c r="S135" s="849">
        <v>0.0</v>
      </c>
      <c r="T135" s="849">
        <v>0.0</v>
      </c>
      <c r="U135" s="849">
        <v>0.0</v>
      </c>
      <c r="V135" s="849">
        <v>0.0</v>
      </c>
      <c r="W135" s="849">
        <v>0.0</v>
      </c>
      <c r="X135" s="849">
        <v>0.0</v>
      </c>
      <c r="Y135" s="849">
        <v>0.0</v>
      </c>
      <c r="Z135" s="849">
        <v>0.0</v>
      </c>
      <c r="AA135" s="849">
        <v>0.0</v>
      </c>
      <c r="AB135" s="849">
        <v>0.0</v>
      </c>
      <c r="AC135" s="849">
        <v>0.0</v>
      </c>
      <c r="AD135" s="849">
        <v>0.0</v>
      </c>
      <c r="AE135" s="849">
        <v>0.0</v>
      </c>
      <c r="AF135" s="849">
        <v>0.0</v>
      </c>
      <c r="AG135" s="849">
        <v>0.0</v>
      </c>
      <c r="AH135" s="849">
        <v>0.0</v>
      </c>
      <c r="AI135" s="849">
        <v>0.0</v>
      </c>
      <c r="AJ135" s="794" t="str">
        <f t="shared" ref="AJ135:AK135" si="267">C135</f>
        <v>G0660</v>
      </c>
      <c r="AK135" s="794" t="str">
        <f t="shared" si="267"/>
        <v>CONTRIBUTION - DONS</v>
      </c>
      <c r="AL135" s="794">
        <f t="array" ref="AL135">IFERROR(INDEX(G135:R135,1,MATCH(Parametres!$B$3,G$1:R$1,0)-1)*IF(OR(F135="L",F135="S",F135="I"),-1,1),"")</f>
        <v>0</v>
      </c>
      <c r="AM135" s="794">
        <f t="shared" si="4"/>
        <v>0</v>
      </c>
      <c r="AN135" s="794">
        <f t="array" ref="AN135">INDEX(G135:R135,1,MATCH(Parametres!$B$3,G$1:R$1,0))*IF(OR(F135="L",F135="S",F135="I"),-1,1)</f>
        <v>0</v>
      </c>
      <c r="AO135" s="853" t="str">
        <f>+VLOOKUP($AJ135,Data_Validation!$A:$D,1,0)</f>
        <v>#N/A</v>
      </c>
      <c r="AP135" s="853" t="str">
        <f>+VLOOKUP($AJ135,Data_Validation!$A:$D,3,0)</f>
        <v>#N/A</v>
      </c>
      <c r="AQ135" s="853" t="str">
        <f>+VLOOKUP($AJ135,Data_Validation!$A:$D,4,0)</f>
        <v>#N/A</v>
      </c>
      <c r="AR135" s="853" t="s">
        <v>728</v>
      </c>
      <c r="AS135" s="853" t="str">
        <f>+VLOOKUP($AJ135,Data_Validation!$A:$E,5,0)</f>
        <v>#N/A</v>
      </c>
      <c r="AT135" s="794" t="str">
        <f t="shared" ref="AT135:AU135" si="268">C135</f>
        <v>G0660</v>
      </c>
      <c r="AU135" s="854" t="str">
        <f t="shared" si="268"/>
        <v>CONTRIBUTION - DONS</v>
      </c>
      <c r="AV135" s="794">
        <f t="array" ref="AV135">IFERROR(INDEX(V135:AG135,1,MATCH(Parametres!$B$3,V$1:AG$1,0)-1)*IF(OR(C135="L",C135="S",C135="I"),-1,1),"")</f>
        <v>0</v>
      </c>
      <c r="AW135" s="794">
        <f t="shared" si="6"/>
        <v>0</v>
      </c>
      <c r="AX135" s="794">
        <f t="array" ref="AX135">INDEX(V135:AG135,1,MATCH(Parametres!$B$3,V$1:AG$1,0))*IF(OR(C135="L",C135="S",C135="I"),-1,1)</f>
        <v>0</v>
      </c>
      <c r="AY135" s="853" t="s">
        <v>772</v>
      </c>
      <c r="AZ135" s="853" t="str">
        <f>+VLOOKUP($AJ135,Data_Validation!$A:$E,5,0)</f>
        <v>#N/A</v>
      </c>
    </row>
    <row r="136" ht="15.0" customHeight="1">
      <c r="A136" s="849" t="s">
        <v>1239</v>
      </c>
      <c r="B136" s="849">
        <v>2025.0</v>
      </c>
      <c r="C136" s="849" t="s">
        <v>1574</v>
      </c>
      <c r="D136" s="849" t="s">
        <v>1575</v>
      </c>
      <c r="E136" s="849" t="s">
        <v>768</v>
      </c>
      <c r="F136" s="849" t="s">
        <v>1200</v>
      </c>
      <c r="G136" s="849">
        <v>0.0</v>
      </c>
      <c r="H136" s="849">
        <v>0.0</v>
      </c>
      <c r="I136" s="849">
        <v>0.0</v>
      </c>
      <c r="J136" s="849">
        <v>0.0</v>
      </c>
      <c r="K136" s="849">
        <v>0.0</v>
      </c>
      <c r="L136" s="849">
        <v>0.0</v>
      </c>
      <c r="M136" s="849">
        <v>0.0</v>
      </c>
      <c r="N136" s="849">
        <v>0.0</v>
      </c>
      <c r="O136" s="849">
        <v>0.0</v>
      </c>
      <c r="P136" s="849">
        <v>0.0</v>
      </c>
      <c r="Q136" s="849">
        <v>820.0</v>
      </c>
      <c r="R136" s="849">
        <v>2103.7</v>
      </c>
      <c r="S136" s="849">
        <v>74.55</v>
      </c>
      <c r="T136" s="849">
        <v>74.55</v>
      </c>
      <c r="U136" s="849">
        <v>0.0</v>
      </c>
      <c r="V136" s="849">
        <v>0.0</v>
      </c>
      <c r="W136" s="849">
        <v>0.0</v>
      </c>
      <c r="X136" s="849">
        <v>0.0</v>
      </c>
      <c r="Y136" s="849">
        <v>0.0</v>
      </c>
      <c r="Z136" s="849">
        <v>0.0</v>
      </c>
      <c r="AA136" s="849">
        <v>0.0</v>
      </c>
      <c r="AB136" s="849">
        <v>0.0</v>
      </c>
      <c r="AC136" s="849">
        <v>0.0</v>
      </c>
      <c r="AD136" s="849">
        <v>0.0</v>
      </c>
      <c r="AE136" s="849">
        <v>0.0</v>
      </c>
      <c r="AF136" s="849">
        <v>0.0</v>
      </c>
      <c r="AG136" s="849">
        <v>0.0</v>
      </c>
      <c r="AH136" s="849">
        <v>0.0</v>
      </c>
      <c r="AI136" s="849">
        <v>0.0</v>
      </c>
      <c r="AJ136" s="794" t="str">
        <f t="shared" ref="AJ136:AK136" si="269">C136</f>
        <v>G0661</v>
      </c>
      <c r="AK136" s="794" t="str">
        <f t="shared" si="269"/>
        <v>CONTRIBUTIONS-NEUF</v>
      </c>
      <c r="AL136" s="794">
        <f t="array" ref="AL136">IFERROR(INDEX(G136:R136,1,MATCH(Parametres!$B$3,G$1:R$1,0)-1)*IF(OR(F136="L",F136="S",F136="I"),-1,1),"")</f>
        <v>0</v>
      </c>
      <c r="AM136" s="794">
        <f t="shared" si="4"/>
        <v>0</v>
      </c>
      <c r="AN136" s="794">
        <f t="array" ref="AN136">INDEX(G136:R136,1,MATCH(Parametres!$B$3,G$1:R$1,0))*IF(OR(F136="L",F136="S",F136="I"),-1,1)</f>
        <v>0</v>
      </c>
      <c r="AO136" s="853" t="str">
        <f>+VLOOKUP($AJ136,Data_Validation!$A:$D,1,0)</f>
        <v>G0661</v>
      </c>
      <c r="AP136" s="853" t="str">
        <f>+VLOOKUP($AJ136,Data_Validation!$A:$D,3,0)</f>
        <v>Véhicules neufs</v>
      </c>
      <c r="AQ136" s="853" t="str">
        <f>+VLOOKUP($AJ136,Data_Validation!$A:$D,4,0)</f>
        <v>Publicité 1</v>
      </c>
      <c r="AR136" s="853" t="s">
        <v>728</v>
      </c>
      <c r="AS136" s="853" t="str">
        <f>+VLOOKUP($AJ136,Data_Validation!$A:$E,5,0)</f>
        <v/>
      </c>
      <c r="AT136" s="794" t="str">
        <f t="shared" ref="AT136:AU136" si="270">C136</f>
        <v>G0661</v>
      </c>
      <c r="AU136" s="854" t="str">
        <f t="shared" si="270"/>
        <v>CONTRIBUTIONS-NEUF</v>
      </c>
      <c r="AV136" s="794">
        <f t="array" ref="AV136">IFERROR(INDEX(V136:AG136,1,MATCH(Parametres!$B$3,V$1:AG$1,0)-1)*IF(OR(C136="L",C136="S",C136="I"),-1,1),"")</f>
        <v>0</v>
      </c>
      <c r="AW136" s="794">
        <f t="shared" si="6"/>
        <v>0</v>
      </c>
      <c r="AX136" s="794">
        <f t="array" ref="AX136">INDEX(V136:AG136,1,MATCH(Parametres!$B$3,V$1:AG$1,0))*IF(OR(C136="L",C136="S",C136="I"),-1,1)</f>
        <v>0</v>
      </c>
      <c r="AY136" s="853" t="s">
        <v>772</v>
      </c>
      <c r="AZ136" s="853" t="str">
        <f>+VLOOKUP($AJ136,Data_Validation!$A:$E,5,0)</f>
        <v/>
      </c>
    </row>
    <row r="137" ht="15.0" customHeight="1">
      <c r="A137" s="849" t="s">
        <v>1239</v>
      </c>
      <c r="B137" s="849">
        <v>2025.0</v>
      </c>
      <c r="C137" s="849" t="s">
        <v>1576</v>
      </c>
      <c r="D137" s="849" t="s">
        <v>1577</v>
      </c>
      <c r="E137" s="849" t="s">
        <v>768</v>
      </c>
      <c r="F137" s="849" t="s">
        <v>1200</v>
      </c>
      <c r="G137" s="849">
        <v>0.0</v>
      </c>
      <c r="H137" s="849">
        <v>0.0</v>
      </c>
      <c r="I137" s="849">
        <v>0.0</v>
      </c>
      <c r="J137" s="849">
        <v>0.0</v>
      </c>
      <c r="K137" s="849">
        <v>0.0</v>
      </c>
      <c r="L137" s="849">
        <v>0.0</v>
      </c>
      <c r="M137" s="849">
        <v>0.0</v>
      </c>
      <c r="N137" s="849">
        <v>0.0</v>
      </c>
      <c r="O137" s="849">
        <v>0.0</v>
      </c>
      <c r="P137" s="849">
        <v>0.0</v>
      </c>
      <c r="Q137" s="849">
        <v>410.0</v>
      </c>
      <c r="R137" s="849">
        <v>1051.85</v>
      </c>
      <c r="S137" s="849">
        <v>37.27</v>
      </c>
      <c r="T137" s="849">
        <v>37.27</v>
      </c>
      <c r="U137" s="849">
        <v>0.0</v>
      </c>
      <c r="V137" s="849">
        <v>0.0</v>
      </c>
      <c r="W137" s="849">
        <v>0.0</v>
      </c>
      <c r="X137" s="849">
        <v>0.0</v>
      </c>
      <c r="Y137" s="849">
        <v>0.0</v>
      </c>
      <c r="Z137" s="849">
        <v>0.0</v>
      </c>
      <c r="AA137" s="849">
        <v>0.0</v>
      </c>
      <c r="AB137" s="849">
        <v>0.0</v>
      </c>
      <c r="AC137" s="849">
        <v>0.0</v>
      </c>
      <c r="AD137" s="849">
        <v>0.0</v>
      </c>
      <c r="AE137" s="849">
        <v>0.0</v>
      </c>
      <c r="AF137" s="849">
        <v>0.0</v>
      </c>
      <c r="AG137" s="849">
        <v>0.0</v>
      </c>
      <c r="AH137" s="849">
        <v>0.0</v>
      </c>
      <c r="AI137" s="849">
        <v>0.0</v>
      </c>
      <c r="AJ137" s="794" t="str">
        <f t="shared" ref="AJ137:AK137" si="271">C137</f>
        <v>G0662</v>
      </c>
      <c r="AK137" s="794" t="str">
        <f t="shared" si="271"/>
        <v>CONTRIBUTIONS-USAGE</v>
      </c>
      <c r="AL137" s="794">
        <f t="array" ref="AL137">IFERROR(INDEX(G137:R137,1,MATCH(Parametres!$B$3,G$1:R$1,0)-1)*IF(OR(F137="L",F137="S",F137="I"),-1,1),"")</f>
        <v>0</v>
      </c>
      <c r="AM137" s="794">
        <f t="shared" si="4"/>
        <v>0</v>
      </c>
      <c r="AN137" s="794">
        <f t="array" ref="AN137">INDEX(G137:R137,1,MATCH(Parametres!$B$3,G$1:R$1,0))*IF(OR(F137="L",F137="S",F137="I"),-1,1)</f>
        <v>0</v>
      </c>
      <c r="AO137" s="853" t="str">
        <f>+VLOOKUP($AJ137,Data_Validation!$A:$D,1,0)</f>
        <v>G0662</v>
      </c>
      <c r="AP137" s="853" t="str">
        <f>+VLOOKUP($AJ137,Data_Validation!$A:$D,3,0)</f>
        <v>Véhicules usagés</v>
      </c>
      <c r="AQ137" s="853" t="str">
        <f>+VLOOKUP($AJ137,Data_Validation!$A:$D,4,0)</f>
        <v>Publicité 1</v>
      </c>
      <c r="AR137" s="853" t="s">
        <v>728</v>
      </c>
      <c r="AS137" s="853" t="str">
        <f>+VLOOKUP($AJ137,Data_Validation!$A:$E,5,0)</f>
        <v/>
      </c>
      <c r="AT137" s="794" t="str">
        <f t="shared" ref="AT137:AU137" si="272">C137</f>
        <v>G0662</v>
      </c>
      <c r="AU137" s="854" t="str">
        <f t="shared" si="272"/>
        <v>CONTRIBUTIONS-USAGE</v>
      </c>
      <c r="AV137" s="794">
        <f t="array" ref="AV137">IFERROR(INDEX(V137:AG137,1,MATCH(Parametres!$B$3,V$1:AG$1,0)-1)*IF(OR(C137="L",C137="S",C137="I"),-1,1),"")</f>
        <v>0</v>
      </c>
      <c r="AW137" s="794">
        <f t="shared" si="6"/>
        <v>0</v>
      </c>
      <c r="AX137" s="794">
        <f t="array" ref="AX137">INDEX(V137:AG137,1,MATCH(Parametres!$B$3,V$1:AG$1,0))*IF(OR(C137="L",C137="S",C137="I"),-1,1)</f>
        <v>0</v>
      </c>
      <c r="AY137" s="853" t="s">
        <v>772</v>
      </c>
      <c r="AZ137" s="853" t="str">
        <f>+VLOOKUP($AJ137,Data_Validation!$A:$E,5,0)</f>
        <v/>
      </c>
    </row>
    <row r="138" ht="15.0" customHeight="1">
      <c r="A138" s="849" t="s">
        <v>1239</v>
      </c>
      <c r="B138" s="849">
        <v>2025.0</v>
      </c>
      <c r="C138" s="849" t="s">
        <v>1578</v>
      </c>
      <c r="D138" s="849" t="s">
        <v>1579</v>
      </c>
      <c r="E138" s="849" t="s">
        <v>768</v>
      </c>
      <c r="F138" s="849" t="s">
        <v>1200</v>
      </c>
      <c r="G138" s="849">
        <v>0.0</v>
      </c>
      <c r="H138" s="849">
        <v>0.0</v>
      </c>
      <c r="I138" s="849">
        <v>250.0</v>
      </c>
      <c r="J138" s="849">
        <v>250.0</v>
      </c>
      <c r="K138" s="849">
        <v>250.0</v>
      </c>
      <c r="L138" s="849">
        <v>250.0</v>
      </c>
      <c r="M138" s="849">
        <v>250.0</v>
      </c>
      <c r="N138" s="849">
        <v>250.0</v>
      </c>
      <c r="O138" s="849">
        <v>250.0</v>
      </c>
      <c r="P138" s="849">
        <v>250.0</v>
      </c>
      <c r="Q138" s="849">
        <v>865.0</v>
      </c>
      <c r="R138" s="849">
        <v>1827.78</v>
      </c>
      <c r="S138" s="849">
        <v>78.64</v>
      </c>
      <c r="T138" s="849">
        <v>78.64</v>
      </c>
      <c r="U138" s="849">
        <v>0.0</v>
      </c>
      <c r="V138" s="849">
        <v>0.0</v>
      </c>
      <c r="W138" s="849">
        <v>0.0</v>
      </c>
      <c r="X138" s="849">
        <v>0.0</v>
      </c>
      <c r="Y138" s="849">
        <v>0.0</v>
      </c>
      <c r="Z138" s="849">
        <v>0.0</v>
      </c>
      <c r="AA138" s="849">
        <v>0.0</v>
      </c>
      <c r="AB138" s="849">
        <v>0.0</v>
      </c>
      <c r="AC138" s="849">
        <v>0.0</v>
      </c>
      <c r="AD138" s="849">
        <v>0.0</v>
      </c>
      <c r="AE138" s="849">
        <v>0.0</v>
      </c>
      <c r="AF138" s="849">
        <v>0.0</v>
      </c>
      <c r="AG138" s="849">
        <v>0.0</v>
      </c>
      <c r="AH138" s="849">
        <v>0.0</v>
      </c>
      <c r="AI138" s="849">
        <v>0.0</v>
      </c>
      <c r="AJ138" s="794" t="str">
        <f t="shared" ref="AJ138:AK138" si="273">C138</f>
        <v>G0664</v>
      </c>
      <c r="AK138" s="794" t="str">
        <f t="shared" si="273"/>
        <v>CONTRIBUTIONS-SERVICE</v>
      </c>
      <c r="AL138" s="794">
        <f t="array" ref="AL138">IFERROR(INDEX(G138:R138,1,MATCH(Parametres!$B$3,G$1:R$1,0)-1)*IF(OR(F138="L",F138="S",F138="I"),-1,1),"")</f>
        <v>250</v>
      </c>
      <c r="AM138" s="794">
        <f t="shared" si="4"/>
        <v>0</v>
      </c>
      <c r="AN138" s="794">
        <f t="array" ref="AN138">INDEX(G138:R138,1,MATCH(Parametres!$B$3,G$1:R$1,0))*IF(OR(F138="L",F138="S",F138="I"),-1,1)</f>
        <v>250</v>
      </c>
      <c r="AO138" s="853" t="str">
        <f>+VLOOKUP($AJ138,Data_Validation!$A:$D,1,0)</f>
        <v>G0664</v>
      </c>
      <c r="AP138" s="853" t="str">
        <f>+VLOOKUP($AJ138,Data_Validation!$A:$D,3,0)</f>
        <v>Service</v>
      </c>
      <c r="AQ138" s="853" t="str">
        <f>+VLOOKUP($AJ138,Data_Validation!$A:$D,4,0)</f>
        <v>Publicité 2</v>
      </c>
      <c r="AR138" s="853" t="s">
        <v>728</v>
      </c>
      <c r="AS138" s="853" t="str">
        <f>+VLOOKUP($AJ138,Data_Validation!$A:$E,5,0)</f>
        <v/>
      </c>
      <c r="AT138" s="794" t="str">
        <f t="shared" ref="AT138:AU138" si="274">C138</f>
        <v>G0664</v>
      </c>
      <c r="AU138" s="854" t="str">
        <f t="shared" si="274"/>
        <v>CONTRIBUTIONS-SERVICE</v>
      </c>
      <c r="AV138" s="794">
        <f t="array" ref="AV138">IFERROR(INDEX(V138:AG138,1,MATCH(Parametres!$B$3,V$1:AG$1,0)-1)*IF(OR(C138="L",C138="S",C138="I"),-1,1),"")</f>
        <v>0</v>
      </c>
      <c r="AW138" s="794">
        <f t="shared" si="6"/>
        <v>0</v>
      </c>
      <c r="AX138" s="794">
        <f t="array" ref="AX138">INDEX(V138:AG138,1,MATCH(Parametres!$B$3,V$1:AG$1,0))*IF(OR(C138="L",C138="S",C138="I"),-1,1)</f>
        <v>0</v>
      </c>
      <c r="AY138" s="853" t="s">
        <v>772</v>
      </c>
      <c r="AZ138" s="853" t="str">
        <f>+VLOOKUP($AJ138,Data_Validation!$A:$E,5,0)</f>
        <v/>
      </c>
    </row>
    <row r="139" ht="15.75" customHeight="1">
      <c r="A139" s="849" t="s">
        <v>1239</v>
      </c>
      <c r="B139" s="849">
        <v>2025.0</v>
      </c>
      <c r="C139" s="849" t="s">
        <v>1580</v>
      </c>
      <c r="D139" s="849" t="s">
        <v>1581</v>
      </c>
      <c r="E139" s="849" t="s">
        <v>768</v>
      </c>
      <c r="F139" s="849" t="s">
        <v>1200</v>
      </c>
      <c r="G139" s="849">
        <v>0.0</v>
      </c>
      <c r="H139" s="849">
        <v>0.0</v>
      </c>
      <c r="I139" s="849">
        <v>0.0</v>
      </c>
      <c r="J139" s="849">
        <v>0.0</v>
      </c>
      <c r="K139" s="849">
        <v>0.0</v>
      </c>
      <c r="L139" s="849">
        <v>0.0</v>
      </c>
      <c r="M139" s="849">
        <v>0.0</v>
      </c>
      <c r="N139" s="849">
        <v>0.0</v>
      </c>
      <c r="O139" s="849">
        <v>0.0</v>
      </c>
      <c r="P139" s="849">
        <v>0.0</v>
      </c>
      <c r="Q139" s="849">
        <v>205.0</v>
      </c>
      <c r="R139" s="849">
        <v>525.92</v>
      </c>
      <c r="S139" s="849">
        <v>18.64</v>
      </c>
      <c r="T139" s="849">
        <v>18.64</v>
      </c>
      <c r="U139" s="849">
        <v>0.0</v>
      </c>
      <c r="V139" s="849">
        <v>0.0</v>
      </c>
      <c r="W139" s="849">
        <v>0.0</v>
      </c>
      <c r="X139" s="849">
        <v>0.0</v>
      </c>
      <c r="Y139" s="849">
        <v>0.0</v>
      </c>
      <c r="Z139" s="849">
        <v>0.0</v>
      </c>
      <c r="AA139" s="849">
        <v>0.0</v>
      </c>
      <c r="AB139" s="849">
        <v>0.0</v>
      </c>
      <c r="AC139" s="849">
        <v>0.0</v>
      </c>
      <c r="AD139" s="849">
        <v>0.0</v>
      </c>
      <c r="AE139" s="849">
        <v>0.0</v>
      </c>
      <c r="AF139" s="849">
        <v>0.0</v>
      </c>
      <c r="AG139" s="849">
        <v>0.0</v>
      </c>
      <c r="AH139" s="849">
        <v>0.0</v>
      </c>
      <c r="AI139" s="849">
        <v>0.0</v>
      </c>
      <c r="AJ139" s="794" t="str">
        <f t="shared" ref="AJ139:AK139" si="275">C139</f>
        <v>G0665</v>
      </c>
      <c r="AK139" s="794" t="str">
        <f t="shared" si="275"/>
        <v>CONTRIBUTIONS-B/S</v>
      </c>
      <c r="AL139" s="794">
        <f t="array" ref="AL139">IFERROR(INDEX(G139:R139,1,MATCH(Parametres!$B$3,G$1:R$1,0)-1)*IF(OR(F139="L",F139="S",F139="I"),-1,1),"")</f>
        <v>0</v>
      </c>
      <c r="AM139" s="794">
        <f t="shared" si="4"/>
        <v>0</v>
      </c>
      <c r="AN139" s="794">
        <f t="array" ref="AN139">INDEX(G139:R139,1,MATCH(Parametres!$B$3,G$1:R$1,0))*IF(OR(F139="L",F139="S",F139="I"),-1,1)</f>
        <v>0</v>
      </c>
      <c r="AO139" s="853" t="str">
        <f>+VLOOKUP($AJ139,Data_Validation!$A:$D,1,0)</f>
        <v>G0665</v>
      </c>
      <c r="AP139" s="853" t="str">
        <f>+VLOOKUP($AJ139,Data_Validation!$A:$D,3,0)</f>
        <v>Carrosserie</v>
      </c>
      <c r="AQ139" s="853" t="str">
        <f>+VLOOKUP($AJ139,Data_Validation!$A:$D,4,0)</f>
        <v>Publicité 2</v>
      </c>
      <c r="AR139" s="853" t="s">
        <v>728</v>
      </c>
      <c r="AS139" s="853" t="str">
        <f>+VLOOKUP($AJ139,Data_Validation!$A:$E,5,0)</f>
        <v/>
      </c>
      <c r="AT139" s="794" t="str">
        <f t="shared" ref="AT139:AU139" si="276">C139</f>
        <v>G0665</v>
      </c>
      <c r="AU139" s="854" t="str">
        <f t="shared" si="276"/>
        <v>CONTRIBUTIONS-B/S</v>
      </c>
      <c r="AV139" s="794">
        <f t="array" ref="AV139">IFERROR(INDEX(V139:AG139,1,MATCH(Parametres!$B$3,V$1:AG$1,0)-1)*IF(OR(C139="L",C139="S",C139="I"),-1,1),"")</f>
        <v>0</v>
      </c>
      <c r="AW139" s="794">
        <f t="shared" si="6"/>
        <v>0</v>
      </c>
      <c r="AX139" s="794">
        <f t="array" ref="AX139">INDEX(V139:AG139,1,MATCH(Parametres!$B$3,V$1:AG$1,0))*IF(OR(C139="L",C139="S",C139="I"),-1,1)</f>
        <v>0</v>
      </c>
      <c r="AY139" s="853" t="s">
        <v>772</v>
      </c>
      <c r="AZ139" s="853" t="str">
        <f>+VLOOKUP($AJ139,Data_Validation!$A:$E,5,0)</f>
        <v/>
      </c>
    </row>
    <row r="140" ht="15.0" customHeight="1">
      <c r="A140" s="849" t="s">
        <v>1239</v>
      </c>
      <c r="B140" s="849">
        <v>2025.0</v>
      </c>
      <c r="C140" s="849" t="s">
        <v>1582</v>
      </c>
      <c r="D140" s="849" t="s">
        <v>1583</v>
      </c>
      <c r="E140" s="849" t="s">
        <v>768</v>
      </c>
      <c r="F140" s="849" t="s">
        <v>1200</v>
      </c>
      <c r="G140" s="849">
        <v>0.0</v>
      </c>
      <c r="H140" s="849">
        <v>0.0</v>
      </c>
      <c r="I140" s="849">
        <v>0.0</v>
      </c>
      <c r="J140" s="849">
        <v>0.0</v>
      </c>
      <c r="K140" s="849">
        <v>0.0</v>
      </c>
      <c r="L140" s="849">
        <v>0.0</v>
      </c>
      <c r="M140" s="849">
        <v>0.0</v>
      </c>
      <c r="N140" s="849">
        <v>0.0</v>
      </c>
      <c r="O140" s="849">
        <v>0.0</v>
      </c>
      <c r="P140" s="849">
        <v>0.0</v>
      </c>
      <c r="Q140" s="849">
        <v>0.0</v>
      </c>
      <c r="R140" s="849">
        <v>0.0</v>
      </c>
      <c r="S140" s="849">
        <v>0.0</v>
      </c>
      <c r="T140" s="849">
        <v>0.0</v>
      </c>
      <c r="U140" s="849">
        <v>0.0</v>
      </c>
      <c r="V140" s="849">
        <v>0.0</v>
      </c>
      <c r="W140" s="849">
        <v>0.0</v>
      </c>
      <c r="X140" s="849">
        <v>0.0</v>
      </c>
      <c r="Y140" s="849">
        <v>0.0</v>
      </c>
      <c r="Z140" s="849">
        <v>0.0</v>
      </c>
      <c r="AA140" s="849">
        <v>0.0</v>
      </c>
      <c r="AB140" s="849">
        <v>0.0</v>
      </c>
      <c r="AC140" s="849">
        <v>0.0</v>
      </c>
      <c r="AD140" s="849">
        <v>0.0</v>
      </c>
      <c r="AE140" s="849">
        <v>0.0</v>
      </c>
      <c r="AF140" s="849">
        <v>0.0</v>
      </c>
      <c r="AG140" s="849">
        <v>0.0</v>
      </c>
      <c r="AH140" s="849">
        <v>0.0</v>
      </c>
      <c r="AI140" s="849">
        <v>0.0</v>
      </c>
      <c r="AJ140" s="794" t="str">
        <f t="shared" ref="AJ140:AK140" si="277">C140</f>
        <v>G0666</v>
      </c>
      <c r="AK140" s="794" t="str">
        <f t="shared" si="277"/>
        <v>PROFIT PIECES VOLVO BODY</v>
      </c>
      <c r="AL140" s="794">
        <f t="array" ref="AL140">IFERROR(INDEX(G140:R140,1,MATCH(Parametres!$B$3,G$1:R$1,0)-1)*IF(OR(F140="L",F140="S",F140="I"),-1,1),"")</f>
        <v>0</v>
      </c>
      <c r="AM140" s="794">
        <f t="shared" si="4"/>
        <v>0</v>
      </c>
      <c r="AN140" s="794">
        <f t="array" ref="AN140">INDEX(G140:R140,1,MATCH(Parametres!$B$3,G$1:R$1,0))*IF(OR(F140="L",F140="S",F140="I"),-1,1)</f>
        <v>0</v>
      </c>
      <c r="AO140" s="853" t="str">
        <f>+VLOOKUP($AJ140,Data_Validation!$A:$D,1,0)</f>
        <v>G0666</v>
      </c>
      <c r="AP140" s="853" t="str">
        <f>+VLOOKUP($AJ140,Data_Validation!$A:$D,3,0)</f>
        <v>Pièces</v>
      </c>
      <c r="AQ140" s="853" t="str">
        <f>+VLOOKUP($AJ140,Data_Validation!$A:$D,4,0)</f>
        <v>Publicité 2</v>
      </c>
      <c r="AR140" s="853" t="s">
        <v>728</v>
      </c>
      <c r="AS140" s="853" t="str">
        <f>+VLOOKUP($AJ140,Data_Validation!$A:$E,5,0)</f>
        <v/>
      </c>
      <c r="AT140" s="794" t="str">
        <f t="shared" ref="AT140:AU140" si="278">C140</f>
        <v>G0666</v>
      </c>
      <c r="AU140" s="854" t="str">
        <f t="shared" si="278"/>
        <v>PROFIT PIECES VOLVO BODY</v>
      </c>
      <c r="AV140" s="794">
        <f t="array" ref="AV140">IFERROR(INDEX(V140:AG140,1,MATCH(Parametres!$B$3,V$1:AG$1,0)-1)*IF(OR(C140="L",C140="S",C140="I"),-1,1),"")</f>
        <v>0</v>
      </c>
      <c r="AW140" s="794">
        <f t="shared" si="6"/>
        <v>0</v>
      </c>
      <c r="AX140" s="794">
        <f t="array" ref="AX140">INDEX(V140:AG140,1,MATCH(Parametres!$B$3,V$1:AG$1,0))*IF(OR(C140="L",C140="S",C140="I"),-1,1)</f>
        <v>0</v>
      </c>
      <c r="AY140" s="853" t="s">
        <v>772</v>
      </c>
      <c r="AZ140" s="853" t="str">
        <f>+VLOOKUP($AJ140,Data_Validation!$A:$E,5,0)</f>
        <v/>
      </c>
    </row>
    <row r="141" ht="15.0" customHeight="1">
      <c r="A141" s="849" t="s">
        <v>1239</v>
      </c>
      <c r="B141" s="849">
        <v>2025.0</v>
      </c>
      <c r="C141" s="849" t="s">
        <v>1584</v>
      </c>
      <c r="D141" s="849" t="s">
        <v>1585</v>
      </c>
      <c r="E141" s="849" t="s">
        <v>768</v>
      </c>
      <c r="F141" s="849" t="s">
        <v>1200</v>
      </c>
      <c r="G141" s="849">
        <v>634.99</v>
      </c>
      <c r="H141" s="849">
        <v>1355.75</v>
      </c>
      <c r="I141" s="849">
        <v>2698.84</v>
      </c>
      <c r="J141" s="849">
        <v>7349.97</v>
      </c>
      <c r="K141" s="849">
        <v>12089.18</v>
      </c>
      <c r="L141" s="849">
        <v>12554.91</v>
      </c>
      <c r="M141" s="849">
        <v>13854.53</v>
      </c>
      <c r="N141" s="849">
        <v>13958.76</v>
      </c>
      <c r="O141" s="849">
        <v>18992.88</v>
      </c>
      <c r="P141" s="849">
        <v>20506.57</v>
      </c>
      <c r="Q141" s="849">
        <v>31015.97</v>
      </c>
      <c r="R141" s="849">
        <v>41040.21</v>
      </c>
      <c r="S141" s="849">
        <v>2819.63</v>
      </c>
      <c r="T141" s="849">
        <v>2819.63</v>
      </c>
      <c r="U141" s="849">
        <v>0.0</v>
      </c>
      <c r="V141" s="849">
        <v>0.0</v>
      </c>
      <c r="W141" s="849">
        <v>0.0</v>
      </c>
      <c r="X141" s="849">
        <v>0.0</v>
      </c>
      <c r="Y141" s="849">
        <v>0.0</v>
      </c>
      <c r="Z141" s="849">
        <v>0.0</v>
      </c>
      <c r="AA141" s="849">
        <v>0.0</v>
      </c>
      <c r="AB141" s="849">
        <v>0.0</v>
      </c>
      <c r="AC141" s="849">
        <v>0.0</v>
      </c>
      <c r="AD141" s="849">
        <v>0.0</v>
      </c>
      <c r="AE141" s="849">
        <v>0.0</v>
      </c>
      <c r="AF141" s="849">
        <v>0.0</v>
      </c>
      <c r="AG141" s="849">
        <v>0.0</v>
      </c>
      <c r="AH141" s="849">
        <v>0.0</v>
      </c>
      <c r="AI141" s="849">
        <v>0.0</v>
      </c>
      <c r="AJ141" s="794" t="str">
        <f t="shared" ref="AJ141:AK141" si="279">C141</f>
        <v>G0674</v>
      </c>
      <c r="AK141" s="794" t="str">
        <f t="shared" si="279"/>
        <v>REPRISE TRAVAIL SERVICE</v>
      </c>
      <c r="AL141" s="794">
        <f t="array" ref="AL141">IFERROR(INDEX(G141:R141,1,MATCH(Parametres!$B$3,G$1:R$1,0)-1)*IF(OR(F141="L",F141="S",F141="I"),-1,1),"")</f>
        <v>13958.76</v>
      </c>
      <c r="AM141" s="794">
        <f t="shared" si="4"/>
        <v>5034.12</v>
      </c>
      <c r="AN141" s="794">
        <f t="array" ref="AN141">INDEX(G141:R141,1,MATCH(Parametres!$B$3,G$1:R$1,0))*IF(OR(F141="L",F141="S",F141="I"),-1,1)</f>
        <v>18992.88</v>
      </c>
      <c r="AO141" s="853" t="str">
        <f>+VLOOKUP($AJ141,Data_Validation!$A:$D,1,0)</f>
        <v>G0674</v>
      </c>
      <c r="AP141" s="853" t="str">
        <f>+VLOOKUP($AJ141,Data_Validation!$A:$D,3,0)</f>
        <v>Service</v>
      </c>
      <c r="AQ141" s="853" t="str">
        <f>+VLOOKUP($AJ141,Data_Validation!$A:$D,4,0)</f>
        <v>Service gratuit 2</v>
      </c>
      <c r="AR141" s="853" t="s">
        <v>728</v>
      </c>
      <c r="AS141" s="853" t="str">
        <f>+VLOOKUP($AJ141,Data_Validation!$A:$E,5,0)</f>
        <v/>
      </c>
      <c r="AT141" s="794" t="str">
        <f t="shared" ref="AT141:AU141" si="280">C141</f>
        <v>G0674</v>
      </c>
      <c r="AU141" s="854" t="str">
        <f t="shared" si="280"/>
        <v>REPRISE TRAVAIL SERVICE</v>
      </c>
      <c r="AV141" s="794">
        <f t="array" ref="AV141">IFERROR(INDEX(V141:AG141,1,MATCH(Parametres!$B$3,V$1:AG$1,0)-1)*IF(OR(C141="L",C141="S",C141="I"),-1,1),"")</f>
        <v>0</v>
      </c>
      <c r="AW141" s="794">
        <f t="shared" si="6"/>
        <v>0</v>
      </c>
      <c r="AX141" s="794">
        <f t="array" ref="AX141">INDEX(V141:AG141,1,MATCH(Parametres!$B$3,V$1:AG$1,0))*IF(OR(C141="L",C141="S",C141="I"),-1,1)</f>
        <v>0</v>
      </c>
      <c r="AY141" s="853" t="s">
        <v>772</v>
      </c>
      <c r="AZ141" s="853" t="str">
        <f>+VLOOKUP($AJ141,Data_Validation!$A:$E,5,0)</f>
        <v/>
      </c>
    </row>
    <row r="142" ht="15.0" customHeight="1">
      <c r="A142" s="849" t="s">
        <v>1239</v>
      </c>
      <c r="B142" s="849">
        <v>2025.0</v>
      </c>
      <c r="C142" s="849" t="s">
        <v>1586</v>
      </c>
      <c r="D142" s="849" t="s">
        <v>1587</v>
      </c>
      <c r="E142" s="849" t="s">
        <v>768</v>
      </c>
      <c r="F142" s="849" t="s">
        <v>1200</v>
      </c>
      <c r="G142" s="849">
        <v>0.0</v>
      </c>
      <c r="H142" s="849">
        <v>728.8</v>
      </c>
      <c r="I142" s="849">
        <v>6621.9</v>
      </c>
      <c r="J142" s="849">
        <v>7480.21</v>
      </c>
      <c r="K142" s="849">
        <v>8752.1</v>
      </c>
      <c r="L142" s="849">
        <v>9579.79</v>
      </c>
      <c r="M142" s="849">
        <v>11819.38</v>
      </c>
      <c r="N142" s="849">
        <v>12302.69</v>
      </c>
      <c r="O142" s="849">
        <v>13124.4</v>
      </c>
      <c r="P142" s="849">
        <v>13817.86</v>
      </c>
      <c r="Q142" s="849">
        <v>16700.2</v>
      </c>
      <c r="R142" s="849">
        <v>17133.73</v>
      </c>
      <c r="S142" s="849">
        <v>1518.2</v>
      </c>
      <c r="T142" s="849">
        <v>1518.2</v>
      </c>
      <c r="U142" s="849">
        <v>0.0</v>
      </c>
      <c r="V142" s="849">
        <v>0.0</v>
      </c>
      <c r="W142" s="849">
        <v>0.0</v>
      </c>
      <c r="X142" s="849">
        <v>0.0</v>
      </c>
      <c r="Y142" s="849">
        <v>0.0</v>
      </c>
      <c r="Z142" s="849">
        <v>0.0</v>
      </c>
      <c r="AA142" s="849">
        <v>0.0</v>
      </c>
      <c r="AB142" s="849">
        <v>0.0</v>
      </c>
      <c r="AC142" s="849">
        <v>0.0</v>
      </c>
      <c r="AD142" s="849">
        <v>0.0</v>
      </c>
      <c r="AE142" s="849">
        <v>0.0</v>
      </c>
      <c r="AF142" s="849">
        <v>0.0</v>
      </c>
      <c r="AG142" s="849">
        <v>0.0</v>
      </c>
      <c r="AH142" s="849">
        <v>0.0</v>
      </c>
      <c r="AI142" s="849">
        <v>0.0</v>
      </c>
      <c r="AJ142" s="794" t="str">
        <f t="shared" ref="AJ142:AK142" si="281">C142</f>
        <v>G0675</v>
      </c>
      <c r="AK142" s="794" t="str">
        <f t="shared" si="281"/>
        <v>REPRISE TRAVAIL-CARROSS.</v>
      </c>
      <c r="AL142" s="794">
        <f t="array" ref="AL142">IFERROR(INDEX(G142:R142,1,MATCH(Parametres!$B$3,G$1:R$1,0)-1)*IF(OR(F142="L",F142="S",F142="I"),-1,1),"")</f>
        <v>12302.69</v>
      </c>
      <c r="AM142" s="794">
        <f t="shared" si="4"/>
        <v>821.71</v>
      </c>
      <c r="AN142" s="794">
        <f t="array" ref="AN142">INDEX(G142:R142,1,MATCH(Parametres!$B$3,G$1:R$1,0))*IF(OR(F142="L",F142="S",F142="I"),-1,1)</f>
        <v>13124.4</v>
      </c>
      <c r="AO142" s="853" t="str">
        <f>+VLOOKUP($AJ142,Data_Validation!$A:$D,1,0)</f>
        <v>G0675</v>
      </c>
      <c r="AP142" s="853" t="str">
        <f>+VLOOKUP($AJ142,Data_Validation!$A:$D,3,0)</f>
        <v>Carrosserie</v>
      </c>
      <c r="AQ142" s="853" t="str">
        <f>+VLOOKUP($AJ142,Data_Validation!$A:$D,4,0)</f>
        <v>Service gratuit 2</v>
      </c>
      <c r="AR142" s="853" t="s">
        <v>728</v>
      </c>
      <c r="AS142" s="853" t="str">
        <f>+VLOOKUP($AJ142,Data_Validation!$A:$E,5,0)</f>
        <v/>
      </c>
      <c r="AT142" s="794" t="str">
        <f t="shared" ref="AT142:AU142" si="282">C142</f>
        <v>G0675</v>
      </c>
      <c r="AU142" s="854" t="str">
        <f t="shared" si="282"/>
        <v>REPRISE TRAVAIL-CARROSS.</v>
      </c>
      <c r="AV142" s="794">
        <f t="array" ref="AV142">IFERROR(INDEX(V142:AG142,1,MATCH(Parametres!$B$3,V$1:AG$1,0)-1)*IF(OR(C142="L",C142="S",C142="I"),-1,1),"")</f>
        <v>0</v>
      </c>
      <c r="AW142" s="794">
        <f t="shared" si="6"/>
        <v>0</v>
      </c>
      <c r="AX142" s="794">
        <f t="array" ref="AX142">INDEX(V142:AG142,1,MATCH(Parametres!$B$3,V$1:AG$1,0))*IF(OR(C142="L",C142="S",C142="I"),-1,1)</f>
        <v>0</v>
      </c>
      <c r="AY142" s="853" t="s">
        <v>772</v>
      </c>
      <c r="AZ142" s="853" t="str">
        <f>+VLOOKUP($AJ142,Data_Validation!$A:$E,5,0)</f>
        <v/>
      </c>
    </row>
    <row r="143" ht="15.75" customHeight="1">
      <c r="A143" s="849" t="s">
        <v>1239</v>
      </c>
      <c r="B143" s="849">
        <v>2025.0</v>
      </c>
      <c r="C143" s="849" t="s">
        <v>1588</v>
      </c>
      <c r="D143" s="849" t="s">
        <v>1589</v>
      </c>
      <c r="E143" s="849" t="s">
        <v>768</v>
      </c>
      <c r="F143" s="849" t="s">
        <v>1200</v>
      </c>
      <c r="G143" s="849">
        <v>0.0</v>
      </c>
      <c r="H143" s="849">
        <v>56.71</v>
      </c>
      <c r="I143" s="849">
        <v>680.87</v>
      </c>
      <c r="J143" s="849">
        <v>680.87</v>
      </c>
      <c r="K143" s="849">
        <v>680.87</v>
      </c>
      <c r="L143" s="849">
        <v>912.82</v>
      </c>
      <c r="M143" s="849">
        <v>1083.03</v>
      </c>
      <c r="N143" s="849">
        <v>1083.03</v>
      </c>
      <c r="O143" s="849">
        <v>2123.53</v>
      </c>
      <c r="P143" s="849">
        <v>2123.53</v>
      </c>
      <c r="Q143" s="849">
        <v>2123.53</v>
      </c>
      <c r="R143" s="849">
        <v>2123.53</v>
      </c>
      <c r="S143" s="849">
        <v>193.05</v>
      </c>
      <c r="T143" s="849">
        <v>193.05</v>
      </c>
      <c r="U143" s="849">
        <v>0.0</v>
      </c>
      <c r="V143" s="849">
        <v>0.0</v>
      </c>
      <c r="W143" s="849">
        <v>0.0</v>
      </c>
      <c r="X143" s="849">
        <v>0.0</v>
      </c>
      <c r="Y143" s="849">
        <v>0.0</v>
      </c>
      <c r="Z143" s="849">
        <v>0.0</v>
      </c>
      <c r="AA143" s="849">
        <v>0.0</v>
      </c>
      <c r="AB143" s="849">
        <v>0.0</v>
      </c>
      <c r="AC143" s="849">
        <v>0.0</v>
      </c>
      <c r="AD143" s="849">
        <v>0.0</v>
      </c>
      <c r="AE143" s="849">
        <v>0.0</v>
      </c>
      <c r="AF143" s="849">
        <v>0.0</v>
      </c>
      <c r="AG143" s="849">
        <v>0.0</v>
      </c>
      <c r="AH143" s="849">
        <v>0.0</v>
      </c>
      <c r="AI143" s="849">
        <v>0.0</v>
      </c>
      <c r="AJ143" s="794" t="str">
        <f t="shared" ref="AJ143:AK143" si="283">C143</f>
        <v>G0676</v>
      </c>
      <c r="AK143" s="794" t="str">
        <f t="shared" si="283"/>
        <v>REPRISE TRAVAIL-PIECES</v>
      </c>
      <c r="AL143" s="794">
        <f t="array" ref="AL143">IFERROR(INDEX(G143:R143,1,MATCH(Parametres!$B$3,G$1:R$1,0)-1)*IF(OR(F143="L",F143="S",F143="I"),-1,1),"")</f>
        <v>1083.03</v>
      </c>
      <c r="AM143" s="794">
        <f t="shared" si="4"/>
        <v>1040.5</v>
      </c>
      <c r="AN143" s="794">
        <f t="array" ref="AN143">INDEX(G143:R143,1,MATCH(Parametres!$B$3,G$1:R$1,0))*IF(OR(F143="L",F143="S",F143="I"),-1,1)</f>
        <v>2123.53</v>
      </c>
      <c r="AO143" s="853" t="str">
        <f>+VLOOKUP($AJ143,Data_Validation!$A:$D,1,0)</f>
        <v>G0676</v>
      </c>
      <c r="AP143" s="853" t="str">
        <f>+VLOOKUP($AJ143,Data_Validation!$A:$D,3,0)</f>
        <v>Pièces</v>
      </c>
      <c r="AQ143" s="853" t="str">
        <f>+VLOOKUP($AJ143,Data_Validation!$A:$D,4,0)</f>
        <v>Service gratuit 2</v>
      </c>
      <c r="AR143" s="853" t="s">
        <v>728</v>
      </c>
      <c r="AS143" s="853" t="str">
        <f>+VLOOKUP($AJ143,Data_Validation!$A:$E,5,0)</f>
        <v/>
      </c>
      <c r="AT143" s="794" t="str">
        <f t="shared" ref="AT143:AU143" si="284">C143</f>
        <v>G0676</v>
      </c>
      <c r="AU143" s="854" t="str">
        <f t="shared" si="284"/>
        <v>REPRISE TRAVAIL-PIECES</v>
      </c>
      <c r="AV143" s="794">
        <f t="array" ref="AV143">IFERROR(INDEX(V143:AG143,1,MATCH(Parametres!$B$3,V$1:AG$1,0)-1)*IF(OR(C143="L",C143="S",C143="I"),-1,1),"")</f>
        <v>0</v>
      </c>
      <c r="AW143" s="794">
        <f t="shared" si="6"/>
        <v>0</v>
      </c>
      <c r="AX143" s="794">
        <f t="array" ref="AX143">INDEX(V143:AG143,1,MATCH(Parametres!$B$3,V$1:AG$1,0))*IF(OR(C143="L",C143="S",C143="I"),-1,1)</f>
        <v>0</v>
      </c>
      <c r="AY143" s="853" t="s">
        <v>772</v>
      </c>
      <c r="AZ143" s="853" t="str">
        <f>+VLOOKUP($AJ143,Data_Validation!$A:$E,5,0)</f>
        <v/>
      </c>
    </row>
    <row r="144" ht="15.0" customHeight="1">
      <c r="A144" s="849" t="s">
        <v>1239</v>
      </c>
      <c r="B144" s="849">
        <v>2025.0</v>
      </c>
      <c r="C144" s="849" t="s">
        <v>1592</v>
      </c>
      <c r="D144" s="849" t="s">
        <v>1593</v>
      </c>
      <c r="E144" s="849" t="s">
        <v>768</v>
      </c>
      <c r="F144" s="849" t="s">
        <v>1200</v>
      </c>
      <c r="G144" s="849">
        <v>0.0</v>
      </c>
      <c r="H144" s="849">
        <v>0.0</v>
      </c>
      <c r="I144" s="849">
        <v>0.0</v>
      </c>
      <c r="J144" s="849">
        <v>0.0</v>
      </c>
      <c r="K144" s="849">
        <v>0.0</v>
      </c>
      <c r="L144" s="849">
        <v>0.0</v>
      </c>
      <c r="M144" s="849">
        <v>0.0</v>
      </c>
      <c r="N144" s="849">
        <v>0.0</v>
      </c>
      <c r="O144" s="849">
        <v>0.0</v>
      </c>
      <c r="P144" s="849">
        <v>0.0</v>
      </c>
      <c r="Q144" s="849">
        <v>0.0</v>
      </c>
      <c r="R144" s="849">
        <v>0.0</v>
      </c>
      <c r="S144" s="849">
        <v>0.0</v>
      </c>
      <c r="T144" s="849">
        <v>0.0</v>
      </c>
      <c r="U144" s="849">
        <v>0.0</v>
      </c>
      <c r="V144" s="849">
        <v>0.0</v>
      </c>
      <c r="W144" s="849">
        <v>0.0</v>
      </c>
      <c r="X144" s="849">
        <v>0.0</v>
      </c>
      <c r="Y144" s="849">
        <v>0.0</v>
      </c>
      <c r="Z144" s="849">
        <v>0.0</v>
      </c>
      <c r="AA144" s="849">
        <v>0.0</v>
      </c>
      <c r="AB144" s="849">
        <v>0.0</v>
      </c>
      <c r="AC144" s="849">
        <v>0.0</v>
      </c>
      <c r="AD144" s="849">
        <v>0.0</v>
      </c>
      <c r="AE144" s="849">
        <v>0.0</v>
      </c>
      <c r="AF144" s="849">
        <v>0.0</v>
      </c>
      <c r="AG144" s="849">
        <v>0.0</v>
      </c>
      <c r="AH144" s="849">
        <v>0.0</v>
      </c>
      <c r="AI144" s="849">
        <v>0.0</v>
      </c>
      <c r="AJ144" s="794" t="str">
        <f t="shared" ref="AJ144:AK144" si="285">C144</f>
        <v>G0680</v>
      </c>
      <c r="AK144" s="794" t="str">
        <f t="shared" si="285"/>
        <v>SERV INFORMATIQUE REP</v>
      </c>
      <c r="AL144" s="794">
        <f t="array" ref="AL144">IFERROR(INDEX(G144:R144,1,MATCH(Parametres!$B$3,G$1:R$1,0)-1)*IF(OR(F144="L",F144="S",F144="I"),-1,1),"")</f>
        <v>0</v>
      </c>
      <c r="AM144" s="794">
        <f t="shared" si="4"/>
        <v>0</v>
      </c>
      <c r="AN144" s="794">
        <f t="array" ref="AN144">INDEX(G144:R144,1,MATCH(Parametres!$B$3,G$1:R$1,0))*IF(OR(F144="L",F144="S",F144="I"),-1,1)</f>
        <v>0</v>
      </c>
      <c r="AO144" s="853" t="str">
        <f>+VLOOKUP($AJ144,Data_Validation!$A:$D,1,0)</f>
        <v>#N/A</v>
      </c>
      <c r="AP144" s="853" t="str">
        <f>+VLOOKUP($AJ144,Data_Validation!$A:$D,3,0)</f>
        <v>#N/A</v>
      </c>
      <c r="AQ144" s="853" t="str">
        <f>+VLOOKUP($AJ144,Data_Validation!$A:$D,4,0)</f>
        <v>#N/A</v>
      </c>
      <c r="AR144" s="853" t="s">
        <v>728</v>
      </c>
      <c r="AS144" s="853" t="str">
        <f>+VLOOKUP($AJ144,Data_Validation!$A:$E,5,0)</f>
        <v>#N/A</v>
      </c>
      <c r="AT144" s="794" t="str">
        <f t="shared" ref="AT144:AU144" si="286">C144</f>
        <v>G0680</v>
      </c>
      <c r="AU144" s="854" t="str">
        <f t="shared" si="286"/>
        <v>SERV INFORMATIQUE REP</v>
      </c>
      <c r="AV144" s="794">
        <f t="array" ref="AV144">IFERROR(INDEX(V144:AG144,1,MATCH(Parametres!$B$3,V$1:AG$1,0)-1)*IF(OR(C144="L",C144="S",C144="I"),-1,1),"")</f>
        <v>0</v>
      </c>
      <c r="AW144" s="794">
        <f t="shared" si="6"/>
        <v>0</v>
      </c>
      <c r="AX144" s="794">
        <f t="array" ref="AX144">INDEX(V144:AG144,1,MATCH(Parametres!$B$3,V$1:AG$1,0))*IF(OR(C144="L",C144="S",C144="I"),-1,1)</f>
        <v>0</v>
      </c>
      <c r="AY144" s="853" t="s">
        <v>772</v>
      </c>
      <c r="AZ144" s="853" t="str">
        <f>+VLOOKUP($AJ144,Data_Validation!$A:$E,5,0)</f>
        <v>#N/A</v>
      </c>
    </row>
    <row r="145" ht="15.0" customHeight="1">
      <c r="A145" s="849" t="s">
        <v>1239</v>
      </c>
      <c r="B145" s="849">
        <v>2025.0</v>
      </c>
      <c r="C145" s="849" t="s">
        <v>1594</v>
      </c>
      <c r="D145" s="849" t="s">
        <v>1595</v>
      </c>
      <c r="E145" s="849" t="s">
        <v>768</v>
      </c>
      <c r="F145" s="849" t="s">
        <v>1200</v>
      </c>
      <c r="G145" s="849">
        <v>4234.35</v>
      </c>
      <c r="H145" s="849">
        <v>8914.63</v>
      </c>
      <c r="I145" s="849">
        <v>11238.97</v>
      </c>
      <c r="J145" s="849">
        <v>14470.48</v>
      </c>
      <c r="K145" s="849">
        <v>20640.37</v>
      </c>
      <c r="L145" s="849">
        <v>24964.65</v>
      </c>
      <c r="M145" s="849">
        <v>29338.47</v>
      </c>
      <c r="N145" s="849">
        <v>34850.93</v>
      </c>
      <c r="O145" s="849">
        <v>37886.22</v>
      </c>
      <c r="P145" s="849">
        <v>41571.45</v>
      </c>
      <c r="Q145" s="849">
        <v>46635.2</v>
      </c>
      <c r="R145" s="849">
        <v>50643.05</v>
      </c>
      <c r="S145" s="849">
        <v>4239.56</v>
      </c>
      <c r="T145" s="849">
        <v>4239.56</v>
      </c>
      <c r="U145" s="849">
        <v>0.0</v>
      </c>
      <c r="V145" s="849">
        <v>0.0</v>
      </c>
      <c r="W145" s="849">
        <v>0.0</v>
      </c>
      <c r="X145" s="849">
        <v>0.0</v>
      </c>
      <c r="Y145" s="849">
        <v>0.0</v>
      </c>
      <c r="Z145" s="849">
        <v>0.0</v>
      </c>
      <c r="AA145" s="849">
        <v>0.0</v>
      </c>
      <c r="AB145" s="849">
        <v>0.0</v>
      </c>
      <c r="AC145" s="849">
        <v>0.0</v>
      </c>
      <c r="AD145" s="849">
        <v>0.0</v>
      </c>
      <c r="AE145" s="849">
        <v>0.0</v>
      </c>
      <c r="AF145" s="849">
        <v>0.0</v>
      </c>
      <c r="AG145" s="849">
        <v>0.0</v>
      </c>
      <c r="AH145" s="849">
        <v>0.0</v>
      </c>
      <c r="AI145" s="849">
        <v>0.0</v>
      </c>
      <c r="AJ145" s="794" t="str">
        <f t="shared" ref="AJ145:AK145" si="287">C145</f>
        <v>G0681</v>
      </c>
      <c r="AK145" s="794" t="str">
        <f t="shared" si="287"/>
        <v>SERV.INFORMATIQUE-NEUF</v>
      </c>
      <c r="AL145" s="794">
        <f t="array" ref="AL145">IFERROR(INDEX(G145:R145,1,MATCH(Parametres!$B$3,G$1:R$1,0)-1)*IF(OR(F145="L",F145="S",F145="I"),-1,1),"")</f>
        <v>34850.93</v>
      </c>
      <c r="AM145" s="794">
        <f t="shared" si="4"/>
        <v>3035.29</v>
      </c>
      <c r="AN145" s="794">
        <f t="array" ref="AN145">INDEX(G145:R145,1,MATCH(Parametres!$B$3,G$1:R$1,0))*IF(OR(F145="L",F145="S",F145="I"),-1,1)</f>
        <v>37886.22</v>
      </c>
      <c r="AO145" s="853" t="str">
        <f>+VLOOKUP($AJ145,Data_Validation!$A:$D,1,0)</f>
        <v>G0681</v>
      </c>
      <c r="AP145" s="853" t="str">
        <f>+VLOOKUP($AJ145,Data_Validation!$A:$D,3,0)</f>
        <v>Véhicules neufs</v>
      </c>
      <c r="AQ145" s="853" t="str">
        <f>+VLOOKUP($AJ145,Data_Validation!$A:$D,4,0)</f>
        <v>Informatique</v>
      </c>
      <c r="AR145" s="853" t="s">
        <v>728</v>
      </c>
      <c r="AS145" s="853" t="str">
        <f>+VLOOKUP($AJ145,Data_Validation!$A:$E,5,0)</f>
        <v/>
      </c>
      <c r="AT145" s="794" t="str">
        <f t="shared" ref="AT145:AU145" si="288">C145</f>
        <v>G0681</v>
      </c>
      <c r="AU145" s="854" t="str">
        <f t="shared" si="288"/>
        <v>SERV.INFORMATIQUE-NEUF</v>
      </c>
      <c r="AV145" s="794">
        <f t="array" ref="AV145">IFERROR(INDEX(V145:AG145,1,MATCH(Parametres!$B$3,V$1:AG$1,0)-1)*IF(OR(C145="L",C145="S",C145="I"),-1,1),"")</f>
        <v>0</v>
      </c>
      <c r="AW145" s="794">
        <f t="shared" si="6"/>
        <v>0</v>
      </c>
      <c r="AX145" s="794">
        <f t="array" ref="AX145">INDEX(V145:AG145,1,MATCH(Parametres!$B$3,V$1:AG$1,0))*IF(OR(C145="L",C145="S",C145="I"),-1,1)</f>
        <v>0</v>
      </c>
      <c r="AY145" s="853" t="s">
        <v>772</v>
      </c>
      <c r="AZ145" s="853" t="str">
        <f>+VLOOKUP($AJ145,Data_Validation!$A:$E,5,0)</f>
        <v/>
      </c>
    </row>
    <row r="146" ht="15.0" customHeight="1">
      <c r="A146" s="849" t="s">
        <v>1239</v>
      </c>
      <c r="B146" s="849">
        <v>2025.0</v>
      </c>
      <c r="C146" s="849" t="s">
        <v>1596</v>
      </c>
      <c r="D146" s="849" t="s">
        <v>1597</v>
      </c>
      <c r="E146" s="849" t="s">
        <v>768</v>
      </c>
      <c r="F146" s="849" t="s">
        <v>1200</v>
      </c>
      <c r="G146" s="849">
        <v>1864.02</v>
      </c>
      <c r="H146" s="849">
        <v>3596.56</v>
      </c>
      <c r="I146" s="849">
        <v>4409.59</v>
      </c>
      <c r="J146" s="849">
        <v>5847.41</v>
      </c>
      <c r="K146" s="849">
        <v>8852.67</v>
      </c>
      <c r="L146" s="849">
        <v>11071.22</v>
      </c>
      <c r="M146" s="849">
        <v>13199.25</v>
      </c>
      <c r="N146" s="849">
        <v>15686.1</v>
      </c>
      <c r="O146" s="849">
        <v>16578.46</v>
      </c>
      <c r="P146" s="849">
        <v>18223.87</v>
      </c>
      <c r="Q146" s="849">
        <v>19824.37</v>
      </c>
      <c r="R146" s="849">
        <v>21919.05</v>
      </c>
      <c r="S146" s="849">
        <v>1802.22</v>
      </c>
      <c r="T146" s="849">
        <v>1802.22</v>
      </c>
      <c r="U146" s="849">
        <v>0.0</v>
      </c>
      <c r="V146" s="849">
        <v>0.0</v>
      </c>
      <c r="W146" s="849">
        <v>0.0</v>
      </c>
      <c r="X146" s="849">
        <v>0.0</v>
      </c>
      <c r="Y146" s="849">
        <v>0.0</v>
      </c>
      <c r="Z146" s="849">
        <v>0.0</v>
      </c>
      <c r="AA146" s="849">
        <v>0.0</v>
      </c>
      <c r="AB146" s="849">
        <v>0.0</v>
      </c>
      <c r="AC146" s="849">
        <v>0.0</v>
      </c>
      <c r="AD146" s="849">
        <v>0.0</v>
      </c>
      <c r="AE146" s="849">
        <v>0.0</v>
      </c>
      <c r="AF146" s="849">
        <v>0.0</v>
      </c>
      <c r="AG146" s="849">
        <v>0.0</v>
      </c>
      <c r="AH146" s="849">
        <v>0.0</v>
      </c>
      <c r="AI146" s="849">
        <v>0.0</v>
      </c>
      <c r="AJ146" s="794" t="str">
        <f t="shared" ref="AJ146:AK146" si="289">C146</f>
        <v>G0682</v>
      </c>
      <c r="AK146" s="794" t="str">
        <f t="shared" si="289"/>
        <v>SERV.INFORMATIQUE-USAGE</v>
      </c>
      <c r="AL146" s="794">
        <f t="array" ref="AL146">IFERROR(INDEX(G146:R146,1,MATCH(Parametres!$B$3,G$1:R$1,0)-1)*IF(OR(F146="L",F146="S",F146="I"),-1,1),"")</f>
        <v>15686.1</v>
      </c>
      <c r="AM146" s="794">
        <f t="shared" si="4"/>
        <v>892.36</v>
      </c>
      <c r="AN146" s="794">
        <f t="array" ref="AN146">INDEX(G146:R146,1,MATCH(Parametres!$B$3,G$1:R$1,0))*IF(OR(F146="L",F146="S",F146="I"),-1,1)</f>
        <v>16578.46</v>
      </c>
      <c r="AO146" s="853" t="str">
        <f>+VLOOKUP($AJ146,Data_Validation!$A:$D,1,0)</f>
        <v>G0682</v>
      </c>
      <c r="AP146" s="853" t="str">
        <f>+VLOOKUP($AJ146,Data_Validation!$A:$D,3,0)</f>
        <v>Véhicules usagés</v>
      </c>
      <c r="AQ146" s="853" t="str">
        <f>+VLOOKUP($AJ146,Data_Validation!$A:$D,4,0)</f>
        <v>Informatique</v>
      </c>
      <c r="AR146" s="853" t="s">
        <v>728</v>
      </c>
      <c r="AS146" s="853" t="str">
        <f>+VLOOKUP($AJ146,Data_Validation!$A:$E,5,0)</f>
        <v/>
      </c>
      <c r="AT146" s="794" t="str">
        <f t="shared" ref="AT146:AU146" si="290">C146</f>
        <v>G0682</v>
      </c>
      <c r="AU146" s="854" t="str">
        <f t="shared" si="290"/>
        <v>SERV.INFORMATIQUE-USAGE</v>
      </c>
      <c r="AV146" s="794">
        <f t="array" ref="AV146">IFERROR(INDEX(V146:AG146,1,MATCH(Parametres!$B$3,V$1:AG$1,0)-1)*IF(OR(C146="L",C146="S",C146="I"),-1,1),"")</f>
        <v>0</v>
      </c>
      <c r="AW146" s="794">
        <f t="shared" si="6"/>
        <v>0</v>
      </c>
      <c r="AX146" s="794">
        <f t="array" ref="AX146">INDEX(V146:AG146,1,MATCH(Parametres!$B$3,V$1:AG$1,0))*IF(OR(C146="L",C146="S",C146="I"),-1,1)</f>
        <v>0</v>
      </c>
      <c r="AY146" s="853" t="s">
        <v>772</v>
      </c>
      <c r="AZ146" s="853" t="str">
        <f>+VLOOKUP($AJ146,Data_Validation!$A:$E,5,0)</f>
        <v/>
      </c>
    </row>
    <row r="147" ht="15.0" customHeight="1">
      <c r="A147" s="849" t="s">
        <v>1239</v>
      </c>
      <c r="B147" s="849">
        <v>2025.0</v>
      </c>
      <c r="C147" s="849" t="s">
        <v>1598</v>
      </c>
      <c r="D147" s="849" t="s">
        <v>1599</v>
      </c>
      <c r="E147" s="849" t="s">
        <v>768</v>
      </c>
      <c r="F147" s="849" t="s">
        <v>1200</v>
      </c>
      <c r="G147" s="849">
        <v>0.0</v>
      </c>
      <c r="H147" s="849">
        <v>0.0</v>
      </c>
      <c r="I147" s="849">
        <v>0.0</v>
      </c>
      <c r="J147" s="849">
        <v>0.0</v>
      </c>
      <c r="K147" s="849">
        <v>0.0</v>
      </c>
      <c r="L147" s="849">
        <v>0.0</v>
      </c>
      <c r="M147" s="849">
        <v>0.0</v>
      </c>
      <c r="N147" s="849">
        <v>0.0</v>
      </c>
      <c r="O147" s="849">
        <v>0.0</v>
      </c>
      <c r="P147" s="849">
        <v>0.0</v>
      </c>
      <c r="Q147" s="849">
        <v>0.0</v>
      </c>
      <c r="R147" s="849">
        <v>0.0</v>
      </c>
      <c r="S147" s="849">
        <v>0.0</v>
      </c>
      <c r="T147" s="849">
        <v>0.0</v>
      </c>
      <c r="U147" s="849">
        <v>0.0</v>
      </c>
      <c r="V147" s="849">
        <v>0.0</v>
      </c>
      <c r="W147" s="849">
        <v>0.0</v>
      </c>
      <c r="X147" s="849">
        <v>0.0</v>
      </c>
      <c r="Y147" s="849">
        <v>0.0</v>
      </c>
      <c r="Z147" s="849">
        <v>0.0</v>
      </c>
      <c r="AA147" s="849">
        <v>0.0</v>
      </c>
      <c r="AB147" s="849">
        <v>0.0</v>
      </c>
      <c r="AC147" s="849">
        <v>0.0</v>
      </c>
      <c r="AD147" s="849">
        <v>0.0</v>
      </c>
      <c r="AE147" s="849">
        <v>0.0</v>
      </c>
      <c r="AF147" s="849">
        <v>0.0</v>
      </c>
      <c r="AG147" s="849">
        <v>0.0</v>
      </c>
      <c r="AH147" s="849">
        <v>0.0</v>
      </c>
      <c r="AI147" s="849">
        <v>0.0</v>
      </c>
      <c r="AJ147" s="794" t="str">
        <f t="shared" ref="AJ147:AK147" si="291">C147</f>
        <v>G0683</v>
      </c>
      <c r="AK147" s="794" t="str">
        <f t="shared" si="291"/>
        <v>SERV. INFORMAT. U.S.A</v>
      </c>
      <c r="AL147" s="794">
        <f t="array" ref="AL147">IFERROR(INDEX(G147:R147,1,MATCH(Parametres!$B$3,G$1:R$1,0)-1)*IF(OR(F147="L",F147="S",F147="I"),-1,1),"")</f>
        <v>0</v>
      </c>
      <c r="AM147" s="794">
        <f t="shared" si="4"/>
        <v>0</v>
      </c>
      <c r="AN147" s="794">
        <f t="array" ref="AN147">INDEX(G147:R147,1,MATCH(Parametres!$B$3,G$1:R$1,0))*IF(OR(F147="L",F147="S",F147="I"),-1,1)</f>
        <v>0</v>
      </c>
      <c r="AO147" s="853" t="str">
        <f>+VLOOKUP($AJ147,Data_Validation!$A:$D,1,0)</f>
        <v>G0683</v>
      </c>
      <c r="AP147" s="853" t="str">
        <f>+VLOOKUP($AJ147,Data_Validation!$A:$D,3,0)</f>
        <v>Wholesale autres</v>
      </c>
      <c r="AQ147" s="853" t="str">
        <f>+VLOOKUP($AJ147,Data_Validation!$A:$D,4,0)</f>
        <v>Informatique</v>
      </c>
      <c r="AR147" s="853" t="s">
        <v>728</v>
      </c>
      <c r="AS147" s="853" t="str">
        <f>+VLOOKUP($AJ147,Data_Validation!$A:$E,5,0)</f>
        <v/>
      </c>
      <c r="AT147" s="794" t="str">
        <f t="shared" ref="AT147:AU147" si="292">C147</f>
        <v>G0683</v>
      </c>
      <c r="AU147" s="854" t="str">
        <f t="shared" si="292"/>
        <v>SERV. INFORMAT. U.S.A</v>
      </c>
      <c r="AV147" s="794">
        <f t="array" ref="AV147">IFERROR(INDEX(V147:AG147,1,MATCH(Parametres!$B$3,V$1:AG$1,0)-1)*IF(OR(C147="L",C147="S",C147="I"),-1,1),"")</f>
        <v>0</v>
      </c>
      <c r="AW147" s="794">
        <f t="shared" si="6"/>
        <v>0</v>
      </c>
      <c r="AX147" s="794">
        <f t="array" ref="AX147">INDEX(V147:AG147,1,MATCH(Parametres!$B$3,V$1:AG$1,0))*IF(OR(C147="L",C147="S",C147="I"),-1,1)</f>
        <v>0</v>
      </c>
      <c r="AY147" s="853" t="s">
        <v>772</v>
      </c>
      <c r="AZ147" s="853" t="str">
        <f>+VLOOKUP($AJ147,Data_Validation!$A:$E,5,0)</f>
        <v/>
      </c>
    </row>
    <row r="148" ht="15.0" customHeight="1">
      <c r="A148" s="849" t="s">
        <v>1239</v>
      </c>
      <c r="B148" s="849">
        <v>2025.0</v>
      </c>
      <c r="C148" s="849" t="s">
        <v>1600</v>
      </c>
      <c r="D148" s="849" t="s">
        <v>1601</v>
      </c>
      <c r="E148" s="849" t="s">
        <v>768</v>
      </c>
      <c r="F148" s="849" t="s">
        <v>1200</v>
      </c>
      <c r="G148" s="849">
        <v>1955.11</v>
      </c>
      <c r="H148" s="849">
        <v>3516.66</v>
      </c>
      <c r="I148" s="849">
        <v>5725.56</v>
      </c>
      <c r="J148" s="849">
        <v>9124.48</v>
      </c>
      <c r="K148" s="849">
        <v>11781.4</v>
      </c>
      <c r="L148" s="849">
        <v>14856.19</v>
      </c>
      <c r="M148" s="849">
        <v>17915.28</v>
      </c>
      <c r="N148" s="849">
        <v>20761.61</v>
      </c>
      <c r="O148" s="849">
        <v>23840.51</v>
      </c>
      <c r="P148" s="849">
        <v>27285.45</v>
      </c>
      <c r="Q148" s="849">
        <v>29444.86</v>
      </c>
      <c r="R148" s="849">
        <v>34626.99</v>
      </c>
      <c r="S148" s="849">
        <v>2676.81</v>
      </c>
      <c r="T148" s="849">
        <v>2676.81</v>
      </c>
      <c r="U148" s="849">
        <v>0.0</v>
      </c>
      <c r="V148" s="849">
        <v>0.0</v>
      </c>
      <c r="W148" s="849">
        <v>0.0</v>
      </c>
      <c r="X148" s="849">
        <v>0.0</v>
      </c>
      <c r="Y148" s="849">
        <v>0.0</v>
      </c>
      <c r="Z148" s="849">
        <v>0.0</v>
      </c>
      <c r="AA148" s="849">
        <v>0.0</v>
      </c>
      <c r="AB148" s="849">
        <v>0.0</v>
      </c>
      <c r="AC148" s="849">
        <v>0.0</v>
      </c>
      <c r="AD148" s="849">
        <v>0.0</v>
      </c>
      <c r="AE148" s="849">
        <v>0.0</v>
      </c>
      <c r="AF148" s="849">
        <v>0.0</v>
      </c>
      <c r="AG148" s="849">
        <v>0.0</v>
      </c>
      <c r="AH148" s="849">
        <v>0.0</v>
      </c>
      <c r="AI148" s="849">
        <v>0.0</v>
      </c>
      <c r="AJ148" s="794" t="str">
        <f t="shared" ref="AJ148:AK148" si="293">C148</f>
        <v>G0684</v>
      </c>
      <c r="AK148" s="794" t="str">
        <f t="shared" si="293"/>
        <v>SERV.INFORMATIQUE-SERV.</v>
      </c>
      <c r="AL148" s="794">
        <f t="array" ref="AL148">IFERROR(INDEX(G148:R148,1,MATCH(Parametres!$B$3,G$1:R$1,0)-1)*IF(OR(F148="L",F148="S",F148="I"),-1,1),"")</f>
        <v>20761.61</v>
      </c>
      <c r="AM148" s="794">
        <f t="shared" si="4"/>
        <v>3078.9</v>
      </c>
      <c r="AN148" s="794">
        <f t="array" ref="AN148">INDEX(G148:R148,1,MATCH(Parametres!$B$3,G$1:R$1,0))*IF(OR(F148="L",F148="S",F148="I"),-1,1)</f>
        <v>23840.51</v>
      </c>
      <c r="AO148" s="853" t="str">
        <f>+VLOOKUP($AJ148,Data_Validation!$A:$D,1,0)</f>
        <v>G0684</v>
      </c>
      <c r="AP148" s="853" t="str">
        <f>+VLOOKUP($AJ148,Data_Validation!$A:$D,3,0)</f>
        <v>Service</v>
      </c>
      <c r="AQ148" s="853" t="str">
        <f>+VLOOKUP($AJ148,Data_Validation!$A:$D,4,0)</f>
        <v>Informatique</v>
      </c>
      <c r="AR148" s="853" t="s">
        <v>728</v>
      </c>
      <c r="AS148" s="853" t="str">
        <f>+VLOOKUP($AJ148,Data_Validation!$A:$E,5,0)</f>
        <v/>
      </c>
      <c r="AT148" s="794" t="str">
        <f t="shared" ref="AT148:AU148" si="294">C148</f>
        <v>G0684</v>
      </c>
      <c r="AU148" s="854" t="str">
        <f t="shared" si="294"/>
        <v>SERV.INFORMATIQUE-SERV.</v>
      </c>
      <c r="AV148" s="794">
        <f t="array" ref="AV148">IFERROR(INDEX(V148:AG148,1,MATCH(Parametres!$B$3,V$1:AG$1,0)-1)*IF(OR(C148="L",C148="S",C148="I"),-1,1),"")</f>
        <v>0</v>
      </c>
      <c r="AW148" s="794">
        <f t="shared" si="6"/>
        <v>0</v>
      </c>
      <c r="AX148" s="794">
        <f t="array" ref="AX148">INDEX(V148:AG148,1,MATCH(Parametres!$B$3,V$1:AG$1,0))*IF(OR(C148="L",C148="S",C148="I"),-1,1)</f>
        <v>0</v>
      </c>
      <c r="AY148" s="853" t="s">
        <v>772</v>
      </c>
      <c r="AZ148" s="853" t="str">
        <f>+VLOOKUP($AJ148,Data_Validation!$A:$E,5,0)</f>
        <v/>
      </c>
    </row>
    <row r="149" ht="15.0" customHeight="1">
      <c r="A149" s="849" t="s">
        <v>1239</v>
      </c>
      <c r="B149" s="849">
        <v>2025.0</v>
      </c>
      <c r="C149" s="849" t="s">
        <v>1602</v>
      </c>
      <c r="D149" s="849" t="s">
        <v>1603</v>
      </c>
      <c r="E149" s="849" t="s">
        <v>768</v>
      </c>
      <c r="F149" s="849" t="s">
        <v>1200</v>
      </c>
      <c r="G149" s="849">
        <v>343.34</v>
      </c>
      <c r="H149" s="849">
        <v>2465.33</v>
      </c>
      <c r="I149" s="849">
        <v>4015.97</v>
      </c>
      <c r="J149" s="849">
        <v>6529.65</v>
      </c>
      <c r="K149" s="849">
        <v>8888.79</v>
      </c>
      <c r="L149" s="849">
        <v>10263.72</v>
      </c>
      <c r="M149" s="849">
        <v>11038.8</v>
      </c>
      <c r="N149" s="849">
        <v>12648.07</v>
      </c>
      <c r="O149" s="849">
        <v>15209.96</v>
      </c>
      <c r="P149" s="849">
        <v>17658.47</v>
      </c>
      <c r="Q149" s="849">
        <v>19792.52</v>
      </c>
      <c r="R149" s="849">
        <v>22471.67</v>
      </c>
      <c r="S149" s="849">
        <v>1799.32</v>
      </c>
      <c r="T149" s="849">
        <v>1799.32</v>
      </c>
      <c r="U149" s="849">
        <v>0.0</v>
      </c>
      <c r="V149" s="849">
        <v>0.0</v>
      </c>
      <c r="W149" s="849">
        <v>0.0</v>
      </c>
      <c r="X149" s="849">
        <v>0.0</v>
      </c>
      <c r="Y149" s="849">
        <v>0.0</v>
      </c>
      <c r="Z149" s="849">
        <v>0.0</v>
      </c>
      <c r="AA149" s="849">
        <v>0.0</v>
      </c>
      <c r="AB149" s="849">
        <v>0.0</v>
      </c>
      <c r="AC149" s="849">
        <v>0.0</v>
      </c>
      <c r="AD149" s="849">
        <v>0.0</v>
      </c>
      <c r="AE149" s="849">
        <v>0.0</v>
      </c>
      <c r="AF149" s="849">
        <v>0.0</v>
      </c>
      <c r="AG149" s="849">
        <v>0.0</v>
      </c>
      <c r="AH149" s="849">
        <v>0.0</v>
      </c>
      <c r="AI149" s="849">
        <v>0.0</v>
      </c>
      <c r="AJ149" s="794" t="str">
        <f t="shared" ref="AJ149:AK149" si="295">C149</f>
        <v>G0685</v>
      </c>
      <c r="AK149" s="794" t="str">
        <f t="shared" si="295"/>
        <v>SERV.INFORMATIQUE-CARR.</v>
      </c>
      <c r="AL149" s="794">
        <f t="array" ref="AL149">IFERROR(INDEX(G149:R149,1,MATCH(Parametres!$B$3,G$1:R$1,0)-1)*IF(OR(F149="L",F149="S",F149="I"),-1,1),"")</f>
        <v>12648.07</v>
      </c>
      <c r="AM149" s="794">
        <f t="shared" si="4"/>
        <v>2561.89</v>
      </c>
      <c r="AN149" s="794">
        <f t="array" ref="AN149">INDEX(G149:R149,1,MATCH(Parametres!$B$3,G$1:R$1,0))*IF(OR(F149="L",F149="S",F149="I"),-1,1)</f>
        <v>15209.96</v>
      </c>
      <c r="AO149" s="853" t="str">
        <f>+VLOOKUP($AJ149,Data_Validation!$A:$D,1,0)</f>
        <v>G0685</v>
      </c>
      <c r="AP149" s="853" t="str">
        <f>+VLOOKUP($AJ149,Data_Validation!$A:$D,3,0)</f>
        <v>Carrosserie</v>
      </c>
      <c r="AQ149" s="853" t="str">
        <f>+VLOOKUP($AJ149,Data_Validation!$A:$D,4,0)</f>
        <v>Informatique</v>
      </c>
      <c r="AR149" s="853" t="s">
        <v>728</v>
      </c>
      <c r="AS149" s="853" t="str">
        <f>+VLOOKUP($AJ149,Data_Validation!$A:$E,5,0)</f>
        <v/>
      </c>
      <c r="AT149" s="794" t="str">
        <f t="shared" ref="AT149:AU149" si="296">C149</f>
        <v>G0685</v>
      </c>
      <c r="AU149" s="854" t="str">
        <f t="shared" si="296"/>
        <v>SERV.INFORMATIQUE-CARR.</v>
      </c>
      <c r="AV149" s="794">
        <f t="array" ref="AV149">IFERROR(INDEX(V149:AG149,1,MATCH(Parametres!$B$3,V$1:AG$1,0)-1)*IF(OR(C149="L",C149="S",C149="I"),-1,1),"")</f>
        <v>0</v>
      </c>
      <c r="AW149" s="794">
        <f t="shared" si="6"/>
        <v>0</v>
      </c>
      <c r="AX149" s="794">
        <f t="array" ref="AX149">INDEX(V149:AG149,1,MATCH(Parametres!$B$3,V$1:AG$1,0))*IF(OR(C149="L",C149="S",C149="I"),-1,1)</f>
        <v>0</v>
      </c>
      <c r="AY149" s="853" t="s">
        <v>772</v>
      </c>
      <c r="AZ149" s="853" t="str">
        <f>+VLOOKUP($AJ149,Data_Validation!$A:$E,5,0)</f>
        <v/>
      </c>
    </row>
    <row r="150" ht="15.0" customHeight="1">
      <c r="A150" s="849" t="s">
        <v>1239</v>
      </c>
      <c r="B150" s="849">
        <v>2025.0</v>
      </c>
      <c r="C150" s="849" t="s">
        <v>1604</v>
      </c>
      <c r="D150" s="849" t="s">
        <v>1605</v>
      </c>
      <c r="E150" s="849" t="s">
        <v>768</v>
      </c>
      <c r="F150" s="849" t="s">
        <v>1200</v>
      </c>
      <c r="G150" s="849">
        <v>1446.66</v>
      </c>
      <c r="H150" s="849">
        <v>3019.08</v>
      </c>
      <c r="I150" s="849">
        <v>4717.64</v>
      </c>
      <c r="J150" s="849">
        <v>6414.52</v>
      </c>
      <c r="K150" s="849">
        <v>8080.76</v>
      </c>
      <c r="L150" s="849">
        <v>9972.37</v>
      </c>
      <c r="M150" s="849">
        <v>11858.76</v>
      </c>
      <c r="N150" s="849">
        <v>13687.55</v>
      </c>
      <c r="O150" s="849">
        <v>15292.21</v>
      </c>
      <c r="P150" s="849">
        <v>17199.36</v>
      </c>
      <c r="Q150" s="849">
        <v>18901.29</v>
      </c>
      <c r="R150" s="849">
        <v>21117.29</v>
      </c>
      <c r="S150" s="849">
        <v>1718.3</v>
      </c>
      <c r="T150" s="849">
        <v>1718.3</v>
      </c>
      <c r="U150" s="849">
        <v>0.0</v>
      </c>
      <c r="V150" s="849">
        <v>0.0</v>
      </c>
      <c r="W150" s="849">
        <v>0.0</v>
      </c>
      <c r="X150" s="849">
        <v>0.0</v>
      </c>
      <c r="Y150" s="849">
        <v>0.0</v>
      </c>
      <c r="Z150" s="849">
        <v>0.0</v>
      </c>
      <c r="AA150" s="849">
        <v>0.0</v>
      </c>
      <c r="AB150" s="849">
        <v>0.0</v>
      </c>
      <c r="AC150" s="849">
        <v>0.0</v>
      </c>
      <c r="AD150" s="849">
        <v>0.0</v>
      </c>
      <c r="AE150" s="849">
        <v>0.0</v>
      </c>
      <c r="AF150" s="849">
        <v>0.0</v>
      </c>
      <c r="AG150" s="849">
        <v>0.0</v>
      </c>
      <c r="AH150" s="849">
        <v>0.0</v>
      </c>
      <c r="AI150" s="849">
        <v>0.0</v>
      </c>
      <c r="AJ150" s="794" t="str">
        <f t="shared" ref="AJ150:AK150" si="297">C150</f>
        <v>G0686</v>
      </c>
      <c r="AK150" s="794" t="str">
        <f t="shared" si="297"/>
        <v>SERV.INFORMATIQUE-PIECES</v>
      </c>
      <c r="AL150" s="794">
        <f t="array" ref="AL150">IFERROR(INDEX(G150:R150,1,MATCH(Parametres!$B$3,G$1:R$1,0)-1)*IF(OR(F150="L",F150="S",F150="I"),-1,1),"")</f>
        <v>13687.55</v>
      </c>
      <c r="AM150" s="794">
        <f t="shared" si="4"/>
        <v>1604.66</v>
      </c>
      <c r="AN150" s="794">
        <f t="array" ref="AN150">INDEX(G150:R150,1,MATCH(Parametres!$B$3,G$1:R$1,0))*IF(OR(F150="L",F150="S",F150="I"),-1,1)</f>
        <v>15292.21</v>
      </c>
      <c r="AO150" s="853" t="str">
        <f>+VLOOKUP($AJ150,Data_Validation!$A:$D,1,0)</f>
        <v>G0686</v>
      </c>
      <c r="AP150" s="853" t="str">
        <f>+VLOOKUP($AJ150,Data_Validation!$A:$D,3,0)</f>
        <v>Pièces</v>
      </c>
      <c r="AQ150" s="853" t="str">
        <f>+VLOOKUP($AJ150,Data_Validation!$A:$D,4,0)</f>
        <v>Informatique</v>
      </c>
      <c r="AR150" s="853" t="s">
        <v>728</v>
      </c>
      <c r="AS150" s="853" t="str">
        <f>+VLOOKUP($AJ150,Data_Validation!$A:$E,5,0)</f>
        <v/>
      </c>
      <c r="AT150" s="794" t="str">
        <f t="shared" ref="AT150:AU150" si="298">C150</f>
        <v>G0686</v>
      </c>
      <c r="AU150" s="854" t="str">
        <f t="shared" si="298"/>
        <v>SERV.INFORMATIQUE-PIECES</v>
      </c>
      <c r="AV150" s="794">
        <f t="array" ref="AV150">IFERROR(INDEX(V150:AG150,1,MATCH(Parametres!$B$3,V$1:AG$1,0)-1)*IF(OR(C150="L",C150="S",C150="I"),-1,1),"")</f>
        <v>0</v>
      </c>
      <c r="AW150" s="794">
        <f t="shared" si="6"/>
        <v>0</v>
      </c>
      <c r="AX150" s="794">
        <f t="array" ref="AX150">INDEX(V150:AG150,1,MATCH(Parametres!$B$3,V$1:AG$1,0))*IF(OR(C150="L",C150="S",C150="I"),-1,1)</f>
        <v>0</v>
      </c>
      <c r="AY150" s="853" t="s">
        <v>772</v>
      </c>
      <c r="AZ150" s="853" t="str">
        <f>+VLOOKUP($AJ150,Data_Validation!$A:$E,5,0)</f>
        <v/>
      </c>
    </row>
    <row r="151" ht="15.75" customHeight="1">
      <c r="A151" s="849" t="s">
        <v>1239</v>
      </c>
      <c r="B151" s="849">
        <v>2025.0</v>
      </c>
      <c r="C151" s="849" t="s">
        <v>1606</v>
      </c>
      <c r="D151" s="849" t="s">
        <v>1607</v>
      </c>
      <c r="E151" s="849" t="s">
        <v>768</v>
      </c>
      <c r="F151" s="849" t="s">
        <v>1200</v>
      </c>
      <c r="G151" s="849">
        <v>0.0</v>
      </c>
      <c r="H151" s="849">
        <v>0.0</v>
      </c>
      <c r="I151" s="849">
        <v>0.0</v>
      </c>
      <c r="J151" s="849">
        <v>0.0</v>
      </c>
      <c r="K151" s="849">
        <v>0.0</v>
      </c>
      <c r="L151" s="849">
        <v>0.0</v>
      </c>
      <c r="M151" s="849">
        <v>0.0</v>
      </c>
      <c r="N151" s="849">
        <v>0.0</v>
      </c>
      <c r="O151" s="849">
        <v>0.0</v>
      </c>
      <c r="P151" s="849">
        <v>0.0</v>
      </c>
      <c r="Q151" s="849">
        <v>0.0</v>
      </c>
      <c r="R151" s="849">
        <v>0.0</v>
      </c>
      <c r="S151" s="849">
        <v>0.0</v>
      </c>
      <c r="T151" s="849">
        <v>0.0</v>
      </c>
      <c r="U151" s="849">
        <v>0.0</v>
      </c>
      <c r="V151" s="849">
        <v>0.0</v>
      </c>
      <c r="W151" s="849">
        <v>0.0</v>
      </c>
      <c r="X151" s="849">
        <v>0.0</v>
      </c>
      <c r="Y151" s="849">
        <v>0.0</v>
      </c>
      <c r="Z151" s="849">
        <v>0.0</v>
      </c>
      <c r="AA151" s="849">
        <v>0.0</v>
      </c>
      <c r="AB151" s="849">
        <v>0.0</v>
      </c>
      <c r="AC151" s="849">
        <v>0.0</v>
      </c>
      <c r="AD151" s="849">
        <v>0.0</v>
      </c>
      <c r="AE151" s="849">
        <v>0.0</v>
      </c>
      <c r="AF151" s="849">
        <v>0.0</v>
      </c>
      <c r="AG151" s="849">
        <v>0.0</v>
      </c>
      <c r="AH151" s="849">
        <v>0.0</v>
      </c>
      <c r="AI151" s="849">
        <v>0.0</v>
      </c>
      <c r="AJ151" s="794" t="str">
        <f t="shared" ref="AJ151:AK151" si="299">C151</f>
        <v>G0687</v>
      </c>
      <c r="AK151" s="794" t="str">
        <f t="shared" si="299"/>
        <v>SERV.INFORMATIQUE-PIECE</v>
      </c>
      <c r="AL151" s="794">
        <f t="array" ref="AL151">IFERROR(INDEX(G151:R151,1,MATCH(Parametres!$B$3,G$1:R$1,0)-1)*IF(OR(F151="L",F151="S",F151="I"),-1,1),"")</f>
        <v>0</v>
      </c>
      <c r="AM151" s="794">
        <f t="shared" si="4"/>
        <v>0</v>
      </c>
      <c r="AN151" s="794">
        <f t="array" ref="AN151">INDEX(G151:R151,1,MATCH(Parametres!$B$3,G$1:R$1,0))*IF(OR(F151="L",F151="S",F151="I"),-1,1)</f>
        <v>0</v>
      </c>
      <c r="AO151" s="853" t="str">
        <f>+VLOOKUP($AJ151,Data_Validation!$A:$D,1,0)</f>
        <v>G0687</v>
      </c>
      <c r="AP151" s="853" t="str">
        <f>+VLOOKUP($AJ151,Data_Validation!$A:$D,3,0)</f>
        <v>SAAQ</v>
      </c>
      <c r="AQ151" s="853" t="str">
        <f>+VLOOKUP($AJ151,Data_Validation!$A:$D,4,0)</f>
        <v>Informatique</v>
      </c>
      <c r="AR151" s="853" t="s">
        <v>728</v>
      </c>
      <c r="AS151" s="853" t="str">
        <f>+VLOOKUP($AJ151,Data_Validation!$A:$E,5,0)</f>
        <v/>
      </c>
      <c r="AT151" s="794" t="str">
        <f t="shared" ref="AT151:AU151" si="300">C151</f>
        <v>G0687</v>
      </c>
      <c r="AU151" s="854" t="str">
        <f t="shared" si="300"/>
        <v>SERV.INFORMATIQUE-PIECE</v>
      </c>
      <c r="AV151" s="794">
        <f t="array" ref="AV151">IFERROR(INDEX(V151:AG151,1,MATCH(Parametres!$B$3,V$1:AG$1,0)-1)*IF(OR(C151="L",C151="S",C151="I"),-1,1),"")</f>
        <v>0</v>
      </c>
      <c r="AW151" s="794">
        <f t="shared" si="6"/>
        <v>0</v>
      </c>
      <c r="AX151" s="794">
        <f t="array" ref="AX151">INDEX(V151:AG151,1,MATCH(Parametres!$B$3,V$1:AG$1,0))*IF(OR(C151="L",C151="S",C151="I"),-1,1)</f>
        <v>0</v>
      </c>
      <c r="AY151" s="853" t="s">
        <v>772</v>
      </c>
      <c r="AZ151" s="853" t="str">
        <f>+VLOOKUP($AJ151,Data_Validation!$A:$E,5,0)</f>
        <v/>
      </c>
    </row>
    <row r="152" ht="15.0" customHeight="1">
      <c r="A152" s="849" t="s">
        <v>1239</v>
      </c>
      <c r="B152" s="849">
        <v>2025.0</v>
      </c>
      <c r="C152" s="849" t="s">
        <v>1608</v>
      </c>
      <c r="D152" s="849" t="s">
        <v>1609</v>
      </c>
      <c r="E152" s="849" t="s">
        <v>768</v>
      </c>
      <c r="F152" s="849" t="s">
        <v>1200</v>
      </c>
      <c r="G152" s="849">
        <v>0.0</v>
      </c>
      <c r="H152" s="849">
        <v>0.0</v>
      </c>
      <c r="I152" s="849">
        <v>0.0</v>
      </c>
      <c r="J152" s="849">
        <v>0.0</v>
      </c>
      <c r="K152" s="849">
        <v>0.0</v>
      </c>
      <c r="L152" s="849">
        <v>0.0</v>
      </c>
      <c r="M152" s="849">
        <v>0.0</v>
      </c>
      <c r="N152" s="849">
        <v>0.0</v>
      </c>
      <c r="O152" s="849">
        <v>0.0</v>
      </c>
      <c r="P152" s="849">
        <v>0.0</v>
      </c>
      <c r="Q152" s="849">
        <v>0.0</v>
      </c>
      <c r="R152" s="849">
        <v>0.0</v>
      </c>
      <c r="S152" s="849">
        <v>0.0</v>
      </c>
      <c r="T152" s="849">
        <v>0.0</v>
      </c>
      <c r="U152" s="849">
        <v>0.0</v>
      </c>
      <c r="V152" s="849">
        <v>0.0</v>
      </c>
      <c r="W152" s="849">
        <v>0.0</v>
      </c>
      <c r="X152" s="849">
        <v>0.0</v>
      </c>
      <c r="Y152" s="849">
        <v>0.0</v>
      </c>
      <c r="Z152" s="849">
        <v>0.0</v>
      </c>
      <c r="AA152" s="849">
        <v>0.0</v>
      </c>
      <c r="AB152" s="849">
        <v>0.0</v>
      </c>
      <c r="AC152" s="849">
        <v>0.0</v>
      </c>
      <c r="AD152" s="849">
        <v>0.0</v>
      </c>
      <c r="AE152" s="849">
        <v>0.0</v>
      </c>
      <c r="AF152" s="849">
        <v>0.0</v>
      </c>
      <c r="AG152" s="849">
        <v>0.0</v>
      </c>
      <c r="AH152" s="849">
        <v>0.0</v>
      </c>
      <c r="AI152" s="849">
        <v>0.0</v>
      </c>
      <c r="AJ152" s="794" t="str">
        <f t="shared" ref="AJ152:AK152" si="301">C152</f>
        <v>G0689</v>
      </c>
      <c r="AK152" s="794" t="str">
        <f t="shared" si="301"/>
        <v>SERV.INFORMATIQUE-ADMIN</v>
      </c>
      <c r="AL152" s="794">
        <f t="array" ref="AL152">IFERROR(INDEX(G152:R152,1,MATCH(Parametres!$B$3,G$1:R$1,0)-1)*IF(OR(F152="L",F152="S",F152="I"),-1,1),"")</f>
        <v>0</v>
      </c>
      <c r="AM152" s="794">
        <f t="shared" si="4"/>
        <v>0</v>
      </c>
      <c r="AN152" s="794">
        <f t="array" ref="AN152">INDEX(G152:R152,1,MATCH(Parametres!$B$3,G$1:R$1,0))*IF(OR(F152="L",F152="S",F152="I"),-1,1)</f>
        <v>0</v>
      </c>
      <c r="AO152" s="853" t="str">
        <f>+VLOOKUP($AJ152,Data_Validation!$A:$D,1,0)</f>
        <v>#N/A</v>
      </c>
      <c r="AP152" s="853" t="str">
        <f>+VLOOKUP($AJ152,Data_Validation!$A:$D,3,0)</f>
        <v>#N/A</v>
      </c>
      <c r="AQ152" s="853" t="str">
        <f>+VLOOKUP($AJ152,Data_Validation!$A:$D,4,0)</f>
        <v>#N/A</v>
      </c>
      <c r="AR152" s="853" t="s">
        <v>728</v>
      </c>
      <c r="AS152" s="853" t="str">
        <f>+VLOOKUP($AJ152,Data_Validation!$A:$E,5,0)</f>
        <v>#N/A</v>
      </c>
      <c r="AT152" s="794" t="str">
        <f t="shared" ref="AT152:AU152" si="302">C152</f>
        <v>G0689</v>
      </c>
      <c r="AU152" s="854" t="str">
        <f t="shared" si="302"/>
        <v>SERV.INFORMATIQUE-ADMIN</v>
      </c>
      <c r="AV152" s="794">
        <f t="array" ref="AV152">IFERROR(INDEX(V152:AG152,1,MATCH(Parametres!$B$3,V$1:AG$1,0)-1)*IF(OR(C152="L",C152="S",C152="I"),-1,1),"")</f>
        <v>0</v>
      </c>
      <c r="AW152" s="794">
        <f t="shared" si="6"/>
        <v>0</v>
      </c>
      <c r="AX152" s="794">
        <f t="array" ref="AX152">INDEX(V152:AG152,1,MATCH(Parametres!$B$3,V$1:AG$1,0))*IF(OR(C152="L",C152="S",C152="I"),-1,1)</f>
        <v>0</v>
      </c>
      <c r="AY152" s="853" t="s">
        <v>772</v>
      </c>
      <c r="AZ152" s="853" t="str">
        <f>+VLOOKUP($AJ152,Data_Validation!$A:$E,5,0)</f>
        <v>#N/A</v>
      </c>
    </row>
    <row r="153" ht="15.0" customHeight="1">
      <c r="A153" s="849" t="s">
        <v>1239</v>
      </c>
      <c r="B153" s="849">
        <v>2025.0</v>
      </c>
      <c r="C153" s="849" t="s">
        <v>1610</v>
      </c>
      <c r="D153" s="849" t="s">
        <v>1611</v>
      </c>
      <c r="E153" s="849" t="s">
        <v>768</v>
      </c>
      <c r="F153" s="849" t="s">
        <v>1200</v>
      </c>
      <c r="G153" s="849">
        <v>0.0</v>
      </c>
      <c r="H153" s="849">
        <v>0.0</v>
      </c>
      <c r="I153" s="849">
        <v>0.0</v>
      </c>
      <c r="J153" s="849">
        <v>0.0</v>
      </c>
      <c r="K153" s="849">
        <v>0.0</v>
      </c>
      <c r="L153" s="849">
        <v>0.0</v>
      </c>
      <c r="M153" s="849">
        <v>0.0</v>
      </c>
      <c r="N153" s="849">
        <v>0.0</v>
      </c>
      <c r="O153" s="849">
        <v>0.0</v>
      </c>
      <c r="P153" s="849">
        <v>0.0</v>
      </c>
      <c r="Q153" s="849">
        <v>0.0</v>
      </c>
      <c r="R153" s="849">
        <v>0.0</v>
      </c>
      <c r="S153" s="849">
        <v>0.0</v>
      </c>
      <c r="T153" s="849">
        <v>0.0</v>
      </c>
      <c r="U153" s="849">
        <v>0.0</v>
      </c>
      <c r="V153" s="849">
        <v>0.0</v>
      </c>
      <c r="W153" s="849">
        <v>0.0</v>
      </c>
      <c r="X153" s="849">
        <v>0.0</v>
      </c>
      <c r="Y153" s="849">
        <v>0.0</v>
      </c>
      <c r="Z153" s="849">
        <v>0.0</v>
      </c>
      <c r="AA153" s="849">
        <v>0.0</v>
      </c>
      <c r="AB153" s="849">
        <v>0.0</v>
      </c>
      <c r="AC153" s="849">
        <v>0.0</v>
      </c>
      <c r="AD153" s="849">
        <v>0.0</v>
      </c>
      <c r="AE153" s="849">
        <v>0.0</v>
      </c>
      <c r="AF153" s="849">
        <v>0.0</v>
      </c>
      <c r="AG153" s="849">
        <v>0.0</v>
      </c>
      <c r="AH153" s="849">
        <v>0.0</v>
      </c>
      <c r="AI153" s="849">
        <v>0.0</v>
      </c>
      <c r="AJ153" s="794" t="str">
        <f t="shared" ref="AJ153:AK153" si="303">C153</f>
        <v>G0690</v>
      </c>
      <c r="AK153" s="794" t="str">
        <f t="shared" si="303"/>
        <v>SERV EXTERIEUR REP</v>
      </c>
      <c r="AL153" s="794">
        <f t="array" ref="AL153">IFERROR(INDEX(G153:R153,1,MATCH(Parametres!$B$3,G$1:R$1,0)-1)*IF(OR(F153="L",F153="S",F153="I"),-1,1),"")</f>
        <v>0</v>
      </c>
      <c r="AM153" s="794">
        <f t="shared" si="4"/>
        <v>0</v>
      </c>
      <c r="AN153" s="794">
        <f t="array" ref="AN153">INDEX(G153:R153,1,MATCH(Parametres!$B$3,G$1:R$1,0))*IF(OR(F153="L",F153="S",F153="I"),-1,1)</f>
        <v>0</v>
      </c>
      <c r="AO153" s="853" t="str">
        <f>+VLOOKUP($AJ153,Data_Validation!$A:$D,1,0)</f>
        <v>#N/A</v>
      </c>
      <c r="AP153" s="853" t="str">
        <f>+VLOOKUP($AJ153,Data_Validation!$A:$D,3,0)</f>
        <v>#N/A</v>
      </c>
      <c r="AQ153" s="853" t="str">
        <f>+VLOOKUP($AJ153,Data_Validation!$A:$D,4,0)</f>
        <v>#N/A</v>
      </c>
      <c r="AR153" s="853" t="s">
        <v>728</v>
      </c>
      <c r="AS153" s="853" t="str">
        <f>+VLOOKUP($AJ153,Data_Validation!$A:$E,5,0)</f>
        <v>#N/A</v>
      </c>
      <c r="AT153" s="794" t="str">
        <f t="shared" ref="AT153:AU153" si="304">C153</f>
        <v>G0690</v>
      </c>
      <c r="AU153" s="854" t="str">
        <f t="shared" si="304"/>
        <v>SERV EXTERIEUR REP</v>
      </c>
      <c r="AV153" s="794">
        <f t="array" ref="AV153">IFERROR(INDEX(V153:AG153,1,MATCH(Parametres!$B$3,V$1:AG$1,0)-1)*IF(OR(C153="L",C153="S",C153="I"),-1,1),"")</f>
        <v>0</v>
      </c>
      <c r="AW153" s="794">
        <f t="shared" si="6"/>
        <v>0</v>
      </c>
      <c r="AX153" s="794">
        <f t="array" ref="AX153">INDEX(V153:AG153,1,MATCH(Parametres!$B$3,V$1:AG$1,0))*IF(OR(C153="L",C153="S",C153="I"),-1,1)</f>
        <v>0</v>
      </c>
      <c r="AY153" s="853" t="s">
        <v>772</v>
      </c>
      <c r="AZ153" s="853" t="str">
        <f>+VLOOKUP($AJ153,Data_Validation!$A:$E,5,0)</f>
        <v>#N/A</v>
      </c>
    </row>
    <row r="154" ht="15.0" customHeight="1">
      <c r="A154" s="849" t="s">
        <v>1239</v>
      </c>
      <c r="B154" s="849">
        <v>2025.0</v>
      </c>
      <c r="C154" s="849" t="s">
        <v>1612</v>
      </c>
      <c r="D154" s="849" t="s">
        <v>1613</v>
      </c>
      <c r="E154" s="849" t="s">
        <v>768</v>
      </c>
      <c r="F154" s="849" t="s">
        <v>1200</v>
      </c>
      <c r="G154" s="849">
        <v>3541.88</v>
      </c>
      <c r="H154" s="849">
        <v>6238.79</v>
      </c>
      <c r="I154" s="849">
        <v>10293.0</v>
      </c>
      <c r="J154" s="849">
        <v>14160.21</v>
      </c>
      <c r="K154" s="849">
        <v>20385.6</v>
      </c>
      <c r="L154" s="849">
        <v>27188.73</v>
      </c>
      <c r="M154" s="849">
        <v>31192.66</v>
      </c>
      <c r="N154" s="849">
        <v>36526.2</v>
      </c>
      <c r="O154" s="849">
        <v>40924.04</v>
      </c>
      <c r="P154" s="849">
        <v>45521.55</v>
      </c>
      <c r="Q154" s="849">
        <v>49384.77</v>
      </c>
      <c r="R154" s="849">
        <v>52514.88</v>
      </c>
      <c r="S154" s="849">
        <v>4489.52</v>
      </c>
      <c r="T154" s="849">
        <v>4489.52</v>
      </c>
      <c r="U154" s="849">
        <v>0.0</v>
      </c>
      <c r="V154" s="849">
        <v>0.0</v>
      </c>
      <c r="W154" s="849">
        <v>0.0</v>
      </c>
      <c r="X154" s="849">
        <v>0.0</v>
      </c>
      <c r="Y154" s="849">
        <v>0.0</v>
      </c>
      <c r="Z154" s="849">
        <v>0.0</v>
      </c>
      <c r="AA154" s="849">
        <v>0.0</v>
      </c>
      <c r="AB154" s="849">
        <v>0.0</v>
      </c>
      <c r="AC154" s="849">
        <v>0.0</v>
      </c>
      <c r="AD154" s="849">
        <v>0.0</v>
      </c>
      <c r="AE154" s="849">
        <v>0.0</v>
      </c>
      <c r="AF154" s="849">
        <v>0.0</v>
      </c>
      <c r="AG154" s="849">
        <v>0.0</v>
      </c>
      <c r="AH154" s="849">
        <v>0.0</v>
      </c>
      <c r="AI154" s="849">
        <v>0.0</v>
      </c>
      <c r="AJ154" s="794" t="str">
        <f t="shared" ref="AJ154:AK154" si="305">C154</f>
        <v>G0691</v>
      </c>
      <c r="AK154" s="794" t="str">
        <f t="shared" si="305"/>
        <v>SERV. EXTERIEUR-NEUF</v>
      </c>
      <c r="AL154" s="794">
        <f t="array" ref="AL154">IFERROR(INDEX(G154:R154,1,MATCH(Parametres!$B$3,G$1:R$1,0)-1)*IF(OR(F154="L",F154="S",F154="I"),-1,1),"")</f>
        <v>36526.2</v>
      </c>
      <c r="AM154" s="794">
        <f t="shared" si="4"/>
        <v>4397.84</v>
      </c>
      <c r="AN154" s="794">
        <f t="array" ref="AN154">INDEX(G154:R154,1,MATCH(Parametres!$B$3,G$1:R$1,0))*IF(OR(F154="L",F154="S",F154="I"),-1,1)</f>
        <v>40924.04</v>
      </c>
      <c r="AO154" s="853" t="str">
        <f>+VLOOKUP($AJ154,Data_Validation!$A:$D,1,0)</f>
        <v>G0691</v>
      </c>
      <c r="AP154" s="853" t="str">
        <f>+VLOOKUP($AJ154,Data_Validation!$A:$D,3,0)</f>
        <v>Véhicules neufs</v>
      </c>
      <c r="AQ154" s="853" t="str">
        <f>+VLOOKUP($AJ154,Data_Validation!$A:$D,4,0)</f>
        <v>Services extérieurs</v>
      </c>
      <c r="AR154" s="853" t="s">
        <v>728</v>
      </c>
      <c r="AS154" s="853" t="str">
        <f>+VLOOKUP($AJ154,Data_Validation!$A:$E,5,0)</f>
        <v/>
      </c>
      <c r="AT154" s="794" t="str">
        <f t="shared" ref="AT154:AU154" si="306">C154</f>
        <v>G0691</v>
      </c>
      <c r="AU154" s="854" t="str">
        <f t="shared" si="306"/>
        <v>SERV. EXTERIEUR-NEUF</v>
      </c>
      <c r="AV154" s="794">
        <f t="array" ref="AV154">IFERROR(INDEX(V154:AG154,1,MATCH(Parametres!$B$3,V$1:AG$1,0)-1)*IF(OR(C154="L",C154="S",C154="I"),-1,1),"")</f>
        <v>0</v>
      </c>
      <c r="AW154" s="794">
        <f t="shared" si="6"/>
        <v>0</v>
      </c>
      <c r="AX154" s="794">
        <f t="array" ref="AX154">INDEX(V154:AG154,1,MATCH(Parametres!$B$3,V$1:AG$1,0))*IF(OR(C154="L",C154="S",C154="I"),-1,1)</f>
        <v>0</v>
      </c>
      <c r="AY154" s="853" t="s">
        <v>772</v>
      </c>
      <c r="AZ154" s="853" t="str">
        <f>+VLOOKUP($AJ154,Data_Validation!$A:$E,5,0)</f>
        <v/>
      </c>
    </row>
    <row r="155" ht="15.75" customHeight="1">
      <c r="A155" s="849" t="s">
        <v>1239</v>
      </c>
      <c r="B155" s="849">
        <v>2025.0</v>
      </c>
      <c r="C155" s="849" t="s">
        <v>1614</v>
      </c>
      <c r="D155" s="849" t="s">
        <v>1615</v>
      </c>
      <c r="E155" s="849" t="s">
        <v>768</v>
      </c>
      <c r="F155" s="849" t="s">
        <v>1200</v>
      </c>
      <c r="G155" s="849">
        <v>1785.04</v>
      </c>
      <c r="H155" s="849">
        <v>3602.65</v>
      </c>
      <c r="I155" s="849">
        <v>5329.82</v>
      </c>
      <c r="J155" s="849">
        <v>6844.59</v>
      </c>
      <c r="K155" s="849">
        <v>9962.56</v>
      </c>
      <c r="L155" s="849">
        <v>13714.14</v>
      </c>
      <c r="M155" s="849">
        <v>15850.13</v>
      </c>
      <c r="N155" s="849">
        <v>19022.56</v>
      </c>
      <c r="O155" s="849">
        <v>21855.09</v>
      </c>
      <c r="P155" s="849">
        <v>24817.62</v>
      </c>
      <c r="Q155" s="849">
        <v>26791.69</v>
      </c>
      <c r="R155" s="849">
        <v>28611.43</v>
      </c>
      <c r="S155" s="849">
        <v>2435.61</v>
      </c>
      <c r="T155" s="849">
        <v>2435.61</v>
      </c>
      <c r="U155" s="849">
        <v>0.0</v>
      </c>
      <c r="V155" s="849">
        <v>0.0</v>
      </c>
      <c r="W155" s="849">
        <v>0.0</v>
      </c>
      <c r="X155" s="849">
        <v>0.0</v>
      </c>
      <c r="Y155" s="849">
        <v>0.0</v>
      </c>
      <c r="Z155" s="849">
        <v>0.0</v>
      </c>
      <c r="AA155" s="849">
        <v>0.0</v>
      </c>
      <c r="AB155" s="849">
        <v>0.0</v>
      </c>
      <c r="AC155" s="849">
        <v>0.0</v>
      </c>
      <c r="AD155" s="849">
        <v>0.0</v>
      </c>
      <c r="AE155" s="849">
        <v>0.0</v>
      </c>
      <c r="AF155" s="849">
        <v>0.0</v>
      </c>
      <c r="AG155" s="849">
        <v>0.0</v>
      </c>
      <c r="AH155" s="849">
        <v>0.0</v>
      </c>
      <c r="AI155" s="849">
        <v>0.0</v>
      </c>
      <c r="AJ155" s="794" t="str">
        <f t="shared" ref="AJ155:AK155" si="307">C155</f>
        <v>G0692</v>
      </c>
      <c r="AK155" s="794" t="str">
        <f t="shared" si="307"/>
        <v>SERV. EXTERIEUR-USAGES</v>
      </c>
      <c r="AL155" s="794">
        <f t="array" ref="AL155">IFERROR(INDEX(G155:R155,1,MATCH(Parametres!$B$3,G$1:R$1,0)-1)*IF(OR(F155="L",F155="S",F155="I"),-1,1),"")</f>
        <v>19022.56</v>
      </c>
      <c r="AM155" s="794">
        <f t="shared" si="4"/>
        <v>2832.53</v>
      </c>
      <c r="AN155" s="794">
        <f t="array" ref="AN155">INDEX(G155:R155,1,MATCH(Parametres!$B$3,G$1:R$1,0))*IF(OR(F155="L",F155="S",F155="I"),-1,1)</f>
        <v>21855.09</v>
      </c>
      <c r="AO155" s="853" t="str">
        <f>+VLOOKUP($AJ155,Data_Validation!$A:$D,1,0)</f>
        <v>G0692</v>
      </c>
      <c r="AP155" s="853" t="str">
        <f>+VLOOKUP($AJ155,Data_Validation!$A:$D,3,0)</f>
        <v>Véhicules usagés</v>
      </c>
      <c r="AQ155" s="853" t="str">
        <f>+VLOOKUP($AJ155,Data_Validation!$A:$D,4,0)</f>
        <v>Services extérieurs</v>
      </c>
      <c r="AR155" s="853" t="s">
        <v>728</v>
      </c>
      <c r="AS155" s="853" t="str">
        <f>+VLOOKUP($AJ155,Data_Validation!$A:$E,5,0)</f>
        <v/>
      </c>
      <c r="AT155" s="794" t="str">
        <f t="shared" ref="AT155:AU155" si="308">C155</f>
        <v>G0692</v>
      </c>
      <c r="AU155" s="854" t="str">
        <f t="shared" si="308"/>
        <v>SERV. EXTERIEUR-USAGES</v>
      </c>
      <c r="AV155" s="794">
        <f t="array" ref="AV155">IFERROR(INDEX(V155:AG155,1,MATCH(Parametres!$B$3,V$1:AG$1,0)-1)*IF(OR(C155="L",C155="S",C155="I"),-1,1),"")</f>
        <v>0</v>
      </c>
      <c r="AW155" s="794">
        <f t="shared" si="6"/>
        <v>0</v>
      </c>
      <c r="AX155" s="794">
        <f t="array" ref="AX155">INDEX(V155:AG155,1,MATCH(Parametres!$B$3,V$1:AG$1,0))*IF(OR(C155="L",C155="S",C155="I"),-1,1)</f>
        <v>0</v>
      </c>
      <c r="AY155" s="853" t="s">
        <v>772</v>
      </c>
      <c r="AZ155" s="853" t="str">
        <f>+VLOOKUP($AJ155,Data_Validation!$A:$E,5,0)</f>
        <v/>
      </c>
    </row>
    <row r="156" ht="15.0" customHeight="1">
      <c r="A156" s="849" t="s">
        <v>1239</v>
      </c>
      <c r="B156" s="849">
        <v>2025.0</v>
      </c>
      <c r="C156" s="849" t="s">
        <v>1616</v>
      </c>
      <c r="D156" s="849" t="s">
        <v>1617</v>
      </c>
      <c r="E156" s="849" t="s">
        <v>768</v>
      </c>
      <c r="F156" s="849" t="s">
        <v>1200</v>
      </c>
      <c r="G156" s="849">
        <v>0.0</v>
      </c>
      <c r="H156" s="849">
        <v>0.0</v>
      </c>
      <c r="I156" s="849">
        <v>9.2</v>
      </c>
      <c r="J156" s="849">
        <v>9.2</v>
      </c>
      <c r="K156" s="849">
        <v>9.2</v>
      </c>
      <c r="L156" s="849">
        <v>9.2</v>
      </c>
      <c r="M156" s="849">
        <v>9.2</v>
      </c>
      <c r="N156" s="849">
        <v>9.2</v>
      </c>
      <c r="O156" s="849">
        <v>9.2</v>
      </c>
      <c r="P156" s="849">
        <v>9.2</v>
      </c>
      <c r="Q156" s="849">
        <v>9.2</v>
      </c>
      <c r="R156" s="849">
        <v>9.2</v>
      </c>
      <c r="S156" s="849">
        <v>0.84</v>
      </c>
      <c r="T156" s="849">
        <v>0.84</v>
      </c>
      <c r="U156" s="849">
        <v>0.0</v>
      </c>
      <c r="V156" s="849">
        <v>0.0</v>
      </c>
      <c r="W156" s="849">
        <v>0.0</v>
      </c>
      <c r="X156" s="849">
        <v>0.0</v>
      </c>
      <c r="Y156" s="849">
        <v>0.0</v>
      </c>
      <c r="Z156" s="849">
        <v>0.0</v>
      </c>
      <c r="AA156" s="849">
        <v>0.0</v>
      </c>
      <c r="AB156" s="849">
        <v>0.0</v>
      </c>
      <c r="AC156" s="849">
        <v>0.0</v>
      </c>
      <c r="AD156" s="849">
        <v>0.0</v>
      </c>
      <c r="AE156" s="849">
        <v>0.0</v>
      </c>
      <c r="AF156" s="849">
        <v>0.0</v>
      </c>
      <c r="AG156" s="849">
        <v>0.0</v>
      </c>
      <c r="AH156" s="849">
        <v>0.0</v>
      </c>
      <c r="AI156" s="849">
        <v>0.0</v>
      </c>
      <c r="AJ156" s="794" t="str">
        <f t="shared" ref="AJ156:AK156" si="309">C156</f>
        <v>G0693</v>
      </c>
      <c r="AK156" s="794" t="str">
        <f t="shared" si="309"/>
        <v>SERV. EXTERIEURS U.S.A</v>
      </c>
      <c r="AL156" s="794">
        <f t="array" ref="AL156">IFERROR(INDEX(G156:R156,1,MATCH(Parametres!$B$3,G$1:R$1,0)-1)*IF(OR(F156="L",F156="S",F156="I"),-1,1),"")</f>
        <v>9.2</v>
      </c>
      <c r="AM156" s="794">
        <f t="shared" si="4"/>
        <v>0</v>
      </c>
      <c r="AN156" s="794">
        <f t="array" ref="AN156">INDEX(G156:R156,1,MATCH(Parametres!$B$3,G$1:R$1,0))*IF(OR(F156="L",F156="S",F156="I"),-1,1)</f>
        <v>9.2</v>
      </c>
      <c r="AO156" s="853" t="str">
        <f>+VLOOKUP($AJ156,Data_Validation!$A:$D,1,0)</f>
        <v>G0693</v>
      </c>
      <c r="AP156" s="853" t="str">
        <f>+VLOOKUP($AJ156,Data_Validation!$A:$D,3,0)</f>
        <v>Wholesale autres</v>
      </c>
      <c r="AQ156" s="853" t="str">
        <f>+VLOOKUP($AJ156,Data_Validation!$A:$D,4,0)</f>
        <v>Services extérieurs</v>
      </c>
      <c r="AR156" s="853" t="s">
        <v>728</v>
      </c>
      <c r="AS156" s="853" t="str">
        <f>+VLOOKUP($AJ156,Data_Validation!$A:$E,5,0)</f>
        <v/>
      </c>
      <c r="AT156" s="794" t="str">
        <f t="shared" ref="AT156:AU156" si="310">C156</f>
        <v>G0693</v>
      </c>
      <c r="AU156" s="854" t="str">
        <f t="shared" si="310"/>
        <v>SERV. EXTERIEURS U.S.A</v>
      </c>
      <c r="AV156" s="794">
        <f t="array" ref="AV156">IFERROR(INDEX(V156:AG156,1,MATCH(Parametres!$B$3,V$1:AG$1,0)-1)*IF(OR(C156="L",C156="S",C156="I"),-1,1),"")</f>
        <v>0</v>
      </c>
      <c r="AW156" s="794">
        <f t="shared" si="6"/>
        <v>0</v>
      </c>
      <c r="AX156" s="794">
        <f t="array" ref="AX156">INDEX(V156:AG156,1,MATCH(Parametres!$B$3,V$1:AG$1,0))*IF(OR(C156="L",C156="S",C156="I"),-1,1)</f>
        <v>0</v>
      </c>
      <c r="AY156" s="853" t="s">
        <v>772</v>
      </c>
      <c r="AZ156" s="853" t="str">
        <f>+VLOOKUP($AJ156,Data_Validation!$A:$E,5,0)</f>
        <v/>
      </c>
    </row>
    <row r="157" ht="15.0" customHeight="1">
      <c r="A157" s="849" t="s">
        <v>1239</v>
      </c>
      <c r="B157" s="849">
        <v>2025.0</v>
      </c>
      <c r="C157" s="849" t="s">
        <v>1618</v>
      </c>
      <c r="D157" s="849" t="s">
        <v>1619</v>
      </c>
      <c r="E157" s="849" t="s">
        <v>768</v>
      </c>
      <c r="F157" s="849" t="s">
        <v>1200</v>
      </c>
      <c r="G157" s="849">
        <v>6822.0</v>
      </c>
      <c r="H157" s="849">
        <v>14188.34</v>
      </c>
      <c r="I157" s="849">
        <v>27864.2</v>
      </c>
      <c r="J157" s="849">
        <v>32086.65</v>
      </c>
      <c r="K157" s="849">
        <v>40582.9</v>
      </c>
      <c r="L157" s="849">
        <v>52807.78</v>
      </c>
      <c r="M157" s="849">
        <v>62432.0</v>
      </c>
      <c r="N157" s="849">
        <v>69483.51</v>
      </c>
      <c r="O157" s="849">
        <v>76722.76</v>
      </c>
      <c r="P157" s="849">
        <v>82440.96</v>
      </c>
      <c r="Q157" s="849">
        <v>97548.14</v>
      </c>
      <c r="R157" s="849">
        <v>106446.37</v>
      </c>
      <c r="S157" s="849">
        <v>8868.01</v>
      </c>
      <c r="T157" s="849">
        <v>8868.01</v>
      </c>
      <c r="U157" s="849">
        <v>0.0</v>
      </c>
      <c r="V157" s="849">
        <v>0.0</v>
      </c>
      <c r="W157" s="849">
        <v>0.0</v>
      </c>
      <c r="X157" s="849">
        <v>0.0</v>
      </c>
      <c r="Y157" s="849">
        <v>0.0</v>
      </c>
      <c r="Z157" s="849">
        <v>0.0</v>
      </c>
      <c r="AA157" s="849">
        <v>0.0</v>
      </c>
      <c r="AB157" s="849">
        <v>0.0</v>
      </c>
      <c r="AC157" s="849">
        <v>0.0</v>
      </c>
      <c r="AD157" s="849">
        <v>0.0</v>
      </c>
      <c r="AE157" s="849">
        <v>0.0</v>
      </c>
      <c r="AF157" s="849">
        <v>0.0</v>
      </c>
      <c r="AG157" s="849">
        <v>0.0</v>
      </c>
      <c r="AH157" s="849">
        <v>0.0</v>
      </c>
      <c r="AI157" s="849">
        <v>0.0</v>
      </c>
      <c r="AJ157" s="794" t="str">
        <f t="shared" ref="AJ157:AK157" si="311">C157</f>
        <v>G0694</v>
      </c>
      <c r="AK157" s="794" t="str">
        <f t="shared" si="311"/>
        <v>SERV. EXTERIEUR-SERV.</v>
      </c>
      <c r="AL157" s="794">
        <f t="array" ref="AL157">IFERROR(INDEX(G157:R157,1,MATCH(Parametres!$B$3,G$1:R$1,0)-1)*IF(OR(F157="L",F157="S",F157="I"),-1,1),"")</f>
        <v>69483.51</v>
      </c>
      <c r="AM157" s="794">
        <f t="shared" si="4"/>
        <v>7239.25</v>
      </c>
      <c r="AN157" s="794">
        <f t="array" ref="AN157">INDEX(G157:R157,1,MATCH(Parametres!$B$3,G$1:R$1,0))*IF(OR(F157="L",F157="S",F157="I"),-1,1)</f>
        <v>76722.76</v>
      </c>
      <c r="AO157" s="853" t="str">
        <f>+VLOOKUP($AJ157,Data_Validation!$A:$D,1,0)</f>
        <v>G0694</v>
      </c>
      <c r="AP157" s="853" t="str">
        <f>+VLOOKUP($AJ157,Data_Validation!$A:$D,3,0)</f>
        <v>Service</v>
      </c>
      <c r="AQ157" s="853" t="str">
        <f>+VLOOKUP($AJ157,Data_Validation!$A:$D,4,0)</f>
        <v>Services extérieurs</v>
      </c>
      <c r="AR157" s="853" t="s">
        <v>728</v>
      </c>
      <c r="AS157" s="853" t="str">
        <f>+VLOOKUP($AJ157,Data_Validation!$A:$E,5,0)</f>
        <v/>
      </c>
      <c r="AT157" s="794" t="str">
        <f t="shared" ref="AT157:AU157" si="312">C157</f>
        <v>G0694</v>
      </c>
      <c r="AU157" s="854" t="str">
        <f t="shared" si="312"/>
        <v>SERV. EXTERIEUR-SERV.</v>
      </c>
      <c r="AV157" s="794">
        <f t="array" ref="AV157">IFERROR(INDEX(V157:AG157,1,MATCH(Parametres!$B$3,V$1:AG$1,0)-1)*IF(OR(C157="L",C157="S",C157="I"),-1,1),"")</f>
        <v>0</v>
      </c>
      <c r="AW157" s="794">
        <f t="shared" si="6"/>
        <v>0</v>
      </c>
      <c r="AX157" s="794">
        <f t="array" ref="AX157">INDEX(V157:AG157,1,MATCH(Parametres!$B$3,V$1:AG$1,0))*IF(OR(C157="L",C157="S",C157="I"),-1,1)</f>
        <v>0</v>
      </c>
      <c r="AY157" s="853" t="s">
        <v>772</v>
      </c>
      <c r="AZ157" s="853" t="str">
        <f>+VLOOKUP($AJ157,Data_Validation!$A:$E,5,0)</f>
        <v/>
      </c>
    </row>
    <row r="158" ht="15.0" customHeight="1">
      <c r="A158" s="849" t="s">
        <v>1239</v>
      </c>
      <c r="B158" s="849">
        <v>2025.0</v>
      </c>
      <c r="C158" s="849" t="s">
        <v>1620</v>
      </c>
      <c r="D158" s="849" t="s">
        <v>1621</v>
      </c>
      <c r="E158" s="849" t="s">
        <v>768</v>
      </c>
      <c r="F158" s="849" t="s">
        <v>1200</v>
      </c>
      <c r="G158" s="849">
        <v>2098.02</v>
      </c>
      <c r="H158" s="849">
        <v>4344.05</v>
      </c>
      <c r="I158" s="849">
        <v>7690.48</v>
      </c>
      <c r="J158" s="849">
        <v>13665.46</v>
      </c>
      <c r="K158" s="849">
        <v>16580.99</v>
      </c>
      <c r="L158" s="849">
        <v>20580.34</v>
      </c>
      <c r="M158" s="849">
        <v>23135.38</v>
      </c>
      <c r="N158" s="849">
        <v>25316.41</v>
      </c>
      <c r="O158" s="849">
        <v>26761.95</v>
      </c>
      <c r="P158" s="849">
        <v>28778.21</v>
      </c>
      <c r="Q158" s="849">
        <v>31780.99</v>
      </c>
      <c r="R158" s="849">
        <v>33432.47</v>
      </c>
      <c r="S158" s="849">
        <v>2889.18</v>
      </c>
      <c r="T158" s="849">
        <v>2889.18</v>
      </c>
      <c r="U158" s="849">
        <v>0.0</v>
      </c>
      <c r="V158" s="849">
        <v>0.0</v>
      </c>
      <c r="W158" s="849">
        <v>0.0</v>
      </c>
      <c r="X158" s="849">
        <v>0.0</v>
      </c>
      <c r="Y158" s="849">
        <v>0.0</v>
      </c>
      <c r="Z158" s="849">
        <v>0.0</v>
      </c>
      <c r="AA158" s="849">
        <v>0.0</v>
      </c>
      <c r="AB158" s="849">
        <v>0.0</v>
      </c>
      <c r="AC158" s="849">
        <v>0.0</v>
      </c>
      <c r="AD158" s="849">
        <v>0.0</v>
      </c>
      <c r="AE158" s="849">
        <v>0.0</v>
      </c>
      <c r="AF158" s="849">
        <v>0.0</v>
      </c>
      <c r="AG158" s="849">
        <v>0.0</v>
      </c>
      <c r="AH158" s="849">
        <v>0.0</v>
      </c>
      <c r="AI158" s="849">
        <v>0.0</v>
      </c>
      <c r="AJ158" s="794" t="str">
        <f t="shared" ref="AJ158:AK158" si="313">C158</f>
        <v>G0695</v>
      </c>
      <c r="AK158" s="794" t="str">
        <f t="shared" si="313"/>
        <v>SERV. EXTERIEUR-CARR.</v>
      </c>
      <c r="AL158" s="794">
        <f t="array" ref="AL158">IFERROR(INDEX(G158:R158,1,MATCH(Parametres!$B$3,G$1:R$1,0)-1)*IF(OR(F158="L",F158="S",F158="I"),-1,1),"")</f>
        <v>25316.41</v>
      </c>
      <c r="AM158" s="794">
        <f t="shared" si="4"/>
        <v>1445.54</v>
      </c>
      <c r="AN158" s="794">
        <f t="array" ref="AN158">INDEX(G158:R158,1,MATCH(Parametres!$B$3,G$1:R$1,0))*IF(OR(F158="L",F158="S",F158="I"),-1,1)</f>
        <v>26761.95</v>
      </c>
      <c r="AO158" s="853" t="str">
        <f>+VLOOKUP($AJ158,Data_Validation!$A:$D,1,0)</f>
        <v>G0695</v>
      </c>
      <c r="AP158" s="853" t="str">
        <f>+VLOOKUP($AJ158,Data_Validation!$A:$D,3,0)</f>
        <v>Carrosserie</v>
      </c>
      <c r="AQ158" s="853" t="str">
        <f>+VLOOKUP($AJ158,Data_Validation!$A:$D,4,0)</f>
        <v>Services extérieurs</v>
      </c>
      <c r="AR158" s="853" t="s">
        <v>728</v>
      </c>
      <c r="AS158" s="853" t="str">
        <f>+VLOOKUP($AJ158,Data_Validation!$A:$E,5,0)</f>
        <v/>
      </c>
      <c r="AT158" s="794" t="str">
        <f t="shared" ref="AT158:AU158" si="314">C158</f>
        <v>G0695</v>
      </c>
      <c r="AU158" s="854" t="str">
        <f t="shared" si="314"/>
        <v>SERV. EXTERIEUR-CARR.</v>
      </c>
      <c r="AV158" s="794">
        <f t="array" ref="AV158">IFERROR(INDEX(V158:AG158,1,MATCH(Parametres!$B$3,V$1:AG$1,0)-1)*IF(OR(C158="L",C158="S",C158="I"),-1,1),"")</f>
        <v>0</v>
      </c>
      <c r="AW158" s="794">
        <f t="shared" si="6"/>
        <v>0</v>
      </c>
      <c r="AX158" s="794">
        <f t="array" ref="AX158">INDEX(V158:AG158,1,MATCH(Parametres!$B$3,V$1:AG$1,0))*IF(OR(C158="L",C158="S",C158="I"),-1,1)</f>
        <v>0</v>
      </c>
      <c r="AY158" s="853" t="s">
        <v>772</v>
      </c>
      <c r="AZ158" s="853" t="str">
        <f>+VLOOKUP($AJ158,Data_Validation!$A:$E,5,0)</f>
        <v/>
      </c>
    </row>
    <row r="159" ht="15.75" customHeight="1">
      <c r="A159" s="849" t="s">
        <v>1239</v>
      </c>
      <c r="B159" s="849">
        <v>2025.0</v>
      </c>
      <c r="C159" s="849" t="s">
        <v>1622</v>
      </c>
      <c r="D159" s="849" t="s">
        <v>1623</v>
      </c>
      <c r="E159" s="849" t="s">
        <v>768</v>
      </c>
      <c r="F159" s="849" t="s">
        <v>1200</v>
      </c>
      <c r="G159" s="849">
        <v>1261.16</v>
      </c>
      <c r="H159" s="849">
        <v>2536.82</v>
      </c>
      <c r="I159" s="849">
        <v>3824.09</v>
      </c>
      <c r="J159" s="849">
        <v>5496.5</v>
      </c>
      <c r="K159" s="849">
        <v>7418.3</v>
      </c>
      <c r="L159" s="849">
        <v>9923.12</v>
      </c>
      <c r="M159" s="849">
        <v>11408.18</v>
      </c>
      <c r="N159" s="849">
        <v>12952.43</v>
      </c>
      <c r="O159" s="849">
        <v>13953.96</v>
      </c>
      <c r="P159" s="849">
        <v>15970.22</v>
      </c>
      <c r="Q159" s="849">
        <v>16957.24</v>
      </c>
      <c r="R159" s="849">
        <v>17867.12</v>
      </c>
      <c r="S159" s="849">
        <v>1541.57</v>
      </c>
      <c r="T159" s="849">
        <v>1541.57</v>
      </c>
      <c r="U159" s="849">
        <v>0.0</v>
      </c>
      <c r="V159" s="849">
        <v>0.0</v>
      </c>
      <c r="W159" s="849">
        <v>0.0</v>
      </c>
      <c r="X159" s="849">
        <v>0.0</v>
      </c>
      <c r="Y159" s="849">
        <v>0.0</v>
      </c>
      <c r="Z159" s="849">
        <v>0.0</v>
      </c>
      <c r="AA159" s="849">
        <v>0.0</v>
      </c>
      <c r="AB159" s="849">
        <v>0.0</v>
      </c>
      <c r="AC159" s="849">
        <v>0.0</v>
      </c>
      <c r="AD159" s="849">
        <v>0.0</v>
      </c>
      <c r="AE159" s="849">
        <v>0.0</v>
      </c>
      <c r="AF159" s="849">
        <v>0.0</v>
      </c>
      <c r="AG159" s="849">
        <v>0.0</v>
      </c>
      <c r="AH159" s="849">
        <v>0.0</v>
      </c>
      <c r="AI159" s="849">
        <v>0.0</v>
      </c>
      <c r="AJ159" s="794" t="str">
        <f t="shared" ref="AJ159:AK159" si="315">C159</f>
        <v>G0696</v>
      </c>
      <c r="AK159" s="794" t="str">
        <f t="shared" si="315"/>
        <v>SERV. EXTERIEUR-PIECES</v>
      </c>
      <c r="AL159" s="794">
        <f t="array" ref="AL159">IFERROR(INDEX(G159:R159,1,MATCH(Parametres!$B$3,G$1:R$1,0)-1)*IF(OR(F159="L",F159="S",F159="I"),-1,1),"")</f>
        <v>12952.43</v>
      </c>
      <c r="AM159" s="794">
        <f t="shared" si="4"/>
        <v>1001.53</v>
      </c>
      <c r="AN159" s="794">
        <f t="array" ref="AN159">INDEX(G159:R159,1,MATCH(Parametres!$B$3,G$1:R$1,0))*IF(OR(F159="L",F159="S",F159="I"),-1,1)</f>
        <v>13953.96</v>
      </c>
      <c r="AO159" s="853" t="str">
        <f>+VLOOKUP($AJ159,Data_Validation!$A:$D,1,0)</f>
        <v>G0696</v>
      </c>
      <c r="AP159" s="853" t="str">
        <f>+VLOOKUP($AJ159,Data_Validation!$A:$D,3,0)</f>
        <v>Pièces</v>
      </c>
      <c r="AQ159" s="853" t="str">
        <f>+VLOOKUP($AJ159,Data_Validation!$A:$D,4,0)</f>
        <v>Services extérieurs</v>
      </c>
      <c r="AR159" s="853" t="s">
        <v>728</v>
      </c>
      <c r="AS159" s="853" t="str">
        <f>+VLOOKUP($AJ159,Data_Validation!$A:$E,5,0)</f>
        <v/>
      </c>
      <c r="AT159" s="794" t="str">
        <f t="shared" ref="AT159:AU159" si="316">C159</f>
        <v>G0696</v>
      </c>
      <c r="AU159" s="854" t="str">
        <f t="shared" si="316"/>
        <v>SERV. EXTERIEUR-PIECES</v>
      </c>
      <c r="AV159" s="794">
        <f t="array" ref="AV159">IFERROR(INDEX(V159:AG159,1,MATCH(Parametres!$B$3,V$1:AG$1,0)-1)*IF(OR(C159="L",C159="S",C159="I"),-1,1),"")</f>
        <v>0</v>
      </c>
      <c r="AW159" s="794">
        <f t="shared" si="6"/>
        <v>0</v>
      </c>
      <c r="AX159" s="794">
        <f t="array" ref="AX159">INDEX(V159:AG159,1,MATCH(Parametres!$B$3,V$1:AG$1,0))*IF(OR(C159="L",C159="S",C159="I"),-1,1)</f>
        <v>0</v>
      </c>
      <c r="AY159" s="853" t="s">
        <v>772</v>
      </c>
      <c r="AZ159" s="853" t="str">
        <f>+VLOOKUP($AJ159,Data_Validation!$A:$E,5,0)</f>
        <v/>
      </c>
    </row>
    <row r="160" ht="15.0" customHeight="1">
      <c r="A160" s="849" t="s">
        <v>1239</v>
      </c>
      <c r="B160" s="849">
        <v>2025.0</v>
      </c>
      <c r="C160" s="849" t="s">
        <v>1624</v>
      </c>
      <c r="D160" s="849" t="s">
        <v>1625</v>
      </c>
      <c r="E160" s="849" t="s">
        <v>768</v>
      </c>
      <c r="F160" s="849" t="s">
        <v>1200</v>
      </c>
      <c r="G160" s="849">
        <v>0.0</v>
      </c>
      <c r="H160" s="849">
        <v>0.0</v>
      </c>
      <c r="I160" s="849">
        <v>0.0</v>
      </c>
      <c r="J160" s="849">
        <v>0.0</v>
      </c>
      <c r="K160" s="849">
        <v>0.0</v>
      </c>
      <c r="L160" s="849">
        <v>0.0</v>
      </c>
      <c r="M160" s="849">
        <v>0.0</v>
      </c>
      <c r="N160" s="849">
        <v>0.0</v>
      </c>
      <c r="O160" s="849">
        <v>0.0</v>
      </c>
      <c r="P160" s="849">
        <v>0.0</v>
      </c>
      <c r="Q160" s="849">
        <v>0.0</v>
      </c>
      <c r="R160" s="849">
        <v>0.0</v>
      </c>
      <c r="S160" s="849">
        <v>0.0</v>
      </c>
      <c r="T160" s="849">
        <v>0.0</v>
      </c>
      <c r="U160" s="849">
        <v>0.0</v>
      </c>
      <c r="V160" s="849">
        <v>0.0</v>
      </c>
      <c r="W160" s="849">
        <v>0.0</v>
      </c>
      <c r="X160" s="849">
        <v>0.0</v>
      </c>
      <c r="Y160" s="849">
        <v>0.0</v>
      </c>
      <c r="Z160" s="849">
        <v>0.0</v>
      </c>
      <c r="AA160" s="849">
        <v>0.0</v>
      </c>
      <c r="AB160" s="849">
        <v>0.0</v>
      </c>
      <c r="AC160" s="849">
        <v>0.0</v>
      </c>
      <c r="AD160" s="849">
        <v>0.0</v>
      </c>
      <c r="AE160" s="849">
        <v>0.0</v>
      </c>
      <c r="AF160" s="849">
        <v>0.0</v>
      </c>
      <c r="AG160" s="849">
        <v>0.0</v>
      </c>
      <c r="AH160" s="849">
        <v>0.0</v>
      </c>
      <c r="AI160" s="849">
        <v>0.0</v>
      </c>
      <c r="AJ160" s="794" t="str">
        <f t="shared" ref="AJ160:AK160" si="317">C160</f>
        <v>G0697</v>
      </c>
      <c r="AK160" s="794" t="str">
        <f t="shared" si="317"/>
        <v>SERV. EXTER.AUTRES-PIECE</v>
      </c>
      <c r="AL160" s="794">
        <f t="array" ref="AL160">IFERROR(INDEX(G160:R160,1,MATCH(Parametres!$B$3,G$1:R$1,0)-1)*IF(OR(F160="L",F160="S",F160="I"),-1,1),"")</f>
        <v>0</v>
      </c>
      <c r="AM160" s="794">
        <f t="shared" si="4"/>
        <v>0</v>
      </c>
      <c r="AN160" s="794">
        <f t="array" ref="AN160">INDEX(G160:R160,1,MATCH(Parametres!$B$3,G$1:R$1,0))*IF(OR(F160="L",F160="S",F160="I"),-1,1)</f>
        <v>0</v>
      </c>
      <c r="AO160" s="853" t="str">
        <f>+VLOOKUP($AJ160,Data_Validation!$A:$D,1,0)</f>
        <v>G0697</v>
      </c>
      <c r="AP160" s="853" t="str">
        <f>+VLOOKUP($AJ160,Data_Validation!$A:$D,3,0)</f>
        <v>SAAQ</v>
      </c>
      <c r="AQ160" s="853" t="str">
        <f>+VLOOKUP($AJ160,Data_Validation!$A:$D,4,0)</f>
        <v>Services extérieurs</v>
      </c>
      <c r="AR160" s="853" t="s">
        <v>728</v>
      </c>
      <c r="AS160" s="853" t="str">
        <f>+VLOOKUP($AJ160,Data_Validation!$A:$E,5,0)</f>
        <v/>
      </c>
      <c r="AT160" s="794" t="str">
        <f t="shared" ref="AT160:AU160" si="318">C160</f>
        <v>G0697</v>
      </c>
      <c r="AU160" s="854" t="str">
        <f t="shared" si="318"/>
        <v>SERV. EXTER.AUTRES-PIECE</v>
      </c>
      <c r="AV160" s="794">
        <f t="array" ref="AV160">IFERROR(INDEX(V160:AG160,1,MATCH(Parametres!$B$3,V$1:AG$1,0)-1)*IF(OR(C160="L",C160="S",C160="I"),-1,1),"")</f>
        <v>0</v>
      </c>
      <c r="AW160" s="794">
        <f t="shared" si="6"/>
        <v>0</v>
      </c>
      <c r="AX160" s="794">
        <f t="array" ref="AX160">INDEX(V160:AG160,1,MATCH(Parametres!$B$3,V$1:AG$1,0))*IF(OR(C160="L",C160="S",C160="I"),-1,1)</f>
        <v>0</v>
      </c>
      <c r="AY160" s="853" t="s">
        <v>772</v>
      </c>
      <c r="AZ160" s="853" t="str">
        <f>+VLOOKUP($AJ160,Data_Validation!$A:$E,5,0)</f>
        <v/>
      </c>
    </row>
    <row r="161" ht="15.0" customHeight="1">
      <c r="A161" s="849" t="s">
        <v>1239</v>
      </c>
      <c r="B161" s="849">
        <v>2025.0</v>
      </c>
      <c r="C161" s="849" t="s">
        <v>1626</v>
      </c>
      <c r="D161" s="849" t="s">
        <v>1627</v>
      </c>
      <c r="E161" s="849" t="s">
        <v>768</v>
      </c>
      <c r="F161" s="849" t="s">
        <v>1200</v>
      </c>
      <c r="G161" s="849">
        <v>0.0</v>
      </c>
      <c r="H161" s="849">
        <v>0.0</v>
      </c>
      <c r="I161" s="849">
        <v>0.0</v>
      </c>
      <c r="J161" s="849">
        <v>0.0</v>
      </c>
      <c r="K161" s="849">
        <v>0.0</v>
      </c>
      <c r="L161" s="849">
        <v>0.0</v>
      </c>
      <c r="M161" s="849">
        <v>0.0</v>
      </c>
      <c r="N161" s="849">
        <v>0.0</v>
      </c>
      <c r="O161" s="849">
        <v>0.0</v>
      </c>
      <c r="P161" s="849">
        <v>0.0</v>
      </c>
      <c r="Q161" s="849">
        <v>0.0</v>
      </c>
      <c r="R161" s="849">
        <v>0.0</v>
      </c>
      <c r="S161" s="849">
        <v>0.0</v>
      </c>
      <c r="T161" s="849">
        <v>0.0</v>
      </c>
      <c r="U161" s="849">
        <v>0.0</v>
      </c>
      <c r="V161" s="849">
        <v>0.0</v>
      </c>
      <c r="W161" s="849">
        <v>0.0</v>
      </c>
      <c r="X161" s="849">
        <v>0.0</v>
      </c>
      <c r="Y161" s="849">
        <v>0.0</v>
      </c>
      <c r="Z161" s="849">
        <v>0.0</v>
      </c>
      <c r="AA161" s="849">
        <v>0.0</v>
      </c>
      <c r="AB161" s="849">
        <v>0.0</v>
      </c>
      <c r="AC161" s="849">
        <v>0.0</v>
      </c>
      <c r="AD161" s="849">
        <v>0.0</v>
      </c>
      <c r="AE161" s="849">
        <v>0.0</v>
      </c>
      <c r="AF161" s="849">
        <v>0.0</v>
      </c>
      <c r="AG161" s="849">
        <v>0.0</v>
      </c>
      <c r="AH161" s="849">
        <v>0.0</v>
      </c>
      <c r="AI161" s="849">
        <v>0.0</v>
      </c>
      <c r="AJ161" s="794" t="str">
        <f t="shared" ref="AJ161:AK161" si="319">C161</f>
        <v>G0699</v>
      </c>
      <c r="AK161" s="794" t="str">
        <f t="shared" si="319"/>
        <v>SERV. EXTERIEUR-ADMIN</v>
      </c>
      <c r="AL161" s="794">
        <f t="array" ref="AL161">IFERROR(INDEX(G161:R161,1,MATCH(Parametres!$B$3,G$1:R$1,0)-1)*IF(OR(F161="L",F161="S",F161="I"),-1,1),"")</f>
        <v>0</v>
      </c>
      <c r="AM161" s="794">
        <f t="shared" si="4"/>
        <v>0</v>
      </c>
      <c r="AN161" s="794">
        <f t="array" ref="AN161">INDEX(G161:R161,1,MATCH(Parametres!$B$3,G$1:R$1,0))*IF(OR(F161="L",F161="S",F161="I"),-1,1)</f>
        <v>0</v>
      </c>
      <c r="AO161" s="853" t="str">
        <f>+VLOOKUP($AJ161,Data_Validation!$A:$D,1,0)</f>
        <v>#N/A</v>
      </c>
      <c r="AP161" s="853" t="str">
        <f>+VLOOKUP($AJ161,Data_Validation!$A:$D,3,0)</f>
        <v>#N/A</v>
      </c>
      <c r="AQ161" s="853" t="str">
        <f>+VLOOKUP($AJ161,Data_Validation!$A:$D,4,0)</f>
        <v>#N/A</v>
      </c>
      <c r="AR161" s="853" t="s">
        <v>728</v>
      </c>
      <c r="AS161" s="853" t="str">
        <f>+VLOOKUP($AJ161,Data_Validation!$A:$E,5,0)</f>
        <v>#N/A</v>
      </c>
      <c r="AT161" s="794" t="str">
        <f t="shared" ref="AT161:AU161" si="320">C161</f>
        <v>G0699</v>
      </c>
      <c r="AU161" s="854" t="str">
        <f t="shared" si="320"/>
        <v>SERV. EXTERIEUR-ADMIN</v>
      </c>
      <c r="AV161" s="794">
        <f t="array" ref="AV161">IFERROR(INDEX(V161:AG161,1,MATCH(Parametres!$B$3,V$1:AG$1,0)-1)*IF(OR(C161="L",C161="S",C161="I"),-1,1),"")</f>
        <v>0</v>
      </c>
      <c r="AW161" s="794">
        <f t="shared" si="6"/>
        <v>0</v>
      </c>
      <c r="AX161" s="794">
        <f t="array" ref="AX161">INDEX(V161:AG161,1,MATCH(Parametres!$B$3,V$1:AG$1,0))*IF(OR(C161="L",C161="S",C161="I"),-1,1)</f>
        <v>0</v>
      </c>
      <c r="AY161" s="853" t="s">
        <v>772</v>
      </c>
      <c r="AZ161" s="853" t="str">
        <f>+VLOOKUP($AJ161,Data_Validation!$A:$E,5,0)</f>
        <v>#N/A</v>
      </c>
    </row>
    <row r="162" ht="15.0" customHeight="1">
      <c r="A162" s="849" t="s">
        <v>1239</v>
      </c>
      <c r="B162" s="849">
        <v>2025.0</v>
      </c>
      <c r="C162" s="849" t="s">
        <v>1628</v>
      </c>
      <c r="D162" s="849" t="s">
        <v>1629</v>
      </c>
      <c r="E162" s="849" t="s">
        <v>768</v>
      </c>
      <c r="F162" s="849" t="s">
        <v>1200</v>
      </c>
      <c r="G162" s="849">
        <v>0.0</v>
      </c>
      <c r="H162" s="849">
        <v>0.0</v>
      </c>
      <c r="I162" s="849">
        <v>0.0</v>
      </c>
      <c r="J162" s="849">
        <v>0.0</v>
      </c>
      <c r="K162" s="849">
        <v>0.0</v>
      </c>
      <c r="L162" s="849">
        <v>0.0</v>
      </c>
      <c r="M162" s="849">
        <v>0.0</v>
      </c>
      <c r="N162" s="849">
        <v>0.0</v>
      </c>
      <c r="O162" s="849">
        <v>0.0</v>
      </c>
      <c r="P162" s="849">
        <v>0.0</v>
      </c>
      <c r="Q162" s="849">
        <v>0.0</v>
      </c>
      <c r="R162" s="849">
        <v>0.0</v>
      </c>
      <c r="S162" s="849">
        <v>0.0</v>
      </c>
      <c r="T162" s="849">
        <v>0.0</v>
      </c>
      <c r="U162" s="849">
        <v>0.0</v>
      </c>
      <c r="V162" s="849">
        <v>0.0</v>
      </c>
      <c r="W162" s="849">
        <v>0.0</v>
      </c>
      <c r="X162" s="849">
        <v>0.0</v>
      </c>
      <c r="Y162" s="849">
        <v>0.0</v>
      </c>
      <c r="Z162" s="849">
        <v>0.0</v>
      </c>
      <c r="AA162" s="849">
        <v>0.0</v>
      </c>
      <c r="AB162" s="849">
        <v>0.0</v>
      </c>
      <c r="AC162" s="849">
        <v>0.0</v>
      </c>
      <c r="AD162" s="849">
        <v>0.0</v>
      </c>
      <c r="AE162" s="849">
        <v>0.0</v>
      </c>
      <c r="AF162" s="849">
        <v>0.0</v>
      </c>
      <c r="AG162" s="849">
        <v>0.0</v>
      </c>
      <c r="AH162" s="849">
        <v>0.0</v>
      </c>
      <c r="AI162" s="849">
        <v>0.0</v>
      </c>
      <c r="AJ162" s="794" t="str">
        <f t="shared" ref="AJ162:AK162" si="321">C162</f>
        <v>G0700</v>
      </c>
      <c r="AK162" s="794" t="str">
        <f t="shared" si="321"/>
        <v>FRAIS REPRESENT. REP</v>
      </c>
      <c r="AL162" s="794">
        <f t="array" ref="AL162">IFERROR(INDEX(G162:R162,1,MATCH(Parametres!$B$3,G$1:R$1,0)-1)*IF(OR(F162="L",F162="S",F162="I"),-1,1),"")</f>
        <v>0</v>
      </c>
      <c r="AM162" s="794">
        <f t="shared" si="4"/>
        <v>0</v>
      </c>
      <c r="AN162" s="794">
        <f t="array" ref="AN162">INDEX(G162:R162,1,MATCH(Parametres!$B$3,G$1:R$1,0))*IF(OR(F162="L",F162="S",F162="I"),-1,1)</f>
        <v>0</v>
      </c>
      <c r="AO162" s="853" t="str">
        <f>+VLOOKUP($AJ162,Data_Validation!$A:$D,1,0)</f>
        <v>#N/A</v>
      </c>
      <c r="AP162" s="853" t="str">
        <f>+VLOOKUP($AJ162,Data_Validation!$A:$D,3,0)</f>
        <v>#N/A</v>
      </c>
      <c r="AQ162" s="853" t="str">
        <f>+VLOOKUP($AJ162,Data_Validation!$A:$D,4,0)</f>
        <v>#N/A</v>
      </c>
      <c r="AR162" s="853" t="s">
        <v>728</v>
      </c>
      <c r="AS162" s="853" t="str">
        <f>+VLOOKUP($AJ162,Data_Validation!$A:$E,5,0)</f>
        <v>#N/A</v>
      </c>
      <c r="AT162" s="794" t="str">
        <f t="shared" ref="AT162:AU162" si="322">C162</f>
        <v>G0700</v>
      </c>
      <c r="AU162" s="854" t="str">
        <f t="shared" si="322"/>
        <v>FRAIS REPRESENT. REP</v>
      </c>
      <c r="AV162" s="794">
        <f t="array" ref="AV162">IFERROR(INDEX(V162:AG162,1,MATCH(Parametres!$B$3,V$1:AG$1,0)-1)*IF(OR(C162="L",C162="S",C162="I"),-1,1),"")</f>
        <v>0</v>
      </c>
      <c r="AW162" s="794">
        <f t="shared" si="6"/>
        <v>0</v>
      </c>
      <c r="AX162" s="794">
        <f t="array" ref="AX162">INDEX(V162:AG162,1,MATCH(Parametres!$B$3,V$1:AG$1,0))*IF(OR(C162="L",C162="S",C162="I"),-1,1)</f>
        <v>0</v>
      </c>
      <c r="AY162" s="853" t="s">
        <v>772</v>
      </c>
      <c r="AZ162" s="853" t="str">
        <f>+VLOOKUP($AJ162,Data_Validation!$A:$E,5,0)</f>
        <v>#N/A</v>
      </c>
    </row>
    <row r="163" ht="15.75" customHeight="1">
      <c r="A163" s="849" t="s">
        <v>1239</v>
      </c>
      <c r="B163" s="849">
        <v>2025.0</v>
      </c>
      <c r="C163" s="849" t="s">
        <v>1630</v>
      </c>
      <c r="D163" s="849" t="s">
        <v>1631</v>
      </c>
      <c r="E163" s="849" t="s">
        <v>768</v>
      </c>
      <c r="F163" s="849" t="s">
        <v>1200</v>
      </c>
      <c r="G163" s="849">
        <v>0.0</v>
      </c>
      <c r="H163" s="849">
        <v>151.69</v>
      </c>
      <c r="I163" s="849">
        <v>1098.67</v>
      </c>
      <c r="J163" s="849">
        <v>1802.31</v>
      </c>
      <c r="K163" s="849">
        <v>2464.04</v>
      </c>
      <c r="L163" s="849">
        <v>3352.4</v>
      </c>
      <c r="M163" s="849">
        <v>5153.84</v>
      </c>
      <c r="N163" s="849">
        <v>5770.61</v>
      </c>
      <c r="O163" s="849">
        <v>7558.23</v>
      </c>
      <c r="P163" s="849">
        <v>7497.0</v>
      </c>
      <c r="Q163" s="849">
        <v>9658.91</v>
      </c>
      <c r="R163" s="849">
        <v>9278.97</v>
      </c>
      <c r="S163" s="849">
        <v>878.08</v>
      </c>
      <c r="T163" s="849">
        <v>878.08</v>
      </c>
      <c r="U163" s="849">
        <v>0.0</v>
      </c>
      <c r="V163" s="849">
        <v>0.0</v>
      </c>
      <c r="W163" s="849">
        <v>0.0</v>
      </c>
      <c r="X163" s="849">
        <v>0.0</v>
      </c>
      <c r="Y163" s="849">
        <v>0.0</v>
      </c>
      <c r="Z163" s="849">
        <v>0.0</v>
      </c>
      <c r="AA163" s="849">
        <v>0.0</v>
      </c>
      <c r="AB163" s="849">
        <v>0.0</v>
      </c>
      <c r="AC163" s="849">
        <v>0.0</v>
      </c>
      <c r="AD163" s="849">
        <v>0.0</v>
      </c>
      <c r="AE163" s="849">
        <v>0.0</v>
      </c>
      <c r="AF163" s="849">
        <v>0.0</v>
      </c>
      <c r="AG163" s="849">
        <v>0.0</v>
      </c>
      <c r="AH163" s="849">
        <v>0.0</v>
      </c>
      <c r="AI163" s="849">
        <v>0.0</v>
      </c>
      <c r="AJ163" s="794" t="str">
        <f t="shared" ref="AJ163:AK163" si="323">C163</f>
        <v>G07000</v>
      </c>
      <c r="AK163" s="794" t="str">
        <f t="shared" si="323"/>
        <v>FR. REPRES. 50%- REPART.</v>
      </c>
      <c r="AL163" s="794">
        <f t="array" ref="AL163">IFERROR(INDEX(G163:R163,1,MATCH(Parametres!$B$3,G$1:R$1,0)-1)*IF(OR(F163="L",F163="S",F163="I"),-1,1),"")</f>
        <v>5770.61</v>
      </c>
      <c r="AM163" s="794">
        <f t="shared" si="4"/>
        <v>1787.62</v>
      </c>
      <c r="AN163" s="794">
        <f t="array" ref="AN163">INDEX(G163:R163,1,MATCH(Parametres!$B$3,G$1:R$1,0))*IF(OR(F163="L",F163="S",F163="I"),-1,1)</f>
        <v>7558.23</v>
      </c>
      <c r="AO163" s="853" t="str">
        <f>+VLOOKUP($AJ163,Data_Validation!$A:$D,1,0)</f>
        <v>G07000</v>
      </c>
      <c r="AP163" s="853" t="str">
        <f>+VLOOKUP($AJ163,Data_Validation!$A:$D,3,0)</f>
        <v>Véhicules neufs</v>
      </c>
      <c r="AQ163" s="853" t="str">
        <f>+VLOOKUP($AJ163,Data_Validation!$A:$D,4,0)</f>
        <v>Frais de déplacement</v>
      </c>
      <c r="AR163" s="853" t="s">
        <v>728</v>
      </c>
      <c r="AS163" s="853" t="str">
        <f>+VLOOKUP($AJ163,Data_Validation!$A:$E,5,0)</f>
        <v/>
      </c>
      <c r="AT163" s="794" t="str">
        <f t="shared" ref="AT163:AU163" si="324">C163</f>
        <v>G07000</v>
      </c>
      <c r="AU163" s="854" t="str">
        <f t="shared" si="324"/>
        <v>FR. REPRES. 50%- REPART.</v>
      </c>
      <c r="AV163" s="794">
        <f t="array" ref="AV163">IFERROR(INDEX(V163:AG163,1,MATCH(Parametres!$B$3,V$1:AG$1,0)-1)*IF(OR(C163="L",C163="S",C163="I"),-1,1),"")</f>
        <v>0</v>
      </c>
      <c r="AW163" s="794">
        <f t="shared" si="6"/>
        <v>0</v>
      </c>
      <c r="AX163" s="794">
        <f t="array" ref="AX163">INDEX(V163:AG163,1,MATCH(Parametres!$B$3,V$1:AG$1,0))*IF(OR(C163="L",C163="S",C163="I"),-1,1)</f>
        <v>0</v>
      </c>
      <c r="AY163" s="853" t="s">
        <v>772</v>
      </c>
      <c r="AZ163" s="853" t="str">
        <f>+VLOOKUP($AJ163,Data_Validation!$A:$E,5,0)</f>
        <v/>
      </c>
    </row>
    <row r="164" ht="15.0" customHeight="1">
      <c r="A164" s="849" t="s">
        <v>1239</v>
      </c>
      <c r="B164" s="849">
        <v>2025.0</v>
      </c>
      <c r="C164" s="849" t="s">
        <v>1632</v>
      </c>
      <c r="D164" s="849" t="s">
        <v>1633</v>
      </c>
      <c r="E164" s="849" t="s">
        <v>768</v>
      </c>
      <c r="F164" s="849" t="s">
        <v>1200</v>
      </c>
      <c r="G164" s="849">
        <v>636.69</v>
      </c>
      <c r="H164" s="849">
        <v>1086.69</v>
      </c>
      <c r="I164" s="849">
        <v>2879.76</v>
      </c>
      <c r="J164" s="849">
        <v>8262.12</v>
      </c>
      <c r="K164" s="849">
        <v>20331.6</v>
      </c>
      <c r="L164" s="849">
        <v>20781.6</v>
      </c>
      <c r="M164" s="849">
        <v>22485.3</v>
      </c>
      <c r="N164" s="849">
        <v>22991.55</v>
      </c>
      <c r="O164" s="849">
        <v>32903.46</v>
      </c>
      <c r="P164" s="849">
        <v>33428.02</v>
      </c>
      <c r="Q164" s="849">
        <v>36606.17</v>
      </c>
      <c r="R164" s="849">
        <v>30597.56</v>
      </c>
      <c r="S164" s="849">
        <v>3327.83</v>
      </c>
      <c r="T164" s="849">
        <v>3327.83</v>
      </c>
      <c r="U164" s="849">
        <v>0.0</v>
      </c>
      <c r="V164" s="849">
        <v>0.0</v>
      </c>
      <c r="W164" s="849">
        <v>0.0</v>
      </c>
      <c r="X164" s="849">
        <v>0.0</v>
      </c>
      <c r="Y164" s="849">
        <v>0.0</v>
      </c>
      <c r="Z164" s="849">
        <v>0.0</v>
      </c>
      <c r="AA164" s="849">
        <v>0.0</v>
      </c>
      <c r="AB164" s="849">
        <v>0.0</v>
      </c>
      <c r="AC164" s="849">
        <v>0.0</v>
      </c>
      <c r="AD164" s="849">
        <v>0.0</v>
      </c>
      <c r="AE164" s="849">
        <v>0.0</v>
      </c>
      <c r="AF164" s="849">
        <v>0.0</v>
      </c>
      <c r="AG164" s="849">
        <v>0.0</v>
      </c>
      <c r="AH164" s="849">
        <v>0.0</v>
      </c>
      <c r="AI164" s="849">
        <v>0.0</v>
      </c>
      <c r="AJ164" s="794" t="str">
        <f t="shared" ref="AJ164:AK164" si="325">C164</f>
        <v>G0701</v>
      </c>
      <c r="AK164" s="794" t="str">
        <f t="shared" si="325"/>
        <v>FRAIS REPRES.-NEUFS</v>
      </c>
      <c r="AL164" s="794">
        <f t="array" ref="AL164">IFERROR(INDEX(G164:R164,1,MATCH(Parametres!$B$3,G$1:R$1,0)-1)*IF(OR(F164="L",F164="S",F164="I"),-1,1),"")</f>
        <v>22991.55</v>
      </c>
      <c r="AM164" s="794">
        <f t="shared" si="4"/>
        <v>9911.91</v>
      </c>
      <c r="AN164" s="794">
        <f t="array" ref="AN164">INDEX(G164:R164,1,MATCH(Parametres!$B$3,G$1:R$1,0))*IF(OR(F164="L",F164="S",F164="I"),-1,1)</f>
        <v>32903.46</v>
      </c>
      <c r="AO164" s="853" t="str">
        <f>+VLOOKUP($AJ164,Data_Validation!$A:$D,1,0)</f>
        <v>G0701</v>
      </c>
      <c r="AP164" s="853" t="str">
        <f>+VLOOKUP($AJ164,Data_Validation!$A:$D,3,0)</f>
        <v>Véhicules neufs</v>
      </c>
      <c r="AQ164" s="853" t="str">
        <f>+VLOOKUP($AJ164,Data_Validation!$A:$D,4,0)</f>
        <v>Frais de déplacement</v>
      </c>
      <c r="AR164" s="853" t="s">
        <v>728</v>
      </c>
      <c r="AS164" s="853" t="str">
        <f>+VLOOKUP($AJ164,Data_Validation!$A:$E,5,0)</f>
        <v/>
      </c>
      <c r="AT164" s="794" t="str">
        <f t="shared" ref="AT164:AU164" si="326">C164</f>
        <v>G0701</v>
      </c>
      <c r="AU164" s="854" t="str">
        <f t="shared" si="326"/>
        <v>FRAIS REPRES.-NEUFS</v>
      </c>
      <c r="AV164" s="794">
        <f t="array" ref="AV164">IFERROR(INDEX(V164:AG164,1,MATCH(Parametres!$B$3,V$1:AG$1,0)-1)*IF(OR(C164="L",C164="S",C164="I"),-1,1),"")</f>
        <v>0</v>
      </c>
      <c r="AW164" s="794">
        <f t="shared" si="6"/>
        <v>0</v>
      </c>
      <c r="AX164" s="794">
        <f t="array" ref="AX164">INDEX(V164:AG164,1,MATCH(Parametres!$B$3,V$1:AG$1,0))*IF(OR(C164="L",C164="S",C164="I"),-1,1)</f>
        <v>0</v>
      </c>
      <c r="AY164" s="853" t="s">
        <v>772</v>
      </c>
      <c r="AZ164" s="853" t="str">
        <f>+VLOOKUP($AJ164,Data_Validation!$A:$E,5,0)</f>
        <v/>
      </c>
    </row>
    <row r="165" ht="15.0" customHeight="1">
      <c r="A165" s="849" t="s">
        <v>1239</v>
      </c>
      <c r="B165" s="849">
        <v>2025.0</v>
      </c>
      <c r="C165" s="849" t="s">
        <v>1634</v>
      </c>
      <c r="D165" s="849" t="s">
        <v>1635</v>
      </c>
      <c r="E165" s="849" t="s">
        <v>768</v>
      </c>
      <c r="F165" s="849" t="s">
        <v>1200</v>
      </c>
      <c r="G165" s="849">
        <v>605.74</v>
      </c>
      <c r="H165" s="849">
        <v>605.74</v>
      </c>
      <c r="I165" s="849">
        <v>1163.21</v>
      </c>
      <c r="J165" s="849">
        <v>2076.24</v>
      </c>
      <c r="K165" s="849">
        <v>2207.58</v>
      </c>
      <c r="L165" s="849">
        <v>2207.58</v>
      </c>
      <c r="M165" s="849">
        <v>2207.58</v>
      </c>
      <c r="N165" s="849">
        <v>2342.58</v>
      </c>
      <c r="O165" s="849">
        <v>2342.58</v>
      </c>
      <c r="P165" s="849">
        <v>2382.54</v>
      </c>
      <c r="Q165" s="849">
        <v>2394.53</v>
      </c>
      <c r="R165" s="849">
        <v>2408.73</v>
      </c>
      <c r="S165" s="849">
        <v>217.68</v>
      </c>
      <c r="T165" s="849">
        <v>217.68</v>
      </c>
      <c r="U165" s="849">
        <v>0.0</v>
      </c>
      <c r="V165" s="849">
        <v>0.0</v>
      </c>
      <c r="W165" s="849">
        <v>0.0</v>
      </c>
      <c r="X165" s="849">
        <v>0.0</v>
      </c>
      <c r="Y165" s="849">
        <v>0.0</v>
      </c>
      <c r="Z165" s="849">
        <v>0.0</v>
      </c>
      <c r="AA165" s="849">
        <v>0.0</v>
      </c>
      <c r="AB165" s="849">
        <v>0.0</v>
      </c>
      <c r="AC165" s="849">
        <v>0.0</v>
      </c>
      <c r="AD165" s="849">
        <v>0.0</v>
      </c>
      <c r="AE165" s="849">
        <v>0.0</v>
      </c>
      <c r="AF165" s="849">
        <v>0.0</v>
      </c>
      <c r="AG165" s="849">
        <v>0.0</v>
      </c>
      <c r="AH165" s="849">
        <v>0.0</v>
      </c>
      <c r="AI165" s="849">
        <v>0.0</v>
      </c>
      <c r="AJ165" s="794" t="str">
        <f t="shared" ref="AJ165:AK165" si="327">C165</f>
        <v>G07011</v>
      </c>
      <c r="AK165" s="794" t="str">
        <f t="shared" si="327"/>
        <v>FR.REPRES 50% NEUF</v>
      </c>
      <c r="AL165" s="794">
        <f t="array" ref="AL165">IFERROR(INDEX(G165:R165,1,MATCH(Parametres!$B$3,G$1:R$1,0)-1)*IF(OR(F165="L",F165="S",F165="I"),-1,1),"")</f>
        <v>2342.58</v>
      </c>
      <c r="AM165" s="794">
        <f t="shared" si="4"/>
        <v>0</v>
      </c>
      <c r="AN165" s="794">
        <f t="array" ref="AN165">INDEX(G165:R165,1,MATCH(Parametres!$B$3,G$1:R$1,0))*IF(OR(F165="L",F165="S",F165="I"),-1,1)</f>
        <v>2342.58</v>
      </c>
      <c r="AO165" s="853" t="str">
        <f>+VLOOKUP($AJ165,Data_Validation!$A:$D,1,0)</f>
        <v>G07011</v>
      </c>
      <c r="AP165" s="853" t="str">
        <f>+VLOOKUP($AJ165,Data_Validation!$A:$D,3,0)</f>
        <v>Véhicules neufs</v>
      </c>
      <c r="AQ165" s="853" t="str">
        <f>+VLOOKUP($AJ165,Data_Validation!$A:$D,4,0)</f>
        <v>Frais de déplacement</v>
      </c>
      <c r="AR165" s="853" t="s">
        <v>728</v>
      </c>
      <c r="AS165" s="853" t="str">
        <f>+VLOOKUP($AJ165,Data_Validation!$A:$E,5,0)</f>
        <v/>
      </c>
      <c r="AT165" s="794" t="str">
        <f t="shared" ref="AT165:AU165" si="328">C165</f>
        <v>G07011</v>
      </c>
      <c r="AU165" s="854" t="str">
        <f t="shared" si="328"/>
        <v>FR.REPRES 50% NEUF</v>
      </c>
      <c r="AV165" s="794">
        <f t="array" ref="AV165">IFERROR(INDEX(V165:AG165,1,MATCH(Parametres!$B$3,V$1:AG$1,0)-1)*IF(OR(C165="L",C165="S",C165="I"),-1,1),"")</f>
        <v>0</v>
      </c>
      <c r="AW165" s="794">
        <f t="shared" si="6"/>
        <v>0</v>
      </c>
      <c r="AX165" s="794">
        <f t="array" ref="AX165">INDEX(V165:AG165,1,MATCH(Parametres!$B$3,V$1:AG$1,0))*IF(OR(C165="L",C165="S",C165="I"),-1,1)</f>
        <v>0</v>
      </c>
      <c r="AY165" s="853" t="s">
        <v>772</v>
      </c>
      <c r="AZ165" s="853" t="str">
        <f>+VLOOKUP($AJ165,Data_Validation!$A:$E,5,0)</f>
        <v/>
      </c>
    </row>
    <row r="166" ht="15.0" customHeight="1">
      <c r="A166" s="849" t="s">
        <v>1239</v>
      </c>
      <c r="B166" s="849">
        <v>2025.0</v>
      </c>
      <c r="C166" s="849" t="s">
        <v>1636</v>
      </c>
      <c r="D166" s="849" t="s">
        <v>1637</v>
      </c>
      <c r="E166" s="849" t="s">
        <v>768</v>
      </c>
      <c r="F166" s="849" t="s">
        <v>1200</v>
      </c>
      <c r="G166" s="849">
        <v>424.46</v>
      </c>
      <c r="H166" s="849">
        <v>724.46</v>
      </c>
      <c r="I166" s="849">
        <v>1546.07</v>
      </c>
      <c r="J166" s="849">
        <v>4878.39</v>
      </c>
      <c r="K166" s="849">
        <v>12866.55</v>
      </c>
      <c r="L166" s="849">
        <v>13166.55</v>
      </c>
      <c r="M166" s="849">
        <v>14177.29</v>
      </c>
      <c r="N166" s="849">
        <v>14477.29</v>
      </c>
      <c r="O166" s="849">
        <v>20956.31</v>
      </c>
      <c r="P166" s="849">
        <v>21256.31</v>
      </c>
      <c r="Q166" s="849">
        <v>23184.88</v>
      </c>
      <c r="R166" s="849">
        <v>19087.13</v>
      </c>
      <c r="S166" s="849">
        <v>2107.72</v>
      </c>
      <c r="T166" s="849">
        <v>2107.72</v>
      </c>
      <c r="U166" s="849">
        <v>0.0</v>
      </c>
      <c r="V166" s="849">
        <v>0.0</v>
      </c>
      <c r="W166" s="849">
        <v>0.0</v>
      </c>
      <c r="X166" s="849">
        <v>0.0</v>
      </c>
      <c r="Y166" s="849">
        <v>0.0</v>
      </c>
      <c r="Z166" s="849">
        <v>0.0</v>
      </c>
      <c r="AA166" s="849">
        <v>0.0</v>
      </c>
      <c r="AB166" s="849">
        <v>0.0</v>
      </c>
      <c r="AC166" s="849">
        <v>0.0</v>
      </c>
      <c r="AD166" s="849">
        <v>0.0</v>
      </c>
      <c r="AE166" s="849">
        <v>0.0</v>
      </c>
      <c r="AF166" s="849">
        <v>0.0</v>
      </c>
      <c r="AG166" s="849">
        <v>0.0</v>
      </c>
      <c r="AH166" s="849">
        <v>0.0</v>
      </c>
      <c r="AI166" s="849">
        <v>0.0</v>
      </c>
      <c r="AJ166" s="794" t="str">
        <f t="shared" ref="AJ166:AK166" si="329">C166</f>
        <v>G0702</v>
      </c>
      <c r="AK166" s="794" t="str">
        <f t="shared" si="329"/>
        <v>FRAIS REPRES.-USAGES</v>
      </c>
      <c r="AL166" s="794">
        <f t="array" ref="AL166">IFERROR(INDEX(G166:R166,1,MATCH(Parametres!$B$3,G$1:R$1,0)-1)*IF(OR(F166="L",F166="S",F166="I"),-1,1),"")</f>
        <v>14477.29</v>
      </c>
      <c r="AM166" s="794">
        <f t="shared" si="4"/>
        <v>6479.02</v>
      </c>
      <c r="AN166" s="794">
        <f t="array" ref="AN166">INDEX(G166:R166,1,MATCH(Parametres!$B$3,G$1:R$1,0))*IF(OR(F166="L",F166="S",F166="I"),-1,1)</f>
        <v>20956.31</v>
      </c>
      <c r="AO166" s="853" t="str">
        <f>+VLOOKUP($AJ166,Data_Validation!$A:$D,1,0)</f>
        <v>G0702</v>
      </c>
      <c r="AP166" s="853" t="str">
        <f>+VLOOKUP($AJ166,Data_Validation!$A:$D,3,0)</f>
        <v>Véhicules usagés</v>
      </c>
      <c r="AQ166" s="853" t="str">
        <f>+VLOOKUP($AJ166,Data_Validation!$A:$D,4,0)</f>
        <v>Frais de déplacement</v>
      </c>
      <c r="AR166" s="853" t="s">
        <v>728</v>
      </c>
      <c r="AS166" s="853" t="str">
        <f>+VLOOKUP($AJ166,Data_Validation!$A:$E,5,0)</f>
        <v/>
      </c>
      <c r="AT166" s="794" t="str">
        <f t="shared" ref="AT166:AU166" si="330">C166</f>
        <v>G0702</v>
      </c>
      <c r="AU166" s="854" t="str">
        <f t="shared" si="330"/>
        <v>FRAIS REPRES.-USAGES</v>
      </c>
      <c r="AV166" s="794">
        <f t="array" ref="AV166">IFERROR(INDEX(V166:AG166,1,MATCH(Parametres!$B$3,V$1:AG$1,0)-1)*IF(OR(C166="L",C166="S",C166="I"),-1,1),"")</f>
        <v>0</v>
      </c>
      <c r="AW166" s="794">
        <f t="shared" si="6"/>
        <v>0</v>
      </c>
      <c r="AX166" s="794">
        <f t="array" ref="AX166">INDEX(V166:AG166,1,MATCH(Parametres!$B$3,V$1:AG$1,0))*IF(OR(C166="L",C166="S",C166="I"),-1,1)</f>
        <v>0</v>
      </c>
      <c r="AY166" s="853" t="s">
        <v>772</v>
      </c>
      <c r="AZ166" s="853" t="str">
        <f>+VLOOKUP($AJ166,Data_Validation!$A:$E,5,0)</f>
        <v/>
      </c>
    </row>
    <row r="167" ht="15.0" customHeight="1">
      <c r="A167" s="849" t="s">
        <v>1239</v>
      </c>
      <c r="B167" s="849">
        <v>2025.0</v>
      </c>
      <c r="C167" s="849" t="s">
        <v>1638</v>
      </c>
      <c r="D167" s="849" t="s">
        <v>1639</v>
      </c>
      <c r="E167" s="849" t="s">
        <v>768</v>
      </c>
      <c r="F167" s="849" t="s">
        <v>1200</v>
      </c>
      <c r="G167" s="849">
        <v>0.0</v>
      </c>
      <c r="H167" s="849">
        <v>0.0</v>
      </c>
      <c r="I167" s="849">
        <v>390.72</v>
      </c>
      <c r="J167" s="849">
        <v>390.72</v>
      </c>
      <c r="K167" s="849">
        <v>390.72</v>
      </c>
      <c r="L167" s="849">
        <v>390.72</v>
      </c>
      <c r="M167" s="849">
        <v>390.72</v>
      </c>
      <c r="N167" s="849">
        <v>390.72</v>
      </c>
      <c r="O167" s="849">
        <v>390.72</v>
      </c>
      <c r="P167" s="849">
        <v>390.72</v>
      </c>
      <c r="Q167" s="849">
        <v>390.72</v>
      </c>
      <c r="R167" s="849">
        <v>390.72</v>
      </c>
      <c r="S167" s="849">
        <v>35.52</v>
      </c>
      <c r="T167" s="849">
        <v>35.52</v>
      </c>
      <c r="U167" s="849">
        <v>0.0</v>
      </c>
      <c r="V167" s="849">
        <v>0.0</v>
      </c>
      <c r="W167" s="849">
        <v>0.0</v>
      </c>
      <c r="X167" s="849">
        <v>0.0</v>
      </c>
      <c r="Y167" s="849">
        <v>0.0</v>
      </c>
      <c r="Z167" s="849">
        <v>0.0</v>
      </c>
      <c r="AA167" s="849">
        <v>0.0</v>
      </c>
      <c r="AB167" s="849">
        <v>0.0</v>
      </c>
      <c r="AC167" s="849">
        <v>0.0</v>
      </c>
      <c r="AD167" s="849">
        <v>0.0</v>
      </c>
      <c r="AE167" s="849">
        <v>0.0</v>
      </c>
      <c r="AF167" s="849">
        <v>0.0</v>
      </c>
      <c r="AG167" s="849">
        <v>0.0</v>
      </c>
      <c r="AH167" s="849">
        <v>0.0</v>
      </c>
      <c r="AI167" s="849">
        <v>0.0</v>
      </c>
      <c r="AJ167" s="794" t="str">
        <f t="shared" ref="AJ167:AK167" si="331">C167</f>
        <v>G07022</v>
      </c>
      <c r="AK167" s="794" t="str">
        <f t="shared" si="331"/>
        <v>FR.REPRES 50% USAGE</v>
      </c>
      <c r="AL167" s="794">
        <f t="array" ref="AL167">IFERROR(INDEX(G167:R167,1,MATCH(Parametres!$B$3,G$1:R$1,0)-1)*IF(OR(F167="L",F167="S",F167="I"),-1,1),"")</f>
        <v>390.72</v>
      </c>
      <c r="AM167" s="794">
        <f t="shared" si="4"/>
        <v>0</v>
      </c>
      <c r="AN167" s="794">
        <f t="array" ref="AN167">INDEX(G167:R167,1,MATCH(Parametres!$B$3,G$1:R$1,0))*IF(OR(F167="L",F167="S",F167="I"),-1,1)</f>
        <v>390.72</v>
      </c>
      <c r="AO167" s="853" t="str">
        <f>+VLOOKUP($AJ167,Data_Validation!$A:$D,1,0)</f>
        <v>G07022</v>
      </c>
      <c r="AP167" s="853" t="str">
        <f>+VLOOKUP($AJ167,Data_Validation!$A:$D,3,0)</f>
        <v>Véhicules usagés</v>
      </c>
      <c r="AQ167" s="853" t="str">
        <f>+VLOOKUP($AJ167,Data_Validation!$A:$D,4,0)</f>
        <v>Frais de déplacement</v>
      </c>
      <c r="AR167" s="853" t="s">
        <v>728</v>
      </c>
      <c r="AS167" s="853" t="str">
        <f>+VLOOKUP($AJ167,Data_Validation!$A:$E,5,0)</f>
        <v/>
      </c>
      <c r="AT167" s="794" t="str">
        <f t="shared" ref="AT167:AU167" si="332">C167</f>
        <v>G07022</v>
      </c>
      <c r="AU167" s="854" t="str">
        <f t="shared" si="332"/>
        <v>FR.REPRES 50% USAGE</v>
      </c>
      <c r="AV167" s="794">
        <f t="array" ref="AV167">IFERROR(INDEX(V167:AG167,1,MATCH(Parametres!$B$3,V$1:AG$1,0)-1)*IF(OR(C167="L",C167="S",C167="I"),-1,1),"")</f>
        <v>0</v>
      </c>
      <c r="AW167" s="794">
        <f t="shared" si="6"/>
        <v>0</v>
      </c>
      <c r="AX167" s="794">
        <f t="array" ref="AX167">INDEX(V167:AG167,1,MATCH(Parametres!$B$3,V$1:AG$1,0))*IF(OR(C167="L",C167="S",C167="I"),-1,1)</f>
        <v>0</v>
      </c>
      <c r="AY167" s="853" t="s">
        <v>772</v>
      </c>
      <c r="AZ167" s="853" t="str">
        <f>+VLOOKUP($AJ167,Data_Validation!$A:$E,5,0)</f>
        <v/>
      </c>
    </row>
    <row r="168" ht="15.75" customHeight="1">
      <c r="A168" s="849" t="s">
        <v>1239</v>
      </c>
      <c r="B168" s="849">
        <v>2025.0</v>
      </c>
      <c r="C168" s="849" t="s">
        <v>1640</v>
      </c>
      <c r="D168" s="849" t="s">
        <v>1641</v>
      </c>
      <c r="E168" s="849" t="s">
        <v>768</v>
      </c>
      <c r="F168" s="849" t="s">
        <v>1200</v>
      </c>
      <c r="G168" s="849">
        <v>0.0</v>
      </c>
      <c r="H168" s="849">
        <v>0.0</v>
      </c>
      <c r="I168" s="849">
        <v>0.0</v>
      </c>
      <c r="J168" s="849">
        <v>0.0</v>
      </c>
      <c r="K168" s="849">
        <v>0.0</v>
      </c>
      <c r="L168" s="849">
        <v>0.0</v>
      </c>
      <c r="M168" s="849">
        <v>0.0</v>
      </c>
      <c r="N168" s="849">
        <v>0.0</v>
      </c>
      <c r="O168" s="849">
        <v>0.0</v>
      </c>
      <c r="P168" s="849">
        <v>0.0</v>
      </c>
      <c r="Q168" s="849">
        <v>0.0</v>
      </c>
      <c r="R168" s="849">
        <v>0.0</v>
      </c>
      <c r="S168" s="849">
        <v>0.0</v>
      </c>
      <c r="T168" s="849">
        <v>0.0</v>
      </c>
      <c r="U168" s="849">
        <v>0.0</v>
      </c>
      <c r="V168" s="849">
        <v>0.0</v>
      </c>
      <c r="W168" s="849">
        <v>0.0</v>
      </c>
      <c r="X168" s="849">
        <v>0.0</v>
      </c>
      <c r="Y168" s="849">
        <v>0.0</v>
      </c>
      <c r="Z168" s="849">
        <v>0.0</v>
      </c>
      <c r="AA168" s="849">
        <v>0.0</v>
      </c>
      <c r="AB168" s="849">
        <v>0.0</v>
      </c>
      <c r="AC168" s="849">
        <v>0.0</v>
      </c>
      <c r="AD168" s="849">
        <v>0.0</v>
      </c>
      <c r="AE168" s="849">
        <v>0.0</v>
      </c>
      <c r="AF168" s="849">
        <v>0.0</v>
      </c>
      <c r="AG168" s="849">
        <v>0.0</v>
      </c>
      <c r="AH168" s="849">
        <v>0.0</v>
      </c>
      <c r="AI168" s="849">
        <v>0.0</v>
      </c>
      <c r="AJ168" s="794" t="str">
        <f t="shared" ref="AJ168:AK168" si="333">C168</f>
        <v>G0703</v>
      </c>
      <c r="AK168" s="794" t="str">
        <f t="shared" si="333"/>
        <v>FRAIS REPRESENT. U.S.A</v>
      </c>
      <c r="AL168" s="794">
        <f t="array" ref="AL168">IFERROR(INDEX(G168:R168,1,MATCH(Parametres!$B$3,G$1:R$1,0)-1)*IF(OR(F168="L",F168="S",F168="I"),-1,1),"")</f>
        <v>0</v>
      </c>
      <c r="AM168" s="794">
        <f t="shared" si="4"/>
        <v>0</v>
      </c>
      <c r="AN168" s="794">
        <f t="array" ref="AN168">INDEX(G168:R168,1,MATCH(Parametres!$B$3,G$1:R$1,0))*IF(OR(F168="L",F168="S",F168="I"),-1,1)</f>
        <v>0</v>
      </c>
      <c r="AO168" s="853" t="str">
        <f>+VLOOKUP($AJ168,Data_Validation!$A:$D,1,0)</f>
        <v>G0703</v>
      </c>
      <c r="AP168" s="853" t="str">
        <f>+VLOOKUP($AJ168,Data_Validation!$A:$D,3,0)</f>
        <v>Wholesale autres</v>
      </c>
      <c r="AQ168" s="853" t="str">
        <f>+VLOOKUP($AJ168,Data_Validation!$A:$D,4,0)</f>
        <v>Frais de déplacement</v>
      </c>
      <c r="AR168" s="853" t="s">
        <v>728</v>
      </c>
      <c r="AS168" s="853" t="str">
        <f>+VLOOKUP($AJ168,Data_Validation!$A:$E,5,0)</f>
        <v/>
      </c>
      <c r="AT168" s="794" t="str">
        <f t="shared" ref="AT168:AU168" si="334">C168</f>
        <v>G0703</v>
      </c>
      <c r="AU168" s="854" t="str">
        <f t="shared" si="334"/>
        <v>FRAIS REPRESENT. U.S.A</v>
      </c>
      <c r="AV168" s="794">
        <f t="array" ref="AV168">IFERROR(INDEX(V168:AG168,1,MATCH(Parametres!$B$3,V$1:AG$1,0)-1)*IF(OR(C168="L",C168="S",C168="I"),-1,1),"")</f>
        <v>0</v>
      </c>
      <c r="AW168" s="794">
        <f t="shared" si="6"/>
        <v>0</v>
      </c>
      <c r="AX168" s="794">
        <f t="array" ref="AX168">INDEX(V168:AG168,1,MATCH(Parametres!$B$3,V$1:AG$1,0))*IF(OR(C168="L",C168="S",C168="I"),-1,1)</f>
        <v>0</v>
      </c>
      <c r="AY168" s="853" t="s">
        <v>772</v>
      </c>
      <c r="AZ168" s="853" t="str">
        <f>+VLOOKUP($AJ168,Data_Validation!$A:$E,5,0)</f>
        <v/>
      </c>
    </row>
    <row r="169" ht="15.0" customHeight="1">
      <c r="A169" s="849" t="s">
        <v>1239</v>
      </c>
      <c r="B169" s="849">
        <v>2025.0</v>
      </c>
      <c r="C169" s="849" t="s">
        <v>1642</v>
      </c>
      <c r="D169" s="849" t="s">
        <v>1643</v>
      </c>
      <c r="E169" s="849" t="s">
        <v>768</v>
      </c>
      <c r="F169" s="849" t="s">
        <v>1200</v>
      </c>
      <c r="G169" s="849">
        <v>0.0</v>
      </c>
      <c r="H169" s="849">
        <v>0.0</v>
      </c>
      <c r="I169" s="849">
        <v>0.0</v>
      </c>
      <c r="J169" s="849">
        <v>0.0</v>
      </c>
      <c r="K169" s="849">
        <v>0.0</v>
      </c>
      <c r="L169" s="849">
        <v>0.0</v>
      </c>
      <c r="M169" s="849">
        <v>0.0</v>
      </c>
      <c r="N169" s="849">
        <v>0.0</v>
      </c>
      <c r="O169" s="849">
        <v>0.0</v>
      </c>
      <c r="P169" s="849">
        <v>0.0</v>
      </c>
      <c r="Q169" s="849">
        <v>0.0</v>
      </c>
      <c r="R169" s="849">
        <v>0.0</v>
      </c>
      <c r="S169" s="849">
        <v>0.0</v>
      </c>
      <c r="T169" s="849">
        <v>0.0</v>
      </c>
      <c r="U169" s="849">
        <v>0.0</v>
      </c>
      <c r="V169" s="849">
        <v>0.0</v>
      </c>
      <c r="W169" s="849">
        <v>0.0</v>
      </c>
      <c r="X169" s="849">
        <v>0.0</v>
      </c>
      <c r="Y169" s="849">
        <v>0.0</v>
      </c>
      <c r="Z169" s="849">
        <v>0.0</v>
      </c>
      <c r="AA169" s="849">
        <v>0.0</v>
      </c>
      <c r="AB169" s="849">
        <v>0.0</v>
      </c>
      <c r="AC169" s="849">
        <v>0.0</v>
      </c>
      <c r="AD169" s="849">
        <v>0.0</v>
      </c>
      <c r="AE169" s="849">
        <v>0.0</v>
      </c>
      <c r="AF169" s="849">
        <v>0.0</v>
      </c>
      <c r="AG169" s="849">
        <v>0.0</v>
      </c>
      <c r="AH169" s="849">
        <v>0.0</v>
      </c>
      <c r="AI169" s="849">
        <v>0.0</v>
      </c>
      <c r="AJ169" s="794" t="str">
        <f t="shared" ref="AJ169:AK169" si="335">C169</f>
        <v>G07033</v>
      </c>
      <c r="AK169" s="794" t="str">
        <f t="shared" si="335"/>
        <v>FR. REPRES. 50%- U.S.A</v>
      </c>
      <c r="AL169" s="794">
        <f t="array" ref="AL169">IFERROR(INDEX(G169:R169,1,MATCH(Parametres!$B$3,G$1:R$1,0)-1)*IF(OR(F169="L",F169="S",F169="I"),-1,1),"")</f>
        <v>0</v>
      </c>
      <c r="AM169" s="794">
        <f t="shared" si="4"/>
        <v>0</v>
      </c>
      <c r="AN169" s="794">
        <f t="array" ref="AN169">INDEX(G169:R169,1,MATCH(Parametres!$B$3,G$1:R$1,0))*IF(OR(F169="L",F169="S",F169="I"),-1,1)</f>
        <v>0</v>
      </c>
      <c r="AO169" s="853" t="str">
        <f>+VLOOKUP($AJ169,Data_Validation!$A:$D,1,0)</f>
        <v>G07033</v>
      </c>
      <c r="AP169" s="853" t="str">
        <f>+VLOOKUP($AJ169,Data_Validation!$A:$D,3,0)</f>
        <v>Wholesale autres</v>
      </c>
      <c r="AQ169" s="853" t="str">
        <f>+VLOOKUP($AJ169,Data_Validation!$A:$D,4,0)</f>
        <v>Frais de déplacement</v>
      </c>
      <c r="AR169" s="853" t="s">
        <v>728</v>
      </c>
      <c r="AS169" s="853" t="str">
        <f>+VLOOKUP($AJ169,Data_Validation!$A:$E,5,0)</f>
        <v/>
      </c>
      <c r="AT169" s="794" t="str">
        <f t="shared" ref="AT169:AU169" si="336">C169</f>
        <v>G07033</v>
      </c>
      <c r="AU169" s="854" t="str">
        <f t="shared" si="336"/>
        <v>FR. REPRES. 50%- U.S.A</v>
      </c>
      <c r="AV169" s="794">
        <f t="array" ref="AV169">IFERROR(INDEX(V169:AG169,1,MATCH(Parametres!$B$3,V$1:AG$1,0)-1)*IF(OR(C169="L",C169="S",C169="I"),-1,1),"")</f>
        <v>0</v>
      </c>
      <c r="AW169" s="794">
        <f t="shared" si="6"/>
        <v>0</v>
      </c>
      <c r="AX169" s="794">
        <f t="array" ref="AX169">INDEX(V169:AG169,1,MATCH(Parametres!$B$3,V$1:AG$1,0))*IF(OR(C169="L",C169="S",C169="I"),-1,1)</f>
        <v>0</v>
      </c>
      <c r="AY169" s="853" t="s">
        <v>772</v>
      </c>
      <c r="AZ169" s="853" t="str">
        <f>+VLOOKUP($AJ169,Data_Validation!$A:$E,5,0)</f>
        <v/>
      </c>
    </row>
    <row r="170" ht="15.0" customHeight="1">
      <c r="A170" s="849" t="s">
        <v>1239</v>
      </c>
      <c r="B170" s="849">
        <v>2025.0</v>
      </c>
      <c r="C170" s="849" t="s">
        <v>1644</v>
      </c>
      <c r="D170" s="849" t="s">
        <v>1645</v>
      </c>
      <c r="E170" s="849" t="s">
        <v>768</v>
      </c>
      <c r="F170" s="849" t="s">
        <v>1200</v>
      </c>
      <c r="G170" s="849">
        <v>636.69</v>
      </c>
      <c r="H170" s="849">
        <v>1442.49</v>
      </c>
      <c r="I170" s="849">
        <v>2674.91</v>
      </c>
      <c r="J170" s="849">
        <v>7673.39</v>
      </c>
      <c r="K170" s="849">
        <v>19764.53</v>
      </c>
      <c r="L170" s="849">
        <v>20214.53</v>
      </c>
      <c r="M170" s="849">
        <v>21730.63</v>
      </c>
      <c r="N170" s="849">
        <v>22180.63</v>
      </c>
      <c r="O170" s="849">
        <v>31899.14</v>
      </c>
      <c r="P170" s="849">
        <v>32349.14</v>
      </c>
      <c r="Q170" s="849">
        <v>35241.99</v>
      </c>
      <c r="R170" s="849">
        <v>28729.36</v>
      </c>
      <c r="S170" s="849">
        <v>3203.82</v>
      </c>
      <c r="T170" s="849">
        <v>3203.82</v>
      </c>
      <c r="U170" s="849">
        <v>0.0</v>
      </c>
      <c r="V170" s="849">
        <v>0.0</v>
      </c>
      <c r="W170" s="849">
        <v>0.0</v>
      </c>
      <c r="X170" s="849">
        <v>0.0</v>
      </c>
      <c r="Y170" s="849">
        <v>0.0</v>
      </c>
      <c r="Z170" s="849">
        <v>0.0</v>
      </c>
      <c r="AA170" s="849">
        <v>0.0</v>
      </c>
      <c r="AB170" s="849">
        <v>0.0</v>
      </c>
      <c r="AC170" s="849">
        <v>0.0</v>
      </c>
      <c r="AD170" s="849">
        <v>0.0</v>
      </c>
      <c r="AE170" s="849">
        <v>0.0</v>
      </c>
      <c r="AF170" s="849">
        <v>0.0</v>
      </c>
      <c r="AG170" s="849">
        <v>0.0</v>
      </c>
      <c r="AH170" s="849">
        <v>0.0</v>
      </c>
      <c r="AI170" s="849">
        <v>0.0</v>
      </c>
      <c r="AJ170" s="794" t="str">
        <f t="shared" ref="AJ170:AK170" si="337">C170</f>
        <v>G0704</v>
      </c>
      <c r="AK170" s="794" t="str">
        <f t="shared" si="337"/>
        <v>FRAIS REPRES.-SERVICE</v>
      </c>
      <c r="AL170" s="794">
        <f t="array" ref="AL170">IFERROR(INDEX(G170:R170,1,MATCH(Parametres!$B$3,G$1:R$1,0)-1)*IF(OR(F170="L",F170="S",F170="I"),-1,1),"")</f>
        <v>22180.63</v>
      </c>
      <c r="AM170" s="794">
        <f t="shared" si="4"/>
        <v>9718.51</v>
      </c>
      <c r="AN170" s="794">
        <f t="array" ref="AN170">INDEX(G170:R170,1,MATCH(Parametres!$B$3,G$1:R$1,0))*IF(OR(F170="L",F170="S",F170="I"),-1,1)</f>
        <v>31899.14</v>
      </c>
      <c r="AO170" s="853" t="str">
        <f>+VLOOKUP($AJ170,Data_Validation!$A:$D,1,0)</f>
        <v>G0704</v>
      </c>
      <c r="AP170" s="853" t="str">
        <f>+VLOOKUP($AJ170,Data_Validation!$A:$D,3,0)</f>
        <v>Service</v>
      </c>
      <c r="AQ170" s="853" t="str">
        <f>+VLOOKUP($AJ170,Data_Validation!$A:$D,4,0)</f>
        <v>Frais de déplacement</v>
      </c>
      <c r="AR170" s="853" t="s">
        <v>728</v>
      </c>
      <c r="AS170" s="853" t="str">
        <f>+VLOOKUP($AJ170,Data_Validation!$A:$E,5,0)</f>
        <v/>
      </c>
      <c r="AT170" s="794" t="str">
        <f t="shared" ref="AT170:AU170" si="338">C170</f>
        <v>G0704</v>
      </c>
      <c r="AU170" s="854" t="str">
        <f t="shared" si="338"/>
        <v>FRAIS REPRES.-SERVICE</v>
      </c>
      <c r="AV170" s="794">
        <f t="array" ref="AV170">IFERROR(INDEX(V170:AG170,1,MATCH(Parametres!$B$3,V$1:AG$1,0)-1)*IF(OR(C170="L",C170="S",C170="I"),-1,1),"")</f>
        <v>0</v>
      </c>
      <c r="AW170" s="794">
        <f t="shared" si="6"/>
        <v>0</v>
      </c>
      <c r="AX170" s="794">
        <f t="array" ref="AX170">INDEX(V170:AG170,1,MATCH(Parametres!$B$3,V$1:AG$1,0))*IF(OR(C170="L",C170="S",C170="I"),-1,1)</f>
        <v>0</v>
      </c>
      <c r="AY170" s="853" t="s">
        <v>772</v>
      </c>
      <c r="AZ170" s="853" t="str">
        <f>+VLOOKUP($AJ170,Data_Validation!$A:$E,5,0)</f>
        <v/>
      </c>
    </row>
    <row r="171" ht="15.0" customHeight="1">
      <c r="A171" s="849" t="s">
        <v>1239</v>
      </c>
      <c r="B171" s="849">
        <v>2025.0</v>
      </c>
      <c r="C171" s="849" t="s">
        <v>1646</v>
      </c>
      <c r="D171" s="849" t="s">
        <v>1647</v>
      </c>
      <c r="E171" s="849" t="s">
        <v>768</v>
      </c>
      <c r="F171" s="849" t="s">
        <v>1200</v>
      </c>
      <c r="G171" s="849">
        <v>37.19</v>
      </c>
      <c r="H171" s="849">
        <v>215.76</v>
      </c>
      <c r="I171" s="849">
        <v>215.76</v>
      </c>
      <c r="J171" s="849">
        <v>435.73</v>
      </c>
      <c r="K171" s="849">
        <v>435.73</v>
      </c>
      <c r="L171" s="849">
        <v>461.69</v>
      </c>
      <c r="M171" s="849">
        <v>487.21</v>
      </c>
      <c r="N171" s="849">
        <v>517.75</v>
      </c>
      <c r="O171" s="849">
        <v>579.75</v>
      </c>
      <c r="P171" s="849">
        <v>614.26</v>
      </c>
      <c r="Q171" s="849">
        <v>614.26</v>
      </c>
      <c r="R171" s="849">
        <v>614.26</v>
      </c>
      <c r="S171" s="849">
        <v>55.84</v>
      </c>
      <c r="T171" s="849">
        <v>55.84</v>
      </c>
      <c r="U171" s="849">
        <v>0.0</v>
      </c>
      <c r="V171" s="849">
        <v>0.0</v>
      </c>
      <c r="W171" s="849">
        <v>0.0</v>
      </c>
      <c r="X171" s="849">
        <v>0.0</v>
      </c>
      <c r="Y171" s="849">
        <v>0.0</v>
      </c>
      <c r="Z171" s="849">
        <v>0.0</v>
      </c>
      <c r="AA171" s="849">
        <v>0.0</v>
      </c>
      <c r="AB171" s="849">
        <v>0.0</v>
      </c>
      <c r="AC171" s="849">
        <v>0.0</v>
      </c>
      <c r="AD171" s="849">
        <v>0.0</v>
      </c>
      <c r="AE171" s="849">
        <v>0.0</v>
      </c>
      <c r="AF171" s="849">
        <v>0.0</v>
      </c>
      <c r="AG171" s="849">
        <v>0.0</v>
      </c>
      <c r="AH171" s="849">
        <v>0.0</v>
      </c>
      <c r="AI171" s="849">
        <v>0.0</v>
      </c>
      <c r="AJ171" s="794" t="str">
        <f t="shared" ref="AJ171:AK171" si="339">C171</f>
        <v>G07044</v>
      </c>
      <c r="AK171" s="794" t="str">
        <f t="shared" si="339"/>
        <v>FR.REPRES 50% SERVICE</v>
      </c>
      <c r="AL171" s="794">
        <f t="array" ref="AL171">IFERROR(INDEX(G171:R171,1,MATCH(Parametres!$B$3,G$1:R$1,0)-1)*IF(OR(F171="L",F171="S",F171="I"),-1,1),"")</f>
        <v>517.75</v>
      </c>
      <c r="AM171" s="794">
        <f t="shared" si="4"/>
        <v>62</v>
      </c>
      <c r="AN171" s="794">
        <f t="array" ref="AN171">INDEX(G171:R171,1,MATCH(Parametres!$B$3,G$1:R$1,0))*IF(OR(F171="L",F171="S",F171="I"),-1,1)</f>
        <v>579.75</v>
      </c>
      <c r="AO171" s="853" t="str">
        <f>+VLOOKUP($AJ171,Data_Validation!$A:$D,1,0)</f>
        <v>G07044</v>
      </c>
      <c r="AP171" s="853" t="str">
        <f>+VLOOKUP($AJ171,Data_Validation!$A:$D,3,0)</f>
        <v>Service</v>
      </c>
      <c r="AQ171" s="853" t="str">
        <f>+VLOOKUP($AJ171,Data_Validation!$A:$D,4,0)</f>
        <v>Frais de déplacement</v>
      </c>
      <c r="AR171" s="853" t="s">
        <v>728</v>
      </c>
      <c r="AS171" s="853" t="str">
        <f>+VLOOKUP($AJ171,Data_Validation!$A:$E,5,0)</f>
        <v/>
      </c>
      <c r="AT171" s="794" t="str">
        <f t="shared" ref="AT171:AU171" si="340">C171</f>
        <v>G07044</v>
      </c>
      <c r="AU171" s="854" t="str">
        <f t="shared" si="340"/>
        <v>FR.REPRES 50% SERVICE</v>
      </c>
      <c r="AV171" s="794">
        <f t="array" ref="AV171">IFERROR(INDEX(V171:AG171,1,MATCH(Parametres!$B$3,V$1:AG$1,0)-1)*IF(OR(C171="L",C171="S",C171="I"),-1,1),"")</f>
        <v>0</v>
      </c>
      <c r="AW171" s="794">
        <f t="shared" si="6"/>
        <v>0</v>
      </c>
      <c r="AX171" s="794">
        <f t="array" ref="AX171">INDEX(V171:AG171,1,MATCH(Parametres!$B$3,V$1:AG$1,0))*IF(OR(C171="L",C171="S",C171="I"),-1,1)</f>
        <v>0</v>
      </c>
      <c r="AY171" s="853" t="s">
        <v>772</v>
      </c>
      <c r="AZ171" s="853" t="str">
        <f>+VLOOKUP($AJ171,Data_Validation!$A:$E,5,0)</f>
        <v/>
      </c>
    </row>
    <row r="172" ht="15.75" customHeight="1">
      <c r="A172" s="849" t="s">
        <v>1239</v>
      </c>
      <c r="B172" s="849">
        <v>2025.0</v>
      </c>
      <c r="C172" s="849" t="s">
        <v>1648</v>
      </c>
      <c r="D172" s="849" t="s">
        <v>1649</v>
      </c>
      <c r="E172" s="849" t="s">
        <v>768</v>
      </c>
      <c r="F172" s="849" t="s">
        <v>1200</v>
      </c>
      <c r="G172" s="849">
        <v>212.23</v>
      </c>
      <c r="H172" s="849">
        <v>362.23</v>
      </c>
      <c r="I172" s="849">
        <v>773.04</v>
      </c>
      <c r="J172" s="849">
        <v>2439.2</v>
      </c>
      <c r="K172" s="849">
        <v>6433.28</v>
      </c>
      <c r="L172" s="849">
        <v>6583.28</v>
      </c>
      <c r="M172" s="849">
        <v>7088.64</v>
      </c>
      <c r="N172" s="849">
        <v>7238.64</v>
      </c>
      <c r="O172" s="849">
        <v>10478.15</v>
      </c>
      <c r="P172" s="849">
        <v>10628.15</v>
      </c>
      <c r="Q172" s="849">
        <v>11592.43</v>
      </c>
      <c r="R172" s="849">
        <v>9421.55</v>
      </c>
      <c r="S172" s="849">
        <v>1053.86</v>
      </c>
      <c r="T172" s="849">
        <v>1053.86</v>
      </c>
      <c r="U172" s="849">
        <v>0.0</v>
      </c>
      <c r="V172" s="849">
        <v>0.0</v>
      </c>
      <c r="W172" s="849">
        <v>0.0</v>
      </c>
      <c r="X172" s="849">
        <v>0.0</v>
      </c>
      <c r="Y172" s="849">
        <v>0.0</v>
      </c>
      <c r="Z172" s="849">
        <v>0.0</v>
      </c>
      <c r="AA172" s="849">
        <v>0.0</v>
      </c>
      <c r="AB172" s="849">
        <v>0.0</v>
      </c>
      <c r="AC172" s="849">
        <v>0.0</v>
      </c>
      <c r="AD172" s="849">
        <v>0.0</v>
      </c>
      <c r="AE172" s="849">
        <v>0.0</v>
      </c>
      <c r="AF172" s="849">
        <v>0.0</v>
      </c>
      <c r="AG172" s="849">
        <v>0.0</v>
      </c>
      <c r="AH172" s="849">
        <v>0.0</v>
      </c>
      <c r="AI172" s="849">
        <v>0.0</v>
      </c>
      <c r="AJ172" s="794" t="str">
        <f t="shared" ref="AJ172:AK172" si="341">C172</f>
        <v>G0705</v>
      </c>
      <c r="AK172" s="794" t="str">
        <f t="shared" si="341"/>
        <v>FRAIS REPRES.-CARROSS.</v>
      </c>
      <c r="AL172" s="794">
        <f t="array" ref="AL172">IFERROR(INDEX(G172:R172,1,MATCH(Parametres!$B$3,G$1:R$1,0)-1)*IF(OR(F172="L",F172="S",F172="I"),-1,1),"")</f>
        <v>7238.64</v>
      </c>
      <c r="AM172" s="794">
        <f t="shared" si="4"/>
        <v>3239.51</v>
      </c>
      <c r="AN172" s="794">
        <f t="array" ref="AN172">INDEX(G172:R172,1,MATCH(Parametres!$B$3,G$1:R$1,0))*IF(OR(F172="L",F172="S",F172="I"),-1,1)</f>
        <v>10478.15</v>
      </c>
      <c r="AO172" s="853" t="str">
        <f>+VLOOKUP($AJ172,Data_Validation!$A:$D,1,0)</f>
        <v>G0705</v>
      </c>
      <c r="AP172" s="853" t="str">
        <f>+VLOOKUP($AJ172,Data_Validation!$A:$D,3,0)</f>
        <v>Carrosserie</v>
      </c>
      <c r="AQ172" s="853" t="str">
        <f>+VLOOKUP($AJ172,Data_Validation!$A:$D,4,0)</f>
        <v>Frais de déplacement</v>
      </c>
      <c r="AR172" s="853" t="s">
        <v>728</v>
      </c>
      <c r="AS172" s="853" t="str">
        <f>+VLOOKUP($AJ172,Data_Validation!$A:$E,5,0)</f>
        <v/>
      </c>
      <c r="AT172" s="794" t="str">
        <f t="shared" ref="AT172:AU172" si="342">C172</f>
        <v>G0705</v>
      </c>
      <c r="AU172" s="854" t="str">
        <f t="shared" si="342"/>
        <v>FRAIS REPRES.-CARROSS.</v>
      </c>
      <c r="AV172" s="794">
        <f t="array" ref="AV172">IFERROR(INDEX(V172:AG172,1,MATCH(Parametres!$B$3,V$1:AG$1,0)-1)*IF(OR(C172="L",C172="S",C172="I"),-1,1),"")</f>
        <v>0</v>
      </c>
      <c r="AW172" s="794">
        <f t="shared" si="6"/>
        <v>0</v>
      </c>
      <c r="AX172" s="794">
        <f t="array" ref="AX172">INDEX(V172:AG172,1,MATCH(Parametres!$B$3,V$1:AG$1,0))*IF(OR(C172="L",C172="S",C172="I"),-1,1)</f>
        <v>0</v>
      </c>
      <c r="AY172" s="853" t="s">
        <v>772</v>
      </c>
      <c r="AZ172" s="853" t="str">
        <f>+VLOOKUP($AJ172,Data_Validation!$A:$E,5,0)</f>
        <v/>
      </c>
    </row>
    <row r="173" ht="15.0" customHeight="1">
      <c r="A173" s="849" t="s">
        <v>1239</v>
      </c>
      <c r="B173" s="849">
        <v>2025.0</v>
      </c>
      <c r="C173" s="849" t="s">
        <v>1650</v>
      </c>
      <c r="D173" s="849" t="s">
        <v>1651</v>
      </c>
      <c r="E173" s="849" t="s">
        <v>768</v>
      </c>
      <c r="F173" s="849" t="s">
        <v>1200</v>
      </c>
      <c r="G173" s="849">
        <v>0.0</v>
      </c>
      <c r="H173" s="849">
        <v>0.0</v>
      </c>
      <c r="I173" s="849">
        <v>0.0</v>
      </c>
      <c r="J173" s="849">
        <v>0.0</v>
      </c>
      <c r="K173" s="849">
        <v>0.0</v>
      </c>
      <c r="L173" s="849">
        <v>0.0</v>
      </c>
      <c r="M173" s="849">
        <v>0.0</v>
      </c>
      <c r="N173" s="849">
        <v>0.0</v>
      </c>
      <c r="O173" s="849">
        <v>0.0</v>
      </c>
      <c r="P173" s="849">
        <v>0.0</v>
      </c>
      <c r="Q173" s="849">
        <v>0.0</v>
      </c>
      <c r="R173" s="849">
        <v>0.0</v>
      </c>
      <c r="S173" s="849">
        <v>0.0</v>
      </c>
      <c r="T173" s="849">
        <v>0.0</v>
      </c>
      <c r="U173" s="849">
        <v>0.0</v>
      </c>
      <c r="V173" s="849">
        <v>0.0</v>
      </c>
      <c r="W173" s="849">
        <v>0.0</v>
      </c>
      <c r="X173" s="849">
        <v>0.0</v>
      </c>
      <c r="Y173" s="849">
        <v>0.0</v>
      </c>
      <c r="Z173" s="849">
        <v>0.0</v>
      </c>
      <c r="AA173" s="849">
        <v>0.0</v>
      </c>
      <c r="AB173" s="849">
        <v>0.0</v>
      </c>
      <c r="AC173" s="849">
        <v>0.0</v>
      </c>
      <c r="AD173" s="849">
        <v>0.0</v>
      </c>
      <c r="AE173" s="849">
        <v>0.0</v>
      </c>
      <c r="AF173" s="849">
        <v>0.0</v>
      </c>
      <c r="AG173" s="849">
        <v>0.0</v>
      </c>
      <c r="AH173" s="849">
        <v>0.0</v>
      </c>
      <c r="AI173" s="849">
        <v>0.0</v>
      </c>
      <c r="AJ173" s="794" t="str">
        <f t="shared" ref="AJ173:AK173" si="343">C173</f>
        <v>G07055</v>
      </c>
      <c r="AK173" s="794" t="str">
        <f t="shared" si="343"/>
        <v>FR.REPRES 50% CARROSSERIE</v>
      </c>
      <c r="AL173" s="794">
        <f t="array" ref="AL173">IFERROR(INDEX(G173:R173,1,MATCH(Parametres!$B$3,G$1:R$1,0)-1)*IF(OR(F173="L",F173="S",F173="I"),-1,1),"")</f>
        <v>0</v>
      </c>
      <c r="AM173" s="794">
        <f t="shared" si="4"/>
        <v>0</v>
      </c>
      <c r="AN173" s="794">
        <f t="array" ref="AN173">INDEX(G173:R173,1,MATCH(Parametres!$B$3,G$1:R$1,0))*IF(OR(F173="L",F173="S",F173="I"),-1,1)</f>
        <v>0</v>
      </c>
      <c r="AO173" s="853" t="str">
        <f>+VLOOKUP($AJ173,Data_Validation!$A:$D,1,0)</f>
        <v>G07055</v>
      </c>
      <c r="AP173" s="853" t="str">
        <f>+VLOOKUP($AJ173,Data_Validation!$A:$D,3,0)</f>
        <v>Carrosserie</v>
      </c>
      <c r="AQ173" s="853" t="str">
        <f>+VLOOKUP($AJ173,Data_Validation!$A:$D,4,0)</f>
        <v>Frais de déplacement</v>
      </c>
      <c r="AR173" s="853" t="s">
        <v>728</v>
      </c>
      <c r="AS173" s="853" t="str">
        <f>+VLOOKUP($AJ173,Data_Validation!$A:$E,5,0)</f>
        <v/>
      </c>
      <c r="AT173" s="794" t="str">
        <f t="shared" ref="AT173:AU173" si="344">C173</f>
        <v>G07055</v>
      </c>
      <c r="AU173" s="854" t="str">
        <f t="shared" si="344"/>
        <v>FR.REPRES 50% CARROSSERIE</v>
      </c>
      <c r="AV173" s="794">
        <f t="array" ref="AV173">IFERROR(INDEX(V173:AG173,1,MATCH(Parametres!$B$3,V$1:AG$1,0)-1)*IF(OR(C173="L",C173="S",C173="I"),-1,1),"")</f>
        <v>0</v>
      </c>
      <c r="AW173" s="794">
        <f t="shared" si="6"/>
        <v>0</v>
      </c>
      <c r="AX173" s="794">
        <f t="array" ref="AX173">INDEX(V173:AG173,1,MATCH(Parametres!$B$3,V$1:AG$1,0))*IF(OR(C173="L",C173="S",C173="I"),-1,1)</f>
        <v>0</v>
      </c>
      <c r="AY173" s="853" t="s">
        <v>772</v>
      </c>
      <c r="AZ173" s="853" t="str">
        <f>+VLOOKUP($AJ173,Data_Validation!$A:$E,5,0)</f>
        <v/>
      </c>
    </row>
    <row r="174" ht="15.0" customHeight="1">
      <c r="A174" s="849" t="s">
        <v>1239</v>
      </c>
      <c r="B174" s="849">
        <v>2025.0</v>
      </c>
      <c r="C174" s="849" t="s">
        <v>1652</v>
      </c>
      <c r="D174" s="849" t="s">
        <v>1653</v>
      </c>
      <c r="E174" s="849" t="s">
        <v>768</v>
      </c>
      <c r="F174" s="849" t="s">
        <v>1200</v>
      </c>
      <c r="G174" s="849">
        <v>212.23</v>
      </c>
      <c r="H174" s="849">
        <v>1280.63</v>
      </c>
      <c r="I174" s="849">
        <v>1691.44</v>
      </c>
      <c r="J174" s="849">
        <v>3357.59</v>
      </c>
      <c r="K174" s="849">
        <v>7351.66</v>
      </c>
      <c r="L174" s="849">
        <v>7501.66</v>
      </c>
      <c r="M174" s="849">
        <v>8007.04</v>
      </c>
      <c r="N174" s="849">
        <v>8157.04</v>
      </c>
      <c r="O174" s="849">
        <v>11396.54</v>
      </c>
      <c r="P174" s="849">
        <v>11546.54</v>
      </c>
      <c r="Q174" s="849">
        <v>12510.84</v>
      </c>
      <c r="R174" s="849">
        <v>10339.99</v>
      </c>
      <c r="S174" s="849">
        <v>1137.35</v>
      </c>
      <c r="T174" s="849">
        <v>1137.35</v>
      </c>
      <c r="U174" s="849">
        <v>0.0</v>
      </c>
      <c r="V174" s="849">
        <v>0.0</v>
      </c>
      <c r="W174" s="849">
        <v>0.0</v>
      </c>
      <c r="X174" s="849">
        <v>0.0</v>
      </c>
      <c r="Y174" s="849">
        <v>0.0</v>
      </c>
      <c r="Z174" s="849">
        <v>0.0</v>
      </c>
      <c r="AA174" s="849">
        <v>0.0</v>
      </c>
      <c r="AB174" s="849">
        <v>0.0</v>
      </c>
      <c r="AC174" s="849">
        <v>0.0</v>
      </c>
      <c r="AD174" s="849">
        <v>0.0</v>
      </c>
      <c r="AE174" s="849">
        <v>0.0</v>
      </c>
      <c r="AF174" s="849">
        <v>0.0</v>
      </c>
      <c r="AG174" s="849">
        <v>0.0</v>
      </c>
      <c r="AH174" s="849">
        <v>0.0</v>
      </c>
      <c r="AI174" s="849">
        <v>0.0</v>
      </c>
      <c r="AJ174" s="794" t="str">
        <f t="shared" ref="AJ174:AK174" si="345">C174</f>
        <v>G0706</v>
      </c>
      <c r="AK174" s="794" t="str">
        <f t="shared" si="345"/>
        <v>FRAIS REPRES.-PIECE</v>
      </c>
      <c r="AL174" s="794">
        <f t="array" ref="AL174">IFERROR(INDEX(G174:R174,1,MATCH(Parametres!$B$3,G$1:R$1,0)-1)*IF(OR(F174="L",F174="S",F174="I"),-1,1),"")</f>
        <v>8157.04</v>
      </c>
      <c r="AM174" s="794">
        <f t="shared" si="4"/>
        <v>3239.5</v>
      </c>
      <c r="AN174" s="794">
        <f t="array" ref="AN174">INDEX(G174:R174,1,MATCH(Parametres!$B$3,G$1:R$1,0))*IF(OR(F174="L",F174="S",F174="I"),-1,1)</f>
        <v>11396.54</v>
      </c>
      <c r="AO174" s="853" t="str">
        <f>+VLOOKUP($AJ174,Data_Validation!$A:$D,1,0)</f>
        <v>G0706</v>
      </c>
      <c r="AP174" s="853" t="str">
        <f>+VLOOKUP($AJ174,Data_Validation!$A:$D,3,0)</f>
        <v>Pièces</v>
      </c>
      <c r="AQ174" s="853" t="str">
        <f>+VLOOKUP($AJ174,Data_Validation!$A:$D,4,0)</f>
        <v>Frais de déplacement</v>
      </c>
      <c r="AR174" s="853" t="s">
        <v>728</v>
      </c>
      <c r="AS174" s="853" t="str">
        <f>+VLOOKUP($AJ174,Data_Validation!$A:$E,5,0)</f>
        <v/>
      </c>
      <c r="AT174" s="794" t="str">
        <f t="shared" ref="AT174:AU174" si="346">C174</f>
        <v>G0706</v>
      </c>
      <c r="AU174" s="854" t="str">
        <f t="shared" si="346"/>
        <v>FRAIS REPRES.-PIECE</v>
      </c>
      <c r="AV174" s="794">
        <f t="array" ref="AV174">IFERROR(INDEX(V174:AG174,1,MATCH(Parametres!$B$3,V$1:AG$1,0)-1)*IF(OR(C174="L",C174="S",C174="I"),-1,1),"")</f>
        <v>0</v>
      </c>
      <c r="AW174" s="794">
        <f t="shared" si="6"/>
        <v>0</v>
      </c>
      <c r="AX174" s="794">
        <f t="array" ref="AX174">INDEX(V174:AG174,1,MATCH(Parametres!$B$3,V$1:AG$1,0))*IF(OR(C174="L",C174="S",C174="I"),-1,1)</f>
        <v>0</v>
      </c>
      <c r="AY174" s="853" t="s">
        <v>772</v>
      </c>
      <c r="AZ174" s="853" t="str">
        <f>+VLOOKUP($AJ174,Data_Validation!$A:$E,5,0)</f>
        <v/>
      </c>
    </row>
    <row r="175" ht="15.0" customHeight="1">
      <c r="A175" s="849" t="s">
        <v>1239</v>
      </c>
      <c r="B175" s="849">
        <v>2025.0</v>
      </c>
      <c r="C175" s="849" t="s">
        <v>1654</v>
      </c>
      <c r="D175" s="849" t="s">
        <v>1655</v>
      </c>
      <c r="E175" s="849" t="s">
        <v>768</v>
      </c>
      <c r="F175" s="849" t="s">
        <v>1200</v>
      </c>
      <c r="G175" s="849">
        <v>159.39</v>
      </c>
      <c r="H175" s="849">
        <v>159.39</v>
      </c>
      <c r="I175" s="849">
        <v>159.39</v>
      </c>
      <c r="J175" s="849">
        <v>159.39</v>
      </c>
      <c r="K175" s="849">
        <v>159.39</v>
      </c>
      <c r="L175" s="849">
        <v>159.39</v>
      </c>
      <c r="M175" s="849">
        <v>159.39</v>
      </c>
      <c r="N175" s="849">
        <v>159.39</v>
      </c>
      <c r="O175" s="849">
        <v>159.39</v>
      </c>
      <c r="P175" s="849">
        <v>159.39</v>
      </c>
      <c r="Q175" s="849">
        <v>159.39</v>
      </c>
      <c r="R175" s="849">
        <v>159.39</v>
      </c>
      <c r="S175" s="849">
        <v>14.49</v>
      </c>
      <c r="T175" s="849">
        <v>14.49</v>
      </c>
      <c r="U175" s="849">
        <v>0.0</v>
      </c>
      <c r="V175" s="849">
        <v>0.0</v>
      </c>
      <c r="W175" s="849">
        <v>0.0</v>
      </c>
      <c r="X175" s="849">
        <v>0.0</v>
      </c>
      <c r="Y175" s="849">
        <v>0.0</v>
      </c>
      <c r="Z175" s="849">
        <v>0.0</v>
      </c>
      <c r="AA175" s="849">
        <v>0.0</v>
      </c>
      <c r="AB175" s="849">
        <v>0.0</v>
      </c>
      <c r="AC175" s="849">
        <v>0.0</v>
      </c>
      <c r="AD175" s="849">
        <v>0.0</v>
      </c>
      <c r="AE175" s="849">
        <v>0.0</v>
      </c>
      <c r="AF175" s="849">
        <v>0.0</v>
      </c>
      <c r="AG175" s="849">
        <v>0.0</v>
      </c>
      <c r="AH175" s="849">
        <v>0.0</v>
      </c>
      <c r="AI175" s="849">
        <v>0.0</v>
      </c>
      <c r="AJ175" s="794" t="str">
        <f t="shared" ref="AJ175:AK175" si="347">C175</f>
        <v>G07066</v>
      </c>
      <c r="AK175" s="794" t="str">
        <f t="shared" si="347"/>
        <v>FR.REPRES 50% PIECES</v>
      </c>
      <c r="AL175" s="794">
        <f t="array" ref="AL175">IFERROR(INDEX(G175:R175,1,MATCH(Parametres!$B$3,G$1:R$1,0)-1)*IF(OR(F175="L",F175="S",F175="I"),-1,1),"")</f>
        <v>159.39</v>
      </c>
      <c r="AM175" s="794">
        <f t="shared" si="4"/>
        <v>0</v>
      </c>
      <c r="AN175" s="794">
        <f t="array" ref="AN175">INDEX(G175:R175,1,MATCH(Parametres!$B$3,G$1:R$1,0))*IF(OR(F175="L",F175="S",F175="I"),-1,1)</f>
        <v>159.39</v>
      </c>
      <c r="AO175" s="853" t="str">
        <f>+VLOOKUP($AJ175,Data_Validation!$A:$D,1,0)</f>
        <v>G07066</v>
      </c>
      <c r="AP175" s="853" t="str">
        <f>+VLOOKUP($AJ175,Data_Validation!$A:$D,3,0)</f>
        <v>Pièces</v>
      </c>
      <c r="AQ175" s="853" t="str">
        <f>+VLOOKUP($AJ175,Data_Validation!$A:$D,4,0)</f>
        <v>Frais de déplacement</v>
      </c>
      <c r="AR175" s="853" t="s">
        <v>728</v>
      </c>
      <c r="AS175" s="853" t="str">
        <f>+VLOOKUP($AJ175,Data_Validation!$A:$E,5,0)</f>
        <v/>
      </c>
      <c r="AT175" s="794" t="str">
        <f t="shared" ref="AT175:AU175" si="348">C175</f>
        <v>G07066</v>
      </c>
      <c r="AU175" s="854" t="str">
        <f t="shared" si="348"/>
        <v>FR.REPRES 50% PIECES</v>
      </c>
      <c r="AV175" s="794">
        <f t="array" ref="AV175">IFERROR(INDEX(V175:AG175,1,MATCH(Parametres!$B$3,V$1:AG$1,0)-1)*IF(OR(C175="L",C175="S",C175="I"),-1,1),"")</f>
        <v>0</v>
      </c>
      <c r="AW175" s="794">
        <f t="shared" si="6"/>
        <v>0</v>
      </c>
      <c r="AX175" s="794">
        <f t="array" ref="AX175">INDEX(V175:AG175,1,MATCH(Parametres!$B$3,V$1:AG$1,0))*IF(OR(C175="L",C175="S",C175="I"),-1,1)</f>
        <v>0</v>
      </c>
      <c r="AY175" s="853" t="s">
        <v>772</v>
      </c>
      <c r="AZ175" s="853" t="str">
        <f>+VLOOKUP($AJ175,Data_Validation!$A:$E,5,0)</f>
        <v/>
      </c>
    </row>
    <row r="176" ht="15.75" customHeight="1">
      <c r="A176" s="849" t="s">
        <v>1239</v>
      </c>
      <c r="B176" s="849">
        <v>2025.0</v>
      </c>
      <c r="C176" s="849" t="s">
        <v>1656</v>
      </c>
      <c r="D176" s="849" t="s">
        <v>1657</v>
      </c>
      <c r="E176" s="849" t="s">
        <v>768</v>
      </c>
      <c r="F176" s="849" t="s">
        <v>1200</v>
      </c>
      <c r="G176" s="849">
        <v>0.0</v>
      </c>
      <c r="H176" s="849">
        <v>0.0</v>
      </c>
      <c r="I176" s="849">
        <v>0.0</v>
      </c>
      <c r="J176" s="849">
        <v>0.0</v>
      </c>
      <c r="K176" s="849">
        <v>0.0</v>
      </c>
      <c r="L176" s="849">
        <v>0.0</v>
      </c>
      <c r="M176" s="849">
        <v>0.0</v>
      </c>
      <c r="N176" s="849">
        <v>0.0</v>
      </c>
      <c r="O176" s="849">
        <v>0.0</v>
      </c>
      <c r="P176" s="849">
        <v>0.0</v>
      </c>
      <c r="Q176" s="849">
        <v>0.0</v>
      </c>
      <c r="R176" s="849">
        <v>0.0</v>
      </c>
      <c r="S176" s="849">
        <v>0.0</v>
      </c>
      <c r="T176" s="849">
        <v>0.0</v>
      </c>
      <c r="U176" s="849">
        <v>0.0</v>
      </c>
      <c r="V176" s="849">
        <v>0.0</v>
      </c>
      <c r="W176" s="849">
        <v>0.0</v>
      </c>
      <c r="X176" s="849">
        <v>0.0</v>
      </c>
      <c r="Y176" s="849">
        <v>0.0</v>
      </c>
      <c r="Z176" s="849">
        <v>0.0</v>
      </c>
      <c r="AA176" s="849">
        <v>0.0</v>
      </c>
      <c r="AB176" s="849">
        <v>0.0</v>
      </c>
      <c r="AC176" s="849">
        <v>0.0</v>
      </c>
      <c r="AD176" s="849">
        <v>0.0</v>
      </c>
      <c r="AE176" s="849">
        <v>0.0</v>
      </c>
      <c r="AF176" s="849">
        <v>0.0</v>
      </c>
      <c r="AG176" s="849">
        <v>0.0</v>
      </c>
      <c r="AH176" s="849">
        <v>0.0</v>
      </c>
      <c r="AI176" s="849">
        <v>0.0</v>
      </c>
      <c r="AJ176" s="794" t="str">
        <f t="shared" ref="AJ176:AK176" si="349">C176</f>
        <v>G0710</v>
      </c>
      <c r="AK176" s="794" t="str">
        <f t="shared" si="349"/>
        <v>COTISATIONS REP.</v>
      </c>
      <c r="AL176" s="794">
        <f t="array" ref="AL176">IFERROR(INDEX(G176:R176,1,MATCH(Parametres!$B$3,G$1:R$1,0)-1)*IF(OR(F176="L",F176="S",F176="I"),-1,1),"")</f>
        <v>0</v>
      </c>
      <c r="AM176" s="794">
        <f t="shared" si="4"/>
        <v>0</v>
      </c>
      <c r="AN176" s="794">
        <f t="array" ref="AN176">INDEX(G176:R176,1,MATCH(Parametres!$B$3,G$1:R$1,0))*IF(OR(F176="L",F176="S",F176="I"),-1,1)</f>
        <v>0</v>
      </c>
      <c r="AO176" s="853" t="str">
        <f>+VLOOKUP($AJ176,Data_Validation!$A:$D,1,0)</f>
        <v>#N/A</v>
      </c>
      <c r="AP176" s="853" t="str">
        <f>+VLOOKUP($AJ176,Data_Validation!$A:$D,3,0)</f>
        <v>#N/A</v>
      </c>
      <c r="AQ176" s="853" t="str">
        <f>+VLOOKUP($AJ176,Data_Validation!$A:$D,4,0)</f>
        <v>#N/A</v>
      </c>
      <c r="AR176" s="853" t="s">
        <v>728</v>
      </c>
      <c r="AS176" s="853" t="str">
        <f>+VLOOKUP($AJ176,Data_Validation!$A:$E,5,0)</f>
        <v>#N/A</v>
      </c>
      <c r="AT176" s="794" t="str">
        <f t="shared" ref="AT176:AU176" si="350">C176</f>
        <v>G0710</v>
      </c>
      <c r="AU176" s="854" t="str">
        <f t="shared" si="350"/>
        <v>COTISATIONS REP.</v>
      </c>
      <c r="AV176" s="794">
        <f t="array" ref="AV176">IFERROR(INDEX(V176:AG176,1,MATCH(Parametres!$B$3,V$1:AG$1,0)-1)*IF(OR(C176="L",C176="S",C176="I"),-1,1),"")</f>
        <v>0</v>
      </c>
      <c r="AW176" s="794">
        <f t="shared" si="6"/>
        <v>0</v>
      </c>
      <c r="AX176" s="794">
        <f t="array" ref="AX176">INDEX(V176:AG176,1,MATCH(Parametres!$B$3,V$1:AG$1,0))*IF(OR(C176="L",C176="S",C176="I"),-1,1)</f>
        <v>0</v>
      </c>
      <c r="AY176" s="853" t="s">
        <v>772</v>
      </c>
      <c r="AZ176" s="853" t="str">
        <f>+VLOOKUP($AJ176,Data_Validation!$A:$E,5,0)</f>
        <v>#N/A</v>
      </c>
    </row>
    <row r="177" ht="15.0" customHeight="1">
      <c r="A177" s="849" t="s">
        <v>1239</v>
      </c>
      <c r="B177" s="849">
        <v>2025.0</v>
      </c>
      <c r="C177" s="849" t="s">
        <v>1658</v>
      </c>
      <c r="D177" s="849" t="s">
        <v>1659</v>
      </c>
      <c r="E177" s="849" t="s">
        <v>768</v>
      </c>
      <c r="F177" s="849" t="s">
        <v>1200</v>
      </c>
      <c r="G177" s="849">
        <v>813.0</v>
      </c>
      <c r="H177" s="849">
        <v>3378.41</v>
      </c>
      <c r="I177" s="849">
        <v>4469.76</v>
      </c>
      <c r="J177" s="849">
        <v>5464.94</v>
      </c>
      <c r="K177" s="849">
        <v>6669.12</v>
      </c>
      <c r="L177" s="849">
        <v>8265.3</v>
      </c>
      <c r="M177" s="849">
        <v>9565.09</v>
      </c>
      <c r="N177" s="849">
        <v>11203.51</v>
      </c>
      <c r="O177" s="849">
        <v>12978.67</v>
      </c>
      <c r="P177" s="849">
        <v>15025.1</v>
      </c>
      <c r="Q177" s="849">
        <v>18094.13</v>
      </c>
      <c r="R177" s="849">
        <v>19769.06</v>
      </c>
      <c r="S177" s="849">
        <v>1644.92</v>
      </c>
      <c r="T177" s="849">
        <v>1644.92</v>
      </c>
      <c r="U177" s="849">
        <v>0.0</v>
      </c>
      <c r="V177" s="849">
        <v>0.0</v>
      </c>
      <c r="W177" s="849">
        <v>0.0</v>
      </c>
      <c r="X177" s="849">
        <v>0.0</v>
      </c>
      <c r="Y177" s="849">
        <v>0.0</v>
      </c>
      <c r="Z177" s="849">
        <v>0.0</v>
      </c>
      <c r="AA177" s="849">
        <v>0.0</v>
      </c>
      <c r="AB177" s="849">
        <v>0.0</v>
      </c>
      <c r="AC177" s="849">
        <v>0.0</v>
      </c>
      <c r="AD177" s="849">
        <v>0.0</v>
      </c>
      <c r="AE177" s="849">
        <v>0.0</v>
      </c>
      <c r="AF177" s="849">
        <v>0.0</v>
      </c>
      <c r="AG177" s="849">
        <v>0.0</v>
      </c>
      <c r="AH177" s="849">
        <v>0.0</v>
      </c>
      <c r="AI177" s="849">
        <v>0.0</v>
      </c>
      <c r="AJ177" s="794" t="str">
        <f t="shared" ref="AJ177:AK177" si="351">C177</f>
        <v>G0711</v>
      </c>
      <c r="AK177" s="794" t="str">
        <f t="shared" si="351"/>
        <v>COTISATIONS-NEUFS</v>
      </c>
      <c r="AL177" s="794">
        <f t="array" ref="AL177">IFERROR(INDEX(G177:R177,1,MATCH(Parametres!$B$3,G$1:R$1,0)-1)*IF(OR(F177="L",F177="S",F177="I"),-1,1),"")</f>
        <v>11203.51</v>
      </c>
      <c r="AM177" s="794">
        <f t="shared" si="4"/>
        <v>1775.16</v>
      </c>
      <c r="AN177" s="794">
        <f t="array" ref="AN177">INDEX(G177:R177,1,MATCH(Parametres!$B$3,G$1:R$1,0))*IF(OR(F177="L",F177="S",F177="I"),-1,1)</f>
        <v>12978.67</v>
      </c>
      <c r="AO177" s="853" t="str">
        <f>+VLOOKUP($AJ177,Data_Validation!$A:$D,1,0)</f>
        <v>G0711</v>
      </c>
      <c r="AP177" s="853" t="str">
        <f>+VLOOKUP($AJ177,Data_Validation!$A:$D,3,0)</f>
        <v>Véhicules neufs</v>
      </c>
      <c r="AQ177" s="853" t="str">
        <f>+VLOOKUP($AJ177,Data_Validation!$A:$D,4,0)</f>
        <v>Divers</v>
      </c>
      <c r="AR177" s="853" t="s">
        <v>728</v>
      </c>
      <c r="AS177" s="853" t="str">
        <f>+VLOOKUP($AJ177,Data_Validation!$A:$E,5,0)</f>
        <v/>
      </c>
      <c r="AT177" s="794" t="str">
        <f t="shared" ref="AT177:AU177" si="352">C177</f>
        <v>G0711</v>
      </c>
      <c r="AU177" s="854" t="str">
        <f t="shared" si="352"/>
        <v>COTISATIONS-NEUFS</v>
      </c>
      <c r="AV177" s="794">
        <f t="array" ref="AV177">IFERROR(INDEX(V177:AG177,1,MATCH(Parametres!$B$3,V$1:AG$1,0)-1)*IF(OR(C177="L",C177="S",C177="I"),-1,1),"")</f>
        <v>0</v>
      </c>
      <c r="AW177" s="794">
        <f t="shared" si="6"/>
        <v>0</v>
      </c>
      <c r="AX177" s="794">
        <f t="array" ref="AX177">INDEX(V177:AG177,1,MATCH(Parametres!$B$3,V$1:AG$1,0))*IF(OR(C177="L",C177="S",C177="I"),-1,1)</f>
        <v>0</v>
      </c>
      <c r="AY177" s="853" t="s">
        <v>772</v>
      </c>
      <c r="AZ177" s="853" t="str">
        <f>+VLOOKUP($AJ177,Data_Validation!$A:$E,5,0)</f>
        <v/>
      </c>
    </row>
    <row r="178" ht="15.0" customHeight="1">
      <c r="A178" s="849" t="s">
        <v>1239</v>
      </c>
      <c r="B178" s="849">
        <v>2025.0</v>
      </c>
      <c r="C178" s="849" t="s">
        <v>1660</v>
      </c>
      <c r="D178" s="849" t="s">
        <v>1661</v>
      </c>
      <c r="E178" s="849" t="s">
        <v>768</v>
      </c>
      <c r="F178" s="849" t="s">
        <v>1200</v>
      </c>
      <c r="G178" s="849">
        <v>1102.83</v>
      </c>
      <c r="H178" s="849">
        <v>2621.26</v>
      </c>
      <c r="I178" s="849">
        <v>3728.99</v>
      </c>
      <c r="J178" s="849">
        <v>4750.52</v>
      </c>
      <c r="K178" s="849">
        <v>6047.45</v>
      </c>
      <c r="L178" s="849">
        <v>12632.49</v>
      </c>
      <c r="M178" s="849">
        <v>14029.81</v>
      </c>
      <c r="N178" s="849">
        <v>15268.14</v>
      </c>
      <c r="O178" s="849">
        <v>16463.87</v>
      </c>
      <c r="P178" s="849">
        <v>17869.26</v>
      </c>
      <c r="Q178" s="849">
        <v>20239.61</v>
      </c>
      <c r="R178" s="849">
        <v>21631.76</v>
      </c>
      <c r="S178" s="849">
        <v>1839.96</v>
      </c>
      <c r="T178" s="849">
        <v>1839.96</v>
      </c>
      <c r="U178" s="849">
        <v>0.0</v>
      </c>
      <c r="V178" s="849">
        <v>0.0</v>
      </c>
      <c r="W178" s="849">
        <v>0.0</v>
      </c>
      <c r="X178" s="849">
        <v>0.0</v>
      </c>
      <c r="Y178" s="849">
        <v>0.0</v>
      </c>
      <c r="Z178" s="849">
        <v>0.0</v>
      </c>
      <c r="AA178" s="849">
        <v>0.0</v>
      </c>
      <c r="AB178" s="849">
        <v>0.0</v>
      </c>
      <c r="AC178" s="849">
        <v>0.0</v>
      </c>
      <c r="AD178" s="849">
        <v>0.0</v>
      </c>
      <c r="AE178" s="849">
        <v>0.0</v>
      </c>
      <c r="AF178" s="849">
        <v>0.0</v>
      </c>
      <c r="AG178" s="849">
        <v>0.0</v>
      </c>
      <c r="AH178" s="849">
        <v>0.0</v>
      </c>
      <c r="AI178" s="849">
        <v>0.0</v>
      </c>
      <c r="AJ178" s="794" t="str">
        <f t="shared" ref="AJ178:AK178" si="353">C178</f>
        <v>G0712</v>
      </c>
      <c r="AK178" s="794" t="str">
        <f t="shared" si="353"/>
        <v>COTISATIONS-USAGES</v>
      </c>
      <c r="AL178" s="794">
        <f t="array" ref="AL178">IFERROR(INDEX(G178:R178,1,MATCH(Parametres!$B$3,G$1:R$1,0)-1)*IF(OR(F178="L",F178="S",F178="I"),-1,1),"")</f>
        <v>15268.14</v>
      </c>
      <c r="AM178" s="794">
        <f t="shared" si="4"/>
        <v>1195.73</v>
      </c>
      <c r="AN178" s="794">
        <f t="array" ref="AN178">INDEX(G178:R178,1,MATCH(Parametres!$B$3,G$1:R$1,0))*IF(OR(F178="L",F178="S",F178="I"),-1,1)</f>
        <v>16463.87</v>
      </c>
      <c r="AO178" s="853" t="str">
        <f>+VLOOKUP($AJ178,Data_Validation!$A:$D,1,0)</f>
        <v>G0712</v>
      </c>
      <c r="AP178" s="853" t="str">
        <f>+VLOOKUP($AJ178,Data_Validation!$A:$D,3,0)</f>
        <v>Véhicules usagés</v>
      </c>
      <c r="AQ178" s="853" t="str">
        <f>+VLOOKUP($AJ178,Data_Validation!$A:$D,4,0)</f>
        <v>Divers</v>
      </c>
      <c r="AR178" s="853" t="s">
        <v>728</v>
      </c>
      <c r="AS178" s="853" t="str">
        <f>+VLOOKUP($AJ178,Data_Validation!$A:$E,5,0)</f>
        <v/>
      </c>
      <c r="AT178" s="794" t="str">
        <f t="shared" ref="AT178:AU178" si="354">C178</f>
        <v>G0712</v>
      </c>
      <c r="AU178" s="854" t="str">
        <f t="shared" si="354"/>
        <v>COTISATIONS-USAGES</v>
      </c>
      <c r="AV178" s="794">
        <f t="array" ref="AV178">IFERROR(INDEX(V178:AG178,1,MATCH(Parametres!$B$3,V$1:AG$1,0)-1)*IF(OR(C178="L",C178="S",C178="I"),-1,1),"")</f>
        <v>0</v>
      </c>
      <c r="AW178" s="794">
        <f t="shared" si="6"/>
        <v>0</v>
      </c>
      <c r="AX178" s="794">
        <f t="array" ref="AX178">INDEX(V178:AG178,1,MATCH(Parametres!$B$3,V$1:AG$1,0))*IF(OR(C178="L",C178="S",C178="I"),-1,1)</f>
        <v>0</v>
      </c>
      <c r="AY178" s="853" t="s">
        <v>772</v>
      </c>
      <c r="AZ178" s="853" t="str">
        <f>+VLOOKUP($AJ178,Data_Validation!$A:$E,5,0)</f>
        <v/>
      </c>
    </row>
    <row r="179" ht="15.0" customHeight="1">
      <c r="A179" s="849" t="s">
        <v>1239</v>
      </c>
      <c r="B179" s="849">
        <v>2025.0</v>
      </c>
      <c r="C179" s="849" t="s">
        <v>1662</v>
      </c>
      <c r="D179" s="849" t="s">
        <v>1663</v>
      </c>
      <c r="E179" s="849" t="s">
        <v>768</v>
      </c>
      <c r="F179" s="849" t="s">
        <v>1200</v>
      </c>
      <c r="G179" s="849">
        <v>371.0</v>
      </c>
      <c r="H179" s="849">
        <v>832.0</v>
      </c>
      <c r="I179" s="849">
        <v>1578.0</v>
      </c>
      <c r="J179" s="849">
        <v>1661.5</v>
      </c>
      <c r="K179" s="849">
        <v>2115.0</v>
      </c>
      <c r="L179" s="849">
        <v>2781.0</v>
      </c>
      <c r="M179" s="849">
        <v>3402.0</v>
      </c>
      <c r="N179" s="849">
        <v>4023.0</v>
      </c>
      <c r="O179" s="849">
        <v>4644.0</v>
      </c>
      <c r="P179" s="849">
        <v>5876.0</v>
      </c>
      <c r="Q179" s="849">
        <v>8673.28</v>
      </c>
      <c r="R179" s="849">
        <v>9633.06</v>
      </c>
      <c r="S179" s="849">
        <v>788.48</v>
      </c>
      <c r="T179" s="849">
        <v>788.48</v>
      </c>
      <c r="U179" s="849">
        <v>0.0</v>
      </c>
      <c r="V179" s="849">
        <v>0.0</v>
      </c>
      <c r="W179" s="849">
        <v>0.0</v>
      </c>
      <c r="X179" s="849">
        <v>0.0</v>
      </c>
      <c r="Y179" s="849">
        <v>0.0</v>
      </c>
      <c r="Z179" s="849">
        <v>0.0</v>
      </c>
      <c r="AA179" s="849">
        <v>0.0</v>
      </c>
      <c r="AB179" s="849">
        <v>0.0</v>
      </c>
      <c r="AC179" s="849">
        <v>0.0</v>
      </c>
      <c r="AD179" s="849">
        <v>0.0</v>
      </c>
      <c r="AE179" s="849">
        <v>0.0</v>
      </c>
      <c r="AF179" s="849">
        <v>0.0</v>
      </c>
      <c r="AG179" s="849">
        <v>0.0</v>
      </c>
      <c r="AH179" s="849">
        <v>0.0</v>
      </c>
      <c r="AI179" s="849">
        <v>0.0</v>
      </c>
      <c r="AJ179" s="794" t="str">
        <f t="shared" ref="AJ179:AK179" si="355">C179</f>
        <v>G0714</v>
      </c>
      <c r="AK179" s="794" t="str">
        <f t="shared" si="355"/>
        <v>COTISATIONS-SERVICE</v>
      </c>
      <c r="AL179" s="794">
        <f t="array" ref="AL179">IFERROR(INDEX(G179:R179,1,MATCH(Parametres!$B$3,G$1:R$1,0)-1)*IF(OR(F179="L",F179="S",F179="I"),-1,1),"")</f>
        <v>4023</v>
      </c>
      <c r="AM179" s="794">
        <f t="shared" si="4"/>
        <v>621</v>
      </c>
      <c r="AN179" s="794">
        <f t="array" ref="AN179">INDEX(G179:R179,1,MATCH(Parametres!$B$3,G$1:R$1,0))*IF(OR(F179="L",F179="S",F179="I"),-1,1)</f>
        <v>4644</v>
      </c>
      <c r="AO179" s="853" t="str">
        <f>+VLOOKUP($AJ179,Data_Validation!$A:$D,1,0)</f>
        <v>G0714</v>
      </c>
      <c r="AP179" s="853" t="str">
        <f>+VLOOKUP($AJ179,Data_Validation!$A:$D,3,0)</f>
        <v>Service</v>
      </c>
      <c r="AQ179" s="853" t="str">
        <f>+VLOOKUP($AJ179,Data_Validation!$A:$D,4,0)</f>
        <v>Divers</v>
      </c>
      <c r="AR179" s="853" t="s">
        <v>728</v>
      </c>
      <c r="AS179" s="853" t="str">
        <f>+VLOOKUP($AJ179,Data_Validation!$A:$E,5,0)</f>
        <v/>
      </c>
      <c r="AT179" s="794" t="str">
        <f t="shared" ref="AT179:AU179" si="356">C179</f>
        <v>G0714</v>
      </c>
      <c r="AU179" s="854" t="str">
        <f t="shared" si="356"/>
        <v>COTISATIONS-SERVICE</v>
      </c>
      <c r="AV179" s="794">
        <f t="array" ref="AV179">IFERROR(INDEX(V179:AG179,1,MATCH(Parametres!$B$3,V$1:AG$1,0)-1)*IF(OR(C179="L",C179="S",C179="I"),-1,1),"")</f>
        <v>0</v>
      </c>
      <c r="AW179" s="794">
        <f t="shared" si="6"/>
        <v>0</v>
      </c>
      <c r="AX179" s="794">
        <f t="array" ref="AX179">INDEX(V179:AG179,1,MATCH(Parametres!$B$3,V$1:AG$1,0))*IF(OR(C179="L",C179="S",C179="I"),-1,1)</f>
        <v>0</v>
      </c>
      <c r="AY179" s="853" t="s">
        <v>772</v>
      </c>
      <c r="AZ179" s="853" t="str">
        <f>+VLOOKUP($AJ179,Data_Validation!$A:$E,5,0)</f>
        <v/>
      </c>
    </row>
    <row r="180" ht="15.0" customHeight="1">
      <c r="A180" s="849" t="s">
        <v>1239</v>
      </c>
      <c r="B180" s="849">
        <v>2025.0</v>
      </c>
      <c r="C180" s="849" t="s">
        <v>1664</v>
      </c>
      <c r="D180" s="849" t="s">
        <v>1665</v>
      </c>
      <c r="E180" s="849" t="s">
        <v>768</v>
      </c>
      <c r="F180" s="849" t="s">
        <v>1200</v>
      </c>
      <c r="G180" s="849">
        <v>1100.25</v>
      </c>
      <c r="H180" s="849">
        <v>4824.14</v>
      </c>
      <c r="I180" s="849">
        <v>5974.97</v>
      </c>
      <c r="J180" s="849">
        <v>7091.04</v>
      </c>
      <c r="K180" s="849">
        <v>8267.37</v>
      </c>
      <c r="L180" s="849">
        <v>9285.07</v>
      </c>
      <c r="M180" s="849">
        <v>10356.0</v>
      </c>
      <c r="N180" s="849">
        <v>11429.74</v>
      </c>
      <c r="O180" s="849">
        <v>12579.23</v>
      </c>
      <c r="P180" s="849">
        <v>13764.16</v>
      </c>
      <c r="Q180" s="849">
        <v>15384.56</v>
      </c>
      <c r="R180" s="849">
        <v>16640.58</v>
      </c>
      <c r="S180" s="849">
        <v>1398.6</v>
      </c>
      <c r="T180" s="849">
        <v>1398.6</v>
      </c>
      <c r="U180" s="849">
        <v>0.0</v>
      </c>
      <c r="V180" s="849">
        <v>0.0</v>
      </c>
      <c r="W180" s="849">
        <v>0.0</v>
      </c>
      <c r="X180" s="849">
        <v>0.0</v>
      </c>
      <c r="Y180" s="849">
        <v>0.0</v>
      </c>
      <c r="Z180" s="849">
        <v>0.0</v>
      </c>
      <c r="AA180" s="849">
        <v>0.0</v>
      </c>
      <c r="AB180" s="849">
        <v>0.0</v>
      </c>
      <c r="AC180" s="849">
        <v>0.0</v>
      </c>
      <c r="AD180" s="849">
        <v>0.0</v>
      </c>
      <c r="AE180" s="849">
        <v>0.0</v>
      </c>
      <c r="AF180" s="849">
        <v>0.0</v>
      </c>
      <c r="AG180" s="849">
        <v>0.0</v>
      </c>
      <c r="AH180" s="849">
        <v>0.0</v>
      </c>
      <c r="AI180" s="849">
        <v>0.0</v>
      </c>
      <c r="AJ180" s="794" t="str">
        <f t="shared" ref="AJ180:AK180" si="357">C180</f>
        <v>G0715</v>
      </c>
      <c r="AK180" s="794" t="str">
        <f t="shared" si="357"/>
        <v>COTISATIONS-CARROSS.</v>
      </c>
      <c r="AL180" s="794">
        <f t="array" ref="AL180">IFERROR(INDEX(G180:R180,1,MATCH(Parametres!$B$3,G$1:R$1,0)-1)*IF(OR(F180="L",F180="S",F180="I"),-1,1),"")</f>
        <v>11429.74</v>
      </c>
      <c r="AM180" s="794">
        <f t="shared" si="4"/>
        <v>1149.49</v>
      </c>
      <c r="AN180" s="794">
        <f t="array" ref="AN180">INDEX(G180:R180,1,MATCH(Parametres!$B$3,G$1:R$1,0))*IF(OR(F180="L",F180="S",F180="I"),-1,1)</f>
        <v>12579.23</v>
      </c>
      <c r="AO180" s="853" t="str">
        <f>+VLOOKUP($AJ180,Data_Validation!$A:$D,1,0)</f>
        <v>G0715</v>
      </c>
      <c r="AP180" s="853" t="str">
        <f>+VLOOKUP($AJ180,Data_Validation!$A:$D,3,0)</f>
        <v>Carrosserie</v>
      </c>
      <c r="AQ180" s="853" t="str">
        <f>+VLOOKUP($AJ180,Data_Validation!$A:$D,4,0)</f>
        <v>Divers</v>
      </c>
      <c r="AR180" s="853" t="s">
        <v>728</v>
      </c>
      <c r="AS180" s="853" t="str">
        <f>+VLOOKUP($AJ180,Data_Validation!$A:$E,5,0)</f>
        <v/>
      </c>
      <c r="AT180" s="794" t="str">
        <f t="shared" ref="AT180:AU180" si="358">C180</f>
        <v>G0715</v>
      </c>
      <c r="AU180" s="854" t="str">
        <f t="shared" si="358"/>
        <v>COTISATIONS-CARROSS.</v>
      </c>
      <c r="AV180" s="794">
        <f t="array" ref="AV180">IFERROR(INDEX(V180:AG180,1,MATCH(Parametres!$B$3,V$1:AG$1,0)-1)*IF(OR(C180="L",C180="S",C180="I"),-1,1),"")</f>
        <v>0</v>
      </c>
      <c r="AW180" s="794">
        <f t="shared" si="6"/>
        <v>0</v>
      </c>
      <c r="AX180" s="794">
        <f t="array" ref="AX180">INDEX(V180:AG180,1,MATCH(Parametres!$B$3,V$1:AG$1,0))*IF(OR(C180="L",C180="S",C180="I"),-1,1)</f>
        <v>0</v>
      </c>
      <c r="AY180" s="853" t="s">
        <v>772</v>
      </c>
      <c r="AZ180" s="853" t="str">
        <f>+VLOOKUP($AJ180,Data_Validation!$A:$E,5,0)</f>
        <v/>
      </c>
    </row>
    <row r="181" ht="15.75" customHeight="1">
      <c r="A181" s="849" t="s">
        <v>1239</v>
      </c>
      <c r="B181" s="849">
        <v>2025.0</v>
      </c>
      <c r="C181" s="849" t="s">
        <v>1668</v>
      </c>
      <c r="D181" s="849" t="s">
        <v>1669</v>
      </c>
      <c r="E181" s="849" t="s">
        <v>768</v>
      </c>
      <c r="F181" s="849" t="s">
        <v>1200</v>
      </c>
      <c r="G181" s="849">
        <v>427.38</v>
      </c>
      <c r="H181" s="849">
        <v>1354.75</v>
      </c>
      <c r="I181" s="849">
        <v>2342.13</v>
      </c>
      <c r="J181" s="849">
        <v>3269.5</v>
      </c>
      <c r="K181" s="849">
        <v>4256.87</v>
      </c>
      <c r="L181" s="849">
        <v>5184.25</v>
      </c>
      <c r="M181" s="849">
        <v>6171.63</v>
      </c>
      <c r="N181" s="849">
        <v>7409.01</v>
      </c>
      <c r="O181" s="849">
        <v>7586.38</v>
      </c>
      <c r="P181" s="849">
        <v>9074.08</v>
      </c>
      <c r="Q181" s="849">
        <v>10620.22</v>
      </c>
      <c r="R181" s="849">
        <v>11617.25</v>
      </c>
      <c r="S181" s="849">
        <v>965.47</v>
      </c>
      <c r="T181" s="849">
        <v>965.47</v>
      </c>
      <c r="U181" s="849">
        <v>0.0</v>
      </c>
      <c r="V181" s="849">
        <v>0.0</v>
      </c>
      <c r="W181" s="849">
        <v>0.0</v>
      </c>
      <c r="X181" s="849">
        <v>0.0</v>
      </c>
      <c r="Y181" s="849">
        <v>0.0</v>
      </c>
      <c r="Z181" s="849">
        <v>0.0</v>
      </c>
      <c r="AA181" s="849">
        <v>0.0</v>
      </c>
      <c r="AB181" s="849">
        <v>0.0</v>
      </c>
      <c r="AC181" s="849">
        <v>0.0</v>
      </c>
      <c r="AD181" s="849">
        <v>0.0</v>
      </c>
      <c r="AE181" s="849">
        <v>0.0</v>
      </c>
      <c r="AF181" s="849">
        <v>0.0</v>
      </c>
      <c r="AG181" s="849">
        <v>0.0</v>
      </c>
      <c r="AH181" s="849">
        <v>0.0</v>
      </c>
      <c r="AI181" s="849">
        <v>0.0</v>
      </c>
      <c r="AJ181" s="794" t="str">
        <f t="shared" ref="AJ181:AK181" si="359">C181</f>
        <v>G0716</v>
      </c>
      <c r="AK181" s="794" t="str">
        <f t="shared" si="359"/>
        <v>COTISATIONS-PIECES</v>
      </c>
      <c r="AL181" s="794">
        <f t="array" ref="AL181">IFERROR(INDEX(G181:R181,1,MATCH(Parametres!$B$3,G$1:R$1,0)-1)*IF(OR(F181="L",F181="S",F181="I"),-1,1),"")</f>
        <v>7409.01</v>
      </c>
      <c r="AM181" s="794">
        <f t="shared" si="4"/>
        <v>177.37</v>
      </c>
      <c r="AN181" s="794">
        <f t="array" ref="AN181">INDEX(G181:R181,1,MATCH(Parametres!$B$3,G$1:R$1,0))*IF(OR(F181="L",F181="S",F181="I"),-1,1)</f>
        <v>7586.38</v>
      </c>
      <c r="AO181" s="853" t="str">
        <f>+VLOOKUP($AJ181,Data_Validation!$A:$D,1,0)</f>
        <v>G0716</v>
      </c>
      <c r="AP181" s="853" t="str">
        <f>+VLOOKUP($AJ181,Data_Validation!$A:$D,3,0)</f>
        <v>Pièces</v>
      </c>
      <c r="AQ181" s="853" t="str">
        <f>+VLOOKUP($AJ181,Data_Validation!$A:$D,4,0)</f>
        <v>Divers</v>
      </c>
      <c r="AR181" s="853" t="s">
        <v>728</v>
      </c>
      <c r="AS181" s="853" t="str">
        <f>+VLOOKUP($AJ181,Data_Validation!$A:$E,5,0)</f>
        <v/>
      </c>
      <c r="AT181" s="794" t="str">
        <f t="shared" ref="AT181:AU181" si="360">C181</f>
        <v>G0716</v>
      </c>
      <c r="AU181" s="854" t="str">
        <f t="shared" si="360"/>
        <v>COTISATIONS-PIECES</v>
      </c>
      <c r="AV181" s="794">
        <f t="array" ref="AV181">IFERROR(INDEX(V181:AG181,1,MATCH(Parametres!$B$3,V$1:AG$1,0)-1)*IF(OR(C181="L",C181="S",C181="I"),-1,1),"")</f>
        <v>0</v>
      </c>
      <c r="AW181" s="794">
        <f t="shared" si="6"/>
        <v>0</v>
      </c>
      <c r="AX181" s="794">
        <f t="array" ref="AX181">INDEX(V181:AG181,1,MATCH(Parametres!$B$3,V$1:AG$1,0))*IF(OR(C181="L",C181="S",C181="I"),-1,1)</f>
        <v>0</v>
      </c>
      <c r="AY181" s="853" t="s">
        <v>772</v>
      </c>
      <c r="AZ181" s="853" t="str">
        <f>+VLOOKUP($AJ181,Data_Validation!$A:$E,5,0)</f>
        <v/>
      </c>
    </row>
    <row r="182" ht="15.75" customHeight="1">
      <c r="A182" s="849" t="s">
        <v>1239</v>
      </c>
      <c r="B182" s="849">
        <v>2025.0</v>
      </c>
      <c r="C182" s="849" t="s">
        <v>1670</v>
      </c>
      <c r="D182" s="849" t="s">
        <v>1671</v>
      </c>
      <c r="E182" s="849" t="s">
        <v>768</v>
      </c>
      <c r="F182" s="849" t="s">
        <v>1200</v>
      </c>
      <c r="G182" s="849">
        <v>0.0</v>
      </c>
      <c r="H182" s="849">
        <v>0.0</v>
      </c>
      <c r="I182" s="849">
        <v>0.0</v>
      </c>
      <c r="J182" s="849">
        <v>0.0</v>
      </c>
      <c r="K182" s="849">
        <v>0.0</v>
      </c>
      <c r="L182" s="849">
        <v>0.0</v>
      </c>
      <c r="M182" s="849">
        <v>0.0</v>
      </c>
      <c r="N182" s="849">
        <v>0.0</v>
      </c>
      <c r="O182" s="849">
        <v>0.0</v>
      </c>
      <c r="P182" s="849">
        <v>0.0</v>
      </c>
      <c r="Q182" s="849">
        <v>0.0</v>
      </c>
      <c r="R182" s="849">
        <v>0.0</v>
      </c>
      <c r="S182" s="849">
        <v>0.0</v>
      </c>
      <c r="T182" s="849">
        <v>0.0</v>
      </c>
      <c r="U182" s="849">
        <v>0.0</v>
      </c>
      <c r="V182" s="849">
        <v>0.0</v>
      </c>
      <c r="W182" s="849">
        <v>0.0</v>
      </c>
      <c r="X182" s="849">
        <v>0.0</v>
      </c>
      <c r="Y182" s="849">
        <v>0.0</v>
      </c>
      <c r="Z182" s="849">
        <v>0.0</v>
      </c>
      <c r="AA182" s="849">
        <v>0.0</v>
      </c>
      <c r="AB182" s="849">
        <v>0.0</v>
      </c>
      <c r="AC182" s="849">
        <v>0.0</v>
      </c>
      <c r="AD182" s="849">
        <v>0.0</v>
      </c>
      <c r="AE182" s="849">
        <v>0.0</v>
      </c>
      <c r="AF182" s="849">
        <v>0.0</v>
      </c>
      <c r="AG182" s="849">
        <v>0.0</v>
      </c>
      <c r="AH182" s="849">
        <v>0.0</v>
      </c>
      <c r="AI182" s="849">
        <v>0.0</v>
      </c>
      <c r="AJ182" s="794" t="str">
        <f t="shared" ref="AJ182:AK182" si="361">C182</f>
        <v>G0720</v>
      </c>
      <c r="AK182" s="794" t="str">
        <f t="shared" si="361"/>
        <v>HONORAIRES PROF. REP</v>
      </c>
      <c r="AL182" s="794">
        <f t="array" ref="AL182">IFERROR(INDEX(G182:R182,1,MATCH(Parametres!$B$3,G$1:R$1,0)-1)*IF(OR(F182="L",F182="S",F182="I"),-1,1),"")</f>
        <v>0</v>
      </c>
      <c r="AM182" s="794">
        <f t="shared" si="4"/>
        <v>0</v>
      </c>
      <c r="AN182" s="794">
        <f t="array" ref="AN182">INDEX(G182:R182,1,MATCH(Parametres!$B$3,G$1:R$1,0))*IF(OR(F182="L",F182="S",F182="I"),-1,1)</f>
        <v>0</v>
      </c>
      <c r="AO182" s="853" t="str">
        <f>+VLOOKUP($AJ182,Data_Validation!$A:$D,1,0)</f>
        <v>#N/A</v>
      </c>
      <c r="AP182" s="853" t="str">
        <f>+VLOOKUP($AJ182,Data_Validation!$A:$D,3,0)</f>
        <v>#N/A</v>
      </c>
      <c r="AQ182" s="853" t="str">
        <f>+VLOOKUP($AJ182,Data_Validation!$A:$D,4,0)</f>
        <v>#N/A</v>
      </c>
      <c r="AR182" s="853" t="s">
        <v>728</v>
      </c>
      <c r="AS182" s="853" t="str">
        <f>+VLOOKUP($AJ182,Data_Validation!$A:$E,5,0)</f>
        <v>#N/A</v>
      </c>
      <c r="AT182" s="794" t="str">
        <f t="shared" ref="AT182:AU182" si="362">C182</f>
        <v>G0720</v>
      </c>
      <c r="AU182" s="854" t="str">
        <f t="shared" si="362"/>
        <v>HONORAIRES PROF. REP</v>
      </c>
      <c r="AV182" s="794">
        <f t="array" ref="AV182">IFERROR(INDEX(V182:AG182,1,MATCH(Parametres!$B$3,V$1:AG$1,0)-1)*IF(OR(C182="L",C182="S",C182="I"),-1,1),"")</f>
        <v>0</v>
      </c>
      <c r="AW182" s="794">
        <f t="shared" si="6"/>
        <v>0</v>
      </c>
      <c r="AX182" s="794">
        <f t="array" ref="AX182">INDEX(V182:AG182,1,MATCH(Parametres!$B$3,V$1:AG$1,0))*IF(OR(C182="L",C182="S",C182="I"),-1,1)</f>
        <v>0</v>
      </c>
      <c r="AY182" s="853" t="s">
        <v>772</v>
      </c>
      <c r="AZ182" s="853" t="str">
        <f>+VLOOKUP($AJ182,Data_Validation!$A:$E,5,0)</f>
        <v>#N/A</v>
      </c>
    </row>
    <row r="183" ht="15.75" customHeight="1">
      <c r="A183" s="849" t="s">
        <v>1239</v>
      </c>
      <c r="B183" s="849">
        <v>2025.0</v>
      </c>
      <c r="C183" s="849" t="s">
        <v>1672</v>
      </c>
      <c r="D183" s="849" t="s">
        <v>1673</v>
      </c>
      <c r="E183" s="849" t="s">
        <v>768</v>
      </c>
      <c r="F183" s="849" t="s">
        <v>1200</v>
      </c>
      <c r="G183" s="849">
        <v>521.25</v>
      </c>
      <c r="H183" s="849">
        <v>971.25</v>
      </c>
      <c r="I183" s="849">
        <v>791.25</v>
      </c>
      <c r="J183" s="849">
        <v>1241.25</v>
      </c>
      <c r="K183" s="849">
        <v>1911.23</v>
      </c>
      <c r="L183" s="849">
        <v>2361.23</v>
      </c>
      <c r="M183" s="849">
        <v>3103.73</v>
      </c>
      <c r="N183" s="849">
        <v>4603.73</v>
      </c>
      <c r="O183" s="849">
        <v>7603.73</v>
      </c>
      <c r="P183" s="849">
        <v>10783.33</v>
      </c>
      <c r="Q183" s="849">
        <v>13783.33</v>
      </c>
      <c r="R183" s="849">
        <v>16783.33</v>
      </c>
      <c r="S183" s="849">
        <v>1253.03</v>
      </c>
      <c r="T183" s="849">
        <v>1253.03</v>
      </c>
      <c r="U183" s="849">
        <v>0.0</v>
      </c>
      <c r="V183" s="849">
        <v>0.0</v>
      </c>
      <c r="W183" s="849">
        <v>0.0</v>
      </c>
      <c r="X183" s="849">
        <v>0.0</v>
      </c>
      <c r="Y183" s="849">
        <v>0.0</v>
      </c>
      <c r="Z183" s="849">
        <v>0.0</v>
      </c>
      <c r="AA183" s="849">
        <v>0.0</v>
      </c>
      <c r="AB183" s="849">
        <v>0.0</v>
      </c>
      <c r="AC183" s="849">
        <v>0.0</v>
      </c>
      <c r="AD183" s="849">
        <v>0.0</v>
      </c>
      <c r="AE183" s="849">
        <v>0.0</v>
      </c>
      <c r="AF183" s="849">
        <v>0.0</v>
      </c>
      <c r="AG183" s="849">
        <v>0.0</v>
      </c>
      <c r="AH183" s="849">
        <v>0.0</v>
      </c>
      <c r="AI183" s="849">
        <v>0.0</v>
      </c>
      <c r="AJ183" s="794" t="str">
        <f t="shared" ref="AJ183:AK183" si="363">C183</f>
        <v>G0721</v>
      </c>
      <c r="AK183" s="794" t="str">
        <f t="shared" si="363"/>
        <v>HONORAIRES PROF.-NEUFS</v>
      </c>
      <c r="AL183" s="794">
        <f t="array" ref="AL183">IFERROR(INDEX(G183:R183,1,MATCH(Parametres!$B$3,G$1:R$1,0)-1)*IF(OR(F183="L",F183="S",F183="I"),-1,1),"")</f>
        <v>4603.73</v>
      </c>
      <c r="AM183" s="794">
        <f t="shared" si="4"/>
        <v>3000</v>
      </c>
      <c r="AN183" s="794">
        <f t="array" ref="AN183">INDEX(G183:R183,1,MATCH(Parametres!$B$3,G$1:R$1,0))*IF(OR(F183="L",F183="S",F183="I"),-1,1)</f>
        <v>7603.73</v>
      </c>
      <c r="AO183" s="853" t="str">
        <f>+VLOOKUP($AJ183,Data_Validation!$A:$D,1,0)</f>
        <v>G0721</v>
      </c>
      <c r="AP183" s="853" t="str">
        <f>+VLOOKUP($AJ183,Data_Validation!$A:$D,3,0)</f>
        <v>Véhicules neufs</v>
      </c>
      <c r="AQ183" s="853" t="str">
        <f>+VLOOKUP($AJ183,Data_Validation!$A:$D,4,0)</f>
        <v>Honoraires</v>
      </c>
      <c r="AR183" s="853" t="s">
        <v>728</v>
      </c>
      <c r="AS183" s="853" t="str">
        <f>+VLOOKUP($AJ183,Data_Validation!$A:$E,5,0)</f>
        <v/>
      </c>
      <c r="AT183" s="794" t="str">
        <f t="shared" ref="AT183:AU183" si="364">C183</f>
        <v>G0721</v>
      </c>
      <c r="AU183" s="854" t="str">
        <f t="shared" si="364"/>
        <v>HONORAIRES PROF.-NEUFS</v>
      </c>
      <c r="AV183" s="794">
        <f t="array" ref="AV183">IFERROR(INDEX(V183:AG183,1,MATCH(Parametres!$B$3,V$1:AG$1,0)-1)*IF(OR(C183="L",C183="S",C183="I"),-1,1),"")</f>
        <v>0</v>
      </c>
      <c r="AW183" s="794">
        <f t="shared" si="6"/>
        <v>0</v>
      </c>
      <c r="AX183" s="794">
        <f t="array" ref="AX183">INDEX(V183:AG183,1,MATCH(Parametres!$B$3,V$1:AG$1,0))*IF(OR(C183="L",C183="S",C183="I"),-1,1)</f>
        <v>0</v>
      </c>
      <c r="AY183" s="853" t="s">
        <v>772</v>
      </c>
      <c r="AZ183" s="853" t="str">
        <f>+VLOOKUP($AJ183,Data_Validation!$A:$E,5,0)</f>
        <v/>
      </c>
    </row>
    <row r="184" ht="15.75" customHeight="1">
      <c r="A184" s="849" t="s">
        <v>1239</v>
      </c>
      <c r="B184" s="849">
        <v>2025.0</v>
      </c>
      <c r="C184" s="849" t="s">
        <v>1674</v>
      </c>
      <c r="D184" s="849" t="s">
        <v>1675</v>
      </c>
      <c r="E184" s="849" t="s">
        <v>768</v>
      </c>
      <c r="F184" s="849" t="s">
        <v>1200</v>
      </c>
      <c r="G184" s="849">
        <v>347.5</v>
      </c>
      <c r="H184" s="849">
        <v>647.5</v>
      </c>
      <c r="I184" s="849">
        <v>527.5</v>
      </c>
      <c r="J184" s="849">
        <v>827.5</v>
      </c>
      <c r="K184" s="849">
        <v>1274.15</v>
      </c>
      <c r="L184" s="849">
        <v>1574.15</v>
      </c>
      <c r="M184" s="849">
        <v>2069.15</v>
      </c>
      <c r="N184" s="849">
        <v>3069.15</v>
      </c>
      <c r="O184" s="849">
        <v>5069.15</v>
      </c>
      <c r="P184" s="849">
        <v>7105.55</v>
      </c>
      <c r="Q184" s="849">
        <v>9105.55</v>
      </c>
      <c r="R184" s="849">
        <v>11105.55</v>
      </c>
      <c r="S184" s="849">
        <v>827.78</v>
      </c>
      <c r="T184" s="849">
        <v>827.78</v>
      </c>
      <c r="U184" s="849">
        <v>0.0</v>
      </c>
      <c r="V184" s="849">
        <v>0.0</v>
      </c>
      <c r="W184" s="849">
        <v>0.0</v>
      </c>
      <c r="X184" s="849">
        <v>0.0</v>
      </c>
      <c r="Y184" s="849">
        <v>0.0</v>
      </c>
      <c r="Z184" s="849">
        <v>0.0</v>
      </c>
      <c r="AA184" s="849">
        <v>0.0</v>
      </c>
      <c r="AB184" s="849">
        <v>0.0</v>
      </c>
      <c r="AC184" s="849">
        <v>0.0</v>
      </c>
      <c r="AD184" s="849">
        <v>0.0</v>
      </c>
      <c r="AE184" s="849">
        <v>0.0</v>
      </c>
      <c r="AF184" s="849">
        <v>0.0</v>
      </c>
      <c r="AG184" s="849">
        <v>0.0</v>
      </c>
      <c r="AH184" s="849">
        <v>0.0</v>
      </c>
      <c r="AI184" s="849">
        <v>0.0</v>
      </c>
      <c r="AJ184" s="794" t="str">
        <f t="shared" ref="AJ184:AK184" si="365">C184</f>
        <v>G0722</v>
      </c>
      <c r="AK184" s="794" t="str">
        <f t="shared" si="365"/>
        <v>HONORAIRES PROF.-USAGES</v>
      </c>
      <c r="AL184" s="794">
        <f t="array" ref="AL184">IFERROR(INDEX(G184:R184,1,MATCH(Parametres!$B$3,G$1:R$1,0)-1)*IF(OR(F184="L",F184="S",F184="I"),-1,1),"")</f>
        <v>3069.15</v>
      </c>
      <c r="AM184" s="794">
        <f t="shared" si="4"/>
        <v>2000</v>
      </c>
      <c r="AN184" s="794">
        <f t="array" ref="AN184">INDEX(G184:R184,1,MATCH(Parametres!$B$3,G$1:R$1,0))*IF(OR(F184="L",F184="S",F184="I"),-1,1)</f>
        <v>5069.15</v>
      </c>
      <c r="AO184" s="853" t="str">
        <f>+VLOOKUP($AJ184,Data_Validation!$A:$D,1,0)</f>
        <v>G0722</v>
      </c>
      <c r="AP184" s="853" t="str">
        <f>+VLOOKUP($AJ184,Data_Validation!$A:$D,3,0)</f>
        <v>Véhicules usagés</v>
      </c>
      <c r="AQ184" s="853" t="str">
        <f>+VLOOKUP($AJ184,Data_Validation!$A:$D,4,0)</f>
        <v>Honoraires</v>
      </c>
      <c r="AR184" s="853" t="s">
        <v>728</v>
      </c>
      <c r="AS184" s="853" t="str">
        <f>+VLOOKUP($AJ184,Data_Validation!$A:$E,5,0)</f>
        <v/>
      </c>
      <c r="AT184" s="794" t="str">
        <f t="shared" ref="AT184:AU184" si="366">C184</f>
        <v>G0722</v>
      </c>
      <c r="AU184" s="854" t="str">
        <f t="shared" si="366"/>
        <v>HONORAIRES PROF.-USAGES</v>
      </c>
      <c r="AV184" s="794">
        <f t="array" ref="AV184">IFERROR(INDEX(V184:AG184,1,MATCH(Parametres!$B$3,V$1:AG$1,0)-1)*IF(OR(C184="L",C184="S",C184="I"),-1,1),"")</f>
        <v>0</v>
      </c>
      <c r="AW184" s="794">
        <f t="shared" si="6"/>
        <v>0</v>
      </c>
      <c r="AX184" s="794">
        <f t="array" ref="AX184">INDEX(V184:AG184,1,MATCH(Parametres!$B$3,V$1:AG$1,0))*IF(OR(C184="L",C184="S",C184="I"),-1,1)</f>
        <v>0</v>
      </c>
      <c r="AY184" s="853" t="s">
        <v>772</v>
      </c>
      <c r="AZ184" s="853" t="str">
        <f>+VLOOKUP($AJ184,Data_Validation!$A:$E,5,0)</f>
        <v/>
      </c>
    </row>
    <row r="185" ht="15.75" customHeight="1">
      <c r="A185" s="849" t="s">
        <v>1239</v>
      </c>
      <c r="B185" s="849">
        <v>2025.0</v>
      </c>
      <c r="C185" s="849" t="s">
        <v>1676</v>
      </c>
      <c r="D185" s="849" t="s">
        <v>1677</v>
      </c>
      <c r="E185" s="849" t="s">
        <v>768</v>
      </c>
      <c r="F185" s="849" t="s">
        <v>1200</v>
      </c>
      <c r="G185" s="849">
        <v>0.0</v>
      </c>
      <c r="H185" s="849">
        <v>0.0</v>
      </c>
      <c r="I185" s="849">
        <v>0.0</v>
      </c>
      <c r="J185" s="849">
        <v>0.0</v>
      </c>
      <c r="K185" s="849">
        <v>0.0</v>
      </c>
      <c r="L185" s="849">
        <v>0.0</v>
      </c>
      <c r="M185" s="849">
        <v>0.0</v>
      </c>
      <c r="N185" s="849">
        <v>0.0</v>
      </c>
      <c r="O185" s="849">
        <v>0.0</v>
      </c>
      <c r="P185" s="849">
        <v>0.0</v>
      </c>
      <c r="Q185" s="849">
        <v>0.0</v>
      </c>
      <c r="R185" s="849">
        <v>0.0</v>
      </c>
      <c r="S185" s="849">
        <v>0.0</v>
      </c>
      <c r="T185" s="849">
        <v>0.0</v>
      </c>
      <c r="U185" s="849">
        <v>0.0</v>
      </c>
      <c r="V185" s="849">
        <v>0.0</v>
      </c>
      <c r="W185" s="849">
        <v>0.0</v>
      </c>
      <c r="X185" s="849">
        <v>0.0</v>
      </c>
      <c r="Y185" s="849">
        <v>0.0</v>
      </c>
      <c r="Z185" s="849">
        <v>0.0</v>
      </c>
      <c r="AA185" s="849">
        <v>0.0</v>
      </c>
      <c r="AB185" s="849">
        <v>0.0</v>
      </c>
      <c r="AC185" s="849">
        <v>0.0</v>
      </c>
      <c r="AD185" s="849">
        <v>0.0</v>
      </c>
      <c r="AE185" s="849">
        <v>0.0</v>
      </c>
      <c r="AF185" s="849">
        <v>0.0</v>
      </c>
      <c r="AG185" s="849">
        <v>0.0</v>
      </c>
      <c r="AH185" s="849">
        <v>0.0</v>
      </c>
      <c r="AI185" s="849">
        <v>0.0</v>
      </c>
      <c r="AJ185" s="794" t="str">
        <f t="shared" ref="AJ185:AK185" si="367">C185</f>
        <v>G0723</v>
      </c>
      <c r="AK185" s="794" t="str">
        <f t="shared" si="367"/>
        <v>HONORAIRES PROF. U.S.A</v>
      </c>
      <c r="AL185" s="794">
        <f t="array" ref="AL185">IFERROR(INDEX(G185:R185,1,MATCH(Parametres!$B$3,G$1:R$1,0)-1)*IF(OR(F185="L",F185="S",F185="I"),-1,1),"")</f>
        <v>0</v>
      </c>
      <c r="AM185" s="794">
        <f t="shared" si="4"/>
        <v>0</v>
      </c>
      <c r="AN185" s="794">
        <f t="array" ref="AN185">INDEX(G185:R185,1,MATCH(Parametres!$B$3,G$1:R$1,0))*IF(OR(F185="L",F185="S",F185="I"),-1,1)</f>
        <v>0</v>
      </c>
      <c r="AO185" s="853" t="str">
        <f>+VLOOKUP($AJ185,Data_Validation!$A:$D,1,0)</f>
        <v>G0723</v>
      </c>
      <c r="AP185" s="853" t="str">
        <f>+VLOOKUP($AJ185,Data_Validation!$A:$D,3,0)</f>
        <v>Wholesale autres</v>
      </c>
      <c r="AQ185" s="853" t="str">
        <f>+VLOOKUP($AJ185,Data_Validation!$A:$D,4,0)</f>
        <v>Honoraires</v>
      </c>
      <c r="AR185" s="853" t="s">
        <v>728</v>
      </c>
      <c r="AS185" s="853" t="str">
        <f>+VLOOKUP($AJ185,Data_Validation!$A:$E,5,0)</f>
        <v/>
      </c>
      <c r="AT185" s="794" t="str">
        <f t="shared" ref="AT185:AU185" si="368">C185</f>
        <v>G0723</v>
      </c>
      <c r="AU185" s="854" t="str">
        <f t="shared" si="368"/>
        <v>HONORAIRES PROF. U.S.A</v>
      </c>
      <c r="AV185" s="794">
        <f t="array" ref="AV185">IFERROR(INDEX(V185:AG185,1,MATCH(Parametres!$B$3,V$1:AG$1,0)-1)*IF(OR(C185="L",C185="S",C185="I"),-1,1),"")</f>
        <v>0</v>
      </c>
      <c r="AW185" s="794">
        <f t="shared" si="6"/>
        <v>0</v>
      </c>
      <c r="AX185" s="794">
        <f t="array" ref="AX185">INDEX(V185:AG185,1,MATCH(Parametres!$B$3,V$1:AG$1,0))*IF(OR(C185="L",C185="S",C185="I"),-1,1)</f>
        <v>0</v>
      </c>
      <c r="AY185" s="853" t="s">
        <v>772</v>
      </c>
      <c r="AZ185" s="853" t="str">
        <f>+VLOOKUP($AJ185,Data_Validation!$A:$E,5,0)</f>
        <v/>
      </c>
    </row>
    <row r="186" ht="15.75" customHeight="1">
      <c r="A186" s="849" t="s">
        <v>1239</v>
      </c>
      <c r="B186" s="849">
        <v>2025.0</v>
      </c>
      <c r="C186" s="849" t="s">
        <v>1678</v>
      </c>
      <c r="D186" s="849" t="s">
        <v>1679</v>
      </c>
      <c r="E186" s="849" t="s">
        <v>768</v>
      </c>
      <c r="F186" s="849" t="s">
        <v>1200</v>
      </c>
      <c r="G186" s="849">
        <v>521.25</v>
      </c>
      <c r="H186" s="849">
        <v>971.25</v>
      </c>
      <c r="I186" s="849">
        <v>791.25</v>
      </c>
      <c r="J186" s="849">
        <v>1241.25</v>
      </c>
      <c r="K186" s="849">
        <v>1977.23</v>
      </c>
      <c r="L186" s="849">
        <v>2526.23</v>
      </c>
      <c r="M186" s="849">
        <v>4131.67</v>
      </c>
      <c r="N186" s="849">
        <v>5697.67</v>
      </c>
      <c r="O186" s="849">
        <v>9141.15</v>
      </c>
      <c r="P186" s="849">
        <v>12492.75</v>
      </c>
      <c r="Q186" s="849">
        <v>14394.68</v>
      </c>
      <c r="R186" s="849">
        <v>17394.68</v>
      </c>
      <c r="S186" s="849">
        <v>1308.61</v>
      </c>
      <c r="T186" s="849">
        <v>1308.61</v>
      </c>
      <c r="U186" s="849">
        <v>0.0</v>
      </c>
      <c r="V186" s="849">
        <v>0.0</v>
      </c>
      <c r="W186" s="849">
        <v>0.0</v>
      </c>
      <c r="X186" s="849">
        <v>0.0</v>
      </c>
      <c r="Y186" s="849">
        <v>0.0</v>
      </c>
      <c r="Z186" s="849">
        <v>0.0</v>
      </c>
      <c r="AA186" s="849">
        <v>0.0</v>
      </c>
      <c r="AB186" s="849">
        <v>0.0</v>
      </c>
      <c r="AC186" s="849">
        <v>0.0</v>
      </c>
      <c r="AD186" s="849">
        <v>0.0</v>
      </c>
      <c r="AE186" s="849">
        <v>0.0</v>
      </c>
      <c r="AF186" s="849">
        <v>0.0</v>
      </c>
      <c r="AG186" s="849">
        <v>0.0</v>
      </c>
      <c r="AH186" s="849">
        <v>0.0</v>
      </c>
      <c r="AI186" s="849">
        <v>0.0</v>
      </c>
      <c r="AJ186" s="794" t="str">
        <f t="shared" ref="AJ186:AK186" si="369">C186</f>
        <v>G0724</v>
      </c>
      <c r="AK186" s="794" t="str">
        <f t="shared" si="369"/>
        <v>HONORAIRES PROF.-SERVICE</v>
      </c>
      <c r="AL186" s="794">
        <f t="array" ref="AL186">IFERROR(INDEX(G186:R186,1,MATCH(Parametres!$B$3,G$1:R$1,0)-1)*IF(OR(F186="L",F186="S",F186="I"),-1,1),"")</f>
        <v>5697.67</v>
      </c>
      <c r="AM186" s="794">
        <f t="shared" si="4"/>
        <v>3443.48</v>
      </c>
      <c r="AN186" s="794">
        <f t="array" ref="AN186">INDEX(G186:R186,1,MATCH(Parametres!$B$3,G$1:R$1,0))*IF(OR(F186="L",F186="S",F186="I"),-1,1)</f>
        <v>9141.15</v>
      </c>
      <c r="AO186" s="853" t="str">
        <f>+VLOOKUP($AJ186,Data_Validation!$A:$D,1,0)</f>
        <v>G0724</v>
      </c>
      <c r="AP186" s="853" t="str">
        <f>+VLOOKUP($AJ186,Data_Validation!$A:$D,3,0)</f>
        <v>Service</v>
      </c>
      <c r="AQ186" s="853" t="str">
        <f>+VLOOKUP($AJ186,Data_Validation!$A:$D,4,0)</f>
        <v>Honoraires</v>
      </c>
      <c r="AR186" s="853" t="s">
        <v>728</v>
      </c>
      <c r="AS186" s="853" t="str">
        <f>+VLOOKUP($AJ186,Data_Validation!$A:$E,5,0)</f>
        <v/>
      </c>
      <c r="AT186" s="794" t="str">
        <f t="shared" ref="AT186:AU186" si="370">C186</f>
        <v>G0724</v>
      </c>
      <c r="AU186" s="854" t="str">
        <f t="shared" si="370"/>
        <v>HONORAIRES PROF.-SERVICE</v>
      </c>
      <c r="AV186" s="794">
        <f t="array" ref="AV186">IFERROR(INDEX(V186:AG186,1,MATCH(Parametres!$B$3,V$1:AG$1,0)-1)*IF(OR(C186="L",C186="S",C186="I"),-1,1),"")</f>
        <v>0</v>
      </c>
      <c r="AW186" s="794">
        <f t="shared" si="6"/>
        <v>0</v>
      </c>
      <c r="AX186" s="794">
        <f t="array" ref="AX186">INDEX(V186:AG186,1,MATCH(Parametres!$B$3,V$1:AG$1,0))*IF(OR(C186="L",C186="S",C186="I"),-1,1)</f>
        <v>0</v>
      </c>
      <c r="AY186" s="853" t="s">
        <v>772</v>
      </c>
      <c r="AZ186" s="853" t="str">
        <f>+VLOOKUP($AJ186,Data_Validation!$A:$E,5,0)</f>
        <v/>
      </c>
    </row>
    <row r="187" ht="15.0" customHeight="1">
      <c r="A187" s="849" t="s">
        <v>1239</v>
      </c>
      <c r="B187" s="849">
        <v>2025.0</v>
      </c>
      <c r="C187" s="849" t="s">
        <v>1680</v>
      </c>
      <c r="D187" s="849" t="s">
        <v>1681</v>
      </c>
      <c r="E187" s="849" t="s">
        <v>768</v>
      </c>
      <c r="F187" s="849" t="s">
        <v>1200</v>
      </c>
      <c r="G187" s="849">
        <v>173.75</v>
      </c>
      <c r="H187" s="849">
        <v>323.75</v>
      </c>
      <c r="I187" s="849">
        <v>263.75</v>
      </c>
      <c r="J187" s="849">
        <v>413.75</v>
      </c>
      <c r="K187" s="849">
        <v>637.08</v>
      </c>
      <c r="L187" s="849">
        <v>787.08</v>
      </c>
      <c r="M187" s="849">
        <v>1765.52</v>
      </c>
      <c r="N187" s="849">
        <v>2265.52</v>
      </c>
      <c r="O187" s="849">
        <v>3544.0</v>
      </c>
      <c r="P187" s="849">
        <v>4562.2</v>
      </c>
      <c r="Q187" s="849">
        <v>5562.2</v>
      </c>
      <c r="R187" s="849">
        <v>6562.2</v>
      </c>
      <c r="S187" s="849">
        <v>505.65</v>
      </c>
      <c r="T187" s="849">
        <v>505.65</v>
      </c>
      <c r="U187" s="849">
        <v>0.0</v>
      </c>
      <c r="V187" s="849">
        <v>0.0</v>
      </c>
      <c r="W187" s="849">
        <v>0.0</v>
      </c>
      <c r="X187" s="849">
        <v>0.0</v>
      </c>
      <c r="Y187" s="849">
        <v>0.0</v>
      </c>
      <c r="Z187" s="849">
        <v>0.0</v>
      </c>
      <c r="AA187" s="849">
        <v>0.0</v>
      </c>
      <c r="AB187" s="849">
        <v>0.0</v>
      </c>
      <c r="AC187" s="849">
        <v>0.0</v>
      </c>
      <c r="AD187" s="849">
        <v>0.0</v>
      </c>
      <c r="AE187" s="849">
        <v>0.0</v>
      </c>
      <c r="AF187" s="849">
        <v>0.0</v>
      </c>
      <c r="AG187" s="849">
        <v>0.0</v>
      </c>
      <c r="AH187" s="849">
        <v>0.0</v>
      </c>
      <c r="AI187" s="849">
        <v>0.0</v>
      </c>
      <c r="AJ187" s="794" t="str">
        <f t="shared" ref="AJ187:AK187" si="371">C187</f>
        <v>G0725</v>
      </c>
      <c r="AK187" s="794" t="str">
        <f t="shared" si="371"/>
        <v>HONORAIRES PORF.-CARROSS.</v>
      </c>
      <c r="AL187" s="794">
        <f t="array" ref="AL187">IFERROR(INDEX(G187:R187,1,MATCH(Parametres!$B$3,G$1:R$1,0)-1)*IF(OR(F187="L",F187="S",F187="I"),-1,1),"")</f>
        <v>2265.52</v>
      </c>
      <c r="AM187" s="794">
        <f t="shared" si="4"/>
        <v>1278.48</v>
      </c>
      <c r="AN187" s="794">
        <f t="array" ref="AN187">INDEX(G187:R187,1,MATCH(Parametres!$B$3,G$1:R$1,0))*IF(OR(F187="L",F187="S",F187="I"),-1,1)</f>
        <v>3544</v>
      </c>
      <c r="AO187" s="853" t="str">
        <f>+VLOOKUP($AJ187,Data_Validation!$A:$D,1,0)</f>
        <v>G0725</v>
      </c>
      <c r="AP187" s="853" t="str">
        <f>+VLOOKUP($AJ187,Data_Validation!$A:$D,3,0)</f>
        <v>Carrosserie</v>
      </c>
      <c r="AQ187" s="853" t="str">
        <f>+VLOOKUP($AJ187,Data_Validation!$A:$D,4,0)</f>
        <v>Honoraires</v>
      </c>
      <c r="AR187" s="853" t="s">
        <v>728</v>
      </c>
      <c r="AS187" s="853" t="str">
        <f>+VLOOKUP($AJ187,Data_Validation!$A:$E,5,0)</f>
        <v/>
      </c>
      <c r="AT187" s="794" t="str">
        <f t="shared" ref="AT187:AU187" si="372">C187</f>
        <v>G0725</v>
      </c>
      <c r="AU187" s="854" t="str">
        <f t="shared" si="372"/>
        <v>HONORAIRES PORF.-CARROSS.</v>
      </c>
      <c r="AV187" s="794">
        <f t="array" ref="AV187">IFERROR(INDEX(V187:AG187,1,MATCH(Parametres!$B$3,V$1:AG$1,0)-1)*IF(OR(C187="L",C187="S",C187="I"),-1,1),"")</f>
        <v>0</v>
      </c>
      <c r="AW187" s="794">
        <f t="shared" si="6"/>
        <v>0</v>
      </c>
      <c r="AX187" s="794">
        <f t="array" ref="AX187">INDEX(V187:AG187,1,MATCH(Parametres!$B$3,V$1:AG$1,0))*IF(OR(C187="L",C187="S",C187="I"),-1,1)</f>
        <v>0</v>
      </c>
      <c r="AY187" s="853" t="s">
        <v>772</v>
      </c>
      <c r="AZ187" s="853" t="str">
        <f>+VLOOKUP($AJ187,Data_Validation!$A:$E,5,0)</f>
        <v/>
      </c>
    </row>
    <row r="188" ht="15.0" customHeight="1">
      <c r="A188" s="849" t="s">
        <v>1239</v>
      </c>
      <c r="B188" s="849">
        <v>2025.0</v>
      </c>
      <c r="C188" s="849" t="s">
        <v>1682</v>
      </c>
      <c r="D188" s="849" t="s">
        <v>1683</v>
      </c>
      <c r="E188" s="849" t="s">
        <v>768</v>
      </c>
      <c r="F188" s="849" t="s">
        <v>1200</v>
      </c>
      <c r="G188" s="849">
        <v>173.75</v>
      </c>
      <c r="H188" s="849">
        <v>323.75</v>
      </c>
      <c r="I188" s="849">
        <v>263.75</v>
      </c>
      <c r="J188" s="849">
        <v>413.75</v>
      </c>
      <c r="K188" s="849">
        <v>637.06</v>
      </c>
      <c r="L188" s="849">
        <v>787.06</v>
      </c>
      <c r="M188" s="849">
        <v>1400.03</v>
      </c>
      <c r="N188" s="849">
        <v>1900.03</v>
      </c>
      <c r="O188" s="849">
        <v>3039.27</v>
      </c>
      <c r="P188" s="849">
        <v>4057.47</v>
      </c>
      <c r="Q188" s="849">
        <v>5057.47</v>
      </c>
      <c r="R188" s="849">
        <v>6057.47</v>
      </c>
      <c r="S188" s="849">
        <v>459.77</v>
      </c>
      <c r="T188" s="849">
        <v>459.77</v>
      </c>
      <c r="U188" s="849">
        <v>0.0</v>
      </c>
      <c r="V188" s="849">
        <v>0.0</v>
      </c>
      <c r="W188" s="849">
        <v>0.0</v>
      </c>
      <c r="X188" s="849">
        <v>0.0</v>
      </c>
      <c r="Y188" s="849">
        <v>0.0</v>
      </c>
      <c r="Z188" s="849">
        <v>0.0</v>
      </c>
      <c r="AA188" s="849">
        <v>0.0</v>
      </c>
      <c r="AB188" s="849">
        <v>0.0</v>
      </c>
      <c r="AC188" s="849">
        <v>0.0</v>
      </c>
      <c r="AD188" s="849">
        <v>0.0</v>
      </c>
      <c r="AE188" s="849">
        <v>0.0</v>
      </c>
      <c r="AF188" s="849">
        <v>0.0</v>
      </c>
      <c r="AG188" s="849">
        <v>0.0</v>
      </c>
      <c r="AH188" s="849">
        <v>0.0</v>
      </c>
      <c r="AI188" s="849">
        <v>0.0</v>
      </c>
      <c r="AJ188" s="794" t="str">
        <f t="shared" ref="AJ188:AK188" si="373">C188</f>
        <v>G0726</v>
      </c>
      <c r="AK188" s="794" t="str">
        <f t="shared" si="373"/>
        <v>HONORAIRES PROF.-PIECES</v>
      </c>
      <c r="AL188" s="794">
        <f t="array" ref="AL188">IFERROR(INDEX(G188:R188,1,MATCH(Parametres!$B$3,G$1:R$1,0)-1)*IF(OR(F188="L",F188="S",F188="I"),-1,1),"")</f>
        <v>1900.03</v>
      </c>
      <c r="AM188" s="794">
        <f t="shared" si="4"/>
        <v>1139.24</v>
      </c>
      <c r="AN188" s="794">
        <f t="array" ref="AN188">INDEX(G188:R188,1,MATCH(Parametres!$B$3,G$1:R$1,0))*IF(OR(F188="L",F188="S",F188="I"),-1,1)</f>
        <v>3039.27</v>
      </c>
      <c r="AO188" s="853" t="str">
        <f>+VLOOKUP($AJ188,Data_Validation!$A:$D,1,0)</f>
        <v>G0726</v>
      </c>
      <c r="AP188" s="853" t="str">
        <f>+VLOOKUP($AJ188,Data_Validation!$A:$D,3,0)</f>
        <v>Pièces</v>
      </c>
      <c r="AQ188" s="853" t="str">
        <f>+VLOOKUP($AJ188,Data_Validation!$A:$D,4,0)</f>
        <v>Honoraires</v>
      </c>
      <c r="AR188" s="853" t="s">
        <v>728</v>
      </c>
      <c r="AS188" s="853" t="str">
        <f>+VLOOKUP($AJ188,Data_Validation!$A:$E,5,0)</f>
        <v/>
      </c>
      <c r="AT188" s="794" t="str">
        <f t="shared" ref="AT188:AU188" si="374">C188</f>
        <v>G0726</v>
      </c>
      <c r="AU188" s="854" t="str">
        <f t="shared" si="374"/>
        <v>HONORAIRES PROF.-PIECES</v>
      </c>
      <c r="AV188" s="794">
        <f t="array" ref="AV188">IFERROR(INDEX(V188:AG188,1,MATCH(Parametres!$B$3,V$1:AG$1,0)-1)*IF(OR(C188="L",C188="S",C188="I"),-1,1),"")</f>
        <v>0</v>
      </c>
      <c r="AW188" s="794">
        <f t="shared" si="6"/>
        <v>0</v>
      </c>
      <c r="AX188" s="794">
        <f t="array" ref="AX188">INDEX(V188:AG188,1,MATCH(Parametres!$B$3,V$1:AG$1,0))*IF(OR(C188="L",C188="S",C188="I"),-1,1)</f>
        <v>0</v>
      </c>
      <c r="AY188" s="853" t="s">
        <v>772</v>
      </c>
      <c r="AZ188" s="853" t="str">
        <f>+VLOOKUP($AJ188,Data_Validation!$A:$E,5,0)</f>
        <v/>
      </c>
    </row>
    <row r="189" ht="15.0" customHeight="1">
      <c r="A189" s="849" t="s">
        <v>1239</v>
      </c>
      <c r="B189" s="849">
        <v>2025.0</v>
      </c>
      <c r="C189" s="849" t="s">
        <v>1684</v>
      </c>
      <c r="D189" s="849" t="s">
        <v>1685</v>
      </c>
      <c r="E189" s="849" t="s">
        <v>768</v>
      </c>
      <c r="F189" s="849" t="s">
        <v>1200</v>
      </c>
      <c r="G189" s="849">
        <v>0.0</v>
      </c>
      <c r="H189" s="849">
        <v>0.0</v>
      </c>
      <c r="I189" s="849">
        <v>0.0</v>
      </c>
      <c r="J189" s="849">
        <v>0.0</v>
      </c>
      <c r="K189" s="849">
        <v>0.0</v>
      </c>
      <c r="L189" s="849">
        <v>0.0</v>
      </c>
      <c r="M189" s="849">
        <v>0.0</v>
      </c>
      <c r="N189" s="849">
        <v>0.0</v>
      </c>
      <c r="O189" s="849">
        <v>0.0</v>
      </c>
      <c r="P189" s="849">
        <v>0.0</v>
      </c>
      <c r="Q189" s="849">
        <v>0.0</v>
      </c>
      <c r="R189" s="849">
        <v>0.0</v>
      </c>
      <c r="S189" s="849">
        <v>0.0</v>
      </c>
      <c r="T189" s="849">
        <v>0.0</v>
      </c>
      <c r="U189" s="849">
        <v>0.0</v>
      </c>
      <c r="V189" s="849">
        <v>0.0</v>
      </c>
      <c r="W189" s="849">
        <v>0.0</v>
      </c>
      <c r="X189" s="849">
        <v>0.0</v>
      </c>
      <c r="Y189" s="849">
        <v>0.0</v>
      </c>
      <c r="Z189" s="849">
        <v>0.0</v>
      </c>
      <c r="AA189" s="849">
        <v>0.0</v>
      </c>
      <c r="AB189" s="849">
        <v>0.0</v>
      </c>
      <c r="AC189" s="849">
        <v>0.0</v>
      </c>
      <c r="AD189" s="849">
        <v>0.0</v>
      </c>
      <c r="AE189" s="849">
        <v>0.0</v>
      </c>
      <c r="AF189" s="849">
        <v>0.0</v>
      </c>
      <c r="AG189" s="849">
        <v>0.0</v>
      </c>
      <c r="AH189" s="849">
        <v>0.0</v>
      </c>
      <c r="AI189" s="849">
        <v>0.0</v>
      </c>
      <c r="AJ189" s="794" t="str">
        <f t="shared" ref="AJ189:AK189" si="375">C189</f>
        <v>G0740</v>
      </c>
      <c r="AK189" s="794" t="str">
        <f t="shared" si="375"/>
        <v>TELEPHONE REP.</v>
      </c>
      <c r="AL189" s="794">
        <f t="array" ref="AL189">IFERROR(INDEX(G189:R189,1,MATCH(Parametres!$B$3,G$1:R$1,0)-1)*IF(OR(F189="L",F189="S",F189="I"),-1,1),"")</f>
        <v>0</v>
      </c>
      <c r="AM189" s="794">
        <f t="shared" si="4"/>
        <v>0</v>
      </c>
      <c r="AN189" s="794">
        <f t="array" ref="AN189">INDEX(G189:R189,1,MATCH(Parametres!$B$3,G$1:R$1,0))*IF(OR(F189="L",F189="S",F189="I"),-1,1)</f>
        <v>0</v>
      </c>
      <c r="AO189" s="853" t="str">
        <f>+VLOOKUP($AJ189,Data_Validation!$A:$D,1,0)</f>
        <v>#N/A</v>
      </c>
      <c r="AP189" s="853" t="str">
        <f>+VLOOKUP($AJ189,Data_Validation!$A:$D,3,0)</f>
        <v>#N/A</v>
      </c>
      <c r="AQ189" s="853" t="str">
        <f>+VLOOKUP($AJ189,Data_Validation!$A:$D,4,0)</f>
        <v>#N/A</v>
      </c>
      <c r="AR189" s="853" t="s">
        <v>728</v>
      </c>
      <c r="AS189" s="853" t="str">
        <f>+VLOOKUP($AJ189,Data_Validation!$A:$E,5,0)</f>
        <v>#N/A</v>
      </c>
      <c r="AT189" s="794" t="str">
        <f t="shared" ref="AT189:AU189" si="376">C189</f>
        <v>G0740</v>
      </c>
      <c r="AU189" s="854" t="str">
        <f t="shared" si="376"/>
        <v>TELEPHONE REP.</v>
      </c>
      <c r="AV189" s="794">
        <f t="array" ref="AV189">IFERROR(INDEX(V189:AG189,1,MATCH(Parametres!$B$3,V$1:AG$1,0)-1)*IF(OR(C189="L",C189="S",C189="I"),-1,1),"")</f>
        <v>0</v>
      </c>
      <c r="AW189" s="794">
        <f t="shared" si="6"/>
        <v>0</v>
      </c>
      <c r="AX189" s="794">
        <f t="array" ref="AX189">INDEX(V189:AG189,1,MATCH(Parametres!$B$3,V$1:AG$1,0))*IF(OR(C189="L",C189="S",C189="I"),-1,1)</f>
        <v>0</v>
      </c>
      <c r="AY189" s="853" t="s">
        <v>772</v>
      </c>
      <c r="AZ189" s="853" t="str">
        <f>+VLOOKUP($AJ189,Data_Validation!$A:$E,5,0)</f>
        <v>#N/A</v>
      </c>
    </row>
    <row r="190" ht="15.0" customHeight="1">
      <c r="A190" s="849" t="s">
        <v>1239</v>
      </c>
      <c r="B190" s="849">
        <v>2025.0</v>
      </c>
      <c r="C190" s="849" t="s">
        <v>1686</v>
      </c>
      <c r="D190" s="849" t="s">
        <v>1687</v>
      </c>
      <c r="E190" s="849" t="s">
        <v>768</v>
      </c>
      <c r="F190" s="849" t="s">
        <v>1200</v>
      </c>
      <c r="G190" s="849">
        <v>878.1</v>
      </c>
      <c r="H190" s="849">
        <v>1952.77</v>
      </c>
      <c r="I190" s="849">
        <v>2884.15</v>
      </c>
      <c r="J190" s="849">
        <v>4248.05</v>
      </c>
      <c r="K190" s="849">
        <v>5530.56</v>
      </c>
      <c r="L190" s="849">
        <v>6584.61</v>
      </c>
      <c r="M190" s="849">
        <v>7613.38</v>
      </c>
      <c r="N190" s="849">
        <v>8583.16</v>
      </c>
      <c r="O190" s="849">
        <v>8741.13</v>
      </c>
      <c r="P190" s="849">
        <v>9267.1</v>
      </c>
      <c r="Q190" s="849">
        <v>9761.01</v>
      </c>
      <c r="R190" s="849">
        <v>10073.33</v>
      </c>
      <c r="S190" s="849">
        <v>887.36</v>
      </c>
      <c r="T190" s="849">
        <v>887.36</v>
      </c>
      <c r="U190" s="849">
        <v>0.0</v>
      </c>
      <c r="V190" s="849">
        <v>0.0</v>
      </c>
      <c r="W190" s="849">
        <v>0.0</v>
      </c>
      <c r="X190" s="849">
        <v>0.0</v>
      </c>
      <c r="Y190" s="849">
        <v>0.0</v>
      </c>
      <c r="Z190" s="849">
        <v>0.0</v>
      </c>
      <c r="AA190" s="849">
        <v>0.0</v>
      </c>
      <c r="AB190" s="849">
        <v>0.0</v>
      </c>
      <c r="AC190" s="849">
        <v>0.0</v>
      </c>
      <c r="AD190" s="849">
        <v>0.0</v>
      </c>
      <c r="AE190" s="849">
        <v>0.0</v>
      </c>
      <c r="AF190" s="849">
        <v>0.0</v>
      </c>
      <c r="AG190" s="849">
        <v>0.0</v>
      </c>
      <c r="AH190" s="849">
        <v>0.0</v>
      </c>
      <c r="AI190" s="849">
        <v>0.0</v>
      </c>
      <c r="AJ190" s="794" t="str">
        <f t="shared" ref="AJ190:AK190" si="377">C190</f>
        <v>G0741</v>
      </c>
      <c r="AK190" s="794" t="str">
        <f t="shared" si="377"/>
        <v>TELEPHONE-NEUFS</v>
      </c>
      <c r="AL190" s="794">
        <f t="array" ref="AL190">IFERROR(INDEX(G190:R190,1,MATCH(Parametres!$B$3,G$1:R$1,0)-1)*IF(OR(F190="L",F190="S",F190="I"),-1,1),"")</f>
        <v>8583.16</v>
      </c>
      <c r="AM190" s="794">
        <f t="shared" si="4"/>
        <v>157.97</v>
      </c>
      <c r="AN190" s="794">
        <f t="array" ref="AN190">INDEX(G190:R190,1,MATCH(Parametres!$B$3,G$1:R$1,0))*IF(OR(F190="L",F190="S",F190="I"),-1,1)</f>
        <v>8741.13</v>
      </c>
      <c r="AO190" s="853" t="str">
        <f>+VLOOKUP($AJ190,Data_Validation!$A:$D,1,0)</f>
        <v>G0741</v>
      </c>
      <c r="AP190" s="853" t="str">
        <f>+VLOOKUP($AJ190,Data_Validation!$A:$D,3,0)</f>
        <v>Véhicules neufs</v>
      </c>
      <c r="AQ190" s="853" t="str">
        <f>+VLOOKUP($AJ190,Data_Validation!$A:$D,4,0)</f>
        <v>Téléphone</v>
      </c>
      <c r="AR190" s="853" t="s">
        <v>728</v>
      </c>
      <c r="AS190" s="853" t="str">
        <f>+VLOOKUP($AJ190,Data_Validation!$A:$E,5,0)</f>
        <v/>
      </c>
      <c r="AT190" s="794" t="str">
        <f t="shared" ref="AT190:AU190" si="378">C190</f>
        <v>G0741</v>
      </c>
      <c r="AU190" s="854" t="str">
        <f t="shared" si="378"/>
        <v>TELEPHONE-NEUFS</v>
      </c>
      <c r="AV190" s="794">
        <f t="array" ref="AV190">IFERROR(INDEX(V190:AG190,1,MATCH(Parametres!$B$3,V$1:AG$1,0)-1)*IF(OR(C190="L",C190="S",C190="I"),-1,1),"")</f>
        <v>0</v>
      </c>
      <c r="AW190" s="794">
        <f t="shared" si="6"/>
        <v>0</v>
      </c>
      <c r="AX190" s="794">
        <f t="array" ref="AX190">INDEX(V190:AG190,1,MATCH(Parametres!$B$3,V$1:AG$1,0))*IF(OR(C190="L",C190="S",C190="I"),-1,1)</f>
        <v>0</v>
      </c>
      <c r="AY190" s="853" t="s">
        <v>772</v>
      </c>
      <c r="AZ190" s="853" t="str">
        <f>+VLOOKUP($AJ190,Data_Validation!$A:$E,5,0)</f>
        <v/>
      </c>
    </row>
    <row r="191" ht="15.0" customHeight="1">
      <c r="A191" s="849" t="s">
        <v>1239</v>
      </c>
      <c r="B191" s="849">
        <v>2025.0</v>
      </c>
      <c r="C191" s="849" t="s">
        <v>1688</v>
      </c>
      <c r="D191" s="849" t="s">
        <v>1689</v>
      </c>
      <c r="E191" s="849" t="s">
        <v>768</v>
      </c>
      <c r="F191" s="849" t="s">
        <v>1200</v>
      </c>
      <c r="G191" s="849">
        <v>585.4</v>
      </c>
      <c r="H191" s="849">
        <v>1301.85</v>
      </c>
      <c r="I191" s="849">
        <v>1922.76</v>
      </c>
      <c r="J191" s="849">
        <v>2832.03</v>
      </c>
      <c r="K191" s="849">
        <v>3445.38</v>
      </c>
      <c r="L191" s="849">
        <v>4118.08</v>
      </c>
      <c r="M191" s="849">
        <v>4803.93</v>
      </c>
      <c r="N191" s="849">
        <v>5450.45</v>
      </c>
      <c r="O191" s="849">
        <v>5555.76</v>
      </c>
      <c r="P191" s="849">
        <v>5906.4</v>
      </c>
      <c r="Q191" s="849">
        <v>6235.68</v>
      </c>
      <c r="R191" s="849">
        <v>6443.9</v>
      </c>
      <c r="S191" s="849">
        <v>566.88</v>
      </c>
      <c r="T191" s="849">
        <v>566.88</v>
      </c>
      <c r="U191" s="849">
        <v>0.0</v>
      </c>
      <c r="V191" s="849">
        <v>0.0</v>
      </c>
      <c r="W191" s="849">
        <v>0.0</v>
      </c>
      <c r="X191" s="849">
        <v>0.0</v>
      </c>
      <c r="Y191" s="849">
        <v>0.0</v>
      </c>
      <c r="Z191" s="849">
        <v>0.0</v>
      </c>
      <c r="AA191" s="849">
        <v>0.0</v>
      </c>
      <c r="AB191" s="849">
        <v>0.0</v>
      </c>
      <c r="AC191" s="849">
        <v>0.0</v>
      </c>
      <c r="AD191" s="849">
        <v>0.0</v>
      </c>
      <c r="AE191" s="849">
        <v>0.0</v>
      </c>
      <c r="AF191" s="849">
        <v>0.0</v>
      </c>
      <c r="AG191" s="849">
        <v>0.0</v>
      </c>
      <c r="AH191" s="849">
        <v>0.0</v>
      </c>
      <c r="AI191" s="849">
        <v>0.0</v>
      </c>
      <c r="AJ191" s="794" t="str">
        <f t="shared" ref="AJ191:AK191" si="379">C191</f>
        <v>G0742</v>
      </c>
      <c r="AK191" s="794" t="str">
        <f t="shared" si="379"/>
        <v>TELEPHONE-USAGES</v>
      </c>
      <c r="AL191" s="794">
        <f t="array" ref="AL191">IFERROR(INDEX(G191:R191,1,MATCH(Parametres!$B$3,G$1:R$1,0)-1)*IF(OR(F191="L",F191="S",F191="I"),-1,1),"")</f>
        <v>5450.45</v>
      </c>
      <c r="AM191" s="794">
        <f t="shared" si="4"/>
        <v>105.31</v>
      </c>
      <c r="AN191" s="794">
        <f t="array" ref="AN191">INDEX(G191:R191,1,MATCH(Parametres!$B$3,G$1:R$1,0))*IF(OR(F191="L",F191="S",F191="I"),-1,1)</f>
        <v>5555.76</v>
      </c>
      <c r="AO191" s="853" t="str">
        <f>+VLOOKUP($AJ191,Data_Validation!$A:$D,1,0)</f>
        <v>G0742</v>
      </c>
      <c r="AP191" s="853" t="str">
        <f>+VLOOKUP($AJ191,Data_Validation!$A:$D,3,0)</f>
        <v>Véhicules usagés</v>
      </c>
      <c r="AQ191" s="853" t="str">
        <f>+VLOOKUP($AJ191,Data_Validation!$A:$D,4,0)</f>
        <v>Téléphone</v>
      </c>
      <c r="AR191" s="853" t="s">
        <v>728</v>
      </c>
      <c r="AS191" s="853" t="str">
        <f>+VLOOKUP($AJ191,Data_Validation!$A:$E,5,0)</f>
        <v/>
      </c>
      <c r="AT191" s="794" t="str">
        <f t="shared" ref="AT191:AU191" si="380">C191</f>
        <v>G0742</v>
      </c>
      <c r="AU191" s="854" t="str">
        <f t="shared" si="380"/>
        <v>TELEPHONE-USAGES</v>
      </c>
      <c r="AV191" s="794">
        <f t="array" ref="AV191">IFERROR(INDEX(V191:AG191,1,MATCH(Parametres!$B$3,V$1:AG$1,0)-1)*IF(OR(C191="L",C191="S",C191="I"),-1,1),"")</f>
        <v>0</v>
      </c>
      <c r="AW191" s="794">
        <f t="shared" si="6"/>
        <v>0</v>
      </c>
      <c r="AX191" s="794">
        <f t="array" ref="AX191">INDEX(V191:AG191,1,MATCH(Parametres!$B$3,V$1:AG$1,0))*IF(OR(C191="L",C191="S",C191="I"),-1,1)</f>
        <v>0</v>
      </c>
      <c r="AY191" s="853" t="s">
        <v>772</v>
      </c>
      <c r="AZ191" s="853" t="str">
        <f>+VLOOKUP($AJ191,Data_Validation!$A:$E,5,0)</f>
        <v/>
      </c>
    </row>
    <row r="192" ht="15.0" customHeight="1">
      <c r="A192" s="849" t="s">
        <v>1239</v>
      </c>
      <c r="B192" s="849">
        <v>2025.0</v>
      </c>
      <c r="C192" s="849" t="s">
        <v>1690</v>
      </c>
      <c r="D192" s="849" t="s">
        <v>1691</v>
      </c>
      <c r="E192" s="849" t="s">
        <v>768</v>
      </c>
      <c r="F192" s="849" t="s">
        <v>1200</v>
      </c>
      <c r="G192" s="849">
        <v>0.0</v>
      </c>
      <c r="H192" s="849">
        <v>135.86</v>
      </c>
      <c r="I192" s="849">
        <v>135.86</v>
      </c>
      <c r="J192" s="849">
        <v>135.86</v>
      </c>
      <c r="K192" s="849">
        <v>525.91</v>
      </c>
      <c r="L192" s="849">
        <v>525.91</v>
      </c>
      <c r="M192" s="849">
        <v>525.91</v>
      </c>
      <c r="N192" s="849">
        <v>525.91</v>
      </c>
      <c r="O192" s="849">
        <v>525.91</v>
      </c>
      <c r="P192" s="849">
        <v>525.91</v>
      </c>
      <c r="Q192" s="849">
        <v>525.91</v>
      </c>
      <c r="R192" s="849">
        <v>525.91</v>
      </c>
      <c r="S192" s="849">
        <v>47.81</v>
      </c>
      <c r="T192" s="849">
        <v>47.81</v>
      </c>
      <c r="U192" s="849">
        <v>0.0</v>
      </c>
      <c r="V192" s="849">
        <v>0.0</v>
      </c>
      <c r="W192" s="849">
        <v>0.0</v>
      </c>
      <c r="X192" s="849">
        <v>0.0</v>
      </c>
      <c r="Y192" s="849">
        <v>0.0</v>
      </c>
      <c r="Z192" s="849">
        <v>0.0</v>
      </c>
      <c r="AA192" s="849">
        <v>0.0</v>
      </c>
      <c r="AB192" s="849">
        <v>0.0</v>
      </c>
      <c r="AC192" s="849">
        <v>0.0</v>
      </c>
      <c r="AD192" s="849">
        <v>0.0</v>
      </c>
      <c r="AE192" s="849">
        <v>0.0</v>
      </c>
      <c r="AF192" s="849">
        <v>0.0</v>
      </c>
      <c r="AG192" s="849">
        <v>0.0</v>
      </c>
      <c r="AH192" s="849">
        <v>0.0</v>
      </c>
      <c r="AI192" s="849">
        <v>0.0</v>
      </c>
      <c r="AJ192" s="794" t="str">
        <f t="shared" ref="AJ192:AK192" si="381">C192</f>
        <v>G0743</v>
      </c>
      <c r="AK192" s="794" t="str">
        <f t="shared" si="381"/>
        <v>TELEPHONE U.S.A</v>
      </c>
      <c r="AL192" s="794">
        <f t="array" ref="AL192">IFERROR(INDEX(G192:R192,1,MATCH(Parametres!$B$3,G$1:R$1,0)-1)*IF(OR(F192="L",F192="S",F192="I"),-1,1),"")</f>
        <v>525.91</v>
      </c>
      <c r="AM192" s="794">
        <f t="shared" si="4"/>
        <v>0</v>
      </c>
      <c r="AN192" s="794">
        <f t="array" ref="AN192">INDEX(G192:R192,1,MATCH(Parametres!$B$3,G$1:R$1,0))*IF(OR(F192="L",F192="S",F192="I"),-1,1)</f>
        <v>525.91</v>
      </c>
      <c r="AO192" s="853" t="str">
        <f>+VLOOKUP($AJ192,Data_Validation!$A:$D,1,0)</f>
        <v>G0743</v>
      </c>
      <c r="AP192" s="853" t="str">
        <f>+VLOOKUP($AJ192,Data_Validation!$A:$D,3,0)</f>
        <v>Wholesale autres</v>
      </c>
      <c r="AQ192" s="853" t="str">
        <f>+VLOOKUP($AJ192,Data_Validation!$A:$D,4,0)</f>
        <v>Téléphone</v>
      </c>
      <c r="AR192" s="853" t="s">
        <v>728</v>
      </c>
      <c r="AS192" s="853" t="str">
        <f>+VLOOKUP($AJ192,Data_Validation!$A:$E,5,0)</f>
        <v/>
      </c>
      <c r="AT192" s="794" t="str">
        <f t="shared" ref="AT192:AU192" si="382">C192</f>
        <v>G0743</v>
      </c>
      <c r="AU192" s="854" t="str">
        <f t="shared" si="382"/>
        <v>TELEPHONE U.S.A</v>
      </c>
      <c r="AV192" s="794">
        <f t="array" ref="AV192">IFERROR(INDEX(V192:AG192,1,MATCH(Parametres!$B$3,V$1:AG$1,0)-1)*IF(OR(C192="L",C192="S",C192="I"),-1,1),"")</f>
        <v>0</v>
      </c>
      <c r="AW192" s="794">
        <f t="shared" si="6"/>
        <v>0</v>
      </c>
      <c r="AX192" s="794">
        <f t="array" ref="AX192">INDEX(V192:AG192,1,MATCH(Parametres!$B$3,V$1:AG$1,0))*IF(OR(C192="L",C192="S",C192="I"),-1,1)</f>
        <v>0</v>
      </c>
      <c r="AY192" s="853" t="s">
        <v>772</v>
      </c>
      <c r="AZ192" s="853" t="str">
        <f>+VLOOKUP($AJ192,Data_Validation!$A:$E,5,0)</f>
        <v/>
      </c>
    </row>
    <row r="193" ht="15.0" customHeight="1">
      <c r="A193" s="849" t="s">
        <v>1239</v>
      </c>
      <c r="B193" s="849">
        <v>2025.0</v>
      </c>
      <c r="C193" s="849" t="s">
        <v>1692</v>
      </c>
      <c r="D193" s="849" t="s">
        <v>1693</v>
      </c>
      <c r="E193" s="849" t="s">
        <v>768</v>
      </c>
      <c r="F193" s="849" t="s">
        <v>1200</v>
      </c>
      <c r="G193" s="849">
        <v>976.5</v>
      </c>
      <c r="H193" s="849">
        <v>2106.17</v>
      </c>
      <c r="I193" s="849">
        <v>3092.55</v>
      </c>
      <c r="J193" s="849">
        <v>4572.95</v>
      </c>
      <c r="K193" s="849">
        <v>5547.96</v>
      </c>
      <c r="L193" s="849">
        <v>7032.02</v>
      </c>
      <c r="M193" s="849">
        <v>8115.79</v>
      </c>
      <c r="N193" s="849">
        <v>9140.57</v>
      </c>
      <c r="O193" s="849">
        <v>9353.54</v>
      </c>
      <c r="P193" s="849">
        <v>9962.01</v>
      </c>
      <c r="Q193" s="849">
        <v>10510.92</v>
      </c>
      <c r="R193" s="849">
        <v>10850.74</v>
      </c>
      <c r="S193" s="849">
        <v>955.54</v>
      </c>
      <c r="T193" s="849">
        <v>955.54</v>
      </c>
      <c r="U193" s="849">
        <v>0.0</v>
      </c>
      <c r="V193" s="849">
        <v>0.0</v>
      </c>
      <c r="W193" s="849">
        <v>0.0</v>
      </c>
      <c r="X193" s="849">
        <v>0.0</v>
      </c>
      <c r="Y193" s="849">
        <v>0.0</v>
      </c>
      <c r="Z193" s="849">
        <v>0.0</v>
      </c>
      <c r="AA193" s="849">
        <v>0.0</v>
      </c>
      <c r="AB193" s="849">
        <v>0.0</v>
      </c>
      <c r="AC193" s="849">
        <v>0.0</v>
      </c>
      <c r="AD193" s="849">
        <v>0.0</v>
      </c>
      <c r="AE193" s="849">
        <v>0.0</v>
      </c>
      <c r="AF193" s="849">
        <v>0.0</v>
      </c>
      <c r="AG193" s="849">
        <v>0.0</v>
      </c>
      <c r="AH193" s="849">
        <v>0.0</v>
      </c>
      <c r="AI193" s="849">
        <v>0.0</v>
      </c>
      <c r="AJ193" s="794" t="str">
        <f t="shared" ref="AJ193:AK193" si="383">C193</f>
        <v>G0744</v>
      </c>
      <c r="AK193" s="794" t="str">
        <f t="shared" si="383"/>
        <v>TELEPHONE-SERVICE</v>
      </c>
      <c r="AL193" s="794">
        <f t="array" ref="AL193">IFERROR(INDEX(G193:R193,1,MATCH(Parametres!$B$3,G$1:R$1,0)-1)*IF(OR(F193="L",F193="S",F193="I"),-1,1),"")</f>
        <v>9140.57</v>
      </c>
      <c r="AM193" s="794">
        <f t="shared" si="4"/>
        <v>212.97</v>
      </c>
      <c r="AN193" s="794">
        <f t="array" ref="AN193">INDEX(G193:R193,1,MATCH(Parametres!$B$3,G$1:R$1,0))*IF(OR(F193="L",F193="S",F193="I"),-1,1)</f>
        <v>9353.54</v>
      </c>
      <c r="AO193" s="853" t="str">
        <f>+VLOOKUP($AJ193,Data_Validation!$A:$D,1,0)</f>
        <v>G0744</v>
      </c>
      <c r="AP193" s="853" t="str">
        <f>+VLOOKUP($AJ193,Data_Validation!$A:$D,3,0)</f>
        <v>Service</v>
      </c>
      <c r="AQ193" s="853" t="str">
        <f>+VLOOKUP($AJ193,Data_Validation!$A:$D,4,0)</f>
        <v>Téléphone</v>
      </c>
      <c r="AR193" s="853" t="s">
        <v>728</v>
      </c>
      <c r="AS193" s="853" t="str">
        <f>+VLOOKUP($AJ193,Data_Validation!$A:$E,5,0)</f>
        <v/>
      </c>
      <c r="AT193" s="794" t="str">
        <f t="shared" ref="AT193:AU193" si="384">C193</f>
        <v>G0744</v>
      </c>
      <c r="AU193" s="854" t="str">
        <f t="shared" si="384"/>
        <v>TELEPHONE-SERVICE</v>
      </c>
      <c r="AV193" s="794">
        <f t="array" ref="AV193">IFERROR(INDEX(V193:AG193,1,MATCH(Parametres!$B$3,V$1:AG$1,0)-1)*IF(OR(C193="L",C193="S",C193="I"),-1,1),"")</f>
        <v>0</v>
      </c>
      <c r="AW193" s="794">
        <f t="shared" si="6"/>
        <v>0</v>
      </c>
      <c r="AX193" s="794">
        <f t="array" ref="AX193">INDEX(V193:AG193,1,MATCH(Parametres!$B$3,V$1:AG$1,0))*IF(OR(C193="L",C193="S",C193="I"),-1,1)</f>
        <v>0</v>
      </c>
      <c r="AY193" s="853" t="s">
        <v>772</v>
      </c>
      <c r="AZ193" s="853" t="str">
        <f>+VLOOKUP($AJ193,Data_Validation!$A:$E,5,0)</f>
        <v/>
      </c>
    </row>
    <row r="194" ht="15.75" customHeight="1">
      <c r="A194" s="849" t="s">
        <v>1239</v>
      </c>
      <c r="B194" s="849">
        <v>2025.0</v>
      </c>
      <c r="C194" s="849" t="s">
        <v>1694</v>
      </c>
      <c r="D194" s="849" t="s">
        <v>1695</v>
      </c>
      <c r="E194" s="849" t="s">
        <v>768</v>
      </c>
      <c r="F194" s="849" t="s">
        <v>1200</v>
      </c>
      <c r="G194" s="849">
        <v>292.7</v>
      </c>
      <c r="H194" s="849">
        <v>650.93</v>
      </c>
      <c r="I194" s="849">
        <v>961.39</v>
      </c>
      <c r="J194" s="849">
        <v>1416.03</v>
      </c>
      <c r="K194" s="849">
        <v>1722.7</v>
      </c>
      <c r="L194" s="849">
        <v>2059.06</v>
      </c>
      <c r="M194" s="849">
        <v>2401.98</v>
      </c>
      <c r="N194" s="849">
        <v>2725.23</v>
      </c>
      <c r="O194" s="849">
        <v>2777.89</v>
      </c>
      <c r="P194" s="849">
        <v>2953.22</v>
      </c>
      <c r="Q194" s="849">
        <v>3117.86</v>
      </c>
      <c r="R194" s="849">
        <v>3221.96</v>
      </c>
      <c r="S194" s="849">
        <v>283.44</v>
      </c>
      <c r="T194" s="849">
        <v>283.44</v>
      </c>
      <c r="U194" s="849">
        <v>0.0</v>
      </c>
      <c r="V194" s="849">
        <v>0.0</v>
      </c>
      <c r="W194" s="849">
        <v>0.0</v>
      </c>
      <c r="X194" s="849">
        <v>0.0</v>
      </c>
      <c r="Y194" s="849">
        <v>0.0</v>
      </c>
      <c r="Z194" s="849">
        <v>0.0</v>
      </c>
      <c r="AA194" s="849">
        <v>0.0</v>
      </c>
      <c r="AB194" s="849">
        <v>0.0</v>
      </c>
      <c r="AC194" s="849">
        <v>0.0</v>
      </c>
      <c r="AD194" s="849">
        <v>0.0</v>
      </c>
      <c r="AE194" s="849">
        <v>0.0</v>
      </c>
      <c r="AF194" s="849">
        <v>0.0</v>
      </c>
      <c r="AG194" s="849">
        <v>0.0</v>
      </c>
      <c r="AH194" s="849">
        <v>0.0</v>
      </c>
      <c r="AI194" s="849">
        <v>0.0</v>
      </c>
      <c r="AJ194" s="794" t="str">
        <f t="shared" ref="AJ194:AK194" si="385">C194</f>
        <v>G0745</v>
      </c>
      <c r="AK194" s="794" t="str">
        <f t="shared" si="385"/>
        <v>TELEPHONE-CARROSSERIE</v>
      </c>
      <c r="AL194" s="794">
        <f t="array" ref="AL194">IFERROR(INDEX(G194:R194,1,MATCH(Parametres!$B$3,G$1:R$1,0)-1)*IF(OR(F194="L",F194="S",F194="I"),-1,1),"")</f>
        <v>2725.23</v>
      </c>
      <c r="AM194" s="794">
        <f t="shared" si="4"/>
        <v>52.66</v>
      </c>
      <c r="AN194" s="794">
        <f t="array" ref="AN194">INDEX(G194:R194,1,MATCH(Parametres!$B$3,G$1:R$1,0))*IF(OR(F194="L",F194="S",F194="I"),-1,1)</f>
        <v>2777.89</v>
      </c>
      <c r="AO194" s="853" t="str">
        <f>+VLOOKUP($AJ194,Data_Validation!$A:$D,1,0)</f>
        <v>G0745</v>
      </c>
      <c r="AP194" s="853" t="str">
        <f>+VLOOKUP($AJ194,Data_Validation!$A:$D,3,0)</f>
        <v>Carrosserie</v>
      </c>
      <c r="AQ194" s="853" t="str">
        <f>+VLOOKUP($AJ194,Data_Validation!$A:$D,4,0)</f>
        <v>Téléphone</v>
      </c>
      <c r="AR194" s="853" t="s">
        <v>728</v>
      </c>
      <c r="AS194" s="853" t="str">
        <f>+VLOOKUP($AJ194,Data_Validation!$A:$E,5,0)</f>
        <v/>
      </c>
      <c r="AT194" s="794" t="str">
        <f t="shared" ref="AT194:AU194" si="386">C194</f>
        <v>G0745</v>
      </c>
      <c r="AU194" s="854" t="str">
        <f t="shared" si="386"/>
        <v>TELEPHONE-CARROSSERIE</v>
      </c>
      <c r="AV194" s="794">
        <f t="array" ref="AV194">IFERROR(INDEX(V194:AG194,1,MATCH(Parametres!$B$3,V$1:AG$1,0)-1)*IF(OR(C194="L",C194="S",C194="I"),-1,1),"")</f>
        <v>0</v>
      </c>
      <c r="AW194" s="794">
        <f t="shared" si="6"/>
        <v>0</v>
      </c>
      <c r="AX194" s="794">
        <f t="array" ref="AX194">INDEX(V194:AG194,1,MATCH(Parametres!$B$3,V$1:AG$1,0))*IF(OR(C194="L",C194="S",C194="I"),-1,1)</f>
        <v>0</v>
      </c>
      <c r="AY194" s="853" t="s">
        <v>772</v>
      </c>
      <c r="AZ194" s="853" t="str">
        <f>+VLOOKUP($AJ194,Data_Validation!$A:$E,5,0)</f>
        <v/>
      </c>
    </row>
    <row r="195" ht="15.0" customHeight="1">
      <c r="A195" s="849" t="s">
        <v>1239</v>
      </c>
      <c r="B195" s="849">
        <v>2025.0</v>
      </c>
      <c r="C195" s="849" t="s">
        <v>1696</v>
      </c>
      <c r="D195" s="849" t="s">
        <v>1697</v>
      </c>
      <c r="E195" s="849" t="s">
        <v>768</v>
      </c>
      <c r="F195" s="849" t="s">
        <v>1200</v>
      </c>
      <c r="G195" s="849">
        <v>292.67</v>
      </c>
      <c r="H195" s="849">
        <v>720.9</v>
      </c>
      <c r="I195" s="849">
        <v>1031.36</v>
      </c>
      <c r="J195" s="849">
        <v>1485.98</v>
      </c>
      <c r="K195" s="849">
        <v>1792.66</v>
      </c>
      <c r="L195" s="849">
        <v>2128.99</v>
      </c>
      <c r="M195" s="849">
        <v>2471.9</v>
      </c>
      <c r="N195" s="849">
        <v>2795.17</v>
      </c>
      <c r="O195" s="849">
        <v>2847.81</v>
      </c>
      <c r="P195" s="849">
        <v>3023.13</v>
      </c>
      <c r="Q195" s="849">
        <v>3187.77</v>
      </c>
      <c r="R195" s="849">
        <v>3291.93</v>
      </c>
      <c r="S195" s="849">
        <v>289.8</v>
      </c>
      <c r="T195" s="849">
        <v>289.8</v>
      </c>
      <c r="U195" s="849">
        <v>0.0</v>
      </c>
      <c r="V195" s="849">
        <v>0.0</v>
      </c>
      <c r="W195" s="849">
        <v>0.0</v>
      </c>
      <c r="X195" s="849">
        <v>0.0</v>
      </c>
      <c r="Y195" s="849">
        <v>0.0</v>
      </c>
      <c r="Z195" s="849">
        <v>0.0</v>
      </c>
      <c r="AA195" s="849">
        <v>0.0</v>
      </c>
      <c r="AB195" s="849">
        <v>0.0</v>
      </c>
      <c r="AC195" s="849">
        <v>0.0</v>
      </c>
      <c r="AD195" s="849">
        <v>0.0</v>
      </c>
      <c r="AE195" s="849">
        <v>0.0</v>
      </c>
      <c r="AF195" s="849">
        <v>0.0</v>
      </c>
      <c r="AG195" s="849">
        <v>0.0</v>
      </c>
      <c r="AH195" s="849">
        <v>0.0</v>
      </c>
      <c r="AI195" s="849">
        <v>0.0</v>
      </c>
      <c r="AJ195" s="794" t="str">
        <f t="shared" ref="AJ195:AK195" si="387">C195</f>
        <v>G0746</v>
      </c>
      <c r="AK195" s="794" t="str">
        <f t="shared" si="387"/>
        <v>TELEPHONE-PIECES</v>
      </c>
      <c r="AL195" s="794">
        <f t="array" ref="AL195">IFERROR(INDEX(G195:R195,1,MATCH(Parametres!$B$3,G$1:R$1,0)-1)*IF(OR(F195="L",F195="S",F195="I"),-1,1),"")</f>
        <v>2795.17</v>
      </c>
      <c r="AM195" s="794">
        <f t="shared" si="4"/>
        <v>52.64</v>
      </c>
      <c r="AN195" s="794">
        <f t="array" ref="AN195">INDEX(G195:R195,1,MATCH(Parametres!$B$3,G$1:R$1,0))*IF(OR(F195="L",F195="S",F195="I"),-1,1)</f>
        <v>2847.81</v>
      </c>
      <c r="AO195" s="853" t="str">
        <f>+VLOOKUP($AJ195,Data_Validation!$A:$D,1,0)</f>
        <v>G0746</v>
      </c>
      <c r="AP195" s="853" t="str">
        <f>+VLOOKUP($AJ195,Data_Validation!$A:$D,3,0)</f>
        <v>Pièces</v>
      </c>
      <c r="AQ195" s="853" t="str">
        <f>+VLOOKUP($AJ195,Data_Validation!$A:$D,4,0)</f>
        <v>Téléphone</v>
      </c>
      <c r="AR195" s="853" t="s">
        <v>728</v>
      </c>
      <c r="AS195" s="853" t="str">
        <f>+VLOOKUP($AJ195,Data_Validation!$A:$E,5,0)</f>
        <v/>
      </c>
      <c r="AT195" s="794" t="str">
        <f t="shared" ref="AT195:AU195" si="388">C195</f>
        <v>G0746</v>
      </c>
      <c r="AU195" s="854" t="str">
        <f t="shared" si="388"/>
        <v>TELEPHONE-PIECES</v>
      </c>
      <c r="AV195" s="794">
        <f t="array" ref="AV195">IFERROR(INDEX(V195:AG195,1,MATCH(Parametres!$B$3,V$1:AG$1,0)-1)*IF(OR(C195="L",C195="S",C195="I"),-1,1),"")</f>
        <v>0</v>
      </c>
      <c r="AW195" s="794">
        <f t="shared" si="6"/>
        <v>0</v>
      </c>
      <c r="AX195" s="794">
        <f t="array" ref="AX195">INDEX(V195:AG195,1,MATCH(Parametres!$B$3,V$1:AG$1,0))*IF(OR(C195="L",C195="S",C195="I"),-1,1)</f>
        <v>0</v>
      </c>
      <c r="AY195" s="853" t="s">
        <v>772</v>
      </c>
      <c r="AZ195" s="853" t="str">
        <f>+VLOOKUP($AJ195,Data_Validation!$A:$E,5,0)</f>
        <v/>
      </c>
    </row>
    <row r="196" ht="15.0" customHeight="1">
      <c r="A196" s="849" t="s">
        <v>1239</v>
      </c>
      <c r="B196" s="849">
        <v>2025.0</v>
      </c>
      <c r="C196" s="849" t="s">
        <v>1698</v>
      </c>
      <c r="D196" s="849" t="s">
        <v>1699</v>
      </c>
      <c r="E196" s="849" t="s">
        <v>768</v>
      </c>
      <c r="F196" s="849" t="s">
        <v>1200</v>
      </c>
      <c r="G196" s="849">
        <v>0.0</v>
      </c>
      <c r="H196" s="849">
        <v>0.0</v>
      </c>
      <c r="I196" s="849">
        <v>0.0</v>
      </c>
      <c r="J196" s="849">
        <v>0.0</v>
      </c>
      <c r="K196" s="849">
        <v>0.0</v>
      </c>
      <c r="L196" s="849">
        <v>0.0</v>
      </c>
      <c r="M196" s="849">
        <v>0.0</v>
      </c>
      <c r="N196" s="849">
        <v>0.0</v>
      </c>
      <c r="O196" s="849">
        <v>0.0</v>
      </c>
      <c r="P196" s="849">
        <v>0.0</v>
      </c>
      <c r="Q196" s="849">
        <v>0.0</v>
      </c>
      <c r="R196" s="849">
        <v>0.0</v>
      </c>
      <c r="S196" s="849">
        <v>0.0</v>
      </c>
      <c r="T196" s="849">
        <v>0.0</v>
      </c>
      <c r="U196" s="849">
        <v>0.0</v>
      </c>
      <c r="V196" s="849">
        <v>0.0</v>
      </c>
      <c r="W196" s="849">
        <v>0.0</v>
      </c>
      <c r="X196" s="849">
        <v>0.0</v>
      </c>
      <c r="Y196" s="849">
        <v>0.0</v>
      </c>
      <c r="Z196" s="849">
        <v>0.0</v>
      </c>
      <c r="AA196" s="849">
        <v>0.0</v>
      </c>
      <c r="AB196" s="849">
        <v>0.0</v>
      </c>
      <c r="AC196" s="849">
        <v>0.0</v>
      </c>
      <c r="AD196" s="849">
        <v>0.0</v>
      </c>
      <c r="AE196" s="849">
        <v>0.0</v>
      </c>
      <c r="AF196" s="849">
        <v>0.0</v>
      </c>
      <c r="AG196" s="849">
        <v>0.0</v>
      </c>
      <c r="AH196" s="849">
        <v>0.0</v>
      </c>
      <c r="AI196" s="849">
        <v>0.0</v>
      </c>
      <c r="AJ196" s="794" t="str">
        <f t="shared" ref="AJ196:AK196" si="389">C196</f>
        <v>G0750</v>
      </c>
      <c r="AK196" s="794" t="str">
        <f t="shared" si="389"/>
        <v>FORMATION REP</v>
      </c>
      <c r="AL196" s="794">
        <f t="array" ref="AL196">IFERROR(INDEX(G196:R196,1,MATCH(Parametres!$B$3,G$1:R$1,0)-1)*IF(OR(F196="L",F196="S",F196="I"),-1,1),"")</f>
        <v>0</v>
      </c>
      <c r="AM196" s="794">
        <f t="shared" si="4"/>
        <v>0</v>
      </c>
      <c r="AN196" s="794">
        <f t="array" ref="AN196">INDEX(G196:R196,1,MATCH(Parametres!$B$3,G$1:R$1,0))*IF(OR(F196="L",F196="S",F196="I"),-1,1)</f>
        <v>0</v>
      </c>
      <c r="AO196" s="853" t="str">
        <f>+VLOOKUP($AJ196,Data_Validation!$A:$D,1,0)</f>
        <v>#N/A</v>
      </c>
      <c r="AP196" s="853" t="str">
        <f>+VLOOKUP($AJ196,Data_Validation!$A:$D,3,0)</f>
        <v>#N/A</v>
      </c>
      <c r="AQ196" s="853" t="str">
        <f>+VLOOKUP($AJ196,Data_Validation!$A:$D,4,0)</f>
        <v>#N/A</v>
      </c>
      <c r="AR196" s="853" t="s">
        <v>728</v>
      </c>
      <c r="AS196" s="853" t="str">
        <f>+VLOOKUP($AJ196,Data_Validation!$A:$E,5,0)</f>
        <v>#N/A</v>
      </c>
      <c r="AT196" s="794" t="str">
        <f t="shared" ref="AT196:AU196" si="390">C196</f>
        <v>G0750</v>
      </c>
      <c r="AU196" s="854" t="str">
        <f t="shared" si="390"/>
        <v>FORMATION REP</v>
      </c>
      <c r="AV196" s="794">
        <f t="array" ref="AV196">IFERROR(INDEX(V196:AG196,1,MATCH(Parametres!$B$3,V$1:AG$1,0)-1)*IF(OR(C196="L",C196="S",C196="I"),-1,1),"")</f>
        <v>0</v>
      </c>
      <c r="AW196" s="794">
        <f t="shared" si="6"/>
        <v>0</v>
      </c>
      <c r="AX196" s="794">
        <f t="array" ref="AX196">INDEX(V196:AG196,1,MATCH(Parametres!$B$3,V$1:AG$1,0))*IF(OR(C196="L",C196="S",C196="I"),-1,1)</f>
        <v>0</v>
      </c>
      <c r="AY196" s="853" t="s">
        <v>772</v>
      </c>
      <c r="AZ196" s="853" t="str">
        <f>+VLOOKUP($AJ196,Data_Validation!$A:$E,5,0)</f>
        <v>#N/A</v>
      </c>
    </row>
    <row r="197" ht="15.0" customHeight="1">
      <c r="A197" s="849" t="s">
        <v>1239</v>
      </c>
      <c r="B197" s="849">
        <v>2025.0</v>
      </c>
      <c r="C197" s="849" t="s">
        <v>1700</v>
      </c>
      <c r="D197" s="849" t="s">
        <v>1701</v>
      </c>
      <c r="E197" s="849" t="s">
        <v>768</v>
      </c>
      <c r="F197" s="849" t="s">
        <v>1200</v>
      </c>
      <c r="G197" s="849">
        <v>525.0</v>
      </c>
      <c r="H197" s="849">
        <v>1095.0</v>
      </c>
      <c r="I197" s="849">
        <v>2421.0</v>
      </c>
      <c r="J197" s="849">
        <v>3086.0</v>
      </c>
      <c r="K197" s="849">
        <v>3751.0</v>
      </c>
      <c r="L197" s="849">
        <v>4416.03</v>
      </c>
      <c r="M197" s="849">
        <v>5081.03</v>
      </c>
      <c r="N197" s="849">
        <v>5746.03</v>
      </c>
      <c r="O197" s="849">
        <v>6711.03</v>
      </c>
      <c r="P197" s="849">
        <v>7376.03</v>
      </c>
      <c r="Q197" s="849">
        <v>8041.03</v>
      </c>
      <c r="R197" s="849">
        <v>8801.03</v>
      </c>
      <c r="S197" s="849">
        <v>731.0</v>
      </c>
      <c r="T197" s="849">
        <v>731.0</v>
      </c>
      <c r="U197" s="849">
        <v>0.0</v>
      </c>
      <c r="V197" s="849">
        <v>0.0</v>
      </c>
      <c r="W197" s="849">
        <v>0.0</v>
      </c>
      <c r="X197" s="849">
        <v>0.0</v>
      </c>
      <c r="Y197" s="849">
        <v>0.0</v>
      </c>
      <c r="Z197" s="849">
        <v>0.0</v>
      </c>
      <c r="AA197" s="849">
        <v>0.0</v>
      </c>
      <c r="AB197" s="849">
        <v>0.0</v>
      </c>
      <c r="AC197" s="849">
        <v>0.0</v>
      </c>
      <c r="AD197" s="849">
        <v>0.0</v>
      </c>
      <c r="AE197" s="849">
        <v>0.0</v>
      </c>
      <c r="AF197" s="849">
        <v>0.0</v>
      </c>
      <c r="AG197" s="849">
        <v>0.0</v>
      </c>
      <c r="AH197" s="849">
        <v>0.0</v>
      </c>
      <c r="AI197" s="849">
        <v>0.0</v>
      </c>
      <c r="AJ197" s="794" t="str">
        <f t="shared" ref="AJ197:AK197" si="391">C197</f>
        <v>G0751</v>
      </c>
      <c r="AK197" s="794" t="str">
        <f t="shared" si="391"/>
        <v>FORMATION-NEUFS</v>
      </c>
      <c r="AL197" s="794">
        <f t="array" ref="AL197">IFERROR(INDEX(G197:R197,1,MATCH(Parametres!$B$3,G$1:R$1,0)-1)*IF(OR(F197="L",F197="S",F197="I"),-1,1),"")</f>
        <v>5746.03</v>
      </c>
      <c r="AM197" s="794">
        <f t="shared" si="4"/>
        <v>965</v>
      </c>
      <c r="AN197" s="794">
        <f t="array" ref="AN197">INDEX(G197:R197,1,MATCH(Parametres!$B$3,G$1:R$1,0))*IF(OR(F197="L",F197="S",F197="I"),-1,1)</f>
        <v>6711.03</v>
      </c>
      <c r="AO197" s="853" t="str">
        <f>+VLOOKUP($AJ197,Data_Validation!$A:$D,1,0)</f>
        <v>G0751</v>
      </c>
      <c r="AP197" s="853" t="str">
        <f>+VLOOKUP($AJ197,Data_Validation!$A:$D,3,0)</f>
        <v>Véhicules neufs</v>
      </c>
      <c r="AQ197" s="853" t="str">
        <f>+VLOOKUP($AJ197,Data_Validation!$A:$D,4,0)</f>
        <v>Formation</v>
      </c>
      <c r="AR197" s="853" t="s">
        <v>728</v>
      </c>
      <c r="AS197" s="853" t="str">
        <f>+VLOOKUP($AJ197,Data_Validation!$A:$E,5,0)</f>
        <v/>
      </c>
      <c r="AT197" s="794" t="str">
        <f t="shared" ref="AT197:AU197" si="392">C197</f>
        <v>G0751</v>
      </c>
      <c r="AU197" s="854" t="str">
        <f t="shared" si="392"/>
        <v>FORMATION-NEUFS</v>
      </c>
      <c r="AV197" s="794">
        <f t="array" ref="AV197">IFERROR(INDEX(V197:AG197,1,MATCH(Parametres!$B$3,V$1:AG$1,0)-1)*IF(OR(C197="L",C197="S",C197="I"),-1,1),"")</f>
        <v>0</v>
      </c>
      <c r="AW197" s="794">
        <f t="shared" si="6"/>
        <v>0</v>
      </c>
      <c r="AX197" s="794">
        <f t="array" ref="AX197">INDEX(V197:AG197,1,MATCH(Parametres!$B$3,V$1:AG$1,0))*IF(OR(C197="L",C197="S",C197="I"),-1,1)</f>
        <v>0</v>
      </c>
      <c r="AY197" s="853" t="s">
        <v>772</v>
      </c>
      <c r="AZ197" s="853" t="str">
        <f>+VLOOKUP($AJ197,Data_Validation!$A:$E,5,0)</f>
        <v/>
      </c>
    </row>
    <row r="198" ht="15.0" customHeight="1">
      <c r="A198" s="849" t="s">
        <v>1239</v>
      </c>
      <c r="B198" s="849">
        <v>2025.0</v>
      </c>
      <c r="C198" s="849" t="s">
        <v>1702</v>
      </c>
      <c r="D198" s="849" t="s">
        <v>1703</v>
      </c>
      <c r="E198" s="849" t="s">
        <v>768</v>
      </c>
      <c r="F198" s="849" t="s">
        <v>1200</v>
      </c>
      <c r="G198" s="849">
        <v>0.0</v>
      </c>
      <c r="H198" s="849">
        <v>0.0</v>
      </c>
      <c r="I198" s="849">
        <v>464.0</v>
      </c>
      <c r="J198" s="849">
        <v>464.0</v>
      </c>
      <c r="K198" s="849">
        <v>464.0</v>
      </c>
      <c r="L198" s="849">
        <v>464.0</v>
      </c>
      <c r="M198" s="849">
        <v>464.0</v>
      </c>
      <c r="N198" s="849">
        <v>464.0</v>
      </c>
      <c r="O198" s="849">
        <v>464.0</v>
      </c>
      <c r="P198" s="849">
        <v>464.0</v>
      </c>
      <c r="Q198" s="849">
        <v>464.0</v>
      </c>
      <c r="R198" s="849">
        <v>464.0</v>
      </c>
      <c r="S198" s="849">
        <v>42.18</v>
      </c>
      <c r="T198" s="849">
        <v>42.18</v>
      </c>
      <c r="U198" s="849">
        <v>0.0</v>
      </c>
      <c r="V198" s="849">
        <v>0.0</v>
      </c>
      <c r="W198" s="849">
        <v>0.0</v>
      </c>
      <c r="X198" s="849">
        <v>0.0</v>
      </c>
      <c r="Y198" s="849">
        <v>0.0</v>
      </c>
      <c r="Z198" s="849">
        <v>0.0</v>
      </c>
      <c r="AA198" s="849">
        <v>0.0</v>
      </c>
      <c r="AB198" s="849">
        <v>0.0</v>
      </c>
      <c r="AC198" s="849">
        <v>0.0</v>
      </c>
      <c r="AD198" s="849">
        <v>0.0</v>
      </c>
      <c r="AE198" s="849">
        <v>0.0</v>
      </c>
      <c r="AF198" s="849">
        <v>0.0</v>
      </c>
      <c r="AG198" s="849">
        <v>0.0</v>
      </c>
      <c r="AH198" s="849">
        <v>0.0</v>
      </c>
      <c r="AI198" s="849">
        <v>0.0</v>
      </c>
      <c r="AJ198" s="794" t="str">
        <f t="shared" ref="AJ198:AK198" si="393">C198</f>
        <v>G0752</v>
      </c>
      <c r="AK198" s="794" t="str">
        <f t="shared" si="393"/>
        <v>FORMATION-USAGES</v>
      </c>
      <c r="AL198" s="794">
        <f t="array" ref="AL198">IFERROR(INDEX(G198:R198,1,MATCH(Parametres!$B$3,G$1:R$1,0)-1)*IF(OR(F198="L",F198="S",F198="I"),-1,1),"")</f>
        <v>464</v>
      </c>
      <c r="AM198" s="794">
        <f t="shared" si="4"/>
        <v>0</v>
      </c>
      <c r="AN198" s="794">
        <f t="array" ref="AN198">INDEX(G198:R198,1,MATCH(Parametres!$B$3,G$1:R$1,0))*IF(OR(F198="L",F198="S",F198="I"),-1,1)</f>
        <v>464</v>
      </c>
      <c r="AO198" s="853" t="str">
        <f>+VLOOKUP($AJ198,Data_Validation!$A:$D,1,0)</f>
        <v>G0752</v>
      </c>
      <c r="AP198" s="853" t="str">
        <f>+VLOOKUP($AJ198,Data_Validation!$A:$D,3,0)</f>
        <v>Véhicules usagés</v>
      </c>
      <c r="AQ198" s="853" t="str">
        <f>+VLOOKUP($AJ198,Data_Validation!$A:$D,4,0)</f>
        <v>Formation</v>
      </c>
      <c r="AR198" s="853" t="s">
        <v>728</v>
      </c>
      <c r="AS198" s="853" t="str">
        <f>+VLOOKUP($AJ198,Data_Validation!$A:$E,5,0)</f>
        <v/>
      </c>
      <c r="AT198" s="794" t="str">
        <f t="shared" ref="AT198:AU198" si="394">C198</f>
        <v>G0752</v>
      </c>
      <c r="AU198" s="854" t="str">
        <f t="shared" si="394"/>
        <v>FORMATION-USAGES</v>
      </c>
      <c r="AV198" s="794">
        <f t="array" ref="AV198">IFERROR(INDEX(V198:AG198,1,MATCH(Parametres!$B$3,V$1:AG$1,0)-1)*IF(OR(C198="L",C198="S",C198="I"),-1,1),"")</f>
        <v>0</v>
      </c>
      <c r="AW198" s="794">
        <f t="shared" si="6"/>
        <v>0</v>
      </c>
      <c r="AX198" s="794">
        <f t="array" ref="AX198">INDEX(V198:AG198,1,MATCH(Parametres!$B$3,V$1:AG$1,0))*IF(OR(C198="L",C198="S",C198="I"),-1,1)</f>
        <v>0</v>
      </c>
      <c r="AY198" s="853" t="s">
        <v>772</v>
      </c>
      <c r="AZ198" s="853" t="str">
        <f>+VLOOKUP($AJ198,Data_Validation!$A:$E,5,0)</f>
        <v/>
      </c>
    </row>
    <row r="199" ht="15.75" customHeight="1">
      <c r="A199" s="849" t="s">
        <v>1239</v>
      </c>
      <c r="B199" s="849">
        <v>2025.0</v>
      </c>
      <c r="C199" s="849" t="s">
        <v>1704</v>
      </c>
      <c r="D199" s="849" t="s">
        <v>1705</v>
      </c>
      <c r="E199" s="849" t="s">
        <v>768</v>
      </c>
      <c r="F199" s="849" t="s">
        <v>1200</v>
      </c>
      <c r="G199" s="849">
        <v>0.0</v>
      </c>
      <c r="H199" s="849">
        <v>0.0</v>
      </c>
      <c r="I199" s="849">
        <v>0.0</v>
      </c>
      <c r="J199" s="849">
        <v>0.0</v>
      </c>
      <c r="K199" s="849">
        <v>0.0</v>
      </c>
      <c r="L199" s="849">
        <v>0.0</v>
      </c>
      <c r="M199" s="849">
        <v>0.0</v>
      </c>
      <c r="N199" s="849">
        <v>0.0</v>
      </c>
      <c r="O199" s="849">
        <v>0.0</v>
      </c>
      <c r="P199" s="849">
        <v>0.0</v>
      </c>
      <c r="Q199" s="849">
        <v>0.0</v>
      </c>
      <c r="R199" s="849">
        <v>0.0</v>
      </c>
      <c r="S199" s="849">
        <v>0.0</v>
      </c>
      <c r="T199" s="849">
        <v>0.0</v>
      </c>
      <c r="U199" s="849">
        <v>0.0</v>
      </c>
      <c r="V199" s="849">
        <v>0.0</v>
      </c>
      <c r="W199" s="849">
        <v>0.0</v>
      </c>
      <c r="X199" s="849">
        <v>0.0</v>
      </c>
      <c r="Y199" s="849">
        <v>0.0</v>
      </c>
      <c r="Z199" s="849">
        <v>0.0</v>
      </c>
      <c r="AA199" s="849">
        <v>0.0</v>
      </c>
      <c r="AB199" s="849">
        <v>0.0</v>
      </c>
      <c r="AC199" s="849">
        <v>0.0</v>
      </c>
      <c r="AD199" s="849">
        <v>0.0</v>
      </c>
      <c r="AE199" s="849">
        <v>0.0</v>
      </c>
      <c r="AF199" s="849">
        <v>0.0</v>
      </c>
      <c r="AG199" s="849">
        <v>0.0</v>
      </c>
      <c r="AH199" s="849">
        <v>0.0</v>
      </c>
      <c r="AI199" s="849">
        <v>0.0</v>
      </c>
      <c r="AJ199" s="794" t="str">
        <f t="shared" ref="AJ199:AK199" si="395">C199</f>
        <v>G0753</v>
      </c>
      <c r="AK199" s="794" t="str">
        <f t="shared" si="395"/>
        <v>FORMATION U.S.A.</v>
      </c>
      <c r="AL199" s="794">
        <f t="array" ref="AL199">IFERROR(INDEX(G199:R199,1,MATCH(Parametres!$B$3,G$1:R$1,0)-1)*IF(OR(F199="L",F199="S",F199="I"),-1,1),"")</f>
        <v>0</v>
      </c>
      <c r="AM199" s="794">
        <f t="shared" si="4"/>
        <v>0</v>
      </c>
      <c r="AN199" s="794">
        <f t="array" ref="AN199">INDEX(G199:R199,1,MATCH(Parametres!$B$3,G$1:R$1,0))*IF(OR(F199="L",F199="S",F199="I"),-1,1)</f>
        <v>0</v>
      </c>
      <c r="AO199" s="853" t="str">
        <f>+VLOOKUP($AJ199,Data_Validation!$A:$D,1,0)</f>
        <v>G0753</v>
      </c>
      <c r="AP199" s="853" t="str">
        <f>+VLOOKUP($AJ199,Data_Validation!$A:$D,3,0)</f>
        <v>Wholesale autres</v>
      </c>
      <c r="AQ199" s="853" t="str">
        <f>+VLOOKUP($AJ199,Data_Validation!$A:$D,4,0)</f>
        <v>Formation</v>
      </c>
      <c r="AR199" s="853" t="s">
        <v>728</v>
      </c>
      <c r="AS199" s="853" t="str">
        <f>+VLOOKUP($AJ199,Data_Validation!$A:$E,5,0)</f>
        <v/>
      </c>
      <c r="AT199" s="794" t="str">
        <f t="shared" ref="AT199:AU199" si="396">C199</f>
        <v>G0753</v>
      </c>
      <c r="AU199" s="854" t="str">
        <f t="shared" si="396"/>
        <v>FORMATION U.S.A.</v>
      </c>
      <c r="AV199" s="794">
        <f t="array" ref="AV199">IFERROR(INDEX(V199:AG199,1,MATCH(Parametres!$B$3,V$1:AG$1,0)-1)*IF(OR(C199="L",C199="S",C199="I"),-1,1),"")</f>
        <v>0</v>
      </c>
      <c r="AW199" s="794">
        <f t="shared" si="6"/>
        <v>0</v>
      </c>
      <c r="AX199" s="794">
        <f t="array" ref="AX199">INDEX(V199:AG199,1,MATCH(Parametres!$B$3,V$1:AG$1,0))*IF(OR(C199="L",C199="S",C199="I"),-1,1)</f>
        <v>0</v>
      </c>
      <c r="AY199" s="853" t="s">
        <v>772</v>
      </c>
      <c r="AZ199" s="853" t="str">
        <f>+VLOOKUP($AJ199,Data_Validation!$A:$E,5,0)</f>
        <v/>
      </c>
    </row>
    <row r="200" ht="15.0" customHeight="1">
      <c r="A200" s="849" t="s">
        <v>1239</v>
      </c>
      <c r="B200" s="849">
        <v>2025.0</v>
      </c>
      <c r="C200" s="849" t="s">
        <v>1706</v>
      </c>
      <c r="D200" s="849" t="s">
        <v>1707</v>
      </c>
      <c r="E200" s="849" t="s">
        <v>768</v>
      </c>
      <c r="F200" s="849" t="s">
        <v>1200</v>
      </c>
      <c r="G200" s="849">
        <v>1889.48</v>
      </c>
      <c r="H200" s="849">
        <v>5120.55</v>
      </c>
      <c r="I200" s="849">
        <v>7342.67</v>
      </c>
      <c r="J200" s="849">
        <v>8686.45</v>
      </c>
      <c r="K200" s="849">
        <v>10746.83</v>
      </c>
      <c r="L200" s="849">
        <v>14434.13</v>
      </c>
      <c r="M200" s="849">
        <v>15727.73</v>
      </c>
      <c r="N200" s="849">
        <v>16428.32</v>
      </c>
      <c r="O200" s="849">
        <v>21332.08</v>
      </c>
      <c r="P200" s="849">
        <v>27783.93</v>
      </c>
      <c r="Q200" s="849">
        <v>31330.24</v>
      </c>
      <c r="R200" s="849">
        <v>33682.04</v>
      </c>
      <c r="S200" s="849">
        <v>2848.2</v>
      </c>
      <c r="T200" s="849">
        <v>2848.2</v>
      </c>
      <c r="U200" s="849">
        <v>0.0</v>
      </c>
      <c r="V200" s="849">
        <v>0.0</v>
      </c>
      <c r="W200" s="849">
        <v>0.0</v>
      </c>
      <c r="X200" s="849">
        <v>0.0</v>
      </c>
      <c r="Y200" s="849">
        <v>0.0</v>
      </c>
      <c r="Z200" s="849">
        <v>0.0</v>
      </c>
      <c r="AA200" s="849">
        <v>0.0</v>
      </c>
      <c r="AB200" s="849">
        <v>0.0</v>
      </c>
      <c r="AC200" s="849">
        <v>0.0</v>
      </c>
      <c r="AD200" s="849">
        <v>0.0</v>
      </c>
      <c r="AE200" s="849">
        <v>0.0</v>
      </c>
      <c r="AF200" s="849">
        <v>0.0</v>
      </c>
      <c r="AG200" s="849">
        <v>0.0</v>
      </c>
      <c r="AH200" s="849">
        <v>0.0</v>
      </c>
      <c r="AI200" s="849">
        <v>0.0</v>
      </c>
      <c r="AJ200" s="794" t="str">
        <f t="shared" ref="AJ200:AK200" si="397">C200</f>
        <v>G0754</v>
      </c>
      <c r="AK200" s="794" t="str">
        <f t="shared" si="397"/>
        <v>FORMATION-SERVICE</v>
      </c>
      <c r="AL200" s="794">
        <f t="array" ref="AL200">IFERROR(INDEX(G200:R200,1,MATCH(Parametres!$B$3,G$1:R$1,0)-1)*IF(OR(F200="L",F200="S",F200="I"),-1,1),"")</f>
        <v>16428.32</v>
      </c>
      <c r="AM200" s="794">
        <f t="shared" si="4"/>
        <v>4903.76</v>
      </c>
      <c r="AN200" s="794">
        <f t="array" ref="AN200">INDEX(G200:R200,1,MATCH(Parametres!$B$3,G$1:R$1,0))*IF(OR(F200="L",F200="S",F200="I"),-1,1)</f>
        <v>21332.08</v>
      </c>
      <c r="AO200" s="853" t="str">
        <f>+VLOOKUP($AJ200,Data_Validation!$A:$D,1,0)</f>
        <v>G0754</v>
      </c>
      <c r="AP200" s="853" t="str">
        <f>+VLOOKUP($AJ200,Data_Validation!$A:$D,3,0)</f>
        <v>Service</v>
      </c>
      <c r="AQ200" s="853" t="str">
        <f>+VLOOKUP($AJ200,Data_Validation!$A:$D,4,0)</f>
        <v>Formation</v>
      </c>
      <c r="AR200" s="853" t="s">
        <v>728</v>
      </c>
      <c r="AS200" s="853" t="str">
        <f>+VLOOKUP($AJ200,Data_Validation!$A:$E,5,0)</f>
        <v/>
      </c>
      <c r="AT200" s="794" t="str">
        <f t="shared" ref="AT200:AU200" si="398">C200</f>
        <v>G0754</v>
      </c>
      <c r="AU200" s="854" t="str">
        <f t="shared" si="398"/>
        <v>FORMATION-SERVICE</v>
      </c>
      <c r="AV200" s="794">
        <f t="array" ref="AV200">IFERROR(INDEX(V200:AG200,1,MATCH(Parametres!$B$3,V$1:AG$1,0)-1)*IF(OR(C200="L",C200="S",C200="I"),-1,1),"")</f>
        <v>0</v>
      </c>
      <c r="AW200" s="794">
        <f t="shared" si="6"/>
        <v>0</v>
      </c>
      <c r="AX200" s="794">
        <f t="array" ref="AX200">INDEX(V200:AG200,1,MATCH(Parametres!$B$3,V$1:AG$1,0))*IF(OR(C200="L",C200="S",C200="I"),-1,1)</f>
        <v>0</v>
      </c>
      <c r="AY200" s="853" t="s">
        <v>772</v>
      </c>
      <c r="AZ200" s="853" t="str">
        <f>+VLOOKUP($AJ200,Data_Validation!$A:$E,5,0)</f>
        <v/>
      </c>
    </row>
    <row r="201" ht="15.0" customHeight="1">
      <c r="A201" s="849" t="s">
        <v>1239</v>
      </c>
      <c r="B201" s="849">
        <v>2025.0</v>
      </c>
      <c r="C201" s="849" t="s">
        <v>1708</v>
      </c>
      <c r="D201" s="849" t="s">
        <v>1709</v>
      </c>
      <c r="E201" s="849" t="s">
        <v>768</v>
      </c>
      <c r="F201" s="849" t="s">
        <v>1200</v>
      </c>
      <c r="G201" s="849">
        <v>0.0</v>
      </c>
      <c r="H201" s="849">
        <v>1078.4</v>
      </c>
      <c r="I201" s="849">
        <v>1310.4</v>
      </c>
      <c r="J201" s="849">
        <v>1310.4</v>
      </c>
      <c r="K201" s="849">
        <v>1310.4</v>
      </c>
      <c r="L201" s="849">
        <v>1310.4</v>
      </c>
      <c r="M201" s="849">
        <v>1310.4</v>
      </c>
      <c r="N201" s="849">
        <v>1310.4</v>
      </c>
      <c r="O201" s="849">
        <v>3002.4</v>
      </c>
      <c r="P201" s="849">
        <v>3159.35</v>
      </c>
      <c r="Q201" s="849">
        <v>3456.85</v>
      </c>
      <c r="R201" s="849">
        <v>3456.85</v>
      </c>
      <c r="S201" s="849">
        <v>314.26</v>
      </c>
      <c r="T201" s="849">
        <v>314.26</v>
      </c>
      <c r="U201" s="849">
        <v>0.0</v>
      </c>
      <c r="V201" s="849">
        <v>0.0</v>
      </c>
      <c r="W201" s="849">
        <v>0.0</v>
      </c>
      <c r="X201" s="849">
        <v>0.0</v>
      </c>
      <c r="Y201" s="849">
        <v>0.0</v>
      </c>
      <c r="Z201" s="849">
        <v>0.0</v>
      </c>
      <c r="AA201" s="849">
        <v>0.0</v>
      </c>
      <c r="AB201" s="849">
        <v>0.0</v>
      </c>
      <c r="AC201" s="849">
        <v>0.0</v>
      </c>
      <c r="AD201" s="849">
        <v>0.0</v>
      </c>
      <c r="AE201" s="849">
        <v>0.0</v>
      </c>
      <c r="AF201" s="849">
        <v>0.0</v>
      </c>
      <c r="AG201" s="849">
        <v>0.0</v>
      </c>
      <c r="AH201" s="849">
        <v>0.0</v>
      </c>
      <c r="AI201" s="849">
        <v>0.0</v>
      </c>
      <c r="AJ201" s="794" t="str">
        <f t="shared" ref="AJ201:AK201" si="399">C201</f>
        <v>G0755</v>
      </c>
      <c r="AK201" s="794" t="str">
        <f t="shared" si="399"/>
        <v>FORMATION-CARROSSERIE</v>
      </c>
      <c r="AL201" s="794">
        <f t="array" ref="AL201">IFERROR(INDEX(G201:R201,1,MATCH(Parametres!$B$3,G$1:R$1,0)-1)*IF(OR(F201="L",F201="S",F201="I"),-1,1),"")</f>
        <v>1310.4</v>
      </c>
      <c r="AM201" s="794">
        <f t="shared" si="4"/>
        <v>1692</v>
      </c>
      <c r="AN201" s="794">
        <f t="array" ref="AN201">INDEX(G201:R201,1,MATCH(Parametres!$B$3,G$1:R$1,0))*IF(OR(F201="L",F201="S",F201="I"),-1,1)</f>
        <v>3002.4</v>
      </c>
      <c r="AO201" s="853" t="str">
        <f>+VLOOKUP($AJ201,Data_Validation!$A:$D,1,0)</f>
        <v>G0755</v>
      </c>
      <c r="AP201" s="853" t="str">
        <f>+VLOOKUP($AJ201,Data_Validation!$A:$D,3,0)</f>
        <v>Carrosserie</v>
      </c>
      <c r="AQ201" s="853" t="str">
        <f>+VLOOKUP($AJ201,Data_Validation!$A:$D,4,0)</f>
        <v>Formation</v>
      </c>
      <c r="AR201" s="853" t="s">
        <v>728</v>
      </c>
      <c r="AS201" s="853" t="str">
        <f>+VLOOKUP($AJ201,Data_Validation!$A:$E,5,0)</f>
        <v/>
      </c>
      <c r="AT201" s="794" t="str">
        <f t="shared" ref="AT201:AU201" si="400">C201</f>
        <v>G0755</v>
      </c>
      <c r="AU201" s="854" t="str">
        <f t="shared" si="400"/>
        <v>FORMATION-CARROSSERIE</v>
      </c>
      <c r="AV201" s="794">
        <f t="array" ref="AV201">IFERROR(INDEX(V201:AG201,1,MATCH(Parametres!$B$3,V$1:AG$1,0)-1)*IF(OR(C201="L",C201="S",C201="I"),-1,1),"")</f>
        <v>0</v>
      </c>
      <c r="AW201" s="794">
        <f t="shared" si="6"/>
        <v>0</v>
      </c>
      <c r="AX201" s="794">
        <f t="array" ref="AX201">INDEX(V201:AG201,1,MATCH(Parametres!$B$3,V$1:AG$1,0))*IF(OR(C201="L",C201="S",C201="I"),-1,1)</f>
        <v>0</v>
      </c>
      <c r="AY201" s="853" t="s">
        <v>772</v>
      </c>
      <c r="AZ201" s="853" t="str">
        <f>+VLOOKUP($AJ201,Data_Validation!$A:$E,5,0)</f>
        <v/>
      </c>
    </row>
    <row r="202" ht="15.0" customHeight="1">
      <c r="A202" s="849" t="s">
        <v>1239</v>
      </c>
      <c r="B202" s="849">
        <v>2025.0</v>
      </c>
      <c r="C202" s="849" t="s">
        <v>1710</v>
      </c>
      <c r="D202" s="849" t="s">
        <v>1711</v>
      </c>
      <c r="E202" s="849" t="s">
        <v>768</v>
      </c>
      <c r="F202" s="849" t="s">
        <v>1200</v>
      </c>
      <c r="G202" s="849">
        <v>0.0</v>
      </c>
      <c r="H202" s="849">
        <v>0.0</v>
      </c>
      <c r="I202" s="849">
        <v>232.0</v>
      </c>
      <c r="J202" s="849">
        <v>3044.5</v>
      </c>
      <c r="K202" s="849">
        <v>6234.5</v>
      </c>
      <c r="L202" s="849">
        <v>7025.0</v>
      </c>
      <c r="M202" s="849">
        <v>7025.0</v>
      </c>
      <c r="N202" s="849">
        <v>7025.0</v>
      </c>
      <c r="O202" s="849">
        <v>7350.0</v>
      </c>
      <c r="P202" s="849">
        <v>6018.5</v>
      </c>
      <c r="Q202" s="849">
        <v>6018.5</v>
      </c>
      <c r="R202" s="849">
        <v>6018.5</v>
      </c>
      <c r="S202" s="849">
        <v>547.14</v>
      </c>
      <c r="T202" s="849">
        <v>547.14</v>
      </c>
      <c r="U202" s="849">
        <v>0.0</v>
      </c>
      <c r="V202" s="849">
        <v>0.0</v>
      </c>
      <c r="W202" s="849">
        <v>0.0</v>
      </c>
      <c r="X202" s="849">
        <v>0.0</v>
      </c>
      <c r="Y202" s="849">
        <v>0.0</v>
      </c>
      <c r="Z202" s="849">
        <v>0.0</v>
      </c>
      <c r="AA202" s="849">
        <v>0.0</v>
      </c>
      <c r="AB202" s="849">
        <v>0.0</v>
      </c>
      <c r="AC202" s="849">
        <v>0.0</v>
      </c>
      <c r="AD202" s="849">
        <v>0.0</v>
      </c>
      <c r="AE202" s="849">
        <v>0.0</v>
      </c>
      <c r="AF202" s="849">
        <v>0.0</v>
      </c>
      <c r="AG202" s="849">
        <v>0.0</v>
      </c>
      <c r="AH202" s="849">
        <v>0.0</v>
      </c>
      <c r="AI202" s="849">
        <v>0.0</v>
      </c>
      <c r="AJ202" s="794" t="str">
        <f t="shared" ref="AJ202:AK202" si="401">C202</f>
        <v>G0756</v>
      </c>
      <c r="AK202" s="794" t="str">
        <f t="shared" si="401"/>
        <v>FORMATION-PIECES</v>
      </c>
      <c r="AL202" s="794">
        <f t="array" ref="AL202">IFERROR(INDEX(G202:R202,1,MATCH(Parametres!$B$3,G$1:R$1,0)-1)*IF(OR(F202="L",F202="S",F202="I"),-1,1),"")</f>
        <v>7025</v>
      </c>
      <c r="AM202" s="794">
        <f t="shared" si="4"/>
        <v>325</v>
      </c>
      <c r="AN202" s="794">
        <f t="array" ref="AN202">INDEX(G202:R202,1,MATCH(Parametres!$B$3,G$1:R$1,0))*IF(OR(F202="L",F202="S",F202="I"),-1,1)</f>
        <v>7350</v>
      </c>
      <c r="AO202" s="853" t="str">
        <f>+VLOOKUP($AJ202,Data_Validation!$A:$D,1,0)</f>
        <v>G0756</v>
      </c>
      <c r="AP202" s="853" t="str">
        <f>+VLOOKUP($AJ202,Data_Validation!$A:$D,3,0)</f>
        <v>Pièces</v>
      </c>
      <c r="AQ202" s="853" t="str">
        <f>+VLOOKUP($AJ202,Data_Validation!$A:$D,4,0)</f>
        <v>Formation</v>
      </c>
      <c r="AR202" s="853" t="s">
        <v>728</v>
      </c>
      <c r="AS202" s="853" t="str">
        <f>+VLOOKUP($AJ202,Data_Validation!$A:$E,5,0)</f>
        <v/>
      </c>
      <c r="AT202" s="794" t="str">
        <f t="shared" ref="AT202:AU202" si="402">C202</f>
        <v>G0756</v>
      </c>
      <c r="AU202" s="854" t="str">
        <f t="shared" si="402"/>
        <v>FORMATION-PIECES</v>
      </c>
      <c r="AV202" s="794">
        <f t="array" ref="AV202">IFERROR(INDEX(V202:AG202,1,MATCH(Parametres!$B$3,V$1:AG$1,0)-1)*IF(OR(C202="L",C202="S",C202="I"),-1,1),"")</f>
        <v>0</v>
      </c>
      <c r="AW202" s="794">
        <f t="shared" si="6"/>
        <v>0</v>
      </c>
      <c r="AX202" s="794">
        <f t="array" ref="AX202">INDEX(V202:AG202,1,MATCH(Parametres!$B$3,V$1:AG$1,0))*IF(OR(C202="L",C202="S",C202="I"),-1,1)</f>
        <v>0</v>
      </c>
      <c r="AY202" s="853" t="s">
        <v>772</v>
      </c>
      <c r="AZ202" s="853" t="str">
        <f>+VLOOKUP($AJ202,Data_Validation!$A:$E,5,0)</f>
        <v/>
      </c>
    </row>
    <row r="203" ht="15.0" customHeight="1">
      <c r="A203" s="849" t="s">
        <v>1239</v>
      </c>
      <c r="B203" s="849">
        <v>2025.0</v>
      </c>
      <c r="C203" s="849" t="s">
        <v>1714</v>
      </c>
      <c r="D203" s="849" t="s">
        <v>1715</v>
      </c>
      <c r="E203" s="849" t="s">
        <v>768</v>
      </c>
      <c r="F203" s="849" t="s">
        <v>1200</v>
      </c>
      <c r="G203" s="849">
        <v>0.0</v>
      </c>
      <c r="H203" s="849">
        <v>0.0</v>
      </c>
      <c r="I203" s="849">
        <v>0.0</v>
      </c>
      <c r="J203" s="849">
        <v>0.0</v>
      </c>
      <c r="K203" s="849">
        <v>0.0</v>
      </c>
      <c r="L203" s="849">
        <v>0.0</v>
      </c>
      <c r="M203" s="849">
        <v>0.0</v>
      </c>
      <c r="N203" s="849">
        <v>0.0</v>
      </c>
      <c r="O203" s="849">
        <v>0.0</v>
      </c>
      <c r="P203" s="849">
        <v>0.0</v>
      </c>
      <c r="Q203" s="849">
        <v>0.0</v>
      </c>
      <c r="R203" s="849">
        <v>0.0</v>
      </c>
      <c r="S203" s="849">
        <v>0.0</v>
      </c>
      <c r="T203" s="849">
        <v>0.0</v>
      </c>
      <c r="U203" s="849">
        <v>0.0</v>
      </c>
      <c r="V203" s="849">
        <v>0.0</v>
      </c>
      <c r="W203" s="849">
        <v>0.0</v>
      </c>
      <c r="X203" s="849">
        <v>0.0</v>
      </c>
      <c r="Y203" s="849">
        <v>0.0</v>
      </c>
      <c r="Z203" s="849">
        <v>0.0</v>
      </c>
      <c r="AA203" s="849">
        <v>0.0</v>
      </c>
      <c r="AB203" s="849">
        <v>0.0</v>
      </c>
      <c r="AC203" s="849">
        <v>0.0</v>
      </c>
      <c r="AD203" s="849">
        <v>0.0</v>
      </c>
      <c r="AE203" s="849">
        <v>0.0</v>
      </c>
      <c r="AF203" s="849">
        <v>0.0</v>
      </c>
      <c r="AG203" s="849">
        <v>0.0</v>
      </c>
      <c r="AH203" s="849">
        <v>0.0</v>
      </c>
      <c r="AI203" s="849">
        <v>0.0</v>
      </c>
      <c r="AJ203" s="794" t="str">
        <f t="shared" ref="AJ203:AK203" si="403">C203</f>
        <v>G0760</v>
      </c>
      <c r="AK203" s="794" t="str">
        <f t="shared" si="403"/>
        <v>INTERET VEH. REP 4</v>
      </c>
      <c r="AL203" s="794">
        <f t="array" ref="AL203">IFERROR(INDEX(G203:R203,1,MATCH(Parametres!$B$3,G$1:R$1,0)-1)*IF(OR(F203="L",F203="S",F203="I"),-1,1),"")</f>
        <v>0</v>
      </c>
      <c r="AM203" s="794">
        <f t="shared" si="4"/>
        <v>0</v>
      </c>
      <c r="AN203" s="794">
        <f t="array" ref="AN203">INDEX(G203:R203,1,MATCH(Parametres!$B$3,G$1:R$1,0))*IF(OR(F203="L",F203="S",F203="I"),-1,1)</f>
        <v>0</v>
      </c>
      <c r="AO203" s="853" t="str">
        <f>+VLOOKUP($AJ203,Data_Validation!$A:$D,1,0)</f>
        <v>G0760</v>
      </c>
      <c r="AP203" s="853" t="str">
        <f>+VLOOKUP($AJ203,Data_Validation!$A:$D,3,0)</f>
        <v/>
      </c>
      <c r="AQ203" s="853" t="str">
        <f>+VLOOKUP($AJ203,Data_Validation!$A:$D,4,0)</f>
        <v/>
      </c>
      <c r="AR203" s="853" t="s">
        <v>728</v>
      </c>
      <c r="AS203" s="853" t="str">
        <f>+VLOOKUP($AJ203,Data_Validation!$A:$E,5,0)</f>
        <v/>
      </c>
      <c r="AT203" s="794" t="str">
        <f t="shared" ref="AT203:AU203" si="404">C203</f>
        <v>G0760</v>
      </c>
      <c r="AU203" s="854" t="str">
        <f t="shared" si="404"/>
        <v>INTERET VEH. REP 4</v>
      </c>
      <c r="AV203" s="794">
        <f t="array" ref="AV203">IFERROR(INDEX(V203:AG203,1,MATCH(Parametres!$B$3,V$1:AG$1,0)-1)*IF(OR(C203="L",C203="S",C203="I"),-1,1),"")</f>
        <v>0</v>
      </c>
      <c r="AW203" s="794">
        <f t="shared" si="6"/>
        <v>0</v>
      </c>
      <c r="AX203" s="794">
        <f t="array" ref="AX203">INDEX(V203:AG203,1,MATCH(Parametres!$B$3,V$1:AG$1,0))*IF(OR(C203="L",C203="S",C203="I"),-1,1)</f>
        <v>0</v>
      </c>
      <c r="AY203" s="853" t="s">
        <v>772</v>
      </c>
      <c r="AZ203" s="853" t="str">
        <f>+VLOOKUP($AJ203,Data_Validation!$A:$E,5,0)</f>
        <v/>
      </c>
    </row>
    <row r="204" ht="15.0" customHeight="1">
      <c r="A204" s="849" t="s">
        <v>1239</v>
      </c>
      <c r="B204" s="849">
        <v>2025.0</v>
      </c>
      <c r="C204" s="849" t="s">
        <v>1716</v>
      </c>
      <c r="D204" s="849" t="s">
        <v>1717</v>
      </c>
      <c r="E204" s="849" t="s">
        <v>768</v>
      </c>
      <c r="F204" s="849" t="s">
        <v>1200</v>
      </c>
      <c r="G204" s="849">
        <v>54010.45</v>
      </c>
      <c r="H204" s="849">
        <v>122100.94</v>
      </c>
      <c r="I204" s="849">
        <v>240347.33</v>
      </c>
      <c r="J204" s="849">
        <v>397882.76</v>
      </c>
      <c r="K204" s="849">
        <v>515057.15</v>
      </c>
      <c r="L204" s="849">
        <v>626373.64</v>
      </c>
      <c r="M204" s="849">
        <v>689864.51</v>
      </c>
      <c r="N204" s="849">
        <v>765414.01</v>
      </c>
      <c r="O204" s="849">
        <v>808990.7</v>
      </c>
      <c r="P204" s="849">
        <v>851799.5</v>
      </c>
      <c r="Q204" s="849">
        <v>920305.48</v>
      </c>
      <c r="R204" s="849">
        <v>1009141.85</v>
      </c>
      <c r="S204" s="849">
        <v>83664.13</v>
      </c>
      <c r="T204" s="849">
        <v>83664.13</v>
      </c>
      <c r="U204" s="849">
        <v>0.0</v>
      </c>
      <c r="V204" s="849">
        <v>0.0</v>
      </c>
      <c r="W204" s="849">
        <v>0.0</v>
      </c>
      <c r="X204" s="849">
        <v>0.0</v>
      </c>
      <c r="Y204" s="849">
        <v>0.0</v>
      </c>
      <c r="Z204" s="849">
        <v>0.0</v>
      </c>
      <c r="AA204" s="849">
        <v>0.0</v>
      </c>
      <c r="AB204" s="849">
        <v>0.0</v>
      </c>
      <c r="AC204" s="849">
        <v>0.0</v>
      </c>
      <c r="AD204" s="849">
        <v>0.0</v>
      </c>
      <c r="AE204" s="849">
        <v>0.0</v>
      </c>
      <c r="AF204" s="849">
        <v>0.0</v>
      </c>
      <c r="AG204" s="849">
        <v>0.0</v>
      </c>
      <c r="AH204" s="849">
        <v>0.0</v>
      </c>
      <c r="AI204" s="849">
        <v>0.0</v>
      </c>
      <c r="AJ204" s="794" t="str">
        <f t="shared" ref="AJ204:AK204" si="405">C204</f>
        <v>G0761</v>
      </c>
      <c r="AK204" s="794" t="str">
        <f t="shared" si="405"/>
        <v>INTERETS VEHICULES-NEUFS</v>
      </c>
      <c r="AL204" s="794">
        <f t="array" ref="AL204">IFERROR(INDEX(G204:R204,1,MATCH(Parametres!$B$3,G$1:R$1,0)-1)*IF(OR(F204="L",F204="S",F204="I"),-1,1),"")</f>
        <v>765414.01</v>
      </c>
      <c r="AM204" s="794">
        <f t="shared" si="4"/>
        <v>43576.69</v>
      </c>
      <c r="AN204" s="794">
        <f t="array" ref="AN204">INDEX(G204:R204,1,MATCH(Parametres!$B$3,G$1:R$1,0))*IF(OR(F204="L",F204="S",F204="I"),-1,1)</f>
        <v>808990.7</v>
      </c>
      <c r="AO204" s="853" t="str">
        <f>+VLOOKUP($AJ204,Data_Validation!$A:$D,1,0)</f>
        <v>G0761</v>
      </c>
      <c r="AP204" s="853" t="str">
        <f>+VLOOKUP($AJ204,Data_Validation!$A:$D,3,0)</f>
        <v>Véhicules neufs</v>
      </c>
      <c r="AQ204" s="853" t="str">
        <f>+VLOOKUP($AJ204,Data_Validation!$A:$D,4,0)</f>
        <v>Intérêt de gros</v>
      </c>
      <c r="AR204" s="853" t="s">
        <v>728</v>
      </c>
      <c r="AS204" s="853" t="str">
        <f>+VLOOKUP($AJ204,Data_Validation!$A:$E,5,0)</f>
        <v/>
      </c>
      <c r="AT204" s="794" t="str">
        <f t="shared" ref="AT204:AU204" si="406">C204</f>
        <v>G0761</v>
      </c>
      <c r="AU204" s="854" t="str">
        <f t="shared" si="406"/>
        <v>INTERETS VEHICULES-NEUFS</v>
      </c>
      <c r="AV204" s="794">
        <f t="array" ref="AV204">IFERROR(INDEX(V204:AG204,1,MATCH(Parametres!$B$3,V$1:AG$1,0)-1)*IF(OR(C204="L",C204="S",C204="I"),-1,1),"")</f>
        <v>0</v>
      </c>
      <c r="AW204" s="794">
        <f t="shared" si="6"/>
        <v>0</v>
      </c>
      <c r="AX204" s="794">
        <f t="array" ref="AX204">INDEX(V204:AG204,1,MATCH(Parametres!$B$3,V$1:AG$1,0))*IF(OR(C204="L",C204="S",C204="I"),-1,1)</f>
        <v>0</v>
      </c>
      <c r="AY204" s="853" t="s">
        <v>772</v>
      </c>
      <c r="AZ204" s="853" t="str">
        <f>+VLOOKUP($AJ204,Data_Validation!$A:$E,5,0)</f>
        <v/>
      </c>
    </row>
    <row r="205" ht="15.0" customHeight="1">
      <c r="A205" s="849" t="s">
        <v>1239</v>
      </c>
      <c r="B205" s="849">
        <v>2025.0</v>
      </c>
      <c r="C205" s="849" t="s">
        <v>1718</v>
      </c>
      <c r="D205" s="849" t="s">
        <v>1719</v>
      </c>
      <c r="E205" s="849" t="s">
        <v>768</v>
      </c>
      <c r="F205" s="849" t="s">
        <v>1200</v>
      </c>
      <c r="G205" s="849">
        <v>8400.41</v>
      </c>
      <c r="H205" s="849">
        <v>23015.9</v>
      </c>
      <c r="I205" s="849">
        <v>63371.03</v>
      </c>
      <c r="J205" s="849">
        <v>94273.41</v>
      </c>
      <c r="K205" s="849">
        <v>121672.21</v>
      </c>
      <c r="L205" s="849">
        <v>144589.17</v>
      </c>
      <c r="M205" s="849">
        <v>166816.96</v>
      </c>
      <c r="N205" s="849">
        <v>182317.34</v>
      </c>
      <c r="O205" s="849">
        <v>195311.48</v>
      </c>
      <c r="P205" s="849">
        <v>210256.9</v>
      </c>
      <c r="Q205" s="849">
        <v>231168.11</v>
      </c>
      <c r="R205" s="849">
        <v>267551.0</v>
      </c>
      <c r="S205" s="849">
        <v>21015.28</v>
      </c>
      <c r="T205" s="849">
        <v>21015.28</v>
      </c>
      <c r="U205" s="849">
        <v>0.0</v>
      </c>
      <c r="V205" s="849">
        <v>0.0</v>
      </c>
      <c r="W205" s="849">
        <v>0.0</v>
      </c>
      <c r="X205" s="849">
        <v>0.0</v>
      </c>
      <c r="Y205" s="849">
        <v>0.0</v>
      </c>
      <c r="Z205" s="849">
        <v>0.0</v>
      </c>
      <c r="AA205" s="849">
        <v>0.0</v>
      </c>
      <c r="AB205" s="849">
        <v>0.0</v>
      </c>
      <c r="AC205" s="849">
        <v>0.0</v>
      </c>
      <c r="AD205" s="849">
        <v>0.0</v>
      </c>
      <c r="AE205" s="849">
        <v>0.0</v>
      </c>
      <c r="AF205" s="849">
        <v>0.0</v>
      </c>
      <c r="AG205" s="849">
        <v>0.0</v>
      </c>
      <c r="AH205" s="849">
        <v>0.0</v>
      </c>
      <c r="AI205" s="849">
        <v>0.0</v>
      </c>
      <c r="AJ205" s="794" t="str">
        <f t="shared" ref="AJ205:AK205" si="407">C205</f>
        <v>G0762</v>
      </c>
      <c r="AK205" s="794" t="str">
        <f t="shared" si="407"/>
        <v>INTERETS VEHICULES-USAGES</v>
      </c>
      <c r="AL205" s="794">
        <f t="array" ref="AL205">IFERROR(INDEX(G205:R205,1,MATCH(Parametres!$B$3,G$1:R$1,0)-1)*IF(OR(F205="L",F205="S",F205="I"),-1,1),"")</f>
        <v>182317.34</v>
      </c>
      <c r="AM205" s="794">
        <f t="shared" si="4"/>
        <v>12994.14</v>
      </c>
      <c r="AN205" s="794">
        <f t="array" ref="AN205">INDEX(G205:R205,1,MATCH(Parametres!$B$3,G$1:R$1,0))*IF(OR(F205="L",F205="S",F205="I"),-1,1)</f>
        <v>195311.48</v>
      </c>
      <c r="AO205" s="853" t="str">
        <f>+VLOOKUP($AJ205,Data_Validation!$A:$D,1,0)</f>
        <v>G0762</v>
      </c>
      <c r="AP205" s="853" t="str">
        <f>+VLOOKUP($AJ205,Data_Validation!$A:$D,3,0)</f>
        <v>Véhicules usagés</v>
      </c>
      <c r="AQ205" s="853" t="str">
        <f>+VLOOKUP($AJ205,Data_Validation!$A:$D,4,0)</f>
        <v>Intérêt de gros</v>
      </c>
      <c r="AR205" s="853" t="s">
        <v>728</v>
      </c>
      <c r="AS205" s="853" t="str">
        <f>+VLOOKUP($AJ205,Data_Validation!$A:$E,5,0)</f>
        <v/>
      </c>
      <c r="AT205" s="794" t="str">
        <f t="shared" ref="AT205:AU205" si="408">C205</f>
        <v>G0762</v>
      </c>
      <c r="AU205" s="854" t="str">
        <f t="shared" si="408"/>
        <v>INTERETS VEHICULES-USAGES</v>
      </c>
      <c r="AV205" s="794">
        <f t="array" ref="AV205">IFERROR(INDEX(V205:AG205,1,MATCH(Parametres!$B$3,V$1:AG$1,0)-1)*IF(OR(C205="L",C205="S",C205="I"),-1,1),"")</f>
        <v>0</v>
      </c>
      <c r="AW205" s="794">
        <f t="shared" si="6"/>
        <v>0</v>
      </c>
      <c r="AX205" s="794">
        <f t="array" ref="AX205">INDEX(V205:AG205,1,MATCH(Parametres!$B$3,V$1:AG$1,0))*IF(OR(C205="L",C205="S",C205="I"),-1,1)</f>
        <v>0</v>
      </c>
      <c r="AY205" s="853" t="s">
        <v>772</v>
      </c>
      <c r="AZ205" s="853" t="str">
        <f>+VLOOKUP($AJ205,Data_Validation!$A:$E,5,0)</f>
        <v/>
      </c>
    </row>
    <row r="206" ht="15.75" customHeight="1">
      <c r="A206" s="849" t="s">
        <v>1239</v>
      </c>
      <c r="B206" s="849">
        <v>2025.0</v>
      </c>
      <c r="C206" s="849" t="s">
        <v>1720</v>
      </c>
      <c r="D206" s="849" t="s">
        <v>1721</v>
      </c>
      <c r="E206" s="849" t="s">
        <v>768</v>
      </c>
      <c r="F206" s="849" t="s">
        <v>1200</v>
      </c>
      <c r="G206" s="849">
        <v>3790.9</v>
      </c>
      <c r="H206" s="849">
        <v>14450.43</v>
      </c>
      <c r="I206" s="849">
        <v>40381.87</v>
      </c>
      <c r="J206" s="849">
        <v>77605.6</v>
      </c>
      <c r="K206" s="849">
        <v>118997.15</v>
      </c>
      <c r="L206" s="849">
        <v>141244.13</v>
      </c>
      <c r="M206" s="849">
        <v>150278.73</v>
      </c>
      <c r="N206" s="849">
        <v>156441.98</v>
      </c>
      <c r="O206" s="849">
        <v>158104.59</v>
      </c>
      <c r="P206" s="849">
        <v>159170.55</v>
      </c>
      <c r="Q206" s="849">
        <v>163994.01</v>
      </c>
      <c r="R206" s="849">
        <v>177150.97</v>
      </c>
      <c r="S206" s="849">
        <v>14908.55</v>
      </c>
      <c r="T206" s="849">
        <v>14908.55</v>
      </c>
      <c r="U206" s="849">
        <v>0.0</v>
      </c>
      <c r="V206" s="849">
        <v>0.0</v>
      </c>
      <c r="W206" s="849">
        <v>0.0</v>
      </c>
      <c r="X206" s="849">
        <v>0.0</v>
      </c>
      <c r="Y206" s="849">
        <v>0.0</v>
      </c>
      <c r="Z206" s="849">
        <v>0.0</v>
      </c>
      <c r="AA206" s="849">
        <v>0.0</v>
      </c>
      <c r="AB206" s="849">
        <v>0.0</v>
      </c>
      <c r="AC206" s="849">
        <v>0.0</v>
      </c>
      <c r="AD206" s="849">
        <v>0.0</v>
      </c>
      <c r="AE206" s="849">
        <v>0.0</v>
      </c>
      <c r="AF206" s="849">
        <v>0.0</v>
      </c>
      <c r="AG206" s="849">
        <v>0.0</v>
      </c>
      <c r="AH206" s="849">
        <v>0.0</v>
      </c>
      <c r="AI206" s="849">
        <v>0.0</v>
      </c>
      <c r="AJ206" s="794" t="str">
        <f t="shared" ref="AJ206:AK206" si="409">C206</f>
        <v>G0763</v>
      </c>
      <c r="AK206" s="794" t="str">
        <f t="shared" si="409"/>
        <v>INTERETS VEHICULES U.S.A</v>
      </c>
      <c r="AL206" s="794">
        <f t="array" ref="AL206">IFERROR(INDEX(G206:R206,1,MATCH(Parametres!$B$3,G$1:R$1,0)-1)*IF(OR(F206="L",F206="S",F206="I"),-1,1),"")</f>
        <v>156441.98</v>
      </c>
      <c r="AM206" s="794">
        <f t="shared" si="4"/>
        <v>1662.61</v>
      </c>
      <c r="AN206" s="794">
        <f t="array" ref="AN206">INDEX(G206:R206,1,MATCH(Parametres!$B$3,G$1:R$1,0))*IF(OR(F206="L",F206="S",F206="I"),-1,1)</f>
        <v>158104.59</v>
      </c>
      <c r="AO206" s="853" t="str">
        <f>+VLOOKUP($AJ206,Data_Validation!$A:$D,1,0)</f>
        <v>G0763</v>
      </c>
      <c r="AP206" s="853" t="str">
        <f>+VLOOKUP($AJ206,Data_Validation!$A:$D,3,0)</f>
        <v>Wholesale autres</v>
      </c>
      <c r="AQ206" s="853" t="str">
        <f>+VLOOKUP($AJ206,Data_Validation!$A:$D,4,0)</f>
        <v>Intérêt de gros</v>
      </c>
      <c r="AR206" s="853" t="s">
        <v>728</v>
      </c>
      <c r="AS206" s="853" t="str">
        <f>+VLOOKUP($AJ206,Data_Validation!$A:$E,5,0)</f>
        <v/>
      </c>
      <c r="AT206" s="794" t="str">
        <f t="shared" ref="AT206:AU206" si="410">C206</f>
        <v>G0763</v>
      </c>
      <c r="AU206" s="854" t="str">
        <f t="shared" si="410"/>
        <v>INTERETS VEHICULES U.S.A</v>
      </c>
      <c r="AV206" s="794">
        <f t="array" ref="AV206">IFERROR(INDEX(V206:AG206,1,MATCH(Parametres!$B$3,V$1:AG$1,0)-1)*IF(OR(C206="L",C206="S",C206="I"),-1,1),"")</f>
        <v>0</v>
      </c>
      <c r="AW206" s="794">
        <f t="shared" si="6"/>
        <v>0</v>
      </c>
      <c r="AX206" s="794">
        <f t="array" ref="AX206">INDEX(V206:AG206,1,MATCH(Parametres!$B$3,V$1:AG$1,0))*IF(OR(C206="L",C206="S",C206="I"),-1,1)</f>
        <v>0</v>
      </c>
      <c r="AY206" s="853" t="s">
        <v>772</v>
      </c>
      <c r="AZ206" s="853" t="str">
        <f>+VLOOKUP($AJ206,Data_Validation!$A:$E,5,0)</f>
        <v/>
      </c>
    </row>
    <row r="207" ht="15.0" customHeight="1">
      <c r="A207" s="849" t="s">
        <v>1239</v>
      </c>
      <c r="B207" s="849">
        <v>2025.0</v>
      </c>
      <c r="C207" s="849" t="s">
        <v>1722</v>
      </c>
      <c r="D207" s="849" t="s">
        <v>1723</v>
      </c>
      <c r="E207" s="849" t="s">
        <v>768</v>
      </c>
      <c r="F207" s="849" t="s">
        <v>1200</v>
      </c>
      <c r="G207" s="849">
        <v>0.0</v>
      </c>
      <c r="H207" s="849">
        <v>0.0</v>
      </c>
      <c r="I207" s="849">
        <v>0.05</v>
      </c>
      <c r="J207" s="849">
        <v>0.05</v>
      </c>
      <c r="K207" s="849">
        <v>0.05</v>
      </c>
      <c r="L207" s="849">
        <v>0.05</v>
      </c>
      <c r="M207" s="849">
        <v>0.05</v>
      </c>
      <c r="N207" s="849">
        <v>0.05</v>
      </c>
      <c r="O207" s="849">
        <v>0.05</v>
      </c>
      <c r="P207" s="849">
        <v>316.01</v>
      </c>
      <c r="Q207" s="849">
        <v>316.01</v>
      </c>
      <c r="R207" s="849">
        <v>316.01</v>
      </c>
      <c r="S207" s="849">
        <v>28.73</v>
      </c>
      <c r="T207" s="849">
        <v>28.73</v>
      </c>
      <c r="U207" s="849">
        <v>0.0</v>
      </c>
      <c r="V207" s="849">
        <v>0.0</v>
      </c>
      <c r="W207" s="849">
        <v>0.0</v>
      </c>
      <c r="X207" s="849">
        <v>0.0</v>
      </c>
      <c r="Y207" s="849">
        <v>0.0</v>
      </c>
      <c r="Z207" s="849">
        <v>0.0</v>
      </c>
      <c r="AA207" s="849">
        <v>0.0</v>
      </c>
      <c r="AB207" s="849">
        <v>0.0</v>
      </c>
      <c r="AC207" s="849">
        <v>0.0</v>
      </c>
      <c r="AD207" s="849">
        <v>0.0</v>
      </c>
      <c r="AE207" s="849">
        <v>0.0</v>
      </c>
      <c r="AF207" s="849">
        <v>0.0</v>
      </c>
      <c r="AG207" s="849">
        <v>0.0</v>
      </c>
      <c r="AH207" s="849">
        <v>0.0</v>
      </c>
      <c r="AI207" s="849">
        <v>0.0</v>
      </c>
      <c r="AJ207" s="794" t="str">
        <f t="shared" ref="AJ207:AK207" si="411">C207</f>
        <v>G0764</v>
      </c>
      <c r="AK207" s="794" t="str">
        <f t="shared" si="411"/>
        <v>INTERETS SERVICE</v>
      </c>
      <c r="AL207" s="794">
        <f t="array" ref="AL207">IFERROR(INDEX(G207:R207,1,MATCH(Parametres!$B$3,G$1:R$1,0)-1)*IF(OR(F207="L",F207="S",F207="I"),-1,1),"")</f>
        <v>0.05</v>
      </c>
      <c r="AM207" s="794">
        <f t="shared" si="4"/>
        <v>0</v>
      </c>
      <c r="AN207" s="794">
        <f t="array" ref="AN207">INDEX(G207:R207,1,MATCH(Parametres!$B$3,G$1:R$1,0))*IF(OR(F207="L",F207="S",F207="I"),-1,1)</f>
        <v>0.05</v>
      </c>
      <c r="AO207" s="853" t="str">
        <f>+VLOOKUP($AJ207,Data_Validation!$A:$D,1,0)</f>
        <v>G0764</v>
      </c>
      <c r="AP207" s="853" t="str">
        <f>+VLOOKUP($AJ207,Data_Validation!$A:$D,3,0)</f>
        <v>Service</v>
      </c>
      <c r="AQ207" s="853" t="str">
        <f>+VLOOKUP($AJ207,Data_Validation!$A:$D,4,0)</f>
        <v>Divers</v>
      </c>
      <c r="AR207" s="853" t="s">
        <v>728</v>
      </c>
      <c r="AS207" s="853" t="str">
        <f>+VLOOKUP($AJ207,Data_Validation!$A:$E,5,0)</f>
        <v/>
      </c>
      <c r="AT207" s="794" t="str">
        <f t="shared" ref="AT207:AU207" si="412">C207</f>
        <v>G0764</v>
      </c>
      <c r="AU207" s="854" t="str">
        <f t="shared" si="412"/>
        <v>INTERETS SERVICE</v>
      </c>
      <c r="AV207" s="794">
        <f t="array" ref="AV207">IFERROR(INDEX(V207:AG207,1,MATCH(Parametres!$B$3,V$1:AG$1,0)-1)*IF(OR(C207="L",C207="S",C207="I"),-1,1),"")</f>
        <v>0</v>
      </c>
      <c r="AW207" s="794">
        <f t="shared" si="6"/>
        <v>0</v>
      </c>
      <c r="AX207" s="794">
        <f t="array" ref="AX207">INDEX(V207:AG207,1,MATCH(Parametres!$B$3,V$1:AG$1,0))*IF(OR(C207="L",C207="S",C207="I"),-1,1)</f>
        <v>0</v>
      </c>
      <c r="AY207" s="853" t="s">
        <v>772</v>
      </c>
      <c r="AZ207" s="853" t="str">
        <f>+VLOOKUP($AJ207,Data_Validation!$A:$E,5,0)</f>
        <v/>
      </c>
    </row>
    <row r="208" ht="15.0" customHeight="1">
      <c r="A208" s="849" t="s">
        <v>1239</v>
      </c>
      <c r="B208" s="849">
        <v>2025.0</v>
      </c>
      <c r="C208" s="849" t="s">
        <v>1724</v>
      </c>
      <c r="D208" s="849" t="s">
        <v>1725</v>
      </c>
      <c r="E208" s="849" t="s">
        <v>768</v>
      </c>
      <c r="F208" s="849" t="s">
        <v>1200</v>
      </c>
      <c r="G208" s="849">
        <v>0.0</v>
      </c>
      <c r="H208" s="849">
        <v>0.0</v>
      </c>
      <c r="I208" s="849">
        <v>0.0</v>
      </c>
      <c r="J208" s="849">
        <v>0.0</v>
      </c>
      <c r="K208" s="849">
        <v>0.0</v>
      </c>
      <c r="L208" s="849">
        <v>0.0</v>
      </c>
      <c r="M208" s="849">
        <v>0.0</v>
      </c>
      <c r="N208" s="849">
        <v>0.0</v>
      </c>
      <c r="O208" s="849">
        <v>0.0</v>
      </c>
      <c r="P208" s="849">
        <v>0.0</v>
      </c>
      <c r="Q208" s="849">
        <v>0.0</v>
      </c>
      <c r="R208" s="849">
        <v>0.0</v>
      </c>
      <c r="S208" s="849">
        <v>0.0</v>
      </c>
      <c r="T208" s="849">
        <v>0.0</v>
      </c>
      <c r="U208" s="849">
        <v>0.0</v>
      </c>
      <c r="V208" s="849">
        <v>0.0</v>
      </c>
      <c r="W208" s="849">
        <v>0.0</v>
      </c>
      <c r="X208" s="849">
        <v>0.0</v>
      </c>
      <c r="Y208" s="849">
        <v>0.0</v>
      </c>
      <c r="Z208" s="849">
        <v>0.0</v>
      </c>
      <c r="AA208" s="849">
        <v>0.0</v>
      </c>
      <c r="AB208" s="849">
        <v>0.0</v>
      </c>
      <c r="AC208" s="849">
        <v>0.0</v>
      </c>
      <c r="AD208" s="849">
        <v>0.0</v>
      </c>
      <c r="AE208" s="849">
        <v>0.0</v>
      </c>
      <c r="AF208" s="849">
        <v>0.0</v>
      </c>
      <c r="AG208" s="849">
        <v>0.0</v>
      </c>
      <c r="AH208" s="849">
        <v>0.0</v>
      </c>
      <c r="AI208" s="849">
        <v>0.0</v>
      </c>
      <c r="AJ208" s="794" t="str">
        <f t="shared" ref="AJ208:AK208" si="413">C208</f>
        <v>G0766</v>
      </c>
      <c r="AK208" s="794" t="str">
        <f t="shared" si="413"/>
        <v>INTERETS PIECES</v>
      </c>
      <c r="AL208" s="794">
        <f t="array" ref="AL208">IFERROR(INDEX(G208:R208,1,MATCH(Parametres!$B$3,G$1:R$1,0)-1)*IF(OR(F208="L",F208="S",F208="I"),-1,1),"")</f>
        <v>0</v>
      </c>
      <c r="AM208" s="794">
        <f t="shared" si="4"/>
        <v>0</v>
      </c>
      <c r="AN208" s="794">
        <f t="array" ref="AN208">INDEX(G208:R208,1,MATCH(Parametres!$B$3,G$1:R$1,0))*IF(OR(F208="L",F208="S",F208="I"),-1,1)</f>
        <v>0</v>
      </c>
      <c r="AO208" s="853" t="str">
        <f>+VLOOKUP($AJ208,Data_Validation!$A:$D,1,0)</f>
        <v>#N/A</v>
      </c>
      <c r="AP208" s="853" t="str">
        <f>+VLOOKUP($AJ208,Data_Validation!$A:$D,3,0)</f>
        <v>#N/A</v>
      </c>
      <c r="AQ208" s="853" t="str">
        <f>+VLOOKUP($AJ208,Data_Validation!$A:$D,4,0)</f>
        <v>#N/A</v>
      </c>
      <c r="AR208" s="853" t="s">
        <v>728</v>
      </c>
      <c r="AS208" s="853" t="str">
        <f>+VLOOKUP($AJ208,Data_Validation!$A:$E,5,0)</f>
        <v>#N/A</v>
      </c>
      <c r="AT208" s="794" t="str">
        <f t="shared" ref="AT208:AU208" si="414">C208</f>
        <v>G0766</v>
      </c>
      <c r="AU208" s="854" t="str">
        <f t="shared" si="414"/>
        <v>INTERETS PIECES</v>
      </c>
      <c r="AV208" s="794">
        <f t="array" ref="AV208">IFERROR(INDEX(V208:AG208,1,MATCH(Parametres!$B$3,V$1:AG$1,0)-1)*IF(OR(C208="L",C208="S",C208="I"),-1,1),"")</f>
        <v>0</v>
      </c>
      <c r="AW208" s="794">
        <f t="shared" si="6"/>
        <v>0</v>
      </c>
      <c r="AX208" s="794">
        <f t="array" ref="AX208">INDEX(V208:AG208,1,MATCH(Parametres!$B$3,V$1:AG$1,0))*IF(OR(C208="L",C208="S",C208="I"),-1,1)</f>
        <v>0</v>
      </c>
      <c r="AY208" s="853" t="s">
        <v>772</v>
      </c>
      <c r="AZ208" s="853" t="str">
        <f>+VLOOKUP($AJ208,Data_Validation!$A:$E,5,0)</f>
        <v>#N/A</v>
      </c>
    </row>
    <row r="209" ht="15.0" customHeight="1">
      <c r="A209" s="849" t="s">
        <v>1239</v>
      </c>
      <c r="B209" s="849">
        <v>2025.0</v>
      </c>
      <c r="C209" s="849" t="s">
        <v>1726</v>
      </c>
      <c r="D209" s="849" t="s">
        <v>1727</v>
      </c>
      <c r="E209" s="849" t="s">
        <v>768</v>
      </c>
      <c r="F209" s="849" t="s">
        <v>1200</v>
      </c>
      <c r="G209" s="849">
        <v>0.0</v>
      </c>
      <c r="H209" s="849">
        <v>0.0</v>
      </c>
      <c r="I209" s="849">
        <v>0.0</v>
      </c>
      <c r="J209" s="849">
        <v>0.0</v>
      </c>
      <c r="K209" s="849">
        <v>0.0</v>
      </c>
      <c r="L209" s="849">
        <v>0.0</v>
      </c>
      <c r="M209" s="849">
        <v>0.0</v>
      </c>
      <c r="N209" s="849">
        <v>0.0</v>
      </c>
      <c r="O209" s="849">
        <v>0.0</v>
      </c>
      <c r="P209" s="849">
        <v>0.0</v>
      </c>
      <c r="Q209" s="849">
        <v>0.0</v>
      </c>
      <c r="R209" s="849">
        <v>0.0</v>
      </c>
      <c r="S209" s="849">
        <v>0.0</v>
      </c>
      <c r="T209" s="849">
        <v>0.0</v>
      </c>
      <c r="U209" s="849">
        <v>0.0</v>
      </c>
      <c r="V209" s="849">
        <v>0.0</v>
      </c>
      <c r="W209" s="849">
        <v>0.0</v>
      </c>
      <c r="X209" s="849">
        <v>0.0</v>
      </c>
      <c r="Y209" s="849">
        <v>0.0</v>
      </c>
      <c r="Z209" s="849">
        <v>0.0</v>
      </c>
      <c r="AA209" s="849">
        <v>0.0</v>
      </c>
      <c r="AB209" s="849">
        <v>0.0</v>
      </c>
      <c r="AC209" s="849">
        <v>0.0</v>
      </c>
      <c r="AD209" s="849">
        <v>0.0</v>
      </c>
      <c r="AE209" s="849">
        <v>0.0</v>
      </c>
      <c r="AF209" s="849">
        <v>0.0</v>
      </c>
      <c r="AG209" s="849">
        <v>0.0</v>
      </c>
      <c r="AH209" s="849">
        <v>0.0</v>
      </c>
      <c r="AI209" s="849">
        <v>0.0</v>
      </c>
      <c r="AJ209" s="794" t="str">
        <f t="shared" ref="AJ209:AK209" si="415">C209</f>
        <v>G0770</v>
      </c>
      <c r="AK209" s="794" t="str">
        <f t="shared" si="415"/>
        <v>DEPENSES DIVERS REP.</v>
      </c>
      <c r="AL209" s="794">
        <f t="array" ref="AL209">IFERROR(INDEX(G209:R209,1,MATCH(Parametres!$B$3,G$1:R$1,0)-1)*IF(OR(F209="L",F209="S",F209="I"),-1,1),"")</f>
        <v>0</v>
      </c>
      <c r="AM209" s="794">
        <f t="shared" si="4"/>
        <v>0</v>
      </c>
      <c r="AN209" s="794">
        <f t="array" ref="AN209">INDEX(G209:R209,1,MATCH(Parametres!$B$3,G$1:R$1,0))*IF(OR(F209="L",F209="S",F209="I"),-1,1)</f>
        <v>0</v>
      </c>
      <c r="AO209" s="853" t="str">
        <f>+VLOOKUP($AJ209,Data_Validation!$A:$D,1,0)</f>
        <v>#N/A</v>
      </c>
      <c r="AP209" s="853" t="str">
        <f>+VLOOKUP($AJ209,Data_Validation!$A:$D,3,0)</f>
        <v>#N/A</v>
      </c>
      <c r="AQ209" s="853" t="str">
        <f>+VLOOKUP($AJ209,Data_Validation!$A:$D,4,0)</f>
        <v>#N/A</v>
      </c>
      <c r="AR209" s="853" t="s">
        <v>728</v>
      </c>
      <c r="AS209" s="853" t="str">
        <f>+VLOOKUP($AJ209,Data_Validation!$A:$E,5,0)</f>
        <v>#N/A</v>
      </c>
      <c r="AT209" s="794" t="str">
        <f t="shared" ref="AT209:AU209" si="416">C209</f>
        <v>G0770</v>
      </c>
      <c r="AU209" s="854" t="str">
        <f t="shared" si="416"/>
        <v>DEPENSES DIVERS REP.</v>
      </c>
      <c r="AV209" s="794">
        <f t="array" ref="AV209">IFERROR(INDEX(V209:AG209,1,MATCH(Parametres!$B$3,V$1:AG$1,0)-1)*IF(OR(C209="L",C209="S",C209="I"),-1,1),"")</f>
        <v>0</v>
      </c>
      <c r="AW209" s="794">
        <f t="shared" si="6"/>
        <v>0</v>
      </c>
      <c r="AX209" s="794">
        <f t="array" ref="AX209">INDEX(V209:AG209,1,MATCH(Parametres!$B$3,V$1:AG$1,0))*IF(OR(C209="L",C209="S",C209="I"),-1,1)</f>
        <v>0</v>
      </c>
      <c r="AY209" s="853" t="s">
        <v>772</v>
      </c>
      <c r="AZ209" s="853" t="str">
        <f>+VLOOKUP($AJ209,Data_Validation!$A:$E,5,0)</f>
        <v>#N/A</v>
      </c>
    </row>
    <row r="210" ht="15.0" customHeight="1">
      <c r="A210" s="849" t="s">
        <v>1239</v>
      </c>
      <c r="B210" s="849">
        <v>2025.0</v>
      </c>
      <c r="C210" s="849" t="s">
        <v>1728</v>
      </c>
      <c r="D210" s="849" t="s">
        <v>1729</v>
      </c>
      <c r="E210" s="849" t="s">
        <v>768</v>
      </c>
      <c r="F210" s="849" t="s">
        <v>1200</v>
      </c>
      <c r="G210" s="849">
        <v>14.74</v>
      </c>
      <c r="H210" s="849">
        <v>14.74</v>
      </c>
      <c r="I210" s="849">
        <v>106.29</v>
      </c>
      <c r="J210" s="849">
        <v>251.96</v>
      </c>
      <c r="K210" s="849">
        <v>303.56</v>
      </c>
      <c r="L210" s="849">
        <v>8136.67</v>
      </c>
      <c r="M210" s="849">
        <v>9030.56</v>
      </c>
      <c r="N210" s="849">
        <v>10923.38</v>
      </c>
      <c r="O210" s="849">
        <v>13777.57</v>
      </c>
      <c r="P210" s="849">
        <v>15406.26</v>
      </c>
      <c r="Q210" s="849">
        <v>15778.09</v>
      </c>
      <c r="R210" s="849">
        <v>15863.79</v>
      </c>
      <c r="S210" s="849">
        <v>1434.37</v>
      </c>
      <c r="T210" s="849">
        <v>1434.37</v>
      </c>
      <c r="U210" s="849">
        <v>0.0</v>
      </c>
      <c r="V210" s="849">
        <v>0.0</v>
      </c>
      <c r="W210" s="849">
        <v>0.0</v>
      </c>
      <c r="X210" s="849">
        <v>0.0</v>
      </c>
      <c r="Y210" s="849">
        <v>0.0</v>
      </c>
      <c r="Z210" s="849">
        <v>0.0</v>
      </c>
      <c r="AA210" s="849">
        <v>0.0</v>
      </c>
      <c r="AB210" s="849">
        <v>0.0</v>
      </c>
      <c r="AC210" s="849">
        <v>0.0</v>
      </c>
      <c r="AD210" s="849">
        <v>0.0</v>
      </c>
      <c r="AE210" s="849">
        <v>0.0</v>
      </c>
      <c r="AF210" s="849">
        <v>0.0</v>
      </c>
      <c r="AG210" s="849">
        <v>0.0</v>
      </c>
      <c r="AH210" s="849">
        <v>0.0</v>
      </c>
      <c r="AI210" s="849">
        <v>0.0</v>
      </c>
      <c r="AJ210" s="794" t="str">
        <f t="shared" ref="AJ210:AK210" si="417">C210</f>
        <v>G0771</v>
      </c>
      <c r="AK210" s="794" t="str">
        <f t="shared" si="417"/>
        <v>DEPENSES DIVERSES-NEUFS</v>
      </c>
      <c r="AL210" s="794">
        <f t="array" ref="AL210">IFERROR(INDEX(G210:R210,1,MATCH(Parametres!$B$3,G$1:R$1,0)-1)*IF(OR(F210="L",F210="S",F210="I"),-1,1),"")</f>
        <v>10923.38</v>
      </c>
      <c r="AM210" s="794">
        <f t="shared" si="4"/>
        <v>2854.19</v>
      </c>
      <c r="AN210" s="794">
        <f t="array" ref="AN210">INDEX(G210:R210,1,MATCH(Parametres!$B$3,G$1:R$1,0))*IF(OR(F210="L",F210="S",F210="I"),-1,1)</f>
        <v>13777.57</v>
      </c>
      <c r="AO210" s="853" t="str">
        <f>+VLOOKUP($AJ210,Data_Validation!$A:$D,1,0)</f>
        <v>G0771</v>
      </c>
      <c r="AP210" s="853" t="str">
        <f>+VLOOKUP($AJ210,Data_Validation!$A:$D,3,0)</f>
        <v>Véhicules neufs</v>
      </c>
      <c r="AQ210" s="853" t="str">
        <f>+VLOOKUP($AJ210,Data_Validation!$A:$D,4,0)</f>
        <v>Divers</v>
      </c>
      <c r="AR210" s="853" t="s">
        <v>728</v>
      </c>
      <c r="AS210" s="853" t="str">
        <f>+VLOOKUP($AJ210,Data_Validation!$A:$E,5,0)</f>
        <v/>
      </c>
      <c r="AT210" s="794" t="str">
        <f t="shared" ref="AT210:AU210" si="418">C210</f>
        <v>G0771</v>
      </c>
      <c r="AU210" s="854" t="str">
        <f t="shared" si="418"/>
        <v>DEPENSES DIVERSES-NEUFS</v>
      </c>
      <c r="AV210" s="794">
        <f t="array" ref="AV210">IFERROR(INDEX(V210:AG210,1,MATCH(Parametres!$B$3,V$1:AG$1,0)-1)*IF(OR(C210="L",C210="S",C210="I"),-1,1),"")</f>
        <v>0</v>
      </c>
      <c r="AW210" s="794">
        <f t="shared" si="6"/>
        <v>0</v>
      </c>
      <c r="AX210" s="794">
        <f t="array" ref="AX210">INDEX(V210:AG210,1,MATCH(Parametres!$B$3,V$1:AG$1,0))*IF(OR(C210="L",C210="S",C210="I"),-1,1)</f>
        <v>0</v>
      </c>
      <c r="AY210" s="853" t="s">
        <v>772</v>
      </c>
      <c r="AZ210" s="853" t="str">
        <f>+VLOOKUP($AJ210,Data_Validation!$A:$E,5,0)</f>
        <v/>
      </c>
    </row>
    <row r="211" ht="15.75" customHeight="1">
      <c r="A211" s="849" t="s">
        <v>1239</v>
      </c>
      <c r="B211" s="849">
        <v>2025.0</v>
      </c>
      <c r="C211" s="849" t="s">
        <v>1730</v>
      </c>
      <c r="D211" s="849" t="s">
        <v>1731</v>
      </c>
      <c r="E211" s="849" t="s">
        <v>768</v>
      </c>
      <c r="F211" s="849" t="s">
        <v>1200</v>
      </c>
      <c r="G211" s="849">
        <v>0.0</v>
      </c>
      <c r="H211" s="849">
        <v>0.0</v>
      </c>
      <c r="I211" s="849">
        <v>61.02</v>
      </c>
      <c r="J211" s="849">
        <v>61.02</v>
      </c>
      <c r="K211" s="849">
        <v>68.94</v>
      </c>
      <c r="L211" s="849">
        <v>5291.01</v>
      </c>
      <c r="M211" s="849">
        <v>5886.92</v>
      </c>
      <c r="N211" s="849">
        <v>7148.77</v>
      </c>
      <c r="O211" s="849">
        <v>9051.54</v>
      </c>
      <c r="P211" s="849">
        <v>10137.33</v>
      </c>
      <c r="Q211" s="849">
        <v>10385.21</v>
      </c>
      <c r="R211" s="849">
        <v>10442.34</v>
      </c>
      <c r="S211" s="849">
        <v>944.11</v>
      </c>
      <c r="T211" s="849">
        <v>944.11</v>
      </c>
      <c r="U211" s="849">
        <v>0.0</v>
      </c>
      <c r="V211" s="849">
        <v>0.0</v>
      </c>
      <c r="W211" s="849">
        <v>0.0</v>
      </c>
      <c r="X211" s="849">
        <v>0.0</v>
      </c>
      <c r="Y211" s="849">
        <v>0.0</v>
      </c>
      <c r="Z211" s="849">
        <v>0.0</v>
      </c>
      <c r="AA211" s="849">
        <v>0.0</v>
      </c>
      <c r="AB211" s="849">
        <v>0.0</v>
      </c>
      <c r="AC211" s="849">
        <v>0.0</v>
      </c>
      <c r="AD211" s="849">
        <v>0.0</v>
      </c>
      <c r="AE211" s="849">
        <v>0.0</v>
      </c>
      <c r="AF211" s="849">
        <v>0.0</v>
      </c>
      <c r="AG211" s="849">
        <v>0.0</v>
      </c>
      <c r="AH211" s="849">
        <v>0.0</v>
      </c>
      <c r="AI211" s="849">
        <v>0.0</v>
      </c>
      <c r="AJ211" s="794" t="str">
        <f t="shared" ref="AJ211:AK211" si="419">C211</f>
        <v>G0772</v>
      </c>
      <c r="AK211" s="794" t="str">
        <f t="shared" si="419"/>
        <v>DEPENSES DIVERSES-USAGES</v>
      </c>
      <c r="AL211" s="794">
        <f t="array" ref="AL211">IFERROR(INDEX(G211:R211,1,MATCH(Parametres!$B$3,G$1:R$1,0)-1)*IF(OR(F211="L",F211="S",F211="I"),-1,1),"")</f>
        <v>7148.77</v>
      </c>
      <c r="AM211" s="794">
        <f t="shared" si="4"/>
        <v>1902.77</v>
      </c>
      <c r="AN211" s="794">
        <f t="array" ref="AN211">INDEX(G211:R211,1,MATCH(Parametres!$B$3,G$1:R$1,0))*IF(OR(F211="L",F211="S",F211="I"),-1,1)</f>
        <v>9051.54</v>
      </c>
      <c r="AO211" s="853" t="str">
        <f>+VLOOKUP($AJ211,Data_Validation!$A:$D,1,0)</f>
        <v>G0772</v>
      </c>
      <c r="AP211" s="853" t="str">
        <f>+VLOOKUP($AJ211,Data_Validation!$A:$D,3,0)</f>
        <v>Véhicules usagés</v>
      </c>
      <c r="AQ211" s="853" t="str">
        <f>+VLOOKUP($AJ211,Data_Validation!$A:$D,4,0)</f>
        <v>Divers</v>
      </c>
      <c r="AR211" s="853" t="s">
        <v>728</v>
      </c>
      <c r="AS211" s="853" t="str">
        <f>+VLOOKUP($AJ211,Data_Validation!$A:$E,5,0)</f>
        <v/>
      </c>
      <c r="AT211" s="794" t="str">
        <f t="shared" ref="AT211:AU211" si="420">C211</f>
        <v>G0772</v>
      </c>
      <c r="AU211" s="854" t="str">
        <f t="shared" si="420"/>
        <v>DEPENSES DIVERSES-USAGES</v>
      </c>
      <c r="AV211" s="794">
        <f t="array" ref="AV211">IFERROR(INDEX(V211:AG211,1,MATCH(Parametres!$B$3,V$1:AG$1,0)-1)*IF(OR(C211="L",C211="S",C211="I"),-1,1),"")</f>
        <v>0</v>
      </c>
      <c r="AW211" s="794">
        <f t="shared" si="6"/>
        <v>0</v>
      </c>
      <c r="AX211" s="794">
        <f t="array" ref="AX211">INDEX(V211:AG211,1,MATCH(Parametres!$B$3,V$1:AG$1,0))*IF(OR(C211="L",C211="S",C211="I"),-1,1)</f>
        <v>0</v>
      </c>
      <c r="AY211" s="853" t="s">
        <v>772</v>
      </c>
      <c r="AZ211" s="853" t="str">
        <f>+VLOOKUP($AJ211,Data_Validation!$A:$E,5,0)</f>
        <v/>
      </c>
    </row>
    <row r="212" ht="15.0" customHeight="1">
      <c r="A212" s="849" t="s">
        <v>1239</v>
      </c>
      <c r="B212" s="849">
        <v>2025.0</v>
      </c>
      <c r="C212" s="849" t="s">
        <v>1732</v>
      </c>
      <c r="D212" s="849" t="s">
        <v>1733</v>
      </c>
      <c r="E212" s="849" t="s">
        <v>768</v>
      </c>
      <c r="F212" s="849" t="s">
        <v>1200</v>
      </c>
      <c r="G212" s="849">
        <v>0.0</v>
      </c>
      <c r="H212" s="849">
        <v>0.0</v>
      </c>
      <c r="I212" s="849">
        <v>0.0</v>
      </c>
      <c r="J212" s="849">
        <v>0.0</v>
      </c>
      <c r="K212" s="849">
        <v>79.9</v>
      </c>
      <c r="L212" s="849">
        <v>79.9</v>
      </c>
      <c r="M212" s="849">
        <v>79.9</v>
      </c>
      <c r="N212" s="849">
        <v>79.9</v>
      </c>
      <c r="O212" s="849">
        <v>79.9</v>
      </c>
      <c r="P212" s="849">
        <v>79.9</v>
      </c>
      <c r="Q212" s="849">
        <v>79.9</v>
      </c>
      <c r="R212" s="849">
        <v>79.9</v>
      </c>
      <c r="S212" s="849">
        <v>7.26</v>
      </c>
      <c r="T212" s="849">
        <v>7.26</v>
      </c>
      <c r="U212" s="849">
        <v>0.0</v>
      </c>
      <c r="V212" s="849">
        <v>0.0</v>
      </c>
      <c r="W212" s="849">
        <v>0.0</v>
      </c>
      <c r="X212" s="849">
        <v>0.0</v>
      </c>
      <c r="Y212" s="849">
        <v>0.0</v>
      </c>
      <c r="Z212" s="849">
        <v>0.0</v>
      </c>
      <c r="AA212" s="849">
        <v>0.0</v>
      </c>
      <c r="AB212" s="849">
        <v>0.0</v>
      </c>
      <c r="AC212" s="849">
        <v>0.0</v>
      </c>
      <c r="AD212" s="849">
        <v>0.0</v>
      </c>
      <c r="AE212" s="849">
        <v>0.0</v>
      </c>
      <c r="AF212" s="849">
        <v>0.0</v>
      </c>
      <c r="AG212" s="849">
        <v>0.0</v>
      </c>
      <c r="AH212" s="849">
        <v>0.0</v>
      </c>
      <c r="AI212" s="849">
        <v>0.0</v>
      </c>
      <c r="AJ212" s="794" t="str">
        <f t="shared" ref="AJ212:AK212" si="421">C212</f>
        <v>G0773</v>
      </c>
      <c r="AK212" s="794" t="str">
        <f t="shared" si="421"/>
        <v>DEPENSES DIVERSES U.S.A</v>
      </c>
      <c r="AL212" s="794">
        <f t="array" ref="AL212">IFERROR(INDEX(G212:R212,1,MATCH(Parametres!$B$3,G$1:R$1,0)-1)*IF(OR(F212="L",F212="S",F212="I"),-1,1),"")</f>
        <v>79.9</v>
      </c>
      <c r="AM212" s="794">
        <f t="shared" si="4"/>
        <v>0</v>
      </c>
      <c r="AN212" s="794">
        <f t="array" ref="AN212">INDEX(G212:R212,1,MATCH(Parametres!$B$3,G$1:R$1,0))*IF(OR(F212="L",F212="S",F212="I"),-1,1)</f>
        <v>79.9</v>
      </c>
      <c r="AO212" s="853" t="str">
        <f>+VLOOKUP($AJ212,Data_Validation!$A:$D,1,0)</f>
        <v>G0773</v>
      </c>
      <c r="AP212" s="853" t="str">
        <f>+VLOOKUP($AJ212,Data_Validation!$A:$D,3,0)</f>
        <v>Wholesale autres</v>
      </c>
      <c r="AQ212" s="853" t="str">
        <f>+VLOOKUP($AJ212,Data_Validation!$A:$D,4,0)</f>
        <v>Divers</v>
      </c>
      <c r="AR212" s="853" t="s">
        <v>728</v>
      </c>
      <c r="AS212" s="853" t="str">
        <f>+VLOOKUP($AJ212,Data_Validation!$A:$E,5,0)</f>
        <v/>
      </c>
      <c r="AT212" s="794" t="str">
        <f t="shared" ref="AT212:AU212" si="422">C212</f>
        <v>G0773</v>
      </c>
      <c r="AU212" s="854" t="str">
        <f t="shared" si="422"/>
        <v>DEPENSES DIVERSES U.S.A</v>
      </c>
      <c r="AV212" s="794">
        <f t="array" ref="AV212">IFERROR(INDEX(V212:AG212,1,MATCH(Parametres!$B$3,V$1:AG$1,0)-1)*IF(OR(C212="L",C212="S",C212="I"),-1,1),"")</f>
        <v>0</v>
      </c>
      <c r="AW212" s="794">
        <f t="shared" si="6"/>
        <v>0</v>
      </c>
      <c r="AX212" s="794">
        <f t="array" ref="AX212">INDEX(V212:AG212,1,MATCH(Parametres!$B$3,V$1:AG$1,0))*IF(OR(C212="L",C212="S",C212="I"),-1,1)</f>
        <v>0</v>
      </c>
      <c r="AY212" s="853" t="s">
        <v>772</v>
      </c>
      <c r="AZ212" s="853" t="str">
        <f>+VLOOKUP($AJ212,Data_Validation!$A:$E,5,0)</f>
        <v/>
      </c>
    </row>
    <row r="213" ht="15.0" customHeight="1">
      <c r="A213" s="849" t="s">
        <v>1239</v>
      </c>
      <c r="B213" s="849">
        <v>2025.0</v>
      </c>
      <c r="C213" s="849" t="s">
        <v>1734</v>
      </c>
      <c r="D213" s="849" t="s">
        <v>1735</v>
      </c>
      <c r="E213" s="849" t="s">
        <v>768</v>
      </c>
      <c r="F213" s="849" t="s">
        <v>1200</v>
      </c>
      <c r="G213" s="849">
        <v>31.98</v>
      </c>
      <c r="H213" s="849">
        <v>31.98</v>
      </c>
      <c r="I213" s="849">
        <v>-1567.4</v>
      </c>
      <c r="J213" s="849">
        <v>-5954.4</v>
      </c>
      <c r="K213" s="849">
        <v>-7236.63</v>
      </c>
      <c r="L213" s="849">
        <v>481.53</v>
      </c>
      <c r="M213" s="849">
        <v>1325.47</v>
      </c>
      <c r="N213" s="849">
        <v>3218.29</v>
      </c>
      <c r="O213" s="849">
        <v>5897.58</v>
      </c>
      <c r="P213" s="849">
        <v>5606.87</v>
      </c>
      <c r="Q213" s="849">
        <v>3210.75</v>
      </c>
      <c r="R213" s="849">
        <v>3296.45</v>
      </c>
      <c r="S213" s="849">
        <v>291.89</v>
      </c>
      <c r="T213" s="849">
        <v>291.89</v>
      </c>
      <c r="U213" s="849">
        <v>0.0</v>
      </c>
      <c r="V213" s="849">
        <v>0.0</v>
      </c>
      <c r="W213" s="849">
        <v>0.0</v>
      </c>
      <c r="X213" s="849">
        <v>0.0</v>
      </c>
      <c r="Y213" s="849">
        <v>0.0</v>
      </c>
      <c r="Z213" s="849">
        <v>0.0</v>
      </c>
      <c r="AA213" s="849">
        <v>0.0</v>
      </c>
      <c r="AB213" s="849">
        <v>0.0</v>
      </c>
      <c r="AC213" s="849">
        <v>0.0</v>
      </c>
      <c r="AD213" s="849">
        <v>0.0</v>
      </c>
      <c r="AE213" s="849">
        <v>0.0</v>
      </c>
      <c r="AF213" s="849">
        <v>0.0</v>
      </c>
      <c r="AG213" s="849">
        <v>0.0</v>
      </c>
      <c r="AH213" s="849">
        <v>0.0</v>
      </c>
      <c r="AI213" s="849">
        <v>0.0</v>
      </c>
      <c r="AJ213" s="794" t="str">
        <f t="shared" ref="AJ213:AK213" si="423">C213</f>
        <v>G0774</v>
      </c>
      <c r="AK213" s="794" t="str">
        <f t="shared" si="423"/>
        <v>DEPENSES DIVERSES-SERVICE</v>
      </c>
      <c r="AL213" s="794">
        <f t="array" ref="AL213">IFERROR(INDEX(G213:R213,1,MATCH(Parametres!$B$3,G$1:R$1,0)-1)*IF(OR(F213="L",F213="S",F213="I"),-1,1),"")</f>
        <v>3218.29</v>
      </c>
      <c r="AM213" s="794">
        <f t="shared" si="4"/>
        <v>2679.29</v>
      </c>
      <c r="AN213" s="794">
        <f t="array" ref="AN213">INDEX(G213:R213,1,MATCH(Parametres!$B$3,G$1:R$1,0))*IF(OR(F213="L",F213="S",F213="I"),-1,1)</f>
        <v>5897.58</v>
      </c>
      <c r="AO213" s="853" t="str">
        <f>+VLOOKUP($AJ213,Data_Validation!$A:$D,1,0)</f>
        <v>G0774</v>
      </c>
      <c r="AP213" s="853" t="str">
        <f>+VLOOKUP($AJ213,Data_Validation!$A:$D,3,0)</f>
        <v>Service</v>
      </c>
      <c r="AQ213" s="853" t="str">
        <f>+VLOOKUP($AJ213,Data_Validation!$A:$D,4,0)</f>
        <v>Divers</v>
      </c>
      <c r="AR213" s="853" t="s">
        <v>728</v>
      </c>
      <c r="AS213" s="853" t="str">
        <f>+VLOOKUP($AJ213,Data_Validation!$A:$E,5,0)</f>
        <v/>
      </c>
      <c r="AT213" s="794" t="str">
        <f t="shared" ref="AT213:AU213" si="424">C213</f>
        <v>G0774</v>
      </c>
      <c r="AU213" s="854" t="str">
        <f t="shared" si="424"/>
        <v>DEPENSES DIVERSES-SERVICE</v>
      </c>
      <c r="AV213" s="794">
        <f t="array" ref="AV213">IFERROR(INDEX(V213:AG213,1,MATCH(Parametres!$B$3,V$1:AG$1,0)-1)*IF(OR(C213="L",C213="S",C213="I"),-1,1),"")</f>
        <v>0</v>
      </c>
      <c r="AW213" s="794">
        <f t="shared" si="6"/>
        <v>0</v>
      </c>
      <c r="AX213" s="794">
        <f t="array" ref="AX213">INDEX(V213:AG213,1,MATCH(Parametres!$B$3,V$1:AG$1,0))*IF(OR(C213="L",C213="S",C213="I"),-1,1)</f>
        <v>0</v>
      </c>
      <c r="AY213" s="853" t="s">
        <v>772</v>
      </c>
      <c r="AZ213" s="853" t="str">
        <f>+VLOOKUP($AJ213,Data_Validation!$A:$E,5,0)</f>
        <v/>
      </c>
    </row>
    <row r="214" ht="15.0" customHeight="1">
      <c r="A214" s="849" t="s">
        <v>1239</v>
      </c>
      <c r="B214" s="849">
        <v>2025.0</v>
      </c>
      <c r="C214" s="849" t="s">
        <v>1736</v>
      </c>
      <c r="D214" s="849" t="s">
        <v>1737</v>
      </c>
      <c r="E214" s="849" t="s">
        <v>768</v>
      </c>
      <c r="F214" s="849" t="s">
        <v>1200</v>
      </c>
      <c r="G214" s="849">
        <v>0.0</v>
      </c>
      <c r="H214" s="849">
        <v>0.0</v>
      </c>
      <c r="I214" s="849">
        <v>30.52</v>
      </c>
      <c r="J214" s="849">
        <v>30.52</v>
      </c>
      <c r="K214" s="849">
        <v>34.48</v>
      </c>
      <c r="L214" s="849">
        <v>2645.52</v>
      </c>
      <c r="M214" s="849">
        <v>2943.48</v>
      </c>
      <c r="N214" s="849">
        <v>3644.42</v>
      </c>
      <c r="O214" s="849">
        <v>4595.81</v>
      </c>
      <c r="P214" s="849">
        <v>5138.7</v>
      </c>
      <c r="Q214" s="849">
        <v>5262.64</v>
      </c>
      <c r="R214" s="849">
        <v>5291.21</v>
      </c>
      <c r="S214" s="849">
        <v>478.42</v>
      </c>
      <c r="T214" s="849">
        <v>478.42</v>
      </c>
      <c r="U214" s="849">
        <v>0.0</v>
      </c>
      <c r="V214" s="849">
        <v>0.0</v>
      </c>
      <c r="W214" s="849">
        <v>0.0</v>
      </c>
      <c r="X214" s="849">
        <v>0.0</v>
      </c>
      <c r="Y214" s="849">
        <v>0.0</v>
      </c>
      <c r="Z214" s="849">
        <v>0.0</v>
      </c>
      <c r="AA214" s="849">
        <v>0.0</v>
      </c>
      <c r="AB214" s="849">
        <v>0.0</v>
      </c>
      <c r="AC214" s="849">
        <v>0.0</v>
      </c>
      <c r="AD214" s="849">
        <v>0.0</v>
      </c>
      <c r="AE214" s="849">
        <v>0.0</v>
      </c>
      <c r="AF214" s="849">
        <v>0.0</v>
      </c>
      <c r="AG214" s="849">
        <v>0.0</v>
      </c>
      <c r="AH214" s="849">
        <v>0.0</v>
      </c>
      <c r="AI214" s="849">
        <v>0.0</v>
      </c>
      <c r="AJ214" s="794" t="str">
        <f t="shared" ref="AJ214:AK214" si="425">C214</f>
        <v>G0775</v>
      </c>
      <c r="AK214" s="794" t="str">
        <f t="shared" si="425"/>
        <v>DEPENSES DIVERSES-CARROSS</v>
      </c>
      <c r="AL214" s="794">
        <f t="array" ref="AL214">IFERROR(INDEX(G214:R214,1,MATCH(Parametres!$B$3,G$1:R$1,0)-1)*IF(OR(F214="L",F214="S",F214="I"),-1,1),"")</f>
        <v>3644.42</v>
      </c>
      <c r="AM214" s="794">
        <f t="shared" si="4"/>
        <v>951.39</v>
      </c>
      <c r="AN214" s="794">
        <f t="array" ref="AN214">INDEX(G214:R214,1,MATCH(Parametres!$B$3,G$1:R$1,0))*IF(OR(F214="L",F214="S",F214="I"),-1,1)</f>
        <v>4595.81</v>
      </c>
      <c r="AO214" s="853" t="str">
        <f>+VLOOKUP($AJ214,Data_Validation!$A:$D,1,0)</f>
        <v>G0775</v>
      </c>
      <c r="AP214" s="853" t="str">
        <f>+VLOOKUP($AJ214,Data_Validation!$A:$D,3,0)</f>
        <v>Carrosserie</v>
      </c>
      <c r="AQ214" s="853" t="str">
        <f>+VLOOKUP($AJ214,Data_Validation!$A:$D,4,0)</f>
        <v>Divers</v>
      </c>
      <c r="AR214" s="853" t="s">
        <v>728</v>
      </c>
      <c r="AS214" s="853" t="str">
        <f>+VLOOKUP($AJ214,Data_Validation!$A:$E,5,0)</f>
        <v/>
      </c>
      <c r="AT214" s="794" t="str">
        <f t="shared" ref="AT214:AU214" si="426">C214</f>
        <v>G0775</v>
      </c>
      <c r="AU214" s="854" t="str">
        <f t="shared" si="426"/>
        <v>DEPENSES DIVERSES-CARROSS</v>
      </c>
      <c r="AV214" s="794">
        <f t="array" ref="AV214">IFERROR(INDEX(V214:AG214,1,MATCH(Parametres!$B$3,V$1:AG$1,0)-1)*IF(OR(C214="L",C214="S",C214="I"),-1,1),"")</f>
        <v>0</v>
      </c>
      <c r="AW214" s="794">
        <f t="shared" si="6"/>
        <v>0</v>
      </c>
      <c r="AX214" s="794">
        <f t="array" ref="AX214">INDEX(V214:AG214,1,MATCH(Parametres!$B$3,V$1:AG$1,0))*IF(OR(C214="L",C214="S",C214="I"),-1,1)</f>
        <v>0</v>
      </c>
      <c r="AY214" s="853" t="s">
        <v>772</v>
      </c>
      <c r="AZ214" s="853" t="str">
        <f>+VLOOKUP($AJ214,Data_Validation!$A:$E,5,0)</f>
        <v/>
      </c>
    </row>
    <row r="215" ht="15.75" customHeight="1">
      <c r="A215" s="849" t="s">
        <v>1239</v>
      </c>
      <c r="B215" s="849">
        <v>2025.0</v>
      </c>
      <c r="C215" s="849" t="s">
        <v>1738</v>
      </c>
      <c r="D215" s="849" t="s">
        <v>1739</v>
      </c>
      <c r="E215" s="849" t="s">
        <v>768</v>
      </c>
      <c r="F215" s="849" t="s">
        <v>1200</v>
      </c>
      <c r="G215" s="849">
        <v>0.0</v>
      </c>
      <c r="H215" s="849">
        <v>0.0</v>
      </c>
      <c r="I215" s="849">
        <v>30.49</v>
      </c>
      <c r="J215" s="849">
        <v>30.49</v>
      </c>
      <c r="K215" s="849">
        <v>34.45</v>
      </c>
      <c r="L215" s="849">
        <v>2645.47</v>
      </c>
      <c r="M215" s="849">
        <v>2943.42</v>
      </c>
      <c r="N215" s="849">
        <v>3574.34</v>
      </c>
      <c r="O215" s="849">
        <v>4525.74</v>
      </c>
      <c r="P215" s="849">
        <v>5068.61</v>
      </c>
      <c r="Q215" s="849">
        <v>5192.55</v>
      </c>
      <c r="R215" s="849">
        <v>5221.11</v>
      </c>
      <c r="S215" s="849">
        <v>472.05</v>
      </c>
      <c r="T215" s="849">
        <v>472.05</v>
      </c>
      <c r="U215" s="849">
        <v>0.0</v>
      </c>
      <c r="V215" s="849">
        <v>0.0</v>
      </c>
      <c r="W215" s="849">
        <v>0.0</v>
      </c>
      <c r="X215" s="849">
        <v>0.0</v>
      </c>
      <c r="Y215" s="849">
        <v>0.0</v>
      </c>
      <c r="Z215" s="849">
        <v>0.0</v>
      </c>
      <c r="AA215" s="849">
        <v>0.0</v>
      </c>
      <c r="AB215" s="849">
        <v>0.0</v>
      </c>
      <c r="AC215" s="849">
        <v>0.0</v>
      </c>
      <c r="AD215" s="849">
        <v>0.0</v>
      </c>
      <c r="AE215" s="849">
        <v>0.0</v>
      </c>
      <c r="AF215" s="849">
        <v>0.0</v>
      </c>
      <c r="AG215" s="849">
        <v>0.0</v>
      </c>
      <c r="AH215" s="849">
        <v>0.0</v>
      </c>
      <c r="AI215" s="849">
        <v>0.0</v>
      </c>
      <c r="AJ215" s="794" t="str">
        <f t="shared" ref="AJ215:AK215" si="427">C215</f>
        <v>G0776</v>
      </c>
      <c r="AK215" s="794" t="str">
        <f t="shared" si="427"/>
        <v>DEPENSES DIVERSES-PCES</v>
      </c>
      <c r="AL215" s="794">
        <f t="array" ref="AL215">IFERROR(INDEX(G215:R215,1,MATCH(Parametres!$B$3,G$1:R$1,0)-1)*IF(OR(F215="L",F215="S",F215="I"),-1,1),"")</f>
        <v>3574.34</v>
      </c>
      <c r="AM215" s="794">
        <f t="shared" si="4"/>
        <v>951.4</v>
      </c>
      <c r="AN215" s="794">
        <f t="array" ref="AN215">INDEX(G215:R215,1,MATCH(Parametres!$B$3,G$1:R$1,0))*IF(OR(F215="L",F215="S",F215="I"),-1,1)</f>
        <v>4525.74</v>
      </c>
      <c r="AO215" s="853" t="str">
        <f>+VLOOKUP($AJ215,Data_Validation!$A:$D,1,0)</f>
        <v>G0776</v>
      </c>
      <c r="AP215" s="853" t="str">
        <f>+VLOOKUP($AJ215,Data_Validation!$A:$D,3,0)</f>
        <v>Pièces</v>
      </c>
      <c r="AQ215" s="853" t="str">
        <f>+VLOOKUP($AJ215,Data_Validation!$A:$D,4,0)</f>
        <v>Divers</v>
      </c>
      <c r="AR215" s="853" t="s">
        <v>728</v>
      </c>
      <c r="AS215" s="853" t="str">
        <f>+VLOOKUP($AJ215,Data_Validation!$A:$E,5,0)</f>
        <v/>
      </c>
      <c r="AT215" s="794" t="str">
        <f t="shared" ref="AT215:AU215" si="428">C215</f>
        <v>G0776</v>
      </c>
      <c r="AU215" s="854" t="str">
        <f t="shared" si="428"/>
        <v>DEPENSES DIVERSES-PCES</v>
      </c>
      <c r="AV215" s="794">
        <f t="array" ref="AV215">IFERROR(INDEX(V215:AG215,1,MATCH(Parametres!$B$3,V$1:AG$1,0)-1)*IF(OR(C215="L",C215="S",C215="I"),-1,1),"")</f>
        <v>0</v>
      </c>
      <c r="AW215" s="794">
        <f t="shared" si="6"/>
        <v>0</v>
      </c>
      <c r="AX215" s="794">
        <f t="array" ref="AX215">INDEX(V215:AG215,1,MATCH(Parametres!$B$3,V$1:AG$1,0))*IF(OR(C215="L",C215="S",C215="I"),-1,1)</f>
        <v>0</v>
      </c>
      <c r="AY215" s="853" t="s">
        <v>772</v>
      </c>
      <c r="AZ215" s="853" t="str">
        <f>+VLOOKUP($AJ215,Data_Validation!$A:$E,5,0)</f>
        <v/>
      </c>
    </row>
    <row r="216" ht="15.0" customHeight="1">
      <c r="A216" s="849" t="s">
        <v>1239</v>
      </c>
      <c r="B216" s="849">
        <v>2025.0</v>
      </c>
      <c r="C216" s="849" t="s">
        <v>1740</v>
      </c>
      <c r="D216" s="849" t="s">
        <v>3504</v>
      </c>
      <c r="E216" s="849" t="s">
        <v>768</v>
      </c>
      <c r="F216" s="849" t="s">
        <v>1200</v>
      </c>
      <c r="G216" s="849">
        <v>0.0</v>
      </c>
      <c r="H216" s="849">
        <v>0.0</v>
      </c>
      <c r="I216" s="849">
        <v>0.0</v>
      </c>
      <c r="J216" s="849">
        <v>0.0</v>
      </c>
      <c r="K216" s="849">
        <v>0.0</v>
      </c>
      <c r="L216" s="849">
        <v>0.0</v>
      </c>
      <c r="M216" s="849">
        <v>0.0</v>
      </c>
      <c r="N216" s="849">
        <v>0.0</v>
      </c>
      <c r="O216" s="849">
        <v>0.0</v>
      </c>
      <c r="P216" s="849">
        <v>0.0</v>
      </c>
      <c r="Q216" s="849">
        <v>0.0</v>
      </c>
      <c r="R216" s="849">
        <v>0.0</v>
      </c>
      <c r="S216" s="849">
        <v>0.0</v>
      </c>
      <c r="T216" s="849">
        <v>0.0</v>
      </c>
      <c r="U216" s="849">
        <v>0.0</v>
      </c>
      <c r="V216" s="849">
        <v>0.0</v>
      </c>
      <c r="W216" s="849">
        <v>0.0</v>
      </c>
      <c r="X216" s="849">
        <v>0.0</v>
      </c>
      <c r="Y216" s="849">
        <v>0.0</v>
      </c>
      <c r="Z216" s="849">
        <v>0.0</v>
      </c>
      <c r="AA216" s="849">
        <v>0.0</v>
      </c>
      <c r="AB216" s="849">
        <v>0.0</v>
      </c>
      <c r="AC216" s="849">
        <v>0.0</v>
      </c>
      <c r="AD216" s="849">
        <v>0.0</v>
      </c>
      <c r="AE216" s="849">
        <v>0.0</v>
      </c>
      <c r="AF216" s="849">
        <v>0.0</v>
      </c>
      <c r="AG216" s="849">
        <v>0.0</v>
      </c>
      <c r="AH216" s="849">
        <v>0.0</v>
      </c>
      <c r="AI216" s="849">
        <v>0.0</v>
      </c>
      <c r="AJ216" s="794" t="str">
        <f t="shared" ref="AJ216:AK216" si="429">C216</f>
        <v>G0777</v>
      </c>
      <c r="AK216" s="794" t="str">
        <f t="shared" si="429"/>
        <v>FRAIS DIVERS-PIECE</v>
      </c>
      <c r="AL216" s="794">
        <f t="array" ref="AL216">IFERROR(INDEX(G216:R216,1,MATCH(Parametres!$B$3,G$1:R$1,0)-1)*IF(OR(F216="L",F216="S",F216="I"),-1,1),"")</f>
        <v>0</v>
      </c>
      <c r="AM216" s="794">
        <f t="shared" si="4"/>
        <v>0</v>
      </c>
      <c r="AN216" s="794">
        <f t="array" ref="AN216">INDEX(G216:R216,1,MATCH(Parametres!$B$3,G$1:R$1,0))*IF(OR(F216="L",F216="S",F216="I"),-1,1)</f>
        <v>0</v>
      </c>
      <c r="AO216" s="853" t="str">
        <f>+VLOOKUP($AJ216,Data_Validation!$A:$D,1,0)</f>
        <v>G0777</v>
      </c>
      <c r="AP216" s="853" t="str">
        <f>+VLOOKUP($AJ216,Data_Validation!$A:$D,3,0)</f>
        <v>SAAQ</v>
      </c>
      <c r="AQ216" s="853" t="str">
        <f>+VLOOKUP($AJ216,Data_Validation!$A:$D,4,0)</f>
        <v>Divers</v>
      </c>
      <c r="AR216" s="853" t="s">
        <v>728</v>
      </c>
      <c r="AS216" s="853" t="str">
        <f>+VLOOKUP($AJ216,Data_Validation!$A:$E,5,0)</f>
        <v/>
      </c>
      <c r="AT216" s="794" t="str">
        <f t="shared" ref="AT216:AU216" si="430">C216</f>
        <v>G0777</v>
      </c>
      <c r="AU216" s="854" t="str">
        <f t="shared" si="430"/>
        <v>FRAIS DIVERS-PIECE</v>
      </c>
      <c r="AV216" s="794">
        <f t="array" ref="AV216">IFERROR(INDEX(V216:AG216,1,MATCH(Parametres!$B$3,V$1:AG$1,0)-1)*IF(OR(C216="L",C216="S",C216="I"),-1,1),"")</f>
        <v>0</v>
      </c>
      <c r="AW216" s="794">
        <f t="shared" si="6"/>
        <v>0</v>
      </c>
      <c r="AX216" s="794">
        <f t="array" ref="AX216">INDEX(V216:AG216,1,MATCH(Parametres!$B$3,V$1:AG$1,0))*IF(OR(C216="L",C216="S",C216="I"),-1,1)</f>
        <v>0</v>
      </c>
      <c r="AY216" s="853" t="s">
        <v>772</v>
      </c>
      <c r="AZ216" s="853" t="str">
        <f>+VLOOKUP($AJ216,Data_Validation!$A:$E,5,0)</f>
        <v/>
      </c>
    </row>
    <row r="217" ht="15.0" customHeight="1">
      <c r="A217" s="849" t="s">
        <v>1239</v>
      </c>
      <c r="B217" s="849">
        <v>2025.0</v>
      </c>
      <c r="C217" s="849" t="s">
        <v>1742</v>
      </c>
      <c r="D217" s="849" t="s">
        <v>3495</v>
      </c>
      <c r="E217" s="849" t="s">
        <v>768</v>
      </c>
      <c r="F217" s="849" t="s">
        <v>1200</v>
      </c>
      <c r="G217" s="849">
        <v>0.0</v>
      </c>
      <c r="H217" s="849">
        <v>0.0</v>
      </c>
      <c r="I217" s="849">
        <v>0.0</v>
      </c>
      <c r="J217" s="849">
        <v>0.0</v>
      </c>
      <c r="K217" s="849">
        <v>0.0</v>
      </c>
      <c r="L217" s="849">
        <v>0.0</v>
      </c>
      <c r="M217" s="849">
        <v>0.0</v>
      </c>
      <c r="N217" s="849">
        <v>0.0</v>
      </c>
      <c r="O217" s="849">
        <v>0.0</v>
      </c>
      <c r="P217" s="849">
        <v>0.0</v>
      </c>
      <c r="Q217" s="849">
        <v>0.0</v>
      </c>
      <c r="R217" s="849">
        <v>0.0</v>
      </c>
      <c r="S217" s="849">
        <v>0.0</v>
      </c>
      <c r="T217" s="849">
        <v>0.0</v>
      </c>
      <c r="U217" s="849">
        <v>0.0</v>
      </c>
      <c r="V217" s="849">
        <v>0.0</v>
      </c>
      <c r="W217" s="849">
        <v>0.0</v>
      </c>
      <c r="X217" s="849">
        <v>0.0</v>
      </c>
      <c r="Y217" s="849">
        <v>0.0</v>
      </c>
      <c r="Z217" s="849">
        <v>0.0</v>
      </c>
      <c r="AA217" s="849">
        <v>0.0</v>
      </c>
      <c r="AB217" s="849">
        <v>0.0</v>
      </c>
      <c r="AC217" s="849">
        <v>0.0</v>
      </c>
      <c r="AD217" s="849">
        <v>0.0</v>
      </c>
      <c r="AE217" s="849">
        <v>0.0</v>
      </c>
      <c r="AF217" s="849">
        <v>0.0</v>
      </c>
      <c r="AG217" s="849">
        <v>0.0</v>
      </c>
      <c r="AH217" s="849">
        <v>0.0</v>
      </c>
      <c r="AI217" s="849">
        <v>0.0</v>
      </c>
      <c r="AJ217" s="794" t="str">
        <f t="shared" ref="AJ217:AK217" si="431">C217</f>
        <v>G0779</v>
      </c>
      <c r="AK217" s="794" t="str">
        <f t="shared" si="431"/>
        <v>DEPENSES DIVERSES-ADMIN</v>
      </c>
      <c r="AL217" s="794">
        <f t="array" ref="AL217">IFERROR(INDEX(G217:R217,1,MATCH(Parametres!$B$3,G$1:R$1,0)-1)*IF(OR(F217="L",F217="S",F217="I"),-1,1),"")</f>
        <v>0</v>
      </c>
      <c r="AM217" s="794">
        <f t="shared" si="4"/>
        <v>0</v>
      </c>
      <c r="AN217" s="794">
        <f t="array" ref="AN217">INDEX(G217:R217,1,MATCH(Parametres!$B$3,G$1:R$1,0))*IF(OR(F217="L",F217="S",F217="I"),-1,1)</f>
        <v>0</v>
      </c>
      <c r="AO217" s="853" t="str">
        <f>+VLOOKUP($AJ217,Data_Validation!$A:$D,1,0)</f>
        <v>G0779</v>
      </c>
      <c r="AP217" s="853" t="str">
        <f>+VLOOKUP($AJ217,Data_Validation!$A:$D,3,0)</f>
        <v/>
      </c>
      <c r="AQ217" s="853" t="str">
        <f>+VLOOKUP($AJ217,Data_Validation!$A:$D,4,0)</f>
        <v/>
      </c>
      <c r="AR217" s="853" t="s">
        <v>728</v>
      </c>
      <c r="AS217" s="853" t="str">
        <f>+VLOOKUP($AJ217,Data_Validation!$A:$E,5,0)</f>
        <v/>
      </c>
      <c r="AT217" s="794" t="str">
        <f t="shared" ref="AT217:AU217" si="432">C217</f>
        <v>G0779</v>
      </c>
      <c r="AU217" s="854" t="str">
        <f t="shared" si="432"/>
        <v>DEPENSES DIVERSES-ADMIN</v>
      </c>
      <c r="AV217" s="794">
        <f t="array" ref="AV217">IFERROR(INDEX(V217:AG217,1,MATCH(Parametres!$B$3,V$1:AG$1,0)-1)*IF(OR(C217="L",C217="S",C217="I"),-1,1),"")</f>
        <v>0</v>
      </c>
      <c r="AW217" s="794">
        <f t="shared" si="6"/>
        <v>0</v>
      </c>
      <c r="AX217" s="794">
        <f t="array" ref="AX217">INDEX(V217:AG217,1,MATCH(Parametres!$B$3,V$1:AG$1,0))*IF(OR(C217="L",C217="S",C217="I"),-1,1)</f>
        <v>0</v>
      </c>
      <c r="AY217" s="853" t="s">
        <v>772</v>
      </c>
      <c r="AZ217" s="853" t="str">
        <f>+VLOOKUP($AJ217,Data_Validation!$A:$E,5,0)</f>
        <v/>
      </c>
    </row>
    <row r="218" ht="15.0" customHeight="1">
      <c r="A218" s="849" t="s">
        <v>1239</v>
      </c>
      <c r="B218" s="849">
        <v>2025.0</v>
      </c>
      <c r="C218" s="849" t="s">
        <v>1744</v>
      </c>
      <c r="D218" s="849" t="s">
        <v>1478</v>
      </c>
      <c r="E218" s="849" t="s">
        <v>768</v>
      </c>
      <c r="F218" s="849" t="s">
        <v>1200</v>
      </c>
      <c r="G218" s="849">
        <v>0.0</v>
      </c>
      <c r="H218" s="849">
        <v>0.0</v>
      </c>
      <c r="I218" s="849">
        <v>0.0</v>
      </c>
      <c r="J218" s="849">
        <v>0.0</v>
      </c>
      <c r="K218" s="849">
        <v>0.0</v>
      </c>
      <c r="L218" s="849">
        <v>0.0</v>
      </c>
      <c r="M218" s="849">
        <v>0.0</v>
      </c>
      <c r="N218" s="849">
        <v>0.0</v>
      </c>
      <c r="O218" s="849">
        <v>0.0</v>
      </c>
      <c r="P218" s="849">
        <v>0.0</v>
      </c>
      <c r="Q218" s="849">
        <v>0.0</v>
      </c>
      <c r="R218" s="849">
        <v>0.0</v>
      </c>
      <c r="S218" s="849">
        <v>0.0</v>
      </c>
      <c r="T218" s="849">
        <v>0.0</v>
      </c>
      <c r="U218" s="849">
        <v>0.0</v>
      </c>
      <c r="V218" s="849">
        <v>0.0</v>
      </c>
      <c r="W218" s="849">
        <v>0.0</v>
      </c>
      <c r="X218" s="849">
        <v>0.0</v>
      </c>
      <c r="Y218" s="849">
        <v>0.0</v>
      </c>
      <c r="Z218" s="849">
        <v>0.0</v>
      </c>
      <c r="AA218" s="849">
        <v>0.0</v>
      </c>
      <c r="AB218" s="849">
        <v>0.0</v>
      </c>
      <c r="AC218" s="849">
        <v>0.0</v>
      </c>
      <c r="AD218" s="849">
        <v>0.0</v>
      </c>
      <c r="AE218" s="849">
        <v>0.0</v>
      </c>
      <c r="AF218" s="849">
        <v>0.0</v>
      </c>
      <c r="AG218" s="849">
        <v>0.0</v>
      </c>
      <c r="AH218" s="849">
        <v>0.0</v>
      </c>
      <c r="AI218" s="849">
        <v>0.0</v>
      </c>
      <c r="AJ218" s="794" t="str">
        <f t="shared" ref="AJ218:AK218" si="433">C218</f>
        <v>G0780</v>
      </c>
      <c r="AK218" s="794" t="str">
        <f t="shared" si="433"/>
        <v>FRAIS DE BANQUE</v>
      </c>
      <c r="AL218" s="794">
        <f t="array" ref="AL218">IFERROR(INDEX(G218:R218,1,MATCH(Parametres!$B$3,G$1:R$1,0)-1)*IF(OR(F218="L",F218="S",F218="I"),-1,1),"")</f>
        <v>0</v>
      </c>
      <c r="AM218" s="794">
        <f t="shared" si="4"/>
        <v>0</v>
      </c>
      <c r="AN218" s="794">
        <f t="array" ref="AN218">INDEX(G218:R218,1,MATCH(Parametres!$B$3,G$1:R$1,0))*IF(OR(F218="L",F218="S",F218="I"),-1,1)</f>
        <v>0</v>
      </c>
      <c r="AO218" s="853" t="str">
        <f>+VLOOKUP($AJ218,Data_Validation!$A:$D,1,0)</f>
        <v>#N/A</v>
      </c>
      <c r="AP218" s="853" t="str">
        <f>+VLOOKUP($AJ218,Data_Validation!$A:$D,3,0)</f>
        <v>#N/A</v>
      </c>
      <c r="AQ218" s="853" t="str">
        <f>+VLOOKUP($AJ218,Data_Validation!$A:$D,4,0)</f>
        <v>#N/A</v>
      </c>
      <c r="AR218" s="853" t="s">
        <v>728</v>
      </c>
      <c r="AS218" s="853" t="str">
        <f>+VLOOKUP($AJ218,Data_Validation!$A:$E,5,0)</f>
        <v>#N/A</v>
      </c>
      <c r="AT218" s="794" t="str">
        <f t="shared" ref="AT218:AU218" si="434">C218</f>
        <v>G0780</v>
      </c>
      <c r="AU218" s="854" t="str">
        <f t="shared" si="434"/>
        <v>FRAIS DE BANQUE</v>
      </c>
      <c r="AV218" s="794">
        <f t="array" ref="AV218">IFERROR(INDEX(V218:AG218,1,MATCH(Parametres!$B$3,V$1:AG$1,0)-1)*IF(OR(C218="L",C218="S",C218="I"),-1,1),"")</f>
        <v>0</v>
      </c>
      <c r="AW218" s="794">
        <f t="shared" si="6"/>
        <v>0</v>
      </c>
      <c r="AX218" s="794">
        <f t="array" ref="AX218">INDEX(V218:AG218,1,MATCH(Parametres!$B$3,V$1:AG$1,0))*IF(OR(C218="L",C218="S",C218="I"),-1,1)</f>
        <v>0</v>
      </c>
      <c r="AY218" s="853" t="s">
        <v>772</v>
      </c>
      <c r="AZ218" s="853" t="str">
        <f>+VLOOKUP($AJ218,Data_Validation!$A:$E,5,0)</f>
        <v>#N/A</v>
      </c>
    </row>
    <row r="219" ht="15.75" customHeight="1">
      <c r="A219" s="849" t="s">
        <v>1239</v>
      </c>
      <c r="B219" s="849">
        <v>2025.0</v>
      </c>
      <c r="C219" s="849" t="s">
        <v>1745</v>
      </c>
      <c r="D219" s="849" t="s">
        <v>1746</v>
      </c>
      <c r="E219" s="849" t="s">
        <v>768</v>
      </c>
      <c r="F219" s="849" t="s">
        <v>1200</v>
      </c>
      <c r="G219" s="849">
        <v>-205879.66</v>
      </c>
      <c r="H219" s="849">
        <v>-477857.34</v>
      </c>
      <c r="I219" s="849">
        <v>-1049639.78</v>
      </c>
      <c r="J219" s="849">
        <v>-1304947.6</v>
      </c>
      <c r="K219" s="849">
        <v>-1584775.24</v>
      </c>
      <c r="L219" s="849">
        <v>-1792441.67</v>
      </c>
      <c r="M219" s="849">
        <v>-1909833.07</v>
      </c>
      <c r="N219" s="849">
        <v>-2017399.16</v>
      </c>
      <c r="O219" s="849">
        <v>-2238006.0</v>
      </c>
      <c r="P219" s="849">
        <v>-2597749.79</v>
      </c>
      <c r="Q219" s="849">
        <v>-2886229.22</v>
      </c>
      <c r="R219" s="849">
        <v>-3123709.19</v>
      </c>
      <c r="S219" s="849">
        <v>-262384.47</v>
      </c>
      <c r="T219" s="849">
        <v>-262384.47</v>
      </c>
      <c r="U219" s="849">
        <v>0.0</v>
      </c>
      <c r="V219" s="849">
        <v>0.0</v>
      </c>
      <c r="W219" s="849">
        <v>0.0</v>
      </c>
      <c r="X219" s="849">
        <v>0.0</v>
      </c>
      <c r="Y219" s="849">
        <v>0.0</v>
      </c>
      <c r="Z219" s="849">
        <v>0.0</v>
      </c>
      <c r="AA219" s="849">
        <v>0.0</v>
      </c>
      <c r="AB219" s="849">
        <v>0.0</v>
      </c>
      <c r="AC219" s="849">
        <v>0.0</v>
      </c>
      <c r="AD219" s="849">
        <v>0.0</v>
      </c>
      <c r="AE219" s="849">
        <v>0.0</v>
      </c>
      <c r="AF219" s="849">
        <v>0.0</v>
      </c>
      <c r="AG219" s="849">
        <v>0.0</v>
      </c>
      <c r="AH219" s="849">
        <v>0.0</v>
      </c>
      <c r="AI219" s="849">
        <v>0.0</v>
      </c>
      <c r="AJ219" s="794" t="str">
        <f t="shared" ref="AJ219:AK219" si="435">C219</f>
        <v>G0781</v>
      </c>
      <c r="AK219" s="794" t="str">
        <f t="shared" si="435"/>
        <v>INTERET-CREDIT FIN.STOCKS</v>
      </c>
      <c r="AL219" s="794">
        <f t="array" ref="AL219">IFERROR(INDEX(G219:R219,1,MATCH(Parametres!$B$3,G$1:R$1,0)-1)*IF(OR(F219="L",F219="S",F219="I"),-1,1),"")</f>
        <v>-2017399.16</v>
      </c>
      <c r="AM219" s="794">
        <f t="shared" si="4"/>
        <v>-220606.84</v>
      </c>
      <c r="AN219" s="794">
        <f t="array" ref="AN219">INDEX(G219:R219,1,MATCH(Parametres!$B$3,G$1:R$1,0))*IF(OR(F219="L",F219="S",F219="I"),-1,1)</f>
        <v>-2238006</v>
      </c>
      <c r="AO219" s="853" t="str">
        <f>+VLOOKUP($AJ219,Data_Validation!$A:$D,1,0)</f>
        <v>G0781</v>
      </c>
      <c r="AP219" s="853" t="str">
        <f>+VLOOKUP($AJ219,Data_Validation!$A:$D,3,0)</f>
        <v>Véhicules neufs</v>
      </c>
      <c r="AQ219" s="853" t="str">
        <f>+VLOOKUP($AJ219,Data_Validation!$A:$D,4,0)</f>
        <v>Crédit Intérêts Floor Plan</v>
      </c>
      <c r="AR219" s="853" t="s">
        <v>728</v>
      </c>
      <c r="AS219" s="853" t="str">
        <f>+VLOOKUP($AJ219,Data_Validation!$A:$E,5,0)</f>
        <v/>
      </c>
      <c r="AT219" s="794" t="str">
        <f t="shared" ref="AT219:AU219" si="436">C219</f>
        <v>G0781</v>
      </c>
      <c r="AU219" s="854" t="str">
        <f t="shared" si="436"/>
        <v>INTERET-CREDIT FIN.STOCKS</v>
      </c>
      <c r="AV219" s="794">
        <f t="array" ref="AV219">IFERROR(INDEX(V219:AG219,1,MATCH(Parametres!$B$3,V$1:AG$1,0)-1)*IF(OR(C219="L",C219="S",C219="I"),-1,1),"")</f>
        <v>0</v>
      </c>
      <c r="AW219" s="794">
        <f t="shared" si="6"/>
        <v>0</v>
      </c>
      <c r="AX219" s="794">
        <f t="array" ref="AX219">INDEX(V219:AG219,1,MATCH(Parametres!$B$3,V$1:AG$1,0))*IF(OR(C219="L",C219="S",C219="I"),-1,1)</f>
        <v>0</v>
      </c>
      <c r="AY219" s="853" t="s">
        <v>772</v>
      </c>
      <c r="AZ219" s="853" t="str">
        <f>+VLOOKUP($AJ219,Data_Validation!$A:$E,5,0)</f>
        <v/>
      </c>
    </row>
    <row r="220" ht="15.0" customHeight="1">
      <c r="A220" s="849" t="s">
        <v>1239</v>
      </c>
      <c r="B220" s="849">
        <v>2025.0</v>
      </c>
      <c r="C220" s="849" t="s">
        <v>1747</v>
      </c>
      <c r="D220" s="849" t="s">
        <v>1748</v>
      </c>
      <c r="E220" s="849" t="s">
        <v>768</v>
      </c>
      <c r="F220" s="849" t="s">
        <v>1200</v>
      </c>
      <c r="G220" s="849">
        <v>0.0</v>
      </c>
      <c r="H220" s="849">
        <v>0.0</v>
      </c>
      <c r="I220" s="849">
        <v>0.0</v>
      </c>
      <c r="J220" s="849">
        <v>0.0</v>
      </c>
      <c r="K220" s="849">
        <v>0.0</v>
      </c>
      <c r="L220" s="849">
        <v>0.0</v>
      </c>
      <c r="M220" s="849">
        <v>0.0</v>
      </c>
      <c r="N220" s="849">
        <v>0.0</v>
      </c>
      <c r="O220" s="849">
        <v>0.0</v>
      </c>
      <c r="P220" s="849">
        <v>0.0</v>
      </c>
      <c r="Q220" s="849">
        <v>0.0</v>
      </c>
      <c r="R220" s="849">
        <v>0.0</v>
      </c>
      <c r="S220" s="849">
        <v>0.0</v>
      </c>
      <c r="T220" s="849">
        <v>0.0</v>
      </c>
      <c r="U220" s="849">
        <v>0.0</v>
      </c>
      <c r="V220" s="849">
        <v>0.0</v>
      </c>
      <c r="W220" s="849">
        <v>0.0</v>
      </c>
      <c r="X220" s="849">
        <v>0.0</v>
      </c>
      <c r="Y220" s="849">
        <v>0.0</v>
      </c>
      <c r="Z220" s="849">
        <v>0.0</v>
      </c>
      <c r="AA220" s="849">
        <v>0.0</v>
      </c>
      <c r="AB220" s="849">
        <v>0.0</v>
      </c>
      <c r="AC220" s="849">
        <v>0.0</v>
      </c>
      <c r="AD220" s="849">
        <v>0.0</v>
      </c>
      <c r="AE220" s="849">
        <v>0.0</v>
      </c>
      <c r="AF220" s="849">
        <v>0.0</v>
      </c>
      <c r="AG220" s="849">
        <v>0.0</v>
      </c>
      <c r="AH220" s="849">
        <v>0.0</v>
      </c>
      <c r="AI220" s="849">
        <v>0.0</v>
      </c>
      <c r="AJ220" s="794" t="str">
        <f t="shared" ref="AJ220:AK220" si="437">C220</f>
        <v>G0782</v>
      </c>
      <c r="AK220" s="794" t="str">
        <f t="shared" si="437"/>
        <v>CREDIT INT.FINANC.-USAGE</v>
      </c>
      <c r="AL220" s="794">
        <f t="array" ref="AL220">IFERROR(INDEX(G220:R220,1,MATCH(Parametres!$B$3,G$1:R$1,0)-1)*IF(OR(F220="L",F220="S",F220="I"),-1,1),"")</f>
        <v>0</v>
      </c>
      <c r="AM220" s="794">
        <f t="shared" si="4"/>
        <v>0</v>
      </c>
      <c r="AN220" s="794">
        <f t="array" ref="AN220">INDEX(G220:R220,1,MATCH(Parametres!$B$3,G$1:R$1,0))*IF(OR(F220="L",F220="S",F220="I"),-1,1)</f>
        <v>0</v>
      </c>
      <c r="AO220" s="853" t="str">
        <f>+VLOOKUP($AJ220,Data_Validation!$A:$D,1,0)</f>
        <v>G0782</v>
      </c>
      <c r="AP220" s="853" t="str">
        <f>+VLOOKUP($AJ220,Data_Validation!$A:$D,3,0)</f>
        <v>Véhicules usagés</v>
      </c>
      <c r="AQ220" s="853" t="str">
        <f>+VLOOKUP($AJ220,Data_Validation!$A:$D,4,0)</f>
        <v>Crédit Intérêts Floor Plan</v>
      </c>
      <c r="AR220" s="853" t="s">
        <v>728</v>
      </c>
      <c r="AS220" s="853" t="str">
        <f>+VLOOKUP($AJ220,Data_Validation!$A:$E,5,0)</f>
        <v/>
      </c>
      <c r="AT220" s="794" t="str">
        <f t="shared" ref="AT220:AU220" si="438">C220</f>
        <v>G0782</v>
      </c>
      <c r="AU220" s="854" t="str">
        <f t="shared" si="438"/>
        <v>CREDIT INT.FINANC.-USAGE</v>
      </c>
      <c r="AV220" s="794">
        <f t="array" ref="AV220">IFERROR(INDEX(V220:AG220,1,MATCH(Parametres!$B$3,V$1:AG$1,0)-1)*IF(OR(C220="L",C220="S",C220="I"),-1,1),"")</f>
        <v>0</v>
      </c>
      <c r="AW220" s="794">
        <f t="shared" si="6"/>
        <v>0</v>
      </c>
      <c r="AX220" s="794">
        <f t="array" ref="AX220">INDEX(V220:AG220,1,MATCH(Parametres!$B$3,V$1:AG$1,0))*IF(OR(C220="L",C220="S",C220="I"),-1,1)</f>
        <v>0</v>
      </c>
      <c r="AY220" s="853" t="s">
        <v>772</v>
      </c>
      <c r="AZ220" s="853" t="str">
        <f>+VLOOKUP($AJ220,Data_Validation!$A:$E,5,0)</f>
        <v/>
      </c>
    </row>
    <row r="221" ht="15.0" customHeight="1">
      <c r="A221" s="849" t="s">
        <v>1239</v>
      </c>
      <c r="B221" s="849">
        <v>2025.0</v>
      </c>
      <c r="C221" s="849" t="s">
        <v>1749</v>
      </c>
      <c r="D221" s="849" t="s">
        <v>1750</v>
      </c>
      <c r="E221" s="849" t="s">
        <v>768</v>
      </c>
      <c r="F221" s="849" t="s">
        <v>1200</v>
      </c>
      <c r="G221" s="849">
        <v>0.0</v>
      </c>
      <c r="H221" s="849">
        <v>0.0</v>
      </c>
      <c r="I221" s="849">
        <v>0.0</v>
      </c>
      <c r="J221" s="849">
        <v>0.0</v>
      </c>
      <c r="K221" s="849">
        <v>0.0</v>
      </c>
      <c r="L221" s="849">
        <v>0.0</v>
      </c>
      <c r="M221" s="849">
        <v>0.0</v>
      </c>
      <c r="N221" s="849">
        <v>0.0</v>
      </c>
      <c r="O221" s="849">
        <v>0.0</v>
      </c>
      <c r="P221" s="849">
        <v>0.0</v>
      </c>
      <c r="Q221" s="849">
        <v>0.0</v>
      </c>
      <c r="R221" s="849">
        <v>0.0</v>
      </c>
      <c r="S221" s="849">
        <v>0.0</v>
      </c>
      <c r="T221" s="849">
        <v>0.0</v>
      </c>
      <c r="U221" s="849">
        <v>0.0</v>
      </c>
      <c r="V221" s="849">
        <v>0.0</v>
      </c>
      <c r="W221" s="849">
        <v>0.0</v>
      </c>
      <c r="X221" s="849">
        <v>0.0</v>
      </c>
      <c r="Y221" s="849">
        <v>0.0</v>
      </c>
      <c r="Z221" s="849">
        <v>0.0</v>
      </c>
      <c r="AA221" s="849">
        <v>0.0</v>
      </c>
      <c r="AB221" s="849">
        <v>0.0</v>
      </c>
      <c r="AC221" s="849">
        <v>0.0</v>
      </c>
      <c r="AD221" s="849">
        <v>0.0</v>
      </c>
      <c r="AE221" s="849">
        <v>0.0</v>
      </c>
      <c r="AF221" s="849">
        <v>0.0</v>
      </c>
      <c r="AG221" s="849">
        <v>0.0</v>
      </c>
      <c r="AH221" s="849">
        <v>0.0</v>
      </c>
      <c r="AI221" s="849">
        <v>0.0</v>
      </c>
      <c r="AJ221" s="794" t="str">
        <f t="shared" ref="AJ221:AK221" si="439">C221</f>
        <v>G0783</v>
      </c>
      <c r="AK221" s="794" t="str">
        <f t="shared" si="439"/>
        <v>CREDIT INT.FINANC.-LOC.</v>
      </c>
      <c r="AL221" s="794">
        <f t="array" ref="AL221">IFERROR(INDEX(G221:R221,1,MATCH(Parametres!$B$3,G$1:R$1,0)-1)*IF(OR(F221="L",F221="S",F221="I"),-1,1),"")</f>
        <v>0</v>
      </c>
      <c r="AM221" s="794">
        <f t="shared" si="4"/>
        <v>0</v>
      </c>
      <c r="AN221" s="794">
        <f t="array" ref="AN221">INDEX(G221:R221,1,MATCH(Parametres!$B$3,G$1:R$1,0))*IF(OR(F221="L",F221="S",F221="I"),-1,1)</f>
        <v>0</v>
      </c>
      <c r="AO221" s="853" t="str">
        <f>+VLOOKUP($AJ221,Data_Validation!$A:$D,1,0)</f>
        <v>G0783</v>
      </c>
      <c r="AP221" s="853" t="str">
        <f>+VLOOKUP($AJ221,Data_Validation!$A:$D,3,0)</f>
        <v>Wholesale autres</v>
      </c>
      <c r="AQ221" s="853" t="str">
        <f>+VLOOKUP($AJ221,Data_Validation!$A:$D,4,0)</f>
        <v>Crédit Intérêts Floor Plan</v>
      </c>
      <c r="AR221" s="853" t="s">
        <v>728</v>
      </c>
      <c r="AS221" s="853" t="str">
        <f>+VLOOKUP($AJ221,Data_Validation!$A:$E,5,0)</f>
        <v/>
      </c>
      <c r="AT221" s="794" t="str">
        <f t="shared" ref="AT221:AU221" si="440">C221</f>
        <v>G0783</v>
      </c>
      <c r="AU221" s="854" t="str">
        <f t="shared" si="440"/>
        <v>CREDIT INT.FINANC.-LOC.</v>
      </c>
      <c r="AV221" s="794">
        <f t="array" ref="AV221">IFERROR(INDEX(V221:AG221,1,MATCH(Parametres!$B$3,V$1:AG$1,0)-1)*IF(OR(C221="L",C221="S",C221="I"),-1,1),"")</f>
        <v>0</v>
      </c>
      <c r="AW221" s="794">
        <f t="shared" si="6"/>
        <v>0</v>
      </c>
      <c r="AX221" s="794">
        <f t="array" ref="AX221">INDEX(V221:AG221,1,MATCH(Parametres!$B$3,V$1:AG$1,0))*IF(OR(C221="L",C221="S",C221="I"),-1,1)</f>
        <v>0</v>
      </c>
      <c r="AY221" s="853" t="s">
        <v>772</v>
      </c>
      <c r="AZ221" s="853" t="str">
        <f>+VLOOKUP($AJ221,Data_Validation!$A:$E,5,0)</f>
        <v/>
      </c>
    </row>
    <row r="222" ht="15.0" customHeight="1">
      <c r="A222" s="849" t="s">
        <v>1239</v>
      </c>
      <c r="B222" s="849">
        <v>2025.0</v>
      </c>
      <c r="C222" s="849" t="s">
        <v>1751</v>
      </c>
      <c r="D222" s="849" t="s">
        <v>1752</v>
      </c>
      <c r="E222" s="849" t="s">
        <v>768</v>
      </c>
      <c r="F222" s="849" t="s">
        <v>1200</v>
      </c>
      <c r="G222" s="849">
        <v>0.0</v>
      </c>
      <c r="H222" s="849">
        <v>0.0</v>
      </c>
      <c r="I222" s="849">
        <v>0.0</v>
      </c>
      <c r="J222" s="849">
        <v>0.0</v>
      </c>
      <c r="K222" s="849">
        <v>0.0</v>
      </c>
      <c r="L222" s="849">
        <v>0.0</v>
      </c>
      <c r="M222" s="849">
        <v>0.0</v>
      </c>
      <c r="N222" s="849">
        <v>0.0</v>
      </c>
      <c r="O222" s="849">
        <v>0.0</v>
      </c>
      <c r="P222" s="849">
        <v>0.0</v>
      </c>
      <c r="Q222" s="849">
        <v>0.0</v>
      </c>
      <c r="R222" s="849">
        <v>0.0</v>
      </c>
      <c r="S222" s="849">
        <v>0.0</v>
      </c>
      <c r="T222" s="849">
        <v>0.0</v>
      </c>
      <c r="U222" s="849">
        <v>0.0</v>
      </c>
      <c r="V222" s="849">
        <v>0.0</v>
      </c>
      <c r="W222" s="849">
        <v>0.0</v>
      </c>
      <c r="X222" s="849">
        <v>0.0</v>
      </c>
      <c r="Y222" s="849">
        <v>0.0</v>
      </c>
      <c r="Z222" s="849">
        <v>0.0</v>
      </c>
      <c r="AA222" s="849">
        <v>0.0</v>
      </c>
      <c r="AB222" s="849">
        <v>0.0</v>
      </c>
      <c r="AC222" s="849">
        <v>0.0</v>
      </c>
      <c r="AD222" s="849">
        <v>0.0</v>
      </c>
      <c r="AE222" s="849">
        <v>0.0</v>
      </c>
      <c r="AF222" s="849">
        <v>0.0</v>
      </c>
      <c r="AG222" s="849">
        <v>0.0</v>
      </c>
      <c r="AH222" s="849">
        <v>0.0</v>
      </c>
      <c r="AI222" s="849">
        <v>0.0</v>
      </c>
      <c r="AJ222" s="794" t="str">
        <f t="shared" ref="AJ222:AK222" si="441">C222</f>
        <v>G0790</v>
      </c>
      <c r="AK222" s="794" t="str">
        <f t="shared" si="441"/>
        <v>INTERETS MARGE CREDIT REP</v>
      </c>
      <c r="AL222" s="794">
        <f t="array" ref="AL222">IFERROR(INDEX(G222:R222,1,MATCH(Parametres!$B$3,G$1:R$1,0)-1)*IF(OR(F222="L",F222="S",F222="I"),-1,1),"")</f>
        <v>0</v>
      </c>
      <c r="AM222" s="794">
        <f t="shared" si="4"/>
        <v>0</v>
      </c>
      <c r="AN222" s="794">
        <f t="array" ref="AN222">INDEX(G222:R222,1,MATCH(Parametres!$B$3,G$1:R$1,0))*IF(OR(F222="L",F222="S",F222="I"),-1,1)</f>
        <v>0</v>
      </c>
      <c r="AO222" s="853" t="str">
        <f>+VLOOKUP($AJ222,Data_Validation!$A:$D,1,0)</f>
        <v>#N/A</v>
      </c>
      <c r="AP222" s="853" t="str">
        <f>+VLOOKUP($AJ222,Data_Validation!$A:$D,3,0)</f>
        <v>#N/A</v>
      </c>
      <c r="AQ222" s="853" t="str">
        <f>+VLOOKUP($AJ222,Data_Validation!$A:$D,4,0)</f>
        <v>#N/A</v>
      </c>
      <c r="AR222" s="853" t="s">
        <v>728</v>
      </c>
      <c r="AS222" s="853" t="str">
        <f>+VLOOKUP($AJ222,Data_Validation!$A:$E,5,0)</f>
        <v>#N/A</v>
      </c>
      <c r="AT222" s="794" t="str">
        <f t="shared" ref="AT222:AU222" si="442">C222</f>
        <v>G0790</v>
      </c>
      <c r="AU222" s="854" t="str">
        <f t="shared" si="442"/>
        <v>INTERETS MARGE CREDIT REP</v>
      </c>
      <c r="AV222" s="794">
        <f t="array" ref="AV222">IFERROR(INDEX(V222:AG222,1,MATCH(Parametres!$B$3,V$1:AG$1,0)-1)*IF(OR(C222="L",C222="S",C222="I"),-1,1),"")</f>
        <v>0</v>
      </c>
      <c r="AW222" s="794">
        <f t="shared" si="6"/>
        <v>0</v>
      </c>
      <c r="AX222" s="794">
        <f t="array" ref="AX222">INDEX(V222:AG222,1,MATCH(Parametres!$B$3,V$1:AG$1,0))*IF(OR(C222="L",C222="S",C222="I"),-1,1)</f>
        <v>0</v>
      </c>
      <c r="AY222" s="853" t="s">
        <v>772</v>
      </c>
      <c r="AZ222" s="853" t="str">
        <f>+VLOOKUP($AJ222,Data_Validation!$A:$E,5,0)</f>
        <v>#N/A</v>
      </c>
    </row>
    <row r="223" ht="15.0" customHeight="1">
      <c r="A223" s="849" t="s">
        <v>1239</v>
      </c>
      <c r="B223" s="849">
        <v>2025.0</v>
      </c>
      <c r="C223" s="849" t="s">
        <v>1753</v>
      </c>
      <c r="D223" s="849" t="s">
        <v>1754</v>
      </c>
      <c r="E223" s="849" t="s">
        <v>768</v>
      </c>
      <c r="F223" s="849" t="s">
        <v>1200</v>
      </c>
      <c r="G223" s="849">
        <v>0.0</v>
      </c>
      <c r="H223" s="849">
        <v>0.0</v>
      </c>
      <c r="I223" s="849">
        <v>0.0</v>
      </c>
      <c r="J223" s="849">
        <v>0.0</v>
      </c>
      <c r="K223" s="849">
        <v>0.0</v>
      </c>
      <c r="L223" s="849">
        <v>0.0</v>
      </c>
      <c r="M223" s="849">
        <v>0.0</v>
      </c>
      <c r="N223" s="849">
        <v>0.0</v>
      </c>
      <c r="O223" s="849">
        <v>0.0</v>
      </c>
      <c r="P223" s="849">
        <v>0.0</v>
      </c>
      <c r="Q223" s="849">
        <v>0.0</v>
      </c>
      <c r="R223" s="849">
        <v>0.0</v>
      </c>
      <c r="S223" s="849">
        <v>0.0</v>
      </c>
      <c r="T223" s="849">
        <v>0.0</v>
      </c>
      <c r="U223" s="849">
        <v>0.0</v>
      </c>
      <c r="V223" s="849">
        <v>0.0</v>
      </c>
      <c r="W223" s="849">
        <v>0.0</v>
      </c>
      <c r="X223" s="849">
        <v>0.0</v>
      </c>
      <c r="Y223" s="849">
        <v>0.0</v>
      </c>
      <c r="Z223" s="849">
        <v>0.0</v>
      </c>
      <c r="AA223" s="849">
        <v>0.0</v>
      </c>
      <c r="AB223" s="849">
        <v>0.0</v>
      </c>
      <c r="AC223" s="849">
        <v>0.0</v>
      </c>
      <c r="AD223" s="849">
        <v>0.0</v>
      </c>
      <c r="AE223" s="849">
        <v>0.0</v>
      </c>
      <c r="AF223" s="849">
        <v>0.0</v>
      </c>
      <c r="AG223" s="849">
        <v>0.0</v>
      </c>
      <c r="AH223" s="849">
        <v>0.0</v>
      </c>
      <c r="AI223" s="849">
        <v>0.0</v>
      </c>
      <c r="AJ223" s="794" t="str">
        <f t="shared" ref="AJ223:AK223" si="443">C223</f>
        <v>G0791</v>
      </c>
      <c r="AK223" s="794" t="str">
        <f t="shared" si="443"/>
        <v>INTÉRETS MARGE CRÉDIT</v>
      </c>
      <c r="AL223" s="794">
        <f t="array" ref="AL223">IFERROR(INDEX(G223:R223,1,MATCH(Parametres!$B$3,G$1:R$1,0)-1)*IF(OR(F223="L",F223="S",F223="I"),-1,1),"")</f>
        <v>0</v>
      </c>
      <c r="AM223" s="794">
        <f t="shared" si="4"/>
        <v>0</v>
      </c>
      <c r="AN223" s="794">
        <f t="array" ref="AN223">INDEX(G223:R223,1,MATCH(Parametres!$B$3,G$1:R$1,0))*IF(OR(F223="L",F223="S",F223="I"),-1,1)</f>
        <v>0</v>
      </c>
      <c r="AO223" s="853" t="str">
        <f>+VLOOKUP($AJ223,Data_Validation!$A:$D,1,0)</f>
        <v>G0791</v>
      </c>
      <c r="AP223" s="853" t="str">
        <f>+VLOOKUP($AJ223,Data_Validation!$A:$D,3,0)</f>
        <v>Véhicules neufs</v>
      </c>
      <c r="AQ223" s="853" t="str">
        <f>+VLOOKUP($AJ223,Data_Validation!$A:$D,4,0)</f>
        <v>Divers</v>
      </c>
      <c r="AR223" s="853" t="s">
        <v>728</v>
      </c>
      <c r="AS223" s="853" t="str">
        <f>+VLOOKUP($AJ223,Data_Validation!$A:$E,5,0)</f>
        <v/>
      </c>
      <c r="AT223" s="794" t="str">
        <f t="shared" ref="AT223:AU223" si="444">C223</f>
        <v>G0791</v>
      </c>
      <c r="AU223" s="854" t="str">
        <f t="shared" si="444"/>
        <v>INTÉRETS MARGE CRÉDIT</v>
      </c>
      <c r="AV223" s="794">
        <f t="array" ref="AV223">IFERROR(INDEX(V223:AG223,1,MATCH(Parametres!$B$3,V$1:AG$1,0)-1)*IF(OR(C223="L",C223="S",C223="I"),-1,1),"")</f>
        <v>0</v>
      </c>
      <c r="AW223" s="794">
        <f t="shared" si="6"/>
        <v>0</v>
      </c>
      <c r="AX223" s="794">
        <f t="array" ref="AX223">INDEX(V223:AG223,1,MATCH(Parametres!$B$3,V$1:AG$1,0))*IF(OR(C223="L",C223="S",C223="I"),-1,1)</f>
        <v>0</v>
      </c>
      <c r="AY223" s="853" t="s">
        <v>772</v>
      </c>
      <c r="AZ223" s="853" t="str">
        <f>+VLOOKUP($AJ223,Data_Validation!$A:$E,5,0)</f>
        <v/>
      </c>
    </row>
    <row r="224" ht="15.0" customHeight="1">
      <c r="A224" s="849" t="s">
        <v>1239</v>
      </c>
      <c r="B224" s="849">
        <v>2025.0</v>
      </c>
      <c r="C224" s="849" t="s">
        <v>1755</v>
      </c>
      <c r="D224" s="849" t="s">
        <v>1756</v>
      </c>
      <c r="E224" s="849" t="s">
        <v>768</v>
      </c>
      <c r="F224" s="849" t="s">
        <v>1200</v>
      </c>
      <c r="G224" s="849">
        <v>0.0</v>
      </c>
      <c r="H224" s="849">
        <v>0.0</v>
      </c>
      <c r="I224" s="849">
        <v>0.0</v>
      </c>
      <c r="J224" s="849">
        <v>0.0</v>
      </c>
      <c r="K224" s="849">
        <v>0.0</v>
      </c>
      <c r="L224" s="849">
        <v>0.0</v>
      </c>
      <c r="M224" s="849">
        <v>0.0</v>
      </c>
      <c r="N224" s="849">
        <v>0.0</v>
      </c>
      <c r="O224" s="849">
        <v>0.0</v>
      </c>
      <c r="P224" s="849">
        <v>0.0</v>
      </c>
      <c r="Q224" s="849">
        <v>0.0</v>
      </c>
      <c r="R224" s="849">
        <v>0.0</v>
      </c>
      <c r="S224" s="849">
        <v>0.0</v>
      </c>
      <c r="T224" s="849">
        <v>0.0</v>
      </c>
      <c r="U224" s="849">
        <v>0.0</v>
      </c>
      <c r="V224" s="849">
        <v>0.0</v>
      </c>
      <c r="W224" s="849">
        <v>0.0</v>
      </c>
      <c r="X224" s="849">
        <v>0.0</v>
      </c>
      <c r="Y224" s="849">
        <v>0.0</v>
      </c>
      <c r="Z224" s="849">
        <v>0.0</v>
      </c>
      <c r="AA224" s="849">
        <v>0.0</v>
      </c>
      <c r="AB224" s="849">
        <v>0.0</v>
      </c>
      <c r="AC224" s="849">
        <v>0.0</v>
      </c>
      <c r="AD224" s="849">
        <v>0.0</v>
      </c>
      <c r="AE224" s="849">
        <v>0.0</v>
      </c>
      <c r="AF224" s="849">
        <v>0.0</v>
      </c>
      <c r="AG224" s="849">
        <v>0.0</v>
      </c>
      <c r="AH224" s="849">
        <v>0.0</v>
      </c>
      <c r="AI224" s="849">
        <v>0.0</v>
      </c>
      <c r="AJ224" s="794" t="str">
        <f t="shared" ref="AJ224:AK224" si="445">C224</f>
        <v>G0792</v>
      </c>
      <c r="AK224" s="794" t="str">
        <f t="shared" si="445"/>
        <v>INTÉRETS MARGE CREDIT</v>
      </c>
      <c r="AL224" s="794">
        <f t="array" ref="AL224">IFERROR(INDEX(G224:R224,1,MATCH(Parametres!$B$3,G$1:R$1,0)-1)*IF(OR(F224="L",F224="S",F224="I"),-1,1),"")</f>
        <v>0</v>
      </c>
      <c r="AM224" s="794">
        <f t="shared" si="4"/>
        <v>0</v>
      </c>
      <c r="AN224" s="794">
        <f t="array" ref="AN224">INDEX(G224:R224,1,MATCH(Parametres!$B$3,G$1:R$1,0))*IF(OR(F224="L",F224="S",F224="I"),-1,1)</f>
        <v>0</v>
      </c>
      <c r="AO224" s="853" t="str">
        <f>+VLOOKUP($AJ224,Data_Validation!$A:$D,1,0)</f>
        <v>G0792</v>
      </c>
      <c r="AP224" s="853" t="str">
        <f>+VLOOKUP($AJ224,Data_Validation!$A:$D,3,0)</f>
        <v>Véhicules usagés</v>
      </c>
      <c r="AQ224" s="853" t="str">
        <f>+VLOOKUP($AJ224,Data_Validation!$A:$D,4,0)</f>
        <v>Divers</v>
      </c>
      <c r="AR224" s="853" t="s">
        <v>728</v>
      </c>
      <c r="AS224" s="853" t="str">
        <f>+VLOOKUP($AJ224,Data_Validation!$A:$E,5,0)</f>
        <v/>
      </c>
      <c r="AT224" s="794" t="str">
        <f t="shared" ref="AT224:AU224" si="446">C224</f>
        <v>G0792</v>
      </c>
      <c r="AU224" s="854" t="str">
        <f t="shared" si="446"/>
        <v>INTÉRETS MARGE CREDIT</v>
      </c>
      <c r="AV224" s="794">
        <f t="array" ref="AV224">IFERROR(INDEX(V224:AG224,1,MATCH(Parametres!$B$3,V$1:AG$1,0)-1)*IF(OR(C224="L",C224="S",C224="I"),-1,1),"")</f>
        <v>0</v>
      </c>
      <c r="AW224" s="794">
        <f t="shared" si="6"/>
        <v>0</v>
      </c>
      <c r="AX224" s="794">
        <f t="array" ref="AX224">INDEX(V224:AG224,1,MATCH(Parametres!$B$3,V$1:AG$1,0))*IF(OR(C224="L",C224="S",C224="I"),-1,1)</f>
        <v>0</v>
      </c>
      <c r="AY224" s="853" t="s">
        <v>772</v>
      </c>
      <c r="AZ224" s="853" t="str">
        <f>+VLOOKUP($AJ224,Data_Validation!$A:$E,5,0)</f>
        <v/>
      </c>
    </row>
    <row r="225" ht="15.75" customHeight="1">
      <c r="A225" s="849" t="s">
        <v>1239</v>
      </c>
      <c r="B225" s="849">
        <v>2025.0</v>
      </c>
      <c r="C225" s="849" t="s">
        <v>1757</v>
      </c>
      <c r="D225" s="849" t="s">
        <v>1758</v>
      </c>
      <c r="E225" s="849" t="s">
        <v>768</v>
      </c>
      <c r="F225" s="849" t="s">
        <v>1200</v>
      </c>
      <c r="G225" s="849">
        <v>0.0</v>
      </c>
      <c r="H225" s="849">
        <v>0.0</v>
      </c>
      <c r="I225" s="849">
        <v>0.0</v>
      </c>
      <c r="J225" s="849">
        <v>0.0</v>
      </c>
      <c r="K225" s="849">
        <v>0.0</v>
      </c>
      <c r="L225" s="849">
        <v>0.0</v>
      </c>
      <c r="M225" s="849">
        <v>0.0</v>
      </c>
      <c r="N225" s="849">
        <v>0.0</v>
      </c>
      <c r="O225" s="849">
        <v>0.0</v>
      </c>
      <c r="P225" s="849">
        <v>0.0</v>
      </c>
      <c r="Q225" s="849">
        <v>0.0</v>
      </c>
      <c r="R225" s="849">
        <v>0.0</v>
      </c>
      <c r="S225" s="849">
        <v>0.0</v>
      </c>
      <c r="T225" s="849">
        <v>0.0</v>
      </c>
      <c r="U225" s="849">
        <v>0.0</v>
      </c>
      <c r="V225" s="849">
        <v>0.0</v>
      </c>
      <c r="W225" s="849">
        <v>0.0</v>
      </c>
      <c r="X225" s="849">
        <v>0.0</v>
      </c>
      <c r="Y225" s="849">
        <v>0.0</v>
      </c>
      <c r="Z225" s="849">
        <v>0.0</v>
      </c>
      <c r="AA225" s="849">
        <v>0.0</v>
      </c>
      <c r="AB225" s="849">
        <v>0.0</v>
      </c>
      <c r="AC225" s="849">
        <v>0.0</v>
      </c>
      <c r="AD225" s="849">
        <v>0.0</v>
      </c>
      <c r="AE225" s="849">
        <v>0.0</v>
      </c>
      <c r="AF225" s="849">
        <v>0.0</v>
      </c>
      <c r="AG225" s="849">
        <v>0.0</v>
      </c>
      <c r="AH225" s="849">
        <v>0.0</v>
      </c>
      <c r="AI225" s="849">
        <v>0.0</v>
      </c>
      <c r="AJ225" s="794" t="str">
        <f t="shared" ref="AJ225:AK225" si="447">C225</f>
        <v>G0794</v>
      </c>
      <c r="AK225" s="794" t="str">
        <f t="shared" si="447"/>
        <v>INTERETS MARGE DE CREDIT</v>
      </c>
      <c r="AL225" s="794">
        <f t="array" ref="AL225">IFERROR(INDEX(G225:R225,1,MATCH(Parametres!$B$3,G$1:R$1,0)-1)*IF(OR(F225="L",F225="S",F225="I"),-1,1),"")</f>
        <v>0</v>
      </c>
      <c r="AM225" s="794">
        <f t="shared" si="4"/>
        <v>0</v>
      </c>
      <c r="AN225" s="794">
        <f t="array" ref="AN225">INDEX(G225:R225,1,MATCH(Parametres!$B$3,G$1:R$1,0))*IF(OR(F225="L",F225="S",F225="I"),-1,1)</f>
        <v>0</v>
      </c>
      <c r="AO225" s="853" t="str">
        <f>+VLOOKUP($AJ225,Data_Validation!$A:$D,1,0)</f>
        <v>G0794</v>
      </c>
      <c r="AP225" s="853" t="str">
        <f>+VLOOKUP($AJ225,Data_Validation!$A:$D,3,0)</f>
        <v>Service</v>
      </c>
      <c r="AQ225" s="853" t="str">
        <f>+VLOOKUP($AJ225,Data_Validation!$A:$D,4,0)</f>
        <v>Divers</v>
      </c>
      <c r="AR225" s="853" t="s">
        <v>728</v>
      </c>
      <c r="AS225" s="853" t="str">
        <f>+VLOOKUP($AJ225,Data_Validation!$A:$E,5,0)</f>
        <v/>
      </c>
      <c r="AT225" s="794" t="str">
        <f t="shared" ref="AT225:AU225" si="448">C225</f>
        <v>G0794</v>
      </c>
      <c r="AU225" s="854" t="str">
        <f t="shared" si="448"/>
        <v>INTERETS MARGE DE CREDIT</v>
      </c>
      <c r="AV225" s="794">
        <f t="array" ref="AV225">IFERROR(INDEX(V225:AG225,1,MATCH(Parametres!$B$3,V$1:AG$1,0)-1)*IF(OR(C225="L",C225="S",C225="I"),-1,1),"")</f>
        <v>0</v>
      </c>
      <c r="AW225" s="794">
        <f t="shared" si="6"/>
        <v>0</v>
      </c>
      <c r="AX225" s="794">
        <f t="array" ref="AX225">INDEX(V225:AG225,1,MATCH(Parametres!$B$3,V$1:AG$1,0))*IF(OR(C225="L",C225="S",C225="I"),-1,1)</f>
        <v>0</v>
      </c>
      <c r="AY225" s="853" t="s">
        <v>772</v>
      </c>
      <c r="AZ225" s="853" t="str">
        <f>+VLOOKUP($AJ225,Data_Validation!$A:$E,5,0)</f>
        <v/>
      </c>
    </row>
    <row r="226" ht="15.0" customHeight="1">
      <c r="A226" s="849" t="s">
        <v>1239</v>
      </c>
      <c r="B226" s="849">
        <v>2025.0</v>
      </c>
      <c r="C226" s="849" t="s">
        <v>1759</v>
      </c>
      <c r="D226" s="849" t="s">
        <v>1758</v>
      </c>
      <c r="E226" s="849" t="s">
        <v>768</v>
      </c>
      <c r="F226" s="849" t="s">
        <v>1200</v>
      </c>
      <c r="G226" s="849">
        <v>0.0</v>
      </c>
      <c r="H226" s="849">
        <v>0.0</v>
      </c>
      <c r="I226" s="849">
        <v>0.0</v>
      </c>
      <c r="J226" s="849">
        <v>0.0</v>
      </c>
      <c r="K226" s="849">
        <v>0.0</v>
      </c>
      <c r="L226" s="849">
        <v>0.0</v>
      </c>
      <c r="M226" s="849">
        <v>0.0</v>
      </c>
      <c r="N226" s="849">
        <v>0.0</v>
      </c>
      <c r="O226" s="849">
        <v>0.0</v>
      </c>
      <c r="P226" s="849">
        <v>0.0</v>
      </c>
      <c r="Q226" s="849">
        <v>0.0</v>
      </c>
      <c r="R226" s="849">
        <v>0.0</v>
      </c>
      <c r="S226" s="849">
        <v>0.0</v>
      </c>
      <c r="T226" s="849">
        <v>0.0</v>
      </c>
      <c r="U226" s="849">
        <v>0.0</v>
      </c>
      <c r="V226" s="849">
        <v>0.0</v>
      </c>
      <c r="W226" s="849">
        <v>0.0</v>
      </c>
      <c r="X226" s="849">
        <v>0.0</v>
      </c>
      <c r="Y226" s="849">
        <v>0.0</v>
      </c>
      <c r="Z226" s="849">
        <v>0.0</v>
      </c>
      <c r="AA226" s="849">
        <v>0.0</v>
      </c>
      <c r="AB226" s="849">
        <v>0.0</v>
      </c>
      <c r="AC226" s="849">
        <v>0.0</v>
      </c>
      <c r="AD226" s="849">
        <v>0.0</v>
      </c>
      <c r="AE226" s="849">
        <v>0.0</v>
      </c>
      <c r="AF226" s="849">
        <v>0.0</v>
      </c>
      <c r="AG226" s="849">
        <v>0.0</v>
      </c>
      <c r="AH226" s="849">
        <v>0.0</v>
      </c>
      <c r="AI226" s="849">
        <v>0.0</v>
      </c>
      <c r="AJ226" s="794" t="str">
        <f t="shared" ref="AJ226:AK226" si="449">C226</f>
        <v>G0795</v>
      </c>
      <c r="AK226" s="794" t="str">
        <f t="shared" si="449"/>
        <v>INTERETS MARGE DE CREDIT</v>
      </c>
      <c r="AL226" s="794">
        <f t="array" ref="AL226">IFERROR(INDEX(G226:R226,1,MATCH(Parametres!$B$3,G$1:R$1,0)-1)*IF(OR(F226="L",F226="S",F226="I"),-1,1),"")</f>
        <v>0</v>
      </c>
      <c r="AM226" s="794">
        <f t="shared" si="4"/>
        <v>0</v>
      </c>
      <c r="AN226" s="794">
        <f t="array" ref="AN226">INDEX(G226:R226,1,MATCH(Parametres!$B$3,G$1:R$1,0))*IF(OR(F226="L",F226="S",F226="I"),-1,1)</f>
        <v>0</v>
      </c>
      <c r="AO226" s="853" t="str">
        <f>+VLOOKUP($AJ226,Data_Validation!$A:$D,1,0)</f>
        <v>G0795</v>
      </c>
      <c r="AP226" s="853" t="str">
        <f>+VLOOKUP($AJ226,Data_Validation!$A:$D,3,0)</f>
        <v>Carrosserie</v>
      </c>
      <c r="AQ226" s="853" t="str">
        <f>+VLOOKUP($AJ226,Data_Validation!$A:$D,4,0)</f>
        <v>Divers</v>
      </c>
      <c r="AR226" s="853" t="s">
        <v>728</v>
      </c>
      <c r="AS226" s="853" t="str">
        <f>+VLOOKUP($AJ226,Data_Validation!$A:$E,5,0)</f>
        <v/>
      </c>
      <c r="AT226" s="794" t="str">
        <f t="shared" ref="AT226:AU226" si="450">C226</f>
        <v>G0795</v>
      </c>
      <c r="AU226" s="854" t="str">
        <f t="shared" si="450"/>
        <v>INTERETS MARGE DE CREDIT</v>
      </c>
      <c r="AV226" s="794">
        <f t="array" ref="AV226">IFERROR(INDEX(V226:AG226,1,MATCH(Parametres!$B$3,V$1:AG$1,0)-1)*IF(OR(C226="L",C226="S",C226="I"),-1,1),"")</f>
        <v>0</v>
      </c>
      <c r="AW226" s="794">
        <f t="shared" si="6"/>
        <v>0</v>
      </c>
      <c r="AX226" s="794">
        <f t="array" ref="AX226">INDEX(V226:AG226,1,MATCH(Parametres!$B$3,V$1:AG$1,0))*IF(OR(C226="L",C226="S",C226="I"),-1,1)</f>
        <v>0</v>
      </c>
      <c r="AY226" s="853" t="s">
        <v>772</v>
      </c>
      <c r="AZ226" s="853" t="str">
        <f>+VLOOKUP($AJ226,Data_Validation!$A:$E,5,0)</f>
        <v/>
      </c>
    </row>
    <row r="227" ht="15.0" customHeight="1">
      <c r="A227" s="849" t="s">
        <v>1239</v>
      </c>
      <c r="B227" s="849">
        <v>2025.0</v>
      </c>
      <c r="C227" s="849" t="s">
        <v>1760</v>
      </c>
      <c r="D227" s="849" t="s">
        <v>1761</v>
      </c>
      <c r="E227" s="849" t="s">
        <v>768</v>
      </c>
      <c r="F227" s="849" t="s">
        <v>1200</v>
      </c>
      <c r="G227" s="849">
        <v>0.0</v>
      </c>
      <c r="H227" s="849">
        <v>0.0</v>
      </c>
      <c r="I227" s="849">
        <v>0.0</v>
      </c>
      <c r="J227" s="849">
        <v>0.0</v>
      </c>
      <c r="K227" s="849">
        <v>0.0</v>
      </c>
      <c r="L227" s="849">
        <v>0.0</v>
      </c>
      <c r="M227" s="849">
        <v>0.0</v>
      </c>
      <c r="N227" s="849">
        <v>0.0</v>
      </c>
      <c r="O227" s="849">
        <v>0.0</v>
      </c>
      <c r="P227" s="849">
        <v>0.0</v>
      </c>
      <c r="Q227" s="849">
        <v>0.0</v>
      </c>
      <c r="R227" s="849">
        <v>0.0</v>
      </c>
      <c r="S227" s="849">
        <v>0.0</v>
      </c>
      <c r="T227" s="849">
        <v>0.0</v>
      </c>
      <c r="U227" s="849">
        <v>0.0</v>
      </c>
      <c r="V227" s="849">
        <v>0.0</v>
      </c>
      <c r="W227" s="849">
        <v>0.0</v>
      </c>
      <c r="X227" s="849">
        <v>0.0</v>
      </c>
      <c r="Y227" s="849">
        <v>0.0</v>
      </c>
      <c r="Z227" s="849">
        <v>0.0</v>
      </c>
      <c r="AA227" s="849">
        <v>0.0</v>
      </c>
      <c r="AB227" s="849">
        <v>0.0</v>
      </c>
      <c r="AC227" s="849">
        <v>0.0</v>
      </c>
      <c r="AD227" s="849">
        <v>0.0</v>
      </c>
      <c r="AE227" s="849">
        <v>0.0</v>
      </c>
      <c r="AF227" s="849">
        <v>0.0</v>
      </c>
      <c r="AG227" s="849">
        <v>0.0</v>
      </c>
      <c r="AH227" s="849">
        <v>0.0</v>
      </c>
      <c r="AI227" s="849">
        <v>0.0</v>
      </c>
      <c r="AJ227" s="794" t="str">
        <f t="shared" ref="AJ227:AK227" si="451">C227</f>
        <v>G0796</v>
      </c>
      <c r="AK227" s="794" t="str">
        <f t="shared" si="451"/>
        <v>INTÉRETS MARGE DE CRÉDIT</v>
      </c>
      <c r="AL227" s="794">
        <f t="array" ref="AL227">IFERROR(INDEX(G227:R227,1,MATCH(Parametres!$B$3,G$1:R$1,0)-1)*IF(OR(F227="L",F227="S",F227="I"),-1,1),"")</f>
        <v>0</v>
      </c>
      <c r="AM227" s="794">
        <f t="shared" si="4"/>
        <v>0</v>
      </c>
      <c r="AN227" s="794">
        <f t="array" ref="AN227">INDEX(G227:R227,1,MATCH(Parametres!$B$3,G$1:R$1,0))*IF(OR(F227="L",F227="S",F227="I"),-1,1)</f>
        <v>0</v>
      </c>
      <c r="AO227" s="853" t="str">
        <f>+VLOOKUP($AJ227,Data_Validation!$A:$D,1,0)</f>
        <v>G0796</v>
      </c>
      <c r="AP227" s="853" t="str">
        <f>+VLOOKUP($AJ227,Data_Validation!$A:$D,3,0)</f>
        <v>Pièces</v>
      </c>
      <c r="AQ227" s="853" t="str">
        <f>+VLOOKUP($AJ227,Data_Validation!$A:$D,4,0)</f>
        <v>Divers</v>
      </c>
      <c r="AR227" s="853" t="s">
        <v>728</v>
      </c>
      <c r="AS227" s="853" t="str">
        <f>+VLOOKUP($AJ227,Data_Validation!$A:$E,5,0)</f>
        <v/>
      </c>
      <c r="AT227" s="794" t="str">
        <f t="shared" ref="AT227:AU227" si="452">C227</f>
        <v>G0796</v>
      </c>
      <c r="AU227" s="854" t="str">
        <f t="shared" si="452"/>
        <v>INTÉRETS MARGE DE CRÉDIT</v>
      </c>
      <c r="AV227" s="794">
        <f t="array" ref="AV227">IFERROR(INDEX(V227:AG227,1,MATCH(Parametres!$B$3,V$1:AG$1,0)-1)*IF(OR(C227="L",C227="S",C227="I"),-1,1),"")</f>
        <v>0</v>
      </c>
      <c r="AW227" s="794">
        <f t="shared" si="6"/>
        <v>0</v>
      </c>
      <c r="AX227" s="794">
        <f t="array" ref="AX227">INDEX(V227:AG227,1,MATCH(Parametres!$B$3,V$1:AG$1,0))*IF(OR(C227="L",C227="S",C227="I"),-1,1)</f>
        <v>0</v>
      </c>
      <c r="AY227" s="853" t="s">
        <v>772</v>
      </c>
      <c r="AZ227" s="853" t="str">
        <f>+VLOOKUP($AJ227,Data_Validation!$A:$E,5,0)</f>
        <v/>
      </c>
    </row>
    <row r="228" ht="15.0" customHeight="1">
      <c r="A228" s="849" t="s">
        <v>1239</v>
      </c>
      <c r="B228" s="849">
        <v>2025.0</v>
      </c>
      <c r="C228" s="849" t="s">
        <v>1762</v>
      </c>
      <c r="D228" s="849" t="s">
        <v>1763</v>
      </c>
      <c r="E228" s="849" t="s">
        <v>768</v>
      </c>
      <c r="F228" s="849" t="s">
        <v>1200</v>
      </c>
      <c r="G228" s="849">
        <v>0.0</v>
      </c>
      <c r="H228" s="849">
        <v>0.0</v>
      </c>
      <c r="I228" s="849">
        <v>0.0</v>
      </c>
      <c r="J228" s="849">
        <v>0.0</v>
      </c>
      <c r="K228" s="849">
        <v>0.0</v>
      </c>
      <c r="L228" s="849">
        <v>0.0</v>
      </c>
      <c r="M228" s="849">
        <v>0.0</v>
      </c>
      <c r="N228" s="849">
        <v>0.0</v>
      </c>
      <c r="O228" s="849">
        <v>0.0</v>
      </c>
      <c r="P228" s="849">
        <v>0.0</v>
      </c>
      <c r="Q228" s="849">
        <v>0.0</v>
      </c>
      <c r="R228" s="849">
        <v>0.0</v>
      </c>
      <c r="S228" s="849">
        <v>0.0</v>
      </c>
      <c r="T228" s="849">
        <v>0.0</v>
      </c>
      <c r="U228" s="849">
        <v>0.0</v>
      </c>
      <c r="V228" s="849">
        <v>0.0</v>
      </c>
      <c r="W228" s="849">
        <v>0.0</v>
      </c>
      <c r="X228" s="849">
        <v>0.0</v>
      </c>
      <c r="Y228" s="849">
        <v>0.0</v>
      </c>
      <c r="Z228" s="849">
        <v>0.0</v>
      </c>
      <c r="AA228" s="849">
        <v>0.0</v>
      </c>
      <c r="AB228" s="849">
        <v>0.0</v>
      </c>
      <c r="AC228" s="849">
        <v>0.0</v>
      </c>
      <c r="AD228" s="849">
        <v>0.0</v>
      </c>
      <c r="AE228" s="849">
        <v>0.0</v>
      </c>
      <c r="AF228" s="849">
        <v>0.0</v>
      </c>
      <c r="AG228" s="849">
        <v>0.0</v>
      </c>
      <c r="AH228" s="849">
        <v>0.0</v>
      </c>
      <c r="AI228" s="849">
        <v>0.0</v>
      </c>
      <c r="AJ228" s="794" t="str">
        <f t="shared" ref="AJ228:AK228" si="453">C228</f>
        <v>G0800</v>
      </c>
      <c r="AK228" s="794" t="str">
        <f t="shared" si="453"/>
        <v>LOCATION REP.</v>
      </c>
      <c r="AL228" s="794">
        <f t="array" ref="AL228">IFERROR(INDEX(G228:R228,1,MATCH(Parametres!$B$3,G$1:R$1,0)-1)*IF(OR(F228="L",F228="S",F228="I"),-1,1),"")</f>
        <v>0</v>
      </c>
      <c r="AM228" s="794">
        <f t="shared" si="4"/>
        <v>0</v>
      </c>
      <c r="AN228" s="794">
        <f t="array" ref="AN228">INDEX(G228:R228,1,MATCH(Parametres!$B$3,G$1:R$1,0))*IF(OR(F228="L",F228="S",F228="I"),-1,1)</f>
        <v>0</v>
      </c>
      <c r="AO228" s="853" t="str">
        <f>+VLOOKUP($AJ228,Data_Validation!$A:$D,1,0)</f>
        <v>#N/A</v>
      </c>
      <c r="AP228" s="853" t="str">
        <f>+VLOOKUP($AJ228,Data_Validation!$A:$D,3,0)</f>
        <v>#N/A</v>
      </c>
      <c r="AQ228" s="853" t="str">
        <f>+VLOOKUP($AJ228,Data_Validation!$A:$D,4,0)</f>
        <v>#N/A</v>
      </c>
      <c r="AR228" s="853" t="s">
        <v>728</v>
      </c>
      <c r="AS228" s="853" t="str">
        <f>+VLOOKUP($AJ228,Data_Validation!$A:$E,5,0)</f>
        <v>#N/A</v>
      </c>
      <c r="AT228" s="794" t="str">
        <f t="shared" ref="AT228:AU228" si="454">C228</f>
        <v>G0800</v>
      </c>
      <c r="AU228" s="854" t="str">
        <f t="shared" si="454"/>
        <v>LOCATION REP.</v>
      </c>
      <c r="AV228" s="794">
        <f t="array" ref="AV228">IFERROR(INDEX(V228:AG228,1,MATCH(Parametres!$B$3,V$1:AG$1,0)-1)*IF(OR(C228="L",C228="S",C228="I"),-1,1),"")</f>
        <v>0</v>
      </c>
      <c r="AW228" s="794">
        <f t="shared" si="6"/>
        <v>0</v>
      </c>
      <c r="AX228" s="794">
        <f t="array" ref="AX228">INDEX(V228:AG228,1,MATCH(Parametres!$B$3,V$1:AG$1,0))*IF(OR(C228="L",C228="S",C228="I"),-1,1)</f>
        <v>0</v>
      </c>
      <c r="AY228" s="853" t="s">
        <v>772</v>
      </c>
      <c r="AZ228" s="853" t="str">
        <f>+VLOOKUP($AJ228,Data_Validation!$A:$E,5,0)</f>
        <v>#N/A</v>
      </c>
    </row>
    <row r="229" ht="15.75" customHeight="1">
      <c r="A229" s="849" t="s">
        <v>1239</v>
      </c>
      <c r="B229" s="849">
        <v>2025.0</v>
      </c>
      <c r="C229" s="849" t="s">
        <v>1764</v>
      </c>
      <c r="D229" s="849" t="s">
        <v>1765</v>
      </c>
      <c r="E229" s="849" t="s">
        <v>768</v>
      </c>
      <c r="F229" s="849" t="s">
        <v>1200</v>
      </c>
      <c r="G229" s="849">
        <v>11700.0</v>
      </c>
      <c r="H229" s="849">
        <v>32700.0</v>
      </c>
      <c r="I229" s="849">
        <v>63750.0</v>
      </c>
      <c r="J229" s="849">
        <v>85500.0</v>
      </c>
      <c r="K229" s="849">
        <v>107250.0</v>
      </c>
      <c r="L229" s="849">
        <v>127750.0</v>
      </c>
      <c r="M229" s="849">
        <v>148750.0</v>
      </c>
      <c r="N229" s="849">
        <v>169750.0</v>
      </c>
      <c r="O229" s="849">
        <v>190750.0</v>
      </c>
      <c r="P229" s="849">
        <v>211750.0</v>
      </c>
      <c r="Q229" s="849">
        <v>232750.0</v>
      </c>
      <c r="R229" s="849">
        <v>253750.0</v>
      </c>
      <c r="S229" s="849">
        <v>21159.09</v>
      </c>
      <c r="T229" s="849">
        <v>21159.09</v>
      </c>
      <c r="U229" s="849">
        <v>0.0</v>
      </c>
      <c r="V229" s="849">
        <v>0.0</v>
      </c>
      <c r="W229" s="849">
        <v>0.0</v>
      </c>
      <c r="X229" s="849">
        <v>0.0</v>
      </c>
      <c r="Y229" s="849">
        <v>0.0</v>
      </c>
      <c r="Z229" s="849">
        <v>0.0</v>
      </c>
      <c r="AA229" s="849">
        <v>0.0</v>
      </c>
      <c r="AB229" s="849">
        <v>0.0</v>
      </c>
      <c r="AC229" s="849">
        <v>0.0</v>
      </c>
      <c r="AD229" s="849">
        <v>0.0</v>
      </c>
      <c r="AE229" s="849">
        <v>0.0</v>
      </c>
      <c r="AF229" s="849">
        <v>0.0</v>
      </c>
      <c r="AG229" s="849">
        <v>0.0</v>
      </c>
      <c r="AH229" s="849">
        <v>0.0</v>
      </c>
      <c r="AI229" s="849">
        <v>0.0</v>
      </c>
      <c r="AJ229" s="794" t="str">
        <f t="shared" ref="AJ229:AK229" si="455">C229</f>
        <v>G0801</v>
      </c>
      <c r="AK229" s="794" t="str">
        <f t="shared" si="455"/>
        <v>LOCATION-NEUFS</v>
      </c>
      <c r="AL229" s="794">
        <f t="array" ref="AL229">IFERROR(INDEX(G229:R229,1,MATCH(Parametres!$B$3,G$1:R$1,0)-1)*IF(OR(F229="L",F229="S",F229="I"),-1,1),"")</f>
        <v>169750</v>
      </c>
      <c r="AM229" s="794">
        <f t="shared" si="4"/>
        <v>21000</v>
      </c>
      <c r="AN229" s="794">
        <f t="array" ref="AN229">INDEX(G229:R229,1,MATCH(Parametres!$B$3,G$1:R$1,0))*IF(OR(F229="L",F229="S",F229="I"),-1,1)</f>
        <v>190750</v>
      </c>
      <c r="AO229" s="853" t="str">
        <f>+VLOOKUP($AJ229,Data_Validation!$A:$D,1,0)</f>
        <v>G0801</v>
      </c>
      <c r="AP229" s="853" t="str">
        <f>+VLOOKUP($AJ229,Data_Validation!$A:$D,3,0)</f>
        <v>Véhicules neufs</v>
      </c>
      <c r="AQ229" s="853" t="str">
        <f>+VLOOKUP($AJ229,Data_Validation!$A:$D,4,0)</f>
        <v>Loyer</v>
      </c>
      <c r="AR229" s="853" t="s">
        <v>728</v>
      </c>
      <c r="AS229" s="853" t="str">
        <f>+VLOOKUP($AJ229,Data_Validation!$A:$E,5,0)</f>
        <v/>
      </c>
      <c r="AT229" s="794" t="str">
        <f t="shared" ref="AT229:AU229" si="456">C229</f>
        <v>G0801</v>
      </c>
      <c r="AU229" s="854" t="str">
        <f t="shared" si="456"/>
        <v>LOCATION-NEUFS</v>
      </c>
      <c r="AV229" s="794">
        <f t="array" ref="AV229">IFERROR(INDEX(V229:AG229,1,MATCH(Parametres!$B$3,V$1:AG$1,0)-1)*IF(OR(C229="L",C229="S",C229="I"),-1,1),"")</f>
        <v>0</v>
      </c>
      <c r="AW229" s="794">
        <f t="shared" si="6"/>
        <v>0</v>
      </c>
      <c r="AX229" s="794">
        <f t="array" ref="AX229">INDEX(V229:AG229,1,MATCH(Parametres!$B$3,V$1:AG$1,0))*IF(OR(C229="L",C229="S",C229="I"),-1,1)</f>
        <v>0</v>
      </c>
      <c r="AY229" s="853" t="s">
        <v>772</v>
      </c>
      <c r="AZ229" s="853" t="str">
        <f>+VLOOKUP($AJ229,Data_Validation!$A:$E,5,0)</f>
        <v/>
      </c>
    </row>
    <row r="230" ht="15.0" customHeight="1">
      <c r="A230" s="849" t="s">
        <v>1239</v>
      </c>
      <c r="B230" s="849">
        <v>2025.0</v>
      </c>
      <c r="C230" s="849" t="s">
        <v>1766</v>
      </c>
      <c r="D230" s="849" t="s">
        <v>1767</v>
      </c>
      <c r="E230" s="849" t="s">
        <v>768</v>
      </c>
      <c r="F230" s="849" t="s">
        <v>1200</v>
      </c>
      <c r="G230" s="849">
        <v>7800.0</v>
      </c>
      <c r="H230" s="849">
        <v>21800.0</v>
      </c>
      <c r="I230" s="849">
        <v>42500.0</v>
      </c>
      <c r="J230" s="849">
        <v>57000.0</v>
      </c>
      <c r="K230" s="849">
        <v>71500.0</v>
      </c>
      <c r="L230" s="849">
        <v>83500.0</v>
      </c>
      <c r="M230" s="849">
        <v>97500.0</v>
      </c>
      <c r="N230" s="849">
        <v>111500.0</v>
      </c>
      <c r="O230" s="849">
        <v>125500.0</v>
      </c>
      <c r="P230" s="849">
        <v>139500.0</v>
      </c>
      <c r="Q230" s="849">
        <v>153500.0</v>
      </c>
      <c r="R230" s="849">
        <v>167500.0</v>
      </c>
      <c r="S230" s="849">
        <v>13954.55</v>
      </c>
      <c r="T230" s="849">
        <v>13954.55</v>
      </c>
      <c r="U230" s="849">
        <v>0.0</v>
      </c>
      <c r="V230" s="849">
        <v>0.0</v>
      </c>
      <c r="W230" s="849">
        <v>0.0</v>
      </c>
      <c r="X230" s="849">
        <v>0.0</v>
      </c>
      <c r="Y230" s="849">
        <v>0.0</v>
      </c>
      <c r="Z230" s="849">
        <v>0.0</v>
      </c>
      <c r="AA230" s="849">
        <v>0.0</v>
      </c>
      <c r="AB230" s="849">
        <v>0.0</v>
      </c>
      <c r="AC230" s="849">
        <v>0.0</v>
      </c>
      <c r="AD230" s="849">
        <v>0.0</v>
      </c>
      <c r="AE230" s="849">
        <v>0.0</v>
      </c>
      <c r="AF230" s="849">
        <v>0.0</v>
      </c>
      <c r="AG230" s="849">
        <v>0.0</v>
      </c>
      <c r="AH230" s="849">
        <v>0.0</v>
      </c>
      <c r="AI230" s="849">
        <v>0.0</v>
      </c>
      <c r="AJ230" s="794" t="str">
        <f t="shared" ref="AJ230:AK230" si="457">C230</f>
        <v>G0802</v>
      </c>
      <c r="AK230" s="794" t="str">
        <f t="shared" si="457"/>
        <v>LOCATION-USAGES</v>
      </c>
      <c r="AL230" s="794">
        <f t="array" ref="AL230">IFERROR(INDEX(G230:R230,1,MATCH(Parametres!$B$3,G$1:R$1,0)-1)*IF(OR(F230="L",F230="S",F230="I"),-1,1),"")</f>
        <v>111500</v>
      </c>
      <c r="AM230" s="794">
        <f t="shared" si="4"/>
        <v>14000</v>
      </c>
      <c r="AN230" s="794">
        <f t="array" ref="AN230">INDEX(G230:R230,1,MATCH(Parametres!$B$3,G$1:R$1,0))*IF(OR(F230="L",F230="S",F230="I"),-1,1)</f>
        <v>125500</v>
      </c>
      <c r="AO230" s="853" t="str">
        <f>+VLOOKUP($AJ230,Data_Validation!$A:$D,1,0)</f>
        <v>G0802</v>
      </c>
      <c r="AP230" s="853" t="str">
        <f>+VLOOKUP($AJ230,Data_Validation!$A:$D,3,0)</f>
        <v>Véhicules usagés</v>
      </c>
      <c r="AQ230" s="853" t="str">
        <f>+VLOOKUP($AJ230,Data_Validation!$A:$D,4,0)</f>
        <v>Loyer</v>
      </c>
      <c r="AR230" s="853" t="s">
        <v>728</v>
      </c>
      <c r="AS230" s="853" t="str">
        <f>+VLOOKUP($AJ230,Data_Validation!$A:$E,5,0)</f>
        <v/>
      </c>
      <c r="AT230" s="794" t="str">
        <f t="shared" ref="AT230:AU230" si="458">C230</f>
        <v>G0802</v>
      </c>
      <c r="AU230" s="854" t="str">
        <f t="shared" si="458"/>
        <v>LOCATION-USAGES</v>
      </c>
      <c r="AV230" s="794">
        <f t="array" ref="AV230">IFERROR(INDEX(V230:AG230,1,MATCH(Parametres!$B$3,V$1:AG$1,0)-1)*IF(OR(C230="L",C230="S",C230="I"),-1,1),"")</f>
        <v>0</v>
      </c>
      <c r="AW230" s="794">
        <f t="shared" si="6"/>
        <v>0</v>
      </c>
      <c r="AX230" s="794">
        <f t="array" ref="AX230">INDEX(V230:AG230,1,MATCH(Parametres!$B$3,V$1:AG$1,0))*IF(OR(C230="L",C230="S",C230="I"),-1,1)</f>
        <v>0</v>
      </c>
      <c r="AY230" s="853" t="s">
        <v>772</v>
      </c>
      <c r="AZ230" s="853" t="str">
        <f>+VLOOKUP($AJ230,Data_Validation!$A:$E,5,0)</f>
        <v/>
      </c>
    </row>
    <row r="231" ht="15.0" customHeight="1">
      <c r="A231" s="849" t="s">
        <v>1239</v>
      </c>
      <c r="B231" s="849">
        <v>2025.0</v>
      </c>
      <c r="C231" s="849" t="s">
        <v>1768</v>
      </c>
      <c r="D231" s="849" t="s">
        <v>1769</v>
      </c>
      <c r="E231" s="849" t="s">
        <v>768</v>
      </c>
      <c r="F231" s="849" t="s">
        <v>1200</v>
      </c>
      <c r="G231" s="849">
        <v>0.0</v>
      </c>
      <c r="H231" s="849">
        <v>0.0</v>
      </c>
      <c r="I231" s="849">
        <v>0.0</v>
      </c>
      <c r="J231" s="849">
        <v>0.0</v>
      </c>
      <c r="K231" s="849">
        <v>0.0</v>
      </c>
      <c r="L231" s="849">
        <v>0.0</v>
      </c>
      <c r="M231" s="849">
        <v>0.0</v>
      </c>
      <c r="N231" s="849">
        <v>0.0</v>
      </c>
      <c r="O231" s="849">
        <v>0.0</v>
      </c>
      <c r="P231" s="849">
        <v>0.0</v>
      </c>
      <c r="Q231" s="849">
        <v>0.0</v>
      </c>
      <c r="R231" s="849">
        <v>0.0</v>
      </c>
      <c r="S231" s="849">
        <v>0.0</v>
      </c>
      <c r="T231" s="849">
        <v>0.0</v>
      </c>
      <c r="U231" s="849">
        <v>0.0</v>
      </c>
      <c r="V231" s="849">
        <v>0.0</v>
      </c>
      <c r="W231" s="849">
        <v>0.0</v>
      </c>
      <c r="X231" s="849">
        <v>0.0</v>
      </c>
      <c r="Y231" s="849">
        <v>0.0</v>
      </c>
      <c r="Z231" s="849">
        <v>0.0</v>
      </c>
      <c r="AA231" s="849">
        <v>0.0</v>
      </c>
      <c r="AB231" s="849">
        <v>0.0</v>
      </c>
      <c r="AC231" s="849">
        <v>0.0</v>
      </c>
      <c r="AD231" s="849">
        <v>0.0</v>
      </c>
      <c r="AE231" s="849">
        <v>0.0</v>
      </c>
      <c r="AF231" s="849">
        <v>0.0</v>
      </c>
      <c r="AG231" s="849">
        <v>0.0</v>
      </c>
      <c r="AH231" s="849">
        <v>0.0</v>
      </c>
      <c r="AI231" s="849">
        <v>0.0</v>
      </c>
      <c r="AJ231" s="794" t="str">
        <f t="shared" ref="AJ231:AK231" si="459">C231</f>
        <v>G0803</v>
      </c>
      <c r="AK231" s="794" t="str">
        <f t="shared" si="459"/>
        <v>LOCATION U.S.A.</v>
      </c>
      <c r="AL231" s="794">
        <f t="array" ref="AL231">IFERROR(INDEX(G231:R231,1,MATCH(Parametres!$B$3,G$1:R$1,0)-1)*IF(OR(F231="L",F231="S",F231="I"),-1,1),"")</f>
        <v>0</v>
      </c>
      <c r="AM231" s="794">
        <f t="shared" si="4"/>
        <v>0</v>
      </c>
      <c r="AN231" s="794">
        <f t="array" ref="AN231">INDEX(G231:R231,1,MATCH(Parametres!$B$3,G$1:R$1,0))*IF(OR(F231="L",F231="S",F231="I"),-1,1)</f>
        <v>0</v>
      </c>
      <c r="AO231" s="853" t="str">
        <f>+VLOOKUP($AJ231,Data_Validation!$A:$D,1,0)</f>
        <v>G0803</v>
      </c>
      <c r="AP231" s="853" t="str">
        <f>+VLOOKUP($AJ231,Data_Validation!$A:$D,3,0)</f>
        <v>Wholesale autres</v>
      </c>
      <c r="AQ231" s="853" t="str">
        <f>+VLOOKUP($AJ231,Data_Validation!$A:$D,4,0)</f>
        <v>Loyer</v>
      </c>
      <c r="AR231" s="853" t="s">
        <v>728</v>
      </c>
      <c r="AS231" s="853" t="str">
        <f>+VLOOKUP($AJ231,Data_Validation!$A:$E,5,0)</f>
        <v/>
      </c>
      <c r="AT231" s="794" t="str">
        <f t="shared" ref="AT231:AU231" si="460">C231</f>
        <v>G0803</v>
      </c>
      <c r="AU231" s="854" t="str">
        <f t="shared" si="460"/>
        <v>LOCATION U.S.A.</v>
      </c>
      <c r="AV231" s="794">
        <f t="array" ref="AV231">IFERROR(INDEX(V231:AG231,1,MATCH(Parametres!$B$3,V$1:AG$1,0)-1)*IF(OR(C231="L",C231="S",C231="I"),-1,1),"")</f>
        <v>0</v>
      </c>
      <c r="AW231" s="794">
        <f t="shared" si="6"/>
        <v>0</v>
      </c>
      <c r="AX231" s="794">
        <f t="array" ref="AX231">INDEX(V231:AG231,1,MATCH(Parametres!$B$3,V$1:AG$1,0))*IF(OR(C231="L",C231="S",C231="I"),-1,1)</f>
        <v>0</v>
      </c>
      <c r="AY231" s="853" t="s">
        <v>772</v>
      </c>
      <c r="AZ231" s="853" t="str">
        <f>+VLOOKUP($AJ231,Data_Validation!$A:$E,5,0)</f>
        <v/>
      </c>
    </row>
    <row r="232" ht="15.0" customHeight="1">
      <c r="A232" s="849" t="s">
        <v>1239</v>
      </c>
      <c r="B232" s="849">
        <v>2025.0</v>
      </c>
      <c r="C232" s="849" t="s">
        <v>1770</v>
      </c>
      <c r="D232" s="849" t="s">
        <v>1771</v>
      </c>
      <c r="E232" s="849" t="s">
        <v>768</v>
      </c>
      <c r="F232" s="849" t="s">
        <v>1200</v>
      </c>
      <c r="G232" s="849">
        <v>11700.0</v>
      </c>
      <c r="H232" s="849">
        <v>32700.0</v>
      </c>
      <c r="I232" s="849">
        <v>63750.0</v>
      </c>
      <c r="J232" s="849">
        <v>85500.0</v>
      </c>
      <c r="K232" s="849">
        <v>107250.0</v>
      </c>
      <c r="L232" s="849">
        <v>125250.0</v>
      </c>
      <c r="M232" s="849">
        <v>146250.0</v>
      </c>
      <c r="N232" s="849">
        <v>167250.0</v>
      </c>
      <c r="O232" s="849">
        <v>188250.0</v>
      </c>
      <c r="P232" s="849">
        <v>209250.0</v>
      </c>
      <c r="Q232" s="849">
        <v>230250.0</v>
      </c>
      <c r="R232" s="849">
        <v>251250.0</v>
      </c>
      <c r="S232" s="849">
        <v>20931.82</v>
      </c>
      <c r="T232" s="849">
        <v>20931.82</v>
      </c>
      <c r="U232" s="849">
        <v>0.0</v>
      </c>
      <c r="V232" s="849">
        <v>0.0</v>
      </c>
      <c r="W232" s="849">
        <v>0.0</v>
      </c>
      <c r="X232" s="849">
        <v>0.0</v>
      </c>
      <c r="Y232" s="849">
        <v>0.0</v>
      </c>
      <c r="Z232" s="849">
        <v>0.0</v>
      </c>
      <c r="AA232" s="849">
        <v>0.0</v>
      </c>
      <c r="AB232" s="849">
        <v>0.0</v>
      </c>
      <c r="AC232" s="849">
        <v>0.0</v>
      </c>
      <c r="AD232" s="849">
        <v>0.0</v>
      </c>
      <c r="AE232" s="849">
        <v>0.0</v>
      </c>
      <c r="AF232" s="849">
        <v>0.0</v>
      </c>
      <c r="AG232" s="849">
        <v>0.0</v>
      </c>
      <c r="AH232" s="849">
        <v>0.0</v>
      </c>
      <c r="AI232" s="849">
        <v>0.0</v>
      </c>
      <c r="AJ232" s="794" t="str">
        <f t="shared" ref="AJ232:AK232" si="461">C232</f>
        <v>G0804</v>
      </c>
      <c r="AK232" s="794" t="str">
        <f t="shared" si="461"/>
        <v>LOCATION-SERVICE</v>
      </c>
      <c r="AL232" s="794">
        <f t="array" ref="AL232">IFERROR(INDEX(G232:R232,1,MATCH(Parametres!$B$3,G$1:R$1,0)-1)*IF(OR(F232="L",F232="S",F232="I"),-1,1),"")</f>
        <v>167250</v>
      </c>
      <c r="AM232" s="794">
        <f t="shared" si="4"/>
        <v>21000</v>
      </c>
      <c r="AN232" s="794">
        <f t="array" ref="AN232">INDEX(G232:R232,1,MATCH(Parametres!$B$3,G$1:R$1,0))*IF(OR(F232="L",F232="S",F232="I"),-1,1)</f>
        <v>188250</v>
      </c>
      <c r="AO232" s="853" t="str">
        <f>+VLOOKUP($AJ232,Data_Validation!$A:$D,1,0)</f>
        <v>G0804</v>
      </c>
      <c r="AP232" s="853" t="str">
        <f>+VLOOKUP($AJ232,Data_Validation!$A:$D,3,0)</f>
        <v>Service</v>
      </c>
      <c r="AQ232" s="853" t="str">
        <f>+VLOOKUP($AJ232,Data_Validation!$A:$D,4,0)</f>
        <v>Loyer</v>
      </c>
      <c r="AR232" s="853" t="s">
        <v>728</v>
      </c>
      <c r="AS232" s="853" t="str">
        <f>+VLOOKUP($AJ232,Data_Validation!$A:$E,5,0)</f>
        <v/>
      </c>
      <c r="AT232" s="794" t="str">
        <f t="shared" ref="AT232:AU232" si="462">C232</f>
        <v>G0804</v>
      </c>
      <c r="AU232" s="854" t="str">
        <f t="shared" si="462"/>
        <v>LOCATION-SERVICE</v>
      </c>
      <c r="AV232" s="794">
        <f t="array" ref="AV232">IFERROR(INDEX(V232:AG232,1,MATCH(Parametres!$B$3,V$1:AG$1,0)-1)*IF(OR(C232="L",C232="S",C232="I"),-1,1),"")</f>
        <v>0</v>
      </c>
      <c r="AW232" s="794">
        <f t="shared" si="6"/>
        <v>0</v>
      </c>
      <c r="AX232" s="794">
        <f t="array" ref="AX232">INDEX(V232:AG232,1,MATCH(Parametres!$B$3,V$1:AG$1,0))*IF(OR(C232="L",C232="S",C232="I"),-1,1)</f>
        <v>0</v>
      </c>
      <c r="AY232" s="853" t="s">
        <v>772</v>
      </c>
      <c r="AZ232" s="853" t="str">
        <f>+VLOOKUP($AJ232,Data_Validation!$A:$E,5,0)</f>
        <v/>
      </c>
    </row>
    <row r="233" ht="15.0" customHeight="1">
      <c r="A233" s="849" t="s">
        <v>1239</v>
      </c>
      <c r="B233" s="849">
        <v>2025.0</v>
      </c>
      <c r="C233" s="849" t="s">
        <v>1772</v>
      </c>
      <c r="D233" s="849" t="s">
        <v>1773</v>
      </c>
      <c r="E233" s="849" t="s">
        <v>768</v>
      </c>
      <c r="F233" s="849" t="s">
        <v>1200</v>
      </c>
      <c r="G233" s="849">
        <v>3900.0</v>
      </c>
      <c r="H233" s="849">
        <v>10900.0</v>
      </c>
      <c r="I233" s="849">
        <v>21250.0</v>
      </c>
      <c r="J233" s="849">
        <v>28500.0</v>
      </c>
      <c r="K233" s="849">
        <v>35750.0</v>
      </c>
      <c r="L233" s="849">
        <v>41750.0</v>
      </c>
      <c r="M233" s="849">
        <v>48750.0</v>
      </c>
      <c r="N233" s="849">
        <v>55750.0</v>
      </c>
      <c r="O233" s="849">
        <v>62750.0</v>
      </c>
      <c r="P233" s="849">
        <v>69750.0</v>
      </c>
      <c r="Q233" s="849">
        <v>76750.0</v>
      </c>
      <c r="R233" s="849">
        <v>83750.0</v>
      </c>
      <c r="S233" s="849">
        <v>6977.27</v>
      </c>
      <c r="T233" s="849">
        <v>6977.27</v>
      </c>
      <c r="U233" s="849">
        <v>0.0</v>
      </c>
      <c r="V233" s="849">
        <v>0.0</v>
      </c>
      <c r="W233" s="849">
        <v>0.0</v>
      </c>
      <c r="X233" s="849">
        <v>0.0</v>
      </c>
      <c r="Y233" s="849">
        <v>0.0</v>
      </c>
      <c r="Z233" s="849">
        <v>0.0</v>
      </c>
      <c r="AA233" s="849">
        <v>0.0</v>
      </c>
      <c r="AB233" s="849">
        <v>0.0</v>
      </c>
      <c r="AC233" s="849">
        <v>0.0</v>
      </c>
      <c r="AD233" s="849">
        <v>0.0</v>
      </c>
      <c r="AE233" s="849">
        <v>0.0</v>
      </c>
      <c r="AF233" s="849">
        <v>0.0</v>
      </c>
      <c r="AG233" s="849">
        <v>0.0</v>
      </c>
      <c r="AH233" s="849">
        <v>0.0</v>
      </c>
      <c r="AI233" s="849">
        <v>0.0</v>
      </c>
      <c r="AJ233" s="794" t="str">
        <f t="shared" ref="AJ233:AK233" si="463">C233</f>
        <v>G0805</v>
      </c>
      <c r="AK233" s="794" t="str">
        <f t="shared" si="463"/>
        <v>LOCATION-CARROSSERIE</v>
      </c>
      <c r="AL233" s="794">
        <f t="array" ref="AL233">IFERROR(INDEX(G233:R233,1,MATCH(Parametres!$B$3,G$1:R$1,0)-1)*IF(OR(F233="L",F233="S",F233="I"),-1,1),"")</f>
        <v>55750</v>
      </c>
      <c r="AM233" s="794">
        <f t="shared" si="4"/>
        <v>7000</v>
      </c>
      <c r="AN233" s="794">
        <f t="array" ref="AN233">INDEX(G233:R233,1,MATCH(Parametres!$B$3,G$1:R$1,0))*IF(OR(F233="L",F233="S",F233="I"),-1,1)</f>
        <v>62750</v>
      </c>
      <c r="AO233" s="853" t="str">
        <f>+VLOOKUP($AJ233,Data_Validation!$A:$D,1,0)</f>
        <v>G0805</v>
      </c>
      <c r="AP233" s="853" t="str">
        <f>+VLOOKUP($AJ233,Data_Validation!$A:$D,3,0)</f>
        <v>Carrosserie</v>
      </c>
      <c r="AQ233" s="853" t="str">
        <f>+VLOOKUP($AJ233,Data_Validation!$A:$D,4,0)</f>
        <v>Loyer</v>
      </c>
      <c r="AR233" s="853" t="s">
        <v>728</v>
      </c>
      <c r="AS233" s="853" t="str">
        <f>+VLOOKUP($AJ233,Data_Validation!$A:$E,5,0)</f>
        <v/>
      </c>
      <c r="AT233" s="794" t="str">
        <f t="shared" ref="AT233:AU233" si="464">C233</f>
        <v>G0805</v>
      </c>
      <c r="AU233" s="854" t="str">
        <f t="shared" si="464"/>
        <v>LOCATION-CARROSSERIE</v>
      </c>
      <c r="AV233" s="794">
        <f t="array" ref="AV233">IFERROR(INDEX(V233:AG233,1,MATCH(Parametres!$B$3,V$1:AG$1,0)-1)*IF(OR(C233="L",C233="S",C233="I"),-1,1),"")</f>
        <v>0</v>
      </c>
      <c r="AW233" s="794">
        <f t="shared" si="6"/>
        <v>0</v>
      </c>
      <c r="AX233" s="794">
        <f t="array" ref="AX233">INDEX(V233:AG233,1,MATCH(Parametres!$B$3,V$1:AG$1,0))*IF(OR(C233="L",C233="S",C233="I"),-1,1)</f>
        <v>0</v>
      </c>
      <c r="AY233" s="853" t="s">
        <v>772</v>
      </c>
      <c r="AZ233" s="853" t="str">
        <f>+VLOOKUP($AJ233,Data_Validation!$A:$E,5,0)</f>
        <v/>
      </c>
    </row>
    <row r="234" ht="15.75" customHeight="1">
      <c r="A234" s="849" t="s">
        <v>1239</v>
      </c>
      <c r="B234" s="849">
        <v>2025.0</v>
      </c>
      <c r="C234" s="849" t="s">
        <v>1774</v>
      </c>
      <c r="D234" s="849" t="s">
        <v>1775</v>
      </c>
      <c r="E234" s="849" t="s">
        <v>768</v>
      </c>
      <c r="F234" s="849" t="s">
        <v>1200</v>
      </c>
      <c r="G234" s="849">
        <v>3900.0</v>
      </c>
      <c r="H234" s="849">
        <v>10900.0</v>
      </c>
      <c r="I234" s="849">
        <v>21250.0</v>
      </c>
      <c r="J234" s="849">
        <v>28500.0</v>
      </c>
      <c r="K234" s="849">
        <v>35750.0</v>
      </c>
      <c r="L234" s="849">
        <v>41750.0</v>
      </c>
      <c r="M234" s="849">
        <v>48750.0</v>
      </c>
      <c r="N234" s="849">
        <v>55750.0</v>
      </c>
      <c r="O234" s="849">
        <v>62750.0</v>
      </c>
      <c r="P234" s="849">
        <v>69750.0</v>
      </c>
      <c r="Q234" s="849">
        <v>76750.0</v>
      </c>
      <c r="R234" s="849">
        <v>83750.0</v>
      </c>
      <c r="S234" s="849">
        <v>6977.27</v>
      </c>
      <c r="T234" s="849">
        <v>6977.27</v>
      </c>
      <c r="U234" s="849">
        <v>0.0</v>
      </c>
      <c r="V234" s="849">
        <v>0.0</v>
      </c>
      <c r="W234" s="849">
        <v>0.0</v>
      </c>
      <c r="X234" s="849">
        <v>0.0</v>
      </c>
      <c r="Y234" s="849">
        <v>0.0</v>
      </c>
      <c r="Z234" s="849">
        <v>0.0</v>
      </c>
      <c r="AA234" s="849">
        <v>0.0</v>
      </c>
      <c r="AB234" s="849">
        <v>0.0</v>
      </c>
      <c r="AC234" s="849">
        <v>0.0</v>
      </c>
      <c r="AD234" s="849">
        <v>0.0</v>
      </c>
      <c r="AE234" s="849">
        <v>0.0</v>
      </c>
      <c r="AF234" s="849">
        <v>0.0</v>
      </c>
      <c r="AG234" s="849">
        <v>0.0</v>
      </c>
      <c r="AH234" s="849">
        <v>0.0</v>
      </c>
      <c r="AI234" s="849">
        <v>0.0</v>
      </c>
      <c r="AJ234" s="794" t="str">
        <f t="shared" ref="AJ234:AK234" si="465">C234</f>
        <v>G0806</v>
      </c>
      <c r="AK234" s="794" t="str">
        <f t="shared" si="465"/>
        <v>LOCATION-PIECES</v>
      </c>
      <c r="AL234" s="794">
        <f t="array" ref="AL234">IFERROR(INDEX(G234:R234,1,MATCH(Parametres!$B$3,G$1:R$1,0)-1)*IF(OR(F234="L",F234="S",F234="I"),-1,1),"")</f>
        <v>55750</v>
      </c>
      <c r="AM234" s="794">
        <f t="shared" si="4"/>
        <v>7000</v>
      </c>
      <c r="AN234" s="794">
        <f t="array" ref="AN234">INDEX(G234:R234,1,MATCH(Parametres!$B$3,G$1:R$1,0))*IF(OR(F234="L",F234="S",F234="I"),-1,1)</f>
        <v>62750</v>
      </c>
      <c r="AO234" s="853" t="str">
        <f>+VLOOKUP($AJ234,Data_Validation!$A:$D,1,0)</f>
        <v>G0806</v>
      </c>
      <c r="AP234" s="853" t="str">
        <f>+VLOOKUP($AJ234,Data_Validation!$A:$D,3,0)</f>
        <v>Pièces</v>
      </c>
      <c r="AQ234" s="853" t="str">
        <f>+VLOOKUP($AJ234,Data_Validation!$A:$D,4,0)</f>
        <v>Loyer</v>
      </c>
      <c r="AR234" s="853" t="s">
        <v>728</v>
      </c>
      <c r="AS234" s="853" t="str">
        <f>+VLOOKUP($AJ234,Data_Validation!$A:$E,5,0)</f>
        <v/>
      </c>
      <c r="AT234" s="794" t="str">
        <f t="shared" ref="AT234:AU234" si="466">C234</f>
        <v>G0806</v>
      </c>
      <c r="AU234" s="854" t="str">
        <f t="shared" si="466"/>
        <v>LOCATION-PIECES</v>
      </c>
      <c r="AV234" s="794">
        <f t="array" ref="AV234">IFERROR(INDEX(V234:AG234,1,MATCH(Parametres!$B$3,V$1:AG$1,0)-1)*IF(OR(C234="L",C234="S",C234="I"),-1,1),"")</f>
        <v>0</v>
      </c>
      <c r="AW234" s="794">
        <f t="shared" si="6"/>
        <v>0</v>
      </c>
      <c r="AX234" s="794">
        <f t="array" ref="AX234">INDEX(V234:AG234,1,MATCH(Parametres!$B$3,V$1:AG$1,0))*IF(OR(C234="L",C234="S",C234="I"),-1,1)</f>
        <v>0</v>
      </c>
      <c r="AY234" s="853" t="s">
        <v>772</v>
      </c>
      <c r="AZ234" s="853" t="str">
        <f>+VLOOKUP($AJ234,Data_Validation!$A:$E,5,0)</f>
        <v/>
      </c>
    </row>
    <row r="235" ht="15.0" customHeight="1">
      <c r="A235" s="849" t="s">
        <v>1239</v>
      </c>
      <c r="B235" s="849">
        <v>2025.0</v>
      </c>
      <c r="C235" s="849" t="s">
        <v>1776</v>
      </c>
      <c r="D235" s="849" t="s">
        <v>1777</v>
      </c>
      <c r="E235" s="849" t="s">
        <v>768</v>
      </c>
      <c r="F235" s="849" t="s">
        <v>1200</v>
      </c>
      <c r="G235" s="849">
        <v>0.0</v>
      </c>
      <c r="H235" s="849">
        <v>0.0</v>
      </c>
      <c r="I235" s="849">
        <v>0.0</v>
      </c>
      <c r="J235" s="849">
        <v>0.0</v>
      </c>
      <c r="K235" s="849">
        <v>0.0</v>
      </c>
      <c r="L235" s="849">
        <v>0.0</v>
      </c>
      <c r="M235" s="849">
        <v>0.0</v>
      </c>
      <c r="N235" s="849">
        <v>0.0</v>
      </c>
      <c r="O235" s="849">
        <v>0.0</v>
      </c>
      <c r="P235" s="849">
        <v>0.0</v>
      </c>
      <c r="Q235" s="849">
        <v>0.0</v>
      </c>
      <c r="R235" s="849">
        <v>0.0</v>
      </c>
      <c r="S235" s="849">
        <v>0.0</v>
      </c>
      <c r="T235" s="849">
        <v>0.0</v>
      </c>
      <c r="U235" s="849">
        <v>0.0</v>
      </c>
      <c r="V235" s="849">
        <v>0.0</v>
      </c>
      <c r="W235" s="849">
        <v>0.0</v>
      </c>
      <c r="X235" s="849">
        <v>0.0</v>
      </c>
      <c r="Y235" s="849">
        <v>0.0</v>
      </c>
      <c r="Z235" s="849">
        <v>0.0</v>
      </c>
      <c r="AA235" s="849">
        <v>0.0</v>
      </c>
      <c r="AB235" s="849">
        <v>0.0</v>
      </c>
      <c r="AC235" s="849">
        <v>0.0</v>
      </c>
      <c r="AD235" s="849">
        <v>0.0</v>
      </c>
      <c r="AE235" s="849">
        <v>0.0</v>
      </c>
      <c r="AF235" s="849">
        <v>0.0</v>
      </c>
      <c r="AG235" s="849">
        <v>0.0</v>
      </c>
      <c r="AH235" s="849">
        <v>0.0</v>
      </c>
      <c r="AI235" s="849">
        <v>0.0</v>
      </c>
      <c r="AJ235" s="794" t="str">
        <f t="shared" ref="AJ235:AK235" si="467">C235</f>
        <v>G0810</v>
      </c>
      <c r="AK235" s="794" t="str">
        <f t="shared" si="467"/>
        <v>LOYER TERRAIN</v>
      </c>
      <c r="AL235" s="794">
        <f t="array" ref="AL235">IFERROR(INDEX(G235:R235,1,MATCH(Parametres!$B$3,G$1:R$1,0)-1)*IF(OR(F235="L",F235="S",F235="I"),-1,1),"")</f>
        <v>0</v>
      </c>
      <c r="AM235" s="794">
        <f t="shared" si="4"/>
        <v>0</v>
      </c>
      <c r="AN235" s="794">
        <f t="array" ref="AN235">INDEX(G235:R235,1,MATCH(Parametres!$B$3,G$1:R$1,0))*IF(OR(F235="L",F235="S",F235="I"),-1,1)</f>
        <v>0</v>
      </c>
      <c r="AO235" s="853" t="str">
        <f>+VLOOKUP($AJ235,Data_Validation!$A:$D,1,0)</f>
        <v>#N/A</v>
      </c>
      <c r="AP235" s="853" t="str">
        <f>+VLOOKUP($AJ235,Data_Validation!$A:$D,3,0)</f>
        <v>#N/A</v>
      </c>
      <c r="AQ235" s="853" t="str">
        <f>+VLOOKUP($AJ235,Data_Validation!$A:$D,4,0)</f>
        <v>#N/A</v>
      </c>
      <c r="AR235" s="853" t="s">
        <v>728</v>
      </c>
      <c r="AS235" s="853" t="str">
        <f>+VLOOKUP($AJ235,Data_Validation!$A:$E,5,0)</f>
        <v>#N/A</v>
      </c>
      <c r="AT235" s="794" t="str">
        <f t="shared" ref="AT235:AU235" si="468">C235</f>
        <v>G0810</v>
      </c>
      <c r="AU235" s="854" t="str">
        <f t="shared" si="468"/>
        <v>LOYER TERRAIN</v>
      </c>
      <c r="AV235" s="794">
        <f t="array" ref="AV235">IFERROR(INDEX(V235:AG235,1,MATCH(Parametres!$B$3,V$1:AG$1,0)-1)*IF(OR(C235="L",C235="S",C235="I"),-1,1),"")</f>
        <v>0</v>
      </c>
      <c r="AW235" s="794">
        <f t="shared" si="6"/>
        <v>0</v>
      </c>
      <c r="AX235" s="794">
        <f t="array" ref="AX235">INDEX(V235:AG235,1,MATCH(Parametres!$B$3,V$1:AG$1,0))*IF(OR(C235="L",C235="S",C235="I"),-1,1)</f>
        <v>0</v>
      </c>
      <c r="AY235" s="853" t="s">
        <v>772</v>
      </c>
      <c r="AZ235" s="853" t="str">
        <f>+VLOOKUP($AJ235,Data_Validation!$A:$E,5,0)</f>
        <v>#N/A</v>
      </c>
    </row>
    <row r="236" ht="15.0" customHeight="1">
      <c r="A236" s="849" t="s">
        <v>1239</v>
      </c>
      <c r="B236" s="849">
        <v>2025.0</v>
      </c>
      <c r="C236" s="849" t="s">
        <v>1778</v>
      </c>
      <c r="D236" s="849" t="s">
        <v>1779</v>
      </c>
      <c r="E236" s="849" t="s">
        <v>768</v>
      </c>
      <c r="F236" s="849" t="s">
        <v>1200</v>
      </c>
      <c r="G236" s="849">
        <v>12030.0</v>
      </c>
      <c r="H236" s="849">
        <v>24060.0</v>
      </c>
      <c r="I236" s="849">
        <v>37575.0</v>
      </c>
      <c r="J236" s="849">
        <v>43260.0</v>
      </c>
      <c r="K236" s="849">
        <v>56775.15</v>
      </c>
      <c r="L236" s="849">
        <v>71085.15</v>
      </c>
      <c r="M236" s="849">
        <v>85570.15</v>
      </c>
      <c r="N236" s="849">
        <v>108421.95</v>
      </c>
      <c r="O236" s="849">
        <v>111436.95</v>
      </c>
      <c r="P236" s="849">
        <v>129782.09</v>
      </c>
      <c r="Q236" s="849">
        <v>149122.72</v>
      </c>
      <c r="R236" s="849">
        <v>156420.97</v>
      </c>
      <c r="S236" s="849">
        <v>13556.61</v>
      </c>
      <c r="T236" s="849">
        <v>13556.61</v>
      </c>
      <c r="U236" s="849">
        <v>0.0</v>
      </c>
      <c r="V236" s="849">
        <v>0.0</v>
      </c>
      <c r="W236" s="849">
        <v>0.0</v>
      </c>
      <c r="X236" s="849">
        <v>0.0</v>
      </c>
      <c r="Y236" s="849">
        <v>0.0</v>
      </c>
      <c r="Z236" s="849">
        <v>0.0</v>
      </c>
      <c r="AA236" s="849">
        <v>0.0</v>
      </c>
      <c r="AB236" s="849">
        <v>0.0</v>
      </c>
      <c r="AC236" s="849">
        <v>0.0</v>
      </c>
      <c r="AD236" s="849">
        <v>0.0</v>
      </c>
      <c r="AE236" s="849">
        <v>0.0</v>
      </c>
      <c r="AF236" s="849">
        <v>0.0</v>
      </c>
      <c r="AG236" s="849">
        <v>0.0</v>
      </c>
      <c r="AH236" s="849">
        <v>0.0</v>
      </c>
      <c r="AI236" s="849">
        <v>0.0</v>
      </c>
      <c r="AJ236" s="794" t="str">
        <f t="shared" ref="AJ236:AK236" si="469">C236</f>
        <v>G0811</v>
      </c>
      <c r="AK236" s="794" t="str">
        <f t="shared" si="469"/>
        <v>LOYER TERRAIN-NEUF</v>
      </c>
      <c r="AL236" s="794">
        <f t="array" ref="AL236">IFERROR(INDEX(G236:R236,1,MATCH(Parametres!$B$3,G$1:R$1,0)-1)*IF(OR(F236="L",F236="S",F236="I"),-1,1),"")</f>
        <v>108421.95</v>
      </c>
      <c r="AM236" s="794">
        <f t="shared" si="4"/>
        <v>3015</v>
      </c>
      <c r="AN236" s="794">
        <f t="array" ref="AN236">INDEX(G236:R236,1,MATCH(Parametres!$B$3,G$1:R$1,0))*IF(OR(F236="L",F236="S",F236="I"),-1,1)</f>
        <v>111436.95</v>
      </c>
      <c r="AO236" s="853" t="str">
        <f>+VLOOKUP($AJ236,Data_Validation!$A:$D,1,0)</f>
        <v>G0811</v>
      </c>
      <c r="AP236" s="853" t="str">
        <f>+VLOOKUP($AJ236,Data_Validation!$A:$D,3,0)</f>
        <v>Véhicules neufs</v>
      </c>
      <c r="AQ236" s="853" t="str">
        <f>+VLOOKUP($AJ236,Data_Validation!$A:$D,4,0)</f>
        <v>Loyer</v>
      </c>
      <c r="AR236" s="853" t="s">
        <v>728</v>
      </c>
      <c r="AS236" s="853" t="str">
        <f>+VLOOKUP($AJ236,Data_Validation!$A:$E,5,0)</f>
        <v/>
      </c>
      <c r="AT236" s="794" t="str">
        <f t="shared" ref="AT236:AU236" si="470">C236</f>
        <v>G0811</v>
      </c>
      <c r="AU236" s="854" t="str">
        <f t="shared" si="470"/>
        <v>LOYER TERRAIN-NEUF</v>
      </c>
      <c r="AV236" s="794">
        <f t="array" ref="AV236">IFERROR(INDEX(V236:AG236,1,MATCH(Parametres!$B$3,V$1:AG$1,0)-1)*IF(OR(C236="L",C236="S",C236="I"),-1,1),"")</f>
        <v>0</v>
      </c>
      <c r="AW236" s="794">
        <f t="shared" si="6"/>
        <v>0</v>
      </c>
      <c r="AX236" s="794">
        <f t="array" ref="AX236">INDEX(V236:AG236,1,MATCH(Parametres!$B$3,V$1:AG$1,0))*IF(OR(C236="L",C236="S",C236="I"),-1,1)</f>
        <v>0</v>
      </c>
      <c r="AY236" s="853" t="s">
        <v>772</v>
      </c>
      <c r="AZ236" s="853" t="str">
        <f>+VLOOKUP($AJ236,Data_Validation!$A:$E,5,0)</f>
        <v/>
      </c>
    </row>
    <row r="237" ht="15.0" customHeight="1">
      <c r="A237" s="849" t="s">
        <v>1239</v>
      </c>
      <c r="B237" s="849">
        <v>2025.0</v>
      </c>
      <c r="C237" s="849" t="s">
        <v>1780</v>
      </c>
      <c r="D237" s="849" t="s">
        <v>1781</v>
      </c>
      <c r="E237" s="849" t="s">
        <v>768</v>
      </c>
      <c r="F237" s="849" t="s">
        <v>1200</v>
      </c>
      <c r="G237" s="849">
        <v>8020.0</v>
      </c>
      <c r="H237" s="849">
        <v>16040.0</v>
      </c>
      <c r="I237" s="849">
        <v>25050.0</v>
      </c>
      <c r="J237" s="849">
        <v>28840.0</v>
      </c>
      <c r="K237" s="849">
        <v>30800.1</v>
      </c>
      <c r="L237" s="849">
        <v>40340.1</v>
      </c>
      <c r="M237" s="849">
        <v>48330.1</v>
      </c>
      <c r="N237" s="849">
        <v>63564.63</v>
      </c>
      <c r="O237" s="849">
        <v>65574.63</v>
      </c>
      <c r="P237" s="849">
        <v>77804.71</v>
      </c>
      <c r="Q237" s="849">
        <v>90698.46</v>
      </c>
      <c r="R237" s="849">
        <v>95563.96</v>
      </c>
      <c r="S237" s="849">
        <v>8245.31</v>
      </c>
      <c r="T237" s="849">
        <v>8245.31</v>
      </c>
      <c r="U237" s="849">
        <v>0.0</v>
      </c>
      <c r="V237" s="849">
        <v>0.0</v>
      </c>
      <c r="W237" s="849">
        <v>0.0</v>
      </c>
      <c r="X237" s="849">
        <v>0.0</v>
      </c>
      <c r="Y237" s="849">
        <v>0.0</v>
      </c>
      <c r="Z237" s="849">
        <v>0.0</v>
      </c>
      <c r="AA237" s="849">
        <v>0.0</v>
      </c>
      <c r="AB237" s="849">
        <v>0.0</v>
      </c>
      <c r="AC237" s="849">
        <v>0.0</v>
      </c>
      <c r="AD237" s="849">
        <v>0.0</v>
      </c>
      <c r="AE237" s="849">
        <v>0.0</v>
      </c>
      <c r="AF237" s="849">
        <v>0.0</v>
      </c>
      <c r="AG237" s="849">
        <v>0.0</v>
      </c>
      <c r="AH237" s="849">
        <v>0.0</v>
      </c>
      <c r="AI237" s="849">
        <v>0.0</v>
      </c>
      <c r="AJ237" s="794" t="str">
        <f t="shared" ref="AJ237:AK237" si="471">C237</f>
        <v>G0812</v>
      </c>
      <c r="AK237" s="794" t="str">
        <f t="shared" si="471"/>
        <v>LOYER TERRAIN-USAGES</v>
      </c>
      <c r="AL237" s="794">
        <f t="array" ref="AL237">IFERROR(INDEX(G237:R237,1,MATCH(Parametres!$B$3,G$1:R$1,0)-1)*IF(OR(F237="L",F237="S",F237="I"),-1,1),"")</f>
        <v>63564.63</v>
      </c>
      <c r="AM237" s="794">
        <f t="shared" si="4"/>
        <v>2010</v>
      </c>
      <c r="AN237" s="794">
        <f t="array" ref="AN237">INDEX(G237:R237,1,MATCH(Parametres!$B$3,G$1:R$1,0))*IF(OR(F237="L",F237="S",F237="I"),-1,1)</f>
        <v>65574.63</v>
      </c>
      <c r="AO237" s="853" t="str">
        <f>+VLOOKUP($AJ237,Data_Validation!$A:$D,1,0)</f>
        <v>G0812</v>
      </c>
      <c r="AP237" s="853" t="str">
        <f>+VLOOKUP($AJ237,Data_Validation!$A:$D,3,0)</f>
        <v>Véhicules usagés</v>
      </c>
      <c r="AQ237" s="853" t="str">
        <f>+VLOOKUP($AJ237,Data_Validation!$A:$D,4,0)</f>
        <v>Loyer</v>
      </c>
      <c r="AR237" s="853" t="s">
        <v>728</v>
      </c>
      <c r="AS237" s="853" t="str">
        <f>+VLOOKUP($AJ237,Data_Validation!$A:$E,5,0)</f>
        <v/>
      </c>
      <c r="AT237" s="794" t="str">
        <f t="shared" ref="AT237:AU237" si="472">C237</f>
        <v>G0812</v>
      </c>
      <c r="AU237" s="854" t="str">
        <f t="shared" si="472"/>
        <v>LOYER TERRAIN-USAGES</v>
      </c>
      <c r="AV237" s="794">
        <f t="array" ref="AV237">IFERROR(INDEX(V237:AG237,1,MATCH(Parametres!$B$3,V$1:AG$1,0)-1)*IF(OR(C237="L",C237="S",C237="I"),-1,1),"")</f>
        <v>0</v>
      </c>
      <c r="AW237" s="794">
        <f t="shared" si="6"/>
        <v>0</v>
      </c>
      <c r="AX237" s="794">
        <f t="array" ref="AX237">INDEX(V237:AG237,1,MATCH(Parametres!$B$3,V$1:AG$1,0))*IF(OR(C237="L",C237="S",C237="I"),-1,1)</f>
        <v>0</v>
      </c>
      <c r="AY237" s="853" t="s">
        <v>772</v>
      </c>
      <c r="AZ237" s="853" t="str">
        <f>+VLOOKUP($AJ237,Data_Validation!$A:$E,5,0)</f>
        <v/>
      </c>
    </row>
    <row r="238" ht="15.75" customHeight="1">
      <c r="A238" s="849" t="s">
        <v>1239</v>
      </c>
      <c r="B238" s="849">
        <v>2025.0</v>
      </c>
      <c r="C238" s="849" t="s">
        <v>1782</v>
      </c>
      <c r="D238" s="849" t="s">
        <v>1783</v>
      </c>
      <c r="E238" s="849" t="s">
        <v>768</v>
      </c>
      <c r="F238" s="849" t="s">
        <v>1200</v>
      </c>
      <c r="G238" s="849">
        <v>0.0</v>
      </c>
      <c r="H238" s="849">
        <v>0.0</v>
      </c>
      <c r="I238" s="849">
        <v>0.0</v>
      </c>
      <c r="J238" s="849">
        <v>0.0</v>
      </c>
      <c r="K238" s="849">
        <v>0.0</v>
      </c>
      <c r="L238" s="849">
        <v>0.0</v>
      </c>
      <c r="M238" s="849">
        <v>0.0</v>
      </c>
      <c r="N238" s="849">
        <v>0.0</v>
      </c>
      <c r="O238" s="849">
        <v>0.0</v>
      </c>
      <c r="P238" s="849">
        <v>0.0</v>
      </c>
      <c r="Q238" s="849">
        <v>0.0</v>
      </c>
      <c r="R238" s="849">
        <v>0.0</v>
      </c>
      <c r="S238" s="849">
        <v>0.0</v>
      </c>
      <c r="T238" s="849">
        <v>0.0</v>
      </c>
      <c r="U238" s="849">
        <v>0.0</v>
      </c>
      <c r="V238" s="849">
        <v>0.0</v>
      </c>
      <c r="W238" s="849">
        <v>0.0</v>
      </c>
      <c r="X238" s="849">
        <v>0.0</v>
      </c>
      <c r="Y238" s="849">
        <v>0.0</v>
      </c>
      <c r="Z238" s="849">
        <v>0.0</v>
      </c>
      <c r="AA238" s="849">
        <v>0.0</v>
      </c>
      <c r="AB238" s="849">
        <v>0.0</v>
      </c>
      <c r="AC238" s="849">
        <v>0.0</v>
      </c>
      <c r="AD238" s="849">
        <v>0.0</v>
      </c>
      <c r="AE238" s="849">
        <v>0.0</v>
      </c>
      <c r="AF238" s="849">
        <v>0.0</v>
      </c>
      <c r="AG238" s="849">
        <v>0.0</v>
      </c>
      <c r="AH238" s="849">
        <v>0.0</v>
      </c>
      <c r="AI238" s="849">
        <v>0.0</v>
      </c>
      <c r="AJ238" s="794" t="str">
        <f t="shared" ref="AJ238:AK238" si="473">C238</f>
        <v>G0813</v>
      </c>
      <c r="AK238" s="794" t="str">
        <f t="shared" si="473"/>
        <v>LOYER TERRAIN-U.S.A</v>
      </c>
      <c r="AL238" s="794">
        <f t="array" ref="AL238">IFERROR(INDEX(G238:R238,1,MATCH(Parametres!$B$3,G$1:R$1,0)-1)*IF(OR(F238="L",F238="S",F238="I"),-1,1),"")</f>
        <v>0</v>
      </c>
      <c r="AM238" s="794">
        <f t="shared" si="4"/>
        <v>0</v>
      </c>
      <c r="AN238" s="794">
        <f t="array" ref="AN238">INDEX(G238:R238,1,MATCH(Parametres!$B$3,G$1:R$1,0))*IF(OR(F238="L",F238="S",F238="I"),-1,1)</f>
        <v>0</v>
      </c>
      <c r="AO238" s="853" t="str">
        <f>+VLOOKUP($AJ238,Data_Validation!$A:$D,1,0)</f>
        <v>G0813</v>
      </c>
      <c r="AP238" s="853" t="str">
        <f>+VLOOKUP($AJ238,Data_Validation!$A:$D,3,0)</f>
        <v>Wholesale autres</v>
      </c>
      <c r="AQ238" s="853" t="str">
        <f>+VLOOKUP($AJ238,Data_Validation!$A:$D,4,0)</f>
        <v>Loyer</v>
      </c>
      <c r="AR238" s="853" t="s">
        <v>728</v>
      </c>
      <c r="AS238" s="853" t="str">
        <f>+VLOOKUP($AJ238,Data_Validation!$A:$E,5,0)</f>
        <v/>
      </c>
      <c r="AT238" s="794" t="str">
        <f t="shared" ref="AT238:AU238" si="474">C238</f>
        <v>G0813</v>
      </c>
      <c r="AU238" s="854" t="str">
        <f t="shared" si="474"/>
        <v>LOYER TERRAIN-U.S.A</v>
      </c>
      <c r="AV238" s="794">
        <f t="array" ref="AV238">IFERROR(INDEX(V238:AG238,1,MATCH(Parametres!$B$3,V$1:AG$1,0)-1)*IF(OR(C238="L",C238="S",C238="I"),-1,1),"")</f>
        <v>0</v>
      </c>
      <c r="AW238" s="794">
        <f t="shared" si="6"/>
        <v>0</v>
      </c>
      <c r="AX238" s="794">
        <f t="array" ref="AX238">INDEX(V238:AG238,1,MATCH(Parametres!$B$3,V$1:AG$1,0))*IF(OR(C238="L",C238="S",C238="I"),-1,1)</f>
        <v>0</v>
      </c>
      <c r="AY238" s="853" t="s">
        <v>772</v>
      </c>
      <c r="AZ238" s="853" t="str">
        <f>+VLOOKUP($AJ238,Data_Validation!$A:$E,5,0)</f>
        <v/>
      </c>
    </row>
    <row r="239" ht="15.0" customHeight="1">
      <c r="A239" s="849" t="s">
        <v>1239</v>
      </c>
      <c r="B239" s="849">
        <v>2025.0</v>
      </c>
      <c r="C239" s="849" t="s">
        <v>1784</v>
      </c>
      <c r="D239" s="849" t="s">
        <v>1785</v>
      </c>
      <c r="E239" s="849" t="s">
        <v>768</v>
      </c>
      <c r="F239" s="849" t="s">
        <v>1200</v>
      </c>
      <c r="G239" s="849">
        <v>12030.0</v>
      </c>
      <c r="H239" s="849">
        <v>24060.0</v>
      </c>
      <c r="I239" s="849">
        <v>37575.0</v>
      </c>
      <c r="J239" s="849">
        <v>43260.0</v>
      </c>
      <c r="K239" s="849">
        <v>56775.15</v>
      </c>
      <c r="L239" s="849">
        <v>71085.15</v>
      </c>
      <c r="M239" s="849">
        <v>83070.15</v>
      </c>
      <c r="N239" s="849">
        <v>105921.95</v>
      </c>
      <c r="O239" s="849">
        <v>108936.95</v>
      </c>
      <c r="P239" s="849">
        <v>127282.09</v>
      </c>
      <c r="Q239" s="849">
        <v>146622.72</v>
      </c>
      <c r="R239" s="849">
        <v>153920.97</v>
      </c>
      <c r="S239" s="849">
        <v>13329.34</v>
      </c>
      <c r="T239" s="849">
        <v>13329.34</v>
      </c>
      <c r="U239" s="849">
        <v>0.0</v>
      </c>
      <c r="V239" s="849">
        <v>0.0</v>
      </c>
      <c r="W239" s="849">
        <v>0.0</v>
      </c>
      <c r="X239" s="849">
        <v>0.0</v>
      </c>
      <c r="Y239" s="849">
        <v>0.0</v>
      </c>
      <c r="Z239" s="849">
        <v>0.0</v>
      </c>
      <c r="AA239" s="849">
        <v>0.0</v>
      </c>
      <c r="AB239" s="849">
        <v>0.0</v>
      </c>
      <c r="AC239" s="849">
        <v>0.0</v>
      </c>
      <c r="AD239" s="849">
        <v>0.0</v>
      </c>
      <c r="AE239" s="849">
        <v>0.0</v>
      </c>
      <c r="AF239" s="849">
        <v>0.0</v>
      </c>
      <c r="AG239" s="849">
        <v>0.0</v>
      </c>
      <c r="AH239" s="849">
        <v>0.0</v>
      </c>
      <c r="AI239" s="849">
        <v>0.0</v>
      </c>
      <c r="AJ239" s="794" t="str">
        <f t="shared" ref="AJ239:AK239" si="475">C239</f>
        <v>G0814</v>
      </c>
      <c r="AK239" s="794" t="str">
        <f t="shared" si="475"/>
        <v>LOYER TERRAIN-SERVICE</v>
      </c>
      <c r="AL239" s="794">
        <f t="array" ref="AL239">IFERROR(INDEX(G239:R239,1,MATCH(Parametres!$B$3,G$1:R$1,0)-1)*IF(OR(F239="L",F239="S",F239="I"),-1,1),"")</f>
        <v>105921.95</v>
      </c>
      <c r="AM239" s="794">
        <f t="shared" si="4"/>
        <v>3015</v>
      </c>
      <c r="AN239" s="794">
        <f t="array" ref="AN239">INDEX(G239:R239,1,MATCH(Parametres!$B$3,G$1:R$1,0))*IF(OR(F239="L",F239="S",F239="I"),-1,1)</f>
        <v>108936.95</v>
      </c>
      <c r="AO239" s="853" t="str">
        <f>+VLOOKUP($AJ239,Data_Validation!$A:$D,1,0)</f>
        <v>G0814</v>
      </c>
      <c r="AP239" s="853" t="str">
        <f>+VLOOKUP($AJ239,Data_Validation!$A:$D,3,0)</f>
        <v>Service</v>
      </c>
      <c r="AQ239" s="853" t="str">
        <f>+VLOOKUP($AJ239,Data_Validation!$A:$D,4,0)</f>
        <v>Loyer</v>
      </c>
      <c r="AR239" s="853" t="s">
        <v>728</v>
      </c>
      <c r="AS239" s="853" t="str">
        <f>+VLOOKUP($AJ239,Data_Validation!$A:$E,5,0)</f>
        <v/>
      </c>
      <c r="AT239" s="794" t="str">
        <f t="shared" ref="AT239:AU239" si="476">C239</f>
        <v>G0814</v>
      </c>
      <c r="AU239" s="854" t="str">
        <f t="shared" si="476"/>
        <v>LOYER TERRAIN-SERVICE</v>
      </c>
      <c r="AV239" s="794">
        <f t="array" ref="AV239">IFERROR(INDEX(V239:AG239,1,MATCH(Parametres!$B$3,V$1:AG$1,0)-1)*IF(OR(C239="L",C239="S",C239="I"),-1,1),"")</f>
        <v>0</v>
      </c>
      <c r="AW239" s="794">
        <f t="shared" si="6"/>
        <v>0</v>
      </c>
      <c r="AX239" s="794">
        <f t="array" ref="AX239">INDEX(V239:AG239,1,MATCH(Parametres!$B$3,V$1:AG$1,0))*IF(OR(C239="L",C239="S",C239="I"),-1,1)</f>
        <v>0</v>
      </c>
      <c r="AY239" s="853" t="s">
        <v>772</v>
      </c>
      <c r="AZ239" s="853" t="str">
        <f>+VLOOKUP($AJ239,Data_Validation!$A:$E,5,0)</f>
        <v/>
      </c>
    </row>
    <row r="240" ht="15.0" customHeight="1">
      <c r="A240" s="849" t="s">
        <v>1239</v>
      </c>
      <c r="B240" s="849">
        <v>2025.0</v>
      </c>
      <c r="C240" s="849" t="s">
        <v>1786</v>
      </c>
      <c r="D240" s="849" t="s">
        <v>1787</v>
      </c>
      <c r="E240" s="849" t="s">
        <v>768</v>
      </c>
      <c r="F240" s="849" t="s">
        <v>1200</v>
      </c>
      <c r="G240" s="849">
        <v>4010.0</v>
      </c>
      <c r="H240" s="849">
        <v>8020.0</v>
      </c>
      <c r="I240" s="849">
        <v>12525.0</v>
      </c>
      <c r="J240" s="849">
        <v>14420.0</v>
      </c>
      <c r="K240" s="849">
        <v>18925.05</v>
      </c>
      <c r="L240" s="849">
        <v>23695.05</v>
      </c>
      <c r="M240" s="849">
        <v>27690.05</v>
      </c>
      <c r="N240" s="849">
        <v>35307.32</v>
      </c>
      <c r="O240" s="849">
        <v>36312.32</v>
      </c>
      <c r="P240" s="849">
        <v>42427.38</v>
      </c>
      <c r="Q240" s="849">
        <v>48874.26</v>
      </c>
      <c r="R240" s="849">
        <v>51307.01</v>
      </c>
      <c r="S240" s="849">
        <v>4443.11</v>
      </c>
      <c r="T240" s="849">
        <v>4443.11</v>
      </c>
      <c r="U240" s="849">
        <v>0.0</v>
      </c>
      <c r="V240" s="849">
        <v>0.0</v>
      </c>
      <c r="W240" s="849">
        <v>0.0</v>
      </c>
      <c r="X240" s="849">
        <v>0.0</v>
      </c>
      <c r="Y240" s="849">
        <v>0.0</v>
      </c>
      <c r="Z240" s="849">
        <v>0.0</v>
      </c>
      <c r="AA240" s="849">
        <v>0.0</v>
      </c>
      <c r="AB240" s="849">
        <v>0.0</v>
      </c>
      <c r="AC240" s="849">
        <v>0.0</v>
      </c>
      <c r="AD240" s="849">
        <v>0.0</v>
      </c>
      <c r="AE240" s="849">
        <v>0.0</v>
      </c>
      <c r="AF240" s="849">
        <v>0.0</v>
      </c>
      <c r="AG240" s="849">
        <v>0.0</v>
      </c>
      <c r="AH240" s="849">
        <v>0.0</v>
      </c>
      <c r="AI240" s="849">
        <v>0.0</v>
      </c>
      <c r="AJ240" s="794" t="str">
        <f t="shared" ref="AJ240:AK240" si="477">C240</f>
        <v>G0815</v>
      </c>
      <c r="AK240" s="794" t="str">
        <f t="shared" si="477"/>
        <v>LOYER TERRAIN-CARROSSERIE</v>
      </c>
      <c r="AL240" s="794">
        <f t="array" ref="AL240">IFERROR(INDEX(G240:R240,1,MATCH(Parametres!$B$3,G$1:R$1,0)-1)*IF(OR(F240="L",F240="S",F240="I"),-1,1),"")</f>
        <v>35307.32</v>
      </c>
      <c r="AM240" s="794">
        <f t="shared" si="4"/>
        <v>1005</v>
      </c>
      <c r="AN240" s="794">
        <f t="array" ref="AN240">INDEX(G240:R240,1,MATCH(Parametres!$B$3,G$1:R$1,0))*IF(OR(F240="L",F240="S",F240="I"),-1,1)</f>
        <v>36312.32</v>
      </c>
      <c r="AO240" s="853" t="str">
        <f>+VLOOKUP($AJ240,Data_Validation!$A:$D,1,0)</f>
        <v>G0815</v>
      </c>
      <c r="AP240" s="853" t="str">
        <f>+VLOOKUP($AJ240,Data_Validation!$A:$D,3,0)</f>
        <v>Carrosserie</v>
      </c>
      <c r="AQ240" s="853" t="str">
        <f>+VLOOKUP($AJ240,Data_Validation!$A:$D,4,0)</f>
        <v>Loyer</v>
      </c>
      <c r="AR240" s="853" t="s">
        <v>728</v>
      </c>
      <c r="AS240" s="853" t="str">
        <f>+VLOOKUP($AJ240,Data_Validation!$A:$E,5,0)</f>
        <v/>
      </c>
      <c r="AT240" s="794" t="str">
        <f t="shared" ref="AT240:AU240" si="478">C240</f>
        <v>G0815</v>
      </c>
      <c r="AU240" s="854" t="str">
        <f t="shared" si="478"/>
        <v>LOYER TERRAIN-CARROSSERIE</v>
      </c>
      <c r="AV240" s="794">
        <f t="array" ref="AV240">IFERROR(INDEX(V240:AG240,1,MATCH(Parametres!$B$3,V$1:AG$1,0)-1)*IF(OR(C240="L",C240="S",C240="I"),-1,1),"")</f>
        <v>0</v>
      </c>
      <c r="AW240" s="794">
        <f t="shared" si="6"/>
        <v>0</v>
      </c>
      <c r="AX240" s="794">
        <f t="array" ref="AX240">INDEX(V240:AG240,1,MATCH(Parametres!$B$3,V$1:AG$1,0))*IF(OR(C240="L",C240="S",C240="I"),-1,1)</f>
        <v>0</v>
      </c>
      <c r="AY240" s="853" t="s">
        <v>772</v>
      </c>
      <c r="AZ240" s="853" t="str">
        <f>+VLOOKUP($AJ240,Data_Validation!$A:$E,5,0)</f>
        <v/>
      </c>
    </row>
    <row r="241" ht="15.0" customHeight="1">
      <c r="A241" s="849" t="s">
        <v>1239</v>
      </c>
      <c r="B241" s="849">
        <v>2025.0</v>
      </c>
      <c r="C241" s="849" t="s">
        <v>1788</v>
      </c>
      <c r="D241" s="849" t="s">
        <v>1789</v>
      </c>
      <c r="E241" s="849" t="s">
        <v>768</v>
      </c>
      <c r="F241" s="849" t="s">
        <v>1200</v>
      </c>
      <c r="G241" s="849">
        <v>4010.0</v>
      </c>
      <c r="H241" s="849">
        <v>8020.0</v>
      </c>
      <c r="I241" s="849">
        <v>12525.0</v>
      </c>
      <c r="J241" s="849">
        <v>14420.0</v>
      </c>
      <c r="K241" s="849">
        <v>18925.05</v>
      </c>
      <c r="L241" s="849">
        <v>23695.05</v>
      </c>
      <c r="M241" s="849">
        <v>27690.05</v>
      </c>
      <c r="N241" s="849">
        <v>35307.3</v>
      </c>
      <c r="O241" s="849">
        <v>36312.29</v>
      </c>
      <c r="P241" s="849">
        <v>42427.31</v>
      </c>
      <c r="Q241" s="849">
        <v>48874.15</v>
      </c>
      <c r="R241" s="849">
        <v>51306.88</v>
      </c>
      <c r="S241" s="849">
        <v>4443.1</v>
      </c>
      <c r="T241" s="849">
        <v>4443.1</v>
      </c>
      <c r="U241" s="849">
        <v>0.0</v>
      </c>
      <c r="V241" s="849">
        <v>0.0</v>
      </c>
      <c r="W241" s="849">
        <v>0.0</v>
      </c>
      <c r="X241" s="849">
        <v>0.0</v>
      </c>
      <c r="Y241" s="849">
        <v>0.0</v>
      </c>
      <c r="Z241" s="849">
        <v>0.0</v>
      </c>
      <c r="AA241" s="849">
        <v>0.0</v>
      </c>
      <c r="AB241" s="849">
        <v>0.0</v>
      </c>
      <c r="AC241" s="849">
        <v>0.0</v>
      </c>
      <c r="AD241" s="849">
        <v>0.0</v>
      </c>
      <c r="AE241" s="849">
        <v>0.0</v>
      </c>
      <c r="AF241" s="849">
        <v>0.0</v>
      </c>
      <c r="AG241" s="849">
        <v>0.0</v>
      </c>
      <c r="AH241" s="849">
        <v>0.0</v>
      </c>
      <c r="AI241" s="849">
        <v>0.0</v>
      </c>
      <c r="AJ241" s="794" t="str">
        <f t="shared" ref="AJ241:AK241" si="479">C241</f>
        <v>G0816</v>
      </c>
      <c r="AK241" s="794" t="str">
        <f t="shared" si="479"/>
        <v>LOYER TERRAIN- PIECES</v>
      </c>
      <c r="AL241" s="794">
        <f t="array" ref="AL241">IFERROR(INDEX(G241:R241,1,MATCH(Parametres!$B$3,G$1:R$1,0)-1)*IF(OR(F241="L",F241="S",F241="I"),-1,1),"")</f>
        <v>35307.3</v>
      </c>
      <c r="AM241" s="794">
        <f t="shared" si="4"/>
        <v>1004.99</v>
      </c>
      <c r="AN241" s="794">
        <f t="array" ref="AN241">INDEX(G241:R241,1,MATCH(Parametres!$B$3,G$1:R$1,0))*IF(OR(F241="L",F241="S",F241="I"),-1,1)</f>
        <v>36312.29</v>
      </c>
      <c r="AO241" s="853" t="str">
        <f>+VLOOKUP($AJ241,Data_Validation!$A:$D,1,0)</f>
        <v>G0816</v>
      </c>
      <c r="AP241" s="853" t="str">
        <f>+VLOOKUP($AJ241,Data_Validation!$A:$D,3,0)</f>
        <v>Pièces</v>
      </c>
      <c r="AQ241" s="853" t="str">
        <f>+VLOOKUP($AJ241,Data_Validation!$A:$D,4,0)</f>
        <v>Loyer</v>
      </c>
      <c r="AR241" s="853" t="s">
        <v>728</v>
      </c>
      <c r="AS241" s="853" t="str">
        <f>+VLOOKUP($AJ241,Data_Validation!$A:$E,5,0)</f>
        <v/>
      </c>
      <c r="AT241" s="794" t="str">
        <f t="shared" ref="AT241:AU241" si="480">C241</f>
        <v>G0816</v>
      </c>
      <c r="AU241" s="854" t="str">
        <f t="shared" si="480"/>
        <v>LOYER TERRAIN- PIECES</v>
      </c>
      <c r="AV241" s="794">
        <f t="array" ref="AV241">IFERROR(INDEX(V241:AG241,1,MATCH(Parametres!$B$3,V$1:AG$1,0)-1)*IF(OR(C241="L",C241="S",C241="I"),-1,1),"")</f>
        <v>0</v>
      </c>
      <c r="AW241" s="794">
        <f t="shared" si="6"/>
        <v>0</v>
      </c>
      <c r="AX241" s="794">
        <f t="array" ref="AX241">INDEX(V241:AG241,1,MATCH(Parametres!$B$3,V$1:AG$1,0))*IF(OR(C241="L",C241="S",C241="I"),-1,1)</f>
        <v>0</v>
      </c>
      <c r="AY241" s="853" t="s">
        <v>772</v>
      </c>
      <c r="AZ241" s="853" t="str">
        <f>+VLOOKUP($AJ241,Data_Validation!$A:$E,5,0)</f>
        <v/>
      </c>
    </row>
    <row r="242" ht="15.0" customHeight="1">
      <c r="A242" s="849" t="s">
        <v>1239</v>
      </c>
      <c r="B242" s="849">
        <v>2025.0</v>
      </c>
      <c r="C242" s="849" t="s">
        <v>1790</v>
      </c>
      <c r="D242" s="849" t="s">
        <v>1791</v>
      </c>
      <c r="E242" s="849" t="s">
        <v>768</v>
      </c>
      <c r="F242" s="849" t="s">
        <v>1200</v>
      </c>
      <c r="G242" s="849">
        <v>0.0</v>
      </c>
      <c r="H242" s="849">
        <v>0.0</v>
      </c>
      <c r="I242" s="849">
        <v>0.0</v>
      </c>
      <c r="J242" s="849">
        <v>0.0</v>
      </c>
      <c r="K242" s="849">
        <v>0.0</v>
      </c>
      <c r="L242" s="849">
        <v>0.0</v>
      </c>
      <c r="M242" s="849">
        <v>0.0</v>
      </c>
      <c r="N242" s="849">
        <v>0.0</v>
      </c>
      <c r="O242" s="849">
        <v>0.0</v>
      </c>
      <c r="P242" s="849">
        <v>0.0</v>
      </c>
      <c r="Q242" s="849">
        <v>0.0</v>
      </c>
      <c r="R242" s="849">
        <v>0.0</v>
      </c>
      <c r="S242" s="849">
        <v>0.0</v>
      </c>
      <c r="T242" s="849">
        <v>0.0</v>
      </c>
      <c r="U242" s="849">
        <v>0.0</v>
      </c>
      <c r="V242" s="849">
        <v>0.0</v>
      </c>
      <c r="W242" s="849">
        <v>0.0</v>
      </c>
      <c r="X242" s="849">
        <v>0.0</v>
      </c>
      <c r="Y242" s="849">
        <v>0.0</v>
      </c>
      <c r="Z242" s="849">
        <v>0.0</v>
      </c>
      <c r="AA242" s="849">
        <v>0.0</v>
      </c>
      <c r="AB242" s="849">
        <v>0.0</v>
      </c>
      <c r="AC242" s="849">
        <v>0.0</v>
      </c>
      <c r="AD242" s="849">
        <v>0.0</v>
      </c>
      <c r="AE242" s="849">
        <v>0.0</v>
      </c>
      <c r="AF242" s="849">
        <v>0.0</v>
      </c>
      <c r="AG242" s="849">
        <v>0.0</v>
      </c>
      <c r="AH242" s="849">
        <v>0.0</v>
      </c>
      <c r="AI242" s="849">
        <v>0.0</v>
      </c>
      <c r="AJ242" s="794" t="str">
        <f t="shared" ref="AJ242:AK242" si="481">C242</f>
        <v>G0820</v>
      </c>
      <c r="AK242" s="794" t="str">
        <f t="shared" si="481"/>
        <v>ENT BATIMENT REP.</v>
      </c>
      <c r="AL242" s="794">
        <f t="array" ref="AL242">IFERROR(INDEX(G242:R242,1,MATCH(Parametres!$B$3,G$1:R$1,0)-1)*IF(OR(F242="L",F242="S",F242="I"),-1,1),"")</f>
        <v>0</v>
      </c>
      <c r="AM242" s="794">
        <f t="shared" si="4"/>
        <v>0</v>
      </c>
      <c r="AN242" s="794">
        <f t="array" ref="AN242">INDEX(G242:R242,1,MATCH(Parametres!$B$3,G$1:R$1,0))*IF(OR(F242="L",F242="S",F242="I"),-1,1)</f>
        <v>0</v>
      </c>
      <c r="AO242" s="853" t="str">
        <f>+VLOOKUP($AJ242,Data_Validation!$A:$D,1,0)</f>
        <v>#N/A</v>
      </c>
      <c r="AP242" s="853" t="str">
        <f>+VLOOKUP($AJ242,Data_Validation!$A:$D,3,0)</f>
        <v>#N/A</v>
      </c>
      <c r="AQ242" s="853" t="str">
        <f>+VLOOKUP($AJ242,Data_Validation!$A:$D,4,0)</f>
        <v>#N/A</v>
      </c>
      <c r="AR242" s="853" t="s">
        <v>728</v>
      </c>
      <c r="AS242" s="853" t="str">
        <f>+VLOOKUP($AJ242,Data_Validation!$A:$E,5,0)</f>
        <v>#N/A</v>
      </c>
      <c r="AT242" s="794" t="str">
        <f t="shared" ref="AT242:AU242" si="482">C242</f>
        <v>G0820</v>
      </c>
      <c r="AU242" s="854" t="str">
        <f t="shared" si="482"/>
        <v>ENT BATIMENT REP.</v>
      </c>
      <c r="AV242" s="794">
        <f t="array" ref="AV242">IFERROR(INDEX(V242:AG242,1,MATCH(Parametres!$B$3,V$1:AG$1,0)-1)*IF(OR(C242="L",C242="S",C242="I"),-1,1),"")</f>
        <v>0</v>
      </c>
      <c r="AW242" s="794">
        <f t="shared" si="6"/>
        <v>0</v>
      </c>
      <c r="AX242" s="794">
        <f t="array" ref="AX242">INDEX(V242:AG242,1,MATCH(Parametres!$B$3,V$1:AG$1,0))*IF(OR(C242="L",C242="S",C242="I"),-1,1)</f>
        <v>0</v>
      </c>
      <c r="AY242" s="853" t="s">
        <v>772</v>
      </c>
      <c r="AZ242" s="853" t="str">
        <f>+VLOOKUP($AJ242,Data_Validation!$A:$E,5,0)</f>
        <v>#N/A</v>
      </c>
    </row>
    <row r="243" ht="15.75" customHeight="1">
      <c r="A243" s="849" t="s">
        <v>1239</v>
      </c>
      <c r="B243" s="849">
        <v>2025.0</v>
      </c>
      <c r="C243" s="849" t="s">
        <v>1792</v>
      </c>
      <c r="D243" s="849" t="s">
        <v>1793</v>
      </c>
      <c r="E243" s="849" t="s">
        <v>768</v>
      </c>
      <c r="F243" s="849" t="s">
        <v>1200</v>
      </c>
      <c r="G243" s="849">
        <v>2798.48</v>
      </c>
      <c r="H243" s="849">
        <v>5700.37</v>
      </c>
      <c r="I243" s="849">
        <v>8392.13</v>
      </c>
      <c r="J243" s="849">
        <v>10060.31</v>
      </c>
      <c r="K243" s="849">
        <v>12142.5</v>
      </c>
      <c r="L243" s="849">
        <v>13554.92</v>
      </c>
      <c r="M243" s="849">
        <v>17529.86</v>
      </c>
      <c r="N243" s="849">
        <v>19637.67</v>
      </c>
      <c r="O243" s="849">
        <v>23940.01</v>
      </c>
      <c r="P243" s="849">
        <v>29593.87</v>
      </c>
      <c r="Q243" s="849">
        <v>31055.58</v>
      </c>
      <c r="R243" s="849">
        <v>32125.94</v>
      </c>
      <c r="S243" s="849">
        <v>2823.23</v>
      </c>
      <c r="T243" s="849">
        <v>2823.23</v>
      </c>
      <c r="U243" s="849">
        <v>0.0</v>
      </c>
      <c r="V243" s="849">
        <v>0.0</v>
      </c>
      <c r="W243" s="849">
        <v>0.0</v>
      </c>
      <c r="X243" s="849">
        <v>0.0</v>
      </c>
      <c r="Y243" s="849">
        <v>0.0</v>
      </c>
      <c r="Z243" s="849">
        <v>0.0</v>
      </c>
      <c r="AA243" s="849">
        <v>0.0</v>
      </c>
      <c r="AB243" s="849">
        <v>0.0</v>
      </c>
      <c r="AC243" s="849">
        <v>0.0</v>
      </c>
      <c r="AD243" s="849">
        <v>0.0</v>
      </c>
      <c r="AE243" s="849">
        <v>0.0</v>
      </c>
      <c r="AF243" s="849">
        <v>0.0</v>
      </c>
      <c r="AG243" s="849">
        <v>0.0</v>
      </c>
      <c r="AH243" s="849">
        <v>0.0</v>
      </c>
      <c r="AI243" s="849">
        <v>0.0</v>
      </c>
      <c r="AJ243" s="794" t="str">
        <f t="shared" ref="AJ243:AK243" si="483">C243</f>
        <v>G0821</v>
      </c>
      <c r="AK243" s="794" t="str">
        <f t="shared" si="483"/>
        <v>ENT. REP. BATISSE-NEUFS</v>
      </c>
      <c r="AL243" s="794">
        <f t="array" ref="AL243">IFERROR(INDEX(G243:R243,1,MATCH(Parametres!$B$3,G$1:R$1,0)-1)*IF(OR(F243="L",F243="S",F243="I"),-1,1),"")</f>
        <v>19637.67</v>
      </c>
      <c r="AM243" s="794">
        <f t="shared" si="4"/>
        <v>4302.34</v>
      </c>
      <c r="AN243" s="794">
        <f t="array" ref="AN243">INDEX(G243:R243,1,MATCH(Parametres!$B$3,G$1:R$1,0))*IF(OR(F243="L",F243="S",F243="I"),-1,1)</f>
        <v>23940.01</v>
      </c>
      <c r="AO243" s="853" t="str">
        <f>+VLOOKUP($AJ243,Data_Validation!$A:$D,1,0)</f>
        <v>G0821</v>
      </c>
      <c r="AP243" s="853" t="str">
        <f>+VLOOKUP($AJ243,Data_Validation!$A:$D,3,0)</f>
        <v>Véhicules neufs</v>
      </c>
      <c r="AQ243" s="853" t="str">
        <f>+VLOOKUP($AJ243,Data_Validation!$A:$D,4,0)</f>
        <v>Services extérieurs</v>
      </c>
      <c r="AR243" s="853" t="s">
        <v>728</v>
      </c>
      <c r="AS243" s="853" t="str">
        <f>+VLOOKUP($AJ243,Data_Validation!$A:$E,5,0)</f>
        <v/>
      </c>
      <c r="AT243" s="794" t="str">
        <f t="shared" ref="AT243:AU243" si="484">C243</f>
        <v>G0821</v>
      </c>
      <c r="AU243" s="854" t="str">
        <f t="shared" si="484"/>
        <v>ENT. REP. BATISSE-NEUFS</v>
      </c>
      <c r="AV243" s="794">
        <f t="array" ref="AV243">IFERROR(INDEX(V243:AG243,1,MATCH(Parametres!$B$3,V$1:AG$1,0)-1)*IF(OR(C243="L",C243="S",C243="I"),-1,1),"")</f>
        <v>0</v>
      </c>
      <c r="AW243" s="794">
        <f t="shared" si="6"/>
        <v>0</v>
      </c>
      <c r="AX243" s="794">
        <f t="array" ref="AX243">INDEX(V243:AG243,1,MATCH(Parametres!$B$3,V$1:AG$1,0))*IF(OR(C243="L",C243="S",C243="I"),-1,1)</f>
        <v>0</v>
      </c>
      <c r="AY243" s="853" t="s">
        <v>772</v>
      </c>
      <c r="AZ243" s="853" t="str">
        <f>+VLOOKUP($AJ243,Data_Validation!$A:$E,5,0)</f>
        <v/>
      </c>
    </row>
    <row r="244" ht="15.0" customHeight="1">
      <c r="A244" s="849" t="s">
        <v>1239</v>
      </c>
      <c r="B244" s="849">
        <v>2025.0</v>
      </c>
      <c r="C244" s="849" t="s">
        <v>1794</v>
      </c>
      <c r="D244" s="849" t="s">
        <v>1795</v>
      </c>
      <c r="E244" s="849" t="s">
        <v>768</v>
      </c>
      <c r="F244" s="849" t="s">
        <v>1200</v>
      </c>
      <c r="G244" s="849">
        <v>1831.12</v>
      </c>
      <c r="H244" s="849">
        <v>3765.71</v>
      </c>
      <c r="I244" s="849">
        <v>5560.21</v>
      </c>
      <c r="J244" s="849">
        <v>6672.32</v>
      </c>
      <c r="K244" s="849">
        <v>8060.45</v>
      </c>
      <c r="L244" s="849">
        <v>9002.06</v>
      </c>
      <c r="M244" s="849">
        <v>11652.01</v>
      </c>
      <c r="N244" s="849">
        <v>13057.21</v>
      </c>
      <c r="O244" s="849">
        <v>15925.44</v>
      </c>
      <c r="P244" s="849">
        <v>19536.1</v>
      </c>
      <c r="Q244" s="849">
        <v>20510.58</v>
      </c>
      <c r="R244" s="849">
        <v>21224.15</v>
      </c>
      <c r="S244" s="849">
        <v>1864.6</v>
      </c>
      <c r="T244" s="849">
        <v>1864.6</v>
      </c>
      <c r="U244" s="849">
        <v>0.0</v>
      </c>
      <c r="V244" s="849">
        <v>0.0</v>
      </c>
      <c r="W244" s="849">
        <v>0.0</v>
      </c>
      <c r="X244" s="849">
        <v>0.0</v>
      </c>
      <c r="Y244" s="849">
        <v>0.0</v>
      </c>
      <c r="Z244" s="849">
        <v>0.0</v>
      </c>
      <c r="AA244" s="849">
        <v>0.0</v>
      </c>
      <c r="AB244" s="849">
        <v>0.0</v>
      </c>
      <c r="AC244" s="849">
        <v>0.0</v>
      </c>
      <c r="AD244" s="849">
        <v>0.0</v>
      </c>
      <c r="AE244" s="849">
        <v>0.0</v>
      </c>
      <c r="AF244" s="849">
        <v>0.0</v>
      </c>
      <c r="AG244" s="849">
        <v>0.0</v>
      </c>
      <c r="AH244" s="849">
        <v>0.0</v>
      </c>
      <c r="AI244" s="849">
        <v>0.0</v>
      </c>
      <c r="AJ244" s="794" t="str">
        <f t="shared" ref="AJ244:AK244" si="485">C244</f>
        <v>G0822</v>
      </c>
      <c r="AK244" s="794" t="str">
        <f t="shared" si="485"/>
        <v>ENT. REP. BATISSE-USAGES</v>
      </c>
      <c r="AL244" s="794">
        <f t="array" ref="AL244">IFERROR(INDEX(G244:R244,1,MATCH(Parametres!$B$3,G$1:R$1,0)-1)*IF(OR(F244="L",F244="S",F244="I"),-1,1),"")</f>
        <v>13057.21</v>
      </c>
      <c r="AM244" s="794">
        <f t="shared" si="4"/>
        <v>2868.23</v>
      </c>
      <c r="AN244" s="794">
        <f t="array" ref="AN244">INDEX(G244:R244,1,MATCH(Parametres!$B$3,G$1:R$1,0))*IF(OR(F244="L",F244="S",F244="I"),-1,1)</f>
        <v>15925.44</v>
      </c>
      <c r="AO244" s="853" t="str">
        <f>+VLOOKUP($AJ244,Data_Validation!$A:$D,1,0)</f>
        <v>G0822</v>
      </c>
      <c r="AP244" s="853" t="str">
        <f>+VLOOKUP($AJ244,Data_Validation!$A:$D,3,0)</f>
        <v>Véhicules usagés</v>
      </c>
      <c r="AQ244" s="853" t="str">
        <f>+VLOOKUP($AJ244,Data_Validation!$A:$D,4,0)</f>
        <v>Services extérieurs</v>
      </c>
      <c r="AR244" s="853" t="s">
        <v>728</v>
      </c>
      <c r="AS244" s="853" t="str">
        <f>+VLOOKUP($AJ244,Data_Validation!$A:$E,5,0)</f>
        <v/>
      </c>
      <c r="AT244" s="794" t="str">
        <f t="shared" ref="AT244:AU244" si="486">C244</f>
        <v>G0822</v>
      </c>
      <c r="AU244" s="854" t="str">
        <f t="shared" si="486"/>
        <v>ENT. REP. BATISSE-USAGES</v>
      </c>
      <c r="AV244" s="794">
        <f t="array" ref="AV244">IFERROR(INDEX(V244:AG244,1,MATCH(Parametres!$B$3,V$1:AG$1,0)-1)*IF(OR(C244="L",C244="S",C244="I"),-1,1),"")</f>
        <v>0</v>
      </c>
      <c r="AW244" s="794">
        <f t="shared" si="6"/>
        <v>0</v>
      </c>
      <c r="AX244" s="794">
        <f t="array" ref="AX244">INDEX(V244:AG244,1,MATCH(Parametres!$B$3,V$1:AG$1,0))*IF(OR(C244="L",C244="S",C244="I"),-1,1)</f>
        <v>0</v>
      </c>
      <c r="AY244" s="853" t="s">
        <v>772</v>
      </c>
      <c r="AZ244" s="853" t="str">
        <f>+VLOOKUP($AJ244,Data_Validation!$A:$E,5,0)</f>
        <v/>
      </c>
    </row>
    <row r="245" ht="15.0" customHeight="1">
      <c r="A245" s="849" t="s">
        <v>1239</v>
      </c>
      <c r="B245" s="849">
        <v>2025.0</v>
      </c>
      <c r="C245" s="849" t="s">
        <v>1796</v>
      </c>
      <c r="D245" s="849" t="s">
        <v>1797</v>
      </c>
      <c r="E245" s="849" t="s">
        <v>768</v>
      </c>
      <c r="F245" s="849" t="s">
        <v>1200</v>
      </c>
      <c r="G245" s="849">
        <v>0.0</v>
      </c>
      <c r="H245" s="849">
        <v>0.0</v>
      </c>
      <c r="I245" s="849">
        <v>0.0</v>
      </c>
      <c r="J245" s="849">
        <v>0.0</v>
      </c>
      <c r="K245" s="849">
        <v>331.8</v>
      </c>
      <c r="L245" s="849">
        <v>331.8</v>
      </c>
      <c r="M245" s="849">
        <v>331.8</v>
      </c>
      <c r="N245" s="849">
        <v>331.8</v>
      </c>
      <c r="O245" s="849">
        <v>331.8</v>
      </c>
      <c r="P245" s="849">
        <v>331.8</v>
      </c>
      <c r="Q245" s="849">
        <v>331.8</v>
      </c>
      <c r="R245" s="849">
        <v>331.8</v>
      </c>
      <c r="S245" s="849">
        <v>30.16</v>
      </c>
      <c r="T245" s="849">
        <v>30.16</v>
      </c>
      <c r="U245" s="849">
        <v>0.0</v>
      </c>
      <c r="V245" s="849">
        <v>0.0</v>
      </c>
      <c r="W245" s="849">
        <v>0.0</v>
      </c>
      <c r="X245" s="849">
        <v>0.0</v>
      </c>
      <c r="Y245" s="849">
        <v>0.0</v>
      </c>
      <c r="Z245" s="849">
        <v>0.0</v>
      </c>
      <c r="AA245" s="849">
        <v>0.0</v>
      </c>
      <c r="AB245" s="849">
        <v>0.0</v>
      </c>
      <c r="AC245" s="849">
        <v>0.0</v>
      </c>
      <c r="AD245" s="849">
        <v>0.0</v>
      </c>
      <c r="AE245" s="849">
        <v>0.0</v>
      </c>
      <c r="AF245" s="849">
        <v>0.0</v>
      </c>
      <c r="AG245" s="849">
        <v>0.0</v>
      </c>
      <c r="AH245" s="849">
        <v>0.0</v>
      </c>
      <c r="AI245" s="849">
        <v>0.0</v>
      </c>
      <c r="AJ245" s="794" t="str">
        <f t="shared" ref="AJ245:AK245" si="487">C245</f>
        <v>G0823</v>
      </c>
      <c r="AK245" s="794" t="str">
        <f t="shared" si="487"/>
        <v>ENT. REP. BATISSE U.S.A</v>
      </c>
      <c r="AL245" s="794">
        <f t="array" ref="AL245">IFERROR(INDEX(G245:R245,1,MATCH(Parametres!$B$3,G$1:R$1,0)-1)*IF(OR(F245="L",F245="S",F245="I"),-1,1),"")</f>
        <v>331.8</v>
      </c>
      <c r="AM245" s="794">
        <f t="shared" si="4"/>
        <v>0</v>
      </c>
      <c r="AN245" s="794">
        <f t="array" ref="AN245">INDEX(G245:R245,1,MATCH(Parametres!$B$3,G$1:R$1,0))*IF(OR(F245="L",F245="S",F245="I"),-1,1)</f>
        <v>331.8</v>
      </c>
      <c r="AO245" s="853" t="str">
        <f>+VLOOKUP($AJ245,Data_Validation!$A:$D,1,0)</f>
        <v>G0823</v>
      </c>
      <c r="AP245" s="853" t="str">
        <f>+VLOOKUP($AJ245,Data_Validation!$A:$D,3,0)</f>
        <v>Wholesale autres</v>
      </c>
      <c r="AQ245" s="853" t="str">
        <f>+VLOOKUP($AJ245,Data_Validation!$A:$D,4,0)</f>
        <v>Services extérieurs</v>
      </c>
      <c r="AR245" s="853" t="s">
        <v>728</v>
      </c>
      <c r="AS245" s="853" t="str">
        <f>+VLOOKUP($AJ245,Data_Validation!$A:$E,5,0)</f>
        <v/>
      </c>
      <c r="AT245" s="794" t="str">
        <f t="shared" ref="AT245:AU245" si="488">C245</f>
        <v>G0823</v>
      </c>
      <c r="AU245" s="854" t="str">
        <f t="shared" si="488"/>
        <v>ENT. REP. BATISSE U.S.A</v>
      </c>
      <c r="AV245" s="794">
        <f t="array" ref="AV245">IFERROR(INDEX(V245:AG245,1,MATCH(Parametres!$B$3,V$1:AG$1,0)-1)*IF(OR(C245="L",C245="S",C245="I"),-1,1),"")</f>
        <v>0</v>
      </c>
      <c r="AW245" s="794">
        <f t="shared" si="6"/>
        <v>0</v>
      </c>
      <c r="AX245" s="794">
        <f t="array" ref="AX245">INDEX(V245:AG245,1,MATCH(Parametres!$B$3,V$1:AG$1,0))*IF(OR(C245="L",C245="S",C245="I"),-1,1)</f>
        <v>0</v>
      </c>
      <c r="AY245" s="853" t="s">
        <v>772</v>
      </c>
      <c r="AZ245" s="853" t="str">
        <f>+VLOOKUP($AJ245,Data_Validation!$A:$E,5,0)</f>
        <v/>
      </c>
    </row>
    <row r="246" ht="15.0" customHeight="1">
      <c r="A246" s="849" t="s">
        <v>1239</v>
      </c>
      <c r="B246" s="849">
        <v>2025.0</v>
      </c>
      <c r="C246" s="849" t="s">
        <v>1798</v>
      </c>
      <c r="D246" s="849" t="s">
        <v>1799</v>
      </c>
      <c r="E246" s="849" t="s">
        <v>768</v>
      </c>
      <c r="F246" s="849" t="s">
        <v>1200</v>
      </c>
      <c r="G246" s="849">
        <v>10442.63</v>
      </c>
      <c r="H246" s="849">
        <v>13464.92</v>
      </c>
      <c r="I246" s="849">
        <v>16603.28</v>
      </c>
      <c r="J246" s="849">
        <v>18548.69</v>
      </c>
      <c r="K246" s="849">
        <v>20630.88</v>
      </c>
      <c r="L246" s="849">
        <v>22043.3</v>
      </c>
      <c r="M246" s="849">
        <v>26438.24</v>
      </c>
      <c r="N246" s="849">
        <v>28979.26</v>
      </c>
      <c r="O246" s="849">
        <v>35705.36</v>
      </c>
      <c r="P246" s="849">
        <v>42206.7</v>
      </c>
      <c r="Q246" s="849">
        <v>45147.17</v>
      </c>
      <c r="R246" s="849">
        <v>47413.71</v>
      </c>
      <c r="S246" s="849">
        <v>4104.29</v>
      </c>
      <c r="T246" s="849">
        <v>4104.29</v>
      </c>
      <c r="U246" s="849">
        <v>0.0</v>
      </c>
      <c r="V246" s="849">
        <v>0.0</v>
      </c>
      <c r="W246" s="849">
        <v>0.0</v>
      </c>
      <c r="X246" s="849">
        <v>0.0</v>
      </c>
      <c r="Y246" s="849">
        <v>0.0</v>
      </c>
      <c r="Z246" s="849">
        <v>0.0</v>
      </c>
      <c r="AA246" s="849">
        <v>0.0</v>
      </c>
      <c r="AB246" s="849">
        <v>0.0</v>
      </c>
      <c r="AC246" s="849">
        <v>0.0</v>
      </c>
      <c r="AD246" s="849">
        <v>0.0</v>
      </c>
      <c r="AE246" s="849">
        <v>0.0</v>
      </c>
      <c r="AF246" s="849">
        <v>0.0</v>
      </c>
      <c r="AG246" s="849">
        <v>0.0</v>
      </c>
      <c r="AH246" s="849">
        <v>0.0</v>
      </c>
      <c r="AI246" s="849">
        <v>0.0</v>
      </c>
      <c r="AJ246" s="794" t="str">
        <f t="shared" ref="AJ246:AK246" si="489">C246</f>
        <v>G0824</v>
      </c>
      <c r="AK246" s="794" t="str">
        <f t="shared" si="489"/>
        <v>ENT. REP. BATISSE-SERVICE</v>
      </c>
      <c r="AL246" s="794">
        <f t="array" ref="AL246">IFERROR(INDEX(G246:R246,1,MATCH(Parametres!$B$3,G$1:R$1,0)-1)*IF(OR(F246="L",F246="S",F246="I"),-1,1),"")</f>
        <v>28979.26</v>
      </c>
      <c r="AM246" s="794">
        <f t="shared" si="4"/>
        <v>6726.1</v>
      </c>
      <c r="AN246" s="794">
        <f t="array" ref="AN246">INDEX(G246:R246,1,MATCH(Parametres!$B$3,G$1:R$1,0))*IF(OR(F246="L",F246="S",F246="I"),-1,1)</f>
        <v>35705.36</v>
      </c>
      <c r="AO246" s="853" t="str">
        <f>+VLOOKUP($AJ246,Data_Validation!$A:$D,1,0)</f>
        <v>G0824</v>
      </c>
      <c r="AP246" s="853" t="str">
        <f>+VLOOKUP($AJ246,Data_Validation!$A:$D,3,0)</f>
        <v>Service</v>
      </c>
      <c r="AQ246" s="853" t="str">
        <f>+VLOOKUP($AJ246,Data_Validation!$A:$D,4,0)</f>
        <v>Services extérieurs</v>
      </c>
      <c r="AR246" s="853" t="s">
        <v>728</v>
      </c>
      <c r="AS246" s="853" t="str">
        <f>+VLOOKUP($AJ246,Data_Validation!$A:$E,5,0)</f>
        <v/>
      </c>
      <c r="AT246" s="794" t="str">
        <f t="shared" ref="AT246:AU246" si="490">C246</f>
        <v>G0824</v>
      </c>
      <c r="AU246" s="854" t="str">
        <f t="shared" si="490"/>
        <v>ENT. REP. BATISSE-SERVICE</v>
      </c>
      <c r="AV246" s="794">
        <f t="array" ref="AV246">IFERROR(INDEX(V246:AG246,1,MATCH(Parametres!$B$3,V$1:AG$1,0)-1)*IF(OR(C246="L",C246="S",C246="I"),-1,1),"")</f>
        <v>0</v>
      </c>
      <c r="AW246" s="794">
        <f t="shared" si="6"/>
        <v>0</v>
      </c>
      <c r="AX246" s="794">
        <f t="array" ref="AX246">INDEX(V246:AG246,1,MATCH(Parametres!$B$3,V$1:AG$1,0))*IF(OR(C246="L",C246="S",C246="I"),-1,1)</f>
        <v>0</v>
      </c>
      <c r="AY246" s="853" t="s">
        <v>772</v>
      </c>
      <c r="AZ246" s="853" t="str">
        <f>+VLOOKUP($AJ246,Data_Validation!$A:$E,5,0)</f>
        <v/>
      </c>
    </row>
    <row r="247" ht="15.75" customHeight="1">
      <c r="A247" s="849" t="s">
        <v>1239</v>
      </c>
      <c r="B247" s="849">
        <v>2025.0</v>
      </c>
      <c r="C247" s="849" t="s">
        <v>1800</v>
      </c>
      <c r="D247" s="849" t="s">
        <v>1801</v>
      </c>
      <c r="E247" s="849" t="s">
        <v>768</v>
      </c>
      <c r="F247" s="849" t="s">
        <v>1200</v>
      </c>
      <c r="G247" s="849">
        <v>915.56</v>
      </c>
      <c r="H247" s="849">
        <v>1882.86</v>
      </c>
      <c r="I247" s="849">
        <v>2780.12</v>
      </c>
      <c r="J247" s="849">
        <v>8738.54</v>
      </c>
      <c r="K247" s="849">
        <v>9432.61</v>
      </c>
      <c r="L247" s="849">
        <v>10056.34</v>
      </c>
      <c r="M247" s="849">
        <v>12602.83</v>
      </c>
      <c r="N247" s="849">
        <v>13305.44</v>
      </c>
      <c r="O247" s="849">
        <v>14950.09</v>
      </c>
      <c r="P247" s="849">
        <v>19460.77</v>
      </c>
      <c r="Q247" s="849">
        <v>19948.01</v>
      </c>
      <c r="R247" s="849">
        <v>21149.86</v>
      </c>
      <c r="S247" s="849">
        <v>1813.46</v>
      </c>
      <c r="T247" s="849">
        <v>1813.46</v>
      </c>
      <c r="U247" s="849">
        <v>0.0</v>
      </c>
      <c r="V247" s="849">
        <v>0.0</v>
      </c>
      <c r="W247" s="849">
        <v>0.0</v>
      </c>
      <c r="X247" s="849">
        <v>0.0</v>
      </c>
      <c r="Y247" s="849">
        <v>0.0</v>
      </c>
      <c r="Z247" s="849">
        <v>0.0</v>
      </c>
      <c r="AA247" s="849">
        <v>0.0</v>
      </c>
      <c r="AB247" s="849">
        <v>0.0</v>
      </c>
      <c r="AC247" s="849">
        <v>0.0</v>
      </c>
      <c r="AD247" s="849">
        <v>0.0</v>
      </c>
      <c r="AE247" s="849">
        <v>0.0</v>
      </c>
      <c r="AF247" s="849">
        <v>0.0</v>
      </c>
      <c r="AG247" s="849">
        <v>0.0</v>
      </c>
      <c r="AH247" s="849">
        <v>0.0</v>
      </c>
      <c r="AI247" s="849">
        <v>0.0</v>
      </c>
      <c r="AJ247" s="794" t="str">
        <f t="shared" ref="AJ247:AK247" si="491">C247</f>
        <v>G0825</v>
      </c>
      <c r="AK247" s="794" t="str">
        <f t="shared" si="491"/>
        <v>ENT. REP. BATISSE-CARROSS</v>
      </c>
      <c r="AL247" s="794">
        <f t="array" ref="AL247">IFERROR(INDEX(G247:R247,1,MATCH(Parametres!$B$3,G$1:R$1,0)-1)*IF(OR(F247="L",F247="S",F247="I"),-1,1),"")</f>
        <v>13305.44</v>
      </c>
      <c r="AM247" s="794">
        <f t="shared" si="4"/>
        <v>1644.65</v>
      </c>
      <c r="AN247" s="794">
        <f t="array" ref="AN247">INDEX(G247:R247,1,MATCH(Parametres!$B$3,G$1:R$1,0))*IF(OR(F247="L",F247="S",F247="I"),-1,1)</f>
        <v>14950.09</v>
      </c>
      <c r="AO247" s="853" t="str">
        <f>+VLOOKUP($AJ247,Data_Validation!$A:$D,1,0)</f>
        <v>G0825</v>
      </c>
      <c r="AP247" s="853" t="str">
        <f>+VLOOKUP($AJ247,Data_Validation!$A:$D,3,0)</f>
        <v>Carrosserie</v>
      </c>
      <c r="AQ247" s="853" t="str">
        <f>+VLOOKUP($AJ247,Data_Validation!$A:$D,4,0)</f>
        <v>Services extérieurs</v>
      </c>
      <c r="AR247" s="853" t="s">
        <v>728</v>
      </c>
      <c r="AS247" s="853" t="str">
        <f>+VLOOKUP($AJ247,Data_Validation!$A:$E,5,0)</f>
        <v/>
      </c>
      <c r="AT247" s="794" t="str">
        <f t="shared" ref="AT247:AU247" si="492">C247</f>
        <v>G0825</v>
      </c>
      <c r="AU247" s="854" t="str">
        <f t="shared" si="492"/>
        <v>ENT. REP. BATISSE-CARROSS</v>
      </c>
      <c r="AV247" s="794">
        <f t="array" ref="AV247">IFERROR(INDEX(V247:AG247,1,MATCH(Parametres!$B$3,V$1:AG$1,0)-1)*IF(OR(C247="L",C247="S",C247="I"),-1,1),"")</f>
        <v>0</v>
      </c>
      <c r="AW247" s="794">
        <f t="shared" si="6"/>
        <v>0</v>
      </c>
      <c r="AX247" s="794">
        <f t="array" ref="AX247">INDEX(V247:AG247,1,MATCH(Parametres!$B$3,V$1:AG$1,0))*IF(OR(C247="L",C247="S",C247="I"),-1,1)</f>
        <v>0</v>
      </c>
      <c r="AY247" s="853" t="s">
        <v>772</v>
      </c>
      <c r="AZ247" s="853" t="str">
        <f>+VLOOKUP($AJ247,Data_Validation!$A:$E,5,0)</f>
        <v/>
      </c>
    </row>
    <row r="248" ht="15.0" customHeight="1">
      <c r="A248" s="849" t="s">
        <v>1239</v>
      </c>
      <c r="B248" s="849">
        <v>2025.0</v>
      </c>
      <c r="C248" s="849" t="s">
        <v>1802</v>
      </c>
      <c r="D248" s="849" t="s">
        <v>1803</v>
      </c>
      <c r="E248" s="849" t="s">
        <v>768</v>
      </c>
      <c r="F248" s="849" t="s">
        <v>1200</v>
      </c>
      <c r="G248" s="849">
        <v>915.56</v>
      </c>
      <c r="H248" s="849">
        <v>1882.85</v>
      </c>
      <c r="I248" s="849">
        <v>2780.09</v>
      </c>
      <c r="J248" s="849">
        <v>3336.14</v>
      </c>
      <c r="K248" s="849">
        <v>4030.18</v>
      </c>
      <c r="L248" s="849">
        <v>4500.99</v>
      </c>
      <c r="M248" s="849">
        <v>5825.91</v>
      </c>
      <c r="N248" s="849">
        <v>6528.49</v>
      </c>
      <c r="O248" s="849">
        <v>7962.55</v>
      </c>
      <c r="P248" s="849">
        <v>9767.86</v>
      </c>
      <c r="Q248" s="849">
        <v>10255.1</v>
      </c>
      <c r="R248" s="849">
        <v>10611.88</v>
      </c>
      <c r="S248" s="849">
        <v>932.28</v>
      </c>
      <c r="T248" s="849">
        <v>932.28</v>
      </c>
      <c r="U248" s="849">
        <v>0.0</v>
      </c>
      <c r="V248" s="849">
        <v>0.0</v>
      </c>
      <c r="W248" s="849">
        <v>0.0</v>
      </c>
      <c r="X248" s="849">
        <v>0.0</v>
      </c>
      <c r="Y248" s="849">
        <v>0.0</v>
      </c>
      <c r="Z248" s="849">
        <v>0.0</v>
      </c>
      <c r="AA248" s="849">
        <v>0.0</v>
      </c>
      <c r="AB248" s="849">
        <v>0.0</v>
      </c>
      <c r="AC248" s="849">
        <v>0.0</v>
      </c>
      <c r="AD248" s="849">
        <v>0.0</v>
      </c>
      <c r="AE248" s="849">
        <v>0.0</v>
      </c>
      <c r="AF248" s="849">
        <v>0.0</v>
      </c>
      <c r="AG248" s="849">
        <v>0.0</v>
      </c>
      <c r="AH248" s="849">
        <v>0.0</v>
      </c>
      <c r="AI248" s="849">
        <v>0.0</v>
      </c>
      <c r="AJ248" s="794" t="str">
        <f t="shared" ref="AJ248:AK248" si="493">C248</f>
        <v>G0826</v>
      </c>
      <c r="AK248" s="794" t="str">
        <f t="shared" si="493"/>
        <v>ENT. REP. BATISSE-PIECES</v>
      </c>
      <c r="AL248" s="794">
        <f t="array" ref="AL248">IFERROR(INDEX(G248:R248,1,MATCH(Parametres!$B$3,G$1:R$1,0)-1)*IF(OR(F248="L",F248="S",F248="I"),-1,1),"")</f>
        <v>6528.49</v>
      </c>
      <c r="AM248" s="794">
        <f t="shared" si="4"/>
        <v>1434.06</v>
      </c>
      <c r="AN248" s="794">
        <f t="array" ref="AN248">INDEX(G248:R248,1,MATCH(Parametres!$B$3,G$1:R$1,0))*IF(OR(F248="L",F248="S",F248="I"),-1,1)</f>
        <v>7962.55</v>
      </c>
      <c r="AO248" s="853" t="str">
        <f>+VLOOKUP($AJ248,Data_Validation!$A:$D,1,0)</f>
        <v>G0826</v>
      </c>
      <c r="AP248" s="853" t="str">
        <f>+VLOOKUP($AJ248,Data_Validation!$A:$D,3,0)</f>
        <v>Pièces</v>
      </c>
      <c r="AQ248" s="853" t="str">
        <f>+VLOOKUP($AJ248,Data_Validation!$A:$D,4,0)</f>
        <v>Services extérieurs</v>
      </c>
      <c r="AR248" s="853" t="s">
        <v>728</v>
      </c>
      <c r="AS248" s="853" t="str">
        <f>+VLOOKUP($AJ248,Data_Validation!$A:$E,5,0)</f>
        <v/>
      </c>
      <c r="AT248" s="794" t="str">
        <f t="shared" ref="AT248:AU248" si="494">C248</f>
        <v>G0826</v>
      </c>
      <c r="AU248" s="854" t="str">
        <f t="shared" si="494"/>
        <v>ENT. REP. BATISSE-PIECES</v>
      </c>
      <c r="AV248" s="794">
        <f t="array" ref="AV248">IFERROR(INDEX(V248:AG248,1,MATCH(Parametres!$B$3,V$1:AG$1,0)-1)*IF(OR(C248="L",C248="S",C248="I"),-1,1),"")</f>
        <v>0</v>
      </c>
      <c r="AW248" s="794">
        <f t="shared" si="6"/>
        <v>0</v>
      </c>
      <c r="AX248" s="794">
        <f t="array" ref="AX248">INDEX(V248:AG248,1,MATCH(Parametres!$B$3,V$1:AG$1,0))*IF(OR(C248="L",C248="S",C248="I"),-1,1)</f>
        <v>0</v>
      </c>
      <c r="AY248" s="853" t="s">
        <v>772</v>
      </c>
      <c r="AZ248" s="853" t="str">
        <f>+VLOOKUP($AJ248,Data_Validation!$A:$E,5,0)</f>
        <v/>
      </c>
    </row>
    <row r="249" ht="15.0" customHeight="1">
      <c r="A249" s="849" t="s">
        <v>1239</v>
      </c>
      <c r="B249" s="849">
        <v>2025.0</v>
      </c>
      <c r="C249" s="849" t="s">
        <v>1806</v>
      </c>
      <c r="D249" s="849" t="s">
        <v>1807</v>
      </c>
      <c r="E249" s="849" t="s">
        <v>768</v>
      </c>
      <c r="F249" s="849" t="s">
        <v>1200</v>
      </c>
      <c r="G249" s="849">
        <v>0.0</v>
      </c>
      <c r="H249" s="849">
        <v>0.0</v>
      </c>
      <c r="I249" s="849">
        <v>0.0</v>
      </c>
      <c r="J249" s="849">
        <v>0.0</v>
      </c>
      <c r="K249" s="849">
        <v>0.0</v>
      </c>
      <c r="L249" s="849">
        <v>0.0</v>
      </c>
      <c r="M249" s="849">
        <v>0.0</v>
      </c>
      <c r="N249" s="849">
        <v>0.0</v>
      </c>
      <c r="O249" s="849">
        <v>0.0</v>
      </c>
      <c r="P249" s="849">
        <v>0.0</v>
      </c>
      <c r="Q249" s="849">
        <v>0.0</v>
      </c>
      <c r="R249" s="849">
        <v>0.0</v>
      </c>
      <c r="S249" s="849">
        <v>0.0</v>
      </c>
      <c r="T249" s="849">
        <v>0.0</v>
      </c>
      <c r="U249" s="849">
        <v>0.0</v>
      </c>
      <c r="V249" s="849">
        <v>0.0</v>
      </c>
      <c r="W249" s="849">
        <v>0.0</v>
      </c>
      <c r="X249" s="849">
        <v>0.0</v>
      </c>
      <c r="Y249" s="849">
        <v>0.0</v>
      </c>
      <c r="Z249" s="849">
        <v>0.0</v>
      </c>
      <c r="AA249" s="849">
        <v>0.0</v>
      </c>
      <c r="AB249" s="849">
        <v>0.0</v>
      </c>
      <c r="AC249" s="849">
        <v>0.0</v>
      </c>
      <c r="AD249" s="849">
        <v>0.0</v>
      </c>
      <c r="AE249" s="849">
        <v>0.0</v>
      </c>
      <c r="AF249" s="849">
        <v>0.0</v>
      </c>
      <c r="AG249" s="849">
        <v>0.0</v>
      </c>
      <c r="AH249" s="849">
        <v>0.0</v>
      </c>
      <c r="AI249" s="849">
        <v>0.0</v>
      </c>
      <c r="AJ249" s="794" t="str">
        <f t="shared" ref="AJ249:AK249" si="495">C249</f>
        <v>G0830</v>
      </c>
      <c r="AK249" s="794" t="str">
        <f t="shared" si="495"/>
        <v>AMORT. BATIMENT REP</v>
      </c>
      <c r="AL249" s="794">
        <f t="array" ref="AL249">IFERROR(INDEX(G249:R249,1,MATCH(Parametres!$B$3,G$1:R$1,0)-1)*IF(OR(F249="L",F249="S",F249="I"),-1,1),"")</f>
        <v>0</v>
      </c>
      <c r="AM249" s="794">
        <f t="shared" si="4"/>
        <v>0</v>
      </c>
      <c r="AN249" s="794">
        <f t="array" ref="AN249">INDEX(G249:R249,1,MATCH(Parametres!$B$3,G$1:R$1,0))*IF(OR(F249="L",F249="S",F249="I"),-1,1)</f>
        <v>0</v>
      </c>
      <c r="AO249" s="853" t="str">
        <f>+VLOOKUP($AJ249,Data_Validation!$A:$D,1,0)</f>
        <v>#N/A</v>
      </c>
      <c r="AP249" s="853" t="str">
        <f>+VLOOKUP($AJ249,Data_Validation!$A:$D,3,0)</f>
        <v>#N/A</v>
      </c>
      <c r="AQ249" s="853" t="str">
        <f>+VLOOKUP($AJ249,Data_Validation!$A:$D,4,0)</f>
        <v>#N/A</v>
      </c>
      <c r="AR249" s="853" t="s">
        <v>728</v>
      </c>
      <c r="AS249" s="853" t="str">
        <f>+VLOOKUP($AJ249,Data_Validation!$A:$E,5,0)</f>
        <v>#N/A</v>
      </c>
      <c r="AT249" s="794" t="str">
        <f t="shared" ref="AT249:AU249" si="496">C249</f>
        <v>G0830</v>
      </c>
      <c r="AU249" s="854" t="str">
        <f t="shared" si="496"/>
        <v>AMORT. BATIMENT REP</v>
      </c>
      <c r="AV249" s="794">
        <f t="array" ref="AV249">IFERROR(INDEX(V249:AG249,1,MATCH(Parametres!$B$3,V$1:AG$1,0)-1)*IF(OR(C249="L",C249="S",C249="I"),-1,1),"")</f>
        <v>0</v>
      </c>
      <c r="AW249" s="794">
        <f t="shared" si="6"/>
        <v>0</v>
      </c>
      <c r="AX249" s="794">
        <f t="array" ref="AX249">INDEX(V249:AG249,1,MATCH(Parametres!$B$3,V$1:AG$1,0))*IF(OR(C249="L",C249="S",C249="I"),-1,1)</f>
        <v>0</v>
      </c>
      <c r="AY249" s="853" t="s">
        <v>772</v>
      </c>
      <c r="AZ249" s="853" t="str">
        <f>+VLOOKUP($AJ249,Data_Validation!$A:$E,5,0)</f>
        <v>#N/A</v>
      </c>
    </row>
    <row r="250" ht="15.0" customHeight="1">
      <c r="A250" s="849" t="s">
        <v>1239</v>
      </c>
      <c r="B250" s="849">
        <v>2025.0</v>
      </c>
      <c r="C250" s="849" t="s">
        <v>1808</v>
      </c>
      <c r="D250" s="849" t="s">
        <v>1809</v>
      </c>
      <c r="E250" s="849" t="s">
        <v>768</v>
      </c>
      <c r="F250" s="849" t="s">
        <v>1200</v>
      </c>
      <c r="G250" s="849">
        <v>41.92</v>
      </c>
      <c r="H250" s="849">
        <v>83.84</v>
      </c>
      <c r="I250" s="849">
        <v>125.76</v>
      </c>
      <c r="J250" s="849">
        <v>167.68</v>
      </c>
      <c r="K250" s="849">
        <v>209.6</v>
      </c>
      <c r="L250" s="849">
        <v>251.52</v>
      </c>
      <c r="M250" s="849">
        <v>293.44</v>
      </c>
      <c r="N250" s="849">
        <v>336.53</v>
      </c>
      <c r="O250" s="849">
        <v>378.45</v>
      </c>
      <c r="P250" s="849">
        <v>420.37</v>
      </c>
      <c r="Q250" s="849">
        <v>462.29</v>
      </c>
      <c r="R250" s="849">
        <v>504.21</v>
      </c>
      <c r="S250" s="849">
        <v>42.03</v>
      </c>
      <c r="T250" s="849">
        <v>42.03</v>
      </c>
      <c r="U250" s="849">
        <v>0.0</v>
      </c>
      <c r="V250" s="849">
        <v>0.0</v>
      </c>
      <c r="W250" s="849">
        <v>0.0</v>
      </c>
      <c r="X250" s="849">
        <v>0.0</v>
      </c>
      <c r="Y250" s="849">
        <v>0.0</v>
      </c>
      <c r="Z250" s="849">
        <v>0.0</v>
      </c>
      <c r="AA250" s="849">
        <v>0.0</v>
      </c>
      <c r="AB250" s="849">
        <v>0.0</v>
      </c>
      <c r="AC250" s="849">
        <v>0.0</v>
      </c>
      <c r="AD250" s="849">
        <v>0.0</v>
      </c>
      <c r="AE250" s="849">
        <v>0.0</v>
      </c>
      <c r="AF250" s="849">
        <v>0.0</v>
      </c>
      <c r="AG250" s="849">
        <v>0.0</v>
      </c>
      <c r="AH250" s="849">
        <v>0.0</v>
      </c>
      <c r="AI250" s="849">
        <v>0.0</v>
      </c>
      <c r="AJ250" s="794" t="str">
        <f t="shared" ref="AJ250:AK250" si="497">C250</f>
        <v>G0831</v>
      </c>
      <c r="AK250" s="794" t="str">
        <f t="shared" si="497"/>
        <v>AMORT. BATISSE-NEUFS</v>
      </c>
      <c r="AL250" s="794">
        <f t="array" ref="AL250">IFERROR(INDEX(G250:R250,1,MATCH(Parametres!$B$3,G$1:R$1,0)-1)*IF(OR(F250="L",F250="S",F250="I"),-1,1),"")</f>
        <v>336.53</v>
      </c>
      <c r="AM250" s="794">
        <f t="shared" si="4"/>
        <v>41.92</v>
      </c>
      <c r="AN250" s="794">
        <f t="array" ref="AN250">INDEX(G250:R250,1,MATCH(Parametres!$B$3,G$1:R$1,0))*IF(OR(F250="L",F250="S",F250="I"),-1,1)</f>
        <v>378.45</v>
      </c>
      <c r="AO250" s="853" t="str">
        <f>+VLOOKUP($AJ250,Data_Validation!$A:$D,1,0)</f>
        <v>G0831</v>
      </c>
      <c r="AP250" s="853" t="str">
        <f>+VLOOKUP($AJ250,Data_Validation!$A:$D,3,0)</f>
        <v>Véhicules neufs</v>
      </c>
      <c r="AQ250" s="853" t="str">
        <f>+VLOOKUP($AJ250,Data_Validation!$A:$D,4,0)</f>
        <v>Amortissement</v>
      </c>
      <c r="AR250" s="853" t="s">
        <v>728</v>
      </c>
      <c r="AS250" s="853" t="str">
        <f>+VLOOKUP($AJ250,Data_Validation!$A:$E,5,0)</f>
        <v/>
      </c>
      <c r="AT250" s="794" t="str">
        <f t="shared" ref="AT250:AU250" si="498">C250</f>
        <v>G0831</v>
      </c>
      <c r="AU250" s="854" t="str">
        <f t="shared" si="498"/>
        <v>AMORT. BATISSE-NEUFS</v>
      </c>
      <c r="AV250" s="794">
        <f t="array" ref="AV250">IFERROR(INDEX(V250:AG250,1,MATCH(Parametres!$B$3,V$1:AG$1,0)-1)*IF(OR(C250="L",C250="S",C250="I"),-1,1),"")</f>
        <v>0</v>
      </c>
      <c r="AW250" s="794">
        <f t="shared" si="6"/>
        <v>0</v>
      </c>
      <c r="AX250" s="794">
        <f t="array" ref="AX250">INDEX(V250:AG250,1,MATCH(Parametres!$B$3,V$1:AG$1,0))*IF(OR(C250="L",C250="S",C250="I"),-1,1)</f>
        <v>0</v>
      </c>
      <c r="AY250" s="853" t="s">
        <v>772</v>
      </c>
      <c r="AZ250" s="853" t="str">
        <f>+VLOOKUP($AJ250,Data_Validation!$A:$E,5,0)</f>
        <v/>
      </c>
    </row>
    <row r="251" ht="15.0" customHeight="1">
      <c r="A251" s="849" t="s">
        <v>1239</v>
      </c>
      <c r="B251" s="849">
        <v>2025.0</v>
      </c>
      <c r="C251" s="849" t="s">
        <v>1810</v>
      </c>
      <c r="D251" s="849" t="s">
        <v>1811</v>
      </c>
      <c r="E251" s="849" t="s">
        <v>768</v>
      </c>
      <c r="F251" s="849" t="s">
        <v>1200</v>
      </c>
      <c r="G251" s="849">
        <v>27.95</v>
      </c>
      <c r="H251" s="849">
        <v>55.9</v>
      </c>
      <c r="I251" s="849">
        <v>83.85</v>
      </c>
      <c r="J251" s="849">
        <v>111.8</v>
      </c>
      <c r="K251" s="849">
        <v>139.75</v>
      </c>
      <c r="L251" s="849">
        <v>167.7</v>
      </c>
      <c r="M251" s="849">
        <v>195.65</v>
      </c>
      <c r="N251" s="849">
        <v>224.38</v>
      </c>
      <c r="O251" s="849">
        <v>252.33</v>
      </c>
      <c r="P251" s="849">
        <v>280.28</v>
      </c>
      <c r="Q251" s="849">
        <v>308.23</v>
      </c>
      <c r="R251" s="849">
        <v>336.18</v>
      </c>
      <c r="S251" s="849">
        <v>28.02</v>
      </c>
      <c r="T251" s="849">
        <v>28.02</v>
      </c>
      <c r="U251" s="849">
        <v>0.0</v>
      </c>
      <c r="V251" s="849">
        <v>0.0</v>
      </c>
      <c r="W251" s="849">
        <v>0.0</v>
      </c>
      <c r="X251" s="849">
        <v>0.0</v>
      </c>
      <c r="Y251" s="849">
        <v>0.0</v>
      </c>
      <c r="Z251" s="849">
        <v>0.0</v>
      </c>
      <c r="AA251" s="849">
        <v>0.0</v>
      </c>
      <c r="AB251" s="849">
        <v>0.0</v>
      </c>
      <c r="AC251" s="849">
        <v>0.0</v>
      </c>
      <c r="AD251" s="849">
        <v>0.0</v>
      </c>
      <c r="AE251" s="849">
        <v>0.0</v>
      </c>
      <c r="AF251" s="849">
        <v>0.0</v>
      </c>
      <c r="AG251" s="849">
        <v>0.0</v>
      </c>
      <c r="AH251" s="849">
        <v>0.0</v>
      </c>
      <c r="AI251" s="849">
        <v>0.0</v>
      </c>
      <c r="AJ251" s="794" t="str">
        <f t="shared" ref="AJ251:AK251" si="499">C251</f>
        <v>G0832</v>
      </c>
      <c r="AK251" s="794" t="str">
        <f t="shared" si="499"/>
        <v>AMORT. BATISSE-USAGES</v>
      </c>
      <c r="AL251" s="794">
        <f t="array" ref="AL251">IFERROR(INDEX(G251:R251,1,MATCH(Parametres!$B$3,G$1:R$1,0)-1)*IF(OR(F251="L",F251="S",F251="I"),-1,1),"")</f>
        <v>224.38</v>
      </c>
      <c r="AM251" s="794">
        <f t="shared" si="4"/>
        <v>27.95</v>
      </c>
      <c r="AN251" s="794">
        <f t="array" ref="AN251">INDEX(G251:R251,1,MATCH(Parametres!$B$3,G$1:R$1,0))*IF(OR(F251="L",F251="S",F251="I"),-1,1)</f>
        <v>252.33</v>
      </c>
      <c r="AO251" s="853" t="str">
        <f>+VLOOKUP($AJ251,Data_Validation!$A:$D,1,0)</f>
        <v>G0832</v>
      </c>
      <c r="AP251" s="853" t="str">
        <f>+VLOOKUP($AJ251,Data_Validation!$A:$D,3,0)</f>
        <v>Véhicules usagés</v>
      </c>
      <c r="AQ251" s="853" t="str">
        <f>+VLOOKUP($AJ251,Data_Validation!$A:$D,4,0)</f>
        <v>Amortissement</v>
      </c>
      <c r="AR251" s="853" t="s">
        <v>728</v>
      </c>
      <c r="AS251" s="853" t="str">
        <f>+VLOOKUP($AJ251,Data_Validation!$A:$E,5,0)</f>
        <v/>
      </c>
      <c r="AT251" s="794" t="str">
        <f t="shared" ref="AT251:AU251" si="500">C251</f>
        <v>G0832</v>
      </c>
      <c r="AU251" s="854" t="str">
        <f t="shared" si="500"/>
        <v>AMORT. BATISSE-USAGES</v>
      </c>
      <c r="AV251" s="794">
        <f t="array" ref="AV251">IFERROR(INDEX(V251:AG251,1,MATCH(Parametres!$B$3,V$1:AG$1,0)-1)*IF(OR(C251="L",C251="S",C251="I"),-1,1),"")</f>
        <v>0</v>
      </c>
      <c r="AW251" s="794">
        <f t="shared" si="6"/>
        <v>0</v>
      </c>
      <c r="AX251" s="794">
        <f t="array" ref="AX251">INDEX(V251:AG251,1,MATCH(Parametres!$B$3,V$1:AG$1,0))*IF(OR(C251="L",C251="S",C251="I"),-1,1)</f>
        <v>0</v>
      </c>
      <c r="AY251" s="853" t="s">
        <v>772</v>
      </c>
      <c r="AZ251" s="853" t="str">
        <f>+VLOOKUP($AJ251,Data_Validation!$A:$E,5,0)</f>
        <v/>
      </c>
    </row>
    <row r="252" ht="15.75" customHeight="1">
      <c r="A252" s="849" t="s">
        <v>1239</v>
      </c>
      <c r="B252" s="849">
        <v>2025.0</v>
      </c>
      <c r="C252" s="849" t="s">
        <v>1812</v>
      </c>
      <c r="D252" s="849" t="s">
        <v>1813</v>
      </c>
      <c r="E252" s="849" t="s">
        <v>768</v>
      </c>
      <c r="F252" s="849" t="s">
        <v>1200</v>
      </c>
      <c r="G252" s="849">
        <v>41.92</v>
      </c>
      <c r="H252" s="849">
        <v>83.84</v>
      </c>
      <c r="I252" s="849">
        <v>125.76</v>
      </c>
      <c r="J252" s="849">
        <v>167.68</v>
      </c>
      <c r="K252" s="849">
        <v>209.6</v>
      </c>
      <c r="L252" s="849">
        <v>251.52</v>
      </c>
      <c r="M252" s="849">
        <v>293.44</v>
      </c>
      <c r="N252" s="849">
        <v>336.53</v>
      </c>
      <c r="O252" s="849">
        <v>378.45</v>
      </c>
      <c r="P252" s="849">
        <v>420.37</v>
      </c>
      <c r="Q252" s="849">
        <v>462.29</v>
      </c>
      <c r="R252" s="849">
        <v>504.21</v>
      </c>
      <c r="S252" s="849">
        <v>42.03</v>
      </c>
      <c r="T252" s="849">
        <v>42.03</v>
      </c>
      <c r="U252" s="849">
        <v>0.0</v>
      </c>
      <c r="V252" s="849">
        <v>0.0</v>
      </c>
      <c r="W252" s="849">
        <v>0.0</v>
      </c>
      <c r="X252" s="849">
        <v>0.0</v>
      </c>
      <c r="Y252" s="849">
        <v>0.0</v>
      </c>
      <c r="Z252" s="849">
        <v>0.0</v>
      </c>
      <c r="AA252" s="849">
        <v>0.0</v>
      </c>
      <c r="AB252" s="849">
        <v>0.0</v>
      </c>
      <c r="AC252" s="849">
        <v>0.0</v>
      </c>
      <c r="AD252" s="849">
        <v>0.0</v>
      </c>
      <c r="AE252" s="849">
        <v>0.0</v>
      </c>
      <c r="AF252" s="849">
        <v>0.0</v>
      </c>
      <c r="AG252" s="849">
        <v>0.0</v>
      </c>
      <c r="AH252" s="849">
        <v>0.0</v>
      </c>
      <c r="AI252" s="849">
        <v>0.0</v>
      </c>
      <c r="AJ252" s="794" t="str">
        <f t="shared" ref="AJ252:AK252" si="501">C252</f>
        <v>G0834</v>
      </c>
      <c r="AK252" s="794" t="str">
        <f t="shared" si="501"/>
        <v>AMORT. BATISSE-SERVICE</v>
      </c>
      <c r="AL252" s="794">
        <f t="array" ref="AL252">IFERROR(INDEX(G252:R252,1,MATCH(Parametres!$B$3,G$1:R$1,0)-1)*IF(OR(F252="L",F252="S",F252="I"),-1,1),"")</f>
        <v>336.53</v>
      </c>
      <c r="AM252" s="794">
        <f t="shared" si="4"/>
        <v>41.92</v>
      </c>
      <c r="AN252" s="794">
        <f t="array" ref="AN252">INDEX(G252:R252,1,MATCH(Parametres!$B$3,G$1:R$1,0))*IF(OR(F252="L",F252="S",F252="I"),-1,1)</f>
        <v>378.45</v>
      </c>
      <c r="AO252" s="853" t="str">
        <f>+VLOOKUP($AJ252,Data_Validation!$A:$D,1,0)</f>
        <v>G0834</v>
      </c>
      <c r="AP252" s="853" t="str">
        <f>+VLOOKUP($AJ252,Data_Validation!$A:$D,3,0)</f>
        <v>Service</v>
      </c>
      <c r="AQ252" s="853" t="str">
        <f>+VLOOKUP($AJ252,Data_Validation!$A:$D,4,0)</f>
        <v>Amortissement</v>
      </c>
      <c r="AR252" s="853" t="s">
        <v>728</v>
      </c>
      <c r="AS252" s="853" t="str">
        <f>+VLOOKUP($AJ252,Data_Validation!$A:$E,5,0)</f>
        <v/>
      </c>
      <c r="AT252" s="794" t="str">
        <f t="shared" ref="AT252:AU252" si="502">C252</f>
        <v>G0834</v>
      </c>
      <c r="AU252" s="854" t="str">
        <f t="shared" si="502"/>
        <v>AMORT. BATISSE-SERVICE</v>
      </c>
      <c r="AV252" s="794">
        <f t="array" ref="AV252">IFERROR(INDEX(V252:AG252,1,MATCH(Parametres!$B$3,V$1:AG$1,0)-1)*IF(OR(C252="L",C252="S",C252="I"),-1,1),"")</f>
        <v>0</v>
      </c>
      <c r="AW252" s="794">
        <f t="shared" si="6"/>
        <v>0</v>
      </c>
      <c r="AX252" s="794">
        <f t="array" ref="AX252">INDEX(V252:AG252,1,MATCH(Parametres!$B$3,V$1:AG$1,0))*IF(OR(C252="L",C252="S",C252="I"),-1,1)</f>
        <v>0</v>
      </c>
      <c r="AY252" s="853" t="s">
        <v>772</v>
      </c>
      <c r="AZ252" s="853" t="str">
        <f>+VLOOKUP($AJ252,Data_Validation!$A:$E,5,0)</f>
        <v/>
      </c>
    </row>
    <row r="253" ht="15.0" customHeight="1">
      <c r="A253" s="849" t="s">
        <v>1239</v>
      </c>
      <c r="B253" s="849">
        <v>2025.0</v>
      </c>
      <c r="C253" s="849" t="s">
        <v>1814</v>
      </c>
      <c r="D253" s="849" t="s">
        <v>1815</v>
      </c>
      <c r="E253" s="849" t="s">
        <v>768</v>
      </c>
      <c r="F253" s="849" t="s">
        <v>1200</v>
      </c>
      <c r="G253" s="849">
        <v>13.97</v>
      </c>
      <c r="H253" s="849">
        <v>27.94</v>
      </c>
      <c r="I253" s="849">
        <v>41.91</v>
      </c>
      <c r="J253" s="849">
        <v>55.88</v>
      </c>
      <c r="K253" s="849">
        <v>69.85</v>
      </c>
      <c r="L253" s="849">
        <v>83.82</v>
      </c>
      <c r="M253" s="849">
        <v>97.79</v>
      </c>
      <c r="N253" s="849">
        <v>112.15</v>
      </c>
      <c r="O253" s="849">
        <v>126.12</v>
      </c>
      <c r="P253" s="849">
        <v>140.09</v>
      </c>
      <c r="Q253" s="849">
        <v>154.06</v>
      </c>
      <c r="R253" s="849">
        <v>168.03</v>
      </c>
      <c r="S253" s="849">
        <v>14.01</v>
      </c>
      <c r="T253" s="849">
        <v>14.01</v>
      </c>
      <c r="U253" s="849">
        <v>0.0</v>
      </c>
      <c r="V253" s="849">
        <v>0.0</v>
      </c>
      <c r="W253" s="849">
        <v>0.0</v>
      </c>
      <c r="X253" s="849">
        <v>0.0</v>
      </c>
      <c r="Y253" s="849">
        <v>0.0</v>
      </c>
      <c r="Z253" s="849">
        <v>0.0</v>
      </c>
      <c r="AA253" s="849">
        <v>0.0</v>
      </c>
      <c r="AB253" s="849">
        <v>0.0</v>
      </c>
      <c r="AC253" s="849">
        <v>0.0</v>
      </c>
      <c r="AD253" s="849">
        <v>0.0</v>
      </c>
      <c r="AE253" s="849">
        <v>0.0</v>
      </c>
      <c r="AF253" s="849">
        <v>0.0</v>
      </c>
      <c r="AG253" s="849">
        <v>0.0</v>
      </c>
      <c r="AH253" s="849">
        <v>0.0</v>
      </c>
      <c r="AI253" s="849">
        <v>0.0</v>
      </c>
      <c r="AJ253" s="794" t="str">
        <f t="shared" ref="AJ253:AK253" si="503">C253</f>
        <v>G0835</v>
      </c>
      <c r="AK253" s="794" t="str">
        <f t="shared" si="503"/>
        <v>AMORT. BATISSE-CARROSS.</v>
      </c>
      <c r="AL253" s="794">
        <f t="array" ref="AL253">IFERROR(INDEX(G253:R253,1,MATCH(Parametres!$B$3,G$1:R$1,0)-1)*IF(OR(F253="L",F253="S",F253="I"),-1,1),"")</f>
        <v>112.15</v>
      </c>
      <c r="AM253" s="794">
        <f t="shared" si="4"/>
        <v>13.97</v>
      </c>
      <c r="AN253" s="794">
        <f t="array" ref="AN253">INDEX(G253:R253,1,MATCH(Parametres!$B$3,G$1:R$1,0))*IF(OR(F253="L",F253="S",F253="I"),-1,1)</f>
        <v>126.12</v>
      </c>
      <c r="AO253" s="853" t="str">
        <f>+VLOOKUP($AJ253,Data_Validation!$A:$D,1,0)</f>
        <v>G0835</v>
      </c>
      <c r="AP253" s="853" t="str">
        <f>+VLOOKUP($AJ253,Data_Validation!$A:$D,3,0)</f>
        <v>Carrosserie</v>
      </c>
      <c r="AQ253" s="853" t="str">
        <f>+VLOOKUP($AJ253,Data_Validation!$A:$D,4,0)</f>
        <v>Amortissement</v>
      </c>
      <c r="AR253" s="853" t="s">
        <v>728</v>
      </c>
      <c r="AS253" s="853" t="str">
        <f>+VLOOKUP($AJ253,Data_Validation!$A:$E,5,0)</f>
        <v/>
      </c>
      <c r="AT253" s="794" t="str">
        <f t="shared" ref="AT253:AU253" si="504">C253</f>
        <v>G0835</v>
      </c>
      <c r="AU253" s="854" t="str">
        <f t="shared" si="504"/>
        <v>AMORT. BATISSE-CARROSS.</v>
      </c>
      <c r="AV253" s="794">
        <f t="array" ref="AV253">IFERROR(INDEX(V253:AG253,1,MATCH(Parametres!$B$3,V$1:AG$1,0)-1)*IF(OR(C253="L",C253="S",C253="I"),-1,1),"")</f>
        <v>0</v>
      </c>
      <c r="AW253" s="794">
        <f t="shared" si="6"/>
        <v>0</v>
      </c>
      <c r="AX253" s="794">
        <f t="array" ref="AX253">INDEX(V253:AG253,1,MATCH(Parametres!$B$3,V$1:AG$1,0))*IF(OR(C253="L",C253="S",C253="I"),-1,1)</f>
        <v>0</v>
      </c>
      <c r="AY253" s="853" t="s">
        <v>772</v>
      </c>
      <c r="AZ253" s="853" t="str">
        <f>+VLOOKUP($AJ253,Data_Validation!$A:$E,5,0)</f>
        <v/>
      </c>
    </row>
    <row r="254" ht="15.0" customHeight="1">
      <c r="A254" s="849" t="s">
        <v>1239</v>
      </c>
      <c r="B254" s="849">
        <v>2025.0</v>
      </c>
      <c r="C254" s="849" t="s">
        <v>1816</v>
      </c>
      <c r="D254" s="849" t="s">
        <v>1817</v>
      </c>
      <c r="E254" s="849" t="s">
        <v>768</v>
      </c>
      <c r="F254" s="849" t="s">
        <v>1200</v>
      </c>
      <c r="G254" s="849">
        <v>13.97</v>
      </c>
      <c r="H254" s="849">
        <v>27.94</v>
      </c>
      <c r="I254" s="849">
        <v>41.91</v>
      </c>
      <c r="J254" s="849">
        <v>55.88</v>
      </c>
      <c r="K254" s="849">
        <v>69.85</v>
      </c>
      <c r="L254" s="849">
        <v>83.82</v>
      </c>
      <c r="M254" s="849">
        <v>97.79</v>
      </c>
      <c r="N254" s="849">
        <v>112.15</v>
      </c>
      <c r="O254" s="849">
        <v>126.12</v>
      </c>
      <c r="P254" s="849">
        <v>140.09</v>
      </c>
      <c r="Q254" s="849">
        <v>154.06</v>
      </c>
      <c r="R254" s="849">
        <v>168.03</v>
      </c>
      <c r="S254" s="849">
        <v>14.01</v>
      </c>
      <c r="T254" s="849">
        <v>14.01</v>
      </c>
      <c r="U254" s="849">
        <v>0.0</v>
      </c>
      <c r="V254" s="849">
        <v>0.0</v>
      </c>
      <c r="W254" s="849">
        <v>0.0</v>
      </c>
      <c r="X254" s="849">
        <v>0.0</v>
      </c>
      <c r="Y254" s="849">
        <v>0.0</v>
      </c>
      <c r="Z254" s="849">
        <v>0.0</v>
      </c>
      <c r="AA254" s="849">
        <v>0.0</v>
      </c>
      <c r="AB254" s="849">
        <v>0.0</v>
      </c>
      <c r="AC254" s="849">
        <v>0.0</v>
      </c>
      <c r="AD254" s="849">
        <v>0.0</v>
      </c>
      <c r="AE254" s="849">
        <v>0.0</v>
      </c>
      <c r="AF254" s="849">
        <v>0.0</v>
      </c>
      <c r="AG254" s="849">
        <v>0.0</v>
      </c>
      <c r="AH254" s="849">
        <v>0.0</v>
      </c>
      <c r="AI254" s="849">
        <v>0.0</v>
      </c>
      <c r="AJ254" s="794" t="str">
        <f t="shared" ref="AJ254:AK254" si="505">C254</f>
        <v>G0836</v>
      </c>
      <c r="AK254" s="794" t="str">
        <f t="shared" si="505"/>
        <v>AMORT. BATISSE-PIECES</v>
      </c>
      <c r="AL254" s="794">
        <f t="array" ref="AL254">IFERROR(INDEX(G254:R254,1,MATCH(Parametres!$B$3,G$1:R$1,0)-1)*IF(OR(F254="L",F254="S",F254="I"),-1,1),"")</f>
        <v>112.15</v>
      </c>
      <c r="AM254" s="794">
        <f t="shared" si="4"/>
        <v>13.97</v>
      </c>
      <c r="AN254" s="794">
        <f t="array" ref="AN254">INDEX(G254:R254,1,MATCH(Parametres!$B$3,G$1:R$1,0))*IF(OR(F254="L",F254="S",F254="I"),-1,1)</f>
        <v>126.12</v>
      </c>
      <c r="AO254" s="853" t="str">
        <f>+VLOOKUP($AJ254,Data_Validation!$A:$D,1,0)</f>
        <v>G0836</v>
      </c>
      <c r="AP254" s="853" t="str">
        <f>+VLOOKUP($AJ254,Data_Validation!$A:$D,3,0)</f>
        <v>Pièces</v>
      </c>
      <c r="AQ254" s="853" t="str">
        <f>+VLOOKUP($AJ254,Data_Validation!$A:$D,4,0)</f>
        <v>Amortissement</v>
      </c>
      <c r="AR254" s="853" t="s">
        <v>728</v>
      </c>
      <c r="AS254" s="853" t="str">
        <f>+VLOOKUP($AJ254,Data_Validation!$A:$E,5,0)</f>
        <v/>
      </c>
      <c r="AT254" s="794" t="str">
        <f t="shared" ref="AT254:AU254" si="506">C254</f>
        <v>G0836</v>
      </c>
      <c r="AU254" s="854" t="str">
        <f t="shared" si="506"/>
        <v>AMORT. BATISSE-PIECES</v>
      </c>
      <c r="AV254" s="794">
        <f t="array" ref="AV254">IFERROR(INDEX(V254:AG254,1,MATCH(Parametres!$B$3,V$1:AG$1,0)-1)*IF(OR(C254="L",C254="S",C254="I"),-1,1),"")</f>
        <v>0</v>
      </c>
      <c r="AW254" s="794">
        <f t="shared" si="6"/>
        <v>0</v>
      </c>
      <c r="AX254" s="794">
        <f t="array" ref="AX254">INDEX(V254:AG254,1,MATCH(Parametres!$B$3,V$1:AG$1,0))*IF(OR(C254="L",C254="S",C254="I"),-1,1)</f>
        <v>0</v>
      </c>
      <c r="AY254" s="853" t="s">
        <v>772</v>
      </c>
      <c r="AZ254" s="853" t="str">
        <f>+VLOOKUP($AJ254,Data_Validation!$A:$E,5,0)</f>
        <v/>
      </c>
    </row>
    <row r="255" ht="15.0" customHeight="1">
      <c r="A255" s="849" t="s">
        <v>1239</v>
      </c>
      <c r="B255" s="849">
        <v>2025.0</v>
      </c>
      <c r="C255" s="849" t="s">
        <v>1818</v>
      </c>
      <c r="D255" s="849" t="s">
        <v>1819</v>
      </c>
      <c r="E255" s="849" t="s">
        <v>768</v>
      </c>
      <c r="F255" s="849" t="s">
        <v>1200</v>
      </c>
      <c r="G255" s="849">
        <v>0.0</v>
      </c>
      <c r="H255" s="849">
        <v>0.0</v>
      </c>
      <c r="I255" s="849">
        <v>0.0</v>
      </c>
      <c r="J255" s="849">
        <v>0.0</v>
      </c>
      <c r="K255" s="849">
        <v>0.0</v>
      </c>
      <c r="L255" s="849">
        <v>0.0</v>
      </c>
      <c r="M255" s="849">
        <v>0.0</v>
      </c>
      <c r="N255" s="849">
        <v>0.0</v>
      </c>
      <c r="O255" s="849">
        <v>0.0</v>
      </c>
      <c r="P255" s="849">
        <v>0.0</v>
      </c>
      <c r="Q255" s="849">
        <v>0.0</v>
      </c>
      <c r="R255" s="849">
        <v>0.0</v>
      </c>
      <c r="S255" s="849">
        <v>0.0</v>
      </c>
      <c r="T255" s="849">
        <v>0.0</v>
      </c>
      <c r="U255" s="849">
        <v>0.0</v>
      </c>
      <c r="V255" s="849">
        <v>0.0</v>
      </c>
      <c r="W255" s="849">
        <v>0.0</v>
      </c>
      <c r="X255" s="849">
        <v>0.0</v>
      </c>
      <c r="Y255" s="849">
        <v>0.0</v>
      </c>
      <c r="Z255" s="849">
        <v>0.0</v>
      </c>
      <c r="AA255" s="849">
        <v>0.0</v>
      </c>
      <c r="AB255" s="849">
        <v>0.0</v>
      </c>
      <c r="AC255" s="849">
        <v>0.0</v>
      </c>
      <c r="AD255" s="849">
        <v>0.0</v>
      </c>
      <c r="AE255" s="849">
        <v>0.0</v>
      </c>
      <c r="AF255" s="849">
        <v>0.0</v>
      </c>
      <c r="AG255" s="849">
        <v>0.0</v>
      </c>
      <c r="AH255" s="849">
        <v>0.0</v>
      </c>
      <c r="AI255" s="849">
        <v>0.0</v>
      </c>
      <c r="AJ255" s="794" t="str">
        <f t="shared" ref="AJ255:AK255" si="507">C255</f>
        <v>G0840</v>
      </c>
      <c r="AK255" s="794" t="str">
        <f t="shared" si="507"/>
        <v>IMPOTS FONCIERS REP.</v>
      </c>
      <c r="AL255" s="794">
        <f t="array" ref="AL255">IFERROR(INDEX(G255:R255,1,MATCH(Parametres!$B$3,G$1:R$1,0)-1)*IF(OR(F255="L",F255="S",F255="I"),-1,1),"")</f>
        <v>0</v>
      </c>
      <c r="AM255" s="794">
        <f t="shared" si="4"/>
        <v>0</v>
      </c>
      <c r="AN255" s="794">
        <f t="array" ref="AN255">INDEX(G255:R255,1,MATCH(Parametres!$B$3,G$1:R$1,0))*IF(OR(F255="L",F255="S",F255="I"),-1,1)</f>
        <v>0</v>
      </c>
      <c r="AO255" s="853" t="str">
        <f>+VLOOKUP($AJ255,Data_Validation!$A:$D,1,0)</f>
        <v>#N/A</v>
      </c>
      <c r="AP255" s="853" t="str">
        <f>+VLOOKUP($AJ255,Data_Validation!$A:$D,3,0)</f>
        <v>#N/A</v>
      </c>
      <c r="AQ255" s="853" t="str">
        <f>+VLOOKUP($AJ255,Data_Validation!$A:$D,4,0)</f>
        <v>#N/A</v>
      </c>
      <c r="AR255" s="853" t="s">
        <v>728</v>
      </c>
      <c r="AS255" s="853" t="str">
        <f>+VLOOKUP($AJ255,Data_Validation!$A:$E,5,0)</f>
        <v>#N/A</v>
      </c>
      <c r="AT255" s="794" t="str">
        <f t="shared" ref="AT255:AU255" si="508">C255</f>
        <v>G0840</v>
      </c>
      <c r="AU255" s="854" t="str">
        <f t="shared" si="508"/>
        <v>IMPOTS FONCIERS REP.</v>
      </c>
      <c r="AV255" s="794">
        <f t="array" ref="AV255">IFERROR(INDEX(V255:AG255,1,MATCH(Parametres!$B$3,V$1:AG$1,0)-1)*IF(OR(C255="L",C255="S",C255="I"),-1,1),"")</f>
        <v>0</v>
      </c>
      <c r="AW255" s="794">
        <f t="shared" si="6"/>
        <v>0</v>
      </c>
      <c r="AX255" s="794">
        <f t="array" ref="AX255">INDEX(V255:AG255,1,MATCH(Parametres!$B$3,V$1:AG$1,0))*IF(OR(C255="L",C255="S",C255="I"),-1,1)</f>
        <v>0</v>
      </c>
      <c r="AY255" s="853" t="s">
        <v>772</v>
      </c>
      <c r="AZ255" s="853" t="str">
        <f>+VLOOKUP($AJ255,Data_Validation!$A:$E,5,0)</f>
        <v>#N/A</v>
      </c>
    </row>
    <row r="256" ht="15.75" customHeight="1">
      <c r="A256" s="849" t="s">
        <v>1239</v>
      </c>
      <c r="B256" s="849">
        <v>2025.0</v>
      </c>
      <c r="C256" s="849" t="s">
        <v>1820</v>
      </c>
      <c r="D256" s="849" t="s">
        <v>1821</v>
      </c>
      <c r="E256" s="849" t="s">
        <v>768</v>
      </c>
      <c r="F256" s="849" t="s">
        <v>1200</v>
      </c>
      <c r="G256" s="849">
        <v>1367.4</v>
      </c>
      <c r="H256" s="849">
        <v>2734.8</v>
      </c>
      <c r="I256" s="849">
        <v>4102.2</v>
      </c>
      <c r="J256" s="849">
        <v>5469.6</v>
      </c>
      <c r="K256" s="849">
        <v>6837.0</v>
      </c>
      <c r="L256" s="849">
        <v>8204.4</v>
      </c>
      <c r="M256" s="849">
        <v>17851.8</v>
      </c>
      <c r="N256" s="849">
        <v>21523.2</v>
      </c>
      <c r="O256" s="849">
        <v>25194.6</v>
      </c>
      <c r="P256" s="849">
        <v>28866.0</v>
      </c>
      <c r="Q256" s="849">
        <v>32537.4</v>
      </c>
      <c r="R256" s="849">
        <v>28954.14</v>
      </c>
      <c r="S256" s="849">
        <v>2957.95</v>
      </c>
      <c r="T256" s="849">
        <v>2957.95</v>
      </c>
      <c r="U256" s="849">
        <v>0.0</v>
      </c>
      <c r="V256" s="849">
        <v>0.0</v>
      </c>
      <c r="W256" s="849">
        <v>0.0</v>
      </c>
      <c r="X256" s="849">
        <v>0.0</v>
      </c>
      <c r="Y256" s="849">
        <v>0.0</v>
      </c>
      <c r="Z256" s="849">
        <v>0.0</v>
      </c>
      <c r="AA256" s="849">
        <v>0.0</v>
      </c>
      <c r="AB256" s="849">
        <v>0.0</v>
      </c>
      <c r="AC256" s="849">
        <v>0.0</v>
      </c>
      <c r="AD256" s="849">
        <v>0.0</v>
      </c>
      <c r="AE256" s="849">
        <v>0.0</v>
      </c>
      <c r="AF256" s="849">
        <v>0.0</v>
      </c>
      <c r="AG256" s="849">
        <v>0.0</v>
      </c>
      <c r="AH256" s="849">
        <v>0.0</v>
      </c>
      <c r="AI256" s="849">
        <v>0.0</v>
      </c>
      <c r="AJ256" s="794" t="str">
        <f t="shared" ref="AJ256:AK256" si="509">C256</f>
        <v>G0841</v>
      </c>
      <c r="AK256" s="794" t="str">
        <f t="shared" si="509"/>
        <v>IMPOT FONCIERS-NEUFS</v>
      </c>
      <c r="AL256" s="794">
        <f t="array" ref="AL256">IFERROR(INDEX(G256:R256,1,MATCH(Parametres!$B$3,G$1:R$1,0)-1)*IF(OR(F256="L",F256="S",F256="I"),-1,1),"")</f>
        <v>21523.2</v>
      </c>
      <c r="AM256" s="794">
        <f t="shared" si="4"/>
        <v>3671.4</v>
      </c>
      <c r="AN256" s="794">
        <f t="array" ref="AN256">INDEX(G256:R256,1,MATCH(Parametres!$B$3,G$1:R$1,0))*IF(OR(F256="L",F256="S",F256="I"),-1,1)</f>
        <v>25194.6</v>
      </c>
      <c r="AO256" s="853" t="str">
        <f>+VLOOKUP($AJ256,Data_Validation!$A:$D,1,0)</f>
        <v>G0841</v>
      </c>
      <c r="AP256" s="853" t="str">
        <f>+VLOOKUP($AJ256,Data_Validation!$A:$D,3,0)</f>
        <v>Véhicules neufs</v>
      </c>
      <c r="AQ256" s="853" t="str">
        <f>+VLOOKUP($AJ256,Data_Validation!$A:$D,4,0)</f>
        <v>Taxes foncières</v>
      </c>
      <c r="AR256" s="853" t="s">
        <v>728</v>
      </c>
      <c r="AS256" s="853" t="str">
        <f>+VLOOKUP($AJ256,Data_Validation!$A:$E,5,0)</f>
        <v/>
      </c>
      <c r="AT256" s="794" t="str">
        <f t="shared" ref="AT256:AU256" si="510">C256</f>
        <v>G0841</v>
      </c>
      <c r="AU256" s="854" t="str">
        <f t="shared" si="510"/>
        <v>IMPOT FONCIERS-NEUFS</v>
      </c>
      <c r="AV256" s="794">
        <f t="array" ref="AV256">IFERROR(INDEX(V256:AG256,1,MATCH(Parametres!$B$3,V$1:AG$1,0)-1)*IF(OR(C256="L",C256="S",C256="I"),-1,1),"")</f>
        <v>0</v>
      </c>
      <c r="AW256" s="794">
        <f t="shared" si="6"/>
        <v>0</v>
      </c>
      <c r="AX256" s="794">
        <f t="array" ref="AX256">INDEX(V256:AG256,1,MATCH(Parametres!$B$3,V$1:AG$1,0))*IF(OR(C256="L",C256="S",C256="I"),-1,1)</f>
        <v>0</v>
      </c>
      <c r="AY256" s="853" t="s">
        <v>772</v>
      </c>
      <c r="AZ256" s="853" t="str">
        <f>+VLOOKUP($AJ256,Data_Validation!$A:$E,5,0)</f>
        <v/>
      </c>
    </row>
    <row r="257" ht="15.0" customHeight="1">
      <c r="A257" s="849" t="s">
        <v>1239</v>
      </c>
      <c r="B257" s="849">
        <v>2025.0</v>
      </c>
      <c r="C257" s="849" t="s">
        <v>1822</v>
      </c>
      <c r="D257" s="849" t="s">
        <v>1823</v>
      </c>
      <c r="E257" s="849" t="s">
        <v>768</v>
      </c>
      <c r="F257" s="849" t="s">
        <v>1200</v>
      </c>
      <c r="G257" s="849">
        <v>911.6</v>
      </c>
      <c r="H257" s="849">
        <v>1823.2</v>
      </c>
      <c r="I257" s="849">
        <v>2734.8</v>
      </c>
      <c r="J257" s="849">
        <v>3646.4</v>
      </c>
      <c r="K257" s="849">
        <v>4558.0</v>
      </c>
      <c r="L257" s="849">
        <v>5469.6</v>
      </c>
      <c r="M257" s="849">
        <v>11901.2</v>
      </c>
      <c r="N257" s="849">
        <v>14348.8</v>
      </c>
      <c r="O257" s="849">
        <v>16796.4</v>
      </c>
      <c r="P257" s="849">
        <v>19244.0</v>
      </c>
      <c r="Q257" s="849">
        <v>21691.6</v>
      </c>
      <c r="R257" s="849">
        <v>19302.76</v>
      </c>
      <c r="S257" s="849">
        <v>1971.96</v>
      </c>
      <c r="T257" s="849">
        <v>1971.96</v>
      </c>
      <c r="U257" s="849">
        <v>0.0</v>
      </c>
      <c r="V257" s="849">
        <v>0.0</v>
      </c>
      <c r="W257" s="849">
        <v>0.0</v>
      </c>
      <c r="X257" s="849">
        <v>0.0</v>
      </c>
      <c r="Y257" s="849">
        <v>0.0</v>
      </c>
      <c r="Z257" s="849">
        <v>0.0</v>
      </c>
      <c r="AA257" s="849">
        <v>0.0</v>
      </c>
      <c r="AB257" s="849">
        <v>0.0</v>
      </c>
      <c r="AC257" s="849">
        <v>0.0</v>
      </c>
      <c r="AD257" s="849">
        <v>0.0</v>
      </c>
      <c r="AE257" s="849">
        <v>0.0</v>
      </c>
      <c r="AF257" s="849">
        <v>0.0</v>
      </c>
      <c r="AG257" s="849">
        <v>0.0</v>
      </c>
      <c r="AH257" s="849">
        <v>0.0</v>
      </c>
      <c r="AI257" s="849">
        <v>0.0</v>
      </c>
      <c r="AJ257" s="794" t="str">
        <f t="shared" ref="AJ257:AK257" si="511">C257</f>
        <v>G0842</v>
      </c>
      <c r="AK257" s="794" t="str">
        <f t="shared" si="511"/>
        <v>IMPOT FONCIERS-USAGES</v>
      </c>
      <c r="AL257" s="794">
        <f t="array" ref="AL257">IFERROR(INDEX(G257:R257,1,MATCH(Parametres!$B$3,G$1:R$1,0)-1)*IF(OR(F257="L",F257="S",F257="I"),-1,1),"")</f>
        <v>14348.8</v>
      </c>
      <c r="AM257" s="794">
        <f t="shared" si="4"/>
        <v>2447.6</v>
      </c>
      <c r="AN257" s="794">
        <f t="array" ref="AN257">INDEX(G257:R257,1,MATCH(Parametres!$B$3,G$1:R$1,0))*IF(OR(F257="L",F257="S",F257="I"),-1,1)</f>
        <v>16796.4</v>
      </c>
      <c r="AO257" s="853" t="str">
        <f>+VLOOKUP($AJ257,Data_Validation!$A:$D,1,0)</f>
        <v>G0842</v>
      </c>
      <c r="AP257" s="853" t="str">
        <f>+VLOOKUP($AJ257,Data_Validation!$A:$D,3,0)</f>
        <v>Véhicules usagés</v>
      </c>
      <c r="AQ257" s="853" t="str">
        <f>+VLOOKUP($AJ257,Data_Validation!$A:$D,4,0)</f>
        <v>Taxes foncières</v>
      </c>
      <c r="AR257" s="853" t="s">
        <v>728</v>
      </c>
      <c r="AS257" s="853" t="str">
        <f>+VLOOKUP($AJ257,Data_Validation!$A:$E,5,0)</f>
        <v/>
      </c>
      <c r="AT257" s="794" t="str">
        <f t="shared" ref="AT257:AU257" si="512">C257</f>
        <v>G0842</v>
      </c>
      <c r="AU257" s="854" t="str">
        <f t="shared" si="512"/>
        <v>IMPOT FONCIERS-USAGES</v>
      </c>
      <c r="AV257" s="794">
        <f t="array" ref="AV257">IFERROR(INDEX(V257:AG257,1,MATCH(Parametres!$B$3,V$1:AG$1,0)-1)*IF(OR(C257="L",C257="S",C257="I"),-1,1),"")</f>
        <v>0</v>
      </c>
      <c r="AW257" s="794">
        <f t="shared" si="6"/>
        <v>0</v>
      </c>
      <c r="AX257" s="794">
        <f t="array" ref="AX257">INDEX(V257:AG257,1,MATCH(Parametres!$B$3,V$1:AG$1,0))*IF(OR(C257="L",C257="S",C257="I"),-1,1)</f>
        <v>0</v>
      </c>
      <c r="AY257" s="853" t="s">
        <v>772</v>
      </c>
      <c r="AZ257" s="853" t="str">
        <f>+VLOOKUP($AJ257,Data_Validation!$A:$E,5,0)</f>
        <v/>
      </c>
    </row>
    <row r="258" ht="15.0" customHeight="1">
      <c r="A258" s="849" t="s">
        <v>1239</v>
      </c>
      <c r="B258" s="849">
        <v>2025.0</v>
      </c>
      <c r="C258" s="849" t="s">
        <v>1824</v>
      </c>
      <c r="D258" s="849" t="s">
        <v>1825</v>
      </c>
      <c r="E258" s="849" t="s">
        <v>768</v>
      </c>
      <c r="F258" s="849" t="s">
        <v>1200</v>
      </c>
      <c r="G258" s="849">
        <v>1367.4</v>
      </c>
      <c r="H258" s="849">
        <v>2734.8</v>
      </c>
      <c r="I258" s="849">
        <v>4102.2</v>
      </c>
      <c r="J258" s="849">
        <v>5469.6</v>
      </c>
      <c r="K258" s="849">
        <v>6837.0</v>
      </c>
      <c r="L258" s="849">
        <v>8204.4</v>
      </c>
      <c r="M258" s="849">
        <v>17851.8</v>
      </c>
      <c r="N258" s="849">
        <v>21523.2</v>
      </c>
      <c r="O258" s="849">
        <v>25194.6</v>
      </c>
      <c r="P258" s="849">
        <v>28866.0</v>
      </c>
      <c r="Q258" s="849">
        <v>32537.4</v>
      </c>
      <c r="R258" s="849">
        <v>28954.14</v>
      </c>
      <c r="S258" s="849">
        <v>2957.95</v>
      </c>
      <c r="T258" s="849">
        <v>2957.95</v>
      </c>
      <c r="U258" s="849">
        <v>0.0</v>
      </c>
      <c r="V258" s="849">
        <v>0.0</v>
      </c>
      <c r="W258" s="849">
        <v>0.0</v>
      </c>
      <c r="X258" s="849">
        <v>0.0</v>
      </c>
      <c r="Y258" s="849">
        <v>0.0</v>
      </c>
      <c r="Z258" s="849">
        <v>0.0</v>
      </c>
      <c r="AA258" s="849">
        <v>0.0</v>
      </c>
      <c r="AB258" s="849">
        <v>0.0</v>
      </c>
      <c r="AC258" s="849">
        <v>0.0</v>
      </c>
      <c r="AD258" s="849">
        <v>0.0</v>
      </c>
      <c r="AE258" s="849">
        <v>0.0</v>
      </c>
      <c r="AF258" s="849">
        <v>0.0</v>
      </c>
      <c r="AG258" s="849">
        <v>0.0</v>
      </c>
      <c r="AH258" s="849">
        <v>0.0</v>
      </c>
      <c r="AI258" s="849">
        <v>0.0</v>
      </c>
      <c r="AJ258" s="794" t="str">
        <f t="shared" ref="AJ258:AK258" si="513">C258</f>
        <v>G0844</v>
      </c>
      <c r="AK258" s="794" t="str">
        <f t="shared" si="513"/>
        <v>IMPOT FONCIERS-SERVICE</v>
      </c>
      <c r="AL258" s="794">
        <f t="array" ref="AL258">IFERROR(INDEX(G258:R258,1,MATCH(Parametres!$B$3,G$1:R$1,0)-1)*IF(OR(F258="L",F258="S",F258="I"),-1,1),"")</f>
        <v>21523.2</v>
      </c>
      <c r="AM258" s="794">
        <f t="shared" si="4"/>
        <v>3671.4</v>
      </c>
      <c r="AN258" s="794">
        <f t="array" ref="AN258">INDEX(G258:R258,1,MATCH(Parametres!$B$3,G$1:R$1,0))*IF(OR(F258="L",F258="S",F258="I"),-1,1)</f>
        <v>25194.6</v>
      </c>
      <c r="AO258" s="853" t="str">
        <f>+VLOOKUP($AJ258,Data_Validation!$A:$D,1,0)</f>
        <v>G0844</v>
      </c>
      <c r="AP258" s="853" t="str">
        <f>+VLOOKUP($AJ258,Data_Validation!$A:$D,3,0)</f>
        <v>Service</v>
      </c>
      <c r="AQ258" s="853" t="str">
        <f>+VLOOKUP($AJ258,Data_Validation!$A:$D,4,0)</f>
        <v>Taxes foncières</v>
      </c>
      <c r="AR258" s="853" t="s">
        <v>728</v>
      </c>
      <c r="AS258" s="853" t="str">
        <f>+VLOOKUP($AJ258,Data_Validation!$A:$E,5,0)</f>
        <v/>
      </c>
      <c r="AT258" s="794" t="str">
        <f t="shared" ref="AT258:AU258" si="514">C258</f>
        <v>G0844</v>
      </c>
      <c r="AU258" s="854" t="str">
        <f t="shared" si="514"/>
        <v>IMPOT FONCIERS-SERVICE</v>
      </c>
      <c r="AV258" s="794">
        <f t="array" ref="AV258">IFERROR(INDEX(V258:AG258,1,MATCH(Parametres!$B$3,V$1:AG$1,0)-1)*IF(OR(C258="L",C258="S",C258="I"),-1,1),"")</f>
        <v>0</v>
      </c>
      <c r="AW258" s="794">
        <f t="shared" si="6"/>
        <v>0</v>
      </c>
      <c r="AX258" s="794">
        <f t="array" ref="AX258">INDEX(V258:AG258,1,MATCH(Parametres!$B$3,V$1:AG$1,0))*IF(OR(C258="L",C258="S",C258="I"),-1,1)</f>
        <v>0</v>
      </c>
      <c r="AY258" s="853" t="s">
        <v>772</v>
      </c>
      <c r="AZ258" s="853" t="str">
        <f>+VLOOKUP($AJ258,Data_Validation!$A:$E,5,0)</f>
        <v/>
      </c>
    </row>
    <row r="259" ht="15.0" customHeight="1">
      <c r="A259" s="849" t="s">
        <v>1239</v>
      </c>
      <c r="B259" s="849">
        <v>2025.0</v>
      </c>
      <c r="C259" s="849" t="s">
        <v>1826</v>
      </c>
      <c r="D259" s="849" t="s">
        <v>1827</v>
      </c>
      <c r="E259" s="849" t="s">
        <v>768</v>
      </c>
      <c r="F259" s="849" t="s">
        <v>1200</v>
      </c>
      <c r="G259" s="849">
        <v>455.8</v>
      </c>
      <c r="H259" s="849">
        <v>911.6</v>
      </c>
      <c r="I259" s="849">
        <v>1367.4</v>
      </c>
      <c r="J259" s="849">
        <v>1823.2</v>
      </c>
      <c r="K259" s="849">
        <v>2279.0</v>
      </c>
      <c r="L259" s="849">
        <v>2734.8</v>
      </c>
      <c r="M259" s="849">
        <v>5950.6</v>
      </c>
      <c r="N259" s="849">
        <v>7174.4</v>
      </c>
      <c r="O259" s="849">
        <v>8398.2</v>
      </c>
      <c r="P259" s="849">
        <v>9622.0</v>
      </c>
      <c r="Q259" s="849">
        <v>10845.8</v>
      </c>
      <c r="R259" s="849">
        <v>9651.38</v>
      </c>
      <c r="S259" s="849">
        <v>985.98</v>
      </c>
      <c r="T259" s="849">
        <v>985.98</v>
      </c>
      <c r="U259" s="849">
        <v>0.0</v>
      </c>
      <c r="V259" s="849">
        <v>0.0</v>
      </c>
      <c r="W259" s="849">
        <v>0.0</v>
      </c>
      <c r="X259" s="849">
        <v>0.0</v>
      </c>
      <c r="Y259" s="849">
        <v>0.0</v>
      </c>
      <c r="Z259" s="849">
        <v>0.0</v>
      </c>
      <c r="AA259" s="849">
        <v>0.0</v>
      </c>
      <c r="AB259" s="849">
        <v>0.0</v>
      </c>
      <c r="AC259" s="849">
        <v>0.0</v>
      </c>
      <c r="AD259" s="849">
        <v>0.0</v>
      </c>
      <c r="AE259" s="849">
        <v>0.0</v>
      </c>
      <c r="AF259" s="849">
        <v>0.0</v>
      </c>
      <c r="AG259" s="849">
        <v>0.0</v>
      </c>
      <c r="AH259" s="849">
        <v>0.0</v>
      </c>
      <c r="AI259" s="849">
        <v>0.0</v>
      </c>
      <c r="AJ259" s="794" t="str">
        <f t="shared" ref="AJ259:AK259" si="515">C259</f>
        <v>G0845</v>
      </c>
      <c r="AK259" s="794" t="str">
        <f t="shared" si="515"/>
        <v>IMPOT FONCIERS-CARROSS.</v>
      </c>
      <c r="AL259" s="794">
        <f t="array" ref="AL259">IFERROR(INDEX(G259:R259,1,MATCH(Parametres!$B$3,G$1:R$1,0)-1)*IF(OR(F259="L",F259="S",F259="I"),-1,1),"")</f>
        <v>7174.4</v>
      </c>
      <c r="AM259" s="794">
        <f t="shared" si="4"/>
        <v>1223.8</v>
      </c>
      <c r="AN259" s="794">
        <f t="array" ref="AN259">INDEX(G259:R259,1,MATCH(Parametres!$B$3,G$1:R$1,0))*IF(OR(F259="L",F259="S",F259="I"),-1,1)</f>
        <v>8398.2</v>
      </c>
      <c r="AO259" s="853" t="str">
        <f>+VLOOKUP($AJ259,Data_Validation!$A:$D,1,0)</f>
        <v>G0845</v>
      </c>
      <c r="AP259" s="853" t="str">
        <f>+VLOOKUP($AJ259,Data_Validation!$A:$D,3,0)</f>
        <v>Carrosserie</v>
      </c>
      <c r="AQ259" s="853" t="str">
        <f>+VLOOKUP($AJ259,Data_Validation!$A:$D,4,0)</f>
        <v>Taxes foncières</v>
      </c>
      <c r="AR259" s="853" t="s">
        <v>728</v>
      </c>
      <c r="AS259" s="853" t="str">
        <f>+VLOOKUP($AJ259,Data_Validation!$A:$E,5,0)</f>
        <v/>
      </c>
      <c r="AT259" s="794" t="str">
        <f t="shared" ref="AT259:AU259" si="516">C259</f>
        <v>G0845</v>
      </c>
      <c r="AU259" s="854" t="str">
        <f t="shared" si="516"/>
        <v>IMPOT FONCIERS-CARROSS.</v>
      </c>
      <c r="AV259" s="794">
        <f t="array" ref="AV259">IFERROR(INDEX(V259:AG259,1,MATCH(Parametres!$B$3,V$1:AG$1,0)-1)*IF(OR(C259="L",C259="S",C259="I"),-1,1),"")</f>
        <v>0</v>
      </c>
      <c r="AW259" s="794">
        <f t="shared" si="6"/>
        <v>0</v>
      </c>
      <c r="AX259" s="794">
        <f t="array" ref="AX259">INDEX(V259:AG259,1,MATCH(Parametres!$B$3,V$1:AG$1,0))*IF(OR(C259="L",C259="S",C259="I"),-1,1)</f>
        <v>0</v>
      </c>
      <c r="AY259" s="853" t="s">
        <v>772</v>
      </c>
      <c r="AZ259" s="853" t="str">
        <f>+VLOOKUP($AJ259,Data_Validation!$A:$E,5,0)</f>
        <v/>
      </c>
    </row>
    <row r="260" ht="15.0" customHeight="1">
      <c r="A260" s="849" t="s">
        <v>1239</v>
      </c>
      <c r="B260" s="849">
        <v>2025.0</v>
      </c>
      <c r="C260" s="849" t="s">
        <v>1828</v>
      </c>
      <c r="D260" s="849" t="s">
        <v>1829</v>
      </c>
      <c r="E260" s="849" t="s">
        <v>768</v>
      </c>
      <c r="F260" s="849" t="s">
        <v>1200</v>
      </c>
      <c r="G260" s="849">
        <v>455.8</v>
      </c>
      <c r="H260" s="849">
        <v>911.6</v>
      </c>
      <c r="I260" s="849">
        <v>1367.4</v>
      </c>
      <c r="J260" s="849">
        <v>1823.2</v>
      </c>
      <c r="K260" s="849">
        <v>2279.0</v>
      </c>
      <c r="L260" s="849">
        <v>2734.8</v>
      </c>
      <c r="M260" s="849">
        <v>5950.6</v>
      </c>
      <c r="N260" s="849">
        <v>7174.4</v>
      </c>
      <c r="O260" s="849">
        <v>8398.2</v>
      </c>
      <c r="P260" s="849">
        <v>9622.0</v>
      </c>
      <c r="Q260" s="849">
        <v>10845.8</v>
      </c>
      <c r="R260" s="849">
        <v>9651.38</v>
      </c>
      <c r="S260" s="849">
        <v>985.98</v>
      </c>
      <c r="T260" s="849">
        <v>985.98</v>
      </c>
      <c r="U260" s="849">
        <v>0.0</v>
      </c>
      <c r="V260" s="849">
        <v>0.0</v>
      </c>
      <c r="W260" s="849">
        <v>0.0</v>
      </c>
      <c r="X260" s="849">
        <v>0.0</v>
      </c>
      <c r="Y260" s="849">
        <v>0.0</v>
      </c>
      <c r="Z260" s="849">
        <v>0.0</v>
      </c>
      <c r="AA260" s="849">
        <v>0.0</v>
      </c>
      <c r="AB260" s="849">
        <v>0.0</v>
      </c>
      <c r="AC260" s="849">
        <v>0.0</v>
      </c>
      <c r="AD260" s="849">
        <v>0.0</v>
      </c>
      <c r="AE260" s="849">
        <v>0.0</v>
      </c>
      <c r="AF260" s="849">
        <v>0.0</v>
      </c>
      <c r="AG260" s="849">
        <v>0.0</v>
      </c>
      <c r="AH260" s="849">
        <v>0.0</v>
      </c>
      <c r="AI260" s="849">
        <v>0.0</v>
      </c>
      <c r="AJ260" s="794" t="str">
        <f t="shared" ref="AJ260:AK260" si="517">C260</f>
        <v>G0846</v>
      </c>
      <c r="AK260" s="794" t="str">
        <f t="shared" si="517"/>
        <v>IMPOT FONCIERS-PIECES</v>
      </c>
      <c r="AL260" s="794">
        <f t="array" ref="AL260">IFERROR(INDEX(G260:R260,1,MATCH(Parametres!$B$3,G$1:R$1,0)-1)*IF(OR(F260="L",F260="S",F260="I"),-1,1),"")</f>
        <v>7174.4</v>
      </c>
      <c r="AM260" s="794">
        <f t="shared" si="4"/>
        <v>1223.8</v>
      </c>
      <c r="AN260" s="794">
        <f t="array" ref="AN260">INDEX(G260:R260,1,MATCH(Parametres!$B$3,G$1:R$1,0))*IF(OR(F260="L",F260="S",F260="I"),-1,1)</f>
        <v>8398.2</v>
      </c>
      <c r="AO260" s="853" t="str">
        <f>+VLOOKUP($AJ260,Data_Validation!$A:$D,1,0)</f>
        <v>G0846</v>
      </c>
      <c r="AP260" s="853" t="str">
        <f>+VLOOKUP($AJ260,Data_Validation!$A:$D,3,0)</f>
        <v>Pièces</v>
      </c>
      <c r="AQ260" s="853" t="str">
        <f>+VLOOKUP($AJ260,Data_Validation!$A:$D,4,0)</f>
        <v>Taxes foncières</v>
      </c>
      <c r="AR260" s="853" t="s">
        <v>728</v>
      </c>
      <c r="AS260" s="853" t="str">
        <f>+VLOOKUP($AJ260,Data_Validation!$A:$E,5,0)</f>
        <v/>
      </c>
      <c r="AT260" s="794" t="str">
        <f t="shared" ref="AT260:AU260" si="518">C260</f>
        <v>G0846</v>
      </c>
      <c r="AU260" s="854" t="str">
        <f t="shared" si="518"/>
        <v>IMPOT FONCIERS-PIECES</v>
      </c>
      <c r="AV260" s="794">
        <f t="array" ref="AV260">IFERROR(INDEX(V260:AG260,1,MATCH(Parametres!$B$3,V$1:AG$1,0)-1)*IF(OR(C260="L",C260="S",C260="I"),-1,1),"")</f>
        <v>0</v>
      </c>
      <c r="AW260" s="794">
        <f t="shared" si="6"/>
        <v>0</v>
      </c>
      <c r="AX260" s="794">
        <f t="array" ref="AX260">INDEX(V260:AG260,1,MATCH(Parametres!$B$3,V$1:AG$1,0))*IF(OR(C260="L",C260="S",C260="I"),-1,1)</f>
        <v>0</v>
      </c>
      <c r="AY260" s="853" t="s">
        <v>772</v>
      </c>
      <c r="AZ260" s="853" t="str">
        <f>+VLOOKUP($AJ260,Data_Validation!$A:$E,5,0)</f>
        <v/>
      </c>
    </row>
    <row r="261" ht="15.0" customHeight="1">
      <c r="A261" s="849" t="s">
        <v>1239</v>
      </c>
      <c r="B261" s="849">
        <v>2025.0</v>
      </c>
      <c r="C261" s="849" t="s">
        <v>1830</v>
      </c>
      <c r="D261" s="849" t="s">
        <v>1831</v>
      </c>
      <c r="E261" s="849" t="s">
        <v>768</v>
      </c>
      <c r="F261" s="849" t="s">
        <v>1200</v>
      </c>
      <c r="G261" s="849">
        <v>0.0</v>
      </c>
      <c r="H261" s="849">
        <v>0.0</v>
      </c>
      <c r="I261" s="849">
        <v>0.0</v>
      </c>
      <c r="J261" s="849">
        <v>0.0</v>
      </c>
      <c r="K261" s="849">
        <v>0.0</v>
      </c>
      <c r="L261" s="849">
        <v>0.0</v>
      </c>
      <c r="M261" s="849">
        <v>0.0</v>
      </c>
      <c r="N261" s="849">
        <v>0.0</v>
      </c>
      <c r="O261" s="849">
        <v>0.0</v>
      </c>
      <c r="P261" s="849">
        <v>0.0</v>
      </c>
      <c r="Q261" s="849">
        <v>0.0</v>
      </c>
      <c r="R261" s="849">
        <v>0.0</v>
      </c>
      <c r="S261" s="849">
        <v>0.0</v>
      </c>
      <c r="T261" s="849">
        <v>0.0</v>
      </c>
      <c r="U261" s="849">
        <v>0.0</v>
      </c>
      <c r="V261" s="849">
        <v>0.0</v>
      </c>
      <c r="W261" s="849">
        <v>0.0</v>
      </c>
      <c r="X261" s="849">
        <v>0.0</v>
      </c>
      <c r="Y261" s="849">
        <v>0.0</v>
      </c>
      <c r="Z261" s="849">
        <v>0.0</v>
      </c>
      <c r="AA261" s="849">
        <v>0.0</v>
      </c>
      <c r="AB261" s="849">
        <v>0.0</v>
      </c>
      <c r="AC261" s="849">
        <v>0.0</v>
      </c>
      <c r="AD261" s="849">
        <v>0.0</v>
      </c>
      <c r="AE261" s="849">
        <v>0.0</v>
      </c>
      <c r="AF261" s="849">
        <v>0.0</v>
      </c>
      <c r="AG261" s="849">
        <v>0.0</v>
      </c>
      <c r="AH261" s="849">
        <v>0.0</v>
      </c>
      <c r="AI261" s="849">
        <v>0.0</v>
      </c>
      <c r="AJ261" s="794" t="str">
        <f t="shared" ref="AJ261:AK261" si="519">C261</f>
        <v>G0850</v>
      </c>
      <c r="AK261" s="794" t="str">
        <f t="shared" si="519"/>
        <v>ASSURANCE BATIMENT REP</v>
      </c>
      <c r="AL261" s="794">
        <f t="array" ref="AL261">IFERROR(INDEX(G261:R261,1,MATCH(Parametres!$B$3,G$1:R$1,0)-1)*IF(OR(F261="L",F261="S",F261="I"),-1,1),"")</f>
        <v>0</v>
      </c>
      <c r="AM261" s="794">
        <f t="shared" si="4"/>
        <v>0</v>
      </c>
      <c r="AN261" s="794">
        <f t="array" ref="AN261">INDEX(G261:R261,1,MATCH(Parametres!$B$3,G$1:R$1,0))*IF(OR(F261="L",F261="S",F261="I"),-1,1)</f>
        <v>0</v>
      </c>
      <c r="AO261" s="853" t="str">
        <f>+VLOOKUP($AJ261,Data_Validation!$A:$D,1,0)</f>
        <v>#N/A</v>
      </c>
      <c r="AP261" s="853" t="str">
        <f>+VLOOKUP($AJ261,Data_Validation!$A:$D,3,0)</f>
        <v>#N/A</v>
      </c>
      <c r="AQ261" s="853" t="str">
        <f>+VLOOKUP($AJ261,Data_Validation!$A:$D,4,0)</f>
        <v>#N/A</v>
      </c>
      <c r="AR261" s="853" t="s">
        <v>728</v>
      </c>
      <c r="AS261" s="853" t="str">
        <f>+VLOOKUP($AJ261,Data_Validation!$A:$E,5,0)</f>
        <v>#N/A</v>
      </c>
      <c r="AT261" s="794" t="str">
        <f t="shared" ref="AT261:AU261" si="520">C261</f>
        <v>G0850</v>
      </c>
      <c r="AU261" s="854" t="str">
        <f t="shared" si="520"/>
        <v>ASSURANCE BATIMENT REP</v>
      </c>
      <c r="AV261" s="794">
        <f t="array" ref="AV261">IFERROR(INDEX(V261:AG261,1,MATCH(Parametres!$B$3,V$1:AG$1,0)-1)*IF(OR(C261="L",C261="S",C261="I"),-1,1),"")</f>
        <v>0</v>
      </c>
      <c r="AW261" s="794">
        <f t="shared" si="6"/>
        <v>0</v>
      </c>
      <c r="AX261" s="794">
        <f t="array" ref="AX261">INDEX(V261:AG261,1,MATCH(Parametres!$B$3,V$1:AG$1,0))*IF(OR(C261="L",C261="S",C261="I"),-1,1)</f>
        <v>0</v>
      </c>
      <c r="AY261" s="853" t="s">
        <v>772</v>
      </c>
      <c r="AZ261" s="853" t="str">
        <f>+VLOOKUP($AJ261,Data_Validation!$A:$E,5,0)</f>
        <v>#N/A</v>
      </c>
    </row>
    <row r="262" ht="15.75" customHeight="1">
      <c r="A262" s="849" t="s">
        <v>1239</v>
      </c>
      <c r="B262" s="849">
        <v>2025.0</v>
      </c>
      <c r="C262" s="849" t="s">
        <v>1832</v>
      </c>
      <c r="D262" s="849" t="s">
        <v>1833</v>
      </c>
      <c r="E262" s="849" t="s">
        <v>768</v>
      </c>
      <c r="F262" s="849" t="s">
        <v>1200</v>
      </c>
      <c r="G262" s="849">
        <v>3922.08</v>
      </c>
      <c r="H262" s="849">
        <v>7844.16</v>
      </c>
      <c r="I262" s="849">
        <v>11766.24</v>
      </c>
      <c r="J262" s="849">
        <v>15688.32</v>
      </c>
      <c r="K262" s="849">
        <v>19610.4</v>
      </c>
      <c r="L262" s="849">
        <v>23532.48</v>
      </c>
      <c r="M262" s="849">
        <v>27454.56</v>
      </c>
      <c r="N262" s="849">
        <v>31376.64</v>
      </c>
      <c r="O262" s="849">
        <v>35298.72</v>
      </c>
      <c r="P262" s="849">
        <v>39220.8</v>
      </c>
      <c r="Q262" s="849">
        <v>43142.88</v>
      </c>
      <c r="R262" s="849">
        <v>47064.96</v>
      </c>
      <c r="S262" s="849">
        <v>3922.08</v>
      </c>
      <c r="T262" s="849">
        <v>3922.08</v>
      </c>
      <c r="U262" s="849">
        <v>0.0</v>
      </c>
      <c r="V262" s="849">
        <v>0.0</v>
      </c>
      <c r="W262" s="849">
        <v>0.0</v>
      </c>
      <c r="X262" s="849">
        <v>0.0</v>
      </c>
      <c r="Y262" s="849">
        <v>0.0</v>
      </c>
      <c r="Z262" s="849">
        <v>0.0</v>
      </c>
      <c r="AA262" s="849">
        <v>0.0</v>
      </c>
      <c r="AB262" s="849">
        <v>0.0</v>
      </c>
      <c r="AC262" s="849">
        <v>0.0</v>
      </c>
      <c r="AD262" s="849">
        <v>0.0</v>
      </c>
      <c r="AE262" s="849">
        <v>0.0</v>
      </c>
      <c r="AF262" s="849">
        <v>0.0</v>
      </c>
      <c r="AG262" s="849">
        <v>0.0</v>
      </c>
      <c r="AH262" s="849">
        <v>0.0</v>
      </c>
      <c r="AI262" s="849">
        <v>0.0</v>
      </c>
      <c r="AJ262" s="794" t="str">
        <f t="shared" ref="AJ262:AK262" si="521">C262</f>
        <v>G0851</v>
      </c>
      <c r="AK262" s="794" t="str">
        <f t="shared" si="521"/>
        <v>ASSURANCE BATISSE-NEUFS</v>
      </c>
      <c r="AL262" s="794">
        <f t="array" ref="AL262">IFERROR(INDEX(G262:R262,1,MATCH(Parametres!$B$3,G$1:R$1,0)-1)*IF(OR(F262="L",F262="S",F262="I"),-1,1),"")</f>
        <v>31376.64</v>
      </c>
      <c r="AM262" s="794">
        <f t="shared" si="4"/>
        <v>3922.08</v>
      </c>
      <c r="AN262" s="794">
        <f t="array" ref="AN262">INDEX(G262:R262,1,MATCH(Parametres!$B$3,G$1:R$1,0))*IF(OR(F262="L",F262="S",F262="I"),-1,1)</f>
        <v>35298.72</v>
      </c>
      <c r="AO262" s="853" t="str">
        <f>+VLOOKUP($AJ262,Data_Validation!$A:$D,1,0)</f>
        <v>G0851</v>
      </c>
      <c r="AP262" s="853" t="str">
        <f>+VLOOKUP($AJ262,Data_Validation!$A:$D,3,0)</f>
        <v>Véhicules neufs</v>
      </c>
      <c r="AQ262" s="853" t="str">
        <f>+VLOOKUP($AJ262,Data_Validation!$A:$D,4,0)</f>
        <v>Assurances</v>
      </c>
      <c r="AR262" s="853" t="s">
        <v>728</v>
      </c>
      <c r="AS262" s="853" t="str">
        <f>+VLOOKUP($AJ262,Data_Validation!$A:$E,5,0)</f>
        <v/>
      </c>
      <c r="AT262" s="794" t="str">
        <f t="shared" ref="AT262:AU262" si="522">C262</f>
        <v>G0851</v>
      </c>
      <c r="AU262" s="854" t="str">
        <f t="shared" si="522"/>
        <v>ASSURANCE BATISSE-NEUFS</v>
      </c>
      <c r="AV262" s="794">
        <f t="array" ref="AV262">IFERROR(INDEX(V262:AG262,1,MATCH(Parametres!$B$3,V$1:AG$1,0)-1)*IF(OR(C262="L",C262="S",C262="I"),-1,1),"")</f>
        <v>0</v>
      </c>
      <c r="AW262" s="794">
        <f t="shared" si="6"/>
        <v>0</v>
      </c>
      <c r="AX262" s="794">
        <f t="array" ref="AX262">INDEX(V262:AG262,1,MATCH(Parametres!$B$3,V$1:AG$1,0))*IF(OR(C262="L",C262="S",C262="I"),-1,1)</f>
        <v>0</v>
      </c>
      <c r="AY262" s="853" t="s">
        <v>772</v>
      </c>
      <c r="AZ262" s="853" t="str">
        <f>+VLOOKUP($AJ262,Data_Validation!$A:$E,5,0)</f>
        <v/>
      </c>
    </row>
    <row r="263" ht="15.0" customHeight="1">
      <c r="A263" s="849" t="s">
        <v>1239</v>
      </c>
      <c r="B263" s="849">
        <v>2025.0</v>
      </c>
      <c r="C263" s="849" t="s">
        <v>1834</v>
      </c>
      <c r="D263" s="849" t="s">
        <v>1835</v>
      </c>
      <c r="E263" s="849" t="s">
        <v>768</v>
      </c>
      <c r="F263" s="849" t="s">
        <v>1200</v>
      </c>
      <c r="G263" s="849">
        <v>2614.72</v>
      </c>
      <c r="H263" s="849">
        <v>5229.44</v>
      </c>
      <c r="I263" s="849">
        <v>7844.16</v>
      </c>
      <c r="J263" s="849">
        <v>10458.88</v>
      </c>
      <c r="K263" s="849">
        <v>13073.6</v>
      </c>
      <c r="L263" s="849">
        <v>15688.32</v>
      </c>
      <c r="M263" s="849">
        <v>18303.04</v>
      </c>
      <c r="N263" s="849">
        <v>20917.76</v>
      </c>
      <c r="O263" s="849">
        <v>23532.48</v>
      </c>
      <c r="P263" s="849">
        <v>26147.2</v>
      </c>
      <c r="Q263" s="849">
        <v>28761.92</v>
      </c>
      <c r="R263" s="849">
        <v>31376.64</v>
      </c>
      <c r="S263" s="849">
        <v>2614.72</v>
      </c>
      <c r="T263" s="849">
        <v>2614.72</v>
      </c>
      <c r="U263" s="849">
        <v>0.0</v>
      </c>
      <c r="V263" s="849">
        <v>0.0</v>
      </c>
      <c r="W263" s="849">
        <v>0.0</v>
      </c>
      <c r="X263" s="849">
        <v>0.0</v>
      </c>
      <c r="Y263" s="849">
        <v>0.0</v>
      </c>
      <c r="Z263" s="849">
        <v>0.0</v>
      </c>
      <c r="AA263" s="849">
        <v>0.0</v>
      </c>
      <c r="AB263" s="849">
        <v>0.0</v>
      </c>
      <c r="AC263" s="849">
        <v>0.0</v>
      </c>
      <c r="AD263" s="849">
        <v>0.0</v>
      </c>
      <c r="AE263" s="849">
        <v>0.0</v>
      </c>
      <c r="AF263" s="849">
        <v>0.0</v>
      </c>
      <c r="AG263" s="849">
        <v>0.0</v>
      </c>
      <c r="AH263" s="849">
        <v>0.0</v>
      </c>
      <c r="AI263" s="849">
        <v>0.0</v>
      </c>
      <c r="AJ263" s="794" t="str">
        <f t="shared" ref="AJ263:AK263" si="523">C263</f>
        <v>G0852</v>
      </c>
      <c r="AK263" s="794" t="str">
        <f t="shared" si="523"/>
        <v>ASSURANCE BATISSE-USAGES</v>
      </c>
      <c r="AL263" s="794">
        <f t="array" ref="AL263">IFERROR(INDEX(G263:R263,1,MATCH(Parametres!$B$3,G$1:R$1,0)-1)*IF(OR(F263="L",F263="S",F263="I"),-1,1),"")</f>
        <v>20917.76</v>
      </c>
      <c r="AM263" s="794">
        <f t="shared" si="4"/>
        <v>2614.72</v>
      </c>
      <c r="AN263" s="794">
        <f t="array" ref="AN263">INDEX(G263:R263,1,MATCH(Parametres!$B$3,G$1:R$1,0))*IF(OR(F263="L",F263="S",F263="I"),-1,1)</f>
        <v>23532.48</v>
      </c>
      <c r="AO263" s="853" t="str">
        <f>+VLOOKUP($AJ263,Data_Validation!$A:$D,1,0)</f>
        <v>G0852</v>
      </c>
      <c r="AP263" s="853" t="str">
        <f>+VLOOKUP($AJ263,Data_Validation!$A:$D,3,0)</f>
        <v>Véhicules usagés</v>
      </c>
      <c r="AQ263" s="853" t="str">
        <f>+VLOOKUP($AJ263,Data_Validation!$A:$D,4,0)</f>
        <v>Assurances</v>
      </c>
      <c r="AR263" s="853" t="s">
        <v>728</v>
      </c>
      <c r="AS263" s="853" t="str">
        <f>+VLOOKUP($AJ263,Data_Validation!$A:$E,5,0)</f>
        <v/>
      </c>
      <c r="AT263" s="794" t="str">
        <f t="shared" ref="AT263:AU263" si="524">C263</f>
        <v>G0852</v>
      </c>
      <c r="AU263" s="854" t="str">
        <f t="shared" si="524"/>
        <v>ASSURANCE BATISSE-USAGES</v>
      </c>
      <c r="AV263" s="794">
        <f t="array" ref="AV263">IFERROR(INDEX(V263:AG263,1,MATCH(Parametres!$B$3,V$1:AG$1,0)-1)*IF(OR(C263="L",C263="S",C263="I"),-1,1),"")</f>
        <v>0</v>
      </c>
      <c r="AW263" s="794">
        <f t="shared" si="6"/>
        <v>0</v>
      </c>
      <c r="AX263" s="794">
        <f t="array" ref="AX263">INDEX(V263:AG263,1,MATCH(Parametres!$B$3,V$1:AG$1,0))*IF(OR(C263="L",C263="S",C263="I"),-1,1)</f>
        <v>0</v>
      </c>
      <c r="AY263" s="853" t="s">
        <v>772</v>
      </c>
      <c r="AZ263" s="853" t="str">
        <f>+VLOOKUP($AJ263,Data_Validation!$A:$E,5,0)</f>
        <v/>
      </c>
    </row>
    <row r="264" ht="15.0" customHeight="1">
      <c r="A264" s="849" t="s">
        <v>1239</v>
      </c>
      <c r="B264" s="849">
        <v>2025.0</v>
      </c>
      <c r="C264" s="849" t="s">
        <v>1836</v>
      </c>
      <c r="D264" s="849" t="s">
        <v>1837</v>
      </c>
      <c r="E264" s="849" t="s">
        <v>768</v>
      </c>
      <c r="F264" s="849" t="s">
        <v>1200</v>
      </c>
      <c r="G264" s="849">
        <v>3922.08</v>
      </c>
      <c r="H264" s="849">
        <v>7844.16</v>
      </c>
      <c r="I264" s="849">
        <v>11766.24</v>
      </c>
      <c r="J264" s="849">
        <v>15688.32</v>
      </c>
      <c r="K264" s="849">
        <v>19610.4</v>
      </c>
      <c r="L264" s="849">
        <v>23532.48</v>
      </c>
      <c r="M264" s="849">
        <v>27454.56</v>
      </c>
      <c r="N264" s="849">
        <v>31376.64</v>
      </c>
      <c r="O264" s="849">
        <v>35298.72</v>
      </c>
      <c r="P264" s="849">
        <v>39220.8</v>
      </c>
      <c r="Q264" s="849">
        <v>43142.88</v>
      </c>
      <c r="R264" s="849">
        <v>47064.96</v>
      </c>
      <c r="S264" s="849">
        <v>3922.08</v>
      </c>
      <c r="T264" s="849">
        <v>3922.08</v>
      </c>
      <c r="U264" s="849">
        <v>0.0</v>
      </c>
      <c r="V264" s="849">
        <v>0.0</v>
      </c>
      <c r="W264" s="849">
        <v>0.0</v>
      </c>
      <c r="X264" s="849">
        <v>0.0</v>
      </c>
      <c r="Y264" s="849">
        <v>0.0</v>
      </c>
      <c r="Z264" s="849">
        <v>0.0</v>
      </c>
      <c r="AA264" s="849">
        <v>0.0</v>
      </c>
      <c r="AB264" s="849">
        <v>0.0</v>
      </c>
      <c r="AC264" s="849">
        <v>0.0</v>
      </c>
      <c r="AD264" s="849">
        <v>0.0</v>
      </c>
      <c r="AE264" s="849">
        <v>0.0</v>
      </c>
      <c r="AF264" s="849">
        <v>0.0</v>
      </c>
      <c r="AG264" s="849">
        <v>0.0</v>
      </c>
      <c r="AH264" s="849">
        <v>0.0</v>
      </c>
      <c r="AI264" s="849">
        <v>0.0</v>
      </c>
      <c r="AJ264" s="794" t="str">
        <f t="shared" ref="AJ264:AK264" si="525">C264</f>
        <v>G0854</v>
      </c>
      <c r="AK264" s="794" t="str">
        <f t="shared" si="525"/>
        <v>ASSURANCE BATISSE-SERVICE</v>
      </c>
      <c r="AL264" s="794">
        <f t="array" ref="AL264">IFERROR(INDEX(G264:R264,1,MATCH(Parametres!$B$3,G$1:R$1,0)-1)*IF(OR(F264="L",F264="S",F264="I"),-1,1),"")</f>
        <v>31376.64</v>
      </c>
      <c r="AM264" s="794">
        <f t="shared" si="4"/>
        <v>3922.08</v>
      </c>
      <c r="AN264" s="794">
        <f t="array" ref="AN264">INDEX(G264:R264,1,MATCH(Parametres!$B$3,G$1:R$1,0))*IF(OR(F264="L",F264="S",F264="I"),-1,1)</f>
        <v>35298.72</v>
      </c>
      <c r="AO264" s="853" t="str">
        <f>+VLOOKUP($AJ264,Data_Validation!$A:$D,1,0)</f>
        <v>G0854</v>
      </c>
      <c r="AP264" s="853" t="str">
        <f>+VLOOKUP($AJ264,Data_Validation!$A:$D,3,0)</f>
        <v>Service</v>
      </c>
      <c r="AQ264" s="853" t="str">
        <f>+VLOOKUP($AJ264,Data_Validation!$A:$D,4,0)</f>
        <v>Assurances</v>
      </c>
      <c r="AR264" s="853" t="s">
        <v>728</v>
      </c>
      <c r="AS264" s="853" t="str">
        <f>+VLOOKUP($AJ264,Data_Validation!$A:$E,5,0)</f>
        <v/>
      </c>
      <c r="AT264" s="794" t="str">
        <f t="shared" ref="AT264:AU264" si="526">C264</f>
        <v>G0854</v>
      </c>
      <c r="AU264" s="854" t="str">
        <f t="shared" si="526"/>
        <v>ASSURANCE BATISSE-SERVICE</v>
      </c>
      <c r="AV264" s="794">
        <f t="array" ref="AV264">IFERROR(INDEX(V264:AG264,1,MATCH(Parametres!$B$3,V$1:AG$1,0)-1)*IF(OR(C264="L",C264="S",C264="I"),-1,1),"")</f>
        <v>0</v>
      </c>
      <c r="AW264" s="794">
        <f t="shared" si="6"/>
        <v>0</v>
      </c>
      <c r="AX264" s="794">
        <f t="array" ref="AX264">INDEX(V264:AG264,1,MATCH(Parametres!$B$3,V$1:AG$1,0))*IF(OR(C264="L",C264="S",C264="I"),-1,1)</f>
        <v>0</v>
      </c>
      <c r="AY264" s="853" t="s">
        <v>772</v>
      </c>
      <c r="AZ264" s="853" t="str">
        <f>+VLOOKUP($AJ264,Data_Validation!$A:$E,5,0)</f>
        <v/>
      </c>
    </row>
    <row r="265" ht="15.0" customHeight="1">
      <c r="A265" s="849" t="s">
        <v>1239</v>
      </c>
      <c r="B265" s="849">
        <v>2025.0</v>
      </c>
      <c r="C265" s="849" t="s">
        <v>1838</v>
      </c>
      <c r="D265" s="849" t="s">
        <v>1839</v>
      </c>
      <c r="E265" s="849" t="s">
        <v>768</v>
      </c>
      <c r="F265" s="849" t="s">
        <v>1200</v>
      </c>
      <c r="G265" s="849">
        <v>1307.36</v>
      </c>
      <c r="H265" s="849">
        <v>2614.72</v>
      </c>
      <c r="I265" s="849">
        <v>3922.08</v>
      </c>
      <c r="J265" s="849">
        <v>5229.44</v>
      </c>
      <c r="K265" s="849">
        <v>6536.8</v>
      </c>
      <c r="L265" s="849">
        <v>7844.16</v>
      </c>
      <c r="M265" s="849">
        <v>9151.52</v>
      </c>
      <c r="N265" s="849">
        <v>10458.88</v>
      </c>
      <c r="O265" s="849">
        <v>11766.24</v>
      </c>
      <c r="P265" s="849">
        <v>13073.6</v>
      </c>
      <c r="Q265" s="849">
        <v>14380.96</v>
      </c>
      <c r="R265" s="849">
        <v>15688.32</v>
      </c>
      <c r="S265" s="849">
        <v>1307.36</v>
      </c>
      <c r="T265" s="849">
        <v>1307.36</v>
      </c>
      <c r="U265" s="849">
        <v>0.0</v>
      </c>
      <c r="V265" s="849">
        <v>0.0</v>
      </c>
      <c r="W265" s="849">
        <v>0.0</v>
      </c>
      <c r="X265" s="849">
        <v>0.0</v>
      </c>
      <c r="Y265" s="849">
        <v>0.0</v>
      </c>
      <c r="Z265" s="849">
        <v>0.0</v>
      </c>
      <c r="AA265" s="849">
        <v>0.0</v>
      </c>
      <c r="AB265" s="849">
        <v>0.0</v>
      </c>
      <c r="AC265" s="849">
        <v>0.0</v>
      </c>
      <c r="AD265" s="849">
        <v>0.0</v>
      </c>
      <c r="AE265" s="849">
        <v>0.0</v>
      </c>
      <c r="AF265" s="849">
        <v>0.0</v>
      </c>
      <c r="AG265" s="849">
        <v>0.0</v>
      </c>
      <c r="AH265" s="849">
        <v>0.0</v>
      </c>
      <c r="AI265" s="849">
        <v>0.0</v>
      </c>
      <c r="AJ265" s="794" t="str">
        <f t="shared" ref="AJ265:AK265" si="527">C265</f>
        <v>G0855</v>
      </c>
      <c r="AK265" s="794" t="str">
        <f t="shared" si="527"/>
        <v>ASSURANCE BATISSE-CARROS</v>
      </c>
      <c r="AL265" s="794">
        <f t="array" ref="AL265">IFERROR(INDEX(G265:R265,1,MATCH(Parametres!$B$3,G$1:R$1,0)-1)*IF(OR(F265="L",F265="S",F265="I"),-1,1),"")</f>
        <v>10458.88</v>
      </c>
      <c r="AM265" s="794">
        <f t="shared" si="4"/>
        <v>1307.36</v>
      </c>
      <c r="AN265" s="794">
        <f t="array" ref="AN265">INDEX(G265:R265,1,MATCH(Parametres!$B$3,G$1:R$1,0))*IF(OR(F265="L",F265="S",F265="I"),-1,1)</f>
        <v>11766.24</v>
      </c>
      <c r="AO265" s="853" t="str">
        <f>+VLOOKUP($AJ265,Data_Validation!$A:$D,1,0)</f>
        <v>G0855</v>
      </c>
      <c r="AP265" s="853" t="str">
        <f>+VLOOKUP($AJ265,Data_Validation!$A:$D,3,0)</f>
        <v>Carrosserie</v>
      </c>
      <c r="AQ265" s="853" t="str">
        <f>+VLOOKUP($AJ265,Data_Validation!$A:$D,4,0)</f>
        <v>Assurances</v>
      </c>
      <c r="AR265" s="853" t="s">
        <v>728</v>
      </c>
      <c r="AS265" s="853" t="str">
        <f>+VLOOKUP($AJ265,Data_Validation!$A:$E,5,0)</f>
        <v/>
      </c>
      <c r="AT265" s="794" t="str">
        <f t="shared" ref="AT265:AU265" si="528">C265</f>
        <v>G0855</v>
      </c>
      <c r="AU265" s="854" t="str">
        <f t="shared" si="528"/>
        <v>ASSURANCE BATISSE-CARROS</v>
      </c>
      <c r="AV265" s="794">
        <f t="array" ref="AV265">IFERROR(INDEX(V265:AG265,1,MATCH(Parametres!$B$3,V$1:AG$1,0)-1)*IF(OR(C265="L",C265="S",C265="I"),-1,1),"")</f>
        <v>0</v>
      </c>
      <c r="AW265" s="794">
        <f t="shared" si="6"/>
        <v>0</v>
      </c>
      <c r="AX265" s="794">
        <f t="array" ref="AX265">INDEX(V265:AG265,1,MATCH(Parametres!$B$3,V$1:AG$1,0))*IF(OR(C265="L",C265="S",C265="I"),-1,1)</f>
        <v>0</v>
      </c>
      <c r="AY265" s="853" t="s">
        <v>772</v>
      </c>
      <c r="AZ265" s="853" t="str">
        <f>+VLOOKUP($AJ265,Data_Validation!$A:$E,5,0)</f>
        <v/>
      </c>
    </row>
    <row r="266" ht="15.0" customHeight="1">
      <c r="A266" s="849" t="s">
        <v>1239</v>
      </c>
      <c r="B266" s="849">
        <v>2025.0</v>
      </c>
      <c r="C266" s="849" t="s">
        <v>1840</v>
      </c>
      <c r="D266" s="849" t="s">
        <v>1841</v>
      </c>
      <c r="E266" s="849" t="s">
        <v>768</v>
      </c>
      <c r="F266" s="849" t="s">
        <v>1200</v>
      </c>
      <c r="G266" s="849">
        <v>1307.37</v>
      </c>
      <c r="H266" s="849">
        <v>2614.74</v>
      </c>
      <c r="I266" s="849">
        <v>3922.11</v>
      </c>
      <c r="J266" s="849">
        <v>5229.48</v>
      </c>
      <c r="K266" s="849">
        <v>6536.85</v>
      </c>
      <c r="L266" s="849">
        <v>7844.22</v>
      </c>
      <c r="M266" s="849">
        <v>9151.59</v>
      </c>
      <c r="N266" s="849">
        <v>10458.96</v>
      </c>
      <c r="O266" s="849">
        <v>11766.33</v>
      </c>
      <c r="P266" s="849">
        <v>13073.7</v>
      </c>
      <c r="Q266" s="849">
        <v>14381.07</v>
      </c>
      <c r="R266" s="849">
        <v>15688.44</v>
      </c>
      <c r="S266" s="849">
        <v>1307.37</v>
      </c>
      <c r="T266" s="849">
        <v>1307.37</v>
      </c>
      <c r="U266" s="849">
        <v>0.0</v>
      </c>
      <c r="V266" s="849">
        <v>0.0</v>
      </c>
      <c r="W266" s="849">
        <v>0.0</v>
      </c>
      <c r="X266" s="849">
        <v>0.0</v>
      </c>
      <c r="Y266" s="849">
        <v>0.0</v>
      </c>
      <c r="Z266" s="849">
        <v>0.0</v>
      </c>
      <c r="AA266" s="849">
        <v>0.0</v>
      </c>
      <c r="AB266" s="849">
        <v>0.0</v>
      </c>
      <c r="AC266" s="849">
        <v>0.0</v>
      </c>
      <c r="AD266" s="849">
        <v>0.0</v>
      </c>
      <c r="AE266" s="849">
        <v>0.0</v>
      </c>
      <c r="AF266" s="849">
        <v>0.0</v>
      </c>
      <c r="AG266" s="849">
        <v>0.0</v>
      </c>
      <c r="AH266" s="849">
        <v>0.0</v>
      </c>
      <c r="AI266" s="849">
        <v>0.0</v>
      </c>
      <c r="AJ266" s="794" t="str">
        <f t="shared" ref="AJ266:AK266" si="529">C266</f>
        <v>G0856</v>
      </c>
      <c r="AK266" s="794" t="str">
        <f t="shared" si="529"/>
        <v>ASSURANCE BATISSE-PIECES</v>
      </c>
      <c r="AL266" s="794">
        <f t="array" ref="AL266">IFERROR(INDEX(G266:R266,1,MATCH(Parametres!$B$3,G$1:R$1,0)-1)*IF(OR(F266="L",F266="S",F266="I"),-1,1),"")</f>
        <v>10458.96</v>
      </c>
      <c r="AM266" s="794">
        <f t="shared" si="4"/>
        <v>1307.37</v>
      </c>
      <c r="AN266" s="794">
        <f t="array" ref="AN266">INDEX(G266:R266,1,MATCH(Parametres!$B$3,G$1:R$1,0))*IF(OR(F266="L",F266="S",F266="I"),-1,1)</f>
        <v>11766.33</v>
      </c>
      <c r="AO266" s="853" t="str">
        <f>+VLOOKUP($AJ266,Data_Validation!$A:$D,1,0)</f>
        <v>G0856</v>
      </c>
      <c r="AP266" s="853" t="str">
        <f>+VLOOKUP($AJ266,Data_Validation!$A:$D,3,0)</f>
        <v>Pièces</v>
      </c>
      <c r="AQ266" s="853" t="str">
        <f>+VLOOKUP($AJ266,Data_Validation!$A:$D,4,0)</f>
        <v>Assurances</v>
      </c>
      <c r="AR266" s="853" t="s">
        <v>728</v>
      </c>
      <c r="AS266" s="853" t="str">
        <f>+VLOOKUP($AJ266,Data_Validation!$A:$E,5,0)</f>
        <v/>
      </c>
      <c r="AT266" s="794" t="str">
        <f t="shared" ref="AT266:AU266" si="530">C266</f>
        <v>G0856</v>
      </c>
      <c r="AU266" s="854" t="str">
        <f t="shared" si="530"/>
        <v>ASSURANCE BATISSE-PIECES</v>
      </c>
      <c r="AV266" s="794">
        <f t="array" ref="AV266">IFERROR(INDEX(V266:AG266,1,MATCH(Parametres!$B$3,V$1:AG$1,0)-1)*IF(OR(C266="L",C266="S",C266="I"),-1,1),"")</f>
        <v>0</v>
      </c>
      <c r="AW266" s="794">
        <f t="shared" si="6"/>
        <v>0</v>
      </c>
      <c r="AX266" s="794">
        <f t="array" ref="AX266">INDEX(V266:AG266,1,MATCH(Parametres!$B$3,V$1:AG$1,0))*IF(OR(C266="L",C266="S",C266="I"),-1,1)</f>
        <v>0</v>
      </c>
      <c r="AY266" s="853" t="s">
        <v>772</v>
      </c>
      <c r="AZ266" s="853" t="str">
        <f>+VLOOKUP($AJ266,Data_Validation!$A:$E,5,0)</f>
        <v/>
      </c>
    </row>
    <row r="267" ht="15.0" customHeight="1">
      <c r="A267" s="849" t="s">
        <v>1239</v>
      </c>
      <c r="B267" s="849">
        <v>2025.0</v>
      </c>
      <c r="C267" s="849" t="s">
        <v>1842</v>
      </c>
      <c r="D267" s="849" t="s">
        <v>1843</v>
      </c>
      <c r="E267" s="849" t="s">
        <v>768</v>
      </c>
      <c r="F267" s="849" t="s">
        <v>1200</v>
      </c>
      <c r="G267" s="849">
        <v>0.0</v>
      </c>
      <c r="H267" s="849">
        <v>0.0</v>
      </c>
      <c r="I267" s="849">
        <v>0.0</v>
      </c>
      <c r="J267" s="849">
        <v>0.0</v>
      </c>
      <c r="K267" s="849">
        <v>0.0</v>
      </c>
      <c r="L267" s="849">
        <v>0.0</v>
      </c>
      <c r="M267" s="849">
        <v>0.0</v>
      </c>
      <c r="N267" s="849">
        <v>0.0</v>
      </c>
      <c r="O267" s="849">
        <v>0.0</v>
      </c>
      <c r="P267" s="849">
        <v>0.0</v>
      </c>
      <c r="Q267" s="849">
        <v>0.0</v>
      </c>
      <c r="R267" s="849">
        <v>0.0</v>
      </c>
      <c r="S267" s="849">
        <v>0.0</v>
      </c>
      <c r="T267" s="849">
        <v>0.0</v>
      </c>
      <c r="U267" s="849">
        <v>0.0</v>
      </c>
      <c r="V267" s="849">
        <v>0.0</v>
      </c>
      <c r="W267" s="849">
        <v>0.0</v>
      </c>
      <c r="X267" s="849">
        <v>0.0</v>
      </c>
      <c r="Y267" s="849">
        <v>0.0</v>
      </c>
      <c r="Z267" s="849">
        <v>0.0</v>
      </c>
      <c r="AA267" s="849">
        <v>0.0</v>
      </c>
      <c r="AB267" s="849">
        <v>0.0</v>
      </c>
      <c r="AC267" s="849">
        <v>0.0</v>
      </c>
      <c r="AD267" s="849">
        <v>0.0</v>
      </c>
      <c r="AE267" s="849">
        <v>0.0</v>
      </c>
      <c r="AF267" s="849">
        <v>0.0</v>
      </c>
      <c r="AG267" s="849">
        <v>0.0</v>
      </c>
      <c r="AH267" s="849">
        <v>0.0</v>
      </c>
      <c r="AI267" s="849">
        <v>0.0</v>
      </c>
      <c r="AJ267" s="794" t="str">
        <f t="shared" ref="AJ267:AK267" si="531">C267</f>
        <v>G0870</v>
      </c>
      <c r="AK267" s="794" t="str">
        <f t="shared" si="531"/>
        <v>ELECTRICITE/GAZ REP</v>
      </c>
      <c r="AL267" s="794">
        <f t="array" ref="AL267">IFERROR(INDEX(G267:R267,1,MATCH(Parametres!$B$3,G$1:R$1,0)-1)*IF(OR(F267="L",F267="S",F267="I"),-1,1),"")</f>
        <v>0</v>
      </c>
      <c r="AM267" s="794">
        <f t="shared" si="4"/>
        <v>0</v>
      </c>
      <c r="AN267" s="794">
        <f t="array" ref="AN267">INDEX(G267:R267,1,MATCH(Parametres!$B$3,G$1:R$1,0))*IF(OR(F267="L",F267="S",F267="I"),-1,1)</f>
        <v>0</v>
      </c>
      <c r="AO267" s="853" t="str">
        <f>+VLOOKUP($AJ267,Data_Validation!$A:$D,1,0)</f>
        <v>#N/A</v>
      </c>
      <c r="AP267" s="853" t="str">
        <f>+VLOOKUP($AJ267,Data_Validation!$A:$D,3,0)</f>
        <v>#N/A</v>
      </c>
      <c r="AQ267" s="853" t="str">
        <f>+VLOOKUP($AJ267,Data_Validation!$A:$D,4,0)</f>
        <v>#N/A</v>
      </c>
      <c r="AR267" s="853" t="s">
        <v>728</v>
      </c>
      <c r="AS267" s="853" t="str">
        <f>+VLOOKUP($AJ267,Data_Validation!$A:$E,5,0)</f>
        <v>#N/A</v>
      </c>
      <c r="AT267" s="794" t="str">
        <f t="shared" ref="AT267:AU267" si="532">C267</f>
        <v>G0870</v>
      </c>
      <c r="AU267" s="854" t="str">
        <f t="shared" si="532"/>
        <v>ELECTRICITE/GAZ REP</v>
      </c>
      <c r="AV267" s="794">
        <f t="array" ref="AV267">IFERROR(INDEX(V267:AG267,1,MATCH(Parametres!$B$3,V$1:AG$1,0)-1)*IF(OR(C267="L",C267="S",C267="I"),-1,1),"")</f>
        <v>0</v>
      </c>
      <c r="AW267" s="794">
        <f t="shared" si="6"/>
        <v>0</v>
      </c>
      <c r="AX267" s="794">
        <f t="array" ref="AX267">INDEX(V267:AG267,1,MATCH(Parametres!$B$3,V$1:AG$1,0))*IF(OR(C267="L",C267="S",C267="I"),-1,1)</f>
        <v>0</v>
      </c>
      <c r="AY267" s="853" t="s">
        <v>772</v>
      </c>
      <c r="AZ267" s="853" t="str">
        <f>+VLOOKUP($AJ267,Data_Validation!$A:$E,5,0)</f>
        <v>#N/A</v>
      </c>
    </row>
    <row r="268" ht="15.0" customHeight="1">
      <c r="A268" s="849" t="s">
        <v>1239</v>
      </c>
      <c r="B268" s="849">
        <v>2025.0</v>
      </c>
      <c r="C268" s="849" t="s">
        <v>1844</v>
      </c>
      <c r="D268" s="849" t="s">
        <v>1845</v>
      </c>
      <c r="E268" s="849" t="s">
        <v>768</v>
      </c>
      <c r="F268" s="849" t="s">
        <v>1200</v>
      </c>
      <c r="G268" s="849">
        <v>1025.14</v>
      </c>
      <c r="H268" s="849">
        <v>3276.9</v>
      </c>
      <c r="I268" s="849">
        <v>5597.2</v>
      </c>
      <c r="J268" s="849">
        <v>7021.69</v>
      </c>
      <c r="K268" s="849">
        <v>8814.48</v>
      </c>
      <c r="L268" s="849">
        <v>11426.94</v>
      </c>
      <c r="M268" s="849">
        <v>14069.5</v>
      </c>
      <c r="N268" s="849">
        <v>16906.41</v>
      </c>
      <c r="O268" s="849">
        <v>19683.42</v>
      </c>
      <c r="P268" s="849">
        <v>22465.97</v>
      </c>
      <c r="Q268" s="849">
        <v>25988.74</v>
      </c>
      <c r="R268" s="849">
        <v>29362.14</v>
      </c>
      <c r="S268" s="849">
        <v>2362.61</v>
      </c>
      <c r="T268" s="849">
        <v>2362.61</v>
      </c>
      <c r="U268" s="849">
        <v>0.0</v>
      </c>
      <c r="V268" s="849">
        <v>0.0</v>
      </c>
      <c r="W268" s="849">
        <v>0.0</v>
      </c>
      <c r="X268" s="849">
        <v>0.0</v>
      </c>
      <c r="Y268" s="849">
        <v>0.0</v>
      </c>
      <c r="Z268" s="849">
        <v>0.0</v>
      </c>
      <c r="AA268" s="849">
        <v>0.0</v>
      </c>
      <c r="AB268" s="849">
        <v>0.0</v>
      </c>
      <c r="AC268" s="849">
        <v>0.0</v>
      </c>
      <c r="AD268" s="849">
        <v>0.0</v>
      </c>
      <c r="AE268" s="849">
        <v>0.0</v>
      </c>
      <c r="AF268" s="849">
        <v>0.0</v>
      </c>
      <c r="AG268" s="849">
        <v>0.0</v>
      </c>
      <c r="AH268" s="849">
        <v>0.0</v>
      </c>
      <c r="AI268" s="849">
        <v>0.0</v>
      </c>
      <c r="AJ268" s="794" t="str">
        <f t="shared" ref="AJ268:AK268" si="533">C268</f>
        <v>G0871</v>
      </c>
      <c r="AK268" s="794" t="str">
        <f t="shared" si="533"/>
        <v>ELECTRICITE,GAZ-NEUFS</v>
      </c>
      <c r="AL268" s="794">
        <f t="array" ref="AL268">IFERROR(INDEX(G268:R268,1,MATCH(Parametres!$B$3,G$1:R$1,0)-1)*IF(OR(F268="L",F268="S",F268="I"),-1,1),"")</f>
        <v>16906.41</v>
      </c>
      <c r="AM268" s="794">
        <f t="shared" si="4"/>
        <v>2777.01</v>
      </c>
      <c r="AN268" s="794">
        <f t="array" ref="AN268">INDEX(G268:R268,1,MATCH(Parametres!$B$3,G$1:R$1,0))*IF(OR(F268="L",F268="S",F268="I"),-1,1)</f>
        <v>19683.42</v>
      </c>
      <c r="AO268" s="853" t="str">
        <f>+VLOOKUP($AJ268,Data_Validation!$A:$D,1,0)</f>
        <v>G0871</v>
      </c>
      <c r="AP268" s="853" t="str">
        <f>+VLOOKUP($AJ268,Data_Validation!$A:$D,3,0)</f>
        <v>Véhicules neufs</v>
      </c>
      <c r="AQ268" s="853" t="str">
        <f>+VLOOKUP($AJ268,Data_Validation!$A:$D,4,0)</f>
        <v>Chauffage, éclairage</v>
      </c>
      <c r="AR268" s="853" t="s">
        <v>728</v>
      </c>
      <c r="AS268" s="853" t="str">
        <f>+VLOOKUP($AJ268,Data_Validation!$A:$E,5,0)</f>
        <v/>
      </c>
      <c r="AT268" s="794" t="str">
        <f t="shared" ref="AT268:AU268" si="534">C268</f>
        <v>G0871</v>
      </c>
      <c r="AU268" s="854" t="str">
        <f t="shared" si="534"/>
        <v>ELECTRICITE,GAZ-NEUFS</v>
      </c>
      <c r="AV268" s="794">
        <f t="array" ref="AV268">IFERROR(INDEX(V268:AG268,1,MATCH(Parametres!$B$3,V$1:AG$1,0)-1)*IF(OR(C268="L",C268="S",C268="I"),-1,1),"")</f>
        <v>0</v>
      </c>
      <c r="AW268" s="794">
        <f t="shared" si="6"/>
        <v>0</v>
      </c>
      <c r="AX268" s="794">
        <f t="array" ref="AX268">INDEX(V268:AG268,1,MATCH(Parametres!$B$3,V$1:AG$1,0))*IF(OR(C268="L",C268="S",C268="I"),-1,1)</f>
        <v>0</v>
      </c>
      <c r="AY268" s="853" t="s">
        <v>772</v>
      </c>
      <c r="AZ268" s="853" t="str">
        <f>+VLOOKUP($AJ268,Data_Validation!$A:$E,5,0)</f>
        <v/>
      </c>
    </row>
    <row r="269" ht="15.0" customHeight="1">
      <c r="A269" s="849" t="s">
        <v>1239</v>
      </c>
      <c r="B269" s="849">
        <v>2025.0</v>
      </c>
      <c r="C269" s="849" t="s">
        <v>1846</v>
      </c>
      <c r="D269" s="849" t="s">
        <v>1847</v>
      </c>
      <c r="E269" s="849" t="s">
        <v>768</v>
      </c>
      <c r="F269" s="849" t="s">
        <v>1200</v>
      </c>
      <c r="G269" s="849">
        <v>-116.38</v>
      </c>
      <c r="H269" s="849">
        <v>634.21</v>
      </c>
      <c r="I269" s="849">
        <v>1532.92</v>
      </c>
      <c r="J269" s="849">
        <v>2007.75</v>
      </c>
      <c r="K269" s="849">
        <v>2635.87</v>
      </c>
      <c r="L269" s="849">
        <v>3723.39</v>
      </c>
      <c r="M269" s="849">
        <v>4813.45</v>
      </c>
      <c r="N269" s="849">
        <v>5966.21</v>
      </c>
      <c r="O269" s="849">
        <v>7110.68</v>
      </c>
      <c r="P269" s="849">
        <v>8273.53</v>
      </c>
      <c r="Q269" s="849">
        <v>9768.3</v>
      </c>
      <c r="R269" s="849">
        <v>11228.29</v>
      </c>
      <c r="S269" s="849">
        <v>888.03</v>
      </c>
      <c r="T269" s="849">
        <v>888.03</v>
      </c>
      <c r="U269" s="849">
        <v>0.0</v>
      </c>
      <c r="V269" s="849">
        <v>0.0</v>
      </c>
      <c r="W269" s="849">
        <v>0.0</v>
      </c>
      <c r="X269" s="849">
        <v>0.0</v>
      </c>
      <c r="Y269" s="849">
        <v>0.0</v>
      </c>
      <c r="Z269" s="849">
        <v>0.0</v>
      </c>
      <c r="AA269" s="849">
        <v>0.0</v>
      </c>
      <c r="AB269" s="849">
        <v>0.0</v>
      </c>
      <c r="AC269" s="849">
        <v>0.0</v>
      </c>
      <c r="AD269" s="849">
        <v>0.0</v>
      </c>
      <c r="AE269" s="849">
        <v>0.0</v>
      </c>
      <c r="AF269" s="849">
        <v>0.0</v>
      </c>
      <c r="AG269" s="849">
        <v>0.0</v>
      </c>
      <c r="AH269" s="849">
        <v>0.0</v>
      </c>
      <c r="AI269" s="849">
        <v>0.0</v>
      </c>
      <c r="AJ269" s="794" t="str">
        <f t="shared" ref="AJ269:AK269" si="535">C269</f>
        <v>G0872</v>
      </c>
      <c r="AK269" s="794" t="str">
        <f t="shared" si="535"/>
        <v>ELECTRICITE,GAZ-USAGES</v>
      </c>
      <c r="AL269" s="794">
        <f t="array" ref="AL269">IFERROR(INDEX(G269:R269,1,MATCH(Parametres!$B$3,G$1:R$1,0)-1)*IF(OR(F269="L",F269="S",F269="I"),-1,1),"")</f>
        <v>5966.21</v>
      </c>
      <c r="AM269" s="794">
        <f t="shared" si="4"/>
        <v>1144.47</v>
      </c>
      <c r="AN269" s="794">
        <f t="array" ref="AN269">INDEX(G269:R269,1,MATCH(Parametres!$B$3,G$1:R$1,0))*IF(OR(F269="L",F269="S",F269="I"),-1,1)</f>
        <v>7110.68</v>
      </c>
      <c r="AO269" s="853" t="str">
        <f>+VLOOKUP($AJ269,Data_Validation!$A:$D,1,0)</f>
        <v>G0872</v>
      </c>
      <c r="AP269" s="853" t="str">
        <f>+VLOOKUP($AJ269,Data_Validation!$A:$D,3,0)</f>
        <v>Véhicules usagés</v>
      </c>
      <c r="AQ269" s="853" t="str">
        <f>+VLOOKUP($AJ269,Data_Validation!$A:$D,4,0)</f>
        <v>Chauffage, éclairage</v>
      </c>
      <c r="AR269" s="853" t="s">
        <v>728</v>
      </c>
      <c r="AS269" s="853" t="str">
        <f>+VLOOKUP($AJ269,Data_Validation!$A:$E,5,0)</f>
        <v/>
      </c>
      <c r="AT269" s="794" t="str">
        <f t="shared" ref="AT269:AU269" si="536">C269</f>
        <v>G0872</v>
      </c>
      <c r="AU269" s="854" t="str">
        <f t="shared" si="536"/>
        <v>ELECTRICITE,GAZ-USAGES</v>
      </c>
      <c r="AV269" s="794">
        <f t="array" ref="AV269">IFERROR(INDEX(V269:AG269,1,MATCH(Parametres!$B$3,V$1:AG$1,0)-1)*IF(OR(C269="L",C269="S",C269="I"),-1,1),"")</f>
        <v>0</v>
      </c>
      <c r="AW269" s="794">
        <f t="shared" si="6"/>
        <v>0</v>
      </c>
      <c r="AX269" s="794">
        <f t="array" ref="AX269">INDEX(V269:AG269,1,MATCH(Parametres!$B$3,V$1:AG$1,0))*IF(OR(C269="L",C269="S",C269="I"),-1,1)</f>
        <v>0</v>
      </c>
      <c r="AY269" s="853" t="s">
        <v>772</v>
      </c>
      <c r="AZ269" s="853" t="str">
        <f>+VLOOKUP($AJ269,Data_Validation!$A:$E,5,0)</f>
        <v/>
      </c>
    </row>
    <row r="270" ht="15.0" customHeight="1">
      <c r="A270" s="849" t="s">
        <v>1239</v>
      </c>
      <c r="B270" s="849">
        <v>2025.0</v>
      </c>
      <c r="C270" s="849" t="s">
        <v>1848</v>
      </c>
      <c r="D270" s="849" t="s">
        <v>1849</v>
      </c>
      <c r="E270" s="849" t="s">
        <v>768</v>
      </c>
      <c r="F270" s="849" t="s">
        <v>1200</v>
      </c>
      <c r="G270" s="849">
        <v>4704.18</v>
      </c>
      <c r="H270" s="849">
        <v>6205.35</v>
      </c>
      <c r="I270" s="849">
        <v>11385.26</v>
      </c>
      <c r="J270" s="849">
        <v>12334.92</v>
      </c>
      <c r="K270" s="849">
        <v>14415.34</v>
      </c>
      <c r="L270" s="849">
        <v>16790.79</v>
      </c>
      <c r="M270" s="849">
        <v>18969.17</v>
      </c>
      <c r="N270" s="849">
        <v>21216.75</v>
      </c>
      <c r="O270" s="849">
        <v>23762.89</v>
      </c>
      <c r="P270" s="849">
        <v>26792.41</v>
      </c>
      <c r="Q270" s="849">
        <v>32785.52</v>
      </c>
      <c r="R270" s="849">
        <v>39099.38</v>
      </c>
      <c r="S270" s="849">
        <v>2980.5</v>
      </c>
      <c r="T270" s="849">
        <v>2980.5</v>
      </c>
      <c r="U270" s="849">
        <v>0.0</v>
      </c>
      <c r="V270" s="849">
        <v>0.0</v>
      </c>
      <c r="W270" s="849">
        <v>0.0</v>
      </c>
      <c r="X270" s="849">
        <v>0.0</v>
      </c>
      <c r="Y270" s="849">
        <v>0.0</v>
      </c>
      <c r="Z270" s="849">
        <v>0.0</v>
      </c>
      <c r="AA270" s="849">
        <v>0.0</v>
      </c>
      <c r="AB270" s="849">
        <v>0.0</v>
      </c>
      <c r="AC270" s="849">
        <v>0.0</v>
      </c>
      <c r="AD270" s="849">
        <v>0.0</v>
      </c>
      <c r="AE270" s="849">
        <v>0.0</v>
      </c>
      <c r="AF270" s="849">
        <v>0.0</v>
      </c>
      <c r="AG270" s="849">
        <v>0.0</v>
      </c>
      <c r="AH270" s="849">
        <v>0.0</v>
      </c>
      <c r="AI270" s="849">
        <v>0.0</v>
      </c>
      <c r="AJ270" s="794" t="str">
        <f t="shared" ref="AJ270:AK270" si="537">C270</f>
        <v>G0874</v>
      </c>
      <c r="AK270" s="794" t="str">
        <f t="shared" si="537"/>
        <v>ELECTRICITE,GAZ-SERVICE</v>
      </c>
      <c r="AL270" s="794">
        <f t="array" ref="AL270">IFERROR(INDEX(G270:R270,1,MATCH(Parametres!$B$3,G$1:R$1,0)-1)*IF(OR(F270="L",F270="S",F270="I"),-1,1),"")</f>
        <v>21216.75</v>
      </c>
      <c r="AM270" s="794">
        <f t="shared" si="4"/>
        <v>2546.14</v>
      </c>
      <c r="AN270" s="794">
        <f t="array" ref="AN270">INDEX(G270:R270,1,MATCH(Parametres!$B$3,G$1:R$1,0))*IF(OR(F270="L",F270="S",F270="I"),-1,1)</f>
        <v>23762.89</v>
      </c>
      <c r="AO270" s="853" t="str">
        <f>+VLOOKUP($AJ270,Data_Validation!$A:$D,1,0)</f>
        <v>G0874</v>
      </c>
      <c r="AP270" s="853" t="str">
        <f>+VLOOKUP($AJ270,Data_Validation!$A:$D,3,0)</f>
        <v>Service</v>
      </c>
      <c r="AQ270" s="853" t="str">
        <f>+VLOOKUP($AJ270,Data_Validation!$A:$D,4,0)</f>
        <v>Chauffage, éclairage</v>
      </c>
      <c r="AR270" s="853" t="s">
        <v>728</v>
      </c>
      <c r="AS270" s="853" t="str">
        <f>+VLOOKUP($AJ270,Data_Validation!$A:$E,5,0)</f>
        <v/>
      </c>
      <c r="AT270" s="794" t="str">
        <f t="shared" ref="AT270:AU270" si="538">C270</f>
        <v>G0874</v>
      </c>
      <c r="AU270" s="854" t="str">
        <f t="shared" si="538"/>
        <v>ELECTRICITE,GAZ-SERVICE</v>
      </c>
      <c r="AV270" s="794">
        <f t="array" ref="AV270">IFERROR(INDEX(V270:AG270,1,MATCH(Parametres!$B$3,V$1:AG$1,0)-1)*IF(OR(C270="L",C270="S",C270="I"),-1,1),"")</f>
        <v>0</v>
      </c>
      <c r="AW270" s="794">
        <f t="shared" si="6"/>
        <v>0</v>
      </c>
      <c r="AX270" s="794">
        <f t="array" ref="AX270">INDEX(V270:AG270,1,MATCH(Parametres!$B$3,V$1:AG$1,0))*IF(OR(C270="L",C270="S",C270="I"),-1,1)</f>
        <v>0</v>
      </c>
      <c r="AY270" s="853" t="s">
        <v>772</v>
      </c>
      <c r="AZ270" s="853" t="str">
        <f>+VLOOKUP($AJ270,Data_Validation!$A:$E,5,0)</f>
        <v/>
      </c>
    </row>
    <row r="271" ht="15.0" customHeight="1">
      <c r="A271" s="849" t="s">
        <v>1239</v>
      </c>
      <c r="B271" s="849">
        <v>2025.0</v>
      </c>
      <c r="C271" s="849" t="s">
        <v>1850</v>
      </c>
      <c r="D271" s="849" t="s">
        <v>1851</v>
      </c>
      <c r="E271" s="849" t="s">
        <v>768</v>
      </c>
      <c r="F271" s="849" t="s">
        <v>1200</v>
      </c>
      <c r="G271" s="849">
        <v>2901.09</v>
      </c>
      <c r="H271" s="849">
        <v>4777.56</v>
      </c>
      <c r="I271" s="849">
        <v>7588.09</v>
      </c>
      <c r="J271" s="849">
        <v>8775.16</v>
      </c>
      <c r="K271" s="849">
        <v>10482.82</v>
      </c>
      <c r="L271" s="849">
        <v>12461.45</v>
      </c>
      <c r="M271" s="849">
        <v>14412.74</v>
      </c>
      <c r="N271" s="849">
        <v>16511.43</v>
      </c>
      <c r="O271" s="849">
        <v>18641.91</v>
      </c>
      <c r="P271" s="849">
        <v>20892.78</v>
      </c>
      <c r="Q271" s="849">
        <v>24356.75</v>
      </c>
      <c r="R271" s="849">
        <v>27796.76</v>
      </c>
      <c r="S271" s="849">
        <v>2214.25</v>
      </c>
      <c r="T271" s="849">
        <v>2214.25</v>
      </c>
      <c r="U271" s="849">
        <v>0.0</v>
      </c>
      <c r="V271" s="849">
        <v>0.0</v>
      </c>
      <c r="W271" s="849">
        <v>0.0</v>
      </c>
      <c r="X271" s="849">
        <v>0.0</v>
      </c>
      <c r="Y271" s="849">
        <v>0.0</v>
      </c>
      <c r="Z271" s="849">
        <v>0.0</v>
      </c>
      <c r="AA271" s="849">
        <v>0.0</v>
      </c>
      <c r="AB271" s="849">
        <v>0.0</v>
      </c>
      <c r="AC271" s="849">
        <v>0.0</v>
      </c>
      <c r="AD271" s="849">
        <v>0.0</v>
      </c>
      <c r="AE271" s="849">
        <v>0.0</v>
      </c>
      <c r="AF271" s="849">
        <v>0.0</v>
      </c>
      <c r="AG271" s="849">
        <v>0.0</v>
      </c>
      <c r="AH271" s="849">
        <v>0.0</v>
      </c>
      <c r="AI271" s="849">
        <v>0.0</v>
      </c>
      <c r="AJ271" s="794" t="str">
        <f t="shared" ref="AJ271:AK271" si="539">C271</f>
        <v>G0875</v>
      </c>
      <c r="AK271" s="794" t="str">
        <f t="shared" si="539"/>
        <v>ELECTRICITE,GAZ-CARROSS.</v>
      </c>
      <c r="AL271" s="794">
        <f t="array" ref="AL271">IFERROR(INDEX(G271:R271,1,MATCH(Parametres!$B$3,G$1:R$1,0)-1)*IF(OR(F271="L",F271="S",F271="I"),-1,1),"")</f>
        <v>16511.43</v>
      </c>
      <c r="AM271" s="794">
        <f t="shared" si="4"/>
        <v>2130.48</v>
      </c>
      <c r="AN271" s="794">
        <f t="array" ref="AN271">INDEX(G271:R271,1,MATCH(Parametres!$B$3,G$1:R$1,0))*IF(OR(F271="L",F271="S",F271="I"),-1,1)</f>
        <v>18641.91</v>
      </c>
      <c r="AO271" s="853" t="str">
        <f>+VLOOKUP($AJ271,Data_Validation!$A:$D,1,0)</f>
        <v>G0875</v>
      </c>
      <c r="AP271" s="853" t="str">
        <f>+VLOOKUP($AJ271,Data_Validation!$A:$D,3,0)</f>
        <v>Carrosserie</v>
      </c>
      <c r="AQ271" s="853" t="str">
        <f>+VLOOKUP($AJ271,Data_Validation!$A:$D,4,0)</f>
        <v>Chauffage, éclairage</v>
      </c>
      <c r="AR271" s="853" t="s">
        <v>728</v>
      </c>
      <c r="AS271" s="853" t="str">
        <f>+VLOOKUP($AJ271,Data_Validation!$A:$E,5,0)</f>
        <v/>
      </c>
      <c r="AT271" s="794" t="str">
        <f t="shared" ref="AT271:AU271" si="540">C271</f>
        <v>G0875</v>
      </c>
      <c r="AU271" s="854" t="str">
        <f t="shared" si="540"/>
        <v>ELECTRICITE,GAZ-CARROSS.</v>
      </c>
      <c r="AV271" s="794">
        <f t="array" ref="AV271">IFERROR(INDEX(V271:AG271,1,MATCH(Parametres!$B$3,V$1:AG$1,0)-1)*IF(OR(C271="L",C271="S",C271="I"),-1,1),"")</f>
        <v>0</v>
      </c>
      <c r="AW271" s="794">
        <f t="shared" si="6"/>
        <v>0</v>
      </c>
      <c r="AX271" s="794">
        <f t="array" ref="AX271">INDEX(V271:AG271,1,MATCH(Parametres!$B$3,V$1:AG$1,0))*IF(OR(C271="L",C271="S",C271="I"),-1,1)</f>
        <v>0</v>
      </c>
      <c r="AY271" s="853" t="s">
        <v>772</v>
      </c>
      <c r="AZ271" s="853" t="str">
        <f>+VLOOKUP($AJ271,Data_Validation!$A:$E,5,0)</f>
        <v/>
      </c>
    </row>
    <row r="272" ht="15.75" customHeight="1">
      <c r="A272" s="849" t="s">
        <v>1239</v>
      </c>
      <c r="B272" s="849">
        <v>2025.0</v>
      </c>
      <c r="C272" s="849" t="s">
        <v>1852</v>
      </c>
      <c r="D272" s="849" t="s">
        <v>1853</v>
      </c>
      <c r="E272" s="849" t="s">
        <v>768</v>
      </c>
      <c r="F272" s="849" t="s">
        <v>1200</v>
      </c>
      <c r="G272" s="849">
        <v>1301.46</v>
      </c>
      <c r="H272" s="849">
        <v>2427.34</v>
      </c>
      <c r="I272" s="849">
        <v>3963.31</v>
      </c>
      <c r="J272" s="849">
        <v>4675.55</v>
      </c>
      <c r="K272" s="849">
        <v>5663.51</v>
      </c>
      <c r="L272" s="849">
        <v>6913.52</v>
      </c>
      <c r="M272" s="849">
        <v>8156.14</v>
      </c>
      <c r="N272" s="849">
        <v>9489.67</v>
      </c>
      <c r="O272" s="849">
        <v>10828.27</v>
      </c>
      <c r="P272" s="849">
        <v>12219.26</v>
      </c>
      <c r="Q272" s="849">
        <v>14235.89</v>
      </c>
      <c r="R272" s="849">
        <v>16220.99</v>
      </c>
      <c r="S272" s="849">
        <v>1294.17</v>
      </c>
      <c r="T272" s="849">
        <v>1294.17</v>
      </c>
      <c r="U272" s="849">
        <v>0.0</v>
      </c>
      <c r="V272" s="849">
        <v>0.0</v>
      </c>
      <c r="W272" s="849">
        <v>0.0</v>
      </c>
      <c r="X272" s="849">
        <v>0.0</v>
      </c>
      <c r="Y272" s="849">
        <v>0.0</v>
      </c>
      <c r="Z272" s="849">
        <v>0.0</v>
      </c>
      <c r="AA272" s="849">
        <v>0.0</v>
      </c>
      <c r="AB272" s="849">
        <v>0.0</v>
      </c>
      <c r="AC272" s="849">
        <v>0.0</v>
      </c>
      <c r="AD272" s="849">
        <v>0.0</v>
      </c>
      <c r="AE272" s="849">
        <v>0.0</v>
      </c>
      <c r="AF272" s="849">
        <v>0.0</v>
      </c>
      <c r="AG272" s="849">
        <v>0.0</v>
      </c>
      <c r="AH272" s="849">
        <v>0.0</v>
      </c>
      <c r="AI272" s="849">
        <v>0.0</v>
      </c>
      <c r="AJ272" s="794" t="str">
        <f t="shared" ref="AJ272:AK272" si="541">C272</f>
        <v>G0876</v>
      </c>
      <c r="AK272" s="794" t="str">
        <f t="shared" si="541"/>
        <v>ELECTRICITE,GAZ-PIECES</v>
      </c>
      <c r="AL272" s="794">
        <f t="array" ref="AL272">IFERROR(INDEX(G272:R272,1,MATCH(Parametres!$B$3,G$1:R$1,0)-1)*IF(OR(F272="L",F272="S",F272="I"),-1,1),"")</f>
        <v>9489.67</v>
      </c>
      <c r="AM272" s="794">
        <f t="shared" si="4"/>
        <v>1338.6</v>
      </c>
      <c r="AN272" s="794">
        <f t="array" ref="AN272">INDEX(G272:R272,1,MATCH(Parametres!$B$3,G$1:R$1,0))*IF(OR(F272="L",F272="S",F272="I"),-1,1)</f>
        <v>10828.27</v>
      </c>
      <c r="AO272" s="853" t="str">
        <f>+VLOOKUP($AJ272,Data_Validation!$A:$D,1,0)</f>
        <v>G0876</v>
      </c>
      <c r="AP272" s="853" t="str">
        <f>+VLOOKUP($AJ272,Data_Validation!$A:$D,3,0)</f>
        <v>Pièces</v>
      </c>
      <c r="AQ272" s="853" t="str">
        <f>+VLOOKUP($AJ272,Data_Validation!$A:$D,4,0)</f>
        <v>Chauffage, éclairage</v>
      </c>
      <c r="AR272" s="853" t="s">
        <v>728</v>
      </c>
      <c r="AS272" s="853" t="str">
        <f>+VLOOKUP($AJ272,Data_Validation!$A:$E,5,0)</f>
        <v/>
      </c>
      <c r="AT272" s="794" t="str">
        <f t="shared" ref="AT272:AU272" si="542">C272</f>
        <v>G0876</v>
      </c>
      <c r="AU272" s="854" t="str">
        <f t="shared" si="542"/>
        <v>ELECTRICITE,GAZ-PIECES</v>
      </c>
      <c r="AV272" s="794">
        <f t="array" ref="AV272">IFERROR(INDEX(V272:AG272,1,MATCH(Parametres!$B$3,V$1:AG$1,0)-1)*IF(OR(C272="L",C272="S",C272="I"),-1,1),"")</f>
        <v>0</v>
      </c>
      <c r="AW272" s="794">
        <f t="shared" si="6"/>
        <v>0</v>
      </c>
      <c r="AX272" s="794">
        <f t="array" ref="AX272">INDEX(V272:AG272,1,MATCH(Parametres!$B$3,V$1:AG$1,0))*IF(OR(C272="L",C272="S",C272="I"),-1,1)</f>
        <v>0</v>
      </c>
      <c r="AY272" s="853" t="s">
        <v>772</v>
      </c>
      <c r="AZ272" s="853" t="str">
        <f>+VLOOKUP($AJ272,Data_Validation!$A:$E,5,0)</f>
        <v/>
      </c>
    </row>
    <row r="273" ht="15.0" customHeight="1">
      <c r="A273" s="849" t="s">
        <v>1239</v>
      </c>
      <c r="B273" s="849">
        <v>2025.0</v>
      </c>
      <c r="C273" s="849" t="s">
        <v>1854</v>
      </c>
      <c r="D273" s="849" t="s">
        <v>1855</v>
      </c>
      <c r="E273" s="849" t="s">
        <v>768</v>
      </c>
      <c r="F273" s="849" t="s">
        <v>1200</v>
      </c>
      <c r="G273" s="849">
        <v>0.0</v>
      </c>
      <c r="H273" s="849">
        <v>0.0</v>
      </c>
      <c r="I273" s="849">
        <v>0.0</v>
      </c>
      <c r="J273" s="849">
        <v>0.0</v>
      </c>
      <c r="K273" s="849">
        <v>0.0</v>
      </c>
      <c r="L273" s="849">
        <v>0.0</v>
      </c>
      <c r="M273" s="849">
        <v>0.0</v>
      </c>
      <c r="N273" s="849">
        <v>0.0</v>
      </c>
      <c r="O273" s="849">
        <v>0.0</v>
      </c>
      <c r="P273" s="849">
        <v>0.0</v>
      </c>
      <c r="Q273" s="849">
        <v>0.0</v>
      </c>
      <c r="R273" s="849">
        <v>0.0</v>
      </c>
      <c r="S273" s="849">
        <v>0.0</v>
      </c>
      <c r="T273" s="849">
        <v>0.0</v>
      </c>
      <c r="U273" s="849">
        <v>0.0</v>
      </c>
      <c r="V273" s="849">
        <v>0.0</v>
      </c>
      <c r="W273" s="849">
        <v>0.0</v>
      </c>
      <c r="X273" s="849">
        <v>0.0</v>
      </c>
      <c r="Y273" s="849">
        <v>0.0</v>
      </c>
      <c r="Z273" s="849">
        <v>0.0</v>
      </c>
      <c r="AA273" s="849">
        <v>0.0</v>
      </c>
      <c r="AB273" s="849">
        <v>0.0</v>
      </c>
      <c r="AC273" s="849">
        <v>0.0</v>
      </c>
      <c r="AD273" s="849">
        <v>0.0</v>
      </c>
      <c r="AE273" s="849">
        <v>0.0</v>
      </c>
      <c r="AF273" s="849">
        <v>0.0</v>
      </c>
      <c r="AG273" s="849">
        <v>0.0</v>
      </c>
      <c r="AH273" s="849">
        <v>0.0</v>
      </c>
      <c r="AI273" s="849">
        <v>0.0</v>
      </c>
      <c r="AJ273" s="794" t="str">
        <f t="shared" ref="AJ273:AK273" si="543">C273</f>
        <v>G0880</v>
      </c>
      <c r="AK273" s="794" t="str">
        <f t="shared" si="543"/>
        <v>ASSURANCES DIVERSES REP</v>
      </c>
      <c r="AL273" s="794">
        <f t="array" ref="AL273">IFERROR(INDEX(G273:R273,1,MATCH(Parametres!$B$3,G$1:R$1,0)-1)*IF(OR(F273="L",F273="S",F273="I"),-1,1),"")</f>
        <v>0</v>
      </c>
      <c r="AM273" s="794">
        <f t="shared" si="4"/>
        <v>0</v>
      </c>
      <c r="AN273" s="794">
        <f t="array" ref="AN273">INDEX(G273:R273,1,MATCH(Parametres!$B$3,G$1:R$1,0))*IF(OR(F273="L",F273="S",F273="I"),-1,1)</f>
        <v>0</v>
      </c>
      <c r="AO273" s="853" t="str">
        <f>+VLOOKUP($AJ273,Data_Validation!$A:$D,1,0)</f>
        <v>#N/A</v>
      </c>
      <c r="AP273" s="853" t="str">
        <f>+VLOOKUP($AJ273,Data_Validation!$A:$D,3,0)</f>
        <v>#N/A</v>
      </c>
      <c r="AQ273" s="853" t="str">
        <f>+VLOOKUP($AJ273,Data_Validation!$A:$D,4,0)</f>
        <v>#N/A</v>
      </c>
      <c r="AR273" s="853" t="s">
        <v>728</v>
      </c>
      <c r="AS273" s="853" t="str">
        <f>+VLOOKUP($AJ273,Data_Validation!$A:$E,5,0)</f>
        <v>#N/A</v>
      </c>
      <c r="AT273" s="794" t="str">
        <f t="shared" ref="AT273:AU273" si="544">C273</f>
        <v>G0880</v>
      </c>
      <c r="AU273" s="854" t="str">
        <f t="shared" si="544"/>
        <v>ASSURANCES DIVERSES REP</v>
      </c>
      <c r="AV273" s="794">
        <f t="array" ref="AV273">IFERROR(INDEX(V273:AG273,1,MATCH(Parametres!$B$3,V$1:AG$1,0)-1)*IF(OR(C273="L",C273="S",C273="I"),-1,1),"")</f>
        <v>0</v>
      </c>
      <c r="AW273" s="794">
        <f t="shared" si="6"/>
        <v>0</v>
      </c>
      <c r="AX273" s="794">
        <f t="array" ref="AX273">INDEX(V273:AG273,1,MATCH(Parametres!$B$3,V$1:AG$1,0))*IF(OR(C273="L",C273="S",C273="I"),-1,1)</f>
        <v>0</v>
      </c>
      <c r="AY273" s="853" t="s">
        <v>772</v>
      </c>
      <c r="AZ273" s="853" t="str">
        <f>+VLOOKUP($AJ273,Data_Validation!$A:$E,5,0)</f>
        <v>#N/A</v>
      </c>
    </row>
    <row r="274" ht="15.0" customHeight="1">
      <c r="A274" s="849" t="s">
        <v>1239</v>
      </c>
      <c r="B274" s="849">
        <v>2025.0</v>
      </c>
      <c r="C274" s="849" t="s">
        <v>1856</v>
      </c>
      <c r="D274" s="849" t="s">
        <v>1857</v>
      </c>
      <c r="E274" s="849" t="s">
        <v>768</v>
      </c>
      <c r="F274" s="849" t="s">
        <v>1200</v>
      </c>
      <c r="G274" s="849">
        <v>0.0</v>
      </c>
      <c r="H274" s="849">
        <v>0.0</v>
      </c>
      <c r="I274" s="849">
        <v>0.0</v>
      </c>
      <c r="J274" s="849">
        <v>0.0</v>
      </c>
      <c r="K274" s="849">
        <v>0.0</v>
      </c>
      <c r="L274" s="849">
        <v>0.0</v>
      </c>
      <c r="M274" s="849">
        <v>0.0</v>
      </c>
      <c r="N274" s="849">
        <v>0.0</v>
      </c>
      <c r="O274" s="849">
        <v>0.0</v>
      </c>
      <c r="P274" s="849">
        <v>0.0</v>
      </c>
      <c r="Q274" s="849">
        <v>0.0</v>
      </c>
      <c r="R274" s="849">
        <v>0.0</v>
      </c>
      <c r="S274" s="849">
        <v>0.0</v>
      </c>
      <c r="T274" s="849">
        <v>0.0</v>
      </c>
      <c r="U274" s="849">
        <v>0.0</v>
      </c>
      <c r="V274" s="849">
        <v>0.0</v>
      </c>
      <c r="W274" s="849">
        <v>0.0</v>
      </c>
      <c r="X274" s="849">
        <v>0.0</v>
      </c>
      <c r="Y274" s="849">
        <v>0.0</v>
      </c>
      <c r="Z274" s="849">
        <v>0.0</v>
      </c>
      <c r="AA274" s="849">
        <v>0.0</v>
      </c>
      <c r="AB274" s="849">
        <v>0.0</v>
      </c>
      <c r="AC274" s="849">
        <v>0.0</v>
      </c>
      <c r="AD274" s="849">
        <v>0.0</v>
      </c>
      <c r="AE274" s="849">
        <v>0.0</v>
      </c>
      <c r="AF274" s="849">
        <v>0.0</v>
      </c>
      <c r="AG274" s="849">
        <v>0.0</v>
      </c>
      <c r="AH274" s="849">
        <v>0.0</v>
      </c>
      <c r="AI274" s="849">
        <v>0.0</v>
      </c>
      <c r="AJ274" s="794" t="str">
        <f t="shared" ref="AJ274:AK274" si="545">C274</f>
        <v>G0881</v>
      </c>
      <c r="AK274" s="794" t="str">
        <f t="shared" si="545"/>
        <v>ASSURANCES DIVERSES-NEUFS</v>
      </c>
      <c r="AL274" s="794">
        <f t="array" ref="AL274">IFERROR(INDEX(G274:R274,1,MATCH(Parametres!$B$3,G$1:R$1,0)-1)*IF(OR(F274="L",F274="S",F274="I"),-1,1),"")</f>
        <v>0</v>
      </c>
      <c r="AM274" s="794">
        <f t="shared" si="4"/>
        <v>0</v>
      </c>
      <c r="AN274" s="794">
        <f t="array" ref="AN274">INDEX(G274:R274,1,MATCH(Parametres!$B$3,G$1:R$1,0))*IF(OR(F274="L",F274="S",F274="I"),-1,1)</f>
        <v>0</v>
      </c>
      <c r="AO274" s="853" t="str">
        <f>+VLOOKUP($AJ274,Data_Validation!$A:$D,1,0)</f>
        <v>G0881</v>
      </c>
      <c r="AP274" s="853" t="str">
        <f>+VLOOKUP($AJ274,Data_Validation!$A:$D,3,0)</f>
        <v/>
      </c>
      <c r="AQ274" s="853" t="str">
        <f>+VLOOKUP($AJ274,Data_Validation!$A:$D,4,0)</f>
        <v/>
      </c>
      <c r="AR274" s="853" t="s">
        <v>728</v>
      </c>
      <c r="AS274" s="853" t="str">
        <f>+VLOOKUP($AJ274,Data_Validation!$A:$E,5,0)</f>
        <v/>
      </c>
      <c r="AT274" s="794" t="str">
        <f t="shared" ref="AT274:AU274" si="546">C274</f>
        <v>G0881</v>
      </c>
      <c r="AU274" s="854" t="str">
        <f t="shared" si="546"/>
        <v>ASSURANCES DIVERSES-NEUFS</v>
      </c>
      <c r="AV274" s="794">
        <f t="array" ref="AV274">IFERROR(INDEX(V274:AG274,1,MATCH(Parametres!$B$3,V$1:AG$1,0)-1)*IF(OR(C274="L",C274="S",C274="I"),-1,1),"")</f>
        <v>0</v>
      </c>
      <c r="AW274" s="794">
        <f t="shared" si="6"/>
        <v>0</v>
      </c>
      <c r="AX274" s="794">
        <f t="array" ref="AX274">INDEX(V274:AG274,1,MATCH(Parametres!$B$3,V$1:AG$1,0))*IF(OR(C274="L",C274="S",C274="I"),-1,1)</f>
        <v>0</v>
      </c>
      <c r="AY274" s="853" t="s">
        <v>772</v>
      </c>
      <c r="AZ274" s="853" t="str">
        <f>+VLOOKUP($AJ274,Data_Validation!$A:$E,5,0)</f>
        <v/>
      </c>
    </row>
    <row r="275" ht="15.0" customHeight="1">
      <c r="A275" s="849" t="s">
        <v>1239</v>
      </c>
      <c r="B275" s="849">
        <v>2025.0</v>
      </c>
      <c r="C275" s="849" t="s">
        <v>1858</v>
      </c>
      <c r="D275" s="849" t="s">
        <v>1859</v>
      </c>
      <c r="E275" s="849" t="s">
        <v>768</v>
      </c>
      <c r="F275" s="849" t="s">
        <v>1200</v>
      </c>
      <c r="G275" s="849">
        <v>0.0</v>
      </c>
      <c r="H275" s="849">
        <v>0.0</v>
      </c>
      <c r="I275" s="849">
        <v>0.0</v>
      </c>
      <c r="J275" s="849">
        <v>0.0</v>
      </c>
      <c r="K275" s="849">
        <v>0.0</v>
      </c>
      <c r="L275" s="849">
        <v>0.0</v>
      </c>
      <c r="M275" s="849">
        <v>0.0</v>
      </c>
      <c r="N275" s="849">
        <v>0.0</v>
      </c>
      <c r="O275" s="849">
        <v>0.0</v>
      </c>
      <c r="P275" s="849">
        <v>0.0</v>
      </c>
      <c r="Q275" s="849">
        <v>0.0</v>
      </c>
      <c r="R275" s="849">
        <v>0.0</v>
      </c>
      <c r="S275" s="849">
        <v>0.0</v>
      </c>
      <c r="T275" s="849">
        <v>0.0</v>
      </c>
      <c r="U275" s="849">
        <v>0.0</v>
      </c>
      <c r="V275" s="849">
        <v>0.0</v>
      </c>
      <c r="W275" s="849">
        <v>0.0</v>
      </c>
      <c r="X275" s="849">
        <v>0.0</v>
      </c>
      <c r="Y275" s="849">
        <v>0.0</v>
      </c>
      <c r="Z275" s="849">
        <v>0.0</v>
      </c>
      <c r="AA275" s="849">
        <v>0.0</v>
      </c>
      <c r="AB275" s="849">
        <v>0.0</v>
      </c>
      <c r="AC275" s="849">
        <v>0.0</v>
      </c>
      <c r="AD275" s="849">
        <v>0.0</v>
      </c>
      <c r="AE275" s="849">
        <v>0.0</v>
      </c>
      <c r="AF275" s="849">
        <v>0.0</v>
      </c>
      <c r="AG275" s="849">
        <v>0.0</v>
      </c>
      <c r="AH275" s="849">
        <v>0.0</v>
      </c>
      <c r="AI275" s="849">
        <v>0.0</v>
      </c>
      <c r="AJ275" s="794" t="str">
        <f t="shared" ref="AJ275:AK275" si="547">C275</f>
        <v>G0882</v>
      </c>
      <c r="AK275" s="794" t="str">
        <f t="shared" si="547"/>
        <v>ASSURANCES DIVERSES-USAGE</v>
      </c>
      <c r="AL275" s="794">
        <f t="array" ref="AL275">IFERROR(INDEX(G275:R275,1,MATCH(Parametres!$B$3,G$1:R$1,0)-1)*IF(OR(F275="L",F275="S",F275="I"),-1,1),"")</f>
        <v>0</v>
      </c>
      <c r="AM275" s="794">
        <f t="shared" si="4"/>
        <v>0</v>
      </c>
      <c r="AN275" s="794">
        <f t="array" ref="AN275">INDEX(G275:R275,1,MATCH(Parametres!$B$3,G$1:R$1,0))*IF(OR(F275="L",F275="S",F275="I"),-1,1)</f>
        <v>0</v>
      </c>
      <c r="AO275" s="853" t="str">
        <f>+VLOOKUP($AJ275,Data_Validation!$A:$D,1,0)</f>
        <v>G0882</v>
      </c>
      <c r="AP275" s="853" t="str">
        <f>+VLOOKUP($AJ275,Data_Validation!$A:$D,3,0)</f>
        <v/>
      </c>
      <c r="AQ275" s="853" t="str">
        <f>+VLOOKUP($AJ275,Data_Validation!$A:$D,4,0)</f>
        <v/>
      </c>
      <c r="AR275" s="853" t="s">
        <v>728</v>
      </c>
      <c r="AS275" s="853" t="str">
        <f>+VLOOKUP($AJ275,Data_Validation!$A:$E,5,0)</f>
        <v/>
      </c>
      <c r="AT275" s="794" t="str">
        <f t="shared" ref="AT275:AU275" si="548">C275</f>
        <v>G0882</v>
      </c>
      <c r="AU275" s="854" t="str">
        <f t="shared" si="548"/>
        <v>ASSURANCES DIVERSES-USAGE</v>
      </c>
      <c r="AV275" s="794">
        <f t="array" ref="AV275">IFERROR(INDEX(V275:AG275,1,MATCH(Parametres!$B$3,V$1:AG$1,0)-1)*IF(OR(C275="L",C275="S",C275="I"),-1,1),"")</f>
        <v>0</v>
      </c>
      <c r="AW275" s="794">
        <f t="shared" si="6"/>
        <v>0</v>
      </c>
      <c r="AX275" s="794">
        <f t="array" ref="AX275">INDEX(V275:AG275,1,MATCH(Parametres!$B$3,V$1:AG$1,0))*IF(OR(C275="L",C275="S",C275="I"),-1,1)</f>
        <v>0</v>
      </c>
      <c r="AY275" s="853" t="s">
        <v>772</v>
      </c>
      <c r="AZ275" s="853" t="str">
        <f>+VLOOKUP($AJ275,Data_Validation!$A:$E,5,0)</f>
        <v/>
      </c>
    </row>
    <row r="276" ht="15.0" customHeight="1">
      <c r="A276" s="849" t="s">
        <v>1239</v>
      </c>
      <c r="B276" s="849">
        <v>2025.0</v>
      </c>
      <c r="C276" s="849" t="s">
        <v>1860</v>
      </c>
      <c r="D276" s="849" t="s">
        <v>1861</v>
      </c>
      <c r="E276" s="849" t="s">
        <v>768</v>
      </c>
      <c r="F276" s="849" t="s">
        <v>1200</v>
      </c>
      <c r="G276" s="849">
        <v>0.0</v>
      </c>
      <c r="H276" s="849">
        <v>0.0</v>
      </c>
      <c r="I276" s="849">
        <v>0.0</v>
      </c>
      <c r="J276" s="849">
        <v>0.0</v>
      </c>
      <c r="K276" s="849">
        <v>0.0</v>
      </c>
      <c r="L276" s="849">
        <v>0.0</v>
      </c>
      <c r="M276" s="849">
        <v>0.0</v>
      </c>
      <c r="N276" s="849">
        <v>0.0</v>
      </c>
      <c r="O276" s="849">
        <v>0.0</v>
      </c>
      <c r="P276" s="849">
        <v>0.0</v>
      </c>
      <c r="Q276" s="849">
        <v>0.0</v>
      </c>
      <c r="R276" s="849">
        <v>0.0</v>
      </c>
      <c r="S276" s="849">
        <v>0.0</v>
      </c>
      <c r="T276" s="849">
        <v>0.0</v>
      </c>
      <c r="U276" s="849">
        <v>0.0</v>
      </c>
      <c r="V276" s="849">
        <v>0.0</v>
      </c>
      <c r="W276" s="849">
        <v>0.0</v>
      </c>
      <c r="X276" s="849">
        <v>0.0</v>
      </c>
      <c r="Y276" s="849">
        <v>0.0</v>
      </c>
      <c r="Z276" s="849">
        <v>0.0</v>
      </c>
      <c r="AA276" s="849">
        <v>0.0</v>
      </c>
      <c r="AB276" s="849">
        <v>0.0</v>
      </c>
      <c r="AC276" s="849">
        <v>0.0</v>
      </c>
      <c r="AD276" s="849">
        <v>0.0</v>
      </c>
      <c r="AE276" s="849">
        <v>0.0</v>
      </c>
      <c r="AF276" s="849">
        <v>0.0</v>
      </c>
      <c r="AG276" s="849">
        <v>0.0</v>
      </c>
      <c r="AH276" s="849">
        <v>0.0</v>
      </c>
      <c r="AI276" s="849">
        <v>0.0</v>
      </c>
      <c r="AJ276" s="794" t="str">
        <f t="shared" ref="AJ276:AK276" si="549">C276</f>
        <v>G0884</v>
      </c>
      <c r="AK276" s="794" t="str">
        <f t="shared" si="549"/>
        <v>ASSURANCES DIVERSES-SERV.</v>
      </c>
      <c r="AL276" s="794">
        <f t="array" ref="AL276">IFERROR(INDEX(G276:R276,1,MATCH(Parametres!$B$3,G$1:R$1,0)-1)*IF(OR(F276="L",F276="S",F276="I"),-1,1),"")</f>
        <v>0</v>
      </c>
      <c r="AM276" s="794">
        <f t="shared" si="4"/>
        <v>0</v>
      </c>
      <c r="AN276" s="794">
        <f t="array" ref="AN276">INDEX(G276:R276,1,MATCH(Parametres!$B$3,G$1:R$1,0))*IF(OR(F276="L",F276="S",F276="I"),-1,1)</f>
        <v>0</v>
      </c>
      <c r="AO276" s="853" t="str">
        <f>+VLOOKUP($AJ276,Data_Validation!$A:$D,1,0)</f>
        <v>G0884</v>
      </c>
      <c r="AP276" s="853" t="str">
        <f>+VLOOKUP($AJ276,Data_Validation!$A:$D,3,0)</f>
        <v/>
      </c>
      <c r="AQ276" s="853" t="str">
        <f>+VLOOKUP($AJ276,Data_Validation!$A:$D,4,0)</f>
        <v/>
      </c>
      <c r="AR276" s="853" t="s">
        <v>728</v>
      </c>
      <c r="AS276" s="853" t="str">
        <f>+VLOOKUP($AJ276,Data_Validation!$A:$E,5,0)</f>
        <v/>
      </c>
      <c r="AT276" s="794" t="str">
        <f t="shared" ref="AT276:AU276" si="550">C276</f>
        <v>G0884</v>
      </c>
      <c r="AU276" s="854" t="str">
        <f t="shared" si="550"/>
        <v>ASSURANCES DIVERSES-SERV.</v>
      </c>
      <c r="AV276" s="794">
        <f t="array" ref="AV276">IFERROR(INDEX(V276:AG276,1,MATCH(Parametres!$B$3,V$1:AG$1,0)-1)*IF(OR(C276="L",C276="S",C276="I"),-1,1),"")</f>
        <v>0</v>
      </c>
      <c r="AW276" s="794">
        <f t="shared" si="6"/>
        <v>0</v>
      </c>
      <c r="AX276" s="794">
        <f t="array" ref="AX276">INDEX(V276:AG276,1,MATCH(Parametres!$B$3,V$1:AG$1,0))*IF(OR(C276="L",C276="S",C276="I"),-1,1)</f>
        <v>0</v>
      </c>
      <c r="AY276" s="853" t="s">
        <v>772</v>
      </c>
      <c r="AZ276" s="853" t="str">
        <f>+VLOOKUP($AJ276,Data_Validation!$A:$E,5,0)</f>
        <v/>
      </c>
    </row>
    <row r="277" ht="15.0" customHeight="1">
      <c r="A277" s="849" t="s">
        <v>1239</v>
      </c>
      <c r="B277" s="849">
        <v>2025.0</v>
      </c>
      <c r="C277" s="849" t="s">
        <v>1862</v>
      </c>
      <c r="D277" s="849" t="s">
        <v>1863</v>
      </c>
      <c r="E277" s="849" t="s">
        <v>768</v>
      </c>
      <c r="F277" s="849" t="s">
        <v>1200</v>
      </c>
      <c r="G277" s="849">
        <v>0.0</v>
      </c>
      <c r="H277" s="849">
        <v>0.0</v>
      </c>
      <c r="I277" s="849">
        <v>0.0</v>
      </c>
      <c r="J277" s="849">
        <v>0.0</v>
      </c>
      <c r="K277" s="849">
        <v>0.0</v>
      </c>
      <c r="L277" s="849">
        <v>0.0</v>
      </c>
      <c r="M277" s="849">
        <v>0.0</v>
      </c>
      <c r="N277" s="849">
        <v>0.0</v>
      </c>
      <c r="O277" s="849">
        <v>0.0</v>
      </c>
      <c r="P277" s="849">
        <v>0.0</v>
      </c>
      <c r="Q277" s="849">
        <v>0.0</v>
      </c>
      <c r="R277" s="849">
        <v>0.0</v>
      </c>
      <c r="S277" s="849">
        <v>0.0</v>
      </c>
      <c r="T277" s="849">
        <v>0.0</v>
      </c>
      <c r="U277" s="849">
        <v>0.0</v>
      </c>
      <c r="V277" s="849">
        <v>0.0</v>
      </c>
      <c r="W277" s="849">
        <v>0.0</v>
      </c>
      <c r="X277" s="849">
        <v>0.0</v>
      </c>
      <c r="Y277" s="849">
        <v>0.0</v>
      </c>
      <c r="Z277" s="849">
        <v>0.0</v>
      </c>
      <c r="AA277" s="849">
        <v>0.0</v>
      </c>
      <c r="AB277" s="849">
        <v>0.0</v>
      </c>
      <c r="AC277" s="849">
        <v>0.0</v>
      </c>
      <c r="AD277" s="849">
        <v>0.0</v>
      </c>
      <c r="AE277" s="849">
        <v>0.0</v>
      </c>
      <c r="AF277" s="849">
        <v>0.0</v>
      </c>
      <c r="AG277" s="849">
        <v>0.0</v>
      </c>
      <c r="AH277" s="849">
        <v>0.0</v>
      </c>
      <c r="AI277" s="849">
        <v>0.0</v>
      </c>
      <c r="AJ277" s="794" t="str">
        <f t="shared" ref="AJ277:AK277" si="551">C277</f>
        <v>G0885</v>
      </c>
      <c r="AK277" s="794" t="str">
        <f t="shared" si="551"/>
        <v>ASSURANCES DIVERSES-CARR.</v>
      </c>
      <c r="AL277" s="794">
        <f t="array" ref="AL277">IFERROR(INDEX(G277:R277,1,MATCH(Parametres!$B$3,G$1:R$1,0)-1)*IF(OR(F277="L",F277="S",F277="I"),-1,1),"")</f>
        <v>0</v>
      </c>
      <c r="AM277" s="794">
        <f t="shared" si="4"/>
        <v>0</v>
      </c>
      <c r="AN277" s="794">
        <f t="array" ref="AN277">INDEX(G277:R277,1,MATCH(Parametres!$B$3,G$1:R$1,0))*IF(OR(F277="L",F277="S",F277="I"),-1,1)</f>
        <v>0</v>
      </c>
      <c r="AO277" s="853" t="str">
        <f>+VLOOKUP($AJ277,Data_Validation!$A:$D,1,0)</f>
        <v>G0885</v>
      </c>
      <c r="AP277" s="853" t="str">
        <f>+VLOOKUP($AJ277,Data_Validation!$A:$D,3,0)</f>
        <v/>
      </c>
      <c r="AQ277" s="853" t="str">
        <f>+VLOOKUP($AJ277,Data_Validation!$A:$D,4,0)</f>
        <v/>
      </c>
      <c r="AR277" s="853" t="s">
        <v>728</v>
      </c>
      <c r="AS277" s="853" t="str">
        <f>+VLOOKUP($AJ277,Data_Validation!$A:$E,5,0)</f>
        <v/>
      </c>
      <c r="AT277" s="794" t="str">
        <f t="shared" ref="AT277:AU277" si="552">C277</f>
        <v>G0885</v>
      </c>
      <c r="AU277" s="854" t="str">
        <f t="shared" si="552"/>
        <v>ASSURANCES DIVERSES-CARR.</v>
      </c>
      <c r="AV277" s="794">
        <f t="array" ref="AV277">IFERROR(INDEX(V277:AG277,1,MATCH(Parametres!$B$3,V$1:AG$1,0)-1)*IF(OR(C277="L",C277="S",C277="I"),-1,1),"")</f>
        <v>0</v>
      </c>
      <c r="AW277" s="794">
        <f t="shared" si="6"/>
        <v>0</v>
      </c>
      <c r="AX277" s="794">
        <f t="array" ref="AX277">INDEX(V277:AG277,1,MATCH(Parametres!$B$3,V$1:AG$1,0))*IF(OR(C277="L",C277="S",C277="I"),-1,1)</f>
        <v>0</v>
      </c>
      <c r="AY277" s="853" t="s">
        <v>772</v>
      </c>
      <c r="AZ277" s="853" t="str">
        <f>+VLOOKUP($AJ277,Data_Validation!$A:$E,5,0)</f>
        <v/>
      </c>
    </row>
    <row r="278" ht="15.0" customHeight="1">
      <c r="A278" s="849" t="s">
        <v>1239</v>
      </c>
      <c r="B278" s="849">
        <v>2025.0</v>
      </c>
      <c r="C278" s="849" t="s">
        <v>1864</v>
      </c>
      <c r="D278" s="849" t="s">
        <v>1865</v>
      </c>
      <c r="E278" s="849" t="s">
        <v>768</v>
      </c>
      <c r="F278" s="849" t="s">
        <v>1200</v>
      </c>
      <c r="G278" s="849">
        <v>0.0</v>
      </c>
      <c r="H278" s="849">
        <v>0.0</v>
      </c>
      <c r="I278" s="849">
        <v>0.0</v>
      </c>
      <c r="J278" s="849">
        <v>0.0</v>
      </c>
      <c r="K278" s="849">
        <v>0.0</v>
      </c>
      <c r="L278" s="849">
        <v>0.0</v>
      </c>
      <c r="M278" s="849">
        <v>0.0</v>
      </c>
      <c r="N278" s="849">
        <v>0.0</v>
      </c>
      <c r="O278" s="849">
        <v>0.0</v>
      </c>
      <c r="P278" s="849">
        <v>0.0</v>
      </c>
      <c r="Q278" s="849">
        <v>0.0</v>
      </c>
      <c r="R278" s="849">
        <v>0.0</v>
      </c>
      <c r="S278" s="849">
        <v>0.0</v>
      </c>
      <c r="T278" s="849">
        <v>0.0</v>
      </c>
      <c r="U278" s="849">
        <v>0.0</v>
      </c>
      <c r="V278" s="849">
        <v>0.0</v>
      </c>
      <c r="W278" s="849">
        <v>0.0</v>
      </c>
      <c r="X278" s="849">
        <v>0.0</v>
      </c>
      <c r="Y278" s="849">
        <v>0.0</v>
      </c>
      <c r="Z278" s="849">
        <v>0.0</v>
      </c>
      <c r="AA278" s="849">
        <v>0.0</v>
      </c>
      <c r="AB278" s="849">
        <v>0.0</v>
      </c>
      <c r="AC278" s="849">
        <v>0.0</v>
      </c>
      <c r="AD278" s="849">
        <v>0.0</v>
      </c>
      <c r="AE278" s="849">
        <v>0.0</v>
      </c>
      <c r="AF278" s="849">
        <v>0.0</v>
      </c>
      <c r="AG278" s="849">
        <v>0.0</v>
      </c>
      <c r="AH278" s="849">
        <v>0.0</v>
      </c>
      <c r="AI278" s="849">
        <v>0.0</v>
      </c>
      <c r="AJ278" s="794" t="str">
        <f t="shared" ref="AJ278:AK278" si="553">C278</f>
        <v>G0886</v>
      </c>
      <c r="AK278" s="794" t="str">
        <f t="shared" si="553"/>
        <v>ASSURANCES DIVERSES-PCES</v>
      </c>
      <c r="AL278" s="794">
        <f t="array" ref="AL278">IFERROR(INDEX(G278:R278,1,MATCH(Parametres!$B$3,G$1:R$1,0)-1)*IF(OR(F278="L",F278="S",F278="I"),-1,1),"")</f>
        <v>0</v>
      </c>
      <c r="AM278" s="794">
        <f t="shared" si="4"/>
        <v>0</v>
      </c>
      <c r="AN278" s="794">
        <f t="array" ref="AN278">INDEX(G278:R278,1,MATCH(Parametres!$B$3,G$1:R$1,0))*IF(OR(F278="L",F278="S",F278="I"),-1,1)</f>
        <v>0</v>
      </c>
      <c r="AO278" s="853" t="str">
        <f>+VLOOKUP($AJ278,Data_Validation!$A:$D,1,0)</f>
        <v>G0886</v>
      </c>
      <c r="AP278" s="853" t="str">
        <f>+VLOOKUP($AJ278,Data_Validation!$A:$D,3,0)</f>
        <v/>
      </c>
      <c r="AQ278" s="853" t="str">
        <f>+VLOOKUP($AJ278,Data_Validation!$A:$D,4,0)</f>
        <v/>
      </c>
      <c r="AR278" s="853" t="s">
        <v>728</v>
      </c>
      <c r="AS278" s="853" t="str">
        <f>+VLOOKUP($AJ278,Data_Validation!$A:$E,5,0)</f>
        <v/>
      </c>
      <c r="AT278" s="794" t="str">
        <f t="shared" ref="AT278:AU278" si="554">C278</f>
        <v>G0886</v>
      </c>
      <c r="AU278" s="854" t="str">
        <f t="shared" si="554"/>
        <v>ASSURANCES DIVERSES-PCES</v>
      </c>
      <c r="AV278" s="794">
        <f t="array" ref="AV278">IFERROR(INDEX(V278:AG278,1,MATCH(Parametres!$B$3,V$1:AG$1,0)-1)*IF(OR(C278="L",C278="S",C278="I"),-1,1),"")</f>
        <v>0</v>
      </c>
      <c r="AW278" s="794">
        <f t="shared" si="6"/>
        <v>0</v>
      </c>
      <c r="AX278" s="794">
        <f t="array" ref="AX278">INDEX(V278:AG278,1,MATCH(Parametres!$B$3,V$1:AG$1,0))*IF(OR(C278="L",C278="S",C278="I"),-1,1)</f>
        <v>0</v>
      </c>
      <c r="AY278" s="853" t="s">
        <v>772</v>
      </c>
      <c r="AZ278" s="853" t="str">
        <f>+VLOOKUP($AJ278,Data_Validation!$A:$E,5,0)</f>
        <v/>
      </c>
    </row>
    <row r="279" ht="15.75" customHeight="1">
      <c r="A279" s="849" t="s">
        <v>1239</v>
      </c>
      <c r="B279" s="849">
        <v>2025.0</v>
      </c>
      <c r="C279" s="849" t="s">
        <v>1866</v>
      </c>
      <c r="D279" s="849" t="s">
        <v>1867</v>
      </c>
      <c r="E279" s="849" t="s">
        <v>768</v>
      </c>
      <c r="F279" s="849" t="s">
        <v>1200</v>
      </c>
      <c r="G279" s="849">
        <v>0.0</v>
      </c>
      <c r="H279" s="849">
        <v>0.0</v>
      </c>
      <c r="I279" s="849">
        <v>0.0</v>
      </c>
      <c r="J279" s="849">
        <v>0.0</v>
      </c>
      <c r="K279" s="849">
        <v>0.0</v>
      </c>
      <c r="L279" s="849">
        <v>0.0</v>
      </c>
      <c r="M279" s="849">
        <v>0.0</v>
      </c>
      <c r="N279" s="849">
        <v>0.0</v>
      </c>
      <c r="O279" s="849">
        <v>0.0</v>
      </c>
      <c r="P279" s="849">
        <v>0.0</v>
      </c>
      <c r="Q279" s="849">
        <v>0.0</v>
      </c>
      <c r="R279" s="849">
        <v>0.0</v>
      </c>
      <c r="S279" s="849">
        <v>0.0</v>
      </c>
      <c r="T279" s="849">
        <v>0.0</v>
      </c>
      <c r="U279" s="849">
        <v>0.0</v>
      </c>
      <c r="V279" s="849">
        <v>0.0</v>
      </c>
      <c r="W279" s="849">
        <v>0.0</v>
      </c>
      <c r="X279" s="849">
        <v>0.0</v>
      </c>
      <c r="Y279" s="849">
        <v>0.0</v>
      </c>
      <c r="Z279" s="849">
        <v>0.0</v>
      </c>
      <c r="AA279" s="849">
        <v>0.0</v>
      </c>
      <c r="AB279" s="849">
        <v>0.0</v>
      </c>
      <c r="AC279" s="849">
        <v>0.0</v>
      </c>
      <c r="AD279" s="849">
        <v>0.0</v>
      </c>
      <c r="AE279" s="849">
        <v>0.0</v>
      </c>
      <c r="AF279" s="849">
        <v>0.0</v>
      </c>
      <c r="AG279" s="849">
        <v>0.0</v>
      </c>
      <c r="AH279" s="849">
        <v>0.0</v>
      </c>
      <c r="AI279" s="849">
        <v>0.0</v>
      </c>
      <c r="AJ279" s="794" t="str">
        <f t="shared" ref="AJ279:AK279" si="555">C279</f>
        <v>G0890</v>
      </c>
      <c r="AK279" s="794" t="str">
        <f t="shared" si="555"/>
        <v>TAXES DIVERSES REP</v>
      </c>
      <c r="AL279" s="794">
        <f t="array" ref="AL279">IFERROR(INDEX(G279:R279,1,MATCH(Parametres!$B$3,G$1:R$1,0)-1)*IF(OR(F279="L",F279="S",F279="I"),-1,1),"")</f>
        <v>0</v>
      </c>
      <c r="AM279" s="794">
        <f t="shared" si="4"/>
        <v>0</v>
      </c>
      <c r="AN279" s="794">
        <f t="array" ref="AN279">INDEX(G279:R279,1,MATCH(Parametres!$B$3,G$1:R$1,0))*IF(OR(F279="L",F279="S",F279="I"),-1,1)</f>
        <v>0</v>
      </c>
      <c r="AO279" s="853" t="str">
        <f>+VLOOKUP($AJ279,Data_Validation!$A:$D,1,0)</f>
        <v>#N/A</v>
      </c>
      <c r="AP279" s="853" t="str">
        <f>+VLOOKUP($AJ279,Data_Validation!$A:$D,3,0)</f>
        <v>#N/A</v>
      </c>
      <c r="AQ279" s="853" t="str">
        <f>+VLOOKUP($AJ279,Data_Validation!$A:$D,4,0)</f>
        <v>#N/A</v>
      </c>
      <c r="AR279" s="853" t="s">
        <v>728</v>
      </c>
      <c r="AS279" s="853" t="str">
        <f>+VLOOKUP($AJ279,Data_Validation!$A:$E,5,0)</f>
        <v>#N/A</v>
      </c>
      <c r="AT279" s="794" t="str">
        <f t="shared" ref="AT279:AU279" si="556">C279</f>
        <v>G0890</v>
      </c>
      <c r="AU279" s="854" t="str">
        <f t="shared" si="556"/>
        <v>TAXES DIVERSES REP</v>
      </c>
      <c r="AV279" s="794">
        <f t="array" ref="AV279">IFERROR(INDEX(V279:AG279,1,MATCH(Parametres!$B$3,V$1:AG$1,0)-1)*IF(OR(C279="L",C279="S",C279="I"),-1,1),"")</f>
        <v>0</v>
      </c>
      <c r="AW279" s="794">
        <f t="shared" si="6"/>
        <v>0</v>
      </c>
      <c r="AX279" s="794">
        <f t="array" ref="AX279">INDEX(V279:AG279,1,MATCH(Parametres!$B$3,V$1:AG$1,0))*IF(OR(C279="L",C279="S",C279="I"),-1,1)</f>
        <v>0</v>
      </c>
      <c r="AY279" s="853" t="s">
        <v>772</v>
      </c>
      <c r="AZ279" s="853" t="str">
        <f>+VLOOKUP($AJ279,Data_Validation!$A:$E,5,0)</f>
        <v>#N/A</v>
      </c>
    </row>
    <row r="280" ht="15.0" customHeight="1">
      <c r="A280" s="849" t="s">
        <v>1239</v>
      </c>
      <c r="B280" s="849">
        <v>2025.0</v>
      </c>
      <c r="C280" s="849" t="s">
        <v>1868</v>
      </c>
      <c r="D280" s="849" t="s">
        <v>1869</v>
      </c>
      <c r="E280" s="849" t="s">
        <v>768</v>
      </c>
      <c r="F280" s="849" t="s">
        <v>1200</v>
      </c>
      <c r="G280" s="849">
        <v>3000.0</v>
      </c>
      <c r="H280" s="849">
        <v>6000.0</v>
      </c>
      <c r="I280" s="849">
        <v>9000.0</v>
      </c>
      <c r="J280" s="849">
        <v>14972.26</v>
      </c>
      <c r="K280" s="849">
        <v>17972.26</v>
      </c>
      <c r="L280" s="849">
        <v>20972.26</v>
      </c>
      <c r="M280" s="849">
        <v>23972.26</v>
      </c>
      <c r="N280" s="849">
        <v>26972.26</v>
      </c>
      <c r="O280" s="849">
        <v>29972.26</v>
      </c>
      <c r="P280" s="849">
        <v>32972.26</v>
      </c>
      <c r="Q280" s="849">
        <v>35972.26</v>
      </c>
      <c r="R280" s="849">
        <v>38972.26</v>
      </c>
      <c r="S280" s="849">
        <v>3270.21</v>
      </c>
      <c r="T280" s="849">
        <v>3270.21</v>
      </c>
      <c r="U280" s="849">
        <v>0.0</v>
      </c>
      <c r="V280" s="849">
        <v>0.0</v>
      </c>
      <c r="W280" s="849">
        <v>0.0</v>
      </c>
      <c r="X280" s="849">
        <v>0.0</v>
      </c>
      <c r="Y280" s="849">
        <v>0.0</v>
      </c>
      <c r="Z280" s="849">
        <v>0.0</v>
      </c>
      <c r="AA280" s="849">
        <v>0.0</v>
      </c>
      <c r="AB280" s="849">
        <v>0.0</v>
      </c>
      <c r="AC280" s="849">
        <v>0.0</v>
      </c>
      <c r="AD280" s="849">
        <v>0.0</v>
      </c>
      <c r="AE280" s="849">
        <v>0.0</v>
      </c>
      <c r="AF280" s="849">
        <v>0.0</v>
      </c>
      <c r="AG280" s="849">
        <v>0.0</v>
      </c>
      <c r="AH280" s="849">
        <v>0.0</v>
      </c>
      <c r="AI280" s="849">
        <v>0.0</v>
      </c>
      <c r="AJ280" s="794" t="str">
        <f t="shared" ref="AJ280:AK280" si="557">C280</f>
        <v>G0891</v>
      </c>
      <c r="AK280" s="794" t="str">
        <f t="shared" si="557"/>
        <v>TAXES DIVERSES-NEUFS</v>
      </c>
      <c r="AL280" s="794">
        <f t="array" ref="AL280">IFERROR(INDEX(G280:R280,1,MATCH(Parametres!$B$3,G$1:R$1,0)-1)*IF(OR(F280="L",F280="S",F280="I"),-1,1),"")</f>
        <v>26972.26</v>
      </c>
      <c r="AM280" s="794">
        <f t="shared" si="4"/>
        <v>3000</v>
      </c>
      <c r="AN280" s="794">
        <f t="array" ref="AN280">INDEX(G280:R280,1,MATCH(Parametres!$B$3,G$1:R$1,0))*IF(OR(F280="L",F280="S",F280="I"),-1,1)</f>
        <v>29972.26</v>
      </c>
      <c r="AO280" s="853" t="str">
        <f>+VLOOKUP($AJ280,Data_Validation!$A:$D,1,0)</f>
        <v>G0891</v>
      </c>
      <c r="AP280" s="853" t="str">
        <f>+VLOOKUP($AJ280,Data_Validation!$A:$D,3,0)</f>
        <v>Véhicules neufs</v>
      </c>
      <c r="AQ280" s="853" t="str">
        <f>+VLOOKUP($AJ280,Data_Validation!$A:$D,4,0)</f>
        <v>Taxes d`affaires</v>
      </c>
      <c r="AR280" s="853" t="s">
        <v>728</v>
      </c>
      <c r="AS280" s="853" t="str">
        <f>+VLOOKUP($AJ280,Data_Validation!$A:$E,5,0)</f>
        <v/>
      </c>
      <c r="AT280" s="794" t="str">
        <f t="shared" ref="AT280:AU280" si="558">C280</f>
        <v>G0891</v>
      </c>
      <c r="AU280" s="854" t="str">
        <f t="shared" si="558"/>
        <v>TAXES DIVERSES-NEUFS</v>
      </c>
      <c r="AV280" s="794">
        <f t="array" ref="AV280">IFERROR(INDEX(V280:AG280,1,MATCH(Parametres!$B$3,V$1:AG$1,0)-1)*IF(OR(C280="L",C280="S",C280="I"),-1,1),"")</f>
        <v>0</v>
      </c>
      <c r="AW280" s="794">
        <f t="shared" si="6"/>
        <v>0</v>
      </c>
      <c r="AX280" s="794">
        <f t="array" ref="AX280">INDEX(V280:AG280,1,MATCH(Parametres!$B$3,V$1:AG$1,0))*IF(OR(C280="L",C280="S",C280="I"),-1,1)</f>
        <v>0</v>
      </c>
      <c r="AY280" s="853" t="s">
        <v>772</v>
      </c>
      <c r="AZ280" s="853" t="str">
        <f>+VLOOKUP($AJ280,Data_Validation!$A:$E,5,0)</f>
        <v/>
      </c>
    </row>
    <row r="281" ht="15.0" customHeight="1">
      <c r="A281" s="849" t="s">
        <v>1239</v>
      </c>
      <c r="B281" s="849">
        <v>2025.0</v>
      </c>
      <c r="C281" s="849" t="s">
        <v>1870</v>
      </c>
      <c r="D281" s="849" t="s">
        <v>1871</v>
      </c>
      <c r="E281" s="849" t="s">
        <v>768</v>
      </c>
      <c r="F281" s="849" t="s">
        <v>1200</v>
      </c>
      <c r="G281" s="849">
        <v>2000.0</v>
      </c>
      <c r="H281" s="849">
        <v>4000.0</v>
      </c>
      <c r="I281" s="849">
        <v>6000.0</v>
      </c>
      <c r="J281" s="849">
        <v>9981.5</v>
      </c>
      <c r="K281" s="849">
        <v>11981.5</v>
      </c>
      <c r="L281" s="849">
        <v>13981.5</v>
      </c>
      <c r="M281" s="849">
        <v>15981.5</v>
      </c>
      <c r="N281" s="849">
        <v>17981.5</v>
      </c>
      <c r="O281" s="849">
        <v>19981.5</v>
      </c>
      <c r="P281" s="849">
        <v>21981.5</v>
      </c>
      <c r="Q281" s="849">
        <v>23981.5</v>
      </c>
      <c r="R281" s="849">
        <v>25981.5</v>
      </c>
      <c r="S281" s="849">
        <v>2180.14</v>
      </c>
      <c r="T281" s="849">
        <v>2180.14</v>
      </c>
      <c r="U281" s="849">
        <v>0.0</v>
      </c>
      <c r="V281" s="849">
        <v>0.0</v>
      </c>
      <c r="W281" s="849">
        <v>0.0</v>
      </c>
      <c r="X281" s="849">
        <v>0.0</v>
      </c>
      <c r="Y281" s="849">
        <v>0.0</v>
      </c>
      <c r="Z281" s="849">
        <v>0.0</v>
      </c>
      <c r="AA281" s="849">
        <v>0.0</v>
      </c>
      <c r="AB281" s="849">
        <v>0.0</v>
      </c>
      <c r="AC281" s="849">
        <v>0.0</v>
      </c>
      <c r="AD281" s="849">
        <v>0.0</v>
      </c>
      <c r="AE281" s="849">
        <v>0.0</v>
      </c>
      <c r="AF281" s="849">
        <v>0.0</v>
      </c>
      <c r="AG281" s="849">
        <v>0.0</v>
      </c>
      <c r="AH281" s="849">
        <v>0.0</v>
      </c>
      <c r="AI281" s="849">
        <v>0.0</v>
      </c>
      <c r="AJ281" s="794" t="str">
        <f t="shared" ref="AJ281:AK281" si="559">C281</f>
        <v>G0892</v>
      </c>
      <c r="AK281" s="794" t="str">
        <f t="shared" si="559"/>
        <v>TAXES DIVERSES-USAGES</v>
      </c>
      <c r="AL281" s="794">
        <f t="array" ref="AL281">IFERROR(INDEX(G281:R281,1,MATCH(Parametres!$B$3,G$1:R$1,0)-1)*IF(OR(F281="L",F281="S",F281="I"),-1,1),"")</f>
        <v>17981.5</v>
      </c>
      <c r="AM281" s="794">
        <f t="shared" si="4"/>
        <v>2000</v>
      </c>
      <c r="AN281" s="794">
        <f t="array" ref="AN281">INDEX(G281:R281,1,MATCH(Parametres!$B$3,G$1:R$1,0))*IF(OR(F281="L",F281="S",F281="I"),-1,1)</f>
        <v>19981.5</v>
      </c>
      <c r="AO281" s="853" t="str">
        <f>+VLOOKUP($AJ281,Data_Validation!$A:$D,1,0)</f>
        <v>G0892</v>
      </c>
      <c r="AP281" s="853" t="str">
        <f>+VLOOKUP($AJ281,Data_Validation!$A:$D,3,0)</f>
        <v>Véhicules usagés</v>
      </c>
      <c r="AQ281" s="853" t="str">
        <f>+VLOOKUP($AJ281,Data_Validation!$A:$D,4,0)</f>
        <v>Taxes d`affaires</v>
      </c>
      <c r="AR281" s="853" t="s">
        <v>728</v>
      </c>
      <c r="AS281" s="853" t="str">
        <f>+VLOOKUP($AJ281,Data_Validation!$A:$E,5,0)</f>
        <v/>
      </c>
      <c r="AT281" s="794" t="str">
        <f t="shared" ref="AT281:AU281" si="560">C281</f>
        <v>G0892</v>
      </c>
      <c r="AU281" s="854" t="str">
        <f t="shared" si="560"/>
        <v>TAXES DIVERSES-USAGES</v>
      </c>
      <c r="AV281" s="794">
        <f t="array" ref="AV281">IFERROR(INDEX(V281:AG281,1,MATCH(Parametres!$B$3,V$1:AG$1,0)-1)*IF(OR(C281="L",C281="S",C281="I"),-1,1),"")</f>
        <v>0</v>
      </c>
      <c r="AW281" s="794">
        <f t="shared" si="6"/>
        <v>0</v>
      </c>
      <c r="AX281" s="794">
        <f t="array" ref="AX281">INDEX(V281:AG281,1,MATCH(Parametres!$B$3,V$1:AG$1,0))*IF(OR(C281="L",C281="S",C281="I"),-1,1)</f>
        <v>0</v>
      </c>
      <c r="AY281" s="853" t="s">
        <v>772</v>
      </c>
      <c r="AZ281" s="853" t="str">
        <f>+VLOOKUP($AJ281,Data_Validation!$A:$E,5,0)</f>
        <v/>
      </c>
    </row>
    <row r="282" ht="15.0" customHeight="1">
      <c r="A282" s="849" t="s">
        <v>1239</v>
      </c>
      <c r="B282" s="849">
        <v>2025.0</v>
      </c>
      <c r="C282" s="849" t="s">
        <v>1872</v>
      </c>
      <c r="D282" s="849" t="s">
        <v>1873</v>
      </c>
      <c r="E282" s="849" t="s">
        <v>768</v>
      </c>
      <c r="F282" s="849" t="s">
        <v>1200</v>
      </c>
      <c r="G282" s="849">
        <v>0.0</v>
      </c>
      <c r="H282" s="849">
        <v>0.0</v>
      </c>
      <c r="I282" s="849">
        <v>0.0</v>
      </c>
      <c r="J282" s="849">
        <v>0.0</v>
      </c>
      <c r="K282" s="849">
        <v>0.0</v>
      </c>
      <c r="L282" s="849">
        <v>0.0</v>
      </c>
      <c r="M282" s="849">
        <v>0.0</v>
      </c>
      <c r="N282" s="849">
        <v>0.0</v>
      </c>
      <c r="O282" s="849">
        <v>0.0</v>
      </c>
      <c r="P282" s="849">
        <v>0.0</v>
      </c>
      <c r="Q282" s="849">
        <v>0.0</v>
      </c>
      <c r="R282" s="849">
        <v>0.0</v>
      </c>
      <c r="S282" s="849">
        <v>0.0</v>
      </c>
      <c r="T282" s="849">
        <v>0.0</v>
      </c>
      <c r="U282" s="849">
        <v>0.0</v>
      </c>
      <c r="V282" s="849">
        <v>0.0</v>
      </c>
      <c r="W282" s="849">
        <v>0.0</v>
      </c>
      <c r="X282" s="849">
        <v>0.0</v>
      </c>
      <c r="Y282" s="849">
        <v>0.0</v>
      </c>
      <c r="Z282" s="849">
        <v>0.0</v>
      </c>
      <c r="AA282" s="849">
        <v>0.0</v>
      </c>
      <c r="AB282" s="849">
        <v>0.0</v>
      </c>
      <c r="AC282" s="849">
        <v>0.0</v>
      </c>
      <c r="AD282" s="849">
        <v>0.0</v>
      </c>
      <c r="AE282" s="849">
        <v>0.0</v>
      </c>
      <c r="AF282" s="849">
        <v>0.0</v>
      </c>
      <c r="AG282" s="849">
        <v>0.0</v>
      </c>
      <c r="AH282" s="849">
        <v>0.0</v>
      </c>
      <c r="AI282" s="849">
        <v>0.0</v>
      </c>
      <c r="AJ282" s="794" t="str">
        <f t="shared" ref="AJ282:AK282" si="561">C282</f>
        <v>G0893</v>
      </c>
      <c r="AK282" s="794" t="str">
        <f t="shared" si="561"/>
        <v>TAXES DIVERSES-LOCAT.</v>
      </c>
      <c r="AL282" s="794">
        <f t="array" ref="AL282">IFERROR(INDEX(G282:R282,1,MATCH(Parametres!$B$3,G$1:R$1,0)-1)*IF(OR(F282="L",F282="S",F282="I"),-1,1),"")</f>
        <v>0</v>
      </c>
      <c r="AM282" s="794">
        <f t="shared" si="4"/>
        <v>0</v>
      </c>
      <c r="AN282" s="794">
        <f t="array" ref="AN282">INDEX(G282:R282,1,MATCH(Parametres!$B$3,G$1:R$1,0))*IF(OR(F282="L",F282="S",F282="I"),-1,1)</f>
        <v>0</v>
      </c>
      <c r="AO282" s="853" t="str">
        <f>+VLOOKUP($AJ282,Data_Validation!$A:$D,1,0)</f>
        <v>G0893</v>
      </c>
      <c r="AP282" s="853" t="str">
        <f>+VLOOKUP($AJ282,Data_Validation!$A:$D,3,0)</f>
        <v>Wholesale autres</v>
      </c>
      <c r="AQ282" s="853" t="str">
        <f>+VLOOKUP($AJ282,Data_Validation!$A:$D,4,0)</f>
        <v>Taxes d`affaires</v>
      </c>
      <c r="AR282" s="853" t="s">
        <v>728</v>
      </c>
      <c r="AS282" s="853" t="str">
        <f>+VLOOKUP($AJ282,Data_Validation!$A:$E,5,0)</f>
        <v/>
      </c>
      <c r="AT282" s="794" t="str">
        <f t="shared" ref="AT282:AU282" si="562">C282</f>
        <v>G0893</v>
      </c>
      <c r="AU282" s="854" t="str">
        <f t="shared" si="562"/>
        <v>TAXES DIVERSES-LOCAT.</v>
      </c>
      <c r="AV282" s="794">
        <f t="array" ref="AV282">IFERROR(INDEX(V282:AG282,1,MATCH(Parametres!$B$3,V$1:AG$1,0)-1)*IF(OR(C282="L",C282="S",C282="I"),-1,1),"")</f>
        <v>0</v>
      </c>
      <c r="AW282" s="794">
        <f t="shared" si="6"/>
        <v>0</v>
      </c>
      <c r="AX282" s="794">
        <f t="array" ref="AX282">INDEX(V282:AG282,1,MATCH(Parametres!$B$3,V$1:AG$1,0))*IF(OR(C282="L",C282="S",C282="I"),-1,1)</f>
        <v>0</v>
      </c>
      <c r="AY282" s="853" t="s">
        <v>772</v>
      </c>
      <c r="AZ282" s="853" t="str">
        <f>+VLOOKUP($AJ282,Data_Validation!$A:$E,5,0)</f>
        <v/>
      </c>
    </row>
    <row r="283" ht="15.75" customHeight="1">
      <c r="A283" s="849" t="s">
        <v>1239</v>
      </c>
      <c r="B283" s="849">
        <v>2025.0</v>
      </c>
      <c r="C283" s="849" t="s">
        <v>1874</v>
      </c>
      <c r="D283" s="849" t="s">
        <v>1875</v>
      </c>
      <c r="E283" s="849" t="s">
        <v>768</v>
      </c>
      <c r="F283" s="849" t="s">
        <v>1200</v>
      </c>
      <c r="G283" s="849">
        <v>3000.0</v>
      </c>
      <c r="H283" s="849">
        <v>6000.0</v>
      </c>
      <c r="I283" s="849">
        <v>9000.0</v>
      </c>
      <c r="J283" s="849">
        <v>14972.26</v>
      </c>
      <c r="K283" s="849">
        <v>17972.26</v>
      </c>
      <c r="L283" s="849">
        <v>20972.26</v>
      </c>
      <c r="M283" s="849">
        <v>23972.26</v>
      </c>
      <c r="N283" s="849">
        <v>26972.26</v>
      </c>
      <c r="O283" s="849">
        <v>29972.26</v>
      </c>
      <c r="P283" s="849">
        <v>32972.26</v>
      </c>
      <c r="Q283" s="849">
        <v>35972.26</v>
      </c>
      <c r="R283" s="849">
        <v>38972.26</v>
      </c>
      <c r="S283" s="849">
        <v>3270.21</v>
      </c>
      <c r="T283" s="849">
        <v>3270.21</v>
      </c>
      <c r="U283" s="849">
        <v>0.0</v>
      </c>
      <c r="V283" s="849">
        <v>0.0</v>
      </c>
      <c r="W283" s="849">
        <v>0.0</v>
      </c>
      <c r="X283" s="849">
        <v>0.0</v>
      </c>
      <c r="Y283" s="849">
        <v>0.0</v>
      </c>
      <c r="Z283" s="849">
        <v>0.0</v>
      </c>
      <c r="AA283" s="849">
        <v>0.0</v>
      </c>
      <c r="AB283" s="849">
        <v>0.0</v>
      </c>
      <c r="AC283" s="849">
        <v>0.0</v>
      </c>
      <c r="AD283" s="849">
        <v>0.0</v>
      </c>
      <c r="AE283" s="849">
        <v>0.0</v>
      </c>
      <c r="AF283" s="849">
        <v>0.0</v>
      </c>
      <c r="AG283" s="849">
        <v>0.0</v>
      </c>
      <c r="AH283" s="849">
        <v>0.0</v>
      </c>
      <c r="AI283" s="849">
        <v>0.0</v>
      </c>
      <c r="AJ283" s="794" t="str">
        <f t="shared" ref="AJ283:AK283" si="563">C283</f>
        <v>G0894</v>
      </c>
      <c r="AK283" s="794" t="str">
        <f t="shared" si="563"/>
        <v>TAXES DIVERSES-SERVICE</v>
      </c>
      <c r="AL283" s="794">
        <f t="array" ref="AL283">IFERROR(INDEX(G283:R283,1,MATCH(Parametres!$B$3,G$1:R$1,0)-1)*IF(OR(F283="L",F283="S",F283="I"),-1,1),"")</f>
        <v>26972.26</v>
      </c>
      <c r="AM283" s="794">
        <f t="shared" si="4"/>
        <v>3000</v>
      </c>
      <c r="AN283" s="794">
        <f t="array" ref="AN283">INDEX(G283:R283,1,MATCH(Parametres!$B$3,G$1:R$1,0))*IF(OR(F283="L",F283="S",F283="I"),-1,1)</f>
        <v>29972.26</v>
      </c>
      <c r="AO283" s="853" t="str">
        <f>+VLOOKUP($AJ283,Data_Validation!$A:$D,1,0)</f>
        <v>G0894</v>
      </c>
      <c r="AP283" s="853" t="str">
        <f>+VLOOKUP($AJ283,Data_Validation!$A:$D,3,0)</f>
        <v>Service</v>
      </c>
      <c r="AQ283" s="853" t="str">
        <f>+VLOOKUP($AJ283,Data_Validation!$A:$D,4,0)</f>
        <v>Taxes d`affaires</v>
      </c>
      <c r="AR283" s="853" t="s">
        <v>728</v>
      </c>
      <c r="AS283" s="853" t="str">
        <f>+VLOOKUP($AJ283,Data_Validation!$A:$E,5,0)</f>
        <v/>
      </c>
      <c r="AT283" s="794" t="str">
        <f t="shared" ref="AT283:AU283" si="564">C283</f>
        <v>G0894</v>
      </c>
      <c r="AU283" s="854" t="str">
        <f t="shared" si="564"/>
        <v>TAXES DIVERSES-SERVICE</v>
      </c>
      <c r="AV283" s="794">
        <f t="array" ref="AV283">IFERROR(INDEX(V283:AG283,1,MATCH(Parametres!$B$3,V$1:AG$1,0)-1)*IF(OR(C283="L",C283="S",C283="I"),-1,1),"")</f>
        <v>0</v>
      </c>
      <c r="AW283" s="794">
        <f t="shared" si="6"/>
        <v>0</v>
      </c>
      <c r="AX283" s="794">
        <f t="array" ref="AX283">INDEX(V283:AG283,1,MATCH(Parametres!$B$3,V$1:AG$1,0))*IF(OR(C283="L",C283="S",C283="I"),-1,1)</f>
        <v>0</v>
      </c>
      <c r="AY283" s="853" t="s">
        <v>772</v>
      </c>
      <c r="AZ283" s="853" t="str">
        <f>+VLOOKUP($AJ283,Data_Validation!$A:$E,5,0)</f>
        <v/>
      </c>
    </row>
    <row r="284" ht="15.0" customHeight="1">
      <c r="A284" s="849" t="s">
        <v>1239</v>
      </c>
      <c r="B284" s="849">
        <v>2025.0</v>
      </c>
      <c r="C284" s="849" t="s">
        <v>1876</v>
      </c>
      <c r="D284" s="849" t="s">
        <v>1877</v>
      </c>
      <c r="E284" s="849" t="s">
        <v>768</v>
      </c>
      <c r="F284" s="849" t="s">
        <v>1200</v>
      </c>
      <c r="G284" s="849">
        <v>1000.0</v>
      </c>
      <c r="H284" s="849">
        <v>2000.0</v>
      </c>
      <c r="I284" s="849">
        <v>3000.0</v>
      </c>
      <c r="J284" s="849">
        <v>4990.75</v>
      </c>
      <c r="K284" s="849">
        <v>5990.75</v>
      </c>
      <c r="L284" s="849">
        <v>6990.75</v>
      </c>
      <c r="M284" s="849">
        <v>7990.75</v>
      </c>
      <c r="N284" s="849">
        <v>8990.75</v>
      </c>
      <c r="O284" s="849">
        <v>9990.75</v>
      </c>
      <c r="P284" s="849">
        <v>10990.75</v>
      </c>
      <c r="Q284" s="849">
        <v>11990.75</v>
      </c>
      <c r="R284" s="849">
        <v>12990.75</v>
      </c>
      <c r="S284" s="849">
        <v>1090.07</v>
      </c>
      <c r="T284" s="849">
        <v>1090.07</v>
      </c>
      <c r="U284" s="849">
        <v>0.0</v>
      </c>
      <c r="V284" s="849">
        <v>0.0</v>
      </c>
      <c r="W284" s="849">
        <v>0.0</v>
      </c>
      <c r="X284" s="849">
        <v>0.0</v>
      </c>
      <c r="Y284" s="849">
        <v>0.0</v>
      </c>
      <c r="Z284" s="849">
        <v>0.0</v>
      </c>
      <c r="AA284" s="849">
        <v>0.0</v>
      </c>
      <c r="AB284" s="849">
        <v>0.0</v>
      </c>
      <c r="AC284" s="849">
        <v>0.0</v>
      </c>
      <c r="AD284" s="849">
        <v>0.0</v>
      </c>
      <c r="AE284" s="849">
        <v>0.0</v>
      </c>
      <c r="AF284" s="849">
        <v>0.0</v>
      </c>
      <c r="AG284" s="849">
        <v>0.0</v>
      </c>
      <c r="AH284" s="849">
        <v>0.0</v>
      </c>
      <c r="AI284" s="849">
        <v>0.0</v>
      </c>
      <c r="AJ284" s="794" t="str">
        <f t="shared" ref="AJ284:AK284" si="565">C284</f>
        <v>G0895</v>
      </c>
      <c r="AK284" s="794" t="str">
        <f t="shared" si="565"/>
        <v>TAXES DIVERSES-CARROSS.</v>
      </c>
      <c r="AL284" s="794">
        <f t="array" ref="AL284">IFERROR(INDEX(G284:R284,1,MATCH(Parametres!$B$3,G$1:R$1,0)-1)*IF(OR(F284="L",F284="S",F284="I"),-1,1),"")</f>
        <v>8990.75</v>
      </c>
      <c r="AM284" s="794">
        <f t="shared" si="4"/>
        <v>1000</v>
      </c>
      <c r="AN284" s="794">
        <f t="array" ref="AN284">INDEX(G284:R284,1,MATCH(Parametres!$B$3,G$1:R$1,0))*IF(OR(F284="L",F284="S",F284="I"),-1,1)</f>
        <v>9990.75</v>
      </c>
      <c r="AO284" s="853" t="str">
        <f>+VLOOKUP($AJ284,Data_Validation!$A:$D,1,0)</f>
        <v>G0895</v>
      </c>
      <c r="AP284" s="853" t="str">
        <f>+VLOOKUP($AJ284,Data_Validation!$A:$D,3,0)</f>
        <v>Carrosserie</v>
      </c>
      <c r="AQ284" s="853" t="str">
        <f>+VLOOKUP($AJ284,Data_Validation!$A:$D,4,0)</f>
        <v>Taxes d`affaires</v>
      </c>
      <c r="AR284" s="853" t="s">
        <v>728</v>
      </c>
      <c r="AS284" s="853" t="str">
        <f>+VLOOKUP($AJ284,Data_Validation!$A:$E,5,0)</f>
        <v/>
      </c>
      <c r="AT284" s="794" t="str">
        <f t="shared" ref="AT284:AU284" si="566">C284</f>
        <v>G0895</v>
      </c>
      <c r="AU284" s="854" t="str">
        <f t="shared" si="566"/>
        <v>TAXES DIVERSES-CARROSS.</v>
      </c>
      <c r="AV284" s="794">
        <f t="array" ref="AV284">IFERROR(INDEX(V284:AG284,1,MATCH(Parametres!$B$3,V$1:AG$1,0)-1)*IF(OR(C284="L",C284="S",C284="I"),-1,1),"")</f>
        <v>0</v>
      </c>
      <c r="AW284" s="794">
        <f t="shared" si="6"/>
        <v>0</v>
      </c>
      <c r="AX284" s="794">
        <f t="array" ref="AX284">INDEX(V284:AG284,1,MATCH(Parametres!$B$3,V$1:AG$1,0))*IF(OR(C284="L",C284="S",C284="I"),-1,1)</f>
        <v>0</v>
      </c>
      <c r="AY284" s="853" t="s">
        <v>772</v>
      </c>
      <c r="AZ284" s="853" t="str">
        <f>+VLOOKUP($AJ284,Data_Validation!$A:$E,5,0)</f>
        <v/>
      </c>
    </row>
    <row r="285" ht="15.0" customHeight="1">
      <c r="A285" s="849" t="s">
        <v>1239</v>
      </c>
      <c r="B285" s="849">
        <v>2025.0</v>
      </c>
      <c r="C285" s="849" t="s">
        <v>1878</v>
      </c>
      <c r="D285" s="849" t="s">
        <v>1879</v>
      </c>
      <c r="E285" s="849" t="s">
        <v>768</v>
      </c>
      <c r="F285" s="849" t="s">
        <v>1200</v>
      </c>
      <c r="G285" s="849">
        <v>1000.0</v>
      </c>
      <c r="H285" s="849">
        <v>2000.0</v>
      </c>
      <c r="I285" s="849">
        <v>3000.0</v>
      </c>
      <c r="J285" s="849">
        <v>4990.75</v>
      </c>
      <c r="K285" s="849">
        <v>5990.75</v>
      </c>
      <c r="L285" s="849">
        <v>6990.75</v>
      </c>
      <c r="M285" s="849">
        <v>7990.75</v>
      </c>
      <c r="N285" s="849">
        <v>8990.75</v>
      </c>
      <c r="O285" s="849">
        <v>9990.75</v>
      </c>
      <c r="P285" s="849">
        <v>10990.75</v>
      </c>
      <c r="Q285" s="849">
        <v>11990.75</v>
      </c>
      <c r="R285" s="849">
        <v>12990.75</v>
      </c>
      <c r="S285" s="849">
        <v>1090.07</v>
      </c>
      <c r="T285" s="849">
        <v>1090.07</v>
      </c>
      <c r="U285" s="849">
        <v>0.0</v>
      </c>
      <c r="V285" s="849">
        <v>0.0</v>
      </c>
      <c r="W285" s="849">
        <v>0.0</v>
      </c>
      <c r="X285" s="849">
        <v>0.0</v>
      </c>
      <c r="Y285" s="849">
        <v>0.0</v>
      </c>
      <c r="Z285" s="849">
        <v>0.0</v>
      </c>
      <c r="AA285" s="849">
        <v>0.0</v>
      </c>
      <c r="AB285" s="849">
        <v>0.0</v>
      </c>
      <c r="AC285" s="849">
        <v>0.0</v>
      </c>
      <c r="AD285" s="849">
        <v>0.0</v>
      </c>
      <c r="AE285" s="849">
        <v>0.0</v>
      </c>
      <c r="AF285" s="849">
        <v>0.0</v>
      </c>
      <c r="AG285" s="849">
        <v>0.0</v>
      </c>
      <c r="AH285" s="849">
        <v>0.0</v>
      </c>
      <c r="AI285" s="849">
        <v>0.0</v>
      </c>
      <c r="AJ285" s="794" t="str">
        <f t="shared" ref="AJ285:AK285" si="567">C285</f>
        <v>G0896</v>
      </c>
      <c r="AK285" s="794" t="str">
        <f t="shared" si="567"/>
        <v>TAXES DIVERSES-PIECES</v>
      </c>
      <c r="AL285" s="794">
        <f t="array" ref="AL285">IFERROR(INDEX(G285:R285,1,MATCH(Parametres!$B$3,G$1:R$1,0)-1)*IF(OR(F285="L",F285="S",F285="I"),-1,1),"")</f>
        <v>8990.75</v>
      </c>
      <c r="AM285" s="794">
        <f t="shared" si="4"/>
        <v>1000</v>
      </c>
      <c r="AN285" s="794">
        <f t="array" ref="AN285">INDEX(G285:R285,1,MATCH(Parametres!$B$3,G$1:R$1,0))*IF(OR(F285="L",F285="S",F285="I"),-1,1)</f>
        <v>9990.75</v>
      </c>
      <c r="AO285" s="853" t="str">
        <f>+VLOOKUP($AJ285,Data_Validation!$A:$D,1,0)</f>
        <v>G0896</v>
      </c>
      <c r="AP285" s="853" t="str">
        <f>+VLOOKUP($AJ285,Data_Validation!$A:$D,3,0)</f>
        <v>Pièces</v>
      </c>
      <c r="AQ285" s="853" t="str">
        <f>+VLOOKUP($AJ285,Data_Validation!$A:$D,4,0)</f>
        <v>Taxes d`affaires</v>
      </c>
      <c r="AR285" s="853" t="s">
        <v>728</v>
      </c>
      <c r="AS285" s="853" t="str">
        <f>+VLOOKUP($AJ285,Data_Validation!$A:$E,5,0)</f>
        <v/>
      </c>
      <c r="AT285" s="794" t="str">
        <f t="shared" ref="AT285:AU285" si="568">C285</f>
        <v>G0896</v>
      </c>
      <c r="AU285" s="854" t="str">
        <f t="shared" si="568"/>
        <v>TAXES DIVERSES-PIECES</v>
      </c>
      <c r="AV285" s="794">
        <f t="array" ref="AV285">IFERROR(INDEX(V285:AG285,1,MATCH(Parametres!$B$3,V$1:AG$1,0)-1)*IF(OR(C285="L",C285="S",C285="I"),-1,1),"")</f>
        <v>0</v>
      </c>
      <c r="AW285" s="794">
        <f t="shared" si="6"/>
        <v>0</v>
      </c>
      <c r="AX285" s="794">
        <f t="array" ref="AX285">INDEX(V285:AG285,1,MATCH(Parametres!$B$3,V$1:AG$1,0))*IF(OR(C285="L",C285="S",C285="I"),-1,1)</f>
        <v>0</v>
      </c>
      <c r="AY285" s="853" t="s">
        <v>772</v>
      </c>
      <c r="AZ285" s="853" t="str">
        <f>+VLOOKUP($AJ285,Data_Validation!$A:$E,5,0)</f>
        <v/>
      </c>
    </row>
    <row r="286" ht="15.0" customHeight="1">
      <c r="A286" s="849" t="s">
        <v>1239</v>
      </c>
      <c r="B286" s="849">
        <v>2025.0</v>
      </c>
      <c r="C286" s="849" t="s">
        <v>1880</v>
      </c>
      <c r="D286" s="849" t="s">
        <v>1881</v>
      </c>
      <c r="E286" s="849" t="s">
        <v>768</v>
      </c>
      <c r="F286" s="849" t="s">
        <v>1200</v>
      </c>
      <c r="G286" s="849">
        <v>0.0</v>
      </c>
      <c r="H286" s="849">
        <v>0.0</v>
      </c>
      <c r="I286" s="849">
        <v>0.0</v>
      </c>
      <c r="J286" s="849">
        <v>0.0</v>
      </c>
      <c r="K286" s="849">
        <v>0.0</v>
      </c>
      <c r="L286" s="849">
        <v>0.0</v>
      </c>
      <c r="M286" s="849">
        <v>0.0</v>
      </c>
      <c r="N286" s="849">
        <v>0.0</v>
      </c>
      <c r="O286" s="849">
        <v>0.0</v>
      </c>
      <c r="P286" s="849">
        <v>0.0</v>
      </c>
      <c r="Q286" s="849">
        <v>0.0</v>
      </c>
      <c r="R286" s="849">
        <v>0.0</v>
      </c>
      <c r="S286" s="849">
        <v>0.0</v>
      </c>
      <c r="T286" s="849">
        <v>0.0</v>
      </c>
      <c r="U286" s="849">
        <v>0.0</v>
      </c>
      <c r="V286" s="849">
        <v>0.0</v>
      </c>
      <c r="W286" s="849">
        <v>0.0</v>
      </c>
      <c r="X286" s="849">
        <v>0.0</v>
      </c>
      <c r="Y286" s="849">
        <v>0.0</v>
      </c>
      <c r="Z286" s="849">
        <v>0.0</v>
      </c>
      <c r="AA286" s="849">
        <v>0.0</v>
      </c>
      <c r="AB286" s="849">
        <v>0.0</v>
      </c>
      <c r="AC286" s="849">
        <v>0.0</v>
      </c>
      <c r="AD286" s="849">
        <v>0.0</v>
      </c>
      <c r="AE286" s="849">
        <v>0.0</v>
      </c>
      <c r="AF286" s="849">
        <v>0.0</v>
      </c>
      <c r="AG286" s="849">
        <v>0.0</v>
      </c>
      <c r="AH286" s="849">
        <v>0.0</v>
      </c>
      <c r="AI286" s="849">
        <v>0.0</v>
      </c>
      <c r="AJ286" s="794" t="str">
        <f t="shared" ref="AJ286:AK286" si="569">C286</f>
        <v>G0900</v>
      </c>
      <c r="AK286" s="794" t="str">
        <f t="shared" si="569"/>
        <v>ENT &amp; REPAR.EQUIP. REP</v>
      </c>
      <c r="AL286" s="794">
        <f t="array" ref="AL286">IFERROR(INDEX(G286:R286,1,MATCH(Parametres!$B$3,G$1:R$1,0)-1)*IF(OR(F286="L",F286="S",F286="I"),-1,1),"")</f>
        <v>0</v>
      </c>
      <c r="AM286" s="794">
        <f t="shared" si="4"/>
        <v>0</v>
      </c>
      <c r="AN286" s="794">
        <f t="array" ref="AN286">INDEX(G286:R286,1,MATCH(Parametres!$B$3,G$1:R$1,0))*IF(OR(F286="L",F286="S",F286="I"),-1,1)</f>
        <v>0</v>
      </c>
      <c r="AO286" s="853" t="str">
        <f>+VLOOKUP($AJ286,Data_Validation!$A:$D,1,0)</f>
        <v>#N/A</v>
      </c>
      <c r="AP286" s="853" t="str">
        <f>+VLOOKUP($AJ286,Data_Validation!$A:$D,3,0)</f>
        <v>#N/A</v>
      </c>
      <c r="AQ286" s="853" t="str">
        <f>+VLOOKUP($AJ286,Data_Validation!$A:$D,4,0)</f>
        <v>#N/A</v>
      </c>
      <c r="AR286" s="853" t="s">
        <v>728</v>
      </c>
      <c r="AS286" s="853" t="str">
        <f>+VLOOKUP($AJ286,Data_Validation!$A:$E,5,0)</f>
        <v>#N/A</v>
      </c>
      <c r="AT286" s="794" t="str">
        <f t="shared" ref="AT286:AU286" si="570">C286</f>
        <v>G0900</v>
      </c>
      <c r="AU286" s="854" t="str">
        <f t="shared" si="570"/>
        <v>ENT &amp; REPAR.EQUIP. REP</v>
      </c>
      <c r="AV286" s="794">
        <f t="array" ref="AV286">IFERROR(INDEX(V286:AG286,1,MATCH(Parametres!$B$3,V$1:AG$1,0)-1)*IF(OR(C286="L",C286="S",C286="I"),-1,1),"")</f>
        <v>0</v>
      </c>
      <c r="AW286" s="794">
        <f t="shared" si="6"/>
        <v>0</v>
      </c>
      <c r="AX286" s="794">
        <f t="array" ref="AX286">INDEX(V286:AG286,1,MATCH(Parametres!$B$3,V$1:AG$1,0))*IF(OR(C286="L",C286="S",C286="I"),-1,1)</f>
        <v>0</v>
      </c>
      <c r="AY286" s="853" t="s">
        <v>772</v>
      </c>
      <c r="AZ286" s="853" t="str">
        <f>+VLOOKUP($AJ286,Data_Validation!$A:$E,5,0)</f>
        <v>#N/A</v>
      </c>
    </row>
    <row r="287" ht="15.75" customHeight="1">
      <c r="A287" s="849" t="s">
        <v>1239</v>
      </c>
      <c r="B287" s="849">
        <v>2025.0</v>
      </c>
      <c r="C287" s="849" t="s">
        <v>1882</v>
      </c>
      <c r="D287" s="849" t="s">
        <v>1883</v>
      </c>
      <c r="E287" s="849" t="s">
        <v>768</v>
      </c>
      <c r="F287" s="849" t="s">
        <v>1200</v>
      </c>
      <c r="G287" s="849">
        <v>356.39</v>
      </c>
      <c r="H287" s="849">
        <v>356.39</v>
      </c>
      <c r="I287" s="849">
        <v>356.39</v>
      </c>
      <c r="J287" s="849">
        <v>705.2</v>
      </c>
      <c r="K287" s="849">
        <v>705.2</v>
      </c>
      <c r="L287" s="849">
        <v>705.2</v>
      </c>
      <c r="M287" s="849">
        <v>705.2</v>
      </c>
      <c r="N287" s="849">
        <v>705.2</v>
      </c>
      <c r="O287" s="849">
        <v>1431.53</v>
      </c>
      <c r="P287" s="849">
        <v>1431.53</v>
      </c>
      <c r="Q287" s="849">
        <v>1431.53</v>
      </c>
      <c r="R287" s="849">
        <v>1431.53</v>
      </c>
      <c r="S287" s="849">
        <v>130.14</v>
      </c>
      <c r="T287" s="849">
        <v>130.14</v>
      </c>
      <c r="U287" s="849">
        <v>0.0</v>
      </c>
      <c r="V287" s="849">
        <v>0.0</v>
      </c>
      <c r="W287" s="849">
        <v>0.0</v>
      </c>
      <c r="X287" s="849">
        <v>0.0</v>
      </c>
      <c r="Y287" s="849">
        <v>0.0</v>
      </c>
      <c r="Z287" s="849">
        <v>0.0</v>
      </c>
      <c r="AA287" s="849">
        <v>0.0</v>
      </c>
      <c r="AB287" s="849">
        <v>0.0</v>
      </c>
      <c r="AC287" s="849">
        <v>0.0</v>
      </c>
      <c r="AD287" s="849">
        <v>0.0</v>
      </c>
      <c r="AE287" s="849">
        <v>0.0</v>
      </c>
      <c r="AF287" s="849">
        <v>0.0</v>
      </c>
      <c r="AG287" s="849">
        <v>0.0</v>
      </c>
      <c r="AH287" s="849">
        <v>0.0</v>
      </c>
      <c r="AI287" s="849">
        <v>0.0</v>
      </c>
      <c r="AJ287" s="794" t="str">
        <f t="shared" ref="AJ287:AK287" si="571">C287</f>
        <v>G0901</v>
      </c>
      <c r="AK287" s="794" t="str">
        <f t="shared" si="571"/>
        <v>ENT. REP. EQUIPEMENT-NEUF</v>
      </c>
      <c r="AL287" s="794">
        <f t="array" ref="AL287">IFERROR(INDEX(G287:R287,1,MATCH(Parametres!$B$3,G$1:R$1,0)-1)*IF(OR(F287="L",F287="S",F287="I"),-1,1),"")</f>
        <v>705.2</v>
      </c>
      <c r="AM287" s="794">
        <f t="shared" si="4"/>
        <v>726.33</v>
      </c>
      <c r="AN287" s="794">
        <f t="array" ref="AN287">INDEX(G287:R287,1,MATCH(Parametres!$B$3,G$1:R$1,0))*IF(OR(F287="L",F287="S",F287="I"),-1,1)</f>
        <v>1431.53</v>
      </c>
      <c r="AO287" s="853" t="str">
        <f>+VLOOKUP($AJ287,Data_Validation!$A:$D,1,0)</f>
        <v>G0901</v>
      </c>
      <c r="AP287" s="853" t="str">
        <f>+VLOOKUP($AJ287,Data_Validation!$A:$D,3,0)</f>
        <v>Véhicules neufs</v>
      </c>
      <c r="AQ287" s="853" t="str">
        <f>+VLOOKUP($AJ287,Data_Validation!$A:$D,4,0)</f>
        <v>Réparation équipement</v>
      </c>
      <c r="AR287" s="853" t="s">
        <v>728</v>
      </c>
      <c r="AS287" s="853" t="str">
        <f>+VLOOKUP($AJ287,Data_Validation!$A:$E,5,0)</f>
        <v/>
      </c>
      <c r="AT287" s="794" t="str">
        <f t="shared" ref="AT287:AU287" si="572">C287</f>
        <v>G0901</v>
      </c>
      <c r="AU287" s="854" t="str">
        <f t="shared" si="572"/>
        <v>ENT. REP. EQUIPEMENT-NEUF</v>
      </c>
      <c r="AV287" s="794">
        <f t="array" ref="AV287">IFERROR(INDEX(V287:AG287,1,MATCH(Parametres!$B$3,V$1:AG$1,0)-1)*IF(OR(C287="L",C287="S",C287="I"),-1,1),"")</f>
        <v>0</v>
      </c>
      <c r="AW287" s="794">
        <f t="shared" si="6"/>
        <v>0</v>
      </c>
      <c r="AX287" s="794">
        <f t="array" ref="AX287">INDEX(V287:AG287,1,MATCH(Parametres!$B$3,V$1:AG$1,0))*IF(OR(C287="L",C287="S",C287="I"),-1,1)</f>
        <v>0</v>
      </c>
      <c r="AY287" s="853" t="s">
        <v>772</v>
      </c>
      <c r="AZ287" s="853" t="str">
        <f>+VLOOKUP($AJ287,Data_Validation!$A:$E,5,0)</f>
        <v/>
      </c>
    </row>
    <row r="288" ht="15.0" customHeight="1">
      <c r="A288" s="849" t="s">
        <v>1239</v>
      </c>
      <c r="B288" s="849">
        <v>2025.0</v>
      </c>
      <c r="C288" s="849" t="s">
        <v>1884</v>
      </c>
      <c r="D288" s="849" t="s">
        <v>1885</v>
      </c>
      <c r="E288" s="849" t="s">
        <v>768</v>
      </c>
      <c r="F288" s="849" t="s">
        <v>1200</v>
      </c>
      <c r="G288" s="849">
        <v>0.0</v>
      </c>
      <c r="H288" s="849">
        <v>0.0</v>
      </c>
      <c r="I288" s="849">
        <v>0.0</v>
      </c>
      <c r="J288" s="849">
        <v>0.0</v>
      </c>
      <c r="K288" s="849">
        <v>0.0</v>
      </c>
      <c r="L288" s="849">
        <v>0.0</v>
      </c>
      <c r="M288" s="849">
        <v>0.0</v>
      </c>
      <c r="N288" s="849">
        <v>0.0</v>
      </c>
      <c r="O288" s="849">
        <v>0.0</v>
      </c>
      <c r="P288" s="849">
        <v>0.0</v>
      </c>
      <c r="Q288" s="849">
        <v>0.0</v>
      </c>
      <c r="R288" s="849">
        <v>0.0</v>
      </c>
      <c r="S288" s="849">
        <v>0.0</v>
      </c>
      <c r="T288" s="849">
        <v>0.0</v>
      </c>
      <c r="U288" s="849">
        <v>0.0</v>
      </c>
      <c r="V288" s="849">
        <v>0.0</v>
      </c>
      <c r="W288" s="849">
        <v>0.0</v>
      </c>
      <c r="X288" s="849">
        <v>0.0</v>
      </c>
      <c r="Y288" s="849">
        <v>0.0</v>
      </c>
      <c r="Z288" s="849">
        <v>0.0</v>
      </c>
      <c r="AA288" s="849">
        <v>0.0</v>
      </c>
      <c r="AB288" s="849">
        <v>0.0</v>
      </c>
      <c r="AC288" s="849">
        <v>0.0</v>
      </c>
      <c r="AD288" s="849">
        <v>0.0</v>
      </c>
      <c r="AE288" s="849">
        <v>0.0</v>
      </c>
      <c r="AF288" s="849">
        <v>0.0</v>
      </c>
      <c r="AG288" s="849">
        <v>0.0</v>
      </c>
      <c r="AH288" s="849">
        <v>0.0</v>
      </c>
      <c r="AI288" s="849">
        <v>0.0</v>
      </c>
      <c r="AJ288" s="794" t="str">
        <f t="shared" ref="AJ288:AK288" si="573">C288</f>
        <v>G0902</v>
      </c>
      <c r="AK288" s="794" t="str">
        <f t="shared" si="573"/>
        <v>ENT. REP. EQUIPEMENT-USAG</v>
      </c>
      <c r="AL288" s="794">
        <f t="array" ref="AL288">IFERROR(INDEX(G288:R288,1,MATCH(Parametres!$B$3,G$1:R$1,0)-1)*IF(OR(F288="L",F288="S",F288="I"),-1,1),"")</f>
        <v>0</v>
      </c>
      <c r="AM288" s="794">
        <f t="shared" si="4"/>
        <v>0</v>
      </c>
      <c r="AN288" s="794">
        <f t="array" ref="AN288">INDEX(G288:R288,1,MATCH(Parametres!$B$3,G$1:R$1,0))*IF(OR(F288="L",F288="S",F288="I"),-1,1)</f>
        <v>0</v>
      </c>
      <c r="AO288" s="853" t="str">
        <f>+VLOOKUP($AJ288,Data_Validation!$A:$D,1,0)</f>
        <v>G0902</v>
      </c>
      <c r="AP288" s="853" t="str">
        <f>+VLOOKUP($AJ288,Data_Validation!$A:$D,3,0)</f>
        <v>Véhicules usagés</v>
      </c>
      <c r="AQ288" s="853" t="str">
        <f>+VLOOKUP($AJ288,Data_Validation!$A:$D,4,0)</f>
        <v>Réparation équipement</v>
      </c>
      <c r="AR288" s="853" t="s">
        <v>728</v>
      </c>
      <c r="AS288" s="853" t="str">
        <f>+VLOOKUP($AJ288,Data_Validation!$A:$E,5,0)</f>
        <v/>
      </c>
      <c r="AT288" s="794" t="str">
        <f t="shared" ref="AT288:AU288" si="574">C288</f>
        <v>G0902</v>
      </c>
      <c r="AU288" s="854" t="str">
        <f t="shared" si="574"/>
        <v>ENT. REP. EQUIPEMENT-USAG</v>
      </c>
      <c r="AV288" s="794">
        <f t="array" ref="AV288">IFERROR(INDEX(V288:AG288,1,MATCH(Parametres!$B$3,V$1:AG$1,0)-1)*IF(OR(C288="L",C288="S",C288="I"),-1,1),"")</f>
        <v>0</v>
      </c>
      <c r="AW288" s="794">
        <f t="shared" si="6"/>
        <v>0</v>
      </c>
      <c r="AX288" s="794">
        <f t="array" ref="AX288">INDEX(V288:AG288,1,MATCH(Parametres!$B$3,V$1:AG$1,0))*IF(OR(C288="L",C288="S",C288="I"),-1,1)</f>
        <v>0</v>
      </c>
      <c r="AY288" s="853" t="s">
        <v>772</v>
      </c>
      <c r="AZ288" s="853" t="str">
        <f>+VLOOKUP($AJ288,Data_Validation!$A:$E,5,0)</f>
        <v/>
      </c>
    </row>
    <row r="289" ht="15.0" customHeight="1">
      <c r="A289" s="849" t="s">
        <v>1239</v>
      </c>
      <c r="B289" s="849">
        <v>2025.0</v>
      </c>
      <c r="C289" s="849" t="s">
        <v>1886</v>
      </c>
      <c r="D289" s="849" t="s">
        <v>1887</v>
      </c>
      <c r="E289" s="849" t="s">
        <v>768</v>
      </c>
      <c r="F289" s="849" t="s">
        <v>1200</v>
      </c>
      <c r="G289" s="849">
        <v>5009.39</v>
      </c>
      <c r="H289" s="849">
        <v>8167.93</v>
      </c>
      <c r="I289" s="849">
        <v>10210.67</v>
      </c>
      <c r="J289" s="849">
        <v>15995.7</v>
      </c>
      <c r="K289" s="849">
        <v>17204.39</v>
      </c>
      <c r="L289" s="849">
        <v>20757.7</v>
      </c>
      <c r="M289" s="849">
        <v>23008.45</v>
      </c>
      <c r="N289" s="849">
        <v>25841.35</v>
      </c>
      <c r="O289" s="849">
        <v>34175.3</v>
      </c>
      <c r="P289" s="849">
        <v>35023.85</v>
      </c>
      <c r="Q289" s="849">
        <v>40914.0</v>
      </c>
      <c r="R289" s="849">
        <v>44982.5</v>
      </c>
      <c r="S289" s="849">
        <v>3719.45</v>
      </c>
      <c r="T289" s="849">
        <v>3719.45</v>
      </c>
      <c r="U289" s="849">
        <v>0.0</v>
      </c>
      <c r="V289" s="849">
        <v>0.0</v>
      </c>
      <c r="W289" s="849">
        <v>0.0</v>
      </c>
      <c r="X289" s="849">
        <v>0.0</v>
      </c>
      <c r="Y289" s="849">
        <v>0.0</v>
      </c>
      <c r="Z289" s="849">
        <v>0.0</v>
      </c>
      <c r="AA289" s="849">
        <v>0.0</v>
      </c>
      <c r="AB289" s="849">
        <v>0.0</v>
      </c>
      <c r="AC289" s="849">
        <v>0.0</v>
      </c>
      <c r="AD289" s="849">
        <v>0.0</v>
      </c>
      <c r="AE289" s="849">
        <v>0.0</v>
      </c>
      <c r="AF289" s="849">
        <v>0.0</v>
      </c>
      <c r="AG289" s="849">
        <v>0.0</v>
      </c>
      <c r="AH289" s="849">
        <v>0.0</v>
      </c>
      <c r="AI289" s="849">
        <v>0.0</v>
      </c>
      <c r="AJ289" s="794" t="str">
        <f t="shared" ref="AJ289:AK289" si="575">C289</f>
        <v>G0904</v>
      </c>
      <c r="AK289" s="794" t="str">
        <f t="shared" si="575"/>
        <v>ENT. REP. EQUIPEMENT-SERV</v>
      </c>
      <c r="AL289" s="794">
        <f t="array" ref="AL289">IFERROR(INDEX(G289:R289,1,MATCH(Parametres!$B$3,G$1:R$1,0)-1)*IF(OR(F289="L",F289="S",F289="I"),-1,1),"")</f>
        <v>25841.35</v>
      </c>
      <c r="AM289" s="794">
        <f t="shared" si="4"/>
        <v>8333.95</v>
      </c>
      <c r="AN289" s="794">
        <f t="array" ref="AN289">INDEX(G289:R289,1,MATCH(Parametres!$B$3,G$1:R$1,0))*IF(OR(F289="L",F289="S",F289="I"),-1,1)</f>
        <v>34175.3</v>
      </c>
      <c r="AO289" s="853" t="str">
        <f>+VLOOKUP($AJ289,Data_Validation!$A:$D,1,0)</f>
        <v>G0904</v>
      </c>
      <c r="AP289" s="853" t="str">
        <f>+VLOOKUP($AJ289,Data_Validation!$A:$D,3,0)</f>
        <v>Service</v>
      </c>
      <c r="AQ289" s="853" t="str">
        <f>+VLOOKUP($AJ289,Data_Validation!$A:$D,4,0)</f>
        <v>Réparation équipement</v>
      </c>
      <c r="AR289" s="853" t="s">
        <v>728</v>
      </c>
      <c r="AS289" s="853" t="str">
        <f>+VLOOKUP($AJ289,Data_Validation!$A:$E,5,0)</f>
        <v/>
      </c>
      <c r="AT289" s="794" t="str">
        <f t="shared" ref="AT289:AU289" si="576">C289</f>
        <v>G0904</v>
      </c>
      <c r="AU289" s="854" t="str">
        <f t="shared" si="576"/>
        <v>ENT. REP. EQUIPEMENT-SERV</v>
      </c>
      <c r="AV289" s="794">
        <f t="array" ref="AV289">IFERROR(INDEX(V289:AG289,1,MATCH(Parametres!$B$3,V$1:AG$1,0)-1)*IF(OR(C289="L",C289="S",C289="I"),-1,1),"")</f>
        <v>0</v>
      </c>
      <c r="AW289" s="794">
        <f t="shared" si="6"/>
        <v>0</v>
      </c>
      <c r="AX289" s="794">
        <f t="array" ref="AX289">INDEX(V289:AG289,1,MATCH(Parametres!$B$3,V$1:AG$1,0))*IF(OR(C289="L",C289="S",C289="I"),-1,1)</f>
        <v>0</v>
      </c>
      <c r="AY289" s="853" t="s">
        <v>772</v>
      </c>
      <c r="AZ289" s="853" t="str">
        <f>+VLOOKUP($AJ289,Data_Validation!$A:$E,5,0)</f>
        <v/>
      </c>
    </row>
    <row r="290" ht="15.0" customHeight="1">
      <c r="A290" s="849" t="s">
        <v>1239</v>
      </c>
      <c r="B290" s="849">
        <v>2025.0</v>
      </c>
      <c r="C290" s="849" t="s">
        <v>1888</v>
      </c>
      <c r="D290" s="849" t="s">
        <v>1889</v>
      </c>
      <c r="E290" s="849" t="s">
        <v>768</v>
      </c>
      <c r="F290" s="849" t="s">
        <v>1200</v>
      </c>
      <c r="G290" s="849">
        <v>0.0</v>
      </c>
      <c r="H290" s="849">
        <v>0.0</v>
      </c>
      <c r="I290" s="849">
        <v>5498.75</v>
      </c>
      <c r="J290" s="849">
        <v>5498.75</v>
      </c>
      <c r="K290" s="849">
        <v>5498.75</v>
      </c>
      <c r="L290" s="849">
        <v>8031.51</v>
      </c>
      <c r="M290" s="849">
        <v>11738.77</v>
      </c>
      <c r="N290" s="849">
        <v>13373.27</v>
      </c>
      <c r="O290" s="849">
        <v>15765.02</v>
      </c>
      <c r="P290" s="849">
        <v>29022.07</v>
      </c>
      <c r="Q290" s="849">
        <v>29764.07</v>
      </c>
      <c r="R290" s="849">
        <v>33334.8</v>
      </c>
      <c r="S290" s="849">
        <v>2705.82</v>
      </c>
      <c r="T290" s="849">
        <v>2705.82</v>
      </c>
      <c r="U290" s="849">
        <v>0.0</v>
      </c>
      <c r="V290" s="849">
        <v>0.0</v>
      </c>
      <c r="W290" s="849">
        <v>0.0</v>
      </c>
      <c r="X290" s="849">
        <v>0.0</v>
      </c>
      <c r="Y290" s="849">
        <v>0.0</v>
      </c>
      <c r="Z290" s="849">
        <v>0.0</v>
      </c>
      <c r="AA290" s="849">
        <v>0.0</v>
      </c>
      <c r="AB290" s="849">
        <v>0.0</v>
      </c>
      <c r="AC290" s="849">
        <v>0.0</v>
      </c>
      <c r="AD290" s="849">
        <v>0.0</v>
      </c>
      <c r="AE290" s="849">
        <v>0.0</v>
      </c>
      <c r="AF290" s="849">
        <v>0.0</v>
      </c>
      <c r="AG290" s="849">
        <v>0.0</v>
      </c>
      <c r="AH290" s="849">
        <v>0.0</v>
      </c>
      <c r="AI290" s="849">
        <v>0.0</v>
      </c>
      <c r="AJ290" s="794" t="str">
        <f t="shared" ref="AJ290:AK290" si="577">C290</f>
        <v>G0905</v>
      </c>
      <c r="AK290" s="794" t="str">
        <f t="shared" si="577"/>
        <v>ENT. REP. EQUIPEMENT-CARR</v>
      </c>
      <c r="AL290" s="794">
        <f t="array" ref="AL290">IFERROR(INDEX(G290:R290,1,MATCH(Parametres!$B$3,G$1:R$1,0)-1)*IF(OR(F290="L",F290="S",F290="I"),-1,1),"")</f>
        <v>13373.27</v>
      </c>
      <c r="AM290" s="794">
        <f t="shared" si="4"/>
        <v>2391.75</v>
      </c>
      <c r="AN290" s="794">
        <f t="array" ref="AN290">INDEX(G290:R290,1,MATCH(Parametres!$B$3,G$1:R$1,0))*IF(OR(F290="L",F290="S",F290="I"),-1,1)</f>
        <v>15765.02</v>
      </c>
      <c r="AO290" s="853" t="str">
        <f>+VLOOKUP($AJ290,Data_Validation!$A:$D,1,0)</f>
        <v>G0905</v>
      </c>
      <c r="AP290" s="853" t="str">
        <f>+VLOOKUP($AJ290,Data_Validation!$A:$D,3,0)</f>
        <v>Carrosserie</v>
      </c>
      <c r="AQ290" s="853" t="str">
        <f>+VLOOKUP($AJ290,Data_Validation!$A:$D,4,0)</f>
        <v>Réparation équipement</v>
      </c>
      <c r="AR290" s="853" t="s">
        <v>728</v>
      </c>
      <c r="AS290" s="853" t="str">
        <f>+VLOOKUP($AJ290,Data_Validation!$A:$E,5,0)</f>
        <v/>
      </c>
      <c r="AT290" s="794" t="str">
        <f t="shared" ref="AT290:AU290" si="578">C290</f>
        <v>G0905</v>
      </c>
      <c r="AU290" s="854" t="str">
        <f t="shared" si="578"/>
        <v>ENT. REP. EQUIPEMENT-CARR</v>
      </c>
      <c r="AV290" s="794">
        <f t="array" ref="AV290">IFERROR(INDEX(V290:AG290,1,MATCH(Parametres!$B$3,V$1:AG$1,0)-1)*IF(OR(C290="L",C290="S",C290="I"),-1,1),"")</f>
        <v>0</v>
      </c>
      <c r="AW290" s="794">
        <f t="shared" si="6"/>
        <v>0</v>
      </c>
      <c r="AX290" s="794">
        <f t="array" ref="AX290">INDEX(V290:AG290,1,MATCH(Parametres!$B$3,V$1:AG$1,0))*IF(OR(C290="L",C290="S",C290="I"),-1,1)</f>
        <v>0</v>
      </c>
      <c r="AY290" s="853" t="s">
        <v>772</v>
      </c>
      <c r="AZ290" s="853" t="str">
        <f>+VLOOKUP($AJ290,Data_Validation!$A:$E,5,0)</f>
        <v/>
      </c>
    </row>
    <row r="291" ht="15.75" customHeight="1">
      <c r="A291" s="849" t="s">
        <v>1239</v>
      </c>
      <c r="B291" s="849">
        <v>2025.0</v>
      </c>
      <c r="C291" s="849" t="s">
        <v>1890</v>
      </c>
      <c r="D291" s="849" t="s">
        <v>1891</v>
      </c>
      <c r="E291" s="849" t="s">
        <v>768</v>
      </c>
      <c r="F291" s="849" t="s">
        <v>1200</v>
      </c>
      <c r="G291" s="849">
        <v>0.0</v>
      </c>
      <c r="H291" s="849">
        <v>0.0</v>
      </c>
      <c r="I291" s="849">
        <v>0.0</v>
      </c>
      <c r="J291" s="849">
        <v>0.0</v>
      </c>
      <c r="K291" s="849">
        <v>0.0</v>
      </c>
      <c r="L291" s="849">
        <v>1615.42</v>
      </c>
      <c r="M291" s="849">
        <v>1615.42</v>
      </c>
      <c r="N291" s="849">
        <v>1615.42</v>
      </c>
      <c r="O291" s="849">
        <v>1851.16</v>
      </c>
      <c r="P291" s="849">
        <v>1851.16</v>
      </c>
      <c r="Q291" s="849">
        <v>1851.16</v>
      </c>
      <c r="R291" s="849">
        <v>1851.16</v>
      </c>
      <c r="S291" s="849">
        <v>168.29</v>
      </c>
      <c r="T291" s="849">
        <v>168.29</v>
      </c>
      <c r="U291" s="849">
        <v>0.0</v>
      </c>
      <c r="V291" s="849">
        <v>0.0</v>
      </c>
      <c r="W291" s="849">
        <v>0.0</v>
      </c>
      <c r="X291" s="849">
        <v>0.0</v>
      </c>
      <c r="Y291" s="849">
        <v>0.0</v>
      </c>
      <c r="Z291" s="849">
        <v>0.0</v>
      </c>
      <c r="AA291" s="849">
        <v>0.0</v>
      </c>
      <c r="AB291" s="849">
        <v>0.0</v>
      </c>
      <c r="AC291" s="849">
        <v>0.0</v>
      </c>
      <c r="AD291" s="849">
        <v>0.0</v>
      </c>
      <c r="AE291" s="849">
        <v>0.0</v>
      </c>
      <c r="AF291" s="849">
        <v>0.0</v>
      </c>
      <c r="AG291" s="849">
        <v>0.0</v>
      </c>
      <c r="AH291" s="849">
        <v>0.0</v>
      </c>
      <c r="AI291" s="849">
        <v>0.0</v>
      </c>
      <c r="AJ291" s="794" t="str">
        <f t="shared" ref="AJ291:AK291" si="579">C291</f>
        <v>G0906</v>
      </c>
      <c r="AK291" s="794" t="str">
        <f t="shared" si="579"/>
        <v>ENT. REP. EQUIPEMENT-PCES</v>
      </c>
      <c r="AL291" s="794">
        <f t="array" ref="AL291">IFERROR(INDEX(G291:R291,1,MATCH(Parametres!$B$3,G$1:R$1,0)-1)*IF(OR(F291="L",F291="S",F291="I"),-1,1),"")</f>
        <v>1615.42</v>
      </c>
      <c r="AM291" s="794">
        <f t="shared" si="4"/>
        <v>235.74</v>
      </c>
      <c r="AN291" s="794">
        <f t="array" ref="AN291">INDEX(G291:R291,1,MATCH(Parametres!$B$3,G$1:R$1,0))*IF(OR(F291="L",F291="S",F291="I"),-1,1)</f>
        <v>1851.16</v>
      </c>
      <c r="AO291" s="853" t="str">
        <f>+VLOOKUP($AJ291,Data_Validation!$A:$D,1,0)</f>
        <v>G0906</v>
      </c>
      <c r="AP291" s="853" t="str">
        <f>+VLOOKUP($AJ291,Data_Validation!$A:$D,3,0)</f>
        <v>Pièces</v>
      </c>
      <c r="AQ291" s="853" t="str">
        <f>+VLOOKUP($AJ291,Data_Validation!$A:$D,4,0)</f>
        <v>Réparation équipement</v>
      </c>
      <c r="AR291" s="853" t="s">
        <v>728</v>
      </c>
      <c r="AS291" s="853" t="str">
        <f>+VLOOKUP($AJ291,Data_Validation!$A:$E,5,0)</f>
        <v/>
      </c>
      <c r="AT291" s="794" t="str">
        <f t="shared" ref="AT291:AU291" si="580">C291</f>
        <v>G0906</v>
      </c>
      <c r="AU291" s="854" t="str">
        <f t="shared" si="580"/>
        <v>ENT. REP. EQUIPEMENT-PCES</v>
      </c>
      <c r="AV291" s="794">
        <f t="array" ref="AV291">IFERROR(INDEX(V291:AG291,1,MATCH(Parametres!$B$3,V$1:AG$1,0)-1)*IF(OR(C291="L",C291="S",C291="I"),-1,1),"")</f>
        <v>0</v>
      </c>
      <c r="AW291" s="794">
        <f t="shared" si="6"/>
        <v>0</v>
      </c>
      <c r="AX291" s="794">
        <f t="array" ref="AX291">INDEX(V291:AG291,1,MATCH(Parametres!$B$3,V$1:AG$1,0))*IF(OR(C291="L",C291="S",C291="I"),-1,1)</f>
        <v>0</v>
      </c>
      <c r="AY291" s="853" t="s">
        <v>772</v>
      </c>
      <c r="AZ291" s="853" t="str">
        <f>+VLOOKUP($AJ291,Data_Validation!$A:$E,5,0)</f>
        <v/>
      </c>
    </row>
    <row r="292" ht="15.0" customHeight="1">
      <c r="A292" s="849" t="s">
        <v>1239</v>
      </c>
      <c r="B292" s="849">
        <v>2025.0</v>
      </c>
      <c r="C292" s="849" t="s">
        <v>1894</v>
      </c>
      <c r="D292" s="849" t="s">
        <v>1895</v>
      </c>
      <c r="E292" s="849" t="s">
        <v>768</v>
      </c>
      <c r="F292" s="849" t="s">
        <v>1200</v>
      </c>
      <c r="G292" s="849">
        <v>0.0</v>
      </c>
      <c r="H292" s="849">
        <v>0.0</v>
      </c>
      <c r="I292" s="849">
        <v>0.0</v>
      </c>
      <c r="J292" s="849">
        <v>0.0</v>
      </c>
      <c r="K292" s="849">
        <v>0.0</v>
      </c>
      <c r="L292" s="849">
        <v>0.0</v>
      </c>
      <c r="M292" s="849">
        <v>0.0</v>
      </c>
      <c r="N292" s="849">
        <v>0.0</v>
      </c>
      <c r="O292" s="849">
        <v>0.0</v>
      </c>
      <c r="P292" s="849">
        <v>0.0</v>
      </c>
      <c r="Q292" s="849">
        <v>0.0</v>
      </c>
      <c r="R292" s="849">
        <v>0.0</v>
      </c>
      <c r="S292" s="849">
        <v>0.0</v>
      </c>
      <c r="T292" s="849">
        <v>0.0</v>
      </c>
      <c r="U292" s="849">
        <v>0.0</v>
      </c>
      <c r="V292" s="849">
        <v>0.0</v>
      </c>
      <c r="W292" s="849">
        <v>0.0</v>
      </c>
      <c r="X292" s="849">
        <v>0.0</v>
      </c>
      <c r="Y292" s="849">
        <v>0.0</v>
      </c>
      <c r="Z292" s="849">
        <v>0.0</v>
      </c>
      <c r="AA292" s="849">
        <v>0.0</v>
      </c>
      <c r="AB292" s="849">
        <v>0.0</v>
      </c>
      <c r="AC292" s="849">
        <v>0.0</v>
      </c>
      <c r="AD292" s="849">
        <v>0.0</v>
      </c>
      <c r="AE292" s="849">
        <v>0.0</v>
      </c>
      <c r="AF292" s="849">
        <v>0.0</v>
      </c>
      <c r="AG292" s="849">
        <v>0.0</v>
      </c>
      <c r="AH292" s="849">
        <v>0.0</v>
      </c>
      <c r="AI292" s="849">
        <v>0.0</v>
      </c>
      <c r="AJ292" s="794" t="str">
        <f t="shared" ref="AJ292:AK292" si="581">C292</f>
        <v>G0910</v>
      </c>
      <c r="AK292" s="794" t="str">
        <f t="shared" si="581"/>
        <v>AMORT. EQUIPEMENT REP.</v>
      </c>
      <c r="AL292" s="794">
        <f t="array" ref="AL292">IFERROR(INDEX(G292:R292,1,MATCH(Parametres!$B$3,G$1:R$1,0)-1)*IF(OR(F292="L",F292="S",F292="I"),-1,1),"")</f>
        <v>0</v>
      </c>
      <c r="AM292" s="794">
        <f t="shared" si="4"/>
        <v>0</v>
      </c>
      <c r="AN292" s="794">
        <f t="array" ref="AN292">INDEX(G292:R292,1,MATCH(Parametres!$B$3,G$1:R$1,0))*IF(OR(F292="L",F292="S",F292="I"),-1,1)</f>
        <v>0</v>
      </c>
      <c r="AO292" s="853" t="str">
        <f>+VLOOKUP($AJ292,Data_Validation!$A:$D,1,0)</f>
        <v>#N/A</v>
      </c>
      <c r="AP292" s="853" t="str">
        <f>+VLOOKUP($AJ292,Data_Validation!$A:$D,3,0)</f>
        <v>#N/A</v>
      </c>
      <c r="AQ292" s="853" t="str">
        <f>+VLOOKUP($AJ292,Data_Validation!$A:$D,4,0)</f>
        <v>#N/A</v>
      </c>
      <c r="AR292" s="853" t="s">
        <v>728</v>
      </c>
      <c r="AS292" s="853" t="str">
        <f>+VLOOKUP($AJ292,Data_Validation!$A:$E,5,0)</f>
        <v>#N/A</v>
      </c>
      <c r="AT292" s="794" t="str">
        <f t="shared" ref="AT292:AU292" si="582">C292</f>
        <v>G0910</v>
      </c>
      <c r="AU292" s="854" t="str">
        <f t="shared" si="582"/>
        <v>AMORT. EQUIPEMENT REP.</v>
      </c>
      <c r="AV292" s="794">
        <f t="array" ref="AV292">IFERROR(INDEX(V292:AG292,1,MATCH(Parametres!$B$3,V$1:AG$1,0)-1)*IF(OR(C292="L",C292="S",C292="I"),-1,1),"")</f>
        <v>0</v>
      </c>
      <c r="AW292" s="794">
        <f t="shared" si="6"/>
        <v>0</v>
      </c>
      <c r="AX292" s="794">
        <f t="array" ref="AX292">INDEX(V292:AG292,1,MATCH(Parametres!$B$3,V$1:AG$1,0))*IF(OR(C292="L",C292="S",C292="I"),-1,1)</f>
        <v>0</v>
      </c>
      <c r="AY292" s="853" t="s">
        <v>772</v>
      </c>
      <c r="AZ292" s="853" t="str">
        <f>+VLOOKUP($AJ292,Data_Validation!$A:$E,5,0)</f>
        <v>#N/A</v>
      </c>
    </row>
    <row r="293" ht="15.0" customHeight="1">
      <c r="A293" s="849" t="s">
        <v>1239</v>
      </c>
      <c r="B293" s="849">
        <v>2025.0</v>
      </c>
      <c r="C293" s="849" t="s">
        <v>1896</v>
      </c>
      <c r="D293" s="849" t="s">
        <v>1897</v>
      </c>
      <c r="E293" s="849" t="s">
        <v>768</v>
      </c>
      <c r="F293" s="849" t="s">
        <v>1200</v>
      </c>
      <c r="G293" s="849">
        <v>3193.95</v>
      </c>
      <c r="H293" s="849">
        <v>6387.9</v>
      </c>
      <c r="I293" s="849">
        <v>9581.85</v>
      </c>
      <c r="J293" s="849">
        <v>13870.19</v>
      </c>
      <c r="K293" s="849">
        <v>17064.14</v>
      </c>
      <c r="L293" s="849">
        <v>20258.09</v>
      </c>
      <c r="M293" s="849">
        <v>23680.3</v>
      </c>
      <c r="N293" s="849">
        <v>26874.25</v>
      </c>
      <c r="O293" s="849">
        <v>30068.2</v>
      </c>
      <c r="P293" s="849">
        <v>33268.51</v>
      </c>
      <c r="Q293" s="849">
        <v>36718.29</v>
      </c>
      <c r="R293" s="849">
        <v>39912.24</v>
      </c>
      <c r="S293" s="849">
        <v>3338.03</v>
      </c>
      <c r="T293" s="849">
        <v>3338.03</v>
      </c>
      <c r="U293" s="849">
        <v>0.0</v>
      </c>
      <c r="V293" s="849">
        <v>0.0</v>
      </c>
      <c r="W293" s="849">
        <v>0.0</v>
      </c>
      <c r="X293" s="849">
        <v>0.0</v>
      </c>
      <c r="Y293" s="849">
        <v>0.0</v>
      </c>
      <c r="Z293" s="849">
        <v>0.0</v>
      </c>
      <c r="AA293" s="849">
        <v>0.0</v>
      </c>
      <c r="AB293" s="849">
        <v>0.0</v>
      </c>
      <c r="AC293" s="849">
        <v>0.0</v>
      </c>
      <c r="AD293" s="849">
        <v>0.0</v>
      </c>
      <c r="AE293" s="849">
        <v>0.0</v>
      </c>
      <c r="AF293" s="849">
        <v>0.0</v>
      </c>
      <c r="AG293" s="849">
        <v>0.0</v>
      </c>
      <c r="AH293" s="849">
        <v>0.0</v>
      </c>
      <c r="AI293" s="849">
        <v>0.0</v>
      </c>
      <c r="AJ293" s="794" t="str">
        <f t="shared" ref="AJ293:AK293" si="583">C293</f>
        <v>G0911</v>
      </c>
      <c r="AK293" s="794" t="str">
        <f t="shared" si="583"/>
        <v>AMORT. EQUIPEMENT-NEUFS</v>
      </c>
      <c r="AL293" s="794">
        <f t="array" ref="AL293">IFERROR(INDEX(G293:R293,1,MATCH(Parametres!$B$3,G$1:R$1,0)-1)*IF(OR(F293="L",F293="S",F293="I"),-1,1),"")</f>
        <v>26874.25</v>
      </c>
      <c r="AM293" s="794">
        <f t="shared" si="4"/>
        <v>3193.95</v>
      </c>
      <c r="AN293" s="794">
        <f t="array" ref="AN293">INDEX(G293:R293,1,MATCH(Parametres!$B$3,G$1:R$1,0))*IF(OR(F293="L",F293="S",F293="I"),-1,1)</f>
        <v>30068.2</v>
      </c>
      <c r="AO293" s="853" t="str">
        <f>+VLOOKUP($AJ293,Data_Validation!$A:$D,1,0)</f>
        <v>G0911</v>
      </c>
      <c r="AP293" s="853" t="str">
        <f>+VLOOKUP($AJ293,Data_Validation!$A:$D,3,0)</f>
        <v>Véhicules neufs</v>
      </c>
      <c r="AQ293" s="853" t="str">
        <f>+VLOOKUP($AJ293,Data_Validation!$A:$D,4,0)</f>
        <v>Amortissement</v>
      </c>
      <c r="AR293" s="853" t="s">
        <v>728</v>
      </c>
      <c r="AS293" s="853" t="str">
        <f>+VLOOKUP($AJ293,Data_Validation!$A:$E,5,0)</f>
        <v/>
      </c>
      <c r="AT293" s="794" t="str">
        <f t="shared" ref="AT293:AU293" si="584">C293</f>
        <v>G0911</v>
      </c>
      <c r="AU293" s="854" t="str">
        <f t="shared" si="584"/>
        <v>AMORT. EQUIPEMENT-NEUFS</v>
      </c>
      <c r="AV293" s="794">
        <f t="array" ref="AV293">IFERROR(INDEX(V293:AG293,1,MATCH(Parametres!$B$3,V$1:AG$1,0)-1)*IF(OR(C293="L",C293="S",C293="I"),-1,1),"")</f>
        <v>0</v>
      </c>
      <c r="AW293" s="794">
        <f t="shared" si="6"/>
        <v>0</v>
      </c>
      <c r="AX293" s="794">
        <f t="array" ref="AX293">INDEX(V293:AG293,1,MATCH(Parametres!$B$3,V$1:AG$1,0))*IF(OR(C293="L",C293="S",C293="I"),-1,1)</f>
        <v>0</v>
      </c>
      <c r="AY293" s="853" t="s">
        <v>772</v>
      </c>
      <c r="AZ293" s="853" t="str">
        <f>+VLOOKUP($AJ293,Data_Validation!$A:$E,5,0)</f>
        <v/>
      </c>
    </row>
    <row r="294" ht="15.0" customHeight="1">
      <c r="A294" s="849" t="s">
        <v>1239</v>
      </c>
      <c r="B294" s="849">
        <v>2025.0</v>
      </c>
      <c r="C294" s="849" t="s">
        <v>1898</v>
      </c>
      <c r="D294" s="849" t="s">
        <v>1899</v>
      </c>
      <c r="E294" s="849" t="s">
        <v>768</v>
      </c>
      <c r="F294" s="849" t="s">
        <v>1200</v>
      </c>
      <c r="G294" s="849">
        <v>2129.3</v>
      </c>
      <c r="H294" s="849">
        <v>4258.6</v>
      </c>
      <c r="I294" s="849">
        <v>6387.9</v>
      </c>
      <c r="J294" s="849">
        <v>9246.79</v>
      </c>
      <c r="K294" s="849">
        <v>11376.09</v>
      </c>
      <c r="L294" s="849">
        <v>13505.39</v>
      </c>
      <c r="M294" s="849">
        <v>15786.87</v>
      </c>
      <c r="N294" s="849">
        <v>17916.17</v>
      </c>
      <c r="O294" s="849">
        <v>20045.47</v>
      </c>
      <c r="P294" s="849">
        <v>22179.01</v>
      </c>
      <c r="Q294" s="849">
        <v>24478.86</v>
      </c>
      <c r="R294" s="849">
        <v>26608.16</v>
      </c>
      <c r="S294" s="849">
        <v>2225.35</v>
      </c>
      <c r="T294" s="849">
        <v>2225.35</v>
      </c>
      <c r="U294" s="849">
        <v>0.0</v>
      </c>
      <c r="V294" s="849">
        <v>0.0</v>
      </c>
      <c r="W294" s="849">
        <v>0.0</v>
      </c>
      <c r="X294" s="849">
        <v>0.0</v>
      </c>
      <c r="Y294" s="849">
        <v>0.0</v>
      </c>
      <c r="Z294" s="849">
        <v>0.0</v>
      </c>
      <c r="AA294" s="849">
        <v>0.0</v>
      </c>
      <c r="AB294" s="849">
        <v>0.0</v>
      </c>
      <c r="AC294" s="849">
        <v>0.0</v>
      </c>
      <c r="AD294" s="849">
        <v>0.0</v>
      </c>
      <c r="AE294" s="849">
        <v>0.0</v>
      </c>
      <c r="AF294" s="849">
        <v>0.0</v>
      </c>
      <c r="AG294" s="849">
        <v>0.0</v>
      </c>
      <c r="AH294" s="849">
        <v>0.0</v>
      </c>
      <c r="AI294" s="849">
        <v>0.0</v>
      </c>
      <c r="AJ294" s="794" t="str">
        <f t="shared" ref="AJ294:AK294" si="585">C294</f>
        <v>G0912</v>
      </c>
      <c r="AK294" s="794" t="str">
        <f t="shared" si="585"/>
        <v>AMORT. EQUIPEMENT-USAGES</v>
      </c>
      <c r="AL294" s="794">
        <f t="array" ref="AL294">IFERROR(INDEX(G294:R294,1,MATCH(Parametres!$B$3,G$1:R$1,0)-1)*IF(OR(F294="L",F294="S",F294="I"),-1,1),"")</f>
        <v>17916.17</v>
      </c>
      <c r="AM294" s="794">
        <f t="shared" si="4"/>
        <v>2129.3</v>
      </c>
      <c r="AN294" s="794">
        <f t="array" ref="AN294">INDEX(G294:R294,1,MATCH(Parametres!$B$3,G$1:R$1,0))*IF(OR(F294="L",F294="S",F294="I"),-1,1)</f>
        <v>20045.47</v>
      </c>
      <c r="AO294" s="853" t="str">
        <f>+VLOOKUP($AJ294,Data_Validation!$A:$D,1,0)</f>
        <v>G0912</v>
      </c>
      <c r="AP294" s="853" t="str">
        <f>+VLOOKUP($AJ294,Data_Validation!$A:$D,3,0)</f>
        <v>Véhicules usagés</v>
      </c>
      <c r="AQ294" s="853" t="str">
        <f>+VLOOKUP($AJ294,Data_Validation!$A:$D,4,0)</f>
        <v>Amortissement</v>
      </c>
      <c r="AR294" s="853" t="s">
        <v>728</v>
      </c>
      <c r="AS294" s="853" t="str">
        <f>+VLOOKUP($AJ294,Data_Validation!$A:$E,5,0)</f>
        <v/>
      </c>
      <c r="AT294" s="794" t="str">
        <f t="shared" ref="AT294:AU294" si="586">C294</f>
        <v>G0912</v>
      </c>
      <c r="AU294" s="854" t="str">
        <f t="shared" si="586"/>
        <v>AMORT. EQUIPEMENT-USAGES</v>
      </c>
      <c r="AV294" s="794">
        <f t="array" ref="AV294">IFERROR(INDEX(V294:AG294,1,MATCH(Parametres!$B$3,V$1:AG$1,0)-1)*IF(OR(C294="L",C294="S",C294="I"),-1,1),"")</f>
        <v>0</v>
      </c>
      <c r="AW294" s="794">
        <f t="shared" si="6"/>
        <v>0</v>
      </c>
      <c r="AX294" s="794">
        <f t="array" ref="AX294">INDEX(V294:AG294,1,MATCH(Parametres!$B$3,V$1:AG$1,0))*IF(OR(C294="L",C294="S",C294="I"),-1,1)</f>
        <v>0</v>
      </c>
      <c r="AY294" s="853" t="s">
        <v>772</v>
      </c>
      <c r="AZ294" s="853" t="str">
        <f>+VLOOKUP($AJ294,Data_Validation!$A:$E,5,0)</f>
        <v/>
      </c>
    </row>
    <row r="295" ht="15.0" customHeight="1">
      <c r="A295" s="849" t="s">
        <v>1239</v>
      </c>
      <c r="B295" s="849">
        <v>2025.0</v>
      </c>
      <c r="C295" s="849" t="s">
        <v>1900</v>
      </c>
      <c r="D295" s="849" t="s">
        <v>1901</v>
      </c>
      <c r="E295" s="849" t="s">
        <v>768</v>
      </c>
      <c r="F295" s="849" t="s">
        <v>1200</v>
      </c>
      <c r="G295" s="849">
        <v>3193.95</v>
      </c>
      <c r="H295" s="849">
        <v>6387.9</v>
      </c>
      <c r="I295" s="849">
        <v>9581.85</v>
      </c>
      <c r="J295" s="849">
        <v>13870.19</v>
      </c>
      <c r="K295" s="849">
        <v>17064.14</v>
      </c>
      <c r="L295" s="849">
        <v>20258.09</v>
      </c>
      <c r="M295" s="849">
        <v>23680.3</v>
      </c>
      <c r="N295" s="849">
        <v>26874.25</v>
      </c>
      <c r="O295" s="849">
        <v>30068.2</v>
      </c>
      <c r="P295" s="849">
        <v>33268.51</v>
      </c>
      <c r="Q295" s="849">
        <v>36718.29</v>
      </c>
      <c r="R295" s="849">
        <v>39912.24</v>
      </c>
      <c r="S295" s="849">
        <v>3338.03</v>
      </c>
      <c r="T295" s="849">
        <v>3338.03</v>
      </c>
      <c r="U295" s="849">
        <v>0.0</v>
      </c>
      <c r="V295" s="849">
        <v>0.0</v>
      </c>
      <c r="W295" s="849">
        <v>0.0</v>
      </c>
      <c r="X295" s="849">
        <v>0.0</v>
      </c>
      <c r="Y295" s="849">
        <v>0.0</v>
      </c>
      <c r="Z295" s="849">
        <v>0.0</v>
      </c>
      <c r="AA295" s="849">
        <v>0.0</v>
      </c>
      <c r="AB295" s="849">
        <v>0.0</v>
      </c>
      <c r="AC295" s="849">
        <v>0.0</v>
      </c>
      <c r="AD295" s="849">
        <v>0.0</v>
      </c>
      <c r="AE295" s="849">
        <v>0.0</v>
      </c>
      <c r="AF295" s="849">
        <v>0.0</v>
      </c>
      <c r="AG295" s="849">
        <v>0.0</v>
      </c>
      <c r="AH295" s="849">
        <v>0.0</v>
      </c>
      <c r="AI295" s="849">
        <v>0.0</v>
      </c>
      <c r="AJ295" s="794" t="str">
        <f t="shared" ref="AJ295:AK295" si="587">C295</f>
        <v>G0914</v>
      </c>
      <c r="AK295" s="794" t="str">
        <f t="shared" si="587"/>
        <v>AMORT. EQUIPEMENT-SERVICE</v>
      </c>
      <c r="AL295" s="794">
        <f t="array" ref="AL295">IFERROR(INDEX(G295:R295,1,MATCH(Parametres!$B$3,G$1:R$1,0)-1)*IF(OR(F295="L",F295="S",F295="I"),-1,1),"")</f>
        <v>26874.25</v>
      </c>
      <c r="AM295" s="794">
        <f t="shared" si="4"/>
        <v>3193.95</v>
      </c>
      <c r="AN295" s="794">
        <f t="array" ref="AN295">INDEX(G295:R295,1,MATCH(Parametres!$B$3,G$1:R$1,0))*IF(OR(F295="L",F295="S",F295="I"),-1,1)</f>
        <v>30068.2</v>
      </c>
      <c r="AO295" s="853" t="str">
        <f>+VLOOKUP($AJ295,Data_Validation!$A:$D,1,0)</f>
        <v>G0914</v>
      </c>
      <c r="AP295" s="853" t="str">
        <f>+VLOOKUP($AJ295,Data_Validation!$A:$D,3,0)</f>
        <v>Service</v>
      </c>
      <c r="AQ295" s="853" t="str">
        <f>+VLOOKUP($AJ295,Data_Validation!$A:$D,4,0)</f>
        <v>Amortissement</v>
      </c>
      <c r="AR295" s="853" t="s">
        <v>728</v>
      </c>
      <c r="AS295" s="853" t="str">
        <f>+VLOOKUP($AJ295,Data_Validation!$A:$E,5,0)</f>
        <v/>
      </c>
      <c r="AT295" s="794" t="str">
        <f t="shared" ref="AT295:AU295" si="588">C295</f>
        <v>G0914</v>
      </c>
      <c r="AU295" s="854" t="str">
        <f t="shared" si="588"/>
        <v>AMORT. EQUIPEMENT-SERVICE</v>
      </c>
      <c r="AV295" s="794">
        <f t="array" ref="AV295">IFERROR(INDEX(V295:AG295,1,MATCH(Parametres!$B$3,V$1:AG$1,0)-1)*IF(OR(C295="L",C295="S",C295="I"),-1,1),"")</f>
        <v>0</v>
      </c>
      <c r="AW295" s="794">
        <f t="shared" si="6"/>
        <v>0</v>
      </c>
      <c r="AX295" s="794">
        <f t="array" ref="AX295">INDEX(V295:AG295,1,MATCH(Parametres!$B$3,V$1:AG$1,0))*IF(OR(C295="L",C295="S",C295="I"),-1,1)</f>
        <v>0</v>
      </c>
      <c r="AY295" s="853" t="s">
        <v>772</v>
      </c>
      <c r="AZ295" s="853" t="str">
        <f>+VLOOKUP($AJ295,Data_Validation!$A:$E,5,0)</f>
        <v/>
      </c>
    </row>
    <row r="296" ht="15.0" customHeight="1">
      <c r="A296" s="849" t="s">
        <v>1239</v>
      </c>
      <c r="B296" s="849">
        <v>2025.0</v>
      </c>
      <c r="C296" s="849" t="s">
        <v>1902</v>
      </c>
      <c r="D296" s="849" t="s">
        <v>1903</v>
      </c>
      <c r="E296" s="849" t="s">
        <v>768</v>
      </c>
      <c r="F296" s="849" t="s">
        <v>1200</v>
      </c>
      <c r="G296" s="849">
        <v>1064.65</v>
      </c>
      <c r="H296" s="849">
        <v>2129.3</v>
      </c>
      <c r="I296" s="849">
        <v>3193.95</v>
      </c>
      <c r="J296" s="849">
        <v>4623.4</v>
      </c>
      <c r="K296" s="849">
        <v>5688.05</v>
      </c>
      <c r="L296" s="849">
        <v>6752.7</v>
      </c>
      <c r="M296" s="849">
        <v>7893.44</v>
      </c>
      <c r="N296" s="849">
        <v>8958.09</v>
      </c>
      <c r="O296" s="849">
        <v>10022.74</v>
      </c>
      <c r="P296" s="849">
        <v>11089.51</v>
      </c>
      <c r="Q296" s="849">
        <v>12239.44</v>
      </c>
      <c r="R296" s="849">
        <v>13304.09</v>
      </c>
      <c r="S296" s="849">
        <v>1112.68</v>
      </c>
      <c r="T296" s="849">
        <v>1112.68</v>
      </c>
      <c r="U296" s="849">
        <v>0.0</v>
      </c>
      <c r="V296" s="849">
        <v>0.0</v>
      </c>
      <c r="W296" s="849">
        <v>0.0</v>
      </c>
      <c r="X296" s="849">
        <v>0.0</v>
      </c>
      <c r="Y296" s="849">
        <v>0.0</v>
      </c>
      <c r="Z296" s="849">
        <v>0.0</v>
      </c>
      <c r="AA296" s="849">
        <v>0.0</v>
      </c>
      <c r="AB296" s="849">
        <v>0.0</v>
      </c>
      <c r="AC296" s="849">
        <v>0.0</v>
      </c>
      <c r="AD296" s="849">
        <v>0.0</v>
      </c>
      <c r="AE296" s="849">
        <v>0.0</v>
      </c>
      <c r="AF296" s="849">
        <v>0.0</v>
      </c>
      <c r="AG296" s="849">
        <v>0.0</v>
      </c>
      <c r="AH296" s="849">
        <v>0.0</v>
      </c>
      <c r="AI296" s="849">
        <v>0.0</v>
      </c>
      <c r="AJ296" s="794" t="str">
        <f t="shared" ref="AJ296:AK296" si="589">C296</f>
        <v>G0915</v>
      </c>
      <c r="AK296" s="794" t="str">
        <f t="shared" si="589"/>
        <v>AMORT. EQUIPEMENT-CARROSS</v>
      </c>
      <c r="AL296" s="794">
        <f t="array" ref="AL296">IFERROR(INDEX(G296:R296,1,MATCH(Parametres!$B$3,G$1:R$1,0)-1)*IF(OR(F296="L",F296="S",F296="I"),-1,1),"")</f>
        <v>8958.09</v>
      </c>
      <c r="AM296" s="794">
        <f t="shared" si="4"/>
        <v>1064.65</v>
      </c>
      <c r="AN296" s="794">
        <f t="array" ref="AN296">INDEX(G296:R296,1,MATCH(Parametres!$B$3,G$1:R$1,0))*IF(OR(F296="L",F296="S",F296="I"),-1,1)</f>
        <v>10022.74</v>
      </c>
      <c r="AO296" s="853" t="str">
        <f>+VLOOKUP($AJ296,Data_Validation!$A:$D,1,0)</f>
        <v>G0915</v>
      </c>
      <c r="AP296" s="853" t="str">
        <f>+VLOOKUP($AJ296,Data_Validation!$A:$D,3,0)</f>
        <v>Carrosserie</v>
      </c>
      <c r="AQ296" s="853" t="str">
        <f>+VLOOKUP($AJ296,Data_Validation!$A:$D,4,0)</f>
        <v>Amortissement</v>
      </c>
      <c r="AR296" s="853" t="s">
        <v>728</v>
      </c>
      <c r="AS296" s="853" t="str">
        <f>+VLOOKUP($AJ296,Data_Validation!$A:$E,5,0)</f>
        <v/>
      </c>
      <c r="AT296" s="794" t="str">
        <f t="shared" ref="AT296:AU296" si="590">C296</f>
        <v>G0915</v>
      </c>
      <c r="AU296" s="854" t="str">
        <f t="shared" si="590"/>
        <v>AMORT. EQUIPEMENT-CARROSS</v>
      </c>
      <c r="AV296" s="794">
        <f t="array" ref="AV296">IFERROR(INDEX(V296:AG296,1,MATCH(Parametres!$B$3,V$1:AG$1,0)-1)*IF(OR(C296="L",C296="S",C296="I"),-1,1),"")</f>
        <v>0</v>
      </c>
      <c r="AW296" s="794">
        <f t="shared" si="6"/>
        <v>0</v>
      </c>
      <c r="AX296" s="794">
        <f t="array" ref="AX296">INDEX(V296:AG296,1,MATCH(Parametres!$B$3,V$1:AG$1,0))*IF(OR(C296="L",C296="S",C296="I"),-1,1)</f>
        <v>0</v>
      </c>
      <c r="AY296" s="853" t="s">
        <v>772</v>
      </c>
      <c r="AZ296" s="853" t="str">
        <f>+VLOOKUP($AJ296,Data_Validation!$A:$E,5,0)</f>
        <v/>
      </c>
    </row>
    <row r="297" ht="15.75" customHeight="1">
      <c r="A297" s="849" t="s">
        <v>1239</v>
      </c>
      <c r="B297" s="849">
        <v>2025.0</v>
      </c>
      <c r="C297" s="849" t="s">
        <v>1904</v>
      </c>
      <c r="D297" s="849" t="s">
        <v>1905</v>
      </c>
      <c r="E297" s="849" t="s">
        <v>768</v>
      </c>
      <c r="F297" s="849" t="s">
        <v>1200</v>
      </c>
      <c r="G297" s="849">
        <v>1064.65</v>
      </c>
      <c r="H297" s="849">
        <v>2129.3</v>
      </c>
      <c r="I297" s="849">
        <v>3193.95</v>
      </c>
      <c r="J297" s="849">
        <v>4623.38</v>
      </c>
      <c r="K297" s="849">
        <v>5688.03</v>
      </c>
      <c r="L297" s="849">
        <v>6752.68</v>
      </c>
      <c r="M297" s="849">
        <v>7893.42</v>
      </c>
      <c r="N297" s="849">
        <v>8958.07</v>
      </c>
      <c r="O297" s="849">
        <v>10022.72</v>
      </c>
      <c r="P297" s="849">
        <v>11089.48</v>
      </c>
      <c r="Q297" s="849">
        <v>12239.39</v>
      </c>
      <c r="R297" s="849">
        <v>13304.04</v>
      </c>
      <c r="S297" s="849">
        <v>1112.67</v>
      </c>
      <c r="T297" s="849">
        <v>1112.67</v>
      </c>
      <c r="U297" s="849">
        <v>0.0</v>
      </c>
      <c r="V297" s="849">
        <v>0.0</v>
      </c>
      <c r="W297" s="849">
        <v>0.0</v>
      </c>
      <c r="X297" s="849">
        <v>0.0</v>
      </c>
      <c r="Y297" s="849">
        <v>0.0</v>
      </c>
      <c r="Z297" s="849">
        <v>0.0</v>
      </c>
      <c r="AA297" s="849">
        <v>0.0</v>
      </c>
      <c r="AB297" s="849">
        <v>0.0</v>
      </c>
      <c r="AC297" s="849">
        <v>0.0</v>
      </c>
      <c r="AD297" s="849">
        <v>0.0</v>
      </c>
      <c r="AE297" s="849">
        <v>0.0</v>
      </c>
      <c r="AF297" s="849">
        <v>0.0</v>
      </c>
      <c r="AG297" s="849">
        <v>0.0</v>
      </c>
      <c r="AH297" s="849">
        <v>0.0</v>
      </c>
      <c r="AI297" s="849">
        <v>0.0</v>
      </c>
      <c r="AJ297" s="794" t="str">
        <f t="shared" ref="AJ297:AK297" si="591">C297</f>
        <v>G0916</v>
      </c>
      <c r="AK297" s="794" t="str">
        <f t="shared" si="591"/>
        <v>AMORT. EQUIPEMENT-PCES</v>
      </c>
      <c r="AL297" s="794">
        <f t="array" ref="AL297">IFERROR(INDEX(G297:R297,1,MATCH(Parametres!$B$3,G$1:R$1,0)-1)*IF(OR(F297="L",F297="S",F297="I"),-1,1),"")</f>
        <v>8958.07</v>
      </c>
      <c r="AM297" s="794">
        <f t="shared" si="4"/>
        <v>1064.65</v>
      </c>
      <c r="AN297" s="794">
        <f t="array" ref="AN297">INDEX(G297:R297,1,MATCH(Parametres!$B$3,G$1:R$1,0))*IF(OR(F297="L",F297="S",F297="I"),-1,1)</f>
        <v>10022.72</v>
      </c>
      <c r="AO297" s="853" t="str">
        <f>+VLOOKUP($AJ297,Data_Validation!$A:$D,1,0)</f>
        <v>G0916</v>
      </c>
      <c r="AP297" s="853" t="str">
        <f>+VLOOKUP($AJ297,Data_Validation!$A:$D,3,0)</f>
        <v>Pièces</v>
      </c>
      <c r="AQ297" s="853" t="str">
        <f>+VLOOKUP($AJ297,Data_Validation!$A:$D,4,0)</f>
        <v>Amortissement</v>
      </c>
      <c r="AR297" s="853" t="s">
        <v>728</v>
      </c>
      <c r="AS297" s="853" t="str">
        <f>+VLOOKUP($AJ297,Data_Validation!$A:$E,5,0)</f>
        <v/>
      </c>
      <c r="AT297" s="794" t="str">
        <f t="shared" ref="AT297:AU297" si="592">C297</f>
        <v>G0916</v>
      </c>
      <c r="AU297" s="854" t="str">
        <f t="shared" si="592"/>
        <v>AMORT. EQUIPEMENT-PCES</v>
      </c>
      <c r="AV297" s="794">
        <f t="array" ref="AV297">IFERROR(INDEX(V297:AG297,1,MATCH(Parametres!$B$3,V$1:AG$1,0)-1)*IF(OR(C297="L",C297="S",C297="I"),-1,1),"")</f>
        <v>0</v>
      </c>
      <c r="AW297" s="794">
        <f t="shared" si="6"/>
        <v>0</v>
      </c>
      <c r="AX297" s="794">
        <f t="array" ref="AX297">INDEX(V297:AG297,1,MATCH(Parametres!$B$3,V$1:AG$1,0))*IF(OR(C297="L",C297="S",C297="I"),-1,1)</f>
        <v>0</v>
      </c>
      <c r="AY297" s="853" t="s">
        <v>772</v>
      </c>
      <c r="AZ297" s="853" t="str">
        <f>+VLOOKUP($AJ297,Data_Validation!$A:$E,5,0)</f>
        <v/>
      </c>
    </row>
    <row r="298" ht="15.0" customHeight="1">
      <c r="A298" s="849" t="s">
        <v>1239</v>
      </c>
      <c r="B298" s="849">
        <v>2025.0</v>
      </c>
      <c r="C298" s="849" t="s">
        <v>1906</v>
      </c>
      <c r="D298" s="849" t="s">
        <v>1907</v>
      </c>
      <c r="E298" s="849" t="s">
        <v>768</v>
      </c>
      <c r="F298" s="849" t="s">
        <v>1200</v>
      </c>
      <c r="G298" s="849">
        <v>0.0</v>
      </c>
      <c r="H298" s="849">
        <v>0.0</v>
      </c>
      <c r="I298" s="849">
        <v>0.0</v>
      </c>
      <c r="J298" s="849">
        <v>0.0</v>
      </c>
      <c r="K298" s="849">
        <v>0.0</v>
      </c>
      <c r="L298" s="849">
        <v>0.0</v>
      </c>
      <c r="M298" s="849">
        <v>0.0</v>
      </c>
      <c r="N298" s="849">
        <v>0.0</v>
      </c>
      <c r="O298" s="849">
        <v>0.0</v>
      </c>
      <c r="P298" s="849">
        <v>0.0</v>
      </c>
      <c r="Q298" s="849">
        <v>0.0</v>
      </c>
      <c r="R298" s="849">
        <v>0.0</v>
      </c>
      <c r="S298" s="849">
        <v>0.0</v>
      </c>
      <c r="T298" s="849">
        <v>0.0</v>
      </c>
      <c r="U298" s="849">
        <v>0.0</v>
      </c>
      <c r="V298" s="849">
        <v>0.0</v>
      </c>
      <c r="W298" s="849">
        <v>0.0</v>
      </c>
      <c r="X298" s="849">
        <v>0.0</v>
      </c>
      <c r="Y298" s="849">
        <v>0.0</v>
      </c>
      <c r="Z298" s="849">
        <v>0.0</v>
      </c>
      <c r="AA298" s="849">
        <v>0.0</v>
      </c>
      <c r="AB298" s="849">
        <v>0.0</v>
      </c>
      <c r="AC298" s="849">
        <v>0.0</v>
      </c>
      <c r="AD298" s="849">
        <v>0.0</v>
      </c>
      <c r="AE298" s="849">
        <v>0.0</v>
      </c>
      <c r="AF298" s="849">
        <v>0.0</v>
      </c>
      <c r="AG298" s="849">
        <v>0.0</v>
      </c>
      <c r="AH298" s="849">
        <v>0.0</v>
      </c>
      <c r="AI298" s="849">
        <v>0.0</v>
      </c>
      <c r="AJ298" s="794" t="str">
        <f t="shared" ref="AJ298:AK298" si="593">C298</f>
        <v>G0920</v>
      </c>
      <c r="AK298" s="794" t="str">
        <f t="shared" si="593"/>
        <v>LOCATION EQUIP REP.</v>
      </c>
      <c r="AL298" s="794">
        <f t="array" ref="AL298">IFERROR(INDEX(G298:R298,1,MATCH(Parametres!$B$3,G$1:R$1,0)-1)*IF(OR(F298="L",F298="S",F298="I"),-1,1),"")</f>
        <v>0</v>
      </c>
      <c r="AM298" s="794">
        <f t="shared" si="4"/>
        <v>0</v>
      </c>
      <c r="AN298" s="794">
        <f t="array" ref="AN298">INDEX(G298:R298,1,MATCH(Parametres!$B$3,G$1:R$1,0))*IF(OR(F298="L",F298="S",F298="I"),-1,1)</f>
        <v>0</v>
      </c>
      <c r="AO298" s="853" t="str">
        <f>+VLOOKUP($AJ298,Data_Validation!$A:$D,1,0)</f>
        <v>#N/A</v>
      </c>
      <c r="AP298" s="853" t="str">
        <f>+VLOOKUP($AJ298,Data_Validation!$A:$D,3,0)</f>
        <v>#N/A</v>
      </c>
      <c r="AQ298" s="853" t="str">
        <f>+VLOOKUP($AJ298,Data_Validation!$A:$D,4,0)</f>
        <v>#N/A</v>
      </c>
      <c r="AR298" s="853" t="s">
        <v>728</v>
      </c>
      <c r="AS298" s="853" t="str">
        <f>+VLOOKUP($AJ298,Data_Validation!$A:$E,5,0)</f>
        <v>#N/A</v>
      </c>
      <c r="AT298" s="794" t="str">
        <f t="shared" ref="AT298:AU298" si="594">C298</f>
        <v>G0920</v>
      </c>
      <c r="AU298" s="854" t="str">
        <f t="shared" si="594"/>
        <v>LOCATION EQUIP REP.</v>
      </c>
      <c r="AV298" s="794">
        <f t="array" ref="AV298">IFERROR(INDEX(V298:AG298,1,MATCH(Parametres!$B$3,V$1:AG$1,0)-1)*IF(OR(C298="L",C298="S",C298="I"),-1,1),"")</f>
        <v>0</v>
      </c>
      <c r="AW298" s="794">
        <f t="shared" si="6"/>
        <v>0</v>
      </c>
      <c r="AX298" s="794">
        <f t="array" ref="AX298">INDEX(V298:AG298,1,MATCH(Parametres!$B$3,V$1:AG$1,0))*IF(OR(C298="L",C298="S",C298="I"),-1,1)</f>
        <v>0</v>
      </c>
      <c r="AY298" s="853" t="s">
        <v>772</v>
      </c>
      <c r="AZ298" s="853" t="str">
        <f>+VLOOKUP($AJ298,Data_Validation!$A:$E,5,0)</f>
        <v>#N/A</v>
      </c>
    </row>
    <row r="299" ht="15.0" customHeight="1">
      <c r="A299" s="849" t="s">
        <v>1239</v>
      </c>
      <c r="B299" s="849">
        <v>2025.0</v>
      </c>
      <c r="C299" s="849" t="s">
        <v>1908</v>
      </c>
      <c r="D299" s="849" t="s">
        <v>1909</v>
      </c>
      <c r="E299" s="849" t="s">
        <v>768</v>
      </c>
      <c r="F299" s="849" t="s">
        <v>1200</v>
      </c>
      <c r="G299" s="849">
        <v>59.98</v>
      </c>
      <c r="H299" s="849">
        <v>119.96</v>
      </c>
      <c r="I299" s="849">
        <v>179.94</v>
      </c>
      <c r="J299" s="849">
        <v>239.92</v>
      </c>
      <c r="K299" s="849">
        <v>299.9</v>
      </c>
      <c r="L299" s="849">
        <v>359.88</v>
      </c>
      <c r="M299" s="849">
        <v>419.86</v>
      </c>
      <c r="N299" s="849">
        <v>479.84</v>
      </c>
      <c r="O299" s="849">
        <v>539.82</v>
      </c>
      <c r="P299" s="849">
        <v>599.8</v>
      </c>
      <c r="Q299" s="849">
        <v>659.78</v>
      </c>
      <c r="R299" s="849">
        <v>719.76</v>
      </c>
      <c r="S299" s="849">
        <v>59.98</v>
      </c>
      <c r="T299" s="849">
        <v>59.98</v>
      </c>
      <c r="U299" s="849">
        <v>0.0</v>
      </c>
      <c r="V299" s="849">
        <v>0.0</v>
      </c>
      <c r="W299" s="849">
        <v>0.0</v>
      </c>
      <c r="X299" s="849">
        <v>0.0</v>
      </c>
      <c r="Y299" s="849">
        <v>0.0</v>
      </c>
      <c r="Z299" s="849">
        <v>0.0</v>
      </c>
      <c r="AA299" s="849">
        <v>0.0</v>
      </c>
      <c r="AB299" s="849">
        <v>0.0</v>
      </c>
      <c r="AC299" s="849">
        <v>0.0</v>
      </c>
      <c r="AD299" s="849">
        <v>0.0</v>
      </c>
      <c r="AE299" s="849">
        <v>0.0</v>
      </c>
      <c r="AF299" s="849">
        <v>0.0</v>
      </c>
      <c r="AG299" s="849">
        <v>0.0</v>
      </c>
      <c r="AH299" s="849">
        <v>0.0</v>
      </c>
      <c r="AI299" s="849">
        <v>0.0</v>
      </c>
      <c r="AJ299" s="794" t="str">
        <f t="shared" ref="AJ299:AK299" si="595">C299</f>
        <v>G0921</v>
      </c>
      <c r="AK299" s="794" t="str">
        <f t="shared" si="595"/>
        <v>LOCATION EQUIPEM.-NEUF</v>
      </c>
      <c r="AL299" s="794">
        <f t="array" ref="AL299">IFERROR(INDEX(G299:R299,1,MATCH(Parametres!$B$3,G$1:R$1,0)-1)*IF(OR(F299="L",F299="S",F299="I"),-1,1),"")</f>
        <v>479.84</v>
      </c>
      <c r="AM299" s="794">
        <f t="shared" si="4"/>
        <v>59.98</v>
      </c>
      <c r="AN299" s="794">
        <f t="array" ref="AN299">INDEX(G299:R299,1,MATCH(Parametres!$B$3,G$1:R$1,0))*IF(OR(F299="L",F299="S",F299="I"),-1,1)</f>
        <v>539.82</v>
      </c>
      <c r="AO299" s="853" t="str">
        <f>+VLOOKUP($AJ299,Data_Validation!$A:$D,1,0)</f>
        <v>G0921</v>
      </c>
      <c r="AP299" s="853" t="str">
        <f>+VLOOKUP($AJ299,Data_Validation!$A:$D,3,0)</f>
        <v>Véhicules neufs</v>
      </c>
      <c r="AQ299" s="853" t="str">
        <f>+VLOOKUP($AJ299,Data_Validation!$A:$D,4,0)</f>
        <v>Location équipement</v>
      </c>
      <c r="AR299" s="853" t="s">
        <v>728</v>
      </c>
      <c r="AS299" s="853" t="str">
        <f>+VLOOKUP($AJ299,Data_Validation!$A:$E,5,0)</f>
        <v/>
      </c>
      <c r="AT299" s="794" t="str">
        <f t="shared" ref="AT299:AU299" si="596">C299</f>
        <v>G0921</v>
      </c>
      <c r="AU299" s="854" t="str">
        <f t="shared" si="596"/>
        <v>LOCATION EQUIPEM.-NEUF</v>
      </c>
      <c r="AV299" s="794">
        <f t="array" ref="AV299">IFERROR(INDEX(V299:AG299,1,MATCH(Parametres!$B$3,V$1:AG$1,0)-1)*IF(OR(C299="L",C299="S",C299="I"),-1,1),"")</f>
        <v>0</v>
      </c>
      <c r="AW299" s="794">
        <f t="shared" si="6"/>
        <v>0</v>
      </c>
      <c r="AX299" s="794">
        <f t="array" ref="AX299">INDEX(V299:AG299,1,MATCH(Parametres!$B$3,V$1:AG$1,0))*IF(OR(C299="L",C299="S",C299="I"),-1,1)</f>
        <v>0</v>
      </c>
      <c r="AY299" s="853" t="s">
        <v>772</v>
      </c>
      <c r="AZ299" s="853" t="str">
        <f>+VLOOKUP($AJ299,Data_Validation!$A:$E,5,0)</f>
        <v/>
      </c>
    </row>
    <row r="300" ht="15.0" customHeight="1">
      <c r="A300" s="849" t="s">
        <v>1239</v>
      </c>
      <c r="B300" s="849">
        <v>2025.0</v>
      </c>
      <c r="C300" s="849" t="s">
        <v>1910</v>
      </c>
      <c r="D300" s="849" t="s">
        <v>1911</v>
      </c>
      <c r="E300" s="849" t="s">
        <v>768</v>
      </c>
      <c r="F300" s="849" t="s">
        <v>1200</v>
      </c>
      <c r="G300" s="849">
        <v>37.49</v>
      </c>
      <c r="H300" s="849">
        <v>74.98</v>
      </c>
      <c r="I300" s="849">
        <v>112.47</v>
      </c>
      <c r="J300" s="849">
        <v>149.96</v>
      </c>
      <c r="K300" s="849">
        <v>187.45</v>
      </c>
      <c r="L300" s="849">
        <v>224.94</v>
      </c>
      <c r="M300" s="849">
        <v>262.43</v>
      </c>
      <c r="N300" s="849">
        <v>299.92</v>
      </c>
      <c r="O300" s="849">
        <v>337.41</v>
      </c>
      <c r="P300" s="849">
        <v>374.9</v>
      </c>
      <c r="Q300" s="849">
        <v>412.39</v>
      </c>
      <c r="R300" s="849">
        <v>449.88</v>
      </c>
      <c r="S300" s="849">
        <v>37.49</v>
      </c>
      <c r="T300" s="849">
        <v>37.49</v>
      </c>
      <c r="U300" s="849">
        <v>0.0</v>
      </c>
      <c r="V300" s="849">
        <v>0.0</v>
      </c>
      <c r="W300" s="849">
        <v>0.0</v>
      </c>
      <c r="X300" s="849">
        <v>0.0</v>
      </c>
      <c r="Y300" s="849">
        <v>0.0</v>
      </c>
      <c r="Z300" s="849">
        <v>0.0</v>
      </c>
      <c r="AA300" s="849">
        <v>0.0</v>
      </c>
      <c r="AB300" s="849">
        <v>0.0</v>
      </c>
      <c r="AC300" s="849">
        <v>0.0</v>
      </c>
      <c r="AD300" s="849">
        <v>0.0</v>
      </c>
      <c r="AE300" s="849">
        <v>0.0</v>
      </c>
      <c r="AF300" s="849">
        <v>0.0</v>
      </c>
      <c r="AG300" s="849">
        <v>0.0</v>
      </c>
      <c r="AH300" s="849">
        <v>0.0</v>
      </c>
      <c r="AI300" s="849">
        <v>0.0</v>
      </c>
      <c r="AJ300" s="794" t="str">
        <f t="shared" ref="AJ300:AK300" si="597">C300</f>
        <v>G0922</v>
      </c>
      <c r="AK300" s="794" t="str">
        <f t="shared" si="597"/>
        <v>LOCATION EQUIPEM.-USAGES</v>
      </c>
      <c r="AL300" s="794">
        <f t="array" ref="AL300">IFERROR(INDEX(G300:R300,1,MATCH(Parametres!$B$3,G$1:R$1,0)-1)*IF(OR(F300="L",F300="S",F300="I"),-1,1),"")</f>
        <v>299.92</v>
      </c>
      <c r="AM300" s="794">
        <f t="shared" si="4"/>
        <v>37.49</v>
      </c>
      <c r="AN300" s="794">
        <f t="array" ref="AN300">INDEX(G300:R300,1,MATCH(Parametres!$B$3,G$1:R$1,0))*IF(OR(F300="L",F300="S",F300="I"),-1,1)</f>
        <v>337.41</v>
      </c>
      <c r="AO300" s="853" t="str">
        <f>+VLOOKUP($AJ300,Data_Validation!$A:$D,1,0)</f>
        <v>G0922</v>
      </c>
      <c r="AP300" s="853" t="str">
        <f>+VLOOKUP($AJ300,Data_Validation!$A:$D,3,0)</f>
        <v>Véhicules usagés</v>
      </c>
      <c r="AQ300" s="853" t="str">
        <f>+VLOOKUP($AJ300,Data_Validation!$A:$D,4,0)</f>
        <v>Location équipement</v>
      </c>
      <c r="AR300" s="853" t="s">
        <v>728</v>
      </c>
      <c r="AS300" s="853" t="str">
        <f>+VLOOKUP($AJ300,Data_Validation!$A:$E,5,0)</f>
        <v/>
      </c>
      <c r="AT300" s="794" t="str">
        <f t="shared" ref="AT300:AU300" si="598">C300</f>
        <v>G0922</v>
      </c>
      <c r="AU300" s="854" t="str">
        <f t="shared" si="598"/>
        <v>LOCATION EQUIPEM.-USAGES</v>
      </c>
      <c r="AV300" s="794">
        <f t="array" ref="AV300">IFERROR(INDEX(V300:AG300,1,MATCH(Parametres!$B$3,V$1:AG$1,0)-1)*IF(OR(C300="L",C300="S",C300="I"),-1,1),"")</f>
        <v>0</v>
      </c>
      <c r="AW300" s="794">
        <f t="shared" si="6"/>
        <v>0</v>
      </c>
      <c r="AX300" s="794">
        <f t="array" ref="AX300">INDEX(V300:AG300,1,MATCH(Parametres!$B$3,V$1:AG$1,0))*IF(OR(C300="L",C300="S",C300="I"),-1,1)</f>
        <v>0</v>
      </c>
      <c r="AY300" s="853" t="s">
        <v>772</v>
      </c>
      <c r="AZ300" s="853" t="str">
        <f>+VLOOKUP($AJ300,Data_Validation!$A:$E,5,0)</f>
        <v/>
      </c>
    </row>
    <row r="301" ht="15.75" customHeight="1">
      <c r="A301" s="849" t="s">
        <v>1239</v>
      </c>
      <c r="B301" s="849">
        <v>2025.0</v>
      </c>
      <c r="C301" s="849" t="s">
        <v>1912</v>
      </c>
      <c r="D301" s="849" t="s">
        <v>1913</v>
      </c>
      <c r="E301" s="849" t="s">
        <v>768</v>
      </c>
      <c r="F301" s="849" t="s">
        <v>1200</v>
      </c>
      <c r="G301" s="849">
        <v>747.59</v>
      </c>
      <c r="H301" s="849">
        <v>1145.74</v>
      </c>
      <c r="I301" s="849">
        <v>2865.29</v>
      </c>
      <c r="J301" s="849">
        <v>3541.64</v>
      </c>
      <c r="K301" s="849">
        <v>3988.11</v>
      </c>
      <c r="L301" s="849">
        <v>4479.8</v>
      </c>
      <c r="M301" s="849">
        <v>4509.79</v>
      </c>
      <c r="N301" s="849">
        <v>4539.78</v>
      </c>
      <c r="O301" s="849">
        <v>5810.47</v>
      </c>
      <c r="P301" s="849">
        <v>6385.96</v>
      </c>
      <c r="Q301" s="849">
        <v>6907.63</v>
      </c>
      <c r="R301" s="849">
        <v>6937.62</v>
      </c>
      <c r="S301" s="849">
        <v>627.97</v>
      </c>
      <c r="T301" s="849">
        <v>627.97</v>
      </c>
      <c r="U301" s="849">
        <v>0.0</v>
      </c>
      <c r="V301" s="849">
        <v>0.0</v>
      </c>
      <c r="W301" s="849">
        <v>0.0</v>
      </c>
      <c r="X301" s="849">
        <v>0.0</v>
      </c>
      <c r="Y301" s="849">
        <v>0.0</v>
      </c>
      <c r="Z301" s="849">
        <v>0.0</v>
      </c>
      <c r="AA301" s="849">
        <v>0.0</v>
      </c>
      <c r="AB301" s="849">
        <v>0.0</v>
      </c>
      <c r="AC301" s="849">
        <v>0.0</v>
      </c>
      <c r="AD301" s="849">
        <v>0.0</v>
      </c>
      <c r="AE301" s="849">
        <v>0.0</v>
      </c>
      <c r="AF301" s="849">
        <v>0.0</v>
      </c>
      <c r="AG301" s="849">
        <v>0.0</v>
      </c>
      <c r="AH301" s="849">
        <v>0.0</v>
      </c>
      <c r="AI301" s="849">
        <v>0.0</v>
      </c>
      <c r="AJ301" s="794" t="str">
        <f t="shared" ref="AJ301:AK301" si="599">C301</f>
        <v>G0924</v>
      </c>
      <c r="AK301" s="794" t="str">
        <f t="shared" si="599"/>
        <v>LOCATION EQUIPEM.-SERVICE</v>
      </c>
      <c r="AL301" s="794">
        <f t="array" ref="AL301">IFERROR(INDEX(G301:R301,1,MATCH(Parametres!$B$3,G$1:R$1,0)-1)*IF(OR(F301="L",F301="S",F301="I"),-1,1),"")</f>
        <v>4539.78</v>
      </c>
      <c r="AM301" s="794">
        <f t="shared" si="4"/>
        <v>1270.69</v>
      </c>
      <c r="AN301" s="794">
        <f t="array" ref="AN301">INDEX(G301:R301,1,MATCH(Parametres!$B$3,G$1:R$1,0))*IF(OR(F301="L",F301="S",F301="I"),-1,1)</f>
        <v>5810.47</v>
      </c>
      <c r="AO301" s="853" t="str">
        <f>+VLOOKUP($AJ301,Data_Validation!$A:$D,1,0)</f>
        <v>G0924</v>
      </c>
      <c r="AP301" s="853" t="str">
        <f>+VLOOKUP($AJ301,Data_Validation!$A:$D,3,0)</f>
        <v>Service</v>
      </c>
      <c r="AQ301" s="853" t="str">
        <f>+VLOOKUP($AJ301,Data_Validation!$A:$D,4,0)</f>
        <v>Location équipement</v>
      </c>
      <c r="AR301" s="853" t="s">
        <v>728</v>
      </c>
      <c r="AS301" s="853" t="str">
        <f>+VLOOKUP($AJ301,Data_Validation!$A:$E,5,0)</f>
        <v/>
      </c>
      <c r="AT301" s="794" t="str">
        <f t="shared" ref="AT301:AU301" si="600">C301</f>
        <v>G0924</v>
      </c>
      <c r="AU301" s="854" t="str">
        <f t="shared" si="600"/>
        <v>LOCATION EQUIPEM.-SERVICE</v>
      </c>
      <c r="AV301" s="794">
        <f t="array" ref="AV301">IFERROR(INDEX(V301:AG301,1,MATCH(Parametres!$B$3,V$1:AG$1,0)-1)*IF(OR(C301="L",C301="S",C301="I"),-1,1),"")</f>
        <v>0</v>
      </c>
      <c r="AW301" s="794">
        <f t="shared" si="6"/>
        <v>0</v>
      </c>
      <c r="AX301" s="794">
        <f t="array" ref="AX301">INDEX(V301:AG301,1,MATCH(Parametres!$B$3,V$1:AG$1,0))*IF(OR(C301="L",C301="S",C301="I"),-1,1)</f>
        <v>0</v>
      </c>
      <c r="AY301" s="853" t="s">
        <v>772</v>
      </c>
      <c r="AZ301" s="853" t="str">
        <f>+VLOOKUP($AJ301,Data_Validation!$A:$E,5,0)</f>
        <v/>
      </c>
    </row>
    <row r="302" ht="15.0" customHeight="1">
      <c r="A302" s="849" t="s">
        <v>1239</v>
      </c>
      <c r="B302" s="849">
        <v>2025.0</v>
      </c>
      <c r="C302" s="849" t="s">
        <v>1914</v>
      </c>
      <c r="D302" s="849" t="s">
        <v>1915</v>
      </c>
      <c r="E302" s="849" t="s">
        <v>768</v>
      </c>
      <c r="F302" s="849" t="s">
        <v>1200</v>
      </c>
      <c r="G302" s="849">
        <v>7.5</v>
      </c>
      <c r="H302" s="849">
        <v>15.0</v>
      </c>
      <c r="I302" s="849">
        <v>22.5</v>
      </c>
      <c r="J302" s="849">
        <v>30.0</v>
      </c>
      <c r="K302" s="849">
        <v>37.5</v>
      </c>
      <c r="L302" s="849">
        <v>45.0</v>
      </c>
      <c r="M302" s="849">
        <v>52.5</v>
      </c>
      <c r="N302" s="849">
        <v>60.0</v>
      </c>
      <c r="O302" s="849">
        <v>631.1</v>
      </c>
      <c r="P302" s="849">
        <v>638.6</v>
      </c>
      <c r="Q302" s="849">
        <v>646.1</v>
      </c>
      <c r="R302" s="849">
        <v>653.6</v>
      </c>
      <c r="S302" s="849">
        <v>58.74</v>
      </c>
      <c r="T302" s="849">
        <v>58.74</v>
      </c>
      <c r="U302" s="849">
        <v>0.0</v>
      </c>
      <c r="V302" s="849">
        <v>0.0</v>
      </c>
      <c r="W302" s="849">
        <v>0.0</v>
      </c>
      <c r="X302" s="849">
        <v>0.0</v>
      </c>
      <c r="Y302" s="849">
        <v>0.0</v>
      </c>
      <c r="Z302" s="849">
        <v>0.0</v>
      </c>
      <c r="AA302" s="849">
        <v>0.0</v>
      </c>
      <c r="AB302" s="849">
        <v>0.0</v>
      </c>
      <c r="AC302" s="849">
        <v>0.0</v>
      </c>
      <c r="AD302" s="849">
        <v>0.0</v>
      </c>
      <c r="AE302" s="849">
        <v>0.0</v>
      </c>
      <c r="AF302" s="849">
        <v>0.0</v>
      </c>
      <c r="AG302" s="849">
        <v>0.0</v>
      </c>
      <c r="AH302" s="849">
        <v>0.0</v>
      </c>
      <c r="AI302" s="849">
        <v>0.0</v>
      </c>
      <c r="AJ302" s="794" t="str">
        <f t="shared" ref="AJ302:AK302" si="601">C302</f>
        <v>G0925</v>
      </c>
      <c r="AK302" s="794" t="str">
        <f t="shared" si="601"/>
        <v>LOCATION EQUIPEM.-CARROS.</v>
      </c>
      <c r="AL302" s="794">
        <f t="array" ref="AL302">IFERROR(INDEX(G302:R302,1,MATCH(Parametres!$B$3,G$1:R$1,0)-1)*IF(OR(F302="L",F302="S",F302="I"),-1,1),"")</f>
        <v>60</v>
      </c>
      <c r="AM302" s="794">
        <f t="shared" si="4"/>
        <v>571.1</v>
      </c>
      <c r="AN302" s="794">
        <f t="array" ref="AN302">INDEX(G302:R302,1,MATCH(Parametres!$B$3,G$1:R$1,0))*IF(OR(F302="L",F302="S",F302="I"),-1,1)</f>
        <v>631.1</v>
      </c>
      <c r="AO302" s="853" t="str">
        <f>+VLOOKUP($AJ302,Data_Validation!$A:$D,1,0)</f>
        <v>G0925</v>
      </c>
      <c r="AP302" s="853" t="str">
        <f>+VLOOKUP($AJ302,Data_Validation!$A:$D,3,0)</f>
        <v>Carrosserie</v>
      </c>
      <c r="AQ302" s="853" t="str">
        <f>+VLOOKUP($AJ302,Data_Validation!$A:$D,4,0)</f>
        <v>Location équipement</v>
      </c>
      <c r="AR302" s="853" t="s">
        <v>728</v>
      </c>
      <c r="AS302" s="853" t="str">
        <f>+VLOOKUP($AJ302,Data_Validation!$A:$E,5,0)</f>
        <v/>
      </c>
      <c r="AT302" s="794" t="str">
        <f t="shared" ref="AT302:AU302" si="602">C302</f>
        <v>G0925</v>
      </c>
      <c r="AU302" s="854" t="str">
        <f t="shared" si="602"/>
        <v>LOCATION EQUIPEM.-CARROS.</v>
      </c>
      <c r="AV302" s="794">
        <f t="array" ref="AV302">IFERROR(INDEX(V302:AG302,1,MATCH(Parametres!$B$3,V$1:AG$1,0)-1)*IF(OR(C302="L",C302="S",C302="I"),-1,1),"")</f>
        <v>0</v>
      </c>
      <c r="AW302" s="794">
        <f t="shared" si="6"/>
        <v>0</v>
      </c>
      <c r="AX302" s="794">
        <f t="array" ref="AX302">INDEX(V302:AG302,1,MATCH(Parametres!$B$3,V$1:AG$1,0))*IF(OR(C302="L",C302="S",C302="I"),-1,1)</f>
        <v>0</v>
      </c>
      <c r="AY302" s="853" t="s">
        <v>772</v>
      </c>
      <c r="AZ302" s="853" t="str">
        <f>+VLOOKUP($AJ302,Data_Validation!$A:$E,5,0)</f>
        <v/>
      </c>
    </row>
    <row r="303" ht="15.0" customHeight="1">
      <c r="A303" s="849" t="s">
        <v>1239</v>
      </c>
      <c r="B303" s="849">
        <v>2025.0</v>
      </c>
      <c r="C303" s="849" t="s">
        <v>1916</v>
      </c>
      <c r="D303" s="849" t="s">
        <v>1917</v>
      </c>
      <c r="E303" s="849" t="s">
        <v>768</v>
      </c>
      <c r="F303" s="849" t="s">
        <v>1200</v>
      </c>
      <c r="G303" s="849">
        <v>23.24</v>
      </c>
      <c r="H303" s="849">
        <v>46.48</v>
      </c>
      <c r="I303" s="849">
        <v>61.47</v>
      </c>
      <c r="J303" s="849">
        <v>92.96</v>
      </c>
      <c r="K303" s="849">
        <v>116.2</v>
      </c>
      <c r="L303" s="849">
        <v>185.16</v>
      </c>
      <c r="M303" s="849">
        <v>216.65</v>
      </c>
      <c r="N303" s="849">
        <v>239.89</v>
      </c>
      <c r="O303" s="849">
        <v>254.88</v>
      </c>
      <c r="P303" s="849">
        <v>286.37</v>
      </c>
      <c r="Q303" s="849">
        <v>363.59</v>
      </c>
      <c r="R303" s="849">
        <v>386.83</v>
      </c>
      <c r="S303" s="849">
        <v>33.05</v>
      </c>
      <c r="T303" s="849">
        <v>33.05</v>
      </c>
      <c r="U303" s="849">
        <v>0.0</v>
      </c>
      <c r="V303" s="849">
        <v>0.0</v>
      </c>
      <c r="W303" s="849">
        <v>0.0</v>
      </c>
      <c r="X303" s="849">
        <v>0.0</v>
      </c>
      <c r="Y303" s="849">
        <v>0.0</v>
      </c>
      <c r="Z303" s="849">
        <v>0.0</v>
      </c>
      <c r="AA303" s="849">
        <v>0.0</v>
      </c>
      <c r="AB303" s="849">
        <v>0.0</v>
      </c>
      <c r="AC303" s="849">
        <v>0.0</v>
      </c>
      <c r="AD303" s="849">
        <v>0.0</v>
      </c>
      <c r="AE303" s="849">
        <v>0.0</v>
      </c>
      <c r="AF303" s="849">
        <v>0.0</v>
      </c>
      <c r="AG303" s="849">
        <v>0.0</v>
      </c>
      <c r="AH303" s="849">
        <v>0.0</v>
      </c>
      <c r="AI303" s="849">
        <v>0.0</v>
      </c>
      <c r="AJ303" s="794" t="str">
        <f t="shared" ref="AJ303:AK303" si="603">C303</f>
        <v>G0926</v>
      </c>
      <c r="AK303" s="794" t="str">
        <f t="shared" si="603"/>
        <v>LOCATION EQUIPEM.-PCES</v>
      </c>
      <c r="AL303" s="794">
        <f t="array" ref="AL303">IFERROR(INDEX(G303:R303,1,MATCH(Parametres!$B$3,G$1:R$1,0)-1)*IF(OR(F303="L",F303="S",F303="I"),-1,1),"")</f>
        <v>239.89</v>
      </c>
      <c r="AM303" s="794">
        <f t="shared" si="4"/>
        <v>14.99</v>
      </c>
      <c r="AN303" s="794">
        <f t="array" ref="AN303">INDEX(G303:R303,1,MATCH(Parametres!$B$3,G$1:R$1,0))*IF(OR(F303="L",F303="S",F303="I"),-1,1)</f>
        <v>254.88</v>
      </c>
      <c r="AO303" s="853" t="str">
        <f>+VLOOKUP($AJ303,Data_Validation!$A:$D,1,0)</f>
        <v>G0926</v>
      </c>
      <c r="AP303" s="853" t="str">
        <f>+VLOOKUP($AJ303,Data_Validation!$A:$D,3,0)</f>
        <v>Pièces</v>
      </c>
      <c r="AQ303" s="853" t="str">
        <f>+VLOOKUP($AJ303,Data_Validation!$A:$D,4,0)</f>
        <v>Location équipement</v>
      </c>
      <c r="AR303" s="853" t="s">
        <v>728</v>
      </c>
      <c r="AS303" s="853" t="str">
        <f>+VLOOKUP($AJ303,Data_Validation!$A:$E,5,0)</f>
        <v/>
      </c>
      <c r="AT303" s="794" t="str">
        <f t="shared" ref="AT303:AU303" si="604">C303</f>
        <v>G0926</v>
      </c>
      <c r="AU303" s="854" t="str">
        <f t="shared" si="604"/>
        <v>LOCATION EQUIPEM.-PCES</v>
      </c>
      <c r="AV303" s="794">
        <f t="array" ref="AV303">IFERROR(INDEX(V303:AG303,1,MATCH(Parametres!$B$3,V$1:AG$1,0)-1)*IF(OR(C303="L",C303="S",C303="I"),-1,1),"")</f>
        <v>0</v>
      </c>
      <c r="AW303" s="794">
        <f t="shared" si="6"/>
        <v>0</v>
      </c>
      <c r="AX303" s="794">
        <f t="array" ref="AX303">INDEX(V303:AG303,1,MATCH(Parametres!$B$3,V$1:AG$1,0))*IF(OR(C303="L",C303="S",C303="I"),-1,1)</f>
        <v>0</v>
      </c>
      <c r="AY303" s="853" t="s">
        <v>772</v>
      </c>
      <c r="AZ303" s="853" t="str">
        <f>+VLOOKUP($AJ303,Data_Validation!$A:$E,5,0)</f>
        <v/>
      </c>
    </row>
    <row r="304" ht="15.0" customHeight="1">
      <c r="A304" s="849" t="s">
        <v>1239</v>
      </c>
      <c r="B304" s="849">
        <v>2025.0</v>
      </c>
      <c r="C304" s="849" t="s">
        <v>1918</v>
      </c>
      <c r="D304" s="849" t="s">
        <v>1919</v>
      </c>
      <c r="E304" s="849" t="s">
        <v>768</v>
      </c>
      <c r="F304" s="849" t="s">
        <v>1200</v>
      </c>
      <c r="G304" s="849">
        <v>0.0</v>
      </c>
      <c r="H304" s="849">
        <v>0.0</v>
      </c>
      <c r="I304" s="849">
        <v>0.0</v>
      </c>
      <c r="J304" s="849">
        <v>0.0</v>
      </c>
      <c r="K304" s="849">
        <v>0.0</v>
      </c>
      <c r="L304" s="849">
        <v>0.0</v>
      </c>
      <c r="M304" s="849">
        <v>0.0</v>
      </c>
      <c r="N304" s="849">
        <v>0.0</v>
      </c>
      <c r="O304" s="849">
        <v>0.0</v>
      </c>
      <c r="P304" s="849">
        <v>0.0</v>
      </c>
      <c r="Q304" s="849">
        <v>0.0</v>
      </c>
      <c r="R304" s="849">
        <v>0.0</v>
      </c>
      <c r="S304" s="849">
        <v>0.0</v>
      </c>
      <c r="T304" s="849">
        <v>0.0</v>
      </c>
      <c r="U304" s="849">
        <v>0.0</v>
      </c>
      <c r="V304" s="849">
        <v>0.0</v>
      </c>
      <c r="W304" s="849">
        <v>0.0</v>
      </c>
      <c r="X304" s="849">
        <v>0.0</v>
      </c>
      <c r="Y304" s="849">
        <v>0.0</v>
      </c>
      <c r="Z304" s="849">
        <v>0.0</v>
      </c>
      <c r="AA304" s="849">
        <v>0.0</v>
      </c>
      <c r="AB304" s="849">
        <v>0.0</v>
      </c>
      <c r="AC304" s="849">
        <v>0.0</v>
      </c>
      <c r="AD304" s="849">
        <v>0.0</v>
      </c>
      <c r="AE304" s="849">
        <v>0.0</v>
      </c>
      <c r="AF304" s="849">
        <v>0.0</v>
      </c>
      <c r="AG304" s="849">
        <v>0.0</v>
      </c>
      <c r="AH304" s="849">
        <v>0.0</v>
      </c>
      <c r="AI304" s="849">
        <v>0.0</v>
      </c>
      <c r="AJ304" s="794" t="str">
        <f t="shared" ref="AJ304:AK304" si="605">C304</f>
        <v>G0929</v>
      </c>
      <c r="AK304" s="794" t="str">
        <f t="shared" si="605"/>
        <v>DOCUMENTS CANCELLES</v>
      </c>
      <c r="AL304" s="794">
        <f t="array" ref="AL304">IFERROR(INDEX(G304:R304,1,MATCH(Parametres!$B$3,G$1:R$1,0)-1)*IF(OR(F304="L",F304="S",F304="I"),-1,1),"")</f>
        <v>0</v>
      </c>
      <c r="AM304" s="794">
        <f t="shared" si="4"/>
        <v>0</v>
      </c>
      <c r="AN304" s="794">
        <f t="array" ref="AN304">INDEX(G304:R304,1,MATCH(Parametres!$B$3,G$1:R$1,0))*IF(OR(F304="L",F304="S",F304="I"),-1,1)</f>
        <v>0</v>
      </c>
      <c r="AO304" s="853" t="str">
        <f>+VLOOKUP($AJ304,Data_Validation!$A:$D,1,0)</f>
        <v>#N/A</v>
      </c>
      <c r="AP304" s="853" t="str">
        <f>+VLOOKUP($AJ304,Data_Validation!$A:$D,3,0)</f>
        <v>#N/A</v>
      </c>
      <c r="AQ304" s="853" t="str">
        <f>+VLOOKUP($AJ304,Data_Validation!$A:$D,4,0)</f>
        <v>#N/A</v>
      </c>
      <c r="AR304" s="853" t="s">
        <v>728</v>
      </c>
      <c r="AS304" s="853" t="str">
        <f>+VLOOKUP($AJ304,Data_Validation!$A:$E,5,0)</f>
        <v>#N/A</v>
      </c>
      <c r="AT304" s="794" t="str">
        <f t="shared" ref="AT304:AU304" si="606">C304</f>
        <v>G0929</v>
      </c>
      <c r="AU304" s="854" t="str">
        <f t="shared" si="606"/>
        <v>DOCUMENTS CANCELLES</v>
      </c>
      <c r="AV304" s="794">
        <f t="array" ref="AV304">IFERROR(INDEX(V304:AG304,1,MATCH(Parametres!$B$3,V$1:AG$1,0)-1)*IF(OR(C304="L",C304="S",C304="I"),-1,1),"")</f>
        <v>0</v>
      </c>
      <c r="AW304" s="794">
        <f t="shared" si="6"/>
        <v>0</v>
      </c>
      <c r="AX304" s="794">
        <f t="array" ref="AX304">INDEX(V304:AG304,1,MATCH(Parametres!$B$3,V$1:AG$1,0))*IF(OR(C304="L",C304="S",C304="I"),-1,1)</f>
        <v>0</v>
      </c>
      <c r="AY304" s="853" t="s">
        <v>772</v>
      </c>
      <c r="AZ304" s="853" t="str">
        <f>+VLOOKUP($AJ304,Data_Validation!$A:$E,5,0)</f>
        <v>#N/A</v>
      </c>
    </row>
    <row r="305" ht="15.75" customHeight="1">
      <c r="A305" s="849" t="s">
        <v>1239</v>
      </c>
      <c r="B305" s="849">
        <v>2025.0</v>
      </c>
      <c r="C305" s="849" t="s">
        <v>1922</v>
      </c>
      <c r="D305" s="849" t="s">
        <v>1923</v>
      </c>
      <c r="E305" s="849" t="s">
        <v>768</v>
      </c>
      <c r="F305" s="849" t="s">
        <v>1200</v>
      </c>
      <c r="G305" s="849">
        <v>0.0</v>
      </c>
      <c r="H305" s="849">
        <v>0.0</v>
      </c>
      <c r="I305" s="849">
        <v>0.0</v>
      </c>
      <c r="J305" s="849">
        <v>0.0</v>
      </c>
      <c r="K305" s="849">
        <v>0.0</v>
      </c>
      <c r="L305" s="849">
        <v>0.0</v>
      </c>
      <c r="M305" s="849">
        <v>0.0</v>
      </c>
      <c r="N305" s="849">
        <v>0.0</v>
      </c>
      <c r="O305" s="849">
        <v>0.0</v>
      </c>
      <c r="P305" s="849">
        <v>0.0</v>
      </c>
      <c r="Q305" s="849">
        <v>0.0</v>
      </c>
      <c r="R305" s="849">
        <v>0.0</v>
      </c>
      <c r="S305" s="849">
        <v>0.0</v>
      </c>
      <c r="T305" s="849">
        <v>0.0</v>
      </c>
      <c r="U305" s="849">
        <v>0.0</v>
      </c>
      <c r="V305" s="849">
        <v>0.0</v>
      </c>
      <c r="W305" s="849">
        <v>0.0</v>
      </c>
      <c r="X305" s="849">
        <v>0.0</v>
      </c>
      <c r="Y305" s="849">
        <v>0.0</v>
      </c>
      <c r="Z305" s="849">
        <v>0.0</v>
      </c>
      <c r="AA305" s="849">
        <v>0.0</v>
      </c>
      <c r="AB305" s="849">
        <v>0.0</v>
      </c>
      <c r="AC305" s="849">
        <v>0.0</v>
      </c>
      <c r="AD305" s="849">
        <v>0.0</v>
      </c>
      <c r="AE305" s="849">
        <v>0.0</v>
      </c>
      <c r="AF305" s="849">
        <v>0.0</v>
      </c>
      <c r="AG305" s="849">
        <v>0.0</v>
      </c>
      <c r="AH305" s="849">
        <v>0.0</v>
      </c>
      <c r="AI305" s="849">
        <v>0.0</v>
      </c>
      <c r="AJ305" s="794" t="str">
        <f t="shared" ref="AJ305:AK305" si="607">C305</f>
        <v>G0996</v>
      </c>
      <c r="AK305" s="794" t="str">
        <f t="shared" si="607"/>
        <v>IN &amp; OUT PAYROLL</v>
      </c>
      <c r="AL305" s="794">
        <f t="array" ref="AL305">IFERROR(INDEX(G305:R305,1,MATCH(Parametres!$B$3,G$1:R$1,0)-1)*IF(OR(F305="L",F305="S",F305="I"),-1,1),"")</f>
        <v>0</v>
      </c>
      <c r="AM305" s="794">
        <f t="shared" si="4"/>
        <v>0</v>
      </c>
      <c r="AN305" s="794">
        <f t="array" ref="AN305">INDEX(G305:R305,1,MATCH(Parametres!$B$3,G$1:R$1,0))*IF(OR(F305="L",F305="S",F305="I"),-1,1)</f>
        <v>0</v>
      </c>
      <c r="AO305" s="853" t="str">
        <f>+VLOOKUP($AJ305,Data_Validation!$A:$D,1,0)</f>
        <v>#N/A</v>
      </c>
      <c r="AP305" s="853" t="str">
        <f>+VLOOKUP($AJ305,Data_Validation!$A:$D,3,0)</f>
        <v>#N/A</v>
      </c>
      <c r="AQ305" s="853" t="str">
        <f>+VLOOKUP($AJ305,Data_Validation!$A:$D,4,0)</f>
        <v>#N/A</v>
      </c>
      <c r="AR305" s="853" t="s">
        <v>728</v>
      </c>
      <c r="AS305" s="853" t="str">
        <f>+VLOOKUP($AJ305,Data_Validation!$A:$E,5,0)</f>
        <v>#N/A</v>
      </c>
      <c r="AT305" s="794" t="str">
        <f t="shared" ref="AT305:AU305" si="608">C305</f>
        <v>G0996</v>
      </c>
      <c r="AU305" s="854" t="str">
        <f t="shared" si="608"/>
        <v>IN &amp; OUT PAYROLL</v>
      </c>
      <c r="AV305" s="794">
        <f t="array" ref="AV305">IFERROR(INDEX(V305:AG305,1,MATCH(Parametres!$B$3,V$1:AG$1,0)-1)*IF(OR(C305="L",C305="S",C305="I"),-1,1),"")</f>
        <v>0</v>
      </c>
      <c r="AW305" s="794">
        <f t="shared" si="6"/>
        <v>0</v>
      </c>
      <c r="AX305" s="794">
        <f t="array" ref="AX305">INDEX(V305:AG305,1,MATCH(Parametres!$B$3,V$1:AG$1,0))*IF(OR(C305="L",C305="S",C305="I"),-1,1)</f>
        <v>0</v>
      </c>
      <c r="AY305" s="853" t="s">
        <v>772</v>
      </c>
      <c r="AZ305" s="853" t="str">
        <f>+VLOOKUP($AJ305,Data_Validation!$A:$E,5,0)</f>
        <v>#N/A</v>
      </c>
    </row>
    <row r="306" ht="15.0" customHeight="1">
      <c r="A306" s="849" t="s">
        <v>1239</v>
      </c>
      <c r="B306" s="849">
        <v>2025.0</v>
      </c>
      <c r="C306" s="849" t="s">
        <v>1924</v>
      </c>
      <c r="D306" s="849" t="s">
        <v>1925</v>
      </c>
      <c r="E306" s="849" t="s">
        <v>768</v>
      </c>
      <c r="F306" s="849" t="s">
        <v>1926</v>
      </c>
      <c r="G306" s="849">
        <v>0.0</v>
      </c>
      <c r="H306" s="849">
        <v>0.0</v>
      </c>
      <c r="I306" s="849">
        <v>0.0</v>
      </c>
      <c r="J306" s="849">
        <v>0.0</v>
      </c>
      <c r="K306" s="849">
        <v>0.0</v>
      </c>
      <c r="L306" s="849">
        <v>0.0</v>
      </c>
      <c r="M306" s="849">
        <v>0.0</v>
      </c>
      <c r="N306" s="849">
        <v>0.0</v>
      </c>
      <c r="O306" s="849">
        <v>0.0</v>
      </c>
      <c r="P306" s="849">
        <v>0.0</v>
      </c>
      <c r="Q306" s="849">
        <v>0.0</v>
      </c>
      <c r="R306" s="849">
        <v>0.0</v>
      </c>
      <c r="S306" s="849">
        <v>0.0</v>
      </c>
      <c r="T306" s="849">
        <v>0.0</v>
      </c>
      <c r="U306" s="849">
        <v>0.0</v>
      </c>
      <c r="V306" s="849">
        <v>0.0</v>
      </c>
      <c r="W306" s="849">
        <v>0.0</v>
      </c>
      <c r="X306" s="849">
        <v>0.0</v>
      </c>
      <c r="Y306" s="849">
        <v>0.0</v>
      </c>
      <c r="Z306" s="849">
        <v>0.0</v>
      </c>
      <c r="AA306" s="849">
        <v>0.0</v>
      </c>
      <c r="AB306" s="849">
        <v>0.0</v>
      </c>
      <c r="AC306" s="849">
        <v>0.0</v>
      </c>
      <c r="AD306" s="849">
        <v>0.0</v>
      </c>
      <c r="AE306" s="849">
        <v>0.0</v>
      </c>
      <c r="AF306" s="849">
        <v>0.0</v>
      </c>
      <c r="AG306" s="849">
        <v>0.0</v>
      </c>
      <c r="AH306" s="849">
        <v>0.0</v>
      </c>
      <c r="AI306" s="849">
        <v>0.0</v>
      </c>
      <c r="AJ306" s="794" t="str">
        <f t="shared" ref="AJ306:AK306" si="609">C306</f>
        <v>G1100</v>
      </c>
      <c r="AK306" s="794" t="str">
        <f t="shared" si="609"/>
        <v>VENTES AU COMPTANT</v>
      </c>
      <c r="AL306" s="794">
        <f t="array" ref="AL306">IFERROR(INDEX(G306:R306,1,MATCH(Parametres!$B$3,G$1:R$1,0)-1)*IF(OR(F306="L",F306="S",F306="I"),-1,1),"")</f>
        <v>0</v>
      </c>
      <c r="AM306" s="794">
        <f t="shared" si="4"/>
        <v>0</v>
      </c>
      <c r="AN306" s="794">
        <f t="array" ref="AN306">INDEX(G306:R306,1,MATCH(Parametres!$B$3,G$1:R$1,0))*IF(OR(F306="L",F306="S",F306="I"),-1,1)</f>
        <v>0</v>
      </c>
      <c r="AO306" s="853" t="str">
        <f>+VLOOKUP($AJ306,Data_Validation!$A:$D,1,0)</f>
        <v>G1100</v>
      </c>
      <c r="AP306" s="853" t="str">
        <f>+VLOOKUP($AJ306,Data_Validation!$A:$D,3,0)</f>
        <v/>
      </c>
      <c r="AQ306" s="853" t="str">
        <f>+VLOOKUP($AJ306,Data_Validation!$A:$D,4,0)</f>
        <v/>
      </c>
      <c r="AR306" s="853" t="s">
        <v>728</v>
      </c>
      <c r="AS306" s="853" t="str">
        <f>+VLOOKUP($AJ306,Data_Validation!$A:$E,5,0)</f>
        <v/>
      </c>
      <c r="AT306" s="794" t="str">
        <f t="shared" ref="AT306:AU306" si="610">C306</f>
        <v>G1100</v>
      </c>
      <c r="AU306" s="854" t="str">
        <f t="shared" si="610"/>
        <v>VENTES AU COMPTANT</v>
      </c>
      <c r="AV306" s="794">
        <f t="array" ref="AV306">IFERROR(INDEX(V306:AG306,1,MATCH(Parametres!$B$3,V$1:AG$1,0)-1)*IF(OR(C306="L",C306="S",C306="I"),-1,1),"")</f>
        <v>0</v>
      </c>
      <c r="AW306" s="794">
        <f t="shared" si="6"/>
        <v>0</v>
      </c>
      <c r="AX306" s="794">
        <f t="array" ref="AX306">INDEX(V306:AG306,1,MATCH(Parametres!$B$3,V$1:AG$1,0))*IF(OR(C306="L",C306="S",C306="I"),-1,1)</f>
        <v>0</v>
      </c>
      <c r="AY306" s="853" t="s">
        <v>772</v>
      </c>
      <c r="AZ306" s="853" t="str">
        <f>+VLOOKUP($AJ306,Data_Validation!$A:$E,5,0)</f>
        <v/>
      </c>
    </row>
    <row r="307" ht="15.0" customHeight="1">
      <c r="A307" s="849" t="s">
        <v>1239</v>
      </c>
      <c r="B307" s="849">
        <v>2025.0</v>
      </c>
      <c r="C307" s="849" t="s">
        <v>1927</v>
      </c>
      <c r="D307" s="849" t="s">
        <v>1928</v>
      </c>
      <c r="E307" s="849" t="s">
        <v>768</v>
      </c>
      <c r="F307" s="849" t="s">
        <v>1926</v>
      </c>
      <c r="G307" s="849">
        <v>2266.05</v>
      </c>
      <c r="H307" s="849">
        <v>2266.05</v>
      </c>
      <c r="I307" s="849">
        <v>2266.05</v>
      </c>
      <c r="J307" s="849">
        <v>2266.05</v>
      </c>
      <c r="K307" s="849">
        <v>2266.05</v>
      </c>
      <c r="L307" s="849">
        <v>2266.05</v>
      </c>
      <c r="M307" s="849">
        <v>2266.05</v>
      </c>
      <c r="N307" s="849">
        <v>2266.05</v>
      </c>
      <c r="O307" s="849">
        <v>2266.05</v>
      </c>
      <c r="P307" s="849">
        <v>2266.05</v>
      </c>
      <c r="Q307" s="849">
        <v>2266.05</v>
      </c>
      <c r="R307" s="849">
        <v>3100.0</v>
      </c>
      <c r="S307" s="849">
        <v>0.0</v>
      </c>
      <c r="T307" s="849">
        <v>0.0</v>
      </c>
      <c r="U307" s="849">
        <v>0.0</v>
      </c>
      <c r="V307" s="849">
        <v>0.0</v>
      </c>
      <c r="W307" s="849">
        <v>0.0</v>
      </c>
      <c r="X307" s="849">
        <v>0.0</v>
      </c>
      <c r="Y307" s="849">
        <v>0.0</v>
      </c>
      <c r="Z307" s="849">
        <v>0.0</v>
      </c>
      <c r="AA307" s="849">
        <v>0.0</v>
      </c>
      <c r="AB307" s="849">
        <v>0.0</v>
      </c>
      <c r="AC307" s="849">
        <v>0.0</v>
      </c>
      <c r="AD307" s="849">
        <v>0.0</v>
      </c>
      <c r="AE307" s="849">
        <v>0.0</v>
      </c>
      <c r="AF307" s="849">
        <v>0.0</v>
      </c>
      <c r="AG307" s="849">
        <v>0.0</v>
      </c>
      <c r="AH307" s="849">
        <v>0.0</v>
      </c>
      <c r="AI307" s="849">
        <v>0.0</v>
      </c>
      <c r="AJ307" s="794" t="str">
        <f t="shared" ref="AJ307:AK307" si="611">C307</f>
        <v>G20000</v>
      </c>
      <c r="AK307" s="794" t="str">
        <f t="shared" si="611"/>
        <v>PETITE CAISSE</v>
      </c>
      <c r="AL307" s="794">
        <f t="array" ref="AL307">IFERROR(INDEX(G307:R307,1,MATCH(Parametres!$B$3,G$1:R$1,0)-1)*IF(OR(F307="L",F307="S",F307="I"),-1,1),"")</f>
        <v>2266.05</v>
      </c>
      <c r="AM307" s="794">
        <f t="shared" si="4"/>
        <v>0</v>
      </c>
      <c r="AN307" s="794">
        <f t="array" ref="AN307">INDEX(G307:R307,1,MATCH(Parametres!$B$3,G$1:R$1,0))*IF(OR(F307="L",F307="S",F307="I"),-1,1)</f>
        <v>2266.05</v>
      </c>
      <c r="AO307" s="853" t="str">
        <f>+VLOOKUP($AJ307,Data_Validation!$A:$D,1,0)</f>
        <v>G20000</v>
      </c>
      <c r="AP307" s="853" t="str">
        <f>+VLOOKUP($AJ307,Data_Validation!$A:$D,3,0)</f>
        <v>Bilan</v>
      </c>
      <c r="AQ307" s="853" t="str">
        <f>+VLOOKUP($AJ307,Data_Validation!$A:$D,4,0)</f>
        <v>Encaisse</v>
      </c>
      <c r="AR307" s="853" t="s">
        <v>728</v>
      </c>
      <c r="AS307" s="853" t="str">
        <f>+VLOOKUP($AJ307,Data_Validation!$A:$E,5,0)</f>
        <v/>
      </c>
      <c r="AT307" s="794" t="str">
        <f t="shared" ref="AT307:AU307" si="612">C307</f>
        <v>G20000</v>
      </c>
      <c r="AU307" s="854" t="str">
        <f t="shared" si="612"/>
        <v>PETITE CAISSE</v>
      </c>
      <c r="AV307" s="794">
        <f t="array" ref="AV307">IFERROR(INDEX(V307:AG307,1,MATCH(Parametres!$B$3,V$1:AG$1,0)-1)*IF(OR(C307="L",C307="S",C307="I"),-1,1),"")</f>
        <v>0</v>
      </c>
      <c r="AW307" s="794">
        <f t="shared" si="6"/>
        <v>0</v>
      </c>
      <c r="AX307" s="794">
        <f t="array" ref="AX307">INDEX(V307:AG307,1,MATCH(Parametres!$B$3,V$1:AG$1,0))*IF(OR(C307="L",C307="S",C307="I"),-1,1)</f>
        <v>0</v>
      </c>
      <c r="AY307" s="853" t="s">
        <v>772</v>
      </c>
      <c r="AZ307" s="853" t="str">
        <f>+VLOOKUP($AJ307,Data_Validation!$A:$E,5,0)</f>
        <v/>
      </c>
    </row>
    <row r="308" ht="15.0" customHeight="1">
      <c r="A308" s="849" t="s">
        <v>1239</v>
      </c>
      <c r="B308" s="849">
        <v>2025.0</v>
      </c>
      <c r="C308" s="849" t="s">
        <v>1929</v>
      </c>
      <c r="D308" s="849" t="s">
        <v>1930</v>
      </c>
      <c r="E308" s="849" t="s">
        <v>1931</v>
      </c>
      <c r="F308" s="849" t="s">
        <v>1926</v>
      </c>
      <c r="G308" s="849">
        <v>0.0</v>
      </c>
      <c r="H308" s="849">
        <v>0.0</v>
      </c>
      <c r="I308" s="849">
        <v>0.0</v>
      </c>
      <c r="J308" s="849">
        <v>0.0</v>
      </c>
      <c r="K308" s="849">
        <v>0.0</v>
      </c>
      <c r="L308" s="849">
        <v>0.0</v>
      </c>
      <c r="M308" s="849">
        <v>0.0</v>
      </c>
      <c r="N308" s="849">
        <v>-0.02</v>
      </c>
      <c r="O308" s="849">
        <v>-0.05</v>
      </c>
      <c r="P308" s="849">
        <v>-0.01</v>
      </c>
      <c r="Q308" s="849">
        <v>0.0</v>
      </c>
      <c r="R308" s="849">
        <v>0.0</v>
      </c>
      <c r="S308" s="849">
        <v>0.0</v>
      </c>
      <c r="T308" s="849">
        <v>0.0</v>
      </c>
      <c r="U308" s="849">
        <v>0.0</v>
      </c>
      <c r="V308" s="849">
        <v>0.0</v>
      </c>
      <c r="W308" s="849">
        <v>0.0</v>
      </c>
      <c r="X308" s="849">
        <v>0.0</v>
      </c>
      <c r="Y308" s="849">
        <v>0.0</v>
      </c>
      <c r="Z308" s="849">
        <v>0.0</v>
      </c>
      <c r="AA308" s="849">
        <v>0.0</v>
      </c>
      <c r="AB308" s="849">
        <v>0.0</v>
      </c>
      <c r="AC308" s="849">
        <v>0.0</v>
      </c>
      <c r="AD308" s="849">
        <v>0.0</v>
      </c>
      <c r="AE308" s="849">
        <v>0.0</v>
      </c>
      <c r="AF308" s="849">
        <v>0.0</v>
      </c>
      <c r="AG308" s="849">
        <v>0.0</v>
      </c>
      <c r="AH308" s="849">
        <v>0.0</v>
      </c>
      <c r="AI308" s="849">
        <v>0.0</v>
      </c>
      <c r="AJ308" s="794" t="str">
        <f t="shared" ref="AJ308:AK308" si="613">C308</f>
        <v>G20001</v>
      </c>
      <c r="AK308" s="794" t="str">
        <f t="shared" si="613"/>
        <v>FUSION PAIE/COMMISSIONS</v>
      </c>
      <c r="AL308" s="794">
        <f t="array" ref="AL308">IFERROR(INDEX(G308:R308,1,MATCH(Parametres!$B$3,G$1:R$1,0)-1)*IF(OR(F308="L",F308="S",F308="I"),-1,1),"")</f>
        <v>-0.02</v>
      </c>
      <c r="AM308" s="794">
        <f t="shared" si="4"/>
        <v>-0.03</v>
      </c>
      <c r="AN308" s="794">
        <f t="array" ref="AN308">INDEX(G308:R308,1,MATCH(Parametres!$B$3,G$1:R$1,0))*IF(OR(F308="L",F308="S",F308="I"),-1,1)</f>
        <v>-0.05</v>
      </c>
      <c r="AO308" s="853" t="str">
        <f>+VLOOKUP($AJ308,Data_Validation!$A:$D,1,0)</f>
        <v>G20001</v>
      </c>
      <c r="AP308" s="853" t="str">
        <f>+VLOOKUP($AJ308,Data_Validation!$A:$D,3,0)</f>
        <v>Bilan</v>
      </c>
      <c r="AQ308" s="853" t="str">
        <f>+VLOOKUP($AJ308,Data_Validation!$A:$D,4,0)</f>
        <v>Salaires à Payer</v>
      </c>
      <c r="AR308" s="853" t="s">
        <v>728</v>
      </c>
      <c r="AS308" s="853" t="str">
        <f>+VLOOKUP($AJ308,Data_Validation!$A:$E,5,0)</f>
        <v/>
      </c>
      <c r="AT308" s="794" t="str">
        <f t="shared" ref="AT308:AU308" si="614">C308</f>
        <v>G20001</v>
      </c>
      <c r="AU308" s="854" t="str">
        <f t="shared" si="614"/>
        <v>FUSION PAIE/COMMISSIONS</v>
      </c>
      <c r="AV308" s="794">
        <f t="array" ref="AV308">IFERROR(INDEX(V308:AG308,1,MATCH(Parametres!$B$3,V$1:AG$1,0)-1)*IF(OR(C308="L",C308="S",C308="I"),-1,1),"")</f>
        <v>0</v>
      </c>
      <c r="AW308" s="794">
        <f t="shared" si="6"/>
        <v>0</v>
      </c>
      <c r="AX308" s="794">
        <f t="array" ref="AX308">INDEX(V308:AG308,1,MATCH(Parametres!$B$3,V$1:AG$1,0))*IF(OR(C308="L",C308="S",C308="I"),-1,1)</f>
        <v>0</v>
      </c>
      <c r="AY308" s="853" t="s">
        <v>772</v>
      </c>
      <c r="AZ308" s="853" t="str">
        <f>+VLOOKUP($AJ308,Data_Validation!$A:$E,5,0)</f>
        <v/>
      </c>
    </row>
    <row r="309" ht="15.75" customHeight="1">
      <c r="A309" s="849" t="s">
        <v>1239</v>
      </c>
      <c r="B309" s="849">
        <v>2025.0</v>
      </c>
      <c r="C309" s="849" t="s">
        <v>1932</v>
      </c>
      <c r="D309" s="849" t="s">
        <v>1933</v>
      </c>
      <c r="E309" s="849" t="s">
        <v>1931</v>
      </c>
      <c r="F309" s="849" t="s">
        <v>1926</v>
      </c>
      <c r="G309" s="849">
        <v>0.0</v>
      </c>
      <c r="H309" s="849">
        <v>0.0</v>
      </c>
      <c r="I309" s="849">
        <v>0.0</v>
      </c>
      <c r="J309" s="849">
        <v>0.0</v>
      </c>
      <c r="K309" s="849">
        <v>0.0</v>
      </c>
      <c r="L309" s="849">
        <v>0.0</v>
      </c>
      <c r="M309" s="849">
        <v>0.0</v>
      </c>
      <c r="N309" s="849">
        <v>0.0</v>
      </c>
      <c r="O309" s="849">
        <v>0.0</v>
      </c>
      <c r="P309" s="849">
        <v>0.0</v>
      </c>
      <c r="Q309" s="849">
        <v>0.0</v>
      </c>
      <c r="R309" s="849">
        <v>0.0</v>
      </c>
      <c r="S309" s="849">
        <v>0.0</v>
      </c>
      <c r="T309" s="849">
        <v>0.0</v>
      </c>
      <c r="U309" s="849">
        <v>0.0</v>
      </c>
      <c r="V309" s="849">
        <v>0.0</v>
      </c>
      <c r="W309" s="849">
        <v>0.0</v>
      </c>
      <c r="X309" s="849">
        <v>0.0</v>
      </c>
      <c r="Y309" s="849">
        <v>0.0</v>
      </c>
      <c r="Z309" s="849">
        <v>0.0</v>
      </c>
      <c r="AA309" s="849">
        <v>0.0</v>
      </c>
      <c r="AB309" s="849">
        <v>0.0</v>
      </c>
      <c r="AC309" s="849">
        <v>0.0</v>
      </c>
      <c r="AD309" s="849">
        <v>0.0</v>
      </c>
      <c r="AE309" s="849">
        <v>0.0</v>
      </c>
      <c r="AF309" s="849">
        <v>0.0</v>
      </c>
      <c r="AG309" s="849">
        <v>0.0</v>
      </c>
      <c r="AH309" s="849">
        <v>0.0</v>
      </c>
      <c r="AI309" s="849">
        <v>0.0</v>
      </c>
      <c r="AJ309" s="794" t="str">
        <f t="shared" ref="AJ309:AK309" si="615">C309</f>
        <v>G20100</v>
      </c>
      <c r="AK309" s="794" t="str">
        <f t="shared" si="615"/>
        <v>DESJARDINS CTE</v>
      </c>
      <c r="AL309" s="794">
        <f t="array" ref="AL309">IFERROR(INDEX(G309:R309,1,MATCH(Parametres!$B$3,G$1:R$1,0)-1)*IF(OR(F309="L",F309="S",F309="I"),-1,1),"")</f>
        <v>0</v>
      </c>
      <c r="AM309" s="794">
        <f t="shared" si="4"/>
        <v>0</v>
      </c>
      <c r="AN309" s="794">
        <f t="array" ref="AN309">INDEX(G309:R309,1,MATCH(Parametres!$B$3,G$1:R$1,0))*IF(OR(F309="L",F309="S",F309="I"),-1,1)</f>
        <v>0</v>
      </c>
      <c r="AO309" s="853" t="str">
        <f>+VLOOKUP($AJ309,Data_Validation!$A:$D,1,0)</f>
        <v>G20100</v>
      </c>
      <c r="AP309" s="853" t="str">
        <f>+VLOOKUP($AJ309,Data_Validation!$A:$D,3,0)</f>
        <v>Bilan</v>
      </c>
      <c r="AQ309" s="853" t="str">
        <f>+VLOOKUP($AJ309,Data_Validation!$A:$D,4,0)</f>
        <v>Encaisse</v>
      </c>
      <c r="AR309" s="853" t="s">
        <v>728</v>
      </c>
      <c r="AS309" s="853" t="str">
        <f>+VLOOKUP($AJ309,Data_Validation!$A:$E,5,0)</f>
        <v/>
      </c>
      <c r="AT309" s="794" t="str">
        <f t="shared" ref="AT309:AU309" si="616">C309</f>
        <v>G20100</v>
      </c>
      <c r="AU309" s="854" t="str">
        <f t="shared" si="616"/>
        <v>DESJARDINS CTE</v>
      </c>
      <c r="AV309" s="794">
        <f t="array" ref="AV309">IFERROR(INDEX(V309:AG309,1,MATCH(Parametres!$B$3,V$1:AG$1,0)-1)*IF(OR(C309="L",C309="S",C309="I"),-1,1),"")</f>
        <v>0</v>
      </c>
      <c r="AW309" s="794">
        <f t="shared" si="6"/>
        <v>0</v>
      </c>
      <c r="AX309" s="794">
        <f t="array" ref="AX309">INDEX(V309:AG309,1,MATCH(Parametres!$B$3,V$1:AG$1,0))*IF(OR(C309="L",C309="S",C309="I"),-1,1)</f>
        <v>0</v>
      </c>
      <c r="AY309" s="853" t="s">
        <v>772</v>
      </c>
      <c r="AZ309" s="853" t="str">
        <f>+VLOOKUP($AJ309,Data_Validation!$A:$E,5,0)</f>
        <v/>
      </c>
    </row>
    <row r="310" ht="15.0" customHeight="1">
      <c r="A310" s="849" t="s">
        <v>1239</v>
      </c>
      <c r="B310" s="849">
        <v>2025.0</v>
      </c>
      <c r="C310" s="849" t="s">
        <v>1934</v>
      </c>
      <c r="D310" s="849" t="s">
        <v>1935</v>
      </c>
      <c r="E310" s="849" t="s">
        <v>1931</v>
      </c>
      <c r="F310" s="849" t="s">
        <v>1926</v>
      </c>
      <c r="G310" s="849">
        <v>0.0</v>
      </c>
      <c r="H310" s="849">
        <v>0.0</v>
      </c>
      <c r="I310" s="849">
        <v>0.0</v>
      </c>
      <c r="J310" s="849">
        <v>0.0</v>
      </c>
      <c r="K310" s="849">
        <v>0.0</v>
      </c>
      <c r="L310" s="849">
        <v>0.0</v>
      </c>
      <c r="M310" s="849">
        <v>0.0</v>
      </c>
      <c r="N310" s="849">
        <v>0.0</v>
      </c>
      <c r="O310" s="849">
        <v>0.0</v>
      </c>
      <c r="P310" s="849">
        <v>0.0</v>
      </c>
      <c r="Q310" s="849">
        <v>0.0</v>
      </c>
      <c r="R310" s="849">
        <v>0.0</v>
      </c>
      <c r="S310" s="849">
        <v>0.0</v>
      </c>
      <c r="T310" s="849">
        <v>0.0</v>
      </c>
      <c r="U310" s="849">
        <v>0.0</v>
      </c>
      <c r="V310" s="849">
        <v>0.0</v>
      </c>
      <c r="W310" s="849">
        <v>0.0</v>
      </c>
      <c r="X310" s="849">
        <v>0.0</v>
      </c>
      <c r="Y310" s="849">
        <v>0.0</v>
      </c>
      <c r="Z310" s="849">
        <v>0.0</v>
      </c>
      <c r="AA310" s="849">
        <v>0.0</v>
      </c>
      <c r="AB310" s="849">
        <v>0.0</v>
      </c>
      <c r="AC310" s="849">
        <v>0.0</v>
      </c>
      <c r="AD310" s="849">
        <v>0.0</v>
      </c>
      <c r="AE310" s="849">
        <v>0.0</v>
      </c>
      <c r="AF310" s="849">
        <v>0.0</v>
      </c>
      <c r="AG310" s="849">
        <v>0.0</v>
      </c>
      <c r="AH310" s="849">
        <v>0.0</v>
      </c>
      <c r="AI310" s="849">
        <v>0.0</v>
      </c>
      <c r="AJ310" s="794" t="str">
        <f t="shared" ref="AJ310:AK310" si="617">C310</f>
        <v>G2020A</v>
      </c>
      <c r="AK310" s="794" t="str">
        <f t="shared" si="617"/>
        <v>BNQ NATIONALE MASTER CARD</v>
      </c>
      <c r="AL310" s="794">
        <f t="array" ref="AL310">IFERROR(INDEX(G310:R310,1,MATCH(Parametres!$B$3,G$1:R$1,0)-1)*IF(OR(F310="L",F310="S",F310="I"),-1,1),"")</f>
        <v>0</v>
      </c>
      <c r="AM310" s="794">
        <f t="shared" si="4"/>
        <v>0</v>
      </c>
      <c r="AN310" s="794">
        <f t="array" ref="AN310">INDEX(G310:R310,1,MATCH(Parametres!$B$3,G$1:R$1,0))*IF(OR(F310="L",F310="S",F310="I"),-1,1)</f>
        <v>0</v>
      </c>
      <c r="AO310" s="853" t="str">
        <f>+VLOOKUP($AJ310,Data_Validation!$A:$D,1,0)</f>
        <v>#N/A</v>
      </c>
      <c r="AP310" s="853" t="str">
        <f>+VLOOKUP($AJ310,Data_Validation!$A:$D,3,0)</f>
        <v>#N/A</v>
      </c>
      <c r="AQ310" s="853" t="str">
        <f>+VLOOKUP($AJ310,Data_Validation!$A:$D,4,0)</f>
        <v>#N/A</v>
      </c>
      <c r="AR310" s="853" t="s">
        <v>728</v>
      </c>
      <c r="AS310" s="853" t="str">
        <f>+VLOOKUP($AJ310,Data_Validation!$A:$E,5,0)</f>
        <v>#N/A</v>
      </c>
      <c r="AT310" s="794" t="str">
        <f t="shared" ref="AT310:AU310" si="618">C310</f>
        <v>G2020A</v>
      </c>
      <c r="AU310" s="854" t="str">
        <f t="shared" si="618"/>
        <v>BNQ NATIONALE MASTER CARD</v>
      </c>
      <c r="AV310" s="794">
        <f t="array" ref="AV310">IFERROR(INDEX(V310:AG310,1,MATCH(Parametres!$B$3,V$1:AG$1,0)-1)*IF(OR(C310="L",C310="S",C310="I"),-1,1),"")</f>
        <v>0</v>
      </c>
      <c r="AW310" s="794">
        <f t="shared" si="6"/>
        <v>0</v>
      </c>
      <c r="AX310" s="794">
        <f t="array" ref="AX310">INDEX(V310:AG310,1,MATCH(Parametres!$B$3,V$1:AG$1,0))*IF(OR(C310="L",C310="S",C310="I"),-1,1)</f>
        <v>0</v>
      </c>
      <c r="AY310" s="853" t="s">
        <v>772</v>
      </c>
      <c r="AZ310" s="853" t="str">
        <f>+VLOOKUP($AJ310,Data_Validation!$A:$E,5,0)</f>
        <v>#N/A</v>
      </c>
    </row>
    <row r="311" ht="15.0" customHeight="1">
      <c r="A311" s="849" t="s">
        <v>1239</v>
      </c>
      <c r="B311" s="849">
        <v>2025.0</v>
      </c>
      <c r="C311" s="849" t="s">
        <v>1936</v>
      </c>
      <c r="D311" s="849" t="s">
        <v>1937</v>
      </c>
      <c r="E311" s="849" t="s">
        <v>1931</v>
      </c>
      <c r="F311" s="849" t="s">
        <v>1926</v>
      </c>
      <c r="G311" s="849">
        <v>988802.28</v>
      </c>
      <c r="H311" s="849">
        <v>2307648.7</v>
      </c>
      <c r="I311" s="849">
        <v>1602483.86</v>
      </c>
      <c r="J311" s="849">
        <v>1387782.11</v>
      </c>
      <c r="K311" s="849">
        <v>6446635.58</v>
      </c>
      <c r="L311" s="849">
        <v>1042052.18</v>
      </c>
      <c r="M311" s="849">
        <v>-2197049.25</v>
      </c>
      <c r="N311" s="849">
        <v>315711.92</v>
      </c>
      <c r="O311" s="849">
        <v>2113536.24</v>
      </c>
      <c r="P311" s="849">
        <v>2837536.93</v>
      </c>
      <c r="Q311" s="849">
        <v>1563779.16</v>
      </c>
      <c r="R311" s="849">
        <v>3487162.65</v>
      </c>
      <c r="S311" s="849">
        <v>0.0</v>
      </c>
      <c r="T311" s="849">
        <v>0.0</v>
      </c>
      <c r="U311" s="849">
        <v>0.0</v>
      </c>
      <c r="V311" s="849">
        <v>0.0</v>
      </c>
      <c r="W311" s="849">
        <v>0.0</v>
      </c>
      <c r="X311" s="849">
        <v>0.0</v>
      </c>
      <c r="Y311" s="849">
        <v>0.0</v>
      </c>
      <c r="Z311" s="849">
        <v>0.0</v>
      </c>
      <c r="AA311" s="849">
        <v>0.0</v>
      </c>
      <c r="AB311" s="849">
        <v>0.0</v>
      </c>
      <c r="AC311" s="849">
        <v>0.0</v>
      </c>
      <c r="AD311" s="849">
        <v>0.0</v>
      </c>
      <c r="AE311" s="849">
        <v>0.0</v>
      </c>
      <c r="AF311" s="849">
        <v>0.0</v>
      </c>
      <c r="AG311" s="849">
        <v>0.0</v>
      </c>
      <c r="AH311" s="849">
        <v>0.0</v>
      </c>
      <c r="AI311" s="849">
        <v>0.0</v>
      </c>
      <c r="AJ311" s="794" t="str">
        <f t="shared" ref="AJ311:AK311" si="619">C311</f>
        <v>G20200</v>
      </c>
      <c r="AK311" s="794" t="str">
        <f t="shared" si="619"/>
        <v>BANQUE TD CANADA TRUST</v>
      </c>
      <c r="AL311" s="794">
        <f t="array" ref="AL311">IFERROR(INDEX(G311:R311,1,MATCH(Parametres!$B$3,G$1:R$1,0)-1)*IF(OR(F311="L",F311="S",F311="I"),-1,1),"")</f>
        <v>315711.92</v>
      </c>
      <c r="AM311" s="794">
        <f t="shared" si="4"/>
        <v>1797824.32</v>
      </c>
      <c r="AN311" s="794">
        <f t="array" ref="AN311">INDEX(G311:R311,1,MATCH(Parametres!$B$3,G$1:R$1,0))*IF(OR(F311="L",F311="S",F311="I"),-1,1)</f>
        <v>2113536.24</v>
      </c>
      <c r="AO311" s="853" t="str">
        <f>+VLOOKUP($AJ311,Data_Validation!$A:$D,1,0)</f>
        <v>G20200</v>
      </c>
      <c r="AP311" s="853" t="str">
        <f>+VLOOKUP($AJ311,Data_Validation!$A:$D,3,0)</f>
        <v>Bilan</v>
      </c>
      <c r="AQ311" s="853" t="str">
        <f>+VLOOKUP($AJ311,Data_Validation!$A:$D,4,0)</f>
        <v>Encaisse</v>
      </c>
      <c r="AR311" s="853" t="s">
        <v>728</v>
      </c>
      <c r="AS311" s="853" t="str">
        <f>+VLOOKUP($AJ311,Data_Validation!$A:$E,5,0)</f>
        <v/>
      </c>
      <c r="AT311" s="794" t="str">
        <f t="shared" ref="AT311:AU311" si="620">C311</f>
        <v>G20200</v>
      </c>
      <c r="AU311" s="854" t="str">
        <f t="shared" si="620"/>
        <v>BANQUE TD CANADA TRUST</v>
      </c>
      <c r="AV311" s="794">
        <f t="array" ref="AV311">IFERROR(INDEX(V311:AG311,1,MATCH(Parametres!$B$3,V$1:AG$1,0)-1)*IF(OR(C311="L",C311="S",C311="I"),-1,1),"")</f>
        <v>0</v>
      </c>
      <c r="AW311" s="794">
        <f t="shared" si="6"/>
        <v>0</v>
      </c>
      <c r="AX311" s="794">
        <f t="array" ref="AX311">INDEX(V311:AG311,1,MATCH(Parametres!$B$3,V$1:AG$1,0))*IF(OR(C311="L",C311="S",C311="I"),-1,1)</f>
        <v>0</v>
      </c>
      <c r="AY311" s="853" t="s">
        <v>772</v>
      </c>
      <c r="AZ311" s="853" t="str">
        <f>+VLOOKUP($AJ311,Data_Validation!$A:$E,5,0)</f>
        <v/>
      </c>
    </row>
    <row r="312" ht="15.0" customHeight="1">
      <c r="A312" s="849" t="s">
        <v>1239</v>
      </c>
      <c r="B312" s="849">
        <v>2025.0</v>
      </c>
      <c r="C312" s="849" t="s">
        <v>1938</v>
      </c>
      <c r="D312" s="849" t="s">
        <v>1939</v>
      </c>
      <c r="E312" s="849" t="s">
        <v>768</v>
      </c>
      <c r="F312" s="849" t="s">
        <v>1926</v>
      </c>
      <c r="G312" s="849">
        <v>0.0</v>
      </c>
      <c r="H312" s="849">
        <v>0.0</v>
      </c>
      <c r="I312" s="849">
        <v>0.0</v>
      </c>
      <c r="J312" s="849">
        <v>0.0</v>
      </c>
      <c r="K312" s="849">
        <v>0.0</v>
      </c>
      <c r="L312" s="849">
        <v>0.0</v>
      </c>
      <c r="M312" s="849">
        <v>0.0</v>
      </c>
      <c r="N312" s="849">
        <v>0.0</v>
      </c>
      <c r="O312" s="849">
        <v>0.0</v>
      </c>
      <c r="P312" s="849">
        <v>0.0</v>
      </c>
      <c r="Q312" s="849">
        <v>0.0</v>
      </c>
      <c r="R312" s="849">
        <v>0.0</v>
      </c>
      <c r="S312" s="849">
        <v>0.0</v>
      </c>
      <c r="T312" s="849">
        <v>0.0</v>
      </c>
      <c r="U312" s="849">
        <v>0.0</v>
      </c>
      <c r="V312" s="849">
        <v>0.0</v>
      </c>
      <c r="W312" s="849">
        <v>0.0</v>
      </c>
      <c r="X312" s="849">
        <v>0.0</v>
      </c>
      <c r="Y312" s="849">
        <v>0.0</v>
      </c>
      <c r="Z312" s="849">
        <v>0.0</v>
      </c>
      <c r="AA312" s="849">
        <v>0.0</v>
      </c>
      <c r="AB312" s="849">
        <v>0.0</v>
      </c>
      <c r="AC312" s="849">
        <v>0.0</v>
      </c>
      <c r="AD312" s="849">
        <v>0.0</v>
      </c>
      <c r="AE312" s="849">
        <v>0.0</v>
      </c>
      <c r="AF312" s="849">
        <v>0.0</v>
      </c>
      <c r="AG312" s="849">
        <v>0.0</v>
      </c>
      <c r="AH312" s="849">
        <v>0.0</v>
      </c>
      <c r="AI312" s="849">
        <v>0.0</v>
      </c>
      <c r="AJ312" s="794" t="str">
        <f t="shared" ref="AJ312:AK312" si="621">C312</f>
        <v>G20201</v>
      </c>
      <c r="AK312" s="794" t="str">
        <f t="shared" si="621"/>
        <v>ENCAISSE DEPOTS CLIENTS</v>
      </c>
      <c r="AL312" s="794">
        <f t="array" ref="AL312">IFERROR(INDEX(G312:R312,1,MATCH(Parametres!$B$3,G$1:R$1,0)-1)*IF(OR(F312="L",F312="S",F312="I"),-1,1),"")</f>
        <v>0</v>
      </c>
      <c r="AM312" s="794">
        <f t="shared" si="4"/>
        <v>0</v>
      </c>
      <c r="AN312" s="794">
        <f t="array" ref="AN312">INDEX(G312:R312,1,MATCH(Parametres!$B$3,G$1:R$1,0))*IF(OR(F312="L",F312="S",F312="I"),-1,1)</f>
        <v>0</v>
      </c>
      <c r="AO312" s="853" t="str">
        <f>+VLOOKUP($AJ312,Data_Validation!$A:$D,1,0)</f>
        <v>#N/A</v>
      </c>
      <c r="AP312" s="853" t="str">
        <f>+VLOOKUP($AJ312,Data_Validation!$A:$D,3,0)</f>
        <v>#N/A</v>
      </c>
      <c r="AQ312" s="853" t="str">
        <f>+VLOOKUP($AJ312,Data_Validation!$A:$D,4,0)</f>
        <v>#N/A</v>
      </c>
      <c r="AR312" s="853" t="s">
        <v>728</v>
      </c>
      <c r="AS312" s="853" t="str">
        <f>+VLOOKUP($AJ312,Data_Validation!$A:$E,5,0)</f>
        <v>#N/A</v>
      </c>
      <c r="AT312" s="794" t="str">
        <f t="shared" ref="AT312:AU312" si="622">C312</f>
        <v>G20201</v>
      </c>
      <c r="AU312" s="854" t="str">
        <f t="shared" si="622"/>
        <v>ENCAISSE DEPOTS CLIENTS</v>
      </c>
      <c r="AV312" s="794">
        <f t="array" ref="AV312">IFERROR(INDEX(V312:AG312,1,MATCH(Parametres!$B$3,V$1:AG$1,0)-1)*IF(OR(C312="L",C312="S",C312="I"),-1,1),"")</f>
        <v>0</v>
      </c>
      <c r="AW312" s="794">
        <f t="shared" si="6"/>
        <v>0</v>
      </c>
      <c r="AX312" s="794">
        <f t="array" ref="AX312">INDEX(V312:AG312,1,MATCH(Parametres!$B$3,V$1:AG$1,0))*IF(OR(C312="L",C312="S",C312="I"),-1,1)</f>
        <v>0</v>
      </c>
      <c r="AY312" s="853" t="s">
        <v>772</v>
      </c>
      <c r="AZ312" s="853" t="str">
        <f>+VLOOKUP($AJ312,Data_Validation!$A:$E,5,0)</f>
        <v>#N/A</v>
      </c>
    </row>
    <row r="313" ht="15.0" customHeight="1">
      <c r="A313" s="849" t="s">
        <v>1239</v>
      </c>
      <c r="B313" s="849">
        <v>2025.0</v>
      </c>
      <c r="C313" s="849" t="s">
        <v>1940</v>
      </c>
      <c r="D313" s="849" t="s">
        <v>1941</v>
      </c>
      <c r="E313" s="849" t="s">
        <v>768</v>
      </c>
      <c r="F313" s="849" t="s">
        <v>1926</v>
      </c>
      <c r="G313" s="849">
        <v>0.0</v>
      </c>
      <c r="H313" s="849">
        <v>0.0</v>
      </c>
      <c r="I313" s="849">
        <v>0.0</v>
      </c>
      <c r="J313" s="849">
        <v>0.0</v>
      </c>
      <c r="K313" s="849">
        <v>0.0</v>
      </c>
      <c r="L313" s="849">
        <v>0.0</v>
      </c>
      <c r="M313" s="849">
        <v>0.0</v>
      </c>
      <c r="N313" s="849">
        <v>0.0</v>
      </c>
      <c r="O313" s="849">
        <v>0.0</v>
      </c>
      <c r="P313" s="849">
        <v>0.0</v>
      </c>
      <c r="Q313" s="849">
        <v>0.0</v>
      </c>
      <c r="R313" s="849">
        <v>0.0</v>
      </c>
      <c r="S313" s="849">
        <v>0.0</v>
      </c>
      <c r="T313" s="849">
        <v>0.0</v>
      </c>
      <c r="U313" s="849">
        <v>0.0</v>
      </c>
      <c r="V313" s="849">
        <v>0.0</v>
      </c>
      <c r="W313" s="849">
        <v>0.0</v>
      </c>
      <c r="X313" s="849">
        <v>0.0</v>
      </c>
      <c r="Y313" s="849">
        <v>0.0</v>
      </c>
      <c r="Z313" s="849">
        <v>0.0</v>
      </c>
      <c r="AA313" s="849">
        <v>0.0</v>
      </c>
      <c r="AB313" s="849">
        <v>0.0</v>
      </c>
      <c r="AC313" s="849">
        <v>0.0</v>
      </c>
      <c r="AD313" s="849">
        <v>0.0</v>
      </c>
      <c r="AE313" s="849">
        <v>0.0</v>
      </c>
      <c r="AF313" s="849">
        <v>0.0</v>
      </c>
      <c r="AG313" s="849">
        <v>0.0</v>
      </c>
      <c r="AH313" s="849">
        <v>0.0</v>
      </c>
      <c r="AI313" s="849">
        <v>0.0</v>
      </c>
      <c r="AJ313" s="794" t="str">
        <f t="shared" ref="AJ313:AK313" si="623">C313</f>
        <v>G20202</v>
      </c>
      <c r="AK313" s="794" t="str">
        <f t="shared" si="623"/>
        <v>ENCAISSE COMPTE SALAIRE</v>
      </c>
      <c r="AL313" s="794">
        <f t="array" ref="AL313">IFERROR(INDEX(G313:R313,1,MATCH(Parametres!$B$3,G$1:R$1,0)-1)*IF(OR(F313="L",F313="S",F313="I"),-1,1),"")</f>
        <v>0</v>
      </c>
      <c r="AM313" s="794">
        <f t="shared" si="4"/>
        <v>0</v>
      </c>
      <c r="AN313" s="794">
        <f t="array" ref="AN313">INDEX(G313:R313,1,MATCH(Parametres!$B$3,G$1:R$1,0))*IF(OR(F313="L",F313="S",F313="I"),-1,1)</f>
        <v>0</v>
      </c>
      <c r="AO313" s="853" t="str">
        <f>+VLOOKUP($AJ313,Data_Validation!$A:$D,1,0)</f>
        <v>G20202</v>
      </c>
      <c r="AP313" s="853" t="str">
        <f>+VLOOKUP($AJ313,Data_Validation!$A:$D,3,0)</f>
        <v/>
      </c>
      <c r="AQ313" s="853" t="str">
        <f>+VLOOKUP($AJ313,Data_Validation!$A:$D,4,0)</f>
        <v/>
      </c>
      <c r="AR313" s="853" t="s">
        <v>728</v>
      </c>
      <c r="AS313" s="853" t="str">
        <f>+VLOOKUP($AJ313,Data_Validation!$A:$E,5,0)</f>
        <v/>
      </c>
      <c r="AT313" s="794" t="str">
        <f t="shared" ref="AT313:AU313" si="624">C313</f>
        <v>G20202</v>
      </c>
      <c r="AU313" s="854" t="str">
        <f t="shared" si="624"/>
        <v>ENCAISSE COMPTE SALAIRE</v>
      </c>
      <c r="AV313" s="794">
        <f t="array" ref="AV313">IFERROR(INDEX(V313:AG313,1,MATCH(Parametres!$B$3,V$1:AG$1,0)-1)*IF(OR(C313="L",C313="S",C313="I"),-1,1),"")</f>
        <v>0</v>
      </c>
      <c r="AW313" s="794">
        <f t="shared" si="6"/>
        <v>0</v>
      </c>
      <c r="AX313" s="794">
        <f t="array" ref="AX313">INDEX(V313:AG313,1,MATCH(Parametres!$B$3,V$1:AG$1,0))*IF(OR(C313="L",C313="S",C313="I"),-1,1)</f>
        <v>0</v>
      </c>
      <c r="AY313" s="853" t="s">
        <v>772</v>
      </c>
      <c r="AZ313" s="853" t="str">
        <f>+VLOOKUP($AJ313,Data_Validation!$A:$E,5,0)</f>
        <v/>
      </c>
    </row>
    <row r="314" ht="15.0" customHeight="1">
      <c r="A314" s="849" t="s">
        <v>1239</v>
      </c>
      <c r="B314" s="849">
        <v>2025.0</v>
      </c>
      <c r="C314" s="849" t="s">
        <v>1942</v>
      </c>
      <c r="D314" s="849" t="s">
        <v>1935</v>
      </c>
      <c r="E314" s="849" t="s">
        <v>1931</v>
      </c>
      <c r="F314" s="849" t="s">
        <v>1926</v>
      </c>
      <c r="G314" s="849">
        <v>0.0</v>
      </c>
      <c r="H314" s="849">
        <v>0.0</v>
      </c>
      <c r="I314" s="849">
        <v>0.0</v>
      </c>
      <c r="J314" s="849">
        <v>0.0</v>
      </c>
      <c r="K314" s="849">
        <v>0.0</v>
      </c>
      <c r="L314" s="849">
        <v>0.0</v>
      </c>
      <c r="M314" s="849">
        <v>0.0</v>
      </c>
      <c r="N314" s="849">
        <v>0.0</v>
      </c>
      <c r="O314" s="849">
        <v>0.0</v>
      </c>
      <c r="P314" s="849">
        <v>0.0</v>
      </c>
      <c r="Q314" s="849">
        <v>0.0</v>
      </c>
      <c r="R314" s="849">
        <v>0.0</v>
      </c>
      <c r="S314" s="849">
        <v>0.0</v>
      </c>
      <c r="T314" s="849">
        <v>0.0</v>
      </c>
      <c r="U314" s="849">
        <v>0.0</v>
      </c>
      <c r="V314" s="849">
        <v>0.0</v>
      </c>
      <c r="W314" s="849">
        <v>0.0</v>
      </c>
      <c r="X314" s="849">
        <v>0.0</v>
      </c>
      <c r="Y314" s="849">
        <v>0.0</v>
      </c>
      <c r="Z314" s="849">
        <v>0.0</v>
      </c>
      <c r="AA314" s="849">
        <v>0.0</v>
      </c>
      <c r="AB314" s="849">
        <v>0.0</v>
      </c>
      <c r="AC314" s="849">
        <v>0.0</v>
      </c>
      <c r="AD314" s="849">
        <v>0.0</v>
      </c>
      <c r="AE314" s="849">
        <v>0.0</v>
      </c>
      <c r="AF314" s="849">
        <v>0.0</v>
      </c>
      <c r="AG314" s="849">
        <v>0.0</v>
      </c>
      <c r="AH314" s="849">
        <v>0.0</v>
      </c>
      <c r="AI314" s="849">
        <v>0.0</v>
      </c>
      <c r="AJ314" s="794" t="str">
        <f t="shared" ref="AJ314:AK314" si="625">C314</f>
        <v>G2021A</v>
      </c>
      <c r="AK314" s="794" t="str">
        <f t="shared" si="625"/>
        <v>BNQ NATIONALE MASTER CARD</v>
      </c>
      <c r="AL314" s="794">
        <f t="array" ref="AL314">IFERROR(INDEX(G314:R314,1,MATCH(Parametres!$B$3,G$1:R$1,0)-1)*IF(OR(F314="L",F314="S",F314="I"),-1,1),"")</f>
        <v>0</v>
      </c>
      <c r="AM314" s="794">
        <f t="shared" si="4"/>
        <v>0</v>
      </c>
      <c r="AN314" s="794">
        <f t="array" ref="AN314">INDEX(G314:R314,1,MATCH(Parametres!$B$3,G$1:R$1,0))*IF(OR(F314="L",F314="S",F314="I"),-1,1)</f>
        <v>0</v>
      </c>
      <c r="AO314" s="853" t="str">
        <f>+VLOOKUP($AJ314,Data_Validation!$A:$D,1,0)</f>
        <v>#N/A</v>
      </c>
      <c r="AP314" s="853" t="str">
        <f>+VLOOKUP($AJ314,Data_Validation!$A:$D,3,0)</f>
        <v>#N/A</v>
      </c>
      <c r="AQ314" s="853" t="str">
        <f>+VLOOKUP($AJ314,Data_Validation!$A:$D,4,0)</f>
        <v>#N/A</v>
      </c>
      <c r="AR314" s="853" t="s">
        <v>728</v>
      </c>
      <c r="AS314" s="853" t="str">
        <f>+VLOOKUP($AJ314,Data_Validation!$A:$E,5,0)</f>
        <v>#N/A</v>
      </c>
      <c r="AT314" s="794" t="str">
        <f t="shared" ref="AT314:AU314" si="626">C314</f>
        <v>G2021A</v>
      </c>
      <c r="AU314" s="854" t="str">
        <f t="shared" si="626"/>
        <v>BNQ NATIONALE MASTER CARD</v>
      </c>
      <c r="AV314" s="794">
        <f t="array" ref="AV314">IFERROR(INDEX(V314:AG314,1,MATCH(Parametres!$B$3,V$1:AG$1,0)-1)*IF(OR(C314="L",C314="S",C314="I"),-1,1),"")</f>
        <v>0</v>
      </c>
      <c r="AW314" s="794">
        <f t="shared" si="6"/>
        <v>0</v>
      </c>
      <c r="AX314" s="794">
        <f t="array" ref="AX314">INDEX(V314:AG314,1,MATCH(Parametres!$B$3,V$1:AG$1,0))*IF(OR(C314="L",C314="S",C314="I"),-1,1)</f>
        <v>0</v>
      </c>
      <c r="AY314" s="853" t="s">
        <v>772</v>
      </c>
      <c r="AZ314" s="853" t="str">
        <f>+VLOOKUP($AJ314,Data_Validation!$A:$E,5,0)</f>
        <v>#N/A</v>
      </c>
    </row>
    <row r="315" ht="15.0" customHeight="1">
      <c r="A315" s="849" t="s">
        <v>1239</v>
      </c>
      <c r="B315" s="849">
        <v>2025.0</v>
      </c>
      <c r="C315" s="849" t="s">
        <v>1943</v>
      </c>
      <c r="D315" s="849" t="s">
        <v>1944</v>
      </c>
      <c r="E315" s="849" t="s">
        <v>1931</v>
      </c>
      <c r="F315" s="849" t="s">
        <v>1926</v>
      </c>
      <c r="G315" s="849">
        <v>-103.1</v>
      </c>
      <c r="H315" s="849">
        <v>-103.1</v>
      </c>
      <c r="I315" s="849">
        <v>-103.1</v>
      </c>
      <c r="J315" s="849">
        <v>-103.1</v>
      </c>
      <c r="K315" s="849">
        <v>-103.1</v>
      </c>
      <c r="L315" s="849">
        <v>956.15</v>
      </c>
      <c r="M315" s="849">
        <v>956.15</v>
      </c>
      <c r="N315" s="849">
        <v>956.15</v>
      </c>
      <c r="O315" s="849">
        <v>956.15</v>
      </c>
      <c r="P315" s="849">
        <v>956.15</v>
      </c>
      <c r="Q315" s="849">
        <v>956.15</v>
      </c>
      <c r="R315" s="849">
        <v>956.15</v>
      </c>
      <c r="S315" s="849">
        <v>0.0</v>
      </c>
      <c r="T315" s="849">
        <v>0.0</v>
      </c>
      <c r="U315" s="849">
        <v>0.0</v>
      </c>
      <c r="V315" s="849">
        <v>0.0</v>
      </c>
      <c r="W315" s="849">
        <v>0.0</v>
      </c>
      <c r="X315" s="849">
        <v>0.0</v>
      </c>
      <c r="Y315" s="849">
        <v>0.0</v>
      </c>
      <c r="Z315" s="849">
        <v>0.0</v>
      </c>
      <c r="AA315" s="849">
        <v>0.0</v>
      </c>
      <c r="AB315" s="849">
        <v>0.0</v>
      </c>
      <c r="AC315" s="849">
        <v>0.0</v>
      </c>
      <c r="AD315" s="849">
        <v>0.0</v>
      </c>
      <c r="AE315" s="849">
        <v>0.0</v>
      </c>
      <c r="AF315" s="849">
        <v>0.0</v>
      </c>
      <c r="AG315" s="849">
        <v>0.0</v>
      </c>
      <c r="AH315" s="849">
        <v>0.0</v>
      </c>
      <c r="AI315" s="849">
        <v>0.0</v>
      </c>
      <c r="AJ315" s="794" t="str">
        <f t="shared" ref="AJ315:AK315" si="627">C315</f>
        <v>G20300</v>
      </c>
      <c r="AK315" s="794" t="str">
        <f t="shared" si="627"/>
        <v>COMPTE U.S. BANQUE TD</v>
      </c>
      <c r="AL315" s="794">
        <f t="array" ref="AL315">IFERROR(INDEX(G315:R315,1,MATCH(Parametres!$B$3,G$1:R$1,0)-1)*IF(OR(F315="L",F315="S",F315="I"),-1,1),"")</f>
        <v>956.15</v>
      </c>
      <c r="AM315" s="794">
        <f t="shared" si="4"/>
        <v>0</v>
      </c>
      <c r="AN315" s="794">
        <f t="array" ref="AN315">INDEX(G315:R315,1,MATCH(Parametres!$B$3,G$1:R$1,0))*IF(OR(F315="L",F315="S",F315="I"),-1,1)</f>
        <v>956.15</v>
      </c>
      <c r="AO315" s="853" t="str">
        <f>+VLOOKUP($AJ315,Data_Validation!$A:$D,1,0)</f>
        <v>G20300</v>
      </c>
      <c r="AP315" s="853" t="str">
        <f>+VLOOKUP($AJ315,Data_Validation!$A:$D,3,0)</f>
        <v>Bilan</v>
      </c>
      <c r="AQ315" s="853" t="str">
        <f>+VLOOKUP($AJ315,Data_Validation!$A:$D,4,0)</f>
        <v>Encaisse</v>
      </c>
      <c r="AR315" s="853" t="s">
        <v>728</v>
      </c>
      <c r="AS315" s="853" t="str">
        <f>+VLOOKUP($AJ315,Data_Validation!$A:$E,5,0)</f>
        <v/>
      </c>
      <c r="AT315" s="794" t="str">
        <f t="shared" ref="AT315:AU315" si="628">C315</f>
        <v>G20300</v>
      </c>
      <c r="AU315" s="854" t="str">
        <f t="shared" si="628"/>
        <v>COMPTE U.S. BANQUE TD</v>
      </c>
      <c r="AV315" s="794">
        <f t="array" ref="AV315">IFERROR(INDEX(V315:AG315,1,MATCH(Parametres!$B$3,V$1:AG$1,0)-1)*IF(OR(C315="L",C315="S",C315="I"),-1,1),"")</f>
        <v>0</v>
      </c>
      <c r="AW315" s="794">
        <f t="shared" si="6"/>
        <v>0</v>
      </c>
      <c r="AX315" s="794">
        <f t="array" ref="AX315">INDEX(V315:AG315,1,MATCH(Parametres!$B$3,V$1:AG$1,0))*IF(OR(C315="L",C315="S",C315="I"),-1,1)</f>
        <v>0</v>
      </c>
      <c r="AY315" s="853" t="s">
        <v>772</v>
      </c>
      <c r="AZ315" s="853" t="str">
        <f>+VLOOKUP($AJ315,Data_Validation!$A:$E,5,0)</f>
        <v/>
      </c>
    </row>
    <row r="316" ht="15.0" customHeight="1">
      <c r="A316" s="849" t="s">
        <v>1239</v>
      </c>
      <c r="B316" s="849">
        <v>2025.0</v>
      </c>
      <c r="C316" s="849" t="s">
        <v>1945</v>
      </c>
      <c r="D316" s="849" t="s">
        <v>1946</v>
      </c>
      <c r="E316" s="849" t="s">
        <v>1931</v>
      </c>
      <c r="F316" s="849" t="s">
        <v>1926</v>
      </c>
      <c r="G316" s="849">
        <v>0.0</v>
      </c>
      <c r="H316" s="849">
        <v>0.0</v>
      </c>
      <c r="I316" s="849">
        <v>0.0</v>
      </c>
      <c r="J316" s="849">
        <v>0.0</v>
      </c>
      <c r="K316" s="849">
        <v>0.0</v>
      </c>
      <c r="L316" s="849">
        <v>0.0</v>
      </c>
      <c r="M316" s="849">
        <v>0.0</v>
      </c>
      <c r="N316" s="849">
        <v>0.0</v>
      </c>
      <c r="O316" s="849">
        <v>0.0</v>
      </c>
      <c r="P316" s="849">
        <v>0.0</v>
      </c>
      <c r="Q316" s="849">
        <v>0.0</v>
      </c>
      <c r="R316" s="849">
        <v>0.0</v>
      </c>
      <c r="S316" s="849">
        <v>0.0</v>
      </c>
      <c r="T316" s="849">
        <v>0.0</v>
      </c>
      <c r="U316" s="849">
        <v>0.0</v>
      </c>
      <c r="V316" s="849">
        <v>0.0</v>
      </c>
      <c r="W316" s="849">
        <v>0.0</v>
      </c>
      <c r="X316" s="849">
        <v>0.0</v>
      </c>
      <c r="Y316" s="849">
        <v>0.0</v>
      </c>
      <c r="Z316" s="849">
        <v>0.0</v>
      </c>
      <c r="AA316" s="849">
        <v>0.0</v>
      </c>
      <c r="AB316" s="849">
        <v>0.0</v>
      </c>
      <c r="AC316" s="849">
        <v>0.0</v>
      </c>
      <c r="AD316" s="849">
        <v>0.0</v>
      </c>
      <c r="AE316" s="849">
        <v>0.0</v>
      </c>
      <c r="AF316" s="849">
        <v>0.0</v>
      </c>
      <c r="AG316" s="849">
        <v>0.0</v>
      </c>
      <c r="AH316" s="849">
        <v>0.0</v>
      </c>
      <c r="AI316" s="849">
        <v>0.0</v>
      </c>
      <c r="AJ316" s="794" t="str">
        <f t="shared" ref="AJ316:AK316" si="629">C316</f>
        <v>G20301</v>
      </c>
      <c r="AK316" s="794" t="str">
        <f t="shared" si="629"/>
        <v>CONVERTION COMPTE U.S.</v>
      </c>
      <c r="AL316" s="794">
        <f t="array" ref="AL316">IFERROR(INDEX(G316:R316,1,MATCH(Parametres!$B$3,G$1:R$1,0)-1)*IF(OR(F316="L",F316="S",F316="I"),-1,1),"")</f>
        <v>0</v>
      </c>
      <c r="AM316" s="794">
        <f t="shared" si="4"/>
        <v>0</v>
      </c>
      <c r="AN316" s="794">
        <f t="array" ref="AN316">INDEX(G316:R316,1,MATCH(Parametres!$B$3,G$1:R$1,0))*IF(OR(F316="L",F316="S",F316="I"),-1,1)</f>
        <v>0</v>
      </c>
      <c r="AO316" s="853" t="str">
        <f>+VLOOKUP($AJ316,Data_Validation!$A:$D,1,0)</f>
        <v>#N/A</v>
      </c>
      <c r="AP316" s="853" t="str">
        <f>+VLOOKUP($AJ316,Data_Validation!$A:$D,3,0)</f>
        <v>#N/A</v>
      </c>
      <c r="AQ316" s="853" t="str">
        <f>+VLOOKUP($AJ316,Data_Validation!$A:$D,4,0)</f>
        <v>#N/A</v>
      </c>
      <c r="AR316" s="853" t="s">
        <v>728</v>
      </c>
      <c r="AS316" s="853" t="str">
        <f>+VLOOKUP($AJ316,Data_Validation!$A:$E,5,0)</f>
        <v>#N/A</v>
      </c>
      <c r="AT316" s="794" t="str">
        <f t="shared" ref="AT316:AU316" si="630">C316</f>
        <v>G20301</v>
      </c>
      <c r="AU316" s="854" t="str">
        <f t="shared" si="630"/>
        <v>CONVERTION COMPTE U.S.</v>
      </c>
      <c r="AV316" s="794">
        <f t="array" ref="AV316">IFERROR(INDEX(V316:AG316,1,MATCH(Parametres!$B$3,V$1:AG$1,0)-1)*IF(OR(C316="L",C316="S",C316="I"),-1,1),"")</f>
        <v>0</v>
      </c>
      <c r="AW316" s="794">
        <f t="shared" si="6"/>
        <v>0</v>
      </c>
      <c r="AX316" s="794">
        <f t="array" ref="AX316">INDEX(V316:AG316,1,MATCH(Parametres!$B$3,V$1:AG$1,0))*IF(OR(C316="L",C316="S",C316="I"),-1,1)</f>
        <v>0</v>
      </c>
      <c r="AY316" s="853" t="s">
        <v>772</v>
      </c>
      <c r="AZ316" s="853" t="str">
        <f>+VLOOKUP($AJ316,Data_Validation!$A:$E,5,0)</f>
        <v>#N/A</v>
      </c>
    </row>
    <row r="317" ht="15.0" customHeight="1">
      <c r="A317" s="849" t="s">
        <v>1239</v>
      </c>
      <c r="B317" s="849">
        <v>2025.0</v>
      </c>
      <c r="C317" s="849" t="s">
        <v>1947</v>
      </c>
      <c r="D317" s="849" t="s">
        <v>1948</v>
      </c>
      <c r="E317" s="849" t="s">
        <v>768</v>
      </c>
      <c r="F317" s="849" t="s">
        <v>1926</v>
      </c>
      <c r="G317" s="849">
        <v>0.0</v>
      </c>
      <c r="H317" s="849">
        <v>0.0</v>
      </c>
      <c r="I317" s="849">
        <v>0.0</v>
      </c>
      <c r="J317" s="849">
        <v>0.0</v>
      </c>
      <c r="K317" s="849">
        <v>0.0</v>
      </c>
      <c r="L317" s="849">
        <v>0.0</v>
      </c>
      <c r="M317" s="849">
        <v>0.0</v>
      </c>
      <c r="N317" s="849">
        <v>0.0</v>
      </c>
      <c r="O317" s="849">
        <v>0.0</v>
      </c>
      <c r="P317" s="849">
        <v>0.0</v>
      </c>
      <c r="Q317" s="849">
        <v>0.0</v>
      </c>
      <c r="R317" s="849">
        <v>0.0</v>
      </c>
      <c r="S317" s="849">
        <v>0.0</v>
      </c>
      <c r="T317" s="849">
        <v>0.0</v>
      </c>
      <c r="U317" s="849">
        <v>0.0</v>
      </c>
      <c r="V317" s="849">
        <v>0.0</v>
      </c>
      <c r="W317" s="849">
        <v>0.0</v>
      </c>
      <c r="X317" s="849">
        <v>0.0</v>
      </c>
      <c r="Y317" s="849">
        <v>0.0</v>
      </c>
      <c r="Z317" s="849">
        <v>0.0</v>
      </c>
      <c r="AA317" s="849">
        <v>0.0</v>
      </c>
      <c r="AB317" s="849">
        <v>0.0</v>
      </c>
      <c r="AC317" s="849">
        <v>0.0</v>
      </c>
      <c r="AD317" s="849">
        <v>0.0</v>
      </c>
      <c r="AE317" s="849">
        <v>0.0</v>
      </c>
      <c r="AF317" s="849">
        <v>0.0</v>
      </c>
      <c r="AG317" s="849">
        <v>0.0</v>
      </c>
      <c r="AH317" s="849">
        <v>0.0</v>
      </c>
      <c r="AI317" s="849">
        <v>0.0</v>
      </c>
      <c r="AJ317" s="794" t="str">
        <f t="shared" ref="AJ317:AK317" si="631">C317</f>
        <v>G20400</v>
      </c>
      <c r="AK317" s="794" t="str">
        <f t="shared" si="631"/>
        <v>AVANTAGE ENTREPRISE E.T.</v>
      </c>
      <c r="AL317" s="794">
        <f t="array" ref="AL317">IFERROR(INDEX(G317:R317,1,MATCH(Parametres!$B$3,G$1:R$1,0)-1)*IF(OR(F317="L",F317="S",F317="I"),-1,1),"")</f>
        <v>0</v>
      </c>
      <c r="AM317" s="794">
        <f t="shared" si="4"/>
        <v>0</v>
      </c>
      <c r="AN317" s="794">
        <f t="array" ref="AN317">INDEX(G317:R317,1,MATCH(Parametres!$B$3,G$1:R$1,0))*IF(OR(F317="L",F317="S",F317="I"),-1,1)</f>
        <v>0</v>
      </c>
      <c r="AO317" s="853" t="str">
        <f>+VLOOKUP($AJ317,Data_Validation!$A:$D,1,0)</f>
        <v>G20400</v>
      </c>
      <c r="AP317" s="853" t="str">
        <f>+VLOOKUP($AJ317,Data_Validation!$A:$D,3,0)</f>
        <v/>
      </c>
      <c r="AQ317" s="853" t="str">
        <f>+VLOOKUP($AJ317,Data_Validation!$A:$D,4,0)</f>
        <v/>
      </c>
      <c r="AR317" s="853" t="s">
        <v>728</v>
      </c>
      <c r="AS317" s="853" t="str">
        <f>+VLOOKUP($AJ317,Data_Validation!$A:$E,5,0)</f>
        <v/>
      </c>
      <c r="AT317" s="794" t="str">
        <f t="shared" ref="AT317:AU317" si="632">C317</f>
        <v>G20400</v>
      </c>
      <c r="AU317" s="854" t="str">
        <f t="shared" si="632"/>
        <v>AVANTAGE ENTREPRISE E.T.</v>
      </c>
      <c r="AV317" s="794">
        <f t="array" ref="AV317">IFERROR(INDEX(V317:AG317,1,MATCH(Parametres!$B$3,V$1:AG$1,0)-1)*IF(OR(C317="L",C317="S",C317="I"),-1,1),"")</f>
        <v>0</v>
      </c>
      <c r="AW317" s="794">
        <f t="shared" si="6"/>
        <v>0</v>
      </c>
      <c r="AX317" s="794">
        <f t="array" ref="AX317">INDEX(V317:AG317,1,MATCH(Parametres!$B$3,V$1:AG$1,0))*IF(OR(C317="L",C317="S",C317="I"),-1,1)</f>
        <v>0</v>
      </c>
      <c r="AY317" s="853" t="s">
        <v>772</v>
      </c>
      <c r="AZ317" s="853" t="str">
        <f>+VLOOKUP($AJ317,Data_Validation!$A:$E,5,0)</f>
        <v/>
      </c>
    </row>
    <row r="318" ht="15.75" customHeight="1">
      <c r="A318" s="849" t="s">
        <v>1239</v>
      </c>
      <c r="B318" s="849">
        <v>2025.0</v>
      </c>
      <c r="C318" s="849" t="s">
        <v>1949</v>
      </c>
      <c r="D318" s="849" t="s">
        <v>1950</v>
      </c>
      <c r="E318" s="849" t="s">
        <v>1951</v>
      </c>
      <c r="F318" s="849" t="s">
        <v>1926</v>
      </c>
      <c r="G318" s="849">
        <v>787777.57</v>
      </c>
      <c r="H318" s="849">
        <v>1321133.66</v>
      </c>
      <c r="I318" s="849">
        <v>1226321.14</v>
      </c>
      <c r="J318" s="849">
        <v>504023.48</v>
      </c>
      <c r="K318" s="849">
        <v>1382623.28</v>
      </c>
      <c r="L318" s="849">
        <v>861532.8</v>
      </c>
      <c r="M318" s="849">
        <v>691058.03</v>
      </c>
      <c r="N318" s="849">
        <v>1413897.15</v>
      </c>
      <c r="O318" s="849">
        <v>725365.67</v>
      </c>
      <c r="P318" s="849">
        <v>676624.89</v>
      </c>
      <c r="Q318" s="849">
        <v>583071.34</v>
      </c>
      <c r="R318" s="849">
        <v>788592.11</v>
      </c>
      <c r="S318" s="849">
        <v>0.0</v>
      </c>
      <c r="T318" s="849">
        <v>0.0</v>
      </c>
      <c r="U318" s="849">
        <v>0.0</v>
      </c>
      <c r="V318" s="849">
        <v>0.0</v>
      </c>
      <c r="W318" s="849">
        <v>0.0</v>
      </c>
      <c r="X318" s="849">
        <v>0.0</v>
      </c>
      <c r="Y318" s="849">
        <v>0.0</v>
      </c>
      <c r="Z318" s="849">
        <v>0.0</v>
      </c>
      <c r="AA318" s="849">
        <v>0.0</v>
      </c>
      <c r="AB318" s="849">
        <v>0.0</v>
      </c>
      <c r="AC318" s="849">
        <v>0.0</v>
      </c>
      <c r="AD318" s="849">
        <v>0.0</v>
      </c>
      <c r="AE318" s="849">
        <v>0.0</v>
      </c>
      <c r="AF318" s="849">
        <v>0.0</v>
      </c>
      <c r="AG318" s="849">
        <v>0.0</v>
      </c>
      <c r="AH318" s="849">
        <v>0.0</v>
      </c>
      <c r="AI318" s="849">
        <v>0.0</v>
      </c>
      <c r="AJ318" s="794" t="str">
        <f t="shared" ref="AJ318:AK318" si="633">C318</f>
        <v>G20500</v>
      </c>
      <c r="AK318" s="794" t="str">
        <f t="shared" si="633"/>
        <v>CONTRATS FINANCE A/R GM</v>
      </c>
      <c r="AL318" s="794">
        <f t="array" ref="AL318">IFERROR(INDEX(G318:R318,1,MATCH(Parametres!$B$3,G$1:R$1,0)-1)*IF(OR(F318="L",F318="S",F318="I"),-1,1),"")</f>
        <v>1413897.15</v>
      </c>
      <c r="AM318" s="794">
        <f t="shared" si="4"/>
        <v>-688531.48</v>
      </c>
      <c r="AN318" s="794">
        <f t="array" ref="AN318">INDEX(G318:R318,1,MATCH(Parametres!$B$3,G$1:R$1,0))*IF(OR(F318="L",F318="S",F318="I"),-1,1)</f>
        <v>725365.67</v>
      </c>
      <c r="AO318" s="853" t="str">
        <f>+VLOOKUP($AJ318,Data_Validation!$A:$D,1,0)</f>
        <v>G20500</v>
      </c>
      <c r="AP318" s="853" t="str">
        <f>+VLOOKUP($AJ318,Data_Validation!$A:$D,3,0)</f>
        <v>Bilan</v>
      </c>
      <c r="AQ318" s="853" t="str">
        <f>+VLOOKUP($AJ318,Data_Validation!$A:$D,4,0)</f>
        <v>Recevables Contrats en Transit</v>
      </c>
      <c r="AR318" s="853" t="s">
        <v>728</v>
      </c>
      <c r="AS318" s="853" t="str">
        <f>+VLOOKUP($AJ318,Data_Validation!$A:$E,5,0)</f>
        <v/>
      </c>
      <c r="AT318" s="794" t="str">
        <f t="shared" ref="AT318:AU318" si="634">C318</f>
        <v>G20500</v>
      </c>
      <c r="AU318" s="854" t="str">
        <f t="shared" si="634"/>
        <v>CONTRATS FINANCE A/R GM</v>
      </c>
      <c r="AV318" s="794">
        <f t="array" ref="AV318">IFERROR(INDEX(V318:AG318,1,MATCH(Parametres!$B$3,V$1:AG$1,0)-1)*IF(OR(C318="L",C318="S",C318="I"),-1,1),"")</f>
        <v>0</v>
      </c>
      <c r="AW318" s="794">
        <f t="shared" si="6"/>
        <v>0</v>
      </c>
      <c r="AX318" s="794">
        <f t="array" ref="AX318">INDEX(V318:AG318,1,MATCH(Parametres!$B$3,V$1:AG$1,0))*IF(OR(C318="L",C318="S",C318="I"),-1,1)</f>
        <v>0</v>
      </c>
      <c r="AY318" s="853" t="s">
        <v>772</v>
      </c>
      <c r="AZ318" s="853" t="str">
        <f>+VLOOKUP($AJ318,Data_Validation!$A:$E,5,0)</f>
        <v/>
      </c>
    </row>
    <row r="319" ht="15.0" customHeight="1">
      <c r="A319" s="849" t="s">
        <v>1239</v>
      </c>
      <c r="B319" s="849">
        <v>2025.0</v>
      </c>
      <c r="C319" s="849" t="s">
        <v>1952</v>
      </c>
      <c r="D319" s="849" t="s">
        <v>1953</v>
      </c>
      <c r="E319" s="849" t="s">
        <v>768</v>
      </c>
      <c r="F319" s="849" t="s">
        <v>1926</v>
      </c>
      <c r="G319" s="849">
        <v>0.0</v>
      </c>
      <c r="H319" s="849">
        <v>0.0</v>
      </c>
      <c r="I319" s="849">
        <v>0.0</v>
      </c>
      <c r="J319" s="849">
        <v>0.0</v>
      </c>
      <c r="K319" s="849">
        <v>0.0</v>
      </c>
      <c r="L319" s="849">
        <v>0.0</v>
      </c>
      <c r="M319" s="849">
        <v>0.0</v>
      </c>
      <c r="N319" s="849">
        <v>0.0</v>
      </c>
      <c r="O319" s="849">
        <v>0.0</v>
      </c>
      <c r="P319" s="849">
        <v>0.0</v>
      </c>
      <c r="Q319" s="849">
        <v>0.0</v>
      </c>
      <c r="R319" s="849">
        <v>0.0</v>
      </c>
      <c r="S319" s="849">
        <v>0.0</v>
      </c>
      <c r="T319" s="849">
        <v>0.0</v>
      </c>
      <c r="U319" s="849">
        <v>0.0</v>
      </c>
      <c r="V319" s="849">
        <v>0.0</v>
      </c>
      <c r="W319" s="849">
        <v>0.0</v>
      </c>
      <c r="X319" s="849">
        <v>0.0</v>
      </c>
      <c r="Y319" s="849">
        <v>0.0</v>
      </c>
      <c r="Z319" s="849">
        <v>0.0</v>
      </c>
      <c r="AA319" s="849">
        <v>0.0</v>
      </c>
      <c r="AB319" s="849">
        <v>0.0</v>
      </c>
      <c r="AC319" s="849">
        <v>0.0</v>
      </c>
      <c r="AD319" s="849">
        <v>0.0</v>
      </c>
      <c r="AE319" s="849">
        <v>0.0</v>
      </c>
      <c r="AF319" s="849">
        <v>0.0</v>
      </c>
      <c r="AG319" s="849">
        <v>0.0</v>
      </c>
      <c r="AH319" s="849">
        <v>0.0</v>
      </c>
      <c r="AI319" s="849">
        <v>0.0</v>
      </c>
      <c r="AJ319" s="794" t="str">
        <f t="shared" ref="AJ319:AK319" si="635">C319</f>
        <v>G20998</v>
      </c>
      <c r="AK319" s="794" t="str">
        <f t="shared" si="635"/>
        <v>DEDUCTIBLE</v>
      </c>
      <c r="AL319" s="794">
        <f t="array" ref="AL319">IFERROR(INDEX(G319:R319,1,MATCH(Parametres!$B$3,G$1:R$1,0)-1)*IF(OR(F319="L",F319="S",F319="I"),-1,1),"")</f>
        <v>0</v>
      </c>
      <c r="AM319" s="794">
        <f t="shared" si="4"/>
        <v>0</v>
      </c>
      <c r="AN319" s="794">
        <f t="array" ref="AN319">INDEX(G319:R319,1,MATCH(Parametres!$B$3,G$1:R$1,0))*IF(OR(F319="L",F319="S",F319="I"),-1,1)</f>
        <v>0</v>
      </c>
      <c r="AO319" s="853" t="str">
        <f>+VLOOKUP($AJ319,Data_Validation!$A:$D,1,0)</f>
        <v>#N/A</v>
      </c>
      <c r="AP319" s="853" t="str">
        <f>+VLOOKUP($AJ319,Data_Validation!$A:$D,3,0)</f>
        <v>#N/A</v>
      </c>
      <c r="AQ319" s="853" t="str">
        <f>+VLOOKUP($AJ319,Data_Validation!$A:$D,4,0)</f>
        <v>#N/A</v>
      </c>
      <c r="AR319" s="853" t="s">
        <v>728</v>
      </c>
      <c r="AS319" s="853" t="str">
        <f>+VLOOKUP($AJ319,Data_Validation!$A:$E,5,0)</f>
        <v>#N/A</v>
      </c>
      <c r="AT319" s="794" t="str">
        <f t="shared" ref="AT319:AU319" si="636">C319</f>
        <v>G20998</v>
      </c>
      <c r="AU319" s="854" t="str">
        <f t="shared" si="636"/>
        <v>DEDUCTIBLE</v>
      </c>
      <c r="AV319" s="794">
        <f t="array" ref="AV319">IFERROR(INDEX(V319:AG319,1,MATCH(Parametres!$B$3,V$1:AG$1,0)-1)*IF(OR(C319="L",C319="S",C319="I"),-1,1),"")</f>
        <v>0</v>
      </c>
      <c r="AW319" s="794">
        <f t="shared" si="6"/>
        <v>0</v>
      </c>
      <c r="AX319" s="794">
        <f t="array" ref="AX319">INDEX(V319:AG319,1,MATCH(Parametres!$B$3,V$1:AG$1,0))*IF(OR(C319="L",C319="S",C319="I"),-1,1)</f>
        <v>0</v>
      </c>
      <c r="AY319" s="853" t="s">
        <v>772</v>
      </c>
      <c r="AZ319" s="853" t="str">
        <f>+VLOOKUP($AJ319,Data_Validation!$A:$E,5,0)</f>
        <v>#N/A</v>
      </c>
    </row>
    <row r="320" ht="15.0" customHeight="1">
      <c r="A320" s="849" t="s">
        <v>1239</v>
      </c>
      <c r="B320" s="849">
        <v>2025.0</v>
      </c>
      <c r="C320" s="849" t="s">
        <v>1954</v>
      </c>
      <c r="D320" s="849" t="s">
        <v>1919</v>
      </c>
      <c r="E320" s="849" t="s">
        <v>768</v>
      </c>
      <c r="F320" s="849" t="s">
        <v>1926</v>
      </c>
      <c r="G320" s="849">
        <v>0.0</v>
      </c>
      <c r="H320" s="849">
        <v>0.0</v>
      </c>
      <c r="I320" s="849">
        <v>0.0</v>
      </c>
      <c r="J320" s="849">
        <v>0.0</v>
      </c>
      <c r="K320" s="849">
        <v>0.0</v>
      </c>
      <c r="L320" s="849">
        <v>0.0</v>
      </c>
      <c r="M320" s="849">
        <v>0.0</v>
      </c>
      <c r="N320" s="849">
        <v>0.0</v>
      </c>
      <c r="O320" s="849">
        <v>0.0</v>
      </c>
      <c r="P320" s="849">
        <v>0.0</v>
      </c>
      <c r="Q320" s="849">
        <v>0.0</v>
      </c>
      <c r="R320" s="849">
        <v>0.0</v>
      </c>
      <c r="S320" s="849">
        <v>0.0</v>
      </c>
      <c r="T320" s="849">
        <v>0.0</v>
      </c>
      <c r="U320" s="849">
        <v>0.0</v>
      </c>
      <c r="V320" s="849">
        <v>0.0</v>
      </c>
      <c r="W320" s="849">
        <v>0.0</v>
      </c>
      <c r="X320" s="849">
        <v>0.0</v>
      </c>
      <c r="Y320" s="849">
        <v>0.0</v>
      </c>
      <c r="Z320" s="849">
        <v>0.0</v>
      </c>
      <c r="AA320" s="849">
        <v>0.0</v>
      </c>
      <c r="AB320" s="849">
        <v>0.0</v>
      </c>
      <c r="AC320" s="849">
        <v>0.0</v>
      </c>
      <c r="AD320" s="849">
        <v>0.0</v>
      </c>
      <c r="AE320" s="849">
        <v>0.0</v>
      </c>
      <c r="AF320" s="849">
        <v>0.0</v>
      </c>
      <c r="AG320" s="849">
        <v>0.0</v>
      </c>
      <c r="AH320" s="849">
        <v>0.0</v>
      </c>
      <c r="AI320" s="849">
        <v>0.0</v>
      </c>
      <c r="AJ320" s="794" t="str">
        <f t="shared" ref="AJ320:AK320" si="637">C320</f>
        <v>G20999</v>
      </c>
      <c r="AK320" s="794" t="str">
        <f t="shared" si="637"/>
        <v>DOCUMENTS CANCELLES</v>
      </c>
      <c r="AL320" s="794">
        <f t="array" ref="AL320">IFERROR(INDEX(G320:R320,1,MATCH(Parametres!$B$3,G$1:R$1,0)-1)*IF(OR(F320="L",F320="S",F320="I"),-1,1),"")</f>
        <v>0</v>
      </c>
      <c r="AM320" s="794">
        <f t="shared" si="4"/>
        <v>0</v>
      </c>
      <c r="AN320" s="794">
        <f t="array" ref="AN320">INDEX(G320:R320,1,MATCH(Parametres!$B$3,G$1:R$1,0))*IF(OR(F320="L",F320="S",F320="I"),-1,1)</f>
        <v>0</v>
      </c>
      <c r="AO320" s="853" t="str">
        <f>+VLOOKUP($AJ320,Data_Validation!$A:$D,1,0)</f>
        <v>#N/A</v>
      </c>
      <c r="AP320" s="853" t="str">
        <f>+VLOOKUP($AJ320,Data_Validation!$A:$D,3,0)</f>
        <v>#N/A</v>
      </c>
      <c r="AQ320" s="853" t="str">
        <f>+VLOOKUP($AJ320,Data_Validation!$A:$D,4,0)</f>
        <v>#N/A</v>
      </c>
      <c r="AR320" s="853" t="s">
        <v>728</v>
      </c>
      <c r="AS320" s="853" t="str">
        <f>+VLOOKUP($AJ320,Data_Validation!$A:$E,5,0)</f>
        <v>#N/A</v>
      </c>
      <c r="AT320" s="794" t="str">
        <f t="shared" ref="AT320:AU320" si="638">C320</f>
        <v>G20999</v>
      </c>
      <c r="AU320" s="854" t="str">
        <f t="shared" si="638"/>
        <v>DOCUMENTS CANCELLES</v>
      </c>
      <c r="AV320" s="794">
        <f t="array" ref="AV320">IFERROR(INDEX(V320:AG320,1,MATCH(Parametres!$B$3,V$1:AG$1,0)-1)*IF(OR(C320="L",C320="S",C320="I"),-1,1),"")</f>
        <v>0</v>
      </c>
      <c r="AW320" s="794">
        <f t="shared" si="6"/>
        <v>0</v>
      </c>
      <c r="AX320" s="794">
        <f t="array" ref="AX320">INDEX(V320:AG320,1,MATCH(Parametres!$B$3,V$1:AG$1,0))*IF(OR(C320="L",C320="S",C320="I"),-1,1)</f>
        <v>0</v>
      </c>
      <c r="AY320" s="853" t="s">
        <v>772</v>
      </c>
      <c r="AZ320" s="853" t="str">
        <f>+VLOOKUP($AJ320,Data_Validation!$A:$E,5,0)</f>
        <v>#N/A</v>
      </c>
    </row>
    <row r="321" ht="15.0" customHeight="1">
      <c r="A321" s="849" t="s">
        <v>1239</v>
      </c>
      <c r="B321" s="849">
        <v>2025.0</v>
      </c>
      <c r="C321" s="849" t="s">
        <v>1957</v>
      </c>
      <c r="D321" s="849" t="s">
        <v>1958</v>
      </c>
      <c r="E321" s="849" t="s">
        <v>1959</v>
      </c>
      <c r="F321" s="849" t="s">
        <v>1926</v>
      </c>
      <c r="G321" s="849">
        <v>-12352.03</v>
      </c>
      <c r="H321" s="849">
        <v>8265.88</v>
      </c>
      <c r="I321" s="849">
        <v>-19324.56</v>
      </c>
      <c r="J321" s="849">
        <v>-6652.48</v>
      </c>
      <c r="K321" s="849">
        <v>-14870.9</v>
      </c>
      <c r="L321" s="849">
        <v>-130351.43</v>
      </c>
      <c r="M321" s="849">
        <v>-87986.73</v>
      </c>
      <c r="N321" s="849">
        <v>-74635.53</v>
      </c>
      <c r="O321" s="849">
        <v>886.15</v>
      </c>
      <c r="P321" s="849">
        <v>-34896.5</v>
      </c>
      <c r="Q321" s="849">
        <v>-34799.52</v>
      </c>
      <c r="R321" s="849">
        <v>9635.07</v>
      </c>
      <c r="S321" s="849">
        <v>0.0</v>
      </c>
      <c r="T321" s="849">
        <v>0.0</v>
      </c>
      <c r="U321" s="849">
        <v>0.0</v>
      </c>
      <c r="V321" s="849">
        <v>0.0</v>
      </c>
      <c r="W321" s="849">
        <v>0.0</v>
      </c>
      <c r="X321" s="849">
        <v>0.0</v>
      </c>
      <c r="Y321" s="849">
        <v>0.0</v>
      </c>
      <c r="Z321" s="849">
        <v>0.0</v>
      </c>
      <c r="AA321" s="849">
        <v>0.0</v>
      </c>
      <c r="AB321" s="849">
        <v>0.0</v>
      </c>
      <c r="AC321" s="849">
        <v>0.0</v>
      </c>
      <c r="AD321" s="849">
        <v>0.0</v>
      </c>
      <c r="AE321" s="849">
        <v>0.0</v>
      </c>
      <c r="AF321" s="849">
        <v>0.0</v>
      </c>
      <c r="AG321" s="849">
        <v>0.0</v>
      </c>
      <c r="AH321" s="849">
        <v>0.0</v>
      </c>
      <c r="AI321" s="849">
        <v>0.0</v>
      </c>
      <c r="AJ321" s="794" t="str">
        <f t="shared" ref="AJ321:AK321" si="639">C321</f>
        <v>G220IMM</v>
      </c>
      <c r="AK321" s="794" t="str">
        <f t="shared" si="639"/>
        <v>IMMATRICULATION-VEHICULE</v>
      </c>
      <c r="AL321" s="794">
        <f t="array" ref="AL321">IFERROR(INDEX(G321:R321,1,MATCH(Parametres!$B$3,G$1:R$1,0)-1)*IF(OR(F321="L",F321="S",F321="I"),-1,1),"")</f>
        <v>-74635.53</v>
      </c>
      <c r="AM321" s="794">
        <f t="shared" si="4"/>
        <v>75521.68</v>
      </c>
      <c r="AN321" s="794">
        <f t="array" ref="AN321">INDEX(G321:R321,1,MATCH(Parametres!$B$3,G$1:R$1,0))*IF(OR(F321="L",F321="S",F321="I"),-1,1)</f>
        <v>886.15</v>
      </c>
      <c r="AO321" s="853" t="str">
        <f>+VLOOKUP($AJ321,Data_Validation!$A:$D,1,0)</f>
        <v>G220IMM</v>
      </c>
      <c r="AP321" s="853" t="str">
        <f>+VLOOKUP($AJ321,Data_Validation!$A:$D,3,0)</f>
        <v>Bilan</v>
      </c>
      <c r="AQ321" s="853" t="str">
        <f>+VLOOKUP($AJ321,Data_Validation!$A:$D,4,0)</f>
        <v>Recevables Véhicules</v>
      </c>
      <c r="AR321" s="853" t="s">
        <v>728</v>
      </c>
      <c r="AS321" s="853" t="str">
        <f>+VLOOKUP($AJ321,Data_Validation!$A:$E,5,0)</f>
        <v/>
      </c>
      <c r="AT321" s="794" t="str">
        <f t="shared" ref="AT321:AU321" si="640">C321</f>
        <v>G220IMM</v>
      </c>
      <c r="AU321" s="854" t="str">
        <f t="shared" si="640"/>
        <v>IMMATRICULATION-VEHICULE</v>
      </c>
      <c r="AV321" s="794">
        <f t="array" ref="AV321">IFERROR(INDEX(V321:AG321,1,MATCH(Parametres!$B$3,V$1:AG$1,0)-1)*IF(OR(C321="L",C321="S",C321="I"),-1,1),"")</f>
        <v>0</v>
      </c>
      <c r="AW321" s="794">
        <f t="shared" si="6"/>
        <v>0</v>
      </c>
      <c r="AX321" s="794">
        <f t="array" ref="AX321">INDEX(V321:AG321,1,MATCH(Parametres!$B$3,V$1:AG$1,0))*IF(OR(C321="L",C321="S",C321="I"),-1,1)</f>
        <v>0</v>
      </c>
      <c r="AY321" s="853" t="s">
        <v>772</v>
      </c>
      <c r="AZ321" s="853" t="str">
        <f>+VLOOKUP($AJ321,Data_Validation!$A:$E,5,0)</f>
        <v/>
      </c>
    </row>
    <row r="322" ht="15.75" customHeight="1">
      <c r="A322" s="849" t="s">
        <v>1239</v>
      </c>
      <c r="B322" s="849">
        <v>2025.0</v>
      </c>
      <c r="C322" s="849" t="s">
        <v>1960</v>
      </c>
      <c r="D322" s="849" t="s">
        <v>1961</v>
      </c>
      <c r="E322" s="849" t="s">
        <v>1951</v>
      </c>
      <c r="F322" s="849" t="s">
        <v>1926</v>
      </c>
      <c r="G322" s="849">
        <v>0.0</v>
      </c>
      <c r="H322" s="849">
        <v>0.0</v>
      </c>
      <c r="I322" s="849">
        <v>0.0</v>
      </c>
      <c r="J322" s="849">
        <v>0.0</v>
      </c>
      <c r="K322" s="849">
        <v>0.0</v>
      </c>
      <c r="L322" s="849">
        <v>0.0</v>
      </c>
      <c r="M322" s="849">
        <v>0.0</v>
      </c>
      <c r="N322" s="849">
        <v>0.0</v>
      </c>
      <c r="O322" s="849">
        <v>0.0</v>
      </c>
      <c r="P322" s="849">
        <v>0.0</v>
      </c>
      <c r="Q322" s="849">
        <v>0.0</v>
      </c>
      <c r="R322" s="849">
        <v>0.0</v>
      </c>
      <c r="S322" s="849">
        <v>0.0</v>
      </c>
      <c r="T322" s="849">
        <v>0.0</v>
      </c>
      <c r="U322" s="849">
        <v>0.0</v>
      </c>
      <c r="V322" s="849">
        <v>0.0</v>
      </c>
      <c r="W322" s="849">
        <v>0.0</v>
      </c>
      <c r="X322" s="849">
        <v>0.0</v>
      </c>
      <c r="Y322" s="849">
        <v>0.0</v>
      </c>
      <c r="Z322" s="849">
        <v>0.0</v>
      </c>
      <c r="AA322" s="849">
        <v>0.0</v>
      </c>
      <c r="AB322" s="849">
        <v>0.0</v>
      </c>
      <c r="AC322" s="849">
        <v>0.0</v>
      </c>
      <c r="AD322" s="849">
        <v>0.0</v>
      </c>
      <c r="AE322" s="849">
        <v>0.0</v>
      </c>
      <c r="AF322" s="849">
        <v>0.0</v>
      </c>
      <c r="AG322" s="849">
        <v>0.0</v>
      </c>
      <c r="AH322" s="849">
        <v>0.0</v>
      </c>
      <c r="AI322" s="849">
        <v>0.0</v>
      </c>
      <c r="AJ322" s="794" t="str">
        <f t="shared" ref="AJ322:AK322" si="641">C322</f>
        <v>G2200D</v>
      </c>
      <c r="AK322" s="794" t="str">
        <f t="shared" si="641"/>
        <v>DEPOT - CLIENT PCES &amp; SRV</v>
      </c>
      <c r="AL322" s="794">
        <f t="array" ref="AL322">IFERROR(INDEX(G322:R322,1,MATCH(Parametres!$B$3,G$1:R$1,0)-1)*IF(OR(F322="L",F322="S",F322="I"),-1,1),"")</f>
        <v>0</v>
      </c>
      <c r="AM322" s="794">
        <f t="shared" si="4"/>
        <v>0</v>
      </c>
      <c r="AN322" s="794">
        <f t="array" ref="AN322">INDEX(G322:R322,1,MATCH(Parametres!$B$3,G$1:R$1,0))*IF(OR(F322="L",F322="S",F322="I"),-1,1)</f>
        <v>0</v>
      </c>
      <c r="AO322" s="853" t="str">
        <f>+VLOOKUP($AJ322,Data_Validation!$A:$D,1,0)</f>
        <v>G2200D</v>
      </c>
      <c r="AP322" s="853" t="str">
        <f>+VLOOKUP($AJ322,Data_Validation!$A:$D,3,0)</f>
        <v/>
      </c>
      <c r="AQ322" s="853" t="str">
        <f>+VLOOKUP($AJ322,Data_Validation!$A:$D,4,0)</f>
        <v/>
      </c>
      <c r="AR322" s="853" t="s">
        <v>728</v>
      </c>
      <c r="AS322" s="853" t="str">
        <f>+VLOOKUP($AJ322,Data_Validation!$A:$E,5,0)</f>
        <v/>
      </c>
      <c r="AT322" s="794" t="str">
        <f t="shared" ref="AT322:AU322" si="642">C322</f>
        <v>G2200D</v>
      </c>
      <c r="AU322" s="854" t="str">
        <f t="shared" si="642"/>
        <v>DEPOT - CLIENT PCES &amp; SRV</v>
      </c>
      <c r="AV322" s="794">
        <f t="array" ref="AV322">IFERROR(INDEX(V322:AG322,1,MATCH(Parametres!$B$3,V$1:AG$1,0)-1)*IF(OR(C322="L",C322="S",C322="I"),-1,1),"")</f>
        <v>0</v>
      </c>
      <c r="AW322" s="794">
        <f t="shared" si="6"/>
        <v>0</v>
      </c>
      <c r="AX322" s="794">
        <f t="array" ref="AX322">INDEX(V322:AG322,1,MATCH(Parametres!$B$3,V$1:AG$1,0))*IF(OR(C322="L",C322="S",C322="I"),-1,1)</f>
        <v>0</v>
      </c>
      <c r="AY322" s="853" t="s">
        <v>772</v>
      </c>
      <c r="AZ322" s="853" t="str">
        <f>+VLOOKUP($AJ322,Data_Validation!$A:$E,5,0)</f>
        <v/>
      </c>
    </row>
    <row r="323" ht="15.0" customHeight="1">
      <c r="A323" s="849" t="s">
        <v>1239</v>
      </c>
      <c r="B323" s="849">
        <v>2025.0</v>
      </c>
      <c r="C323" s="849" t="s">
        <v>1962</v>
      </c>
      <c r="D323" s="849" t="s">
        <v>3425</v>
      </c>
      <c r="E323" s="849" t="s">
        <v>1926</v>
      </c>
      <c r="F323" s="849" t="s">
        <v>1926</v>
      </c>
      <c r="G323" s="849">
        <v>639374.9</v>
      </c>
      <c r="H323" s="849">
        <v>626036.79</v>
      </c>
      <c r="I323" s="849">
        <v>664713.43</v>
      </c>
      <c r="J323" s="849">
        <v>630363.58</v>
      </c>
      <c r="K323" s="849">
        <v>653265.4</v>
      </c>
      <c r="L323" s="849">
        <v>732468.75</v>
      </c>
      <c r="M323" s="849">
        <v>598358.67</v>
      </c>
      <c r="N323" s="849">
        <v>630999.44</v>
      </c>
      <c r="O323" s="849">
        <v>650157.7</v>
      </c>
      <c r="P323" s="849">
        <v>648356.29</v>
      </c>
      <c r="Q323" s="849">
        <v>1312680.64</v>
      </c>
      <c r="R323" s="849">
        <v>760891.2</v>
      </c>
      <c r="S323" s="849">
        <v>0.0</v>
      </c>
      <c r="T323" s="849">
        <v>0.0</v>
      </c>
      <c r="U323" s="849">
        <v>0.0</v>
      </c>
      <c r="V323" s="849">
        <v>0.0</v>
      </c>
      <c r="W323" s="849">
        <v>0.0</v>
      </c>
      <c r="X323" s="849">
        <v>0.0</v>
      </c>
      <c r="Y323" s="849">
        <v>0.0</v>
      </c>
      <c r="Z323" s="849">
        <v>0.0</v>
      </c>
      <c r="AA323" s="849">
        <v>0.0</v>
      </c>
      <c r="AB323" s="849">
        <v>0.0</v>
      </c>
      <c r="AC323" s="849">
        <v>0.0</v>
      </c>
      <c r="AD323" s="849">
        <v>0.0</v>
      </c>
      <c r="AE323" s="849">
        <v>0.0</v>
      </c>
      <c r="AF323" s="849">
        <v>0.0</v>
      </c>
      <c r="AG323" s="849">
        <v>0.0</v>
      </c>
      <c r="AH323" s="849">
        <v>0.0</v>
      </c>
      <c r="AI323" s="849">
        <v>0.0</v>
      </c>
      <c r="AJ323" s="794" t="str">
        <f t="shared" ref="AJ323:AK323" si="643">C323</f>
        <v>G22000</v>
      </c>
      <c r="AK323" s="794" t="str">
        <f t="shared" si="643"/>
        <v>COMPTES A REC.-PCE SERV.</v>
      </c>
      <c r="AL323" s="794">
        <f t="array" ref="AL323">IFERROR(INDEX(G323:R323,1,MATCH(Parametres!$B$3,G$1:R$1,0)-1)*IF(OR(F323="L",F323="S",F323="I"),-1,1),"")</f>
        <v>630999.44</v>
      </c>
      <c r="AM323" s="794">
        <f t="shared" si="4"/>
        <v>19158.26</v>
      </c>
      <c r="AN323" s="794">
        <f t="array" ref="AN323">INDEX(G323:R323,1,MATCH(Parametres!$B$3,G$1:R$1,0))*IF(OR(F323="L",F323="S",F323="I"),-1,1)</f>
        <v>650157.7</v>
      </c>
      <c r="AO323" s="853" t="str">
        <f>+VLOOKUP($AJ323,Data_Validation!$A:$D,1,0)</f>
        <v>G22000</v>
      </c>
      <c r="AP323" s="853" t="str">
        <f>+VLOOKUP($AJ323,Data_Validation!$A:$D,3,0)</f>
        <v>Bilan</v>
      </c>
      <c r="AQ323" s="853" t="str">
        <f>+VLOOKUP($AJ323,Data_Validation!$A:$D,4,0)</f>
        <v>Recevables Pièces et Service</v>
      </c>
      <c r="AR323" s="853" t="s">
        <v>728</v>
      </c>
      <c r="AS323" s="853" t="str">
        <f>+VLOOKUP($AJ323,Data_Validation!$A:$E,5,0)</f>
        <v/>
      </c>
      <c r="AT323" s="794" t="str">
        <f t="shared" ref="AT323:AU323" si="644">C323</f>
        <v>G22000</v>
      </c>
      <c r="AU323" s="854" t="str">
        <f t="shared" si="644"/>
        <v>COMPTES A REC.-PCE SERV.</v>
      </c>
      <c r="AV323" s="794">
        <f t="array" ref="AV323">IFERROR(INDEX(V323:AG323,1,MATCH(Parametres!$B$3,V$1:AG$1,0)-1)*IF(OR(C323="L",C323="S",C323="I"),-1,1),"")</f>
        <v>0</v>
      </c>
      <c r="AW323" s="794">
        <f t="shared" si="6"/>
        <v>0</v>
      </c>
      <c r="AX323" s="794">
        <f t="array" ref="AX323">INDEX(V323:AG323,1,MATCH(Parametres!$B$3,V$1:AG$1,0))*IF(OR(C323="L",C323="S",C323="I"),-1,1)</f>
        <v>0</v>
      </c>
      <c r="AY323" s="853" t="s">
        <v>772</v>
      </c>
      <c r="AZ323" s="853" t="str">
        <f>+VLOOKUP($AJ323,Data_Validation!$A:$E,5,0)</f>
        <v/>
      </c>
    </row>
    <row r="324" ht="15.0" customHeight="1">
      <c r="A324" s="849" t="s">
        <v>1239</v>
      </c>
      <c r="B324" s="849">
        <v>2025.0</v>
      </c>
      <c r="C324" s="849" t="s">
        <v>1964</v>
      </c>
      <c r="D324" s="849" t="s">
        <v>3426</v>
      </c>
      <c r="E324" s="849" t="s">
        <v>1951</v>
      </c>
      <c r="F324" s="849" t="s">
        <v>1926</v>
      </c>
      <c r="G324" s="849">
        <v>-235934.52</v>
      </c>
      <c r="H324" s="849">
        <v>-192972.36</v>
      </c>
      <c r="I324" s="849">
        <v>5070.96</v>
      </c>
      <c r="J324" s="849">
        <v>-51955.12</v>
      </c>
      <c r="K324" s="849">
        <v>39273.97</v>
      </c>
      <c r="L324" s="849">
        <v>-80482.1</v>
      </c>
      <c r="M324" s="849">
        <v>26947.99</v>
      </c>
      <c r="N324" s="849">
        <v>-154253.28</v>
      </c>
      <c r="O324" s="849">
        <v>-4863.95</v>
      </c>
      <c r="P324" s="849">
        <v>-17723.5</v>
      </c>
      <c r="Q324" s="849">
        <v>-63806.45</v>
      </c>
      <c r="R324" s="849">
        <v>-124679.25</v>
      </c>
      <c r="S324" s="849">
        <v>0.0</v>
      </c>
      <c r="T324" s="849">
        <v>0.0</v>
      </c>
      <c r="U324" s="849">
        <v>0.0</v>
      </c>
      <c r="V324" s="849">
        <v>0.0</v>
      </c>
      <c r="W324" s="849">
        <v>0.0</v>
      </c>
      <c r="X324" s="849">
        <v>0.0</v>
      </c>
      <c r="Y324" s="849">
        <v>0.0</v>
      </c>
      <c r="Z324" s="849">
        <v>0.0</v>
      </c>
      <c r="AA324" s="849">
        <v>0.0</v>
      </c>
      <c r="AB324" s="849">
        <v>0.0</v>
      </c>
      <c r="AC324" s="849">
        <v>0.0</v>
      </c>
      <c r="AD324" s="849">
        <v>0.0</v>
      </c>
      <c r="AE324" s="849">
        <v>0.0</v>
      </c>
      <c r="AF324" s="849">
        <v>0.0</v>
      </c>
      <c r="AG324" s="849">
        <v>0.0</v>
      </c>
      <c r="AH324" s="849">
        <v>0.0</v>
      </c>
      <c r="AI324" s="849">
        <v>0.0</v>
      </c>
      <c r="AJ324" s="794" t="str">
        <f t="shared" ref="AJ324:AK324" si="645">C324</f>
        <v>G22001</v>
      </c>
      <c r="AK324" s="794" t="str">
        <f t="shared" si="645"/>
        <v>COMPTES A REC.-VEHICULE</v>
      </c>
      <c r="AL324" s="794">
        <f t="array" ref="AL324">IFERROR(INDEX(G324:R324,1,MATCH(Parametres!$B$3,G$1:R$1,0)-1)*IF(OR(F324="L",F324="S",F324="I"),-1,1),"")</f>
        <v>-154253.28</v>
      </c>
      <c r="AM324" s="794">
        <f t="shared" si="4"/>
        <v>149389.33</v>
      </c>
      <c r="AN324" s="794">
        <f t="array" ref="AN324">INDEX(G324:R324,1,MATCH(Parametres!$B$3,G$1:R$1,0))*IF(OR(F324="L",F324="S",F324="I"),-1,1)</f>
        <v>-4863.95</v>
      </c>
      <c r="AO324" s="853" t="str">
        <f>+VLOOKUP($AJ324,Data_Validation!$A:$D,1,0)</f>
        <v>G22001</v>
      </c>
      <c r="AP324" s="853" t="str">
        <f>+VLOOKUP($AJ324,Data_Validation!$A:$D,3,0)</f>
        <v>Bilan</v>
      </c>
      <c r="AQ324" s="853" t="str">
        <f>+VLOOKUP($AJ324,Data_Validation!$A:$D,4,0)</f>
        <v>Recevables Véhicules</v>
      </c>
      <c r="AR324" s="853" t="s">
        <v>728</v>
      </c>
      <c r="AS324" s="853" t="str">
        <f>+VLOOKUP($AJ324,Data_Validation!$A:$E,5,0)</f>
        <v/>
      </c>
      <c r="AT324" s="794" t="str">
        <f t="shared" ref="AT324:AU324" si="646">C324</f>
        <v>G22001</v>
      </c>
      <c r="AU324" s="854" t="str">
        <f t="shared" si="646"/>
        <v>COMPTES A REC.-VEHICULE</v>
      </c>
      <c r="AV324" s="794">
        <f t="array" ref="AV324">IFERROR(INDEX(V324:AG324,1,MATCH(Parametres!$B$3,V$1:AG$1,0)-1)*IF(OR(C324="L",C324="S",C324="I"),-1,1),"")</f>
        <v>0</v>
      </c>
      <c r="AW324" s="794">
        <f t="shared" si="6"/>
        <v>0</v>
      </c>
      <c r="AX324" s="794">
        <f t="array" ref="AX324">INDEX(V324:AG324,1,MATCH(Parametres!$B$3,V$1:AG$1,0))*IF(OR(C324="L",C324="S",C324="I"),-1,1)</f>
        <v>0</v>
      </c>
      <c r="AY324" s="853" t="s">
        <v>772</v>
      </c>
      <c r="AZ324" s="853" t="str">
        <f>+VLOOKUP($AJ324,Data_Validation!$A:$E,5,0)</f>
        <v/>
      </c>
    </row>
    <row r="325" ht="15.0" customHeight="1">
      <c r="A325" s="849" t="s">
        <v>1239</v>
      </c>
      <c r="B325" s="849">
        <v>2025.0</v>
      </c>
      <c r="C325" s="849" t="s">
        <v>1966</v>
      </c>
      <c r="D325" s="849" t="s">
        <v>3427</v>
      </c>
      <c r="E325" s="849" t="s">
        <v>1926</v>
      </c>
      <c r="F325" s="849" t="s">
        <v>1926</v>
      </c>
      <c r="G325" s="849">
        <v>34466.95</v>
      </c>
      <c r="H325" s="849">
        <v>55880.92</v>
      </c>
      <c r="I325" s="849">
        <v>59320.64</v>
      </c>
      <c r="J325" s="849">
        <v>74427.13</v>
      </c>
      <c r="K325" s="849">
        <v>73119.65</v>
      </c>
      <c r="L325" s="849">
        <v>11964.03</v>
      </c>
      <c r="M325" s="849">
        <v>68645.47</v>
      </c>
      <c r="N325" s="849">
        <v>130889.98</v>
      </c>
      <c r="O325" s="849">
        <v>62438.08</v>
      </c>
      <c r="P325" s="849">
        <v>2076.0</v>
      </c>
      <c r="Q325" s="849">
        <v>39230.37</v>
      </c>
      <c r="R325" s="849">
        <v>35501.4</v>
      </c>
      <c r="S325" s="849">
        <v>0.0</v>
      </c>
      <c r="T325" s="849">
        <v>0.0</v>
      </c>
      <c r="U325" s="849">
        <v>0.0</v>
      </c>
      <c r="V325" s="849">
        <v>0.0</v>
      </c>
      <c r="W325" s="849">
        <v>0.0</v>
      </c>
      <c r="X325" s="849">
        <v>0.0</v>
      </c>
      <c r="Y325" s="849">
        <v>0.0</v>
      </c>
      <c r="Z325" s="849">
        <v>0.0</v>
      </c>
      <c r="AA325" s="849">
        <v>0.0</v>
      </c>
      <c r="AB325" s="849">
        <v>0.0</v>
      </c>
      <c r="AC325" s="849">
        <v>0.0</v>
      </c>
      <c r="AD325" s="849">
        <v>0.0</v>
      </c>
      <c r="AE325" s="849">
        <v>0.0</v>
      </c>
      <c r="AF325" s="849">
        <v>0.0</v>
      </c>
      <c r="AG325" s="849">
        <v>0.0</v>
      </c>
      <c r="AH325" s="849">
        <v>0.0</v>
      </c>
      <c r="AI325" s="849">
        <v>0.0</v>
      </c>
      <c r="AJ325" s="794" t="str">
        <f t="shared" ref="AJ325:AK325" si="647">C325</f>
        <v>G22002</v>
      </c>
      <c r="AK325" s="794" t="str">
        <f t="shared" si="647"/>
        <v>REC CLIENTS CARROSSERIE</v>
      </c>
      <c r="AL325" s="794">
        <f t="array" ref="AL325">IFERROR(INDEX(G325:R325,1,MATCH(Parametres!$B$3,G$1:R$1,0)-1)*IF(OR(F325="L",F325="S",F325="I"),-1,1),"")</f>
        <v>130889.98</v>
      </c>
      <c r="AM325" s="794">
        <f t="shared" si="4"/>
        <v>-68451.9</v>
      </c>
      <c r="AN325" s="794">
        <f t="array" ref="AN325">INDEX(G325:R325,1,MATCH(Parametres!$B$3,G$1:R$1,0))*IF(OR(F325="L",F325="S",F325="I"),-1,1)</f>
        <v>62438.08</v>
      </c>
      <c r="AO325" s="853" t="str">
        <f>+VLOOKUP($AJ325,Data_Validation!$A:$D,1,0)</f>
        <v>G22002</v>
      </c>
      <c r="AP325" s="853" t="str">
        <f>+VLOOKUP($AJ325,Data_Validation!$A:$D,3,0)</f>
        <v>Bilan</v>
      </c>
      <c r="AQ325" s="853" t="str">
        <f>+VLOOKUP($AJ325,Data_Validation!$A:$D,4,0)</f>
        <v>Recevables Carrosserie</v>
      </c>
      <c r="AR325" s="853" t="s">
        <v>728</v>
      </c>
      <c r="AS325" s="853" t="str">
        <f>+VLOOKUP($AJ325,Data_Validation!$A:$E,5,0)</f>
        <v/>
      </c>
      <c r="AT325" s="794" t="str">
        <f t="shared" ref="AT325:AU325" si="648">C325</f>
        <v>G22002</v>
      </c>
      <c r="AU325" s="854" t="str">
        <f t="shared" si="648"/>
        <v>REC CLIENTS CARROSSERIE</v>
      </c>
      <c r="AV325" s="794">
        <f t="array" ref="AV325">IFERROR(INDEX(V325:AG325,1,MATCH(Parametres!$B$3,V$1:AG$1,0)-1)*IF(OR(C325="L",C325="S",C325="I"),-1,1),"")</f>
        <v>0</v>
      </c>
      <c r="AW325" s="794">
        <f t="shared" si="6"/>
        <v>0</v>
      </c>
      <c r="AX325" s="794">
        <f t="array" ref="AX325">INDEX(V325:AG325,1,MATCH(Parametres!$B$3,V$1:AG$1,0))*IF(OR(C325="L",C325="S",C325="I"),-1,1)</f>
        <v>0</v>
      </c>
      <c r="AY325" s="853" t="s">
        <v>772</v>
      </c>
      <c r="AZ325" s="853" t="str">
        <f>+VLOOKUP($AJ325,Data_Validation!$A:$E,5,0)</f>
        <v/>
      </c>
    </row>
    <row r="326" ht="15.0" customHeight="1">
      <c r="A326" s="849" t="s">
        <v>1239</v>
      </c>
      <c r="B326" s="849">
        <v>2025.0</v>
      </c>
      <c r="C326" s="849" t="s">
        <v>1968</v>
      </c>
      <c r="D326" s="849" t="s">
        <v>3428</v>
      </c>
      <c r="E326" s="849" t="s">
        <v>1926</v>
      </c>
      <c r="F326" s="849" t="s">
        <v>1926</v>
      </c>
      <c r="G326" s="849">
        <v>0.0</v>
      </c>
      <c r="H326" s="849">
        <v>25676.25</v>
      </c>
      <c r="I326" s="849">
        <v>25676.25</v>
      </c>
      <c r="J326" s="849">
        <v>25676.25</v>
      </c>
      <c r="K326" s="849">
        <v>25676.25</v>
      </c>
      <c r="L326" s="849">
        <v>25676.25</v>
      </c>
      <c r="M326" s="849">
        <v>26676.25</v>
      </c>
      <c r="N326" s="849">
        <v>26676.25</v>
      </c>
      <c r="O326" s="849">
        <v>26676.25</v>
      </c>
      <c r="P326" s="849">
        <v>52111.18</v>
      </c>
      <c r="Q326" s="849">
        <v>55045.18</v>
      </c>
      <c r="R326" s="849">
        <v>51111.18</v>
      </c>
      <c r="S326" s="849">
        <v>0.0</v>
      </c>
      <c r="T326" s="849">
        <v>0.0</v>
      </c>
      <c r="U326" s="849">
        <v>0.0</v>
      </c>
      <c r="V326" s="849">
        <v>0.0</v>
      </c>
      <c r="W326" s="849">
        <v>0.0</v>
      </c>
      <c r="X326" s="849">
        <v>0.0</v>
      </c>
      <c r="Y326" s="849">
        <v>0.0</v>
      </c>
      <c r="Z326" s="849">
        <v>0.0</v>
      </c>
      <c r="AA326" s="849">
        <v>0.0</v>
      </c>
      <c r="AB326" s="849">
        <v>0.0</v>
      </c>
      <c r="AC326" s="849">
        <v>0.0</v>
      </c>
      <c r="AD326" s="849">
        <v>0.0</v>
      </c>
      <c r="AE326" s="849">
        <v>0.0</v>
      </c>
      <c r="AF326" s="849">
        <v>0.0</v>
      </c>
      <c r="AG326" s="849">
        <v>0.0</v>
      </c>
      <c r="AH326" s="849">
        <v>0.0</v>
      </c>
      <c r="AI326" s="849">
        <v>0.0</v>
      </c>
      <c r="AJ326" s="794" t="str">
        <f t="shared" ref="AJ326:AK326" si="649">C326</f>
        <v>G22003</v>
      </c>
      <c r="AK326" s="794" t="str">
        <f t="shared" si="649"/>
        <v>COMPTES A REC.-VENTES</v>
      </c>
      <c r="AL326" s="794">
        <f t="array" ref="AL326">IFERROR(INDEX(G326:R326,1,MATCH(Parametres!$B$3,G$1:R$1,0)-1)*IF(OR(F326="L",F326="S",F326="I"),-1,1),"")</f>
        <v>26676.25</v>
      </c>
      <c r="AM326" s="794">
        <f t="shared" si="4"/>
        <v>0</v>
      </c>
      <c r="AN326" s="794">
        <f t="array" ref="AN326">INDEX(G326:R326,1,MATCH(Parametres!$B$3,G$1:R$1,0))*IF(OR(F326="L",F326="S",F326="I"),-1,1)</f>
        <v>26676.25</v>
      </c>
      <c r="AO326" s="853" t="str">
        <f>+VLOOKUP($AJ326,Data_Validation!$A:$D,1,0)</f>
        <v>G22003</v>
      </c>
      <c r="AP326" s="853" t="str">
        <f>+VLOOKUP($AJ326,Data_Validation!$A:$D,3,0)</f>
        <v>Bilan</v>
      </c>
      <c r="AQ326" s="853" t="str">
        <f>+VLOOKUP($AJ326,Data_Validation!$A:$D,4,0)</f>
        <v>Recevables Véhicules</v>
      </c>
      <c r="AR326" s="853" t="s">
        <v>728</v>
      </c>
      <c r="AS326" s="853" t="str">
        <f>+VLOOKUP($AJ326,Data_Validation!$A:$E,5,0)</f>
        <v/>
      </c>
      <c r="AT326" s="794" t="str">
        <f t="shared" ref="AT326:AU326" si="650">C326</f>
        <v>G22003</v>
      </c>
      <c r="AU326" s="854" t="str">
        <f t="shared" si="650"/>
        <v>COMPTES A REC.-VENTES</v>
      </c>
      <c r="AV326" s="794">
        <f t="array" ref="AV326">IFERROR(INDEX(V326:AG326,1,MATCH(Parametres!$B$3,V$1:AG$1,0)-1)*IF(OR(C326="L",C326="S",C326="I"),-1,1),"")</f>
        <v>0</v>
      </c>
      <c r="AW326" s="794">
        <f t="shared" si="6"/>
        <v>0</v>
      </c>
      <c r="AX326" s="794">
        <f t="array" ref="AX326">INDEX(V326:AG326,1,MATCH(Parametres!$B$3,V$1:AG$1,0))*IF(OR(C326="L",C326="S",C326="I"),-1,1)</f>
        <v>0</v>
      </c>
      <c r="AY326" s="853" t="s">
        <v>772</v>
      </c>
      <c r="AZ326" s="853" t="str">
        <f>+VLOOKUP($AJ326,Data_Validation!$A:$E,5,0)</f>
        <v/>
      </c>
    </row>
    <row r="327" ht="15.75" customHeight="1">
      <c r="A327" s="849" t="s">
        <v>1239</v>
      </c>
      <c r="B327" s="849">
        <v>2025.0</v>
      </c>
      <c r="C327" s="849" t="s">
        <v>1970</v>
      </c>
      <c r="D327" s="849" t="s">
        <v>1971</v>
      </c>
      <c r="E327" s="849" t="s">
        <v>768</v>
      </c>
      <c r="F327" s="849" t="s">
        <v>1926</v>
      </c>
      <c r="G327" s="849">
        <v>68132.79</v>
      </c>
      <c r="H327" s="849">
        <v>65447.76</v>
      </c>
      <c r="I327" s="849">
        <v>82180.77</v>
      </c>
      <c r="J327" s="849">
        <v>37698.35</v>
      </c>
      <c r="K327" s="849">
        <v>97530.87</v>
      </c>
      <c r="L327" s="849">
        <v>103161.28</v>
      </c>
      <c r="M327" s="849">
        <v>91429.93</v>
      </c>
      <c r="N327" s="849">
        <v>94119.27</v>
      </c>
      <c r="O327" s="849">
        <v>146450.31</v>
      </c>
      <c r="P327" s="849">
        <v>106729.07</v>
      </c>
      <c r="Q327" s="849">
        <v>38522.01</v>
      </c>
      <c r="R327" s="849">
        <v>18621.39</v>
      </c>
      <c r="S327" s="849">
        <v>0.0</v>
      </c>
      <c r="T327" s="849">
        <v>0.0</v>
      </c>
      <c r="U327" s="849">
        <v>0.0</v>
      </c>
      <c r="V327" s="849">
        <v>0.0</v>
      </c>
      <c r="W327" s="849">
        <v>0.0</v>
      </c>
      <c r="X327" s="849">
        <v>0.0</v>
      </c>
      <c r="Y327" s="849">
        <v>0.0</v>
      </c>
      <c r="Z327" s="849">
        <v>0.0</v>
      </c>
      <c r="AA327" s="849">
        <v>0.0</v>
      </c>
      <c r="AB327" s="849">
        <v>0.0</v>
      </c>
      <c r="AC327" s="849">
        <v>0.0</v>
      </c>
      <c r="AD327" s="849">
        <v>0.0</v>
      </c>
      <c r="AE327" s="849">
        <v>0.0</v>
      </c>
      <c r="AF327" s="849">
        <v>0.0</v>
      </c>
      <c r="AG327" s="849">
        <v>0.0</v>
      </c>
      <c r="AH327" s="849">
        <v>0.0</v>
      </c>
      <c r="AI327" s="849">
        <v>0.0</v>
      </c>
      <c r="AJ327" s="794" t="str">
        <f t="shared" ref="AJ327:AK327" si="651">C327</f>
        <v>G22004</v>
      </c>
      <c r="AK327" s="794" t="str">
        <f t="shared" si="651"/>
        <v>T.V.Q. A RECEVOIR</v>
      </c>
      <c r="AL327" s="794">
        <f t="array" ref="AL327">IFERROR(INDEX(G327:R327,1,MATCH(Parametres!$B$3,G$1:R$1,0)-1)*IF(OR(F327="L",F327="S",F327="I"),-1,1),"")</f>
        <v>94119.27</v>
      </c>
      <c r="AM327" s="794">
        <f t="shared" si="4"/>
        <v>52331.04</v>
      </c>
      <c r="AN327" s="794">
        <f t="array" ref="AN327">INDEX(G327:R327,1,MATCH(Parametres!$B$3,G$1:R$1,0))*IF(OR(F327="L",F327="S",F327="I"),-1,1)</f>
        <v>146450.31</v>
      </c>
      <c r="AO327" s="853" t="str">
        <f>+VLOOKUP($AJ327,Data_Validation!$A:$D,1,0)</f>
        <v>G22004</v>
      </c>
      <c r="AP327" s="853" t="str">
        <f>+VLOOKUP($AJ327,Data_Validation!$A:$D,3,0)</f>
        <v>Bilan</v>
      </c>
      <c r="AQ327" s="853" t="str">
        <f>+VLOOKUP($AJ327,Data_Validation!$A:$D,4,0)</f>
        <v>Taxes de Vente à Payer</v>
      </c>
      <c r="AR327" s="853" t="s">
        <v>728</v>
      </c>
      <c r="AS327" s="853" t="str">
        <f>+VLOOKUP($AJ327,Data_Validation!$A:$E,5,0)</f>
        <v/>
      </c>
      <c r="AT327" s="794" t="str">
        <f t="shared" ref="AT327:AU327" si="652">C327</f>
        <v>G22004</v>
      </c>
      <c r="AU327" s="854" t="str">
        <f t="shared" si="652"/>
        <v>T.V.Q. A RECEVOIR</v>
      </c>
      <c r="AV327" s="794">
        <f t="array" ref="AV327">IFERROR(INDEX(V327:AG327,1,MATCH(Parametres!$B$3,V$1:AG$1,0)-1)*IF(OR(C327="L",C327="S",C327="I"),-1,1),"")</f>
        <v>0</v>
      </c>
      <c r="AW327" s="794">
        <f t="shared" si="6"/>
        <v>0</v>
      </c>
      <c r="AX327" s="794">
        <f t="array" ref="AX327">INDEX(V327:AG327,1,MATCH(Parametres!$B$3,V$1:AG$1,0))*IF(OR(C327="L",C327="S",C327="I"),-1,1)</f>
        <v>0</v>
      </c>
      <c r="AY327" s="853" t="s">
        <v>772</v>
      </c>
      <c r="AZ327" s="853" t="str">
        <f>+VLOOKUP($AJ327,Data_Validation!$A:$E,5,0)</f>
        <v/>
      </c>
    </row>
    <row r="328" ht="15.0" customHeight="1">
      <c r="A328" s="849" t="s">
        <v>1239</v>
      </c>
      <c r="B328" s="849">
        <v>2025.0</v>
      </c>
      <c r="C328" s="849" t="s">
        <v>1972</v>
      </c>
      <c r="D328" s="849" t="s">
        <v>1973</v>
      </c>
      <c r="E328" s="849" t="s">
        <v>768</v>
      </c>
      <c r="F328" s="849" t="s">
        <v>1926</v>
      </c>
      <c r="G328" s="849">
        <v>1295880.56</v>
      </c>
      <c r="H328" s="849">
        <v>1767776.97</v>
      </c>
      <c r="I328" s="849">
        <v>2949447.7</v>
      </c>
      <c r="J328" s="849">
        <v>1603271.29</v>
      </c>
      <c r="K328" s="849">
        <v>1215507.83</v>
      </c>
      <c r="L328" s="849">
        <v>924535.83</v>
      </c>
      <c r="M328" s="849">
        <v>1005739.52</v>
      </c>
      <c r="N328" s="849">
        <v>1116291.1</v>
      </c>
      <c r="O328" s="849">
        <v>1489703.31</v>
      </c>
      <c r="P328" s="849">
        <v>1901150.17</v>
      </c>
      <c r="Q328" s="849">
        <v>2048741.81</v>
      </c>
      <c r="R328" s="849">
        <v>2817669.53</v>
      </c>
      <c r="S328" s="849">
        <v>0.0</v>
      </c>
      <c r="T328" s="849">
        <v>0.0</v>
      </c>
      <c r="U328" s="849">
        <v>0.0</v>
      </c>
      <c r="V328" s="849">
        <v>0.0</v>
      </c>
      <c r="W328" s="849">
        <v>0.0</v>
      </c>
      <c r="X328" s="849">
        <v>0.0</v>
      </c>
      <c r="Y328" s="849">
        <v>0.0</v>
      </c>
      <c r="Z328" s="849">
        <v>0.0</v>
      </c>
      <c r="AA328" s="849">
        <v>0.0</v>
      </c>
      <c r="AB328" s="849">
        <v>0.0</v>
      </c>
      <c r="AC328" s="849">
        <v>0.0</v>
      </c>
      <c r="AD328" s="849">
        <v>0.0</v>
      </c>
      <c r="AE328" s="849">
        <v>0.0</v>
      </c>
      <c r="AF328" s="849">
        <v>0.0</v>
      </c>
      <c r="AG328" s="849">
        <v>0.0</v>
      </c>
      <c r="AH328" s="849">
        <v>0.0</v>
      </c>
      <c r="AI328" s="849">
        <v>0.0</v>
      </c>
      <c r="AJ328" s="794" t="str">
        <f t="shared" ref="AJ328:AK328" si="653">C328</f>
        <v>G22005</v>
      </c>
      <c r="AK328" s="794" t="str">
        <f t="shared" si="653"/>
        <v>T.P.S. A RECEVOIR</v>
      </c>
      <c r="AL328" s="794">
        <f t="array" ref="AL328">IFERROR(INDEX(G328:R328,1,MATCH(Parametres!$B$3,G$1:R$1,0)-1)*IF(OR(F328="L",F328="S",F328="I"),-1,1),"")</f>
        <v>1116291.1</v>
      </c>
      <c r="AM328" s="794">
        <f t="shared" si="4"/>
        <v>373412.21</v>
      </c>
      <c r="AN328" s="794">
        <f t="array" ref="AN328">INDEX(G328:R328,1,MATCH(Parametres!$B$3,G$1:R$1,0))*IF(OR(F328="L",F328="S",F328="I"),-1,1)</f>
        <v>1489703.31</v>
      </c>
      <c r="AO328" s="853" t="str">
        <f>+VLOOKUP($AJ328,Data_Validation!$A:$D,1,0)</f>
        <v>G22005</v>
      </c>
      <c r="AP328" s="853" t="str">
        <f>+VLOOKUP($AJ328,Data_Validation!$A:$D,3,0)</f>
        <v>Bilan</v>
      </c>
      <c r="AQ328" s="853" t="str">
        <f>+VLOOKUP($AJ328,Data_Validation!$A:$D,4,0)</f>
        <v>Taxes de Vente à Payer</v>
      </c>
      <c r="AR328" s="853" t="s">
        <v>728</v>
      </c>
      <c r="AS328" s="853" t="str">
        <f>+VLOOKUP($AJ328,Data_Validation!$A:$E,5,0)</f>
        <v/>
      </c>
      <c r="AT328" s="794" t="str">
        <f t="shared" ref="AT328:AU328" si="654">C328</f>
        <v>G22005</v>
      </c>
      <c r="AU328" s="854" t="str">
        <f t="shared" si="654"/>
        <v>T.P.S. A RECEVOIR</v>
      </c>
      <c r="AV328" s="794">
        <f t="array" ref="AV328">IFERROR(INDEX(V328:AG328,1,MATCH(Parametres!$B$3,V$1:AG$1,0)-1)*IF(OR(C328="L",C328="S",C328="I"),-1,1),"")</f>
        <v>0</v>
      </c>
      <c r="AW328" s="794">
        <f t="shared" si="6"/>
        <v>0</v>
      </c>
      <c r="AX328" s="794">
        <f t="array" ref="AX328">INDEX(V328:AG328,1,MATCH(Parametres!$B$3,V$1:AG$1,0))*IF(OR(C328="L",C328="S",C328="I"),-1,1)</f>
        <v>0</v>
      </c>
      <c r="AY328" s="853" t="s">
        <v>772</v>
      </c>
      <c r="AZ328" s="853" t="str">
        <f>+VLOOKUP($AJ328,Data_Validation!$A:$E,5,0)</f>
        <v/>
      </c>
    </row>
    <row r="329" ht="15.0" customHeight="1">
      <c r="A329" s="849" t="s">
        <v>1239</v>
      </c>
      <c r="B329" s="849">
        <v>2025.0</v>
      </c>
      <c r="C329" s="849" t="s">
        <v>1974</v>
      </c>
      <c r="D329" s="849" t="s">
        <v>3429</v>
      </c>
      <c r="E329" s="849" t="s">
        <v>1951</v>
      </c>
      <c r="F329" s="849" t="s">
        <v>1926</v>
      </c>
      <c r="G329" s="849">
        <v>35665.8</v>
      </c>
      <c r="H329" s="849">
        <v>31324.06</v>
      </c>
      <c r="I329" s="849">
        <v>31381.52</v>
      </c>
      <c r="J329" s="849">
        <v>35931.26</v>
      </c>
      <c r="K329" s="849">
        <v>42626.15</v>
      </c>
      <c r="L329" s="849">
        <v>43026.15</v>
      </c>
      <c r="M329" s="849">
        <v>35960.21</v>
      </c>
      <c r="N329" s="849">
        <v>33311.39</v>
      </c>
      <c r="O329" s="849">
        <v>38947.0</v>
      </c>
      <c r="P329" s="849">
        <v>33716.6</v>
      </c>
      <c r="Q329" s="849">
        <v>28823.78</v>
      </c>
      <c r="R329" s="849">
        <v>25974.68</v>
      </c>
      <c r="S329" s="849">
        <v>0.0</v>
      </c>
      <c r="T329" s="849">
        <v>0.0</v>
      </c>
      <c r="U329" s="849">
        <v>0.0</v>
      </c>
      <c r="V329" s="849">
        <v>0.0</v>
      </c>
      <c r="W329" s="849">
        <v>0.0</v>
      </c>
      <c r="X329" s="849">
        <v>0.0</v>
      </c>
      <c r="Y329" s="849">
        <v>0.0</v>
      </c>
      <c r="Z329" s="849">
        <v>0.0</v>
      </c>
      <c r="AA329" s="849">
        <v>0.0</v>
      </c>
      <c r="AB329" s="849">
        <v>0.0</v>
      </c>
      <c r="AC329" s="849">
        <v>0.0</v>
      </c>
      <c r="AD329" s="849">
        <v>0.0</v>
      </c>
      <c r="AE329" s="849">
        <v>0.0</v>
      </c>
      <c r="AF329" s="849">
        <v>0.0</v>
      </c>
      <c r="AG329" s="849">
        <v>0.0</v>
      </c>
      <c r="AH329" s="849">
        <v>0.0</v>
      </c>
      <c r="AI329" s="849">
        <v>0.0</v>
      </c>
      <c r="AJ329" s="794" t="str">
        <f t="shared" ref="AJ329:AK329" si="655">C329</f>
        <v>G22006</v>
      </c>
      <c r="AK329" s="794" t="str">
        <f t="shared" si="655"/>
        <v>COMPTES REC - EMPLOYÉ</v>
      </c>
      <c r="AL329" s="794">
        <f t="array" ref="AL329">IFERROR(INDEX(G329:R329,1,MATCH(Parametres!$B$3,G$1:R$1,0)-1)*IF(OR(F329="L",F329="S",F329="I"),-1,1),"")</f>
        <v>33311.39</v>
      </c>
      <c r="AM329" s="794">
        <f t="shared" si="4"/>
        <v>5635.61</v>
      </c>
      <c r="AN329" s="794">
        <f t="array" ref="AN329">INDEX(G329:R329,1,MATCH(Parametres!$B$3,G$1:R$1,0))*IF(OR(F329="L",F329="S",F329="I"),-1,1)</f>
        <v>38947</v>
      </c>
      <c r="AO329" s="853" t="str">
        <f>+VLOOKUP($AJ329,Data_Validation!$A:$D,1,0)</f>
        <v>G22006</v>
      </c>
      <c r="AP329" s="853" t="str">
        <f>+VLOOKUP($AJ329,Data_Validation!$A:$D,3,0)</f>
        <v>Bilan</v>
      </c>
      <c r="AQ329" s="853" t="str">
        <f>+VLOOKUP($AJ329,Data_Validation!$A:$D,4,0)</f>
        <v>Recevables Autres</v>
      </c>
      <c r="AR329" s="853" t="s">
        <v>728</v>
      </c>
      <c r="AS329" s="853" t="str">
        <f>+VLOOKUP($AJ329,Data_Validation!$A:$E,5,0)</f>
        <v/>
      </c>
      <c r="AT329" s="794" t="str">
        <f t="shared" ref="AT329:AU329" si="656">C329</f>
        <v>G22006</v>
      </c>
      <c r="AU329" s="854" t="str">
        <f t="shared" si="656"/>
        <v>COMPTES REC - EMPLOYÉ</v>
      </c>
      <c r="AV329" s="794">
        <f t="array" ref="AV329">IFERROR(INDEX(V329:AG329,1,MATCH(Parametres!$B$3,V$1:AG$1,0)-1)*IF(OR(C329="L",C329="S",C329="I"),-1,1),"")</f>
        <v>0</v>
      </c>
      <c r="AW329" s="794">
        <f t="shared" si="6"/>
        <v>0</v>
      </c>
      <c r="AX329" s="794">
        <f t="array" ref="AX329">INDEX(V329:AG329,1,MATCH(Parametres!$B$3,V$1:AG$1,0))*IF(OR(C329="L",C329="S",C329="I"),-1,1)</f>
        <v>0</v>
      </c>
      <c r="AY329" s="853" t="s">
        <v>772</v>
      </c>
      <c r="AZ329" s="853" t="str">
        <f>+VLOOKUP($AJ329,Data_Validation!$A:$E,5,0)</f>
        <v/>
      </c>
    </row>
    <row r="330" ht="15.0" customHeight="1">
      <c r="A330" s="849" t="s">
        <v>1239</v>
      </c>
      <c r="B330" s="849">
        <v>2025.0</v>
      </c>
      <c r="C330" s="849" t="s">
        <v>1976</v>
      </c>
      <c r="D330" s="849" t="s">
        <v>3430</v>
      </c>
      <c r="E330" s="849" t="s">
        <v>1951</v>
      </c>
      <c r="F330" s="849" t="s">
        <v>1926</v>
      </c>
      <c r="G330" s="849">
        <v>498719.06</v>
      </c>
      <c r="H330" s="849">
        <v>510237.0</v>
      </c>
      <c r="I330" s="849">
        <v>641870.99</v>
      </c>
      <c r="J330" s="849">
        <v>766226.84</v>
      </c>
      <c r="K330" s="849">
        <v>684504.37</v>
      </c>
      <c r="L330" s="849">
        <v>732637.38</v>
      </c>
      <c r="M330" s="849">
        <v>396748.54</v>
      </c>
      <c r="N330" s="849">
        <v>1278566.0</v>
      </c>
      <c r="O330" s="849">
        <v>1583790.5</v>
      </c>
      <c r="P330" s="849">
        <v>393010.35</v>
      </c>
      <c r="Q330" s="849">
        <v>2161641.13</v>
      </c>
      <c r="R330" s="849">
        <v>344608.35</v>
      </c>
      <c r="S330" s="849">
        <v>0.0</v>
      </c>
      <c r="T330" s="849">
        <v>0.0</v>
      </c>
      <c r="U330" s="849">
        <v>0.0</v>
      </c>
      <c r="V330" s="849">
        <v>0.0</v>
      </c>
      <c r="W330" s="849">
        <v>0.0</v>
      </c>
      <c r="X330" s="849">
        <v>0.0</v>
      </c>
      <c r="Y330" s="849">
        <v>0.0</v>
      </c>
      <c r="Z330" s="849">
        <v>0.0</v>
      </c>
      <c r="AA330" s="849">
        <v>0.0</v>
      </c>
      <c r="AB330" s="849">
        <v>0.0</v>
      </c>
      <c r="AC330" s="849">
        <v>0.0</v>
      </c>
      <c r="AD330" s="849">
        <v>0.0</v>
      </c>
      <c r="AE330" s="849">
        <v>0.0</v>
      </c>
      <c r="AF330" s="849">
        <v>0.0</v>
      </c>
      <c r="AG330" s="849">
        <v>0.0</v>
      </c>
      <c r="AH330" s="849">
        <v>0.0</v>
      </c>
      <c r="AI330" s="849">
        <v>0.0</v>
      </c>
      <c r="AJ330" s="794" t="str">
        <f t="shared" ref="AJ330:AK330" si="657">C330</f>
        <v>G22008</v>
      </c>
      <c r="AK330" s="794" t="str">
        <f t="shared" si="657"/>
        <v>VENTES WHOLESALE</v>
      </c>
      <c r="AL330" s="794">
        <f t="array" ref="AL330">IFERROR(INDEX(G330:R330,1,MATCH(Parametres!$B$3,G$1:R$1,0)-1)*IF(OR(F330="L",F330="S",F330="I"),-1,1),"")</f>
        <v>1278566</v>
      </c>
      <c r="AM330" s="794">
        <f t="shared" si="4"/>
        <v>305224.5</v>
      </c>
      <c r="AN330" s="794">
        <f t="array" ref="AN330">INDEX(G330:R330,1,MATCH(Parametres!$B$3,G$1:R$1,0))*IF(OR(F330="L",F330="S",F330="I"),-1,1)</f>
        <v>1583790.5</v>
      </c>
      <c r="AO330" s="853" t="str">
        <f>+VLOOKUP($AJ330,Data_Validation!$A:$D,1,0)</f>
        <v>G22008</v>
      </c>
      <c r="AP330" s="853" t="str">
        <f>+VLOOKUP($AJ330,Data_Validation!$A:$D,3,0)</f>
        <v>Bilan</v>
      </c>
      <c r="AQ330" s="853" t="str">
        <f>+VLOOKUP($AJ330,Data_Validation!$A:$D,4,0)</f>
        <v>Recevables Véhicules</v>
      </c>
      <c r="AR330" s="853" t="s">
        <v>728</v>
      </c>
      <c r="AS330" s="853" t="str">
        <f>+VLOOKUP($AJ330,Data_Validation!$A:$E,5,0)</f>
        <v/>
      </c>
      <c r="AT330" s="794" t="str">
        <f t="shared" ref="AT330:AU330" si="658">C330</f>
        <v>G22008</v>
      </c>
      <c r="AU330" s="854" t="str">
        <f t="shared" si="658"/>
        <v>VENTES WHOLESALE</v>
      </c>
      <c r="AV330" s="794">
        <f t="array" ref="AV330">IFERROR(INDEX(V330:AG330,1,MATCH(Parametres!$B$3,V$1:AG$1,0)-1)*IF(OR(C330="L",C330="S",C330="I"),-1,1),"")</f>
        <v>0</v>
      </c>
      <c r="AW330" s="794">
        <f t="shared" si="6"/>
        <v>0</v>
      </c>
      <c r="AX330" s="794">
        <f t="array" ref="AX330">INDEX(V330:AG330,1,MATCH(Parametres!$B$3,V$1:AG$1,0))*IF(OR(C330="L",C330="S",C330="I"),-1,1)</f>
        <v>0</v>
      </c>
      <c r="AY330" s="853" t="s">
        <v>772</v>
      </c>
      <c r="AZ330" s="853" t="str">
        <f>+VLOOKUP($AJ330,Data_Validation!$A:$E,5,0)</f>
        <v/>
      </c>
    </row>
    <row r="331" ht="15.0" customHeight="1">
      <c r="A331" s="849" t="s">
        <v>1239</v>
      </c>
      <c r="B331" s="849">
        <v>2025.0</v>
      </c>
      <c r="C331" s="849" t="s">
        <v>1978</v>
      </c>
      <c r="D331" s="849" t="s">
        <v>3431</v>
      </c>
      <c r="E331" s="849" t="s">
        <v>1951</v>
      </c>
      <c r="F331" s="849" t="s">
        <v>1926</v>
      </c>
      <c r="G331" s="849">
        <v>78166.17</v>
      </c>
      <c r="H331" s="849">
        <v>229919.39</v>
      </c>
      <c r="I331" s="849">
        <v>869048.45</v>
      </c>
      <c r="J331" s="849">
        <v>3472052.94</v>
      </c>
      <c r="K331" s="849">
        <v>2327812.01</v>
      </c>
      <c r="L331" s="849">
        <v>669409.15</v>
      </c>
      <c r="M331" s="849">
        <v>1453366.96</v>
      </c>
      <c r="N331" s="849">
        <v>-67068.26</v>
      </c>
      <c r="O331" s="849">
        <v>314332.49</v>
      </c>
      <c r="P331" s="849">
        <v>-67083.41</v>
      </c>
      <c r="Q331" s="849">
        <v>66681.59</v>
      </c>
      <c r="R331" s="849">
        <v>-302659.9</v>
      </c>
      <c r="S331" s="849">
        <v>0.0</v>
      </c>
      <c r="T331" s="849">
        <v>0.0</v>
      </c>
      <c r="U331" s="849">
        <v>0.0</v>
      </c>
      <c r="V331" s="849">
        <v>0.0</v>
      </c>
      <c r="W331" s="849">
        <v>0.0</v>
      </c>
      <c r="X331" s="849">
        <v>0.0</v>
      </c>
      <c r="Y331" s="849">
        <v>0.0</v>
      </c>
      <c r="Z331" s="849">
        <v>0.0</v>
      </c>
      <c r="AA331" s="849">
        <v>0.0</v>
      </c>
      <c r="AB331" s="849">
        <v>0.0</v>
      </c>
      <c r="AC331" s="849">
        <v>0.0</v>
      </c>
      <c r="AD331" s="849">
        <v>0.0</v>
      </c>
      <c r="AE331" s="849">
        <v>0.0</v>
      </c>
      <c r="AF331" s="849">
        <v>0.0</v>
      </c>
      <c r="AG331" s="849">
        <v>0.0</v>
      </c>
      <c r="AH331" s="849">
        <v>0.0</v>
      </c>
      <c r="AI331" s="849">
        <v>0.0</v>
      </c>
      <c r="AJ331" s="794" t="str">
        <f t="shared" ref="AJ331:AK331" si="659">C331</f>
        <v>G22009</v>
      </c>
      <c r="AK331" s="794" t="str">
        <f t="shared" si="659"/>
        <v>VENTES FLOTTES</v>
      </c>
      <c r="AL331" s="794">
        <f t="array" ref="AL331">IFERROR(INDEX(G331:R331,1,MATCH(Parametres!$B$3,G$1:R$1,0)-1)*IF(OR(F331="L",F331="S",F331="I"),-1,1),"")</f>
        <v>-67068.26</v>
      </c>
      <c r="AM331" s="794">
        <f t="shared" si="4"/>
        <v>381400.75</v>
      </c>
      <c r="AN331" s="794">
        <f t="array" ref="AN331">INDEX(G331:R331,1,MATCH(Parametres!$B$3,G$1:R$1,0))*IF(OR(F331="L",F331="S",F331="I"),-1,1)</f>
        <v>314332.49</v>
      </c>
      <c r="AO331" s="853" t="str">
        <f>+VLOOKUP($AJ331,Data_Validation!$A:$D,1,0)</f>
        <v>G22009</v>
      </c>
      <c r="AP331" s="853" t="str">
        <f>+VLOOKUP($AJ331,Data_Validation!$A:$D,3,0)</f>
        <v>Bilan</v>
      </c>
      <c r="AQ331" s="853" t="str">
        <f>+VLOOKUP($AJ331,Data_Validation!$A:$D,4,0)</f>
        <v>Recevables Véhicules</v>
      </c>
      <c r="AR331" s="853" t="s">
        <v>728</v>
      </c>
      <c r="AS331" s="853" t="str">
        <f>+VLOOKUP($AJ331,Data_Validation!$A:$E,5,0)</f>
        <v/>
      </c>
      <c r="AT331" s="794" t="str">
        <f t="shared" ref="AT331:AU331" si="660">C331</f>
        <v>G22009</v>
      </c>
      <c r="AU331" s="854" t="str">
        <f t="shared" si="660"/>
        <v>VENTES FLOTTES</v>
      </c>
      <c r="AV331" s="794">
        <f t="array" ref="AV331">IFERROR(INDEX(V331:AG331,1,MATCH(Parametres!$B$3,V$1:AG$1,0)-1)*IF(OR(C331="L",C331="S",C331="I"),-1,1),"")</f>
        <v>0</v>
      </c>
      <c r="AW331" s="794">
        <f t="shared" si="6"/>
        <v>0</v>
      </c>
      <c r="AX331" s="794">
        <f t="array" ref="AX331">INDEX(V331:AG331,1,MATCH(Parametres!$B$3,V$1:AG$1,0))*IF(OR(C331="L",C331="S",C331="I"),-1,1)</f>
        <v>0</v>
      </c>
      <c r="AY331" s="853" t="s">
        <v>772</v>
      </c>
      <c r="AZ331" s="853" t="str">
        <f>+VLOOKUP($AJ331,Data_Validation!$A:$E,5,0)</f>
        <v/>
      </c>
    </row>
    <row r="332" ht="15.0" customHeight="1">
      <c r="A332" s="849" t="s">
        <v>1239</v>
      </c>
      <c r="B332" s="849">
        <v>2025.0</v>
      </c>
      <c r="C332" s="849" t="s">
        <v>1980</v>
      </c>
      <c r="D332" s="849" t="s">
        <v>1935</v>
      </c>
      <c r="E332" s="849" t="s">
        <v>1931</v>
      </c>
      <c r="F332" s="849" t="s">
        <v>1926</v>
      </c>
      <c r="G332" s="849">
        <v>0.0</v>
      </c>
      <c r="H332" s="849">
        <v>0.0</v>
      </c>
      <c r="I332" s="849">
        <v>0.0</v>
      </c>
      <c r="J332" s="849">
        <v>0.0</v>
      </c>
      <c r="K332" s="849">
        <v>0.0</v>
      </c>
      <c r="L332" s="849">
        <v>0.0</v>
      </c>
      <c r="M332" s="849">
        <v>0.0</v>
      </c>
      <c r="N332" s="849">
        <v>0.0</v>
      </c>
      <c r="O332" s="849">
        <v>0.0</v>
      </c>
      <c r="P332" s="849">
        <v>0.0</v>
      </c>
      <c r="Q332" s="849">
        <v>0.0</v>
      </c>
      <c r="R332" s="849">
        <v>0.0</v>
      </c>
      <c r="S332" s="849">
        <v>0.0</v>
      </c>
      <c r="T332" s="849">
        <v>0.0</v>
      </c>
      <c r="U332" s="849">
        <v>0.0</v>
      </c>
      <c r="V332" s="849">
        <v>0.0</v>
      </c>
      <c r="W332" s="849">
        <v>0.0</v>
      </c>
      <c r="X332" s="849">
        <v>0.0</v>
      </c>
      <c r="Y332" s="849">
        <v>0.0</v>
      </c>
      <c r="Z332" s="849">
        <v>0.0</v>
      </c>
      <c r="AA332" s="849">
        <v>0.0</v>
      </c>
      <c r="AB332" s="849">
        <v>0.0</v>
      </c>
      <c r="AC332" s="849">
        <v>0.0</v>
      </c>
      <c r="AD332" s="849">
        <v>0.0</v>
      </c>
      <c r="AE332" s="849">
        <v>0.0</v>
      </c>
      <c r="AF332" s="849">
        <v>0.0</v>
      </c>
      <c r="AG332" s="849">
        <v>0.0</v>
      </c>
      <c r="AH332" s="849">
        <v>0.0</v>
      </c>
      <c r="AI332" s="849">
        <v>0.0</v>
      </c>
      <c r="AJ332" s="794" t="str">
        <f t="shared" ref="AJ332:AK332" si="661">C332</f>
        <v>G2201A</v>
      </c>
      <c r="AK332" s="794" t="str">
        <f t="shared" si="661"/>
        <v>BNQ NATIONALE MASTER CARD</v>
      </c>
      <c r="AL332" s="794">
        <f t="array" ref="AL332">IFERROR(INDEX(G332:R332,1,MATCH(Parametres!$B$3,G$1:R$1,0)-1)*IF(OR(F332="L",F332="S",F332="I"),-1,1),"")</f>
        <v>0</v>
      </c>
      <c r="AM332" s="794">
        <f t="shared" si="4"/>
        <v>0</v>
      </c>
      <c r="AN332" s="794">
        <f t="array" ref="AN332">INDEX(G332:R332,1,MATCH(Parametres!$B$3,G$1:R$1,0))*IF(OR(F332="L",F332="S",F332="I"),-1,1)</f>
        <v>0</v>
      </c>
      <c r="AO332" s="853" t="str">
        <f>+VLOOKUP($AJ332,Data_Validation!$A:$D,1,0)</f>
        <v>#N/A</v>
      </c>
      <c r="AP332" s="853" t="str">
        <f>+VLOOKUP($AJ332,Data_Validation!$A:$D,3,0)</f>
        <v>#N/A</v>
      </c>
      <c r="AQ332" s="853" t="str">
        <f>+VLOOKUP($AJ332,Data_Validation!$A:$D,4,0)</f>
        <v>#N/A</v>
      </c>
      <c r="AR332" s="853" t="s">
        <v>728</v>
      </c>
      <c r="AS332" s="853" t="str">
        <f>+VLOOKUP($AJ332,Data_Validation!$A:$E,5,0)</f>
        <v>#N/A</v>
      </c>
      <c r="AT332" s="794" t="str">
        <f t="shared" ref="AT332:AU332" si="662">C332</f>
        <v>G2201A</v>
      </c>
      <c r="AU332" s="854" t="str">
        <f t="shared" si="662"/>
        <v>BNQ NATIONALE MASTER CARD</v>
      </c>
      <c r="AV332" s="794">
        <f t="array" ref="AV332">IFERROR(INDEX(V332:AG332,1,MATCH(Parametres!$B$3,V$1:AG$1,0)-1)*IF(OR(C332="L",C332="S",C332="I"),-1,1),"")</f>
        <v>0</v>
      </c>
      <c r="AW332" s="794">
        <f t="shared" si="6"/>
        <v>0</v>
      </c>
      <c r="AX332" s="794">
        <f t="array" ref="AX332">INDEX(V332:AG332,1,MATCH(Parametres!$B$3,V$1:AG$1,0))*IF(OR(C332="L",C332="S",C332="I"),-1,1)</f>
        <v>0</v>
      </c>
      <c r="AY332" s="853" t="s">
        <v>772</v>
      </c>
      <c r="AZ332" s="853" t="str">
        <f>+VLOOKUP($AJ332,Data_Validation!$A:$E,5,0)</f>
        <v>#N/A</v>
      </c>
    </row>
    <row r="333" ht="15.75" customHeight="1">
      <c r="A333" s="849" t="s">
        <v>1239</v>
      </c>
      <c r="B333" s="849">
        <v>2025.0</v>
      </c>
      <c r="C333" s="849" t="s">
        <v>1981</v>
      </c>
      <c r="D333" s="849" t="s">
        <v>3432</v>
      </c>
      <c r="E333" s="849" t="s">
        <v>771</v>
      </c>
      <c r="F333" s="849" t="s">
        <v>1926</v>
      </c>
      <c r="G333" s="849">
        <v>0.0</v>
      </c>
      <c r="H333" s="849">
        <v>49225.96</v>
      </c>
      <c r="I333" s="849">
        <v>1001639.3</v>
      </c>
      <c r="J333" s="849">
        <v>0.0</v>
      </c>
      <c r="K333" s="849">
        <v>-112519.81</v>
      </c>
      <c r="L333" s="849">
        <v>1379562.21</v>
      </c>
      <c r="M333" s="849">
        <v>-124648.13</v>
      </c>
      <c r="N333" s="849">
        <v>-176601.84</v>
      </c>
      <c r="O333" s="849">
        <v>-207050.08</v>
      </c>
      <c r="P333" s="849">
        <v>-481338.94</v>
      </c>
      <c r="Q333" s="849">
        <v>0.0</v>
      </c>
      <c r="R333" s="849">
        <v>39756.48</v>
      </c>
      <c r="S333" s="849">
        <v>0.0</v>
      </c>
      <c r="T333" s="849">
        <v>0.0</v>
      </c>
      <c r="U333" s="849">
        <v>0.0</v>
      </c>
      <c r="V333" s="849">
        <v>0.0</v>
      </c>
      <c r="W333" s="849">
        <v>0.0</v>
      </c>
      <c r="X333" s="849">
        <v>0.0</v>
      </c>
      <c r="Y333" s="849">
        <v>0.0</v>
      </c>
      <c r="Z333" s="849">
        <v>0.0</v>
      </c>
      <c r="AA333" s="849">
        <v>0.0</v>
      </c>
      <c r="AB333" s="849">
        <v>0.0</v>
      </c>
      <c r="AC333" s="849">
        <v>0.0</v>
      </c>
      <c r="AD333" s="849">
        <v>0.0</v>
      </c>
      <c r="AE333" s="849">
        <v>0.0</v>
      </c>
      <c r="AF333" s="849">
        <v>0.0</v>
      </c>
      <c r="AG333" s="849">
        <v>0.0</v>
      </c>
      <c r="AH333" s="849">
        <v>0.0</v>
      </c>
      <c r="AI333" s="849">
        <v>0.0</v>
      </c>
      <c r="AJ333" s="794" t="str">
        <f t="shared" ref="AJ333:AK333" si="663">C333</f>
        <v>G22010</v>
      </c>
      <c r="AK333" s="794" t="str">
        <f t="shared" si="663"/>
        <v>VENTES US MANHEIM</v>
      </c>
      <c r="AL333" s="794">
        <f t="array" ref="AL333">IFERROR(INDEX(G333:R333,1,MATCH(Parametres!$B$3,G$1:R$1,0)-1)*IF(OR(F333="L",F333="S",F333="I"),-1,1),"")</f>
        <v>-176601.84</v>
      </c>
      <c r="AM333" s="794">
        <f t="shared" si="4"/>
        <v>-30448.24</v>
      </c>
      <c r="AN333" s="794">
        <f t="array" ref="AN333">INDEX(G333:R333,1,MATCH(Parametres!$B$3,G$1:R$1,0))*IF(OR(F333="L",F333="S",F333="I"),-1,1)</f>
        <v>-207050.08</v>
      </c>
      <c r="AO333" s="853" t="str">
        <f>+VLOOKUP($AJ333,Data_Validation!$A:$D,1,0)</f>
        <v>G22010</v>
      </c>
      <c r="AP333" s="853" t="str">
        <f>+VLOOKUP($AJ333,Data_Validation!$A:$D,3,0)</f>
        <v>Bilan</v>
      </c>
      <c r="AQ333" s="853" t="str">
        <f>+VLOOKUP($AJ333,Data_Validation!$A:$D,4,0)</f>
        <v>Recevables Véhicules</v>
      </c>
      <c r="AR333" s="853" t="s">
        <v>728</v>
      </c>
      <c r="AS333" s="853" t="str">
        <f>+VLOOKUP($AJ333,Data_Validation!$A:$E,5,0)</f>
        <v/>
      </c>
      <c r="AT333" s="794" t="str">
        <f t="shared" ref="AT333:AU333" si="664">C333</f>
        <v>G22010</v>
      </c>
      <c r="AU333" s="854" t="str">
        <f t="shared" si="664"/>
        <v>VENTES US MANHEIM</v>
      </c>
      <c r="AV333" s="794">
        <f t="array" ref="AV333">IFERROR(INDEX(V333:AG333,1,MATCH(Parametres!$B$3,V$1:AG$1,0)-1)*IF(OR(C333="L",C333="S",C333="I"),-1,1),"")</f>
        <v>0</v>
      </c>
      <c r="AW333" s="794">
        <f t="shared" si="6"/>
        <v>0</v>
      </c>
      <c r="AX333" s="794">
        <f t="array" ref="AX333">INDEX(V333:AG333,1,MATCH(Parametres!$B$3,V$1:AG$1,0))*IF(OR(C333="L",C333="S",C333="I"),-1,1)</f>
        <v>0</v>
      </c>
      <c r="AY333" s="853" t="s">
        <v>772</v>
      </c>
      <c r="AZ333" s="853" t="str">
        <f>+VLOOKUP($AJ333,Data_Validation!$A:$E,5,0)</f>
        <v/>
      </c>
    </row>
    <row r="334" ht="15.75" customHeight="1">
      <c r="A334" s="849" t="s">
        <v>1239</v>
      </c>
      <c r="B334" s="849">
        <v>2025.0</v>
      </c>
      <c r="C334" s="849" t="s">
        <v>1983</v>
      </c>
      <c r="D334" s="849" t="s">
        <v>3433</v>
      </c>
      <c r="E334" s="849" t="s">
        <v>771</v>
      </c>
      <c r="F334" s="849" t="s">
        <v>1926</v>
      </c>
      <c r="G334" s="849">
        <v>-19872.88</v>
      </c>
      <c r="H334" s="849">
        <v>-39746.34</v>
      </c>
      <c r="I334" s="849">
        <v>66319.15</v>
      </c>
      <c r="J334" s="849">
        <v>141029.47</v>
      </c>
      <c r="K334" s="849">
        <v>178440.66</v>
      </c>
      <c r="L334" s="849">
        <v>212396.96</v>
      </c>
      <c r="M334" s="849">
        <v>456740.24</v>
      </c>
      <c r="N334" s="849">
        <v>615813.87</v>
      </c>
      <c r="O334" s="849">
        <v>341622.18</v>
      </c>
      <c r="P334" s="849">
        <v>153586.3</v>
      </c>
      <c r="Q334" s="849">
        <v>154446.7</v>
      </c>
      <c r="R334" s="849">
        <v>0.0</v>
      </c>
      <c r="S334" s="849">
        <v>0.0</v>
      </c>
      <c r="T334" s="849">
        <v>0.0</v>
      </c>
      <c r="U334" s="849">
        <v>0.0</v>
      </c>
      <c r="V334" s="849">
        <v>0.0</v>
      </c>
      <c r="W334" s="849">
        <v>0.0</v>
      </c>
      <c r="X334" s="849">
        <v>0.0</v>
      </c>
      <c r="Y334" s="849">
        <v>0.0</v>
      </c>
      <c r="Z334" s="849">
        <v>0.0</v>
      </c>
      <c r="AA334" s="849">
        <v>0.0</v>
      </c>
      <c r="AB334" s="849">
        <v>0.0</v>
      </c>
      <c r="AC334" s="849">
        <v>0.0</v>
      </c>
      <c r="AD334" s="849">
        <v>0.0</v>
      </c>
      <c r="AE334" s="849">
        <v>0.0</v>
      </c>
      <c r="AF334" s="849">
        <v>0.0</v>
      </c>
      <c r="AG334" s="849">
        <v>0.0</v>
      </c>
      <c r="AH334" s="849">
        <v>0.0</v>
      </c>
      <c r="AI334" s="849">
        <v>0.0</v>
      </c>
      <c r="AJ334" s="794" t="str">
        <f t="shared" ref="AJ334:AK334" si="665">C334</f>
        <v>G22011</v>
      </c>
      <c r="AK334" s="794" t="str">
        <f t="shared" si="665"/>
        <v>VENTES EBLOCK</v>
      </c>
      <c r="AL334" s="794">
        <f t="array" ref="AL334">IFERROR(INDEX(G334:R334,1,MATCH(Parametres!$B$3,G$1:R$1,0)-1)*IF(OR(F334="L",F334="S",F334="I"),-1,1),"")</f>
        <v>615813.87</v>
      </c>
      <c r="AM334" s="794">
        <f t="shared" si="4"/>
        <v>-274191.69</v>
      </c>
      <c r="AN334" s="794">
        <f t="array" ref="AN334">INDEX(G334:R334,1,MATCH(Parametres!$B$3,G$1:R$1,0))*IF(OR(F334="L",F334="S",F334="I"),-1,1)</f>
        <v>341622.18</v>
      </c>
      <c r="AO334" s="853" t="str">
        <f>+VLOOKUP($AJ334,Data_Validation!$A:$D,1,0)</f>
        <v>G22011</v>
      </c>
      <c r="AP334" s="853" t="str">
        <f>+VLOOKUP($AJ334,Data_Validation!$A:$D,3,0)</f>
        <v>Bilan</v>
      </c>
      <c r="AQ334" s="853" t="str">
        <f>+VLOOKUP($AJ334,Data_Validation!$A:$D,4,0)</f>
        <v>Recevables Véhicules</v>
      </c>
      <c r="AR334" s="853" t="s">
        <v>728</v>
      </c>
      <c r="AS334" s="853" t="str">
        <f>+VLOOKUP($AJ334,Data_Validation!$A:$E,5,0)</f>
        <v/>
      </c>
      <c r="AT334" s="794" t="str">
        <f t="shared" ref="AT334:AU334" si="666">C334</f>
        <v>G22011</v>
      </c>
      <c r="AU334" s="854" t="str">
        <f t="shared" si="666"/>
        <v>VENTES EBLOCK</v>
      </c>
      <c r="AV334" s="794">
        <f t="array" ref="AV334">IFERROR(INDEX(V334:AG334,1,MATCH(Parametres!$B$3,V$1:AG$1,0)-1)*IF(OR(C334="L",C334="S",C334="I"),-1,1),"")</f>
        <v>0</v>
      </c>
      <c r="AW334" s="794">
        <f t="shared" si="6"/>
        <v>0</v>
      </c>
      <c r="AX334" s="794">
        <f t="array" ref="AX334">INDEX(V334:AG334,1,MATCH(Parametres!$B$3,V$1:AG$1,0))*IF(OR(C334="L",C334="S",C334="I"),-1,1)</f>
        <v>0</v>
      </c>
      <c r="AY334" s="853" t="s">
        <v>772</v>
      </c>
      <c r="AZ334" s="853" t="str">
        <f>+VLOOKUP($AJ334,Data_Validation!$A:$E,5,0)</f>
        <v/>
      </c>
    </row>
    <row r="335" ht="15.0" customHeight="1">
      <c r="A335" s="849" t="s">
        <v>1239</v>
      </c>
      <c r="B335" s="849">
        <v>2025.0</v>
      </c>
      <c r="C335" s="849" t="s">
        <v>1985</v>
      </c>
      <c r="D335" s="849" t="s">
        <v>1986</v>
      </c>
      <c r="E335" s="849" t="s">
        <v>771</v>
      </c>
      <c r="F335" s="849" t="s">
        <v>1926</v>
      </c>
      <c r="G335" s="849">
        <v>0.0</v>
      </c>
      <c r="H335" s="849">
        <v>0.0</v>
      </c>
      <c r="I335" s="849">
        <v>0.0</v>
      </c>
      <c r="J335" s="849">
        <v>0.0</v>
      </c>
      <c r="K335" s="849">
        <v>0.0</v>
      </c>
      <c r="L335" s="849">
        <v>0.0</v>
      </c>
      <c r="M335" s="849">
        <v>0.0</v>
      </c>
      <c r="N335" s="849">
        <v>0.0</v>
      </c>
      <c r="O335" s="849">
        <v>0.0</v>
      </c>
      <c r="P335" s="849">
        <v>0.0</v>
      </c>
      <c r="Q335" s="849">
        <v>0.0</v>
      </c>
      <c r="R335" s="849">
        <v>0.0</v>
      </c>
      <c r="S335" s="849">
        <v>0.0</v>
      </c>
      <c r="T335" s="849">
        <v>0.0</v>
      </c>
      <c r="U335" s="849">
        <v>0.0</v>
      </c>
      <c r="V335" s="849">
        <v>0.0</v>
      </c>
      <c r="W335" s="849">
        <v>0.0</v>
      </c>
      <c r="X335" s="849">
        <v>0.0</v>
      </c>
      <c r="Y335" s="849">
        <v>0.0</v>
      </c>
      <c r="Z335" s="849">
        <v>0.0</v>
      </c>
      <c r="AA335" s="849">
        <v>0.0</v>
      </c>
      <c r="AB335" s="849">
        <v>0.0</v>
      </c>
      <c r="AC335" s="849">
        <v>0.0</v>
      </c>
      <c r="AD335" s="849">
        <v>0.0</v>
      </c>
      <c r="AE335" s="849">
        <v>0.0</v>
      </c>
      <c r="AF335" s="849">
        <v>0.0</v>
      </c>
      <c r="AG335" s="849">
        <v>0.0</v>
      </c>
      <c r="AH335" s="849">
        <v>0.0</v>
      </c>
      <c r="AI335" s="849">
        <v>0.0</v>
      </c>
      <c r="AJ335" s="794" t="str">
        <f t="shared" ref="AJ335:AK335" si="667">C335</f>
        <v>G22012</v>
      </c>
      <c r="AK335" s="794" t="str">
        <f t="shared" si="667"/>
        <v>VENTES FOSS NATIONAL LEAS</v>
      </c>
      <c r="AL335" s="794">
        <f t="array" ref="AL335">IFERROR(INDEX(G335:R335,1,MATCH(Parametres!$B$3,G$1:R$1,0)-1)*IF(OR(F335="L",F335="S",F335="I"),-1,1),"")</f>
        <v>0</v>
      </c>
      <c r="AM335" s="794">
        <f t="shared" si="4"/>
        <v>0</v>
      </c>
      <c r="AN335" s="794">
        <f t="array" ref="AN335">INDEX(G335:R335,1,MATCH(Parametres!$B$3,G$1:R$1,0))*IF(OR(F335="L",F335="S",F335="I"),-1,1)</f>
        <v>0</v>
      </c>
      <c r="AO335" s="853" t="str">
        <f>+VLOOKUP($AJ335,Data_Validation!$A:$D,1,0)</f>
        <v>#N/A</v>
      </c>
      <c r="AP335" s="853" t="str">
        <f>+VLOOKUP($AJ335,Data_Validation!$A:$D,3,0)</f>
        <v>#N/A</v>
      </c>
      <c r="AQ335" s="853" t="str">
        <f>+VLOOKUP($AJ335,Data_Validation!$A:$D,4,0)</f>
        <v>#N/A</v>
      </c>
      <c r="AR335" s="853" t="s">
        <v>728</v>
      </c>
      <c r="AS335" s="853" t="str">
        <f>+VLOOKUP($AJ335,Data_Validation!$A:$E,5,0)</f>
        <v>#N/A</v>
      </c>
      <c r="AT335" s="794" t="str">
        <f t="shared" ref="AT335:AU335" si="668">C335</f>
        <v>G22012</v>
      </c>
      <c r="AU335" s="854" t="str">
        <f t="shared" si="668"/>
        <v>VENTES FOSS NATIONAL LEAS</v>
      </c>
      <c r="AV335" s="794">
        <f t="array" ref="AV335">IFERROR(INDEX(V335:AG335,1,MATCH(Parametres!$B$3,V$1:AG$1,0)-1)*IF(OR(C335="L",C335="S",C335="I"),-1,1),"")</f>
        <v>0</v>
      </c>
      <c r="AW335" s="794">
        <f t="shared" si="6"/>
        <v>0</v>
      </c>
      <c r="AX335" s="794">
        <f t="array" ref="AX335">INDEX(V335:AG335,1,MATCH(Parametres!$B$3,V$1:AG$1,0))*IF(OR(C335="L",C335="S",C335="I"),-1,1)</f>
        <v>0</v>
      </c>
      <c r="AY335" s="853" t="s">
        <v>772</v>
      </c>
      <c r="AZ335" s="853" t="str">
        <f>+VLOOKUP($AJ335,Data_Validation!$A:$E,5,0)</f>
        <v>#N/A</v>
      </c>
    </row>
    <row r="336" ht="15.0" customHeight="1">
      <c r="A336" s="849" t="s">
        <v>1239</v>
      </c>
      <c r="B336" s="849">
        <v>2025.0</v>
      </c>
      <c r="C336" s="849" t="s">
        <v>1987</v>
      </c>
      <c r="D336" s="849" t="s">
        <v>3434</v>
      </c>
      <c r="E336" s="849" t="s">
        <v>771</v>
      </c>
      <c r="F336" s="849" t="s">
        <v>1926</v>
      </c>
      <c r="G336" s="849">
        <v>0.0</v>
      </c>
      <c r="H336" s="849">
        <v>0.0</v>
      </c>
      <c r="I336" s="849">
        <v>276696.0</v>
      </c>
      <c r="J336" s="849">
        <v>0.0</v>
      </c>
      <c r="K336" s="849">
        <v>138292.03</v>
      </c>
      <c r="L336" s="849">
        <v>-48765.5</v>
      </c>
      <c r="M336" s="849">
        <v>0.0</v>
      </c>
      <c r="N336" s="849">
        <v>0.0</v>
      </c>
      <c r="O336" s="849">
        <v>0.0</v>
      </c>
      <c r="P336" s="849">
        <v>0.0</v>
      </c>
      <c r="Q336" s="849">
        <v>0.0</v>
      </c>
      <c r="R336" s="849">
        <v>0.0</v>
      </c>
      <c r="S336" s="849">
        <v>0.0</v>
      </c>
      <c r="T336" s="849">
        <v>0.0</v>
      </c>
      <c r="U336" s="849">
        <v>0.0</v>
      </c>
      <c r="V336" s="849">
        <v>0.0</v>
      </c>
      <c r="W336" s="849">
        <v>0.0</v>
      </c>
      <c r="X336" s="849">
        <v>0.0</v>
      </c>
      <c r="Y336" s="849">
        <v>0.0</v>
      </c>
      <c r="Z336" s="849">
        <v>0.0</v>
      </c>
      <c r="AA336" s="849">
        <v>0.0</v>
      </c>
      <c r="AB336" s="849">
        <v>0.0</v>
      </c>
      <c r="AC336" s="849">
        <v>0.0</v>
      </c>
      <c r="AD336" s="849">
        <v>0.0</v>
      </c>
      <c r="AE336" s="849">
        <v>0.0</v>
      </c>
      <c r="AF336" s="849">
        <v>0.0</v>
      </c>
      <c r="AG336" s="849">
        <v>0.0</v>
      </c>
      <c r="AH336" s="849">
        <v>0.0</v>
      </c>
      <c r="AI336" s="849">
        <v>0.0</v>
      </c>
      <c r="AJ336" s="794" t="str">
        <f t="shared" ref="AJ336:AK336" si="669">C336</f>
        <v>G22013</v>
      </c>
      <c r="AK336" s="794" t="str">
        <f t="shared" si="669"/>
        <v>VENTES LOCATION SAUVAGEAU</v>
      </c>
      <c r="AL336" s="794">
        <f t="array" ref="AL336">IFERROR(INDEX(G336:R336,1,MATCH(Parametres!$B$3,G$1:R$1,0)-1)*IF(OR(F336="L",F336="S",F336="I"),-1,1),"")</f>
        <v>0</v>
      </c>
      <c r="AM336" s="794">
        <f t="shared" si="4"/>
        <v>0</v>
      </c>
      <c r="AN336" s="794">
        <f t="array" ref="AN336">INDEX(G336:R336,1,MATCH(Parametres!$B$3,G$1:R$1,0))*IF(OR(F336="L",F336="S",F336="I"),-1,1)</f>
        <v>0</v>
      </c>
      <c r="AO336" s="853" t="str">
        <f>+VLOOKUP($AJ336,Data_Validation!$A:$D,1,0)</f>
        <v>G22013</v>
      </c>
      <c r="AP336" s="853" t="str">
        <f>+VLOOKUP($AJ336,Data_Validation!$A:$D,3,0)</f>
        <v>Bilan</v>
      </c>
      <c r="AQ336" s="853" t="str">
        <f>+VLOOKUP($AJ336,Data_Validation!$A:$D,4,0)</f>
        <v>Recevables Véhicules</v>
      </c>
      <c r="AR336" s="853" t="s">
        <v>728</v>
      </c>
      <c r="AS336" s="853" t="str">
        <f>+VLOOKUP($AJ336,Data_Validation!$A:$E,5,0)</f>
        <v/>
      </c>
      <c r="AT336" s="794" t="str">
        <f t="shared" ref="AT336:AU336" si="670">C336</f>
        <v>G22013</v>
      </c>
      <c r="AU336" s="854" t="str">
        <f t="shared" si="670"/>
        <v>VENTES LOCATION SAUVAGEAU</v>
      </c>
      <c r="AV336" s="794">
        <f t="array" ref="AV336">IFERROR(INDEX(V336:AG336,1,MATCH(Parametres!$B$3,V$1:AG$1,0)-1)*IF(OR(C336="L",C336="S",C336="I"),-1,1),"")</f>
        <v>0</v>
      </c>
      <c r="AW336" s="794">
        <f t="shared" si="6"/>
        <v>0</v>
      </c>
      <c r="AX336" s="794">
        <f t="array" ref="AX336">INDEX(V336:AG336,1,MATCH(Parametres!$B$3,V$1:AG$1,0))*IF(OR(C336="L",C336="S",C336="I"),-1,1)</f>
        <v>0</v>
      </c>
      <c r="AY336" s="853" t="s">
        <v>772</v>
      </c>
      <c r="AZ336" s="853" t="str">
        <f>+VLOOKUP($AJ336,Data_Validation!$A:$E,5,0)</f>
        <v/>
      </c>
    </row>
    <row r="337" ht="15.0" customHeight="1">
      <c r="A337" s="849" t="s">
        <v>1239</v>
      </c>
      <c r="B337" s="849">
        <v>2025.0</v>
      </c>
      <c r="C337" s="849" t="s">
        <v>1989</v>
      </c>
      <c r="D337" s="849" t="s">
        <v>3435</v>
      </c>
      <c r="E337" s="849" t="s">
        <v>771</v>
      </c>
      <c r="F337" s="849" t="s">
        <v>1926</v>
      </c>
      <c r="G337" s="849">
        <v>-129759.92</v>
      </c>
      <c r="H337" s="849">
        <v>126786.31</v>
      </c>
      <c r="I337" s="849">
        <v>465821.21</v>
      </c>
      <c r="J337" s="849">
        <v>743365.97</v>
      </c>
      <c r="K337" s="849">
        <v>39640.29</v>
      </c>
      <c r="L337" s="849">
        <v>445207.99</v>
      </c>
      <c r="M337" s="849">
        <v>263752.25</v>
      </c>
      <c r="N337" s="849">
        <v>-61635.03</v>
      </c>
      <c r="O337" s="849">
        <v>226545.89</v>
      </c>
      <c r="P337" s="849">
        <v>810603.78</v>
      </c>
      <c r="Q337" s="849">
        <v>976028.64</v>
      </c>
      <c r="R337" s="849">
        <v>271945.5</v>
      </c>
      <c r="S337" s="849">
        <v>0.0</v>
      </c>
      <c r="T337" s="849">
        <v>0.0</v>
      </c>
      <c r="U337" s="849">
        <v>0.0</v>
      </c>
      <c r="V337" s="849">
        <v>0.0</v>
      </c>
      <c r="W337" s="849">
        <v>0.0</v>
      </c>
      <c r="X337" s="849">
        <v>0.0</v>
      </c>
      <c r="Y337" s="849">
        <v>0.0</v>
      </c>
      <c r="Z337" s="849">
        <v>0.0</v>
      </c>
      <c r="AA337" s="849">
        <v>0.0</v>
      </c>
      <c r="AB337" s="849">
        <v>0.0</v>
      </c>
      <c r="AC337" s="849">
        <v>0.0</v>
      </c>
      <c r="AD337" s="849">
        <v>0.0</v>
      </c>
      <c r="AE337" s="849">
        <v>0.0</v>
      </c>
      <c r="AF337" s="849">
        <v>0.0</v>
      </c>
      <c r="AG337" s="849">
        <v>0.0</v>
      </c>
      <c r="AH337" s="849">
        <v>0.0</v>
      </c>
      <c r="AI337" s="849">
        <v>0.0</v>
      </c>
      <c r="AJ337" s="794" t="str">
        <f t="shared" ref="AJ337:AK337" si="671">C337</f>
        <v>G22014</v>
      </c>
      <c r="AK337" s="794" t="str">
        <f t="shared" si="671"/>
        <v>VENTES JIM PATTISON LEASE</v>
      </c>
      <c r="AL337" s="794">
        <f t="array" ref="AL337">IFERROR(INDEX(G337:R337,1,MATCH(Parametres!$B$3,G$1:R$1,0)-1)*IF(OR(F337="L",F337="S",F337="I"),-1,1),"")</f>
        <v>-61635.03</v>
      </c>
      <c r="AM337" s="794">
        <f t="shared" si="4"/>
        <v>288180.92</v>
      </c>
      <c r="AN337" s="794">
        <f t="array" ref="AN337">INDEX(G337:R337,1,MATCH(Parametres!$B$3,G$1:R$1,0))*IF(OR(F337="L",F337="S",F337="I"),-1,1)</f>
        <v>226545.89</v>
      </c>
      <c r="AO337" s="853" t="str">
        <f>+VLOOKUP($AJ337,Data_Validation!$A:$D,1,0)</f>
        <v>G22014</v>
      </c>
      <c r="AP337" s="853" t="str">
        <f>+VLOOKUP($AJ337,Data_Validation!$A:$D,3,0)</f>
        <v>Bilan</v>
      </c>
      <c r="AQ337" s="853" t="str">
        <f>+VLOOKUP($AJ337,Data_Validation!$A:$D,4,0)</f>
        <v>Recevables Véhicules</v>
      </c>
      <c r="AR337" s="853" t="s">
        <v>728</v>
      </c>
      <c r="AS337" s="853" t="str">
        <f>+VLOOKUP($AJ337,Data_Validation!$A:$E,5,0)</f>
        <v/>
      </c>
      <c r="AT337" s="794" t="str">
        <f t="shared" ref="AT337:AU337" si="672">C337</f>
        <v>G22014</v>
      </c>
      <c r="AU337" s="854" t="str">
        <f t="shared" si="672"/>
        <v>VENTES JIM PATTISON LEASE</v>
      </c>
      <c r="AV337" s="794">
        <f t="array" ref="AV337">IFERROR(INDEX(V337:AG337,1,MATCH(Parametres!$B$3,V$1:AG$1,0)-1)*IF(OR(C337="L",C337="S",C337="I"),-1,1),"")</f>
        <v>0</v>
      </c>
      <c r="AW337" s="794">
        <f t="shared" si="6"/>
        <v>0</v>
      </c>
      <c r="AX337" s="794">
        <f t="array" ref="AX337">INDEX(V337:AG337,1,MATCH(Parametres!$B$3,V$1:AG$1,0))*IF(OR(C337="L",C337="S",C337="I"),-1,1)</f>
        <v>0</v>
      </c>
      <c r="AY337" s="853" t="s">
        <v>772</v>
      </c>
      <c r="AZ337" s="853" t="str">
        <f>+VLOOKUP($AJ337,Data_Validation!$A:$E,5,0)</f>
        <v/>
      </c>
    </row>
    <row r="338" ht="15.75" customHeight="1">
      <c r="A338" s="849" t="s">
        <v>1239</v>
      </c>
      <c r="B338" s="849">
        <v>2025.0</v>
      </c>
      <c r="C338" s="849" t="s">
        <v>1991</v>
      </c>
      <c r="D338" s="849" t="s">
        <v>1992</v>
      </c>
      <c r="E338" s="849" t="s">
        <v>771</v>
      </c>
      <c r="F338" s="849" t="s">
        <v>1926</v>
      </c>
      <c r="G338" s="849">
        <v>0.0</v>
      </c>
      <c r="H338" s="849">
        <v>0.0</v>
      </c>
      <c r="I338" s="849">
        <v>-90043.1</v>
      </c>
      <c r="J338" s="849">
        <v>0.0</v>
      </c>
      <c r="K338" s="849">
        <v>-51525.95</v>
      </c>
      <c r="L338" s="849">
        <v>0.0</v>
      </c>
      <c r="M338" s="849">
        <v>0.0</v>
      </c>
      <c r="N338" s="849">
        <v>0.0</v>
      </c>
      <c r="O338" s="849">
        <v>0.0</v>
      </c>
      <c r="P338" s="849">
        <v>121375.2</v>
      </c>
      <c r="Q338" s="849">
        <v>121375.2</v>
      </c>
      <c r="R338" s="849">
        <v>0.0</v>
      </c>
      <c r="S338" s="849">
        <v>0.0</v>
      </c>
      <c r="T338" s="849">
        <v>0.0</v>
      </c>
      <c r="U338" s="849">
        <v>0.0</v>
      </c>
      <c r="V338" s="849">
        <v>0.0</v>
      </c>
      <c r="W338" s="849">
        <v>0.0</v>
      </c>
      <c r="X338" s="849">
        <v>0.0</v>
      </c>
      <c r="Y338" s="849">
        <v>0.0</v>
      </c>
      <c r="Z338" s="849">
        <v>0.0</v>
      </c>
      <c r="AA338" s="849">
        <v>0.0</v>
      </c>
      <c r="AB338" s="849">
        <v>0.0</v>
      </c>
      <c r="AC338" s="849">
        <v>0.0</v>
      </c>
      <c r="AD338" s="849">
        <v>0.0</v>
      </c>
      <c r="AE338" s="849">
        <v>0.0</v>
      </c>
      <c r="AF338" s="849">
        <v>0.0</v>
      </c>
      <c r="AG338" s="849">
        <v>0.0</v>
      </c>
      <c r="AH338" s="849">
        <v>0.0</v>
      </c>
      <c r="AI338" s="849">
        <v>0.0</v>
      </c>
      <c r="AJ338" s="794" t="str">
        <f t="shared" ref="AJ338:AK338" si="673">C338</f>
        <v>G22015</v>
      </c>
      <c r="AK338" s="794" t="str">
        <f t="shared" si="673"/>
        <v>VENTES 9515-1726 QC</v>
      </c>
      <c r="AL338" s="794">
        <f t="array" ref="AL338">IFERROR(INDEX(G338:R338,1,MATCH(Parametres!$B$3,G$1:R$1,0)-1)*IF(OR(F338="L",F338="S",F338="I"),-1,1),"")</f>
        <v>0</v>
      </c>
      <c r="AM338" s="794">
        <f t="shared" si="4"/>
        <v>0</v>
      </c>
      <c r="AN338" s="794">
        <f t="array" ref="AN338">INDEX(G338:R338,1,MATCH(Parametres!$B$3,G$1:R$1,0))*IF(OR(F338="L",F338="S",F338="I"),-1,1)</f>
        <v>0</v>
      </c>
      <c r="AO338" s="853" t="str">
        <f>+VLOOKUP($AJ338,Data_Validation!$A:$D,1,0)</f>
        <v>G22015</v>
      </c>
      <c r="AP338" s="853" t="str">
        <f>+VLOOKUP($AJ338,Data_Validation!$A:$D,3,0)</f>
        <v>Bilan</v>
      </c>
      <c r="AQ338" s="853" t="str">
        <f>+VLOOKUP($AJ338,Data_Validation!$A:$D,4,0)</f>
        <v>Recevables Véhicules</v>
      </c>
      <c r="AR338" s="853" t="s">
        <v>728</v>
      </c>
      <c r="AS338" s="853" t="str">
        <f>+VLOOKUP($AJ338,Data_Validation!$A:$E,5,0)</f>
        <v/>
      </c>
      <c r="AT338" s="794" t="str">
        <f t="shared" ref="AT338:AU338" si="674">C338</f>
        <v>G22015</v>
      </c>
      <c r="AU338" s="854" t="str">
        <f t="shared" si="674"/>
        <v>VENTES 9515-1726 QC</v>
      </c>
      <c r="AV338" s="794">
        <f t="array" ref="AV338">IFERROR(INDEX(V338:AG338,1,MATCH(Parametres!$B$3,V$1:AG$1,0)-1)*IF(OR(C338="L",C338="S",C338="I"),-1,1),"")</f>
        <v>0</v>
      </c>
      <c r="AW338" s="794">
        <f t="shared" si="6"/>
        <v>0</v>
      </c>
      <c r="AX338" s="794">
        <f t="array" ref="AX338">INDEX(V338:AG338,1,MATCH(Parametres!$B$3,V$1:AG$1,0))*IF(OR(C338="L",C338="S",C338="I"),-1,1)</f>
        <v>0</v>
      </c>
      <c r="AY338" s="853" t="s">
        <v>772</v>
      </c>
      <c r="AZ338" s="853" t="str">
        <f>+VLOOKUP($AJ338,Data_Validation!$A:$E,5,0)</f>
        <v/>
      </c>
    </row>
    <row r="339" ht="15.0" customHeight="1">
      <c r="A339" s="849" t="s">
        <v>1239</v>
      </c>
      <c r="B339" s="849">
        <v>2025.0</v>
      </c>
      <c r="C339" s="849" t="s">
        <v>1993</v>
      </c>
      <c r="D339" s="849" t="s">
        <v>3436</v>
      </c>
      <c r="E339" s="849" t="s">
        <v>771</v>
      </c>
      <c r="F339" s="849" t="s">
        <v>1926</v>
      </c>
      <c r="G339" s="849">
        <v>0.0</v>
      </c>
      <c r="H339" s="849">
        <v>0.0</v>
      </c>
      <c r="I339" s="849">
        <v>0.0</v>
      </c>
      <c r="J339" s="849">
        <v>0.0</v>
      </c>
      <c r="K339" s="849">
        <v>0.0</v>
      </c>
      <c r="L339" s="849">
        <v>0.0</v>
      </c>
      <c r="M339" s="849">
        <v>0.0</v>
      </c>
      <c r="N339" s="849">
        <v>0.0</v>
      </c>
      <c r="O339" s="849">
        <v>0.0</v>
      </c>
      <c r="P339" s="849">
        <v>-2060091.44</v>
      </c>
      <c r="Q339" s="849">
        <v>17678.28</v>
      </c>
      <c r="R339" s="849">
        <v>-477100.86</v>
      </c>
      <c r="S339" s="849">
        <v>0.0</v>
      </c>
      <c r="T339" s="849">
        <v>0.0</v>
      </c>
      <c r="U339" s="849">
        <v>0.0</v>
      </c>
      <c r="V339" s="849">
        <v>0.0</v>
      </c>
      <c r="W339" s="849">
        <v>0.0</v>
      </c>
      <c r="X339" s="849">
        <v>0.0</v>
      </c>
      <c r="Y339" s="849">
        <v>0.0</v>
      </c>
      <c r="Z339" s="849">
        <v>0.0</v>
      </c>
      <c r="AA339" s="849">
        <v>0.0</v>
      </c>
      <c r="AB339" s="849">
        <v>0.0</v>
      </c>
      <c r="AC339" s="849">
        <v>0.0</v>
      </c>
      <c r="AD339" s="849">
        <v>0.0</v>
      </c>
      <c r="AE339" s="849">
        <v>0.0</v>
      </c>
      <c r="AF339" s="849">
        <v>0.0</v>
      </c>
      <c r="AG339" s="849">
        <v>0.0</v>
      </c>
      <c r="AH339" s="849">
        <v>0.0</v>
      </c>
      <c r="AI339" s="849">
        <v>0.0</v>
      </c>
      <c r="AJ339" s="794" t="str">
        <f t="shared" ref="AJ339:AK339" si="675">C339</f>
        <v>G22016</v>
      </c>
      <c r="AK339" s="794" t="str">
        <f t="shared" si="675"/>
        <v>9482-3176 QUEBEC INC</v>
      </c>
      <c r="AL339" s="794">
        <f t="array" ref="AL339">IFERROR(INDEX(G339:R339,1,MATCH(Parametres!$B$3,G$1:R$1,0)-1)*IF(OR(F339="L",F339="S",F339="I"),-1,1),"")</f>
        <v>0</v>
      </c>
      <c r="AM339" s="794">
        <f t="shared" si="4"/>
        <v>0</v>
      </c>
      <c r="AN339" s="794">
        <f t="array" ref="AN339">INDEX(G339:R339,1,MATCH(Parametres!$B$3,G$1:R$1,0))*IF(OR(F339="L",F339="S",F339="I"),-1,1)</f>
        <v>0</v>
      </c>
      <c r="AO339" s="853" t="str">
        <f>+VLOOKUP($AJ339,Data_Validation!$A:$D,1,0)</f>
        <v>G22016</v>
      </c>
      <c r="AP339" s="853" t="str">
        <f>+VLOOKUP($AJ339,Data_Validation!$A:$D,3,0)</f>
        <v>Bilan</v>
      </c>
      <c r="AQ339" s="853" t="str">
        <f>+VLOOKUP($AJ339,Data_Validation!$A:$D,4,0)</f>
        <v>Recevables Véhicules</v>
      </c>
      <c r="AR339" s="853" t="s">
        <v>728</v>
      </c>
      <c r="AS339" s="853" t="str">
        <f>+VLOOKUP($AJ339,Data_Validation!$A:$E,5,0)</f>
        <v/>
      </c>
      <c r="AT339" s="794" t="str">
        <f t="shared" ref="AT339:AU339" si="676">C339</f>
        <v>G22016</v>
      </c>
      <c r="AU339" s="854" t="str">
        <f t="shared" si="676"/>
        <v>9482-3176 QUEBEC INC</v>
      </c>
      <c r="AV339" s="794">
        <f t="array" ref="AV339">IFERROR(INDEX(V339:AG339,1,MATCH(Parametres!$B$3,V$1:AG$1,0)-1)*IF(OR(C339="L",C339="S",C339="I"),-1,1),"")</f>
        <v>0</v>
      </c>
      <c r="AW339" s="794">
        <f t="shared" si="6"/>
        <v>0</v>
      </c>
      <c r="AX339" s="794">
        <f t="array" ref="AX339">INDEX(V339:AG339,1,MATCH(Parametres!$B$3,V$1:AG$1,0))*IF(OR(C339="L",C339="S",C339="I"),-1,1)</f>
        <v>0</v>
      </c>
      <c r="AY339" s="853" t="s">
        <v>772</v>
      </c>
      <c r="AZ339" s="853" t="str">
        <f>+VLOOKUP($AJ339,Data_Validation!$A:$E,5,0)</f>
        <v/>
      </c>
    </row>
    <row r="340" ht="15.0" customHeight="1">
      <c r="A340" s="849" t="s">
        <v>1239</v>
      </c>
      <c r="B340" s="849">
        <v>2025.0</v>
      </c>
      <c r="C340" s="849" t="s">
        <v>1995</v>
      </c>
      <c r="D340" s="849" t="s">
        <v>1996</v>
      </c>
      <c r="E340" s="849" t="s">
        <v>771</v>
      </c>
      <c r="F340" s="849" t="s">
        <v>1926</v>
      </c>
      <c r="G340" s="849">
        <v>0.0</v>
      </c>
      <c r="H340" s="849">
        <v>0.0</v>
      </c>
      <c r="I340" s="849">
        <v>0.0</v>
      </c>
      <c r="J340" s="849">
        <v>0.0</v>
      </c>
      <c r="K340" s="849">
        <v>0.0</v>
      </c>
      <c r="L340" s="849">
        <v>0.0</v>
      </c>
      <c r="M340" s="849">
        <v>0.0</v>
      </c>
      <c r="N340" s="849">
        <v>0.0</v>
      </c>
      <c r="O340" s="849">
        <v>0.0</v>
      </c>
      <c r="P340" s="849">
        <v>0.0</v>
      </c>
      <c r="Q340" s="849">
        <v>0.0</v>
      </c>
      <c r="R340" s="849">
        <v>0.0</v>
      </c>
      <c r="S340" s="849">
        <v>0.0</v>
      </c>
      <c r="T340" s="849">
        <v>0.0</v>
      </c>
      <c r="U340" s="849">
        <v>0.0</v>
      </c>
      <c r="V340" s="849">
        <v>0.0</v>
      </c>
      <c r="W340" s="849">
        <v>0.0</v>
      </c>
      <c r="X340" s="849">
        <v>0.0</v>
      </c>
      <c r="Y340" s="849">
        <v>0.0</v>
      </c>
      <c r="Z340" s="849">
        <v>0.0</v>
      </c>
      <c r="AA340" s="849">
        <v>0.0</v>
      </c>
      <c r="AB340" s="849">
        <v>0.0</v>
      </c>
      <c r="AC340" s="849">
        <v>0.0</v>
      </c>
      <c r="AD340" s="849">
        <v>0.0</v>
      </c>
      <c r="AE340" s="849">
        <v>0.0</v>
      </c>
      <c r="AF340" s="849">
        <v>0.0</v>
      </c>
      <c r="AG340" s="849">
        <v>0.0</v>
      </c>
      <c r="AH340" s="849">
        <v>0.0</v>
      </c>
      <c r="AI340" s="849">
        <v>0.0</v>
      </c>
      <c r="AJ340" s="794" t="str">
        <f t="shared" ref="AJ340:AK340" si="677">C340</f>
        <v>G22017</v>
      </c>
      <c r="AK340" s="794" t="str">
        <f t="shared" si="677"/>
        <v>VENTES EMKAY INC</v>
      </c>
      <c r="AL340" s="794">
        <f t="array" ref="AL340">IFERROR(INDEX(G340:R340,1,MATCH(Parametres!$B$3,G$1:R$1,0)-1)*IF(OR(F340="L",F340="S",F340="I"),-1,1),"")</f>
        <v>0</v>
      </c>
      <c r="AM340" s="794">
        <f t="shared" si="4"/>
        <v>0</v>
      </c>
      <c r="AN340" s="794">
        <f t="array" ref="AN340">INDEX(G340:R340,1,MATCH(Parametres!$B$3,G$1:R$1,0))*IF(OR(F340="L",F340="S",F340="I"),-1,1)</f>
        <v>0</v>
      </c>
      <c r="AO340" s="853" t="str">
        <f>+VLOOKUP($AJ340,Data_Validation!$A:$D,1,0)</f>
        <v>#N/A</v>
      </c>
      <c r="AP340" s="853" t="str">
        <f>+VLOOKUP($AJ340,Data_Validation!$A:$D,3,0)</f>
        <v>#N/A</v>
      </c>
      <c r="AQ340" s="853" t="str">
        <f>+VLOOKUP($AJ340,Data_Validation!$A:$D,4,0)</f>
        <v>#N/A</v>
      </c>
      <c r="AR340" s="853" t="s">
        <v>728</v>
      </c>
      <c r="AS340" s="853" t="str">
        <f>+VLOOKUP($AJ340,Data_Validation!$A:$E,5,0)</f>
        <v>#N/A</v>
      </c>
      <c r="AT340" s="794" t="str">
        <f t="shared" ref="AT340:AU340" si="678">C340</f>
        <v>G22017</v>
      </c>
      <c r="AU340" s="854" t="str">
        <f t="shared" si="678"/>
        <v>VENTES EMKAY INC</v>
      </c>
      <c r="AV340" s="794">
        <f t="array" ref="AV340">IFERROR(INDEX(V340:AG340,1,MATCH(Parametres!$B$3,V$1:AG$1,0)-1)*IF(OR(C340="L",C340="S",C340="I"),-1,1),"")</f>
        <v>0</v>
      </c>
      <c r="AW340" s="794">
        <f t="shared" si="6"/>
        <v>0</v>
      </c>
      <c r="AX340" s="794">
        <f t="array" ref="AX340">INDEX(V340:AG340,1,MATCH(Parametres!$B$3,V$1:AG$1,0))*IF(OR(C340="L",C340="S",C340="I"),-1,1)</f>
        <v>0</v>
      </c>
      <c r="AY340" s="853" t="s">
        <v>772</v>
      </c>
      <c r="AZ340" s="853" t="str">
        <f>+VLOOKUP($AJ340,Data_Validation!$A:$E,5,0)</f>
        <v>#N/A</v>
      </c>
    </row>
    <row r="341" ht="15.0" customHeight="1">
      <c r="A341" s="849" t="s">
        <v>1239</v>
      </c>
      <c r="B341" s="849">
        <v>2025.0</v>
      </c>
      <c r="C341" s="849" t="s">
        <v>1997</v>
      </c>
      <c r="D341" s="849" t="s">
        <v>1998</v>
      </c>
      <c r="E341" s="849" t="s">
        <v>771</v>
      </c>
      <c r="F341" s="849" t="s">
        <v>1926</v>
      </c>
      <c r="G341" s="849">
        <v>0.0</v>
      </c>
      <c r="H341" s="849">
        <v>0.0</v>
      </c>
      <c r="I341" s="849">
        <v>0.0</v>
      </c>
      <c r="J341" s="849">
        <v>0.0</v>
      </c>
      <c r="K341" s="849">
        <v>0.0</v>
      </c>
      <c r="L341" s="849">
        <v>0.0</v>
      </c>
      <c r="M341" s="849">
        <v>0.0</v>
      </c>
      <c r="N341" s="849">
        <v>0.0</v>
      </c>
      <c r="O341" s="849">
        <v>0.0</v>
      </c>
      <c r="P341" s="849">
        <v>0.0</v>
      </c>
      <c r="Q341" s="849">
        <v>0.0</v>
      </c>
      <c r="R341" s="849">
        <v>0.0</v>
      </c>
      <c r="S341" s="849">
        <v>0.0</v>
      </c>
      <c r="T341" s="849">
        <v>0.0</v>
      </c>
      <c r="U341" s="849">
        <v>0.0</v>
      </c>
      <c r="V341" s="849">
        <v>0.0</v>
      </c>
      <c r="W341" s="849">
        <v>0.0</v>
      </c>
      <c r="X341" s="849">
        <v>0.0</v>
      </c>
      <c r="Y341" s="849">
        <v>0.0</v>
      </c>
      <c r="Z341" s="849">
        <v>0.0</v>
      </c>
      <c r="AA341" s="849">
        <v>0.0</v>
      </c>
      <c r="AB341" s="849">
        <v>0.0</v>
      </c>
      <c r="AC341" s="849">
        <v>0.0</v>
      </c>
      <c r="AD341" s="849">
        <v>0.0</v>
      </c>
      <c r="AE341" s="849">
        <v>0.0</v>
      </c>
      <c r="AF341" s="849">
        <v>0.0</v>
      </c>
      <c r="AG341" s="849">
        <v>0.0</v>
      </c>
      <c r="AH341" s="849">
        <v>0.0</v>
      </c>
      <c r="AI341" s="849">
        <v>0.0</v>
      </c>
      <c r="AJ341" s="794" t="str">
        <f t="shared" ref="AJ341:AK341" si="679">C341</f>
        <v>G22020</v>
      </c>
      <c r="AK341" s="794" t="str">
        <f t="shared" si="679"/>
        <v>VENTES STE-MARIE</v>
      </c>
      <c r="AL341" s="794">
        <f t="array" ref="AL341">IFERROR(INDEX(G341:R341,1,MATCH(Parametres!$B$3,G$1:R$1,0)-1)*IF(OR(F341="L",F341="S",F341="I"),-1,1),"")</f>
        <v>0</v>
      </c>
      <c r="AM341" s="794">
        <f t="shared" si="4"/>
        <v>0</v>
      </c>
      <c r="AN341" s="794">
        <f t="array" ref="AN341">INDEX(G341:R341,1,MATCH(Parametres!$B$3,G$1:R$1,0))*IF(OR(F341="L",F341="S",F341="I"),-1,1)</f>
        <v>0</v>
      </c>
      <c r="AO341" s="853" t="str">
        <f>+VLOOKUP($AJ341,Data_Validation!$A:$D,1,0)</f>
        <v>#N/A</v>
      </c>
      <c r="AP341" s="853" t="str">
        <f>+VLOOKUP($AJ341,Data_Validation!$A:$D,3,0)</f>
        <v>#N/A</v>
      </c>
      <c r="AQ341" s="853" t="str">
        <f>+VLOOKUP($AJ341,Data_Validation!$A:$D,4,0)</f>
        <v>#N/A</v>
      </c>
      <c r="AR341" s="853" t="s">
        <v>728</v>
      </c>
      <c r="AS341" s="853" t="str">
        <f>+VLOOKUP($AJ341,Data_Validation!$A:$E,5,0)</f>
        <v>#N/A</v>
      </c>
      <c r="AT341" s="794" t="str">
        <f t="shared" ref="AT341:AU341" si="680">C341</f>
        <v>G22020</v>
      </c>
      <c r="AU341" s="854" t="str">
        <f t="shared" si="680"/>
        <v>VENTES STE-MARIE</v>
      </c>
      <c r="AV341" s="794">
        <f t="array" ref="AV341">IFERROR(INDEX(V341:AG341,1,MATCH(Parametres!$B$3,V$1:AG$1,0)-1)*IF(OR(C341="L",C341="S",C341="I"),-1,1),"")</f>
        <v>0</v>
      </c>
      <c r="AW341" s="794">
        <f t="shared" si="6"/>
        <v>0</v>
      </c>
      <c r="AX341" s="794">
        <f t="array" ref="AX341">INDEX(V341:AG341,1,MATCH(Parametres!$B$3,V$1:AG$1,0))*IF(OR(C341="L",C341="S",C341="I"),-1,1)</f>
        <v>0</v>
      </c>
      <c r="AY341" s="853" t="s">
        <v>772</v>
      </c>
      <c r="AZ341" s="853" t="str">
        <f>+VLOOKUP($AJ341,Data_Validation!$A:$E,5,0)</f>
        <v>#N/A</v>
      </c>
    </row>
    <row r="342" ht="15.0" customHeight="1">
      <c r="A342" s="849" t="s">
        <v>1239</v>
      </c>
      <c r="B342" s="849">
        <v>2025.0</v>
      </c>
      <c r="C342" s="849" t="s">
        <v>1999</v>
      </c>
      <c r="D342" s="849" t="s">
        <v>3437</v>
      </c>
      <c r="E342" s="849" t="s">
        <v>771</v>
      </c>
      <c r="F342" s="849" t="s">
        <v>1926</v>
      </c>
      <c r="G342" s="849">
        <v>901699.24</v>
      </c>
      <c r="H342" s="849">
        <v>522575.11</v>
      </c>
      <c r="I342" s="849">
        <v>0.0</v>
      </c>
      <c r="J342" s="849">
        <v>349281.75</v>
      </c>
      <c r="K342" s="849">
        <v>424368.22</v>
      </c>
      <c r="L342" s="849">
        <v>1034421.61</v>
      </c>
      <c r="M342" s="849">
        <v>0.0</v>
      </c>
      <c r="N342" s="849">
        <v>-66501.23</v>
      </c>
      <c r="O342" s="849">
        <v>0.0</v>
      </c>
      <c r="P342" s="849">
        <v>200479.65</v>
      </c>
      <c r="Q342" s="849">
        <v>68950.35</v>
      </c>
      <c r="R342" s="849">
        <v>369510.74</v>
      </c>
      <c r="S342" s="849">
        <v>0.0</v>
      </c>
      <c r="T342" s="849">
        <v>0.0</v>
      </c>
      <c r="U342" s="849">
        <v>0.0</v>
      </c>
      <c r="V342" s="849">
        <v>0.0</v>
      </c>
      <c r="W342" s="849">
        <v>0.0</v>
      </c>
      <c r="X342" s="849">
        <v>0.0</v>
      </c>
      <c r="Y342" s="849">
        <v>0.0</v>
      </c>
      <c r="Z342" s="849">
        <v>0.0</v>
      </c>
      <c r="AA342" s="849">
        <v>0.0</v>
      </c>
      <c r="AB342" s="849">
        <v>0.0</v>
      </c>
      <c r="AC342" s="849">
        <v>0.0</v>
      </c>
      <c r="AD342" s="849">
        <v>0.0</v>
      </c>
      <c r="AE342" s="849">
        <v>0.0</v>
      </c>
      <c r="AF342" s="849">
        <v>0.0</v>
      </c>
      <c r="AG342" s="849">
        <v>0.0</v>
      </c>
      <c r="AH342" s="849">
        <v>0.0</v>
      </c>
      <c r="AI342" s="849">
        <v>0.0</v>
      </c>
      <c r="AJ342" s="794" t="str">
        <f t="shared" ref="AJ342:AK342" si="681">C342</f>
        <v>G22030</v>
      </c>
      <c r="AK342" s="794" t="str">
        <f t="shared" si="681"/>
        <v>VENTES HAWKESBURY</v>
      </c>
      <c r="AL342" s="794">
        <f t="array" ref="AL342">IFERROR(INDEX(G342:R342,1,MATCH(Parametres!$B$3,G$1:R$1,0)-1)*IF(OR(F342="L",F342="S",F342="I"),-1,1),"")</f>
        <v>-66501.23</v>
      </c>
      <c r="AM342" s="794">
        <f t="shared" si="4"/>
        <v>66501.23</v>
      </c>
      <c r="AN342" s="794">
        <f t="array" ref="AN342">INDEX(G342:R342,1,MATCH(Parametres!$B$3,G$1:R$1,0))*IF(OR(F342="L",F342="S",F342="I"),-1,1)</f>
        <v>0</v>
      </c>
      <c r="AO342" s="853" t="str">
        <f>+VLOOKUP($AJ342,Data_Validation!$A:$D,1,0)</f>
        <v>G22030</v>
      </c>
      <c r="AP342" s="853" t="str">
        <f>+VLOOKUP($AJ342,Data_Validation!$A:$D,3,0)</f>
        <v>Bilan</v>
      </c>
      <c r="AQ342" s="853" t="str">
        <f>+VLOOKUP($AJ342,Data_Validation!$A:$D,4,0)</f>
        <v>Recevables Intercos</v>
      </c>
      <c r="AR342" s="853" t="s">
        <v>728</v>
      </c>
      <c r="AS342" s="853" t="str">
        <f>+VLOOKUP($AJ342,Data_Validation!$A:$E,5,0)</f>
        <v/>
      </c>
      <c r="AT342" s="794" t="str">
        <f t="shared" ref="AT342:AU342" si="682">C342</f>
        <v>G22030</v>
      </c>
      <c r="AU342" s="854" t="str">
        <f t="shared" si="682"/>
        <v>VENTES HAWKESBURY</v>
      </c>
      <c r="AV342" s="794">
        <f t="array" ref="AV342">IFERROR(INDEX(V342:AG342,1,MATCH(Parametres!$B$3,V$1:AG$1,0)-1)*IF(OR(C342="L",C342="S",C342="I"),-1,1),"")</f>
        <v>0</v>
      </c>
      <c r="AW342" s="794">
        <f t="shared" si="6"/>
        <v>0</v>
      </c>
      <c r="AX342" s="794">
        <f t="array" ref="AX342">INDEX(V342:AG342,1,MATCH(Parametres!$B$3,V$1:AG$1,0))*IF(OR(C342="L",C342="S",C342="I"),-1,1)</f>
        <v>0</v>
      </c>
      <c r="AY342" s="853" t="s">
        <v>772</v>
      </c>
      <c r="AZ342" s="853" t="str">
        <f>+VLOOKUP($AJ342,Data_Validation!$A:$E,5,0)</f>
        <v/>
      </c>
    </row>
    <row r="343" ht="15.75" customHeight="1">
      <c r="A343" s="849" t="s">
        <v>1239</v>
      </c>
      <c r="B343" s="849">
        <v>2025.0</v>
      </c>
      <c r="C343" s="849" t="s">
        <v>2001</v>
      </c>
      <c r="D343" s="849" t="s">
        <v>3438</v>
      </c>
      <c r="E343" s="849" t="s">
        <v>771</v>
      </c>
      <c r="F343" s="849" t="s">
        <v>1926</v>
      </c>
      <c r="G343" s="849">
        <v>0.0</v>
      </c>
      <c r="H343" s="849">
        <v>0.0</v>
      </c>
      <c r="I343" s="849">
        <v>0.0</v>
      </c>
      <c r="J343" s="849">
        <v>0.0</v>
      </c>
      <c r="K343" s="849">
        <v>0.0</v>
      </c>
      <c r="L343" s="849">
        <v>0.0</v>
      </c>
      <c r="M343" s="849">
        <v>0.0</v>
      </c>
      <c r="N343" s="849">
        <v>0.0</v>
      </c>
      <c r="O343" s="849">
        <v>0.0</v>
      </c>
      <c r="P343" s="849">
        <v>0.0</v>
      </c>
      <c r="Q343" s="849">
        <v>0.0</v>
      </c>
      <c r="R343" s="849">
        <v>0.0</v>
      </c>
      <c r="S343" s="849">
        <v>0.0</v>
      </c>
      <c r="T343" s="849">
        <v>0.0</v>
      </c>
      <c r="U343" s="849">
        <v>0.0</v>
      </c>
      <c r="V343" s="849">
        <v>0.0</v>
      </c>
      <c r="W343" s="849">
        <v>0.0</v>
      </c>
      <c r="X343" s="849">
        <v>0.0</v>
      </c>
      <c r="Y343" s="849">
        <v>0.0</v>
      </c>
      <c r="Z343" s="849">
        <v>0.0</v>
      </c>
      <c r="AA343" s="849">
        <v>0.0</v>
      </c>
      <c r="AB343" s="849">
        <v>0.0</v>
      </c>
      <c r="AC343" s="849">
        <v>0.0</v>
      </c>
      <c r="AD343" s="849">
        <v>0.0</v>
      </c>
      <c r="AE343" s="849">
        <v>0.0</v>
      </c>
      <c r="AF343" s="849">
        <v>0.0</v>
      </c>
      <c r="AG343" s="849">
        <v>0.0</v>
      </c>
      <c r="AH343" s="849">
        <v>0.0</v>
      </c>
      <c r="AI343" s="849">
        <v>0.0</v>
      </c>
      <c r="AJ343" s="794" t="str">
        <f t="shared" ref="AJ343:AK343" si="683">C343</f>
        <v>G22035</v>
      </c>
      <c r="AK343" s="794" t="str">
        <f t="shared" si="683"/>
        <v>INTERCO BMW SHERBROOKE</v>
      </c>
      <c r="AL343" s="794">
        <f t="array" ref="AL343">IFERROR(INDEX(G343:R343,1,MATCH(Parametres!$B$3,G$1:R$1,0)-1)*IF(OR(F343="L",F343="S",F343="I"),-1,1),"")</f>
        <v>0</v>
      </c>
      <c r="AM343" s="794">
        <f t="shared" si="4"/>
        <v>0</v>
      </c>
      <c r="AN343" s="794">
        <f t="array" ref="AN343">INDEX(G343:R343,1,MATCH(Parametres!$B$3,G$1:R$1,0))*IF(OR(F343="L",F343="S",F343="I"),-1,1)</f>
        <v>0</v>
      </c>
      <c r="AO343" s="853" t="str">
        <f>+VLOOKUP($AJ343,Data_Validation!$A:$D,1,0)</f>
        <v>G22035</v>
      </c>
      <c r="AP343" s="853" t="str">
        <f>+VLOOKUP($AJ343,Data_Validation!$A:$D,3,0)</f>
        <v>Bilan</v>
      </c>
      <c r="AQ343" s="853" t="str">
        <f>+VLOOKUP($AJ343,Data_Validation!$A:$D,4,0)</f>
        <v>Recevables Intercos</v>
      </c>
      <c r="AR343" s="853" t="s">
        <v>728</v>
      </c>
      <c r="AS343" s="853" t="str">
        <f>+VLOOKUP($AJ343,Data_Validation!$A:$E,5,0)</f>
        <v/>
      </c>
      <c r="AT343" s="794" t="str">
        <f t="shared" ref="AT343:AU343" si="684">C343</f>
        <v>G22035</v>
      </c>
      <c r="AU343" s="854" t="str">
        <f t="shared" si="684"/>
        <v>INTERCO BMW SHERBROOKE</v>
      </c>
      <c r="AV343" s="794">
        <f t="array" ref="AV343">IFERROR(INDEX(V343:AG343,1,MATCH(Parametres!$B$3,V$1:AG$1,0)-1)*IF(OR(C343="L",C343="S",C343="I"),-1,1),"")</f>
        <v>0</v>
      </c>
      <c r="AW343" s="794">
        <f t="shared" si="6"/>
        <v>0</v>
      </c>
      <c r="AX343" s="794">
        <f t="array" ref="AX343">INDEX(V343:AG343,1,MATCH(Parametres!$B$3,V$1:AG$1,0))*IF(OR(C343="L",C343="S",C343="I"),-1,1)</f>
        <v>0</v>
      </c>
      <c r="AY343" s="853" t="s">
        <v>772</v>
      </c>
      <c r="AZ343" s="853" t="str">
        <f>+VLOOKUP($AJ343,Data_Validation!$A:$E,5,0)</f>
        <v/>
      </c>
    </row>
    <row r="344" ht="15.0" customHeight="1">
      <c r="A344" s="849" t="s">
        <v>1239</v>
      </c>
      <c r="B344" s="849">
        <v>2025.0</v>
      </c>
      <c r="C344" s="849" t="s">
        <v>2003</v>
      </c>
      <c r="D344" s="849" t="s">
        <v>3439</v>
      </c>
      <c r="E344" s="849" t="s">
        <v>771</v>
      </c>
      <c r="F344" s="849" t="s">
        <v>1926</v>
      </c>
      <c r="G344" s="849">
        <v>357290.85</v>
      </c>
      <c r="H344" s="849">
        <v>977813.04</v>
      </c>
      <c r="I344" s="849">
        <v>1661977.03</v>
      </c>
      <c r="J344" s="849">
        <v>1165251.27</v>
      </c>
      <c r="K344" s="849">
        <v>1156021.21</v>
      </c>
      <c r="L344" s="849">
        <v>749008.06</v>
      </c>
      <c r="M344" s="849">
        <v>-3645.59</v>
      </c>
      <c r="N344" s="849">
        <v>-3645.59</v>
      </c>
      <c r="O344" s="849">
        <v>249861.53</v>
      </c>
      <c r="P344" s="849">
        <v>1091139.44</v>
      </c>
      <c r="Q344" s="849">
        <v>1227800.0</v>
      </c>
      <c r="R344" s="849">
        <v>394766.5</v>
      </c>
      <c r="S344" s="849">
        <v>0.0</v>
      </c>
      <c r="T344" s="849">
        <v>0.0</v>
      </c>
      <c r="U344" s="849">
        <v>0.0</v>
      </c>
      <c r="V344" s="849">
        <v>0.0</v>
      </c>
      <c r="W344" s="849">
        <v>0.0</v>
      </c>
      <c r="X344" s="849">
        <v>0.0</v>
      </c>
      <c r="Y344" s="849">
        <v>0.0</v>
      </c>
      <c r="Z344" s="849">
        <v>0.0</v>
      </c>
      <c r="AA344" s="849">
        <v>0.0</v>
      </c>
      <c r="AB344" s="849">
        <v>0.0</v>
      </c>
      <c r="AC344" s="849">
        <v>0.0</v>
      </c>
      <c r="AD344" s="849">
        <v>0.0</v>
      </c>
      <c r="AE344" s="849">
        <v>0.0</v>
      </c>
      <c r="AF344" s="849">
        <v>0.0</v>
      </c>
      <c r="AG344" s="849">
        <v>0.0</v>
      </c>
      <c r="AH344" s="849">
        <v>0.0</v>
      </c>
      <c r="AI344" s="849">
        <v>0.0</v>
      </c>
      <c r="AJ344" s="794" t="str">
        <f t="shared" ref="AJ344:AK344" si="685">C344</f>
        <v>G22040</v>
      </c>
      <c r="AK344" s="794" t="str">
        <f t="shared" si="685"/>
        <v>VENTES LOCATION LMB INC</v>
      </c>
      <c r="AL344" s="794">
        <f t="array" ref="AL344">IFERROR(INDEX(G344:R344,1,MATCH(Parametres!$B$3,G$1:R$1,0)-1)*IF(OR(F344="L",F344="S",F344="I"),-1,1),"")</f>
        <v>-3645.59</v>
      </c>
      <c r="AM344" s="794">
        <f t="shared" si="4"/>
        <v>253507.12</v>
      </c>
      <c r="AN344" s="794">
        <f t="array" ref="AN344">INDEX(G344:R344,1,MATCH(Parametres!$B$3,G$1:R$1,0))*IF(OR(F344="L",F344="S",F344="I"),-1,1)</f>
        <v>249861.53</v>
      </c>
      <c r="AO344" s="853" t="str">
        <f>+VLOOKUP($AJ344,Data_Validation!$A:$D,1,0)</f>
        <v>G22040</v>
      </c>
      <c r="AP344" s="853" t="str">
        <f>+VLOOKUP($AJ344,Data_Validation!$A:$D,3,0)</f>
        <v>Bilan</v>
      </c>
      <c r="AQ344" s="853" t="str">
        <f>+VLOOKUP($AJ344,Data_Validation!$A:$D,4,0)</f>
        <v>Recevables Intercos</v>
      </c>
      <c r="AR344" s="853" t="s">
        <v>728</v>
      </c>
      <c r="AS344" s="853" t="str">
        <f>+VLOOKUP($AJ344,Data_Validation!$A:$E,5,0)</f>
        <v/>
      </c>
      <c r="AT344" s="794" t="str">
        <f t="shared" ref="AT344:AU344" si="686">C344</f>
        <v>G22040</v>
      </c>
      <c r="AU344" s="854" t="str">
        <f t="shared" si="686"/>
        <v>VENTES LOCATION LMB INC</v>
      </c>
      <c r="AV344" s="794">
        <f t="array" ref="AV344">IFERROR(INDEX(V344:AG344,1,MATCH(Parametres!$B$3,V$1:AG$1,0)-1)*IF(OR(C344="L",C344="S",C344="I"),-1,1),"")</f>
        <v>0</v>
      </c>
      <c r="AW344" s="794">
        <f t="shared" si="6"/>
        <v>0</v>
      </c>
      <c r="AX344" s="794">
        <f t="array" ref="AX344">INDEX(V344:AG344,1,MATCH(Parametres!$B$3,V$1:AG$1,0))*IF(OR(C344="L",C344="S",C344="I"),-1,1)</f>
        <v>0</v>
      </c>
      <c r="AY344" s="853" t="s">
        <v>772</v>
      </c>
      <c r="AZ344" s="853" t="str">
        <f>+VLOOKUP($AJ344,Data_Validation!$A:$E,5,0)</f>
        <v/>
      </c>
    </row>
    <row r="345" ht="15.0" customHeight="1">
      <c r="A345" s="849" t="s">
        <v>1239</v>
      </c>
      <c r="B345" s="849">
        <v>2025.0</v>
      </c>
      <c r="C345" s="849" t="s">
        <v>2005</v>
      </c>
      <c r="D345" s="849" t="s">
        <v>3440</v>
      </c>
      <c r="E345" s="849" t="s">
        <v>771</v>
      </c>
      <c r="F345" s="849" t="s">
        <v>1926</v>
      </c>
      <c r="G345" s="849">
        <v>0.0</v>
      </c>
      <c r="H345" s="849">
        <v>0.0</v>
      </c>
      <c r="I345" s="849">
        <v>0.0</v>
      </c>
      <c r="J345" s="849">
        <v>0.0</v>
      </c>
      <c r="K345" s="849">
        <v>0.0</v>
      </c>
      <c r="L345" s="849">
        <v>0.0</v>
      </c>
      <c r="M345" s="849">
        <v>0.0</v>
      </c>
      <c r="N345" s="849">
        <v>0.0</v>
      </c>
      <c r="O345" s="849">
        <v>0.0</v>
      </c>
      <c r="P345" s="849">
        <v>0.0</v>
      </c>
      <c r="Q345" s="849">
        <v>0.0</v>
      </c>
      <c r="R345" s="849">
        <v>0.0</v>
      </c>
      <c r="S345" s="849">
        <v>0.0</v>
      </c>
      <c r="T345" s="849">
        <v>0.0</v>
      </c>
      <c r="U345" s="849">
        <v>0.0</v>
      </c>
      <c r="V345" s="849">
        <v>0.0</v>
      </c>
      <c r="W345" s="849">
        <v>0.0</v>
      </c>
      <c r="X345" s="849">
        <v>0.0</v>
      </c>
      <c r="Y345" s="849">
        <v>0.0</v>
      </c>
      <c r="Z345" s="849">
        <v>0.0</v>
      </c>
      <c r="AA345" s="849">
        <v>0.0</v>
      </c>
      <c r="AB345" s="849">
        <v>0.0</v>
      </c>
      <c r="AC345" s="849">
        <v>0.0</v>
      </c>
      <c r="AD345" s="849">
        <v>0.0</v>
      </c>
      <c r="AE345" s="849">
        <v>0.0</v>
      </c>
      <c r="AF345" s="849">
        <v>0.0</v>
      </c>
      <c r="AG345" s="849">
        <v>0.0</v>
      </c>
      <c r="AH345" s="849">
        <v>0.0</v>
      </c>
      <c r="AI345" s="849">
        <v>0.0</v>
      </c>
      <c r="AJ345" s="794" t="str">
        <f t="shared" ref="AJ345:AK345" si="687">C345</f>
        <v>G22045</v>
      </c>
      <c r="AK345" s="794" t="str">
        <f t="shared" si="687"/>
        <v>INTERCO VOLKS BROSSARD</v>
      </c>
      <c r="AL345" s="794">
        <f t="array" ref="AL345">IFERROR(INDEX(G345:R345,1,MATCH(Parametres!$B$3,G$1:R$1,0)-1)*IF(OR(F345="L",F345="S",F345="I"),-1,1),"")</f>
        <v>0</v>
      </c>
      <c r="AM345" s="794">
        <f t="shared" si="4"/>
        <v>0</v>
      </c>
      <c r="AN345" s="794">
        <f t="array" ref="AN345">INDEX(G345:R345,1,MATCH(Parametres!$B$3,G$1:R$1,0))*IF(OR(F345="L",F345="S",F345="I"),-1,1)</f>
        <v>0</v>
      </c>
      <c r="AO345" s="853" t="str">
        <f>+VLOOKUP($AJ345,Data_Validation!$A:$D,1,0)</f>
        <v>G22045</v>
      </c>
      <c r="AP345" s="853" t="str">
        <f>+VLOOKUP($AJ345,Data_Validation!$A:$D,3,0)</f>
        <v>Bilan</v>
      </c>
      <c r="AQ345" s="853" t="str">
        <f>+VLOOKUP($AJ345,Data_Validation!$A:$D,4,0)</f>
        <v>Recevables Intercos</v>
      </c>
      <c r="AR345" s="853" t="s">
        <v>728</v>
      </c>
      <c r="AS345" s="853" t="str">
        <f>+VLOOKUP($AJ345,Data_Validation!$A:$E,5,0)</f>
        <v/>
      </c>
      <c r="AT345" s="794" t="str">
        <f t="shared" ref="AT345:AU345" si="688">C345</f>
        <v>G22045</v>
      </c>
      <c r="AU345" s="854" t="str">
        <f t="shared" si="688"/>
        <v>INTERCO VOLKS BROSSARD</v>
      </c>
      <c r="AV345" s="794">
        <f t="array" ref="AV345">IFERROR(INDEX(V345:AG345,1,MATCH(Parametres!$B$3,V$1:AG$1,0)-1)*IF(OR(C345="L",C345="S",C345="I"),-1,1),"")</f>
        <v>0</v>
      </c>
      <c r="AW345" s="794">
        <f t="shared" si="6"/>
        <v>0</v>
      </c>
      <c r="AX345" s="794">
        <f t="array" ref="AX345">INDEX(V345:AG345,1,MATCH(Parametres!$B$3,V$1:AG$1,0))*IF(OR(C345="L",C345="S",C345="I"),-1,1)</f>
        <v>0</v>
      </c>
      <c r="AY345" s="853" t="s">
        <v>772</v>
      </c>
      <c r="AZ345" s="853" t="str">
        <f>+VLOOKUP($AJ345,Data_Validation!$A:$E,5,0)</f>
        <v/>
      </c>
    </row>
    <row r="346" ht="15.0" customHeight="1">
      <c r="A346" s="849" t="s">
        <v>1239</v>
      </c>
      <c r="B346" s="849">
        <v>2025.0</v>
      </c>
      <c r="C346" s="849" t="s">
        <v>2007</v>
      </c>
      <c r="D346" s="849" t="s">
        <v>3441</v>
      </c>
      <c r="E346" s="849" t="s">
        <v>771</v>
      </c>
      <c r="F346" s="849" t="s">
        <v>1926</v>
      </c>
      <c r="G346" s="849">
        <v>0.0</v>
      </c>
      <c r="H346" s="849">
        <v>0.0</v>
      </c>
      <c r="I346" s="849">
        <v>0.0</v>
      </c>
      <c r="J346" s="849">
        <v>0.0</v>
      </c>
      <c r="K346" s="849">
        <v>0.0</v>
      </c>
      <c r="L346" s="849">
        <v>0.0</v>
      </c>
      <c r="M346" s="849">
        <v>0.0</v>
      </c>
      <c r="N346" s="849">
        <v>0.0</v>
      </c>
      <c r="O346" s="849">
        <v>0.0</v>
      </c>
      <c r="P346" s="849">
        <v>0.0</v>
      </c>
      <c r="Q346" s="849">
        <v>0.0</v>
      </c>
      <c r="R346" s="849">
        <v>0.0</v>
      </c>
      <c r="S346" s="849">
        <v>0.0</v>
      </c>
      <c r="T346" s="849">
        <v>0.0</v>
      </c>
      <c r="U346" s="849">
        <v>0.0</v>
      </c>
      <c r="V346" s="849">
        <v>0.0</v>
      </c>
      <c r="W346" s="849">
        <v>0.0</v>
      </c>
      <c r="X346" s="849">
        <v>0.0</v>
      </c>
      <c r="Y346" s="849">
        <v>0.0</v>
      </c>
      <c r="Z346" s="849">
        <v>0.0</v>
      </c>
      <c r="AA346" s="849">
        <v>0.0</v>
      </c>
      <c r="AB346" s="849">
        <v>0.0</v>
      </c>
      <c r="AC346" s="849">
        <v>0.0</v>
      </c>
      <c r="AD346" s="849">
        <v>0.0</v>
      </c>
      <c r="AE346" s="849">
        <v>0.0</v>
      </c>
      <c r="AF346" s="849">
        <v>0.0</v>
      </c>
      <c r="AG346" s="849">
        <v>0.0</v>
      </c>
      <c r="AH346" s="849">
        <v>0.0</v>
      </c>
      <c r="AI346" s="849">
        <v>0.0</v>
      </c>
      <c r="AJ346" s="794" t="str">
        <f t="shared" ref="AJ346:AK346" si="689">C346</f>
        <v>G22050</v>
      </c>
      <c r="AK346" s="794" t="str">
        <f t="shared" si="689"/>
        <v>VENTES HYUNDAI ST-CONSTAN</v>
      </c>
      <c r="AL346" s="794">
        <f t="array" ref="AL346">IFERROR(INDEX(G346:R346,1,MATCH(Parametres!$B$3,G$1:R$1,0)-1)*IF(OR(F346="L",F346="S",F346="I"),-1,1),"")</f>
        <v>0</v>
      </c>
      <c r="AM346" s="794">
        <f t="shared" si="4"/>
        <v>0</v>
      </c>
      <c r="AN346" s="794">
        <f t="array" ref="AN346">INDEX(G346:R346,1,MATCH(Parametres!$B$3,G$1:R$1,0))*IF(OR(F346="L",F346="S",F346="I"),-1,1)</f>
        <v>0</v>
      </c>
      <c r="AO346" s="853" t="str">
        <f>+VLOOKUP($AJ346,Data_Validation!$A:$D,1,0)</f>
        <v>G22050</v>
      </c>
      <c r="AP346" s="853" t="str">
        <f>+VLOOKUP($AJ346,Data_Validation!$A:$D,3,0)</f>
        <v>Bilan</v>
      </c>
      <c r="AQ346" s="853" t="str">
        <f>+VLOOKUP($AJ346,Data_Validation!$A:$D,4,0)</f>
        <v>Recevables Véhicules</v>
      </c>
      <c r="AR346" s="853" t="s">
        <v>728</v>
      </c>
      <c r="AS346" s="853" t="str">
        <f>+VLOOKUP($AJ346,Data_Validation!$A:$E,5,0)</f>
        <v/>
      </c>
      <c r="AT346" s="794" t="str">
        <f t="shared" ref="AT346:AU346" si="690">C346</f>
        <v>G22050</v>
      </c>
      <c r="AU346" s="854" t="str">
        <f t="shared" si="690"/>
        <v>VENTES HYUNDAI ST-CONSTAN</v>
      </c>
      <c r="AV346" s="794">
        <f t="array" ref="AV346">IFERROR(INDEX(V346:AG346,1,MATCH(Parametres!$B$3,V$1:AG$1,0)-1)*IF(OR(C346="L",C346="S",C346="I"),-1,1),"")</f>
        <v>0</v>
      </c>
      <c r="AW346" s="794">
        <f t="shared" si="6"/>
        <v>0</v>
      </c>
      <c r="AX346" s="794">
        <f t="array" ref="AX346">INDEX(V346:AG346,1,MATCH(Parametres!$B$3,V$1:AG$1,0))*IF(OR(C346="L",C346="S",C346="I"),-1,1)</f>
        <v>0</v>
      </c>
      <c r="AY346" s="853" t="s">
        <v>772</v>
      </c>
      <c r="AZ346" s="853" t="str">
        <f>+VLOOKUP($AJ346,Data_Validation!$A:$E,5,0)</f>
        <v/>
      </c>
    </row>
    <row r="347" ht="15.75" customHeight="1">
      <c r="A347" s="849" t="s">
        <v>1239</v>
      </c>
      <c r="B347" s="849">
        <v>2025.0</v>
      </c>
      <c r="C347" s="849" t="s">
        <v>2009</v>
      </c>
      <c r="D347" s="849" t="s">
        <v>3442</v>
      </c>
      <c r="E347" s="849" t="s">
        <v>771</v>
      </c>
      <c r="F347" s="849" t="s">
        <v>1926</v>
      </c>
      <c r="G347" s="849">
        <v>111654.63</v>
      </c>
      <c r="H347" s="849">
        <v>0.0</v>
      </c>
      <c r="I347" s="849">
        <v>1266727.28</v>
      </c>
      <c r="J347" s="849">
        <v>299543.74</v>
      </c>
      <c r="K347" s="849">
        <v>265253.07</v>
      </c>
      <c r="L347" s="849">
        <v>1058852.19</v>
      </c>
      <c r="M347" s="849">
        <v>7320.05</v>
      </c>
      <c r="N347" s="849">
        <v>12997.11</v>
      </c>
      <c r="O347" s="849">
        <v>133773.47</v>
      </c>
      <c r="P347" s="849">
        <v>674959.51</v>
      </c>
      <c r="Q347" s="849">
        <v>299606.04</v>
      </c>
      <c r="R347" s="849">
        <v>5676.9</v>
      </c>
      <c r="S347" s="849">
        <v>0.0</v>
      </c>
      <c r="T347" s="849">
        <v>0.0</v>
      </c>
      <c r="U347" s="849">
        <v>0.0</v>
      </c>
      <c r="V347" s="849">
        <v>0.0</v>
      </c>
      <c r="W347" s="849">
        <v>0.0</v>
      </c>
      <c r="X347" s="849">
        <v>0.0</v>
      </c>
      <c r="Y347" s="849">
        <v>0.0</v>
      </c>
      <c r="Z347" s="849">
        <v>0.0</v>
      </c>
      <c r="AA347" s="849">
        <v>0.0</v>
      </c>
      <c r="AB347" s="849">
        <v>0.0</v>
      </c>
      <c r="AC347" s="849">
        <v>0.0</v>
      </c>
      <c r="AD347" s="849">
        <v>0.0</v>
      </c>
      <c r="AE347" s="849">
        <v>0.0</v>
      </c>
      <c r="AF347" s="849">
        <v>0.0</v>
      </c>
      <c r="AG347" s="849">
        <v>0.0</v>
      </c>
      <c r="AH347" s="849">
        <v>0.0</v>
      </c>
      <c r="AI347" s="849">
        <v>0.0</v>
      </c>
      <c r="AJ347" s="794" t="str">
        <f t="shared" ref="AJ347:AK347" si="691">C347</f>
        <v>G22055</v>
      </c>
      <c r="AK347" s="794" t="str">
        <f t="shared" si="691"/>
        <v>VENTES Y.M. DESMARRAIS</v>
      </c>
      <c r="AL347" s="794">
        <f t="array" ref="AL347">IFERROR(INDEX(G347:R347,1,MATCH(Parametres!$B$3,G$1:R$1,0)-1)*IF(OR(F347="L",F347="S",F347="I"),-1,1),"")</f>
        <v>12997.11</v>
      </c>
      <c r="AM347" s="794">
        <f t="shared" si="4"/>
        <v>120776.36</v>
      </c>
      <c r="AN347" s="794">
        <f t="array" ref="AN347">INDEX(G347:R347,1,MATCH(Parametres!$B$3,G$1:R$1,0))*IF(OR(F347="L",F347="S",F347="I"),-1,1)</f>
        <v>133773.47</v>
      </c>
      <c r="AO347" s="853" t="str">
        <f>+VLOOKUP($AJ347,Data_Validation!$A:$D,1,0)</f>
        <v>G22055</v>
      </c>
      <c r="AP347" s="853" t="str">
        <f>+VLOOKUP($AJ347,Data_Validation!$A:$D,3,0)</f>
        <v>Bilan</v>
      </c>
      <c r="AQ347" s="853" t="str">
        <f>+VLOOKUP($AJ347,Data_Validation!$A:$D,4,0)</f>
        <v>Recevables Véhicules</v>
      </c>
      <c r="AR347" s="853" t="s">
        <v>728</v>
      </c>
      <c r="AS347" s="853" t="str">
        <f>+VLOOKUP($AJ347,Data_Validation!$A:$E,5,0)</f>
        <v/>
      </c>
      <c r="AT347" s="794" t="str">
        <f t="shared" ref="AT347:AU347" si="692">C347</f>
        <v>G22055</v>
      </c>
      <c r="AU347" s="854" t="str">
        <f t="shared" si="692"/>
        <v>VENTES Y.M. DESMARRAIS</v>
      </c>
      <c r="AV347" s="794">
        <f t="array" ref="AV347">IFERROR(INDEX(V347:AG347,1,MATCH(Parametres!$B$3,V$1:AG$1,0)-1)*IF(OR(C347="L",C347="S",C347="I"),-1,1),"")</f>
        <v>0</v>
      </c>
      <c r="AW347" s="794">
        <f t="shared" si="6"/>
        <v>0</v>
      </c>
      <c r="AX347" s="794">
        <f t="array" ref="AX347">INDEX(V347:AG347,1,MATCH(Parametres!$B$3,V$1:AG$1,0))*IF(OR(C347="L",C347="S",C347="I"),-1,1)</f>
        <v>0</v>
      </c>
      <c r="AY347" s="853" t="s">
        <v>772</v>
      </c>
      <c r="AZ347" s="853" t="str">
        <f>+VLOOKUP($AJ347,Data_Validation!$A:$E,5,0)</f>
        <v/>
      </c>
    </row>
    <row r="348" ht="15.0" customHeight="1">
      <c r="A348" s="849" t="s">
        <v>1239</v>
      </c>
      <c r="B348" s="849">
        <v>2025.0</v>
      </c>
      <c r="C348" s="849" t="s">
        <v>2011</v>
      </c>
      <c r="D348" s="849" t="s">
        <v>3443</v>
      </c>
      <c r="E348" s="849" t="s">
        <v>771</v>
      </c>
      <c r="F348" s="849" t="s">
        <v>1926</v>
      </c>
      <c r="G348" s="849">
        <v>435406.0</v>
      </c>
      <c r="H348" s="849">
        <v>125756.8</v>
      </c>
      <c r="I348" s="849">
        <v>136776.55</v>
      </c>
      <c r="J348" s="849">
        <v>739034.5</v>
      </c>
      <c r="K348" s="849">
        <v>500553.25</v>
      </c>
      <c r="L348" s="849">
        <v>692959.05</v>
      </c>
      <c r="M348" s="849">
        <v>86068.5</v>
      </c>
      <c r="N348" s="849">
        <v>101751.3</v>
      </c>
      <c r="O348" s="849">
        <v>101309.73</v>
      </c>
      <c r="P348" s="849">
        <v>613632.03</v>
      </c>
      <c r="Q348" s="849">
        <v>703313.11</v>
      </c>
      <c r="R348" s="849">
        <v>42552.3</v>
      </c>
      <c r="S348" s="849">
        <v>0.0</v>
      </c>
      <c r="T348" s="849">
        <v>0.0</v>
      </c>
      <c r="U348" s="849">
        <v>0.0</v>
      </c>
      <c r="V348" s="849">
        <v>0.0</v>
      </c>
      <c r="W348" s="849">
        <v>0.0</v>
      </c>
      <c r="X348" s="849">
        <v>0.0</v>
      </c>
      <c r="Y348" s="849">
        <v>0.0</v>
      </c>
      <c r="Z348" s="849">
        <v>0.0</v>
      </c>
      <c r="AA348" s="849">
        <v>0.0</v>
      </c>
      <c r="AB348" s="849">
        <v>0.0</v>
      </c>
      <c r="AC348" s="849">
        <v>0.0</v>
      </c>
      <c r="AD348" s="849">
        <v>0.0</v>
      </c>
      <c r="AE348" s="849">
        <v>0.0</v>
      </c>
      <c r="AF348" s="849">
        <v>0.0</v>
      </c>
      <c r="AG348" s="849">
        <v>0.0</v>
      </c>
      <c r="AH348" s="849">
        <v>0.0</v>
      </c>
      <c r="AI348" s="849">
        <v>0.0</v>
      </c>
      <c r="AJ348" s="794" t="str">
        <f t="shared" ref="AJ348:AK348" si="693">C348</f>
        <v>G22060</v>
      </c>
      <c r="AK348" s="794" t="str">
        <f t="shared" si="693"/>
        <v>VENTES SIMPLICITÉ</v>
      </c>
      <c r="AL348" s="794">
        <f t="array" ref="AL348">IFERROR(INDEX(G348:R348,1,MATCH(Parametres!$B$3,G$1:R$1,0)-1)*IF(OR(F348="L",F348="S",F348="I"),-1,1),"")</f>
        <v>101751.3</v>
      </c>
      <c r="AM348" s="794">
        <f t="shared" si="4"/>
        <v>-441.57</v>
      </c>
      <c r="AN348" s="794">
        <f t="array" ref="AN348">INDEX(G348:R348,1,MATCH(Parametres!$B$3,G$1:R$1,0))*IF(OR(F348="L",F348="S",F348="I"),-1,1)</f>
        <v>101309.73</v>
      </c>
      <c r="AO348" s="853" t="str">
        <f>+VLOOKUP($AJ348,Data_Validation!$A:$D,1,0)</f>
        <v>G22060</v>
      </c>
      <c r="AP348" s="853" t="str">
        <f>+VLOOKUP($AJ348,Data_Validation!$A:$D,3,0)</f>
        <v>Bilan</v>
      </c>
      <c r="AQ348" s="853" t="str">
        <f>+VLOOKUP($AJ348,Data_Validation!$A:$D,4,0)</f>
        <v>Recevables Véhicules</v>
      </c>
      <c r="AR348" s="853" t="s">
        <v>728</v>
      </c>
      <c r="AS348" s="853" t="str">
        <f>+VLOOKUP($AJ348,Data_Validation!$A:$E,5,0)</f>
        <v/>
      </c>
      <c r="AT348" s="794" t="str">
        <f t="shared" ref="AT348:AU348" si="694">C348</f>
        <v>G22060</v>
      </c>
      <c r="AU348" s="854" t="str">
        <f t="shared" si="694"/>
        <v>VENTES SIMPLICITÉ</v>
      </c>
      <c r="AV348" s="794">
        <f t="array" ref="AV348">IFERROR(INDEX(V348:AG348,1,MATCH(Parametres!$B$3,V$1:AG$1,0)-1)*IF(OR(C348="L",C348="S",C348="I"),-1,1),"")</f>
        <v>0</v>
      </c>
      <c r="AW348" s="794">
        <f t="shared" si="6"/>
        <v>0</v>
      </c>
      <c r="AX348" s="794">
        <f t="array" ref="AX348">INDEX(V348:AG348,1,MATCH(Parametres!$B$3,V$1:AG$1,0))*IF(OR(C348="L",C348="S",C348="I"),-1,1)</f>
        <v>0</v>
      </c>
      <c r="AY348" s="853" t="s">
        <v>772</v>
      </c>
      <c r="AZ348" s="853" t="str">
        <f>+VLOOKUP($AJ348,Data_Validation!$A:$E,5,0)</f>
        <v/>
      </c>
    </row>
    <row r="349" ht="15.0" customHeight="1">
      <c r="A349" s="849" t="s">
        <v>1239</v>
      </c>
      <c r="B349" s="849">
        <v>2025.0</v>
      </c>
      <c r="C349" s="849" t="s">
        <v>2013</v>
      </c>
      <c r="D349" s="849" t="s">
        <v>2014</v>
      </c>
      <c r="E349" s="849" t="s">
        <v>1959</v>
      </c>
      <c r="F349" s="849" t="s">
        <v>1926</v>
      </c>
      <c r="G349" s="849">
        <v>0.0</v>
      </c>
      <c r="H349" s="849">
        <v>0.0</v>
      </c>
      <c r="I349" s="849">
        <v>0.0</v>
      </c>
      <c r="J349" s="849">
        <v>278.81</v>
      </c>
      <c r="K349" s="849">
        <v>278.81</v>
      </c>
      <c r="L349" s="849">
        <v>278.81</v>
      </c>
      <c r="M349" s="849">
        <v>278.81</v>
      </c>
      <c r="N349" s="849">
        <v>0.0</v>
      </c>
      <c r="O349" s="849">
        <v>0.0</v>
      </c>
      <c r="P349" s="849">
        <v>0.0</v>
      </c>
      <c r="Q349" s="849">
        <v>0.0</v>
      </c>
      <c r="R349" s="849">
        <v>0.0</v>
      </c>
      <c r="S349" s="849">
        <v>0.0</v>
      </c>
      <c r="T349" s="849">
        <v>0.0</v>
      </c>
      <c r="U349" s="849">
        <v>0.0</v>
      </c>
      <c r="V349" s="849">
        <v>0.0</v>
      </c>
      <c r="W349" s="849">
        <v>0.0</v>
      </c>
      <c r="X349" s="849">
        <v>0.0</v>
      </c>
      <c r="Y349" s="849">
        <v>0.0</v>
      </c>
      <c r="Z349" s="849">
        <v>0.0</v>
      </c>
      <c r="AA349" s="849">
        <v>0.0</v>
      </c>
      <c r="AB349" s="849">
        <v>0.0</v>
      </c>
      <c r="AC349" s="849">
        <v>0.0</v>
      </c>
      <c r="AD349" s="849">
        <v>0.0</v>
      </c>
      <c r="AE349" s="849">
        <v>0.0</v>
      </c>
      <c r="AF349" s="849">
        <v>0.0</v>
      </c>
      <c r="AG349" s="849">
        <v>0.0</v>
      </c>
      <c r="AH349" s="849">
        <v>0.0</v>
      </c>
      <c r="AI349" s="849">
        <v>0.0</v>
      </c>
      <c r="AJ349" s="794" t="str">
        <f t="shared" ref="AJ349:AK349" si="695">C349</f>
        <v>G22070</v>
      </c>
      <c r="AK349" s="794" t="str">
        <f t="shared" si="695"/>
        <v>GLOBE ST-CONSTANT</v>
      </c>
      <c r="AL349" s="794">
        <f t="array" ref="AL349">IFERROR(INDEX(G349:R349,1,MATCH(Parametres!$B$3,G$1:R$1,0)-1)*IF(OR(F349="L",F349="S",F349="I"),-1,1),"")</f>
        <v>0</v>
      </c>
      <c r="AM349" s="794">
        <f t="shared" si="4"/>
        <v>0</v>
      </c>
      <c r="AN349" s="794">
        <f t="array" ref="AN349">INDEX(G349:R349,1,MATCH(Parametres!$B$3,G$1:R$1,0))*IF(OR(F349="L",F349="S",F349="I"),-1,1)</f>
        <v>0</v>
      </c>
      <c r="AO349" s="853" t="str">
        <f>+VLOOKUP($AJ349,Data_Validation!$A:$D,1,0)</f>
        <v>G22070</v>
      </c>
      <c r="AP349" s="853" t="str">
        <f>+VLOOKUP($AJ349,Data_Validation!$A:$D,3,0)</f>
        <v>Bilan</v>
      </c>
      <c r="AQ349" s="853" t="str">
        <f>+VLOOKUP($AJ349,Data_Validation!$A:$D,4,0)</f>
        <v>Recevables Véhicules</v>
      </c>
      <c r="AR349" s="853" t="s">
        <v>728</v>
      </c>
      <c r="AS349" s="853" t="str">
        <f>+VLOOKUP($AJ349,Data_Validation!$A:$E,5,0)</f>
        <v/>
      </c>
      <c r="AT349" s="794" t="str">
        <f t="shared" ref="AT349:AU349" si="696">C349</f>
        <v>G22070</v>
      </c>
      <c r="AU349" s="854" t="str">
        <f t="shared" si="696"/>
        <v>GLOBE ST-CONSTANT</v>
      </c>
      <c r="AV349" s="794">
        <f t="array" ref="AV349">IFERROR(INDEX(V349:AG349,1,MATCH(Parametres!$B$3,V$1:AG$1,0)-1)*IF(OR(C349="L",C349="S",C349="I"),-1,1),"")</f>
        <v>0</v>
      </c>
      <c r="AW349" s="794">
        <f t="shared" si="6"/>
        <v>0</v>
      </c>
      <c r="AX349" s="794">
        <f t="array" ref="AX349">INDEX(V349:AG349,1,MATCH(Parametres!$B$3,V$1:AG$1,0))*IF(OR(C349="L",C349="S",C349="I"),-1,1)</f>
        <v>0</v>
      </c>
      <c r="AY349" s="853" t="s">
        <v>772</v>
      </c>
      <c r="AZ349" s="853" t="str">
        <f>+VLOOKUP($AJ349,Data_Validation!$A:$E,5,0)</f>
        <v/>
      </c>
    </row>
    <row r="350" ht="15.0" customHeight="1">
      <c r="A350" s="849" t="s">
        <v>1239</v>
      </c>
      <c r="B350" s="849">
        <v>2025.0</v>
      </c>
      <c r="C350" s="849" t="s">
        <v>2015</v>
      </c>
      <c r="D350" s="849" t="s">
        <v>2016</v>
      </c>
      <c r="E350" s="849" t="s">
        <v>1959</v>
      </c>
      <c r="F350" s="849" t="s">
        <v>1926</v>
      </c>
      <c r="G350" s="849">
        <v>0.0</v>
      </c>
      <c r="H350" s="849">
        <v>0.0</v>
      </c>
      <c r="I350" s="849">
        <v>0.0</v>
      </c>
      <c r="J350" s="849">
        <v>0.0</v>
      </c>
      <c r="K350" s="849">
        <v>0.0</v>
      </c>
      <c r="L350" s="849">
        <v>0.0</v>
      </c>
      <c r="M350" s="849">
        <v>0.0</v>
      </c>
      <c r="N350" s="849">
        <v>0.0</v>
      </c>
      <c r="O350" s="849">
        <v>-53807.73</v>
      </c>
      <c r="P350" s="849">
        <v>1500.0</v>
      </c>
      <c r="Q350" s="849">
        <v>1500.0</v>
      </c>
      <c r="R350" s="849">
        <v>0.0</v>
      </c>
      <c r="S350" s="849">
        <v>0.0</v>
      </c>
      <c r="T350" s="849">
        <v>0.0</v>
      </c>
      <c r="U350" s="849">
        <v>0.0</v>
      </c>
      <c r="V350" s="849">
        <v>0.0</v>
      </c>
      <c r="W350" s="849">
        <v>0.0</v>
      </c>
      <c r="X350" s="849">
        <v>0.0</v>
      </c>
      <c r="Y350" s="849">
        <v>0.0</v>
      </c>
      <c r="Z350" s="849">
        <v>0.0</v>
      </c>
      <c r="AA350" s="849">
        <v>0.0</v>
      </c>
      <c r="AB350" s="849">
        <v>0.0</v>
      </c>
      <c r="AC350" s="849">
        <v>0.0</v>
      </c>
      <c r="AD350" s="849">
        <v>0.0</v>
      </c>
      <c r="AE350" s="849">
        <v>0.0</v>
      </c>
      <c r="AF350" s="849">
        <v>0.0</v>
      </c>
      <c r="AG350" s="849">
        <v>0.0</v>
      </c>
      <c r="AH350" s="849">
        <v>0.0</v>
      </c>
      <c r="AI350" s="849">
        <v>0.0</v>
      </c>
      <c r="AJ350" s="794" t="str">
        <f t="shared" ref="AJ350:AK350" si="697">C350</f>
        <v>G22080</v>
      </c>
      <c r="AK350" s="794" t="str">
        <f t="shared" si="697"/>
        <v>GLOBE MONT-ROYAL</v>
      </c>
      <c r="AL350" s="794">
        <f t="array" ref="AL350">IFERROR(INDEX(G350:R350,1,MATCH(Parametres!$B$3,G$1:R$1,0)-1)*IF(OR(F350="L",F350="S",F350="I"),-1,1),"")</f>
        <v>0</v>
      </c>
      <c r="AM350" s="794">
        <f t="shared" si="4"/>
        <v>-53807.73</v>
      </c>
      <c r="AN350" s="794">
        <f t="array" ref="AN350">INDEX(G350:R350,1,MATCH(Parametres!$B$3,G$1:R$1,0))*IF(OR(F350="L",F350="S",F350="I"),-1,1)</f>
        <v>-53807.73</v>
      </c>
      <c r="AO350" s="853" t="str">
        <f>+VLOOKUP($AJ350,Data_Validation!$A:$D,1,0)</f>
        <v>G22080</v>
      </c>
      <c r="AP350" s="853" t="str">
        <f>+VLOOKUP($AJ350,Data_Validation!$A:$D,3,0)</f>
        <v/>
      </c>
      <c r="AQ350" s="853" t="str">
        <f>+VLOOKUP($AJ350,Data_Validation!$A:$D,4,0)</f>
        <v/>
      </c>
      <c r="AR350" s="853" t="s">
        <v>728</v>
      </c>
      <c r="AS350" s="853" t="str">
        <f>+VLOOKUP($AJ350,Data_Validation!$A:$E,5,0)</f>
        <v/>
      </c>
      <c r="AT350" s="794" t="str">
        <f t="shared" ref="AT350:AU350" si="698">C350</f>
        <v>G22080</v>
      </c>
      <c r="AU350" s="854" t="str">
        <f t="shared" si="698"/>
        <v>GLOBE MONT-ROYAL</v>
      </c>
      <c r="AV350" s="794">
        <f t="array" ref="AV350">IFERROR(INDEX(V350:AG350,1,MATCH(Parametres!$B$3,V$1:AG$1,0)-1)*IF(OR(C350="L",C350="S",C350="I"),-1,1),"")</f>
        <v>0</v>
      </c>
      <c r="AW350" s="794">
        <f t="shared" si="6"/>
        <v>0</v>
      </c>
      <c r="AX350" s="794">
        <f t="array" ref="AX350">INDEX(V350:AG350,1,MATCH(Parametres!$B$3,V$1:AG$1,0))*IF(OR(C350="L",C350="S",C350="I"),-1,1)</f>
        <v>0</v>
      </c>
      <c r="AY350" s="853" t="s">
        <v>772</v>
      </c>
      <c r="AZ350" s="853" t="str">
        <f>+VLOOKUP($AJ350,Data_Validation!$A:$E,5,0)</f>
        <v/>
      </c>
    </row>
    <row r="351" ht="15.0" customHeight="1">
      <c r="A351" s="849" t="s">
        <v>1239</v>
      </c>
      <c r="B351" s="849">
        <v>2025.0</v>
      </c>
      <c r="C351" s="849" t="s">
        <v>2017</v>
      </c>
      <c r="D351" s="849" t="s">
        <v>3444</v>
      </c>
      <c r="E351" s="849" t="s">
        <v>1959</v>
      </c>
      <c r="F351" s="849" t="s">
        <v>1926</v>
      </c>
      <c r="G351" s="849">
        <v>1437066.75</v>
      </c>
      <c r="H351" s="849">
        <v>1122751.17</v>
      </c>
      <c r="I351" s="849">
        <v>1097764.82</v>
      </c>
      <c r="J351" s="849">
        <v>1067297.08</v>
      </c>
      <c r="K351" s="849">
        <v>1671139.99</v>
      </c>
      <c r="L351" s="849">
        <v>1033020.5</v>
      </c>
      <c r="M351" s="849">
        <v>45619.57</v>
      </c>
      <c r="N351" s="849">
        <v>54254.26</v>
      </c>
      <c r="O351" s="849">
        <v>1099393.99</v>
      </c>
      <c r="P351" s="849">
        <v>1220827.54</v>
      </c>
      <c r="Q351" s="849">
        <v>1850950.89</v>
      </c>
      <c r="R351" s="849">
        <v>139324.39</v>
      </c>
      <c r="S351" s="849">
        <v>0.0</v>
      </c>
      <c r="T351" s="849">
        <v>0.0</v>
      </c>
      <c r="U351" s="849">
        <v>0.0</v>
      </c>
      <c r="V351" s="849">
        <v>0.0</v>
      </c>
      <c r="W351" s="849">
        <v>0.0</v>
      </c>
      <c r="X351" s="849">
        <v>0.0</v>
      </c>
      <c r="Y351" s="849">
        <v>0.0</v>
      </c>
      <c r="Z351" s="849">
        <v>0.0</v>
      </c>
      <c r="AA351" s="849">
        <v>0.0</v>
      </c>
      <c r="AB351" s="849">
        <v>0.0</v>
      </c>
      <c r="AC351" s="849">
        <v>0.0</v>
      </c>
      <c r="AD351" s="849">
        <v>0.0</v>
      </c>
      <c r="AE351" s="849">
        <v>0.0</v>
      </c>
      <c r="AF351" s="849">
        <v>0.0</v>
      </c>
      <c r="AG351" s="849">
        <v>0.0</v>
      </c>
      <c r="AH351" s="849">
        <v>0.0</v>
      </c>
      <c r="AI351" s="849">
        <v>0.0</v>
      </c>
      <c r="AJ351" s="794" t="str">
        <f t="shared" ref="AJ351:AK351" si="699">C351</f>
        <v>G22090</v>
      </c>
      <c r="AK351" s="794" t="str">
        <f t="shared" si="699"/>
        <v>159191 CANADA INC.</v>
      </c>
      <c r="AL351" s="794">
        <f t="array" ref="AL351">IFERROR(INDEX(G351:R351,1,MATCH(Parametres!$B$3,G$1:R$1,0)-1)*IF(OR(F351="L",F351="S",F351="I"),-1,1),"")</f>
        <v>54254.26</v>
      </c>
      <c r="AM351" s="794">
        <f t="shared" si="4"/>
        <v>1045139.73</v>
      </c>
      <c r="AN351" s="794">
        <f t="array" ref="AN351">INDEX(G351:R351,1,MATCH(Parametres!$B$3,G$1:R$1,0))*IF(OR(F351="L",F351="S",F351="I"),-1,1)</f>
        <v>1099393.99</v>
      </c>
      <c r="AO351" s="853" t="str">
        <f>+VLOOKUP($AJ351,Data_Validation!$A:$D,1,0)</f>
        <v>G22090</v>
      </c>
      <c r="AP351" s="853" t="str">
        <f>+VLOOKUP($AJ351,Data_Validation!$A:$D,3,0)</f>
        <v>Bilan</v>
      </c>
      <c r="AQ351" s="853" t="str">
        <f>+VLOOKUP($AJ351,Data_Validation!$A:$D,4,0)</f>
        <v>Recevables Véhicules</v>
      </c>
      <c r="AR351" s="853" t="s">
        <v>728</v>
      </c>
      <c r="AS351" s="853" t="str">
        <f>+VLOOKUP($AJ351,Data_Validation!$A:$E,5,0)</f>
        <v/>
      </c>
      <c r="AT351" s="794" t="str">
        <f t="shared" ref="AT351:AU351" si="700">C351</f>
        <v>G22090</v>
      </c>
      <c r="AU351" s="854" t="str">
        <f t="shared" si="700"/>
        <v>159191 CANADA INC.</v>
      </c>
      <c r="AV351" s="794">
        <f t="array" ref="AV351">IFERROR(INDEX(V351:AG351,1,MATCH(Parametres!$B$3,V$1:AG$1,0)-1)*IF(OR(C351="L",C351="S",C351="I"),-1,1),"")</f>
        <v>0</v>
      </c>
      <c r="AW351" s="794">
        <f t="shared" si="6"/>
        <v>0</v>
      </c>
      <c r="AX351" s="794">
        <f t="array" ref="AX351">INDEX(V351:AG351,1,MATCH(Parametres!$B$3,V$1:AG$1,0))*IF(OR(C351="L",C351="S",C351="I"),-1,1)</f>
        <v>0</v>
      </c>
      <c r="AY351" s="853" t="s">
        <v>772</v>
      </c>
      <c r="AZ351" s="853" t="str">
        <f>+VLOOKUP($AJ351,Data_Validation!$A:$E,5,0)</f>
        <v/>
      </c>
    </row>
    <row r="352" ht="15.75" customHeight="1">
      <c r="A352" s="849" t="s">
        <v>1239</v>
      </c>
      <c r="B352" s="849">
        <v>2025.0</v>
      </c>
      <c r="C352" s="849" t="s">
        <v>2019</v>
      </c>
      <c r="D352" s="849" t="s">
        <v>2020</v>
      </c>
      <c r="E352" s="849" t="s">
        <v>1926</v>
      </c>
      <c r="F352" s="849" t="s">
        <v>1926</v>
      </c>
      <c r="G352" s="849">
        <v>173891.21</v>
      </c>
      <c r="H352" s="849">
        <v>295689.95</v>
      </c>
      <c r="I352" s="849">
        <v>568588.41</v>
      </c>
      <c r="J352" s="849">
        <v>193018.0</v>
      </c>
      <c r="K352" s="849">
        <v>-393693.51</v>
      </c>
      <c r="L352" s="849">
        <v>-275020.27</v>
      </c>
      <c r="M352" s="849">
        <v>1778556.63</v>
      </c>
      <c r="N352" s="849">
        <v>1225828.34</v>
      </c>
      <c r="O352" s="849">
        <v>307363.1</v>
      </c>
      <c r="P352" s="849">
        <v>484070.6</v>
      </c>
      <c r="Q352" s="849">
        <v>0.0</v>
      </c>
      <c r="R352" s="849">
        <v>0.0</v>
      </c>
      <c r="S352" s="849">
        <v>0.0</v>
      </c>
      <c r="T352" s="849">
        <v>0.0</v>
      </c>
      <c r="U352" s="849">
        <v>0.0</v>
      </c>
      <c r="V352" s="849">
        <v>0.0</v>
      </c>
      <c r="W352" s="849">
        <v>0.0</v>
      </c>
      <c r="X352" s="849">
        <v>0.0</v>
      </c>
      <c r="Y352" s="849">
        <v>0.0</v>
      </c>
      <c r="Z352" s="849">
        <v>0.0</v>
      </c>
      <c r="AA352" s="849">
        <v>0.0</v>
      </c>
      <c r="AB352" s="849">
        <v>0.0</v>
      </c>
      <c r="AC352" s="849">
        <v>0.0</v>
      </c>
      <c r="AD352" s="849">
        <v>0.0</v>
      </c>
      <c r="AE352" s="849">
        <v>0.0</v>
      </c>
      <c r="AF352" s="849">
        <v>0.0</v>
      </c>
      <c r="AG352" s="849">
        <v>0.0</v>
      </c>
      <c r="AH352" s="849">
        <v>0.0</v>
      </c>
      <c r="AI352" s="849">
        <v>0.0</v>
      </c>
      <c r="AJ352" s="794" t="str">
        <f t="shared" ref="AJ352:AK352" si="701">C352</f>
        <v>G22130</v>
      </c>
      <c r="AK352" s="794" t="str">
        <f t="shared" si="701"/>
        <v>INTERCO HAWKSBURY GM</v>
      </c>
      <c r="AL352" s="794">
        <f t="array" ref="AL352">IFERROR(INDEX(G352:R352,1,MATCH(Parametres!$B$3,G$1:R$1,0)-1)*IF(OR(F352="L",F352="S",F352="I"),-1,1),"")</f>
        <v>1225828.34</v>
      </c>
      <c r="AM352" s="794">
        <f t="shared" si="4"/>
        <v>-918465.24</v>
      </c>
      <c r="AN352" s="794">
        <f t="array" ref="AN352">INDEX(G352:R352,1,MATCH(Parametres!$B$3,G$1:R$1,0))*IF(OR(F352="L",F352="S",F352="I"),-1,1)</f>
        <v>307363.1</v>
      </c>
      <c r="AO352" s="853" t="str">
        <f>+VLOOKUP($AJ352,Data_Validation!$A:$D,1,0)</f>
        <v>G22130</v>
      </c>
      <c r="AP352" s="853" t="str">
        <f>+VLOOKUP($AJ352,Data_Validation!$A:$D,3,0)</f>
        <v>Bilan</v>
      </c>
      <c r="AQ352" s="853" t="str">
        <f>+VLOOKUP($AJ352,Data_Validation!$A:$D,4,0)</f>
        <v>Recevables Intercos</v>
      </c>
      <c r="AR352" s="853" t="s">
        <v>728</v>
      </c>
      <c r="AS352" s="853" t="str">
        <f>+VLOOKUP($AJ352,Data_Validation!$A:$E,5,0)</f>
        <v/>
      </c>
      <c r="AT352" s="794" t="str">
        <f t="shared" ref="AT352:AU352" si="702">C352</f>
        <v>G22130</v>
      </c>
      <c r="AU352" s="854" t="str">
        <f t="shared" si="702"/>
        <v>INTERCO HAWKSBURY GM</v>
      </c>
      <c r="AV352" s="794">
        <f t="array" ref="AV352">IFERROR(INDEX(V352:AG352,1,MATCH(Parametres!$B$3,V$1:AG$1,0)-1)*IF(OR(C352="L",C352="S",C352="I"),-1,1),"")</f>
        <v>0</v>
      </c>
      <c r="AW352" s="794">
        <f t="shared" si="6"/>
        <v>0</v>
      </c>
      <c r="AX352" s="794">
        <f t="array" ref="AX352">INDEX(V352:AG352,1,MATCH(Parametres!$B$3,V$1:AG$1,0))*IF(OR(C352="L",C352="S",C352="I"),-1,1)</f>
        <v>0</v>
      </c>
      <c r="AY352" s="853" t="s">
        <v>772</v>
      </c>
      <c r="AZ352" s="853" t="str">
        <f>+VLOOKUP($AJ352,Data_Validation!$A:$E,5,0)</f>
        <v/>
      </c>
    </row>
    <row r="353" ht="15.0" customHeight="1">
      <c r="A353" s="849" t="s">
        <v>1239</v>
      </c>
      <c r="B353" s="849">
        <v>2025.0</v>
      </c>
      <c r="C353" s="849" t="s">
        <v>2021</v>
      </c>
      <c r="D353" s="849" t="s">
        <v>3445</v>
      </c>
      <c r="E353" s="849" t="s">
        <v>1926</v>
      </c>
      <c r="F353" s="849" t="s">
        <v>1926</v>
      </c>
      <c r="G353" s="849">
        <v>500000.0</v>
      </c>
      <c r="H353" s="849">
        <v>500000.0</v>
      </c>
      <c r="I353" s="849">
        <v>500000.0</v>
      </c>
      <c r="J353" s="849">
        <v>500000.0</v>
      </c>
      <c r="K353" s="849">
        <v>500000.0</v>
      </c>
      <c r="L353" s="849">
        <v>500000.0</v>
      </c>
      <c r="M353" s="849">
        <v>500000.0</v>
      </c>
      <c r="N353" s="849">
        <v>500000.0</v>
      </c>
      <c r="O353" s="849">
        <v>500000.0</v>
      </c>
      <c r="P353" s="849">
        <v>500000.0</v>
      </c>
      <c r="Q353" s="849">
        <v>500000.0</v>
      </c>
      <c r="R353" s="849">
        <v>-7700000.0</v>
      </c>
      <c r="S353" s="849">
        <v>0.0</v>
      </c>
      <c r="T353" s="849">
        <v>0.0</v>
      </c>
      <c r="U353" s="849">
        <v>0.0</v>
      </c>
      <c r="V353" s="849">
        <v>0.0</v>
      </c>
      <c r="W353" s="849">
        <v>0.0</v>
      </c>
      <c r="X353" s="849">
        <v>0.0</v>
      </c>
      <c r="Y353" s="849">
        <v>0.0</v>
      </c>
      <c r="Z353" s="849">
        <v>0.0</v>
      </c>
      <c r="AA353" s="849">
        <v>0.0</v>
      </c>
      <c r="AB353" s="849">
        <v>0.0</v>
      </c>
      <c r="AC353" s="849">
        <v>0.0</v>
      </c>
      <c r="AD353" s="849">
        <v>0.0</v>
      </c>
      <c r="AE353" s="849">
        <v>0.0</v>
      </c>
      <c r="AF353" s="849">
        <v>0.0</v>
      </c>
      <c r="AG353" s="849">
        <v>0.0</v>
      </c>
      <c r="AH353" s="849">
        <v>0.0</v>
      </c>
      <c r="AI353" s="849">
        <v>0.0</v>
      </c>
      <c r="AJ353" s="794" t="str">
        <f t="shared" ref="AJ353:AK353" si="703">C353</f>
        <v>G22140</v>
      </c>
      <c r="AK353" s="794" t="str">
        <f t="shared" si="703"/>
        <v>INTERCO 13721515 CANADA</v>
      </c>
      <c r="AL353" s="794">
        <f t="array" ref="AL353">IFERROR(INDEX(G353:R353,1,MATCH(Parametres!$B$3,G$1:R$1,0)-1)*IF(OR(F353="L",F353="S",F353="I"),-1,1),"")</f>
        <v>500000</v>
      </c>
      <c r="AM353" s="794">
        <f t="shared" si="4"/>
        <v>0</v>
      </c>
      <c r="AN353" s="794">
        <f t="array" ref="AN353">INDEX(G353:R353,1,MATCH(Parametres!$B$3,G$1:R$1,0))*IF(OR(F353="L",F353="S",F353="I"),-1,1)</f>
        <v>500000</v>
      </c>
      <c r="AO353" s="853" t="str">
        <f>+VLOOKUP($AJ353,Data_Validation!$A:$D,1,0)</f>
        <v>G22140</v>
      </c>
      <c r="AP353" s="853" t="str">
        <f>+VLOOKUP($AJ353,Data_Validation!$A:$D,3,0)</f>
        <v>Bilan</v>
      </c>
      <c r="AQ353" s="853" t="str">
        <f>+VLOOKUP($AJ353,Data_Validation!$A:$D,4,0)</f>
        <v>Recevables Intercos</v>
      </c>
      <c r="AR353" s="853" t="s">
        <v>728</v>
      </c>
      <c r="AS353" s="853" t="str">
        <f>+VLOOKUP($AJ353,Data_Validation!$A:$E,5,0)</f>
        <v/>
      </c>
      <c r="AT353" s="794" t="str">
        <f t="shared" ref="AT353:AU353" si="704">C353</f>
        <v>G22140</v>
      </c>
      <c r="AU353" s="854" t="str">
        <f t="shared" si="704"/>
        <v>INTERCO 13721515 CANADA</v>
      </c>
      <c r="AV353" s="794">
        <f t="array" ref="AV353">IFERROR(INDEX(V353:AG353,1,MATCH(Parametres!$B$3,V$1:AG$1,0)-1)*IF(OR(C353="L",C353="S",C353="I"),-1,1),"")</f>
        <v>0</v>
      </c>
      <c r="AW353" s="794">
        <f t="shared" si="6"/>
        <v>0</v>
      </c>
      <c r="AX353" s="794">
        <f t="array" ref="AX353">INDEX(V353:AG353,1,MATCH(Parametres!$B$3,V$1:AG$1,0))*IF(OR(C353="L",C353="S",C353="I"),-1,1)</f>
        <v>0</v>
      </c>
      <c r="AY353" s="853" t="s">
        <v>772</v>
      </c>
      <c r="AZ353" s="853" t="str">
        <f>+VLOOKUP($AJ353,Data_Validation!$A:$E,5,0)</f>
        <v/>
      </c>
    </row>
    <row r="354" ht="15.0" customHeight="1">
      <c r="A354" s="849" t="s">
        <v>1239</v>
      </c>
      <c r="B354" s="849">
        <v>2025.0</v>
      </c>
      <c r="C354" s="849" t="s">
        <v>2023</v>
      </c>
      <c r="D354" s="849" t="s">
        <v>2024</v>
      </c>
      <c r="E354" s="849" t="s">
        <v>1926</v>
      </c>
      <c r="F354" s="849" t="s">
        <v>1926</v>
      </c>
      <c r="G354" s="849">
        <v>10609.67</v>
      </c>
      <c r="H354" s="849">
        <v>15.88</v>
      </c>
      <c r="I354" s="849">
        <v>796.94</v>
      </c>
      <c r="J354" s="849">
        <v>567.78</v>
      </c>
      <c r="K354" s="849">
        <v>1453.78</v>
      </c>
      <c r="L354" s="849">
        <v>1792.85</v>
      </c>
      <c r="M354" s="849">
        <v>26456.21</v>
      </c>
      <c r="N354" s="849">
        <v>27537.31</v>
      </c>
      <c r="O354" s="849">
        <v>26434.91</v>
      </c>
      <c r="P354" s="849">
        <v>27177.29</v>
      </c>
      <c r="Q354" s="849">
        <v>0.0</v>
      </c>
      <c r="R354" s="849">
        <v>0.0</v>
      </c>
      <c r="S354" s="849">
        <v>0.0</v>
      </c>
      <c r="T354" s="849">
        <v>0.0</v>
      </c>
      <c r="U354" s="849">
        <v>0.0</v>
      </c>
      <c r="V354" s="849">
        <v>0.0</v>
      </c>
      <c r="W354" s="849">
        <v>0.0</v>
      </c>
      <c r="X354" s="849">
        <v>0.0</v>
      </c>
      <c r="Y354" s="849">
        <v>0.0</v>
      </c>
      <c r="Z354" s="849">
        <v>0.0</v>
      </c>
      <c r="AA354" s="849">
        <v>0.0</v>
      </c>
      <c r="AB354" s="849">
        <v>0.0</v>
      </c>
      <c r="AC354" s="849">
        <v>0.0</v>
      </c>
      <c r="AD354" s="849">
        <v>0.0</v>
      </c>
      <c r="AE354" s="849">
        <v>0.0</v>
      </c>
      <c r="AF354" s="849">
        <v>0.0</v>
      </c>
      <c r="AG354" s="849">
        <v>0.0</v>
      </c>
      <c r="AH354" s="849">
        <v>0.0</v>
      </c>
      <c r="AI354" s="849">
        <v>0.0</v>
      </c>
      <c r="AJ354" s="794" t="str">
        <f t="shared" ref="AJ354:AK354" si="705">C354</f>
        <v>G22150</v>
      </c>
      <c r="AK354" s="794" t="str">
        <f t="shared" si="705"/>
        <v>INTERCO HYUNDAI STCONSTAN</v>
      </c>
      <c r="AL354" s="794">
        <f t="array" ref="AL354">IFERROR(INDEX(G354:R354,1,MATCH(Parametres!$B$3,G$1:R$1,0)-1)*IF(OR(F354="L",F354="S",F354="I"),-1,1),"")</f>
        <v>27537.31</v>
      </c>
      <c r="AM354" s="794">
        <f t="shared" si="4"/>
        <v>-1102.4</v>
      </c>
      <c r="AN354" s="794">
        <f t="array" ref="AN354">INDEX(G354:R354,1,MATCH(Parametres!$B$3,G$1:R$1,0))*IF(OR(F354="L",F354="S",F354="I"),-1,1)</f>
        <v>26434.91</v>
      </c>
      <c r="AO354" s="853" t="str">
        <f>+VLOOKUP($AJ354,Data_Validation!$A:$D,1,0)</f>
        <v>G22150</v>
      </c>
      <c r="AP354" s="853" t="str">
        <f>+VLOOKUP($AJ354,Data_Validation!$A:$D,3,0)</f>
        <v>Bilan</v>
      </c>
      <c r="AQ354" s="853" t="str">
        <f>+VLOOKUP($AJ354,Data_Validation!$A:$D,4,0)</f>
        <v>Recevables Véhicules</v>
      </c>
      <c r="AR354" s="853" t="s">
        <v>728</v>
      </c>
      <c r="AS354" s="853" t="str">
        <f>+VLOOKUP($AJ354,Data_Validation!$A:$E,5,0)</f>
        <v/>
      </c>
      <c r="AT354" s="794" t="str">
        <f t="shared" ref="AT354:AU354" si="706">C354</f>
        <v>G22150</v>
      </c>
      <c r="AU354" s="854" t="str">
        <f t="shared" si="706"/>
        <v>INTERCO HYUNDAI STCONSTAN</v>
      </c>
      <c r="AV354" s="794">
        <f t="array" ref="AV354">IFERROR(INDEX(V354:AG354,1,MATCH(Parametres!$B$3,V$1:AG$1,0)-1)*IF(OR(C354="L",C354="S",C354="I"),-1,1),"")</f>
        <v>0</v>
      </c>
      <c r="AW354" s="794">
        <f t="shared" si="6"/>
        <v>0</v>
      </c>
      <c r="AX354" s="794">
        <f t="array" ref="AX354">INDEX(V354:AG354,1,MATCH(Parametres!$B$3,V$1:AG$1,0))*IF(OR(C354="L",C354="S",C354="I"),-1,1)</f>
        <v>0</v>
      </c>
      <c r="AY354" s="853" t="s">
        <v>772</v>
      </c>
      <c r="AZ354" s="853" t="str">
        <f>+VLOOKUP($AJ354,Data_Validation!$A:$E,5,0)</f>
        <v/>
      </c>
    </row>
    <row r="355" ht="15.0" customHeight="1">
      <c r="A355" s="849" t="s">
        <v>1239</v>
      </c>
      <c r="B355" s="849">
        <v>2025.0</v>
      </c>
      <c r="C355" s="849" t="s">
        <v>2025</v>
      </c>
      <c r="D355" s="849" t="s">
        <v>3446</v>
      </c>
      <c r="E355" s="849" t="s">
        <v>1926</v>
      </c>
      <c r="F355" s="849" t="s">
        <v>1926</v>
      </c>
      <c r="G355" s="849">
        <v>75701.12</v>
      </c>
      <c r="H355" s="849">
        <v>84311.12</v>
      </c>
      <c r="I355" s="849">
        <v>84524.96</v>
      </c>
      <c r="J355" s="849">
        <v>84596.24</v>
      </c>
      <c r="K355" s="849">
        <v>84596.24</v>
      </c>
      <c r="L355" s="849">
        <v>109596.24</v>
      </c>
      <c r="M355" s="849">
        <v>109738.8</v>
      </c>
      <c r="N355" s="849">
        <v>109816.98</v>
      </c>
      <c r="O355" s="849">
        <v>109816.98</v>
      </c>
      <c r="P355" s="849">
        <v>109816.98</v>
      </c>
      <c r="Q355" s="849">
        <v>110051.52</v>
      </c>
      <c r="R355" s="849">
        <v>110129.7</v>
      </c>
      <c r="S355" s="849">
        <v>0.0</v>
      </c>
      <c r="T355" s="849">
        <v>0.0</v>
      </c>
      <c r="U355" s="849">
        <v>0.0</v>
      </c>
      <c r="V355" s="849">
        <v>0.0</v>
      </c>
      <c r="W355" s="849">
        <v>0.0</v>
      </c>
      <c r="X355" s="849">
        <v>0.0</v>
      </c>
      <c r="Y355" s="849">
        <v>0.0</v>
      </c>
      <c r="Z355" s="849">
        <v>0.0</v>
      </c>
      <c r="AA355" s="849">
        <v>0.0</v>
      </c>
      <c r="AB355" s="849">
        <v>0.0</v>
      </c>
      <c r="AC355" s="849">
        <v>0.0</v>
      </c>
      <c r="AD355" s="849">
        <v>0.0</v>
      </c>
      <c r="AE355" s="849">
        <v>0.0</v>
      </c>
      <c r="AF355" s="849">
        <v>0.0</v>
      </c>
      <c r="AG355" s="849">
        <v>0.0</v>
      </c>
      <c r="AH355" s="849">
        <v>0.0</v>
      </c>
      <c r="AI355" s="849">
        <v>0.0</v>
      </c>
      <c r="AJ355" s="794" t="str">
        <f t="shared" ref="AJ355:AK355" si="707">C355</f>
        <v>G22160</v>
      </c>
      <c r="AK355" s="794" t="str">
        <f t="shared" si="707"/>
        <v>INTERCO 9446-0680 QC INC</v>
      </c>
      <c r="AL355" s="794">
        <f t="array" ref="AL355">IFERROR(INDEX(G355:R355,1,MATCH(Parametres!$B$3,G$1:R$1,0)-1)*IF(OR(F355="L",F355="S",F355="I"),-1,1),"")</f>
        <v>109816.98</v>
      </c>
      <c r="AM355" s="794">
        <f t="shared" si="4"/>
        <v>0</v>
      </c>
      <c r="AN355" s="794">
        <f t="array" ref="AN355">INDEX(G355:R355,1,MATCH(Parametres!$B$3,G$1:R$1,0))*IF(OR(F355="L",F355="S",F355="I"),-1,1)</f>
        <v>109816.98</v>
      </c>
      <c r="AO355" s="853" t="str">
        <f>+VLOOKUP($AJ355,Data_Validation!$A:$D,1,0)</f>
        <v>G22160</v>
      </c>
      <c r="AP355" s="853" t="str">
        <f>+VLOOKUP($AJ355,Data_Validation!$A:$D,3,0)</f>
        <v>Bilan</v>
      </c>
      <c r="AQ355" s="853" t="str">
        <f>+VLOOKUP($AJ355,Data_Validation!$A:$D,4,0)</f>
        <v>Recevables Intercos</v>
      </c>
      <c r="AR355" s="853" t="s">
        <v>728</v>
      </c>
      <c r="AS355" s="853" t="str">
        <f>+VLOOKUP($AJ355,Data_Validation!$A:$E,5,0)</f>
        <v/>
      </c>
      <c r="AT355" s="794" t="str">
        <f t="shared" ref="AT355:AU355" si="708">C355</f>
        <v>G22160</v>
      </c>
      <c r="AU355" s="854" t="str">
        <f t="shared" si="708"/>
        <v>INTERCO 9446-0680 QC INC</v>
      </c>
      <c r="AV355" s="794">
        <f t="array" ref="AV355">IFERROR(INDEX(V355:AG355,1,MATCH(Parametres!$B$3,V$1:AG$1,0)-1)*IF(OR(C355="L",C355="S",C355="I"),-1,1),"")</f>
        <v>0</v>
      </c>
      <c r="AW355" s="794">
        <f t="shared" si="6"/>
        <v>0</v>
      </c>
      <c r="AX355" s="794">
        <f t="array" ref="AX355">INDEX(V355:AG355,1,MATCH(Parametres!$B$3,V$1:AG$1,0))*IF(OR(C355="L",C355="S",C355="I"),-1,1)</f>
        <v>0</v>
      </c>
      <c r="AY355" s="853" t="s">
        <v>772</v>
      </c>
      <c r="AZ355" s="853" t="str">
        <f>+VLOOKUP($AJ355,Data_Validation!$A:$E,5,0)</f>
        <v/>
      </c>
    </row>
    <row r="356" ht="15.0" customHeight="1">
      <c r="A356" s="849" t="s">
        <v>1239</v>
      </c>
      <c r="B356" s="849">
        <v>2025.0</v>
      </c>
      <c r="C356" s="849" t="s">
        <v>2027</v>
      </c>
      <c r="D356" s="849" t="s">
        <v>2028</v>
      </c>
      <c r="E356" s="849" t="s">
        <v>1926</v>
      </c>
      <c r="F356" s="849" t="s">
        <v>1926</v>
      </c>
      <c r="G356" s="849">
        <v>25000.0</v>
      </c>
      <c r="H356" s="849">
        <v>25000.0</v>
      </c>
      <c r="I356" s="849">
        <v>25000.0</v>
      </c>
      <c r="J356" s="849">
        <v>25000.0</v>
      </c>
      <c r="K356" s="849">
        <v>25000.0</v>
      </c>
      <c r="L356" s="849">
        <v>0.0</v>
      </c>
      <c r="M356" s="849">
        <v>0.0</v>
      </c>
      <c r="N356" s="849">
        <v>0.0</v>
      </c>
      <c r="O356" s="849">
        <v>0.0</v>
      </c>
      <c r="P356" s="849">
        <v>0.0</v>
      </c>
      <c r="Q356" s="849">
        <v>0.0</v>
      </c>
      <c r="R356" s="849">
        <v>0.0</v>
      </c>
      <c r="S356" s="849">
        <v>0.0</v>
      </c>
      <c r="T356" s="849">
        <v>0.0</v>
      </c>
      <c r="U356" s="849">
        <v>0.0</v>
      </c>
      <c r="V356" s="849">
        <v>0.0</v>
      </c>
      <c r="W356" s="849">
        <v>0.0</v>
      </c>
      <c r="X356" s="849">
        <v>0.0</v>
      </c>
      <c r="Y356" s="849">
        <v>0.0</v>
      </c>
      <c r="Z356" s="849">
        <v>0.0</v>
      </c>
      <c r="AA356" s="849">
        <v>0.0</v>
      </c>
      <c r="AB356" s="849">
        <v>0.0</v>
      </c>
      <c r="AC356" s="849">
        <v>0.0</v>
      </c>
      <c r="AD356" s="849">
        <v>0.0</v>
      </c>
      <c r="AE356" s="849">
        <v>0.0</v>
      </c>
      <c r="AF356" s="849">
        <v>0.0</v>
      </c>
      <c r="AG356" s="849">
        <v>0.0</v>
      </c>
      <c r="AH356" s="849">
        <v>0.0</v>
      </c>
      <c r="AI356" s="849">
        <v>0.0</v>
      </c>
      <c r="AJ356" s="794" t="str">
        <f t="shared" ref="AJ356:AK356" si="709">C356</f>
        <v>G22170</v>
      </c>
      <c r="AK356" s="794" t="str">
        <f t="shared" si="709"/>
        <v>INTERCO REMARK.AUTO CANAD</v>
      </c>
      <c r="AL356" s="794">
        <f t="array" ref="AL356">IFERROR(INDEX(G356:R356,1,MATCH(Parametres!$B$3,G$1:R$1,0)-1)*IF(OR(F356="L",F356="S",F356="I"),-1,1),"")</f>
        <v>0</v>
      </c>
      <c r="AM356" s="794">
        <f t="shared" si="4"/>
        <v>0</v>
      </c>
      <c r="AN356" s="794">
        <f t="array" ref="AN356">INDEX(G356:R356,1,MATCH(Parametres!$B$3,G$1:R$1,0))*IF(OR(F356="L",F356="S",F356="I"),-1,1)</f>
        <v>0</v>
      </c>
      <c r="AO356" s="853" t="str">
        <f>+VLOOKUP($AJ356,Data_Validation!$A:$D,1,0)</f>
        <v>G22170</v>
      </c>
      <c r="AP356" s="853" t="str">
        <f>+VLOOKUP($AJ356,Data_Validation!$A:$D,3,0)</f>
        <v>Bilan</v>
      </c>
      <c r="AQ356" s="853" t="str">
        <f>+VLOOKUP($AJ356,Data_Validation!$A:$D,4,0)</f>
        <v>Recevables Intercos</v>
      </c>
      <c r="AR356" s="853" t="s">
        <v>728</v>
      </c>
      <c r="AS356" s="853" t="str">
        <f>+VLOOKUP($AJ356,Data_Validation!$A:$E,5,0)</f>
        <v/>
      </c>
      <c r="AT356" s="794" t="str">
        <f t="shared" ref="AT356:AU356" si="710">C356</f>
        <v>G22170</v>
      </c>
      <c r="AU356" s="854" t="str">
        <f t="shared" si="710"/>
        <v>INTERCO REMARK.AUTO CANAD</v>
      </c>
      <c r="AV356" s="794">
        <f t="array" ref="AV356">IFERROR(INDEX(V356:AG356,1,MATCH(Parametres!$B$3,V$1:AG$1,0)-1)*IF(OR(C356="L",C356="S",C356="I"),-1,1),"")</f>
        <v>0</v>
      </c>
      <c r="AW356" s="794">
        <f t="shared" si="6"/>
        <v>0</v>
      </c>
      <c r="AX356" s="794">
        <f t="array" ref="AX356">INDEX(V356:AG356,1,MATCH(Parametres!$B$3,V$1:AG$1,0))*IF(OR(C356="L",C356="S",C356="I"),-1,1)</f>
        <v>0</v>
      </c>
      <c r="AY356" s="853" t="s">
        <v>772</v>
      </c>
      <c r="AZ356" s="853" t="str">
        <f>+VLOOKUP($AJ356,Data_Validation!$A:$E,5,0)</f>
        <v/>
      </c>
    </row>
    <row r="357" ht="15.0" customHeight="1">
      <c r="A357" s="849" t="s">
        <v>1239</v>
      </c>
      <c r="B357" s="849">
        <v>2025.0</v>
      </c>
      <c r="C357" s="849" t="s">
        <v>2031</v>
      </c>
      <c r="D357" s="849" t="s">
        <v>3447</v>
      </c>
      <c r="E357" s="849" t="s">
        <v>2057</v>
      </c>
      <c r="F357" s="849" t="s">
        <v>1926</v>
      </c>
      <c r="G357" s="849">
        <v>71.28</v>
      </c>
      <c r="H357" s="849">
        <v>71.28</v>
      </c>
      <c r="I357" s="849">
        <v>-15236.51</v>
      </c>
      <c r="J357" s="849">
        <v>356.4</v>
      </c>
      <c r="K357" s="849">
        <v>-19118.07</v>
      </c>
      <c r="L357" s="849">
        <v>126.48</v>
      </c>
      <c r="M357" s="849">
        <v>-1318.2</v>
      </c>
      <c r="N357" s="849">
        <v>227.64</v>
      </c>
      <c r="O357" s="849">
        <v>-41007.11</v>
      </c>
      <c r="P357" s="849">
        <v>227.64</v>
      </c>
      <c r="Q357" s="849">
        <v>540.36</v>
      </c>
      <c r="R357" s="849">
        <v>-1709.85</v>
      </c>
      <c r="S357" s="849">
        <v>0.0</v>
      </c>
      <c r="T357" s="849">
        <v>0.0</v>
      </c>
      <c r="U357" s="849">
        <v>0.0</v>
      </c>
      <c r="V357" s="849">
        <v>0.0</v>
      </c>
      <c r="W357" s="849">
        <v>0.0</v>
      </c>
      <c r="X357" s="849">
        <v>0.0</v>
      </c>
      <c r="Y357" s="849">
        <v>0.0</v>
      </c>
      <c r="Z357" s="849">
        <v>0.0</v>
      </c>
      <c r="AA357" s="849">
        <v>0.0</v>
      </c>
      <c r="AB357" s="849">
        <v>0.0</v>
      </c>
      <c r="AC357" s="849">
        <v>0.0</v>
      </c>
      <c r="AD357" s="849">
        <v>0.0</v>
      </c>
      <c r="AE357" s="849">
        <v>0.0</v>
      </c>
      <c r="AF357" s="849">
        <v>0.0</v>
      </c>
      <c r="AG357" s="849">
        <v>0.0</v>
      </c>
      <c r="AH357" s="849">
        <v>0.0</v>
      </c>
      <c r="AI357" s="849">
        <v>0.0</v>
      </c>
      <c r="AJ357" s="794" t="str">
        <f t="shared" ref="AJ357:AK357" si="711">C357</f>
        <v>G22180</v>
      </c>
      <c r="AK357" s="794" t="str">
        <f t="shared" si="711"/>
        <v>INTERCO LOCATION LMB</v>
      </c>
      <c r="AL357" s="794">
        <f t="array" ref="AL357">IFERROR(INDEX(G357:R357,1,MATCH(Parametres!$B$3,G$1:R$1,0)-1)*IF(OR(F357="L",F357="S",F357="I"),-1,1),"")</f>
        <v>227.64</v>
      </c>
      <c r="AM357" s="794">
        <f t="shared" si="4"/>
        <v>-41234.75</v>
      </c>
      <c r="AN357" s="794">
        <f t="array" ref="AN357">INDEX(G357:R357,1,MATCH(Parametres!$B$3,G$1:R$1,0))*IF(OR(F357="L",F357="S",F357="I"),-1,1)</f>
        <v>-41007.11</v>
      </c>
      <c r="AO357" s="853" t="str">
        <f>+VLOOKUP($AJ357,Data_Validation!$A:$D,1,0)</f>
        <v>G22180</v>
      </c>
      <c r="AP357" s="853" t="str">
        <f>+VLOOKUP($AJ357,Data_Validation!$A:$D,3,0)</f>
        <v>Bilan</v>
      </c>
      <c r="AQ357" s="853" t="str">
        <f>+VLOOKUP($AJ357,Data_Validation!$A:$D,4,0)</f>
        <v>Recevables Intercos</v>
      </c>
      <c r="AR357" s="853" t="s">
        <v>728</v>
      </c>
      <c r="AS357" s="853" t="str">
        <f>+VLOOKUP($AJ357,Data_Validation!$A:$E,5,0)</f>
        <v/>
      </c>
      <c r="AT357" s="794" t="str">
        <f t="shared" ref="AT357:AU357" si="712">C357</f>
        <v>G22180</v>
      </c>
      <c r="AU357" s="854" t="str">
        <f t="shared" si="712"/>
        <v>INTERCO LOCATION LMB</v>
      </c>
      <c r="AV357" s="794">
        <f t="array" ref="AV357">IFERROR(INDEX(V357:AG357,1,MATCH(Parametres!$B$3,V$1:AG$1,0)-1)*IF(OR(C357="L",C357="S",C357="I"),-1,1),"")</f>
        <v>0</v>
      </c>
      <c r="AW357" s="794">
        <f t="shared" si="6"/>
        <v>0</v>
      </c>
      <c r="AX357" s="794">
        <f t="array" ref="AX357">INDEX(V357:AG357,1,MATCH(Parametres!$B$3,V$1:AG$1,0))*IF(OR(C357="L",C357="S",C357="I"),-1,1)</f>
        <v>0</v>
      </c>
      <c r="AY357" s="853" t="s">
        <v>772</v>
      </c>
      <c r="AZ357" s="853" t="str">
        <f>+VLOOKUP($AJ357,Data_Validation!$A:$E,5,0)</f>
        <v/>
      </c>
    </row>
    <row r="358" ht="15.75" customHeight="1">
      <c r="A358" s="849" t="s">
        <v>1239</v>
      </c>
      <c r="B358" s="849">
        <v>2025.0</v>
      </c>
      <c r="C358" s="849" t="s">
        <v>2033</v>
      </c>
      <c r="D358" s="849" t="s">
        <v>2034</v>
      </c>
      <c r="E358" s="849" t="s">
        <v>1926</v>
      </c>
      <c r="F358" s="849" t="s">
        <v>1926</v>
      </c>
      <c r="G358" s="849">
        <v>0.0</v>
      </c>
      <c r="H358" s="849">
        <v>0.0</v>
      </c>
      <c r="I358" s="849">
        <v>0.0</v>
      </c>
      <c r="J358" s="849">
        <v>0.0</v>
      </c>
      <c r="K358" s="849">
        <v>0.0</v>
      </c>
      <c r="L358" s="849">
        <v>0.0</v>
      </c>
      <c r="M358" s="849">
        <v>0.0</v>
      </c>
      <c r="N358" s="849">
        <v>0.0</v>
      </c>
      <c r="O358" s="849">
        <v>0.0</v>
      </c>
      <c r="P358" s="849">
        <v>0.0</v>
      </c>
      <c r="Q358" s="849">
        <v>0.0</v>
      </c>
      <c r="R358" s="849">
        <v>0.0</v>
      </c>
      <c r="S358" s="849">
        <v>0.0</v>
      </c>
      <c r="T358" s="849">
        <v>0.0</v>
      </c>
      <c r="U358" s="849">
        <v>0.0</v>
      </c>
      <c r="V358" s="849">
        <v>0.0</v>
      </c>
      <c r="W358" s="849">
        <v>0.0</v>
      </c>
      <c r="X358" s="849">
        <v>0.0</v>
      </c>
      <c r="Y358" s="849">
        <v>0.0</v>
      </c>
      <c r="Z358" s="849">
        <v>0.0</v>
      </c>
      <c r="AA358" s="849">
        <v>0.0</v>
      </c>
      <c r="AB358" s="849">
        <v>0.0</v>
      </c>
      <c r="AC358" s="849">
        <v>0.0</v>
      </c>
      <c r="AD358" s="849">
        <v>0.0</v>
      </c>
      <c r="AE358" s="849">
        <v>0.0</v>
      </c>
      <c r="AF358" s="849">
        <v>0.0</v>
      </c>
      <c r="AG358" s="849">
        <v>0.0</v>
      </c>
      <c r="AH358" s="849">
        <v>0.0</v>
      </c>
      <c r="AI358" s="849">
        <v>0.0</v>
      </c>
      <c r="AJ358" s="794" t="str">
        <f t="shared" ref="AJ358:AK358" si="713">C358</f>
        <v>G22185</v>
      </c>
      <c r="AK358" s="794" t="str">
        <f t="shared" si="713"/>
        <v>AVANCES BMW SHERBROOKE</v>
      </c>
      <c r="AL358" s="794">
        <f t="array" ref="AL358">IFERROR(INDEX(G358:R358,1,MATCH(Parametres!$B$3,G$1:R$1,0)-1)*IF(OR(F358="L",F358="S",F358="I"),-1,1),"")</f>
        <v>0</v>
      </c>
      <c r="AM358" s="794">
        <f t="shared" si="4"/>
        <v>0</v>
      </c>
      <c r="AN358" s="794">
        <f t="array" ref="AN358">INDEX(G358:R358,1,MATCH(Parametres!$B$3,G$1:R$1,0))*IF(OR(F358="L",F358="S",F358="I"),-1,1)</f>
        <v>0</v>
      </c>
      <c r="AO358" s="853" t="str">
        <f>+VLOOKUP($AJ358,Data_Validation!$A:$D,1,0)</f>
        <v>G22185</v>
      </c>
      <c r="AP358" s="853" t="str">
        <f>+VLOOKUP($AJ358,Data_Validation!$A:$D,3,0)</f>
        <v>Bilan</v>
      </c>
      <c r="AQ358" s="853" t="str">
        <f>+VLOOKUP($AJ358,Data_Validation!$A:$D,4,0)</f>
        <v>Recevables Intercos</v>
      </c>
      <c r="AR358" s="853" t="s">
        <v>728</v>
      </c>
      <c r="AS358" s="853" t="str">
        <f>+VLOOKUP($AJ358,Data_Validation!$A:$E,5,0)</f>
        <v/>
      </c>
      <c r="AT358" s="794" t="str">
        <f t="shared" ref="AT358:AU358" si="714">C358</f>
        <v>G22185</v>
      </c>
      <c r="AU358" s="854" t="str">
        <f t="shared" si="714"/>
        <v>AVANCES BMW SHERBROOKE</v>
      </c>
      <c r="AV358" s="794">
        <f t="array" ref="AV358">IFERROR(INDEX(V358:AG358,1,MATCH(Parametres!$B$3,V$1:AG$1,0)-1)*IF(OR(C358="L",C358="S",C358="I"),-1,1),"")</f>
        <v>0</v>
      </c>
      <c r="AW358" s="794">
        <f t="shared" si="6"/>
        <v>0</v>
      </c>
      <c r="AX358" s="794">
        <f t="array" ref="AX358">INDEX(V358:AG358,1,MATCH(Parametres!$B$3,V$1:AG$1,0))*IF(OR(C358="L",C358="S",C358="I"),-1,1)</f>
        <v>0</v>
      </c>
      <c r="AY358" s="853" t="s">
        <v>772</v>
      </c>
      <c r="AZ358" s="853" t="str">
        <f>+VLOOKUP($AJ358,Data_Validation!$A:$E,5,0)</f>
        <v/>
      </c>
    </row>
    <row r="359" ht="15.0" customHeight="1">
      <c r="A359" s="849" t="s">
        <v>1239</v>
      </c>
      <c r="B359" s="849">
        <v>2025.0</v>
      </c>
      <c r="C359" s="849" t="s">
        <v>2037</v>
      </c>
      <c r="D359" s="849" t="s">
        <v>2038</v>
      </c>
      <c r="E359" s="849" t="s">
        <v>2057</v>
      </c>
      <c r="F359" s="849" t="s">
        <v>1926</v>
      </c>
      <c r="G359" s="849">
        <v>0.0</v>
      </c>
      <c r="H359" s="849">
        <v>0.0</v>
      </c>
      <c r="I359" s="849">
        <v>0.0</v>
      </c>
      <c r="J359" s="849">
        <v>0.0</v>
      </c>
      <c r="K359" s="849">
        <v>0.0</v>
      </c>
      <c r="L359" s="849">
        <v>0.0</v>
      </c>
      <c r="M359" s="849">
        <v>0.0</v>
      </c>
      <c r="N359" s="849">
        <v>0.0</v>
      </c>
      <c r="O359" s="849">
        <v>0.0</v>
      </c>
      <c r="P359" s="849">
        <v>0.0</v>
      </c>
      <c r="Q359" s="849">
        <v>0.0</v>
      </c>
      <c r="R359" s="849">
        <v>0.0</v>
      </c>
      <c r="S359" s="849">
        <v>0.0</v>
      </c>
      <c r="T359" s="849">
        <v>0.0</v>
      </c>
      <c r="U359" s="849">
        <v>0.0</v>
      </c>
      <c r="V359" s="849">
        <v>0.0</v>
      </c>
      <c r="W359" s="849">
        <v>0.0</v>
      </c>
      <c r="X359" s="849">
        <v>0.0</v>
      </c>
      <c r="Y359" s="849">
        <v>0.0</v>
      </c>
      <c r="Z359" s="849">
        <v>0.0</v>
      </c>
      <c r="AA359" s="849">
        <v>0.0</v>
      </c>
      <c r="AB359" s="849">
        <v>0.0</v>
      </c>
      <c r="AC359" s="849">
        <v>0.0</v>
      </c>
      <c r="AD359" s="849">
        <v>0.0</v>
      </c>
      <c r="AE359" s="849">
        <v>0.0</v>
      </c>
      <c r="AF359" s="849">
        <v>0.0</v>
      </c>
      <c r="AG359" s="849">
        <v>0.0</v>
      </c>
      <c r="AH359" s="849">
        <v>0.0</v>
      </c>
      <c r="AI359" s="849">
        <v>0.0</v>
      </c>
      <c r="AJ359" s="794" t="str">
        <f t="shared" ref="AJ359:AK359" si="715">C359</f>
        <v>G22190</v>
      </c>
      <c r="AK359" s="794" t="str">
        <f t="shared" si="715"/>
        <v>INTERCO 9046-6640 QUEBEC</v>
      </c>
      <c r="AL359" s="794">
        <f t="array" ref="AL359">IFERROR(INDEX(G359:R359,1,MATCH(Parametres!$B$3,G$1:R$1,0)-1)*IF(OR(F359="L",F359="S",F359="I"),-1,1),"")</f>
        <v>0</v>
      </c>
      <c r="AM359" s="794">
        <f t="shared" si="4"/>
        <v>0</v>
      </c>
      <c r="AN359" s="794">
        <f t="array" ref="AN359">INDEX(G359:R359,1,MATCH(Parametres!$B$3,G$1:R$1,0))*IF(OR(F359="L",F359="S",F359="I"),-1,1)</f>
        <v>0</v>
      </c>
      <c r="AO359" s="853" t="str">
        <f>+VLOOKUP($AJ359,Data_Validation!$A:$D,1,0)</f>
        <v>G22190</v>
      </c>
      <c r="AP359" s="853" t="str">
        <f>+VLOOKUP($AJ359,Data_Validation!$A:$D,3,0)</f>
        <v/>
      </c>
      <c r="AQ359" s="853" t="str">
        <f>+VLOOKUP($AJ359,Data_Validation!$A:$D,4,0)</f>
        <v/>
      </c>
      <c r="AR359" s="853" t="s">
        <v>728</v>
      </c>
      <c r="AS359" s="853" t="str">
        <f>+VLOOKUP($AJ359,Data_Validation!$A:$E,5,0)</f>
        <v/>
      </c>
      <c r="AT359" s="794" t="str">
        <f t="shared" ref="AT359:AU359" si="716">C359</f>
        <v>G22190</v>
      </c>
      <c r="AU359" s="854" t="str">
        <f t="shared" si="716"/>
        <v>INTERCO 9046-6640 QUEBEC</v>
      </c>
      <c r="AV359" s="794">
        <f t="array" ref="AV359">IFERROR(INDEX(V359:AG359,1,MATCH(Parametres!$B$3,V$1:AG$1,0)-1)*IF(OR(C359="L",C359="S",C359="I"),-1,1),"")</f>
        <v>0</v>
      </c>
      <c r="AW359" s="794">
        <f t="shared" si="6"/>
        <v>0</v>
      </c>
      <c r="AX359" s="794">
        <f t="array" ref="AX359">INDEX(V359:AG359,1,MATCH(Parametres!$B$3,V$1:AG$1,0))*IF(OR(C359="L",C359="S",C359="I"),-1,1)</f>
        <v>0</v>
      </c>
      <c r="AY359" s="853" t="s">
        <v>772</v>
      </c>
      <c r="AZ359" s="853" t="str">
        <f>+VLOOKUP($AJ359,Data_Validation!$A:$E,5,0)</f>
        <v/>
      </c>
    </row>
    <row r="360" ht="15.0" customHeight="1">
      <c r="A360" s="849" t="s">
        <v>1239</v>
      </c>
      <c r="B360" s="849">
        <v>2025.0</v>
      </c>
      <c r="C360" s="849" t="s">
        <v>2039</v>
      </c>
      <c r="D360" s="849" t="s">
        <v>3448</v>
      </c>
      <c r="E360" s="849" t="s">
        <v>2057</v>
      </c>
      <c r="F360" s="849" t="s">
        <v>1926</v>
      </c>
      <c r="G360" s="849">
        <v>575000.0</v>
      </c>
      <c r="H360" s="849">
        <v>575000.0</v>
      </c>
      <c r="I360" s="849">
        <v>575000.0</v>
      </c>
      <c r="J360" s="849">
        <v>575000.0</v>
      </c>
      <c r="K360" s="849">
        <v>575000.0</v>
      </c>
      <c r="L360" s="849">
        <v>575000.0</v>
      </c>
      <c r="M360" s="849">
        <v>575000.0</v>
      </c>
      <c r="N360" s="849">
        <v>575000.0</v>
      </c>
      <c r="O360" s="849">
        <v>575000.0</v>
      </c>
      <c r="P360" s="849">
        <v>575000.0</v>
      </c>
      <c r="Q360" s="849">
        <v>575000.0</v>
      </c>
      <c r="R360" s="849">
        <v>575000.0</v>
      </c>
      <c r="S360" s="849">
        <v>0.0</v>
      </c>
      <c r="T360" s="849">
        <v>0.0</v>
      </c>
      <c r="U360" s="849">
        <v>0.0</v>
      </c>
      <c r="V360" s="849">
        <v>0.0</v>
      </c>
      <c r="W360" s="849">
        <v>0.0</v>
      </c>
      <c r="X360" s="849">
        <v>0.0</v>
      </c>
      <c r="Y360" s="849">
        <v>0.0</v>
      </c>
      <c r="Z360" s="849">
        <v>0.0</v>
      </c>
      <c r="AA360" s="849">
        <v>0.0</v>
      </c>
      <c r="AB360" s="849">
        <v>0.0</v>
      </c>
      <c r="AC360" s="849">
        <v>0.0</v>
      </c>
      <c r="AD360" s="849">
        <v>0.0</v>
      </c>
      <c r="AE360" s="849">
        <v>0.0</v>
      </c>
      <c r="AF360" s="849">
        <v>0.0</v>
      </c>
      <c r="AG360" s="849">
        <v>0.0</v>
      </c>
      <c r="AH360" s="849">
        <v>0.0</v>
      </c>
      <c r="AI360" s="849">
        <v>0.0</v>
      </c>
      <c r="AJ360" s="794" t="str">
        <f t="shared" ref="AJ360:AK360" si="717">C360</f>
        <v>G22195</v>
      </c>
      <c r="AK360" s="794" t="str">
        <f t="shared" si="717"/>
        <v>INTERCO 9341-5701 QC INC</v>
      </c>
      <c r="AL360" s="794">
        <f t="array" ref="AL360">IFERROR(INDEX(G360:R360,1,MATCH(Parametres!$B$3,G$1:R$1,0)-1)*IF(OR(F360="L",F360="S",F360="I"),-1,1),"")</f>
        <v>575000</v>
      </c>
      <c r="AM360" s="794">
        <f t="shared" si="4"/>
        <v>0</v>
      </c>
      <c r="AN360" s="794">
        <f t="array" ref="AN360">INDEX(G360:R360,1,MATCH(Parametres!$B$3,G$1:R$1,0))*IF(OR(F360="L",F360="S",F360="I"),-1,1)</f>
        <v>575000</v>
      </c>
      <c r="AO360" s="853" t="str">
        <f>+VLOOKUP($AJ360,Data_Validation!$A:$D,1,0)</f>
        <v>G22195</v>
      </c>
      <c r="AP360" s="853" t="str">
        <f>+VLOOKUP($AJ360,Data_Validation!$A:$D,3,0)</f>
        <v>Bilan</v>
      </c>
      <c r="AQ360" s="853" t="str">
        <f>+VLOOKUP($AJ360,Data_Validation!$A:$D,4,0)</f>
        <v>Recevables Intercos</v>
      </c>
      <c r="AR360" s="853" t="s">
        <v>728</v>
      </c>
      <c r="AS360" s="853" t="str">
        <f>+VLOOKUP($AJ360,Data_Validation!$A:$E,5,0)</f>
        <v/>
      </c>
      <c r="AT360" s="794" t="str">
        <f t="shared" ref="AT360:AU360" si="718">C360</f>
        <v>G22195</v>
      </c>
      <c r="AU360" s="854" t="str">
        <f t="shared" si="718"/>
        <v>INTERCO 9341-5701 QC INC</v>
      </c>
      <c r="AV360" s="794">
        <f t="array" ref="AV360">IFERROR(INDEX(V360:AG360,1,MATCH(Parametres!$B$3,V$1:AG$1,0)-1)*IF(OR(C360="L",C360="S",C360="I"),-1,1),"")</f>
        <v>0</v>
      </c>
      <c r="AW360" s="794">
        <f t="shared" si="6"/>
        <v>0</v>
      </c>
      <c r="AX360" s="794">
        <f t="array" ref="AX360">INDEX(V360:AG360,1,MATCH(Parametres!$B$3,V$1:AG$1,0))*IF(OR(C360="L",C360="S",C360="I"),-1,1)</f>
        <v>0</v>
      </c>
      <c r="AY360" s="853" t="s">
        <v>772</v>
      </c>
      <c r="AZ360" s="853" t="str">
        <f>+VLOOKUP($AJ360,Data_Validation!$A:$E,5,0)</f>
        <v/>
      </c>
    </row>
    <row r="361" ht="15.0" customHeight="1">
      <c r="A361" s="849" t="s">
        <v>1239</v>
      </c>
      <c r="B361" s="849">
        <v>2025.0</v>
      </c>
      <c r="C361" s="849" t="s">
        <v>2041</v>
      </c>
      <c r="D361" s="849" t="s">
        <v>2042</v>
      </c>
      <c r="E361" s="849" t="s">
        <v>768</v>
      </c>
      <c r="F361" s="849" t="s">
        <v>1926</v>
      </c>
      <c r="G361" s="849">
        <v>0.0</v>
      </c>
      <c r="H361" s="849">
        <v>0.0</v>
      </c>
      <c r="I361" s="849">
        <v>0.0</v>
      </c>
      <c r="J361" s="849">
        <v>0.0</v>
      </c>
      <c r="K361" s="849">
        <v>0.0</v>
      </c>
      <c r="L361" s="849">
        <v>0.0</v>
      </c>
      <c r="M361" s="849">
        <v>0.0</v>
      </c>
      <c r="N361" s="849">
        <v>0.0</v>
      </c>
      <c r="O361" s="849">
        <v>0.0</v>
      </c>
      <c r="P361" s="849">
        <v>0.0</v>
      </c>
      <c r="Q361" s="849">
        <v>0.0</v>
      </c>
      <c r="R361" s="849">
        <v>0.0</v>
      </c>
      <c r="S361" s="849">
        <v>0.0</v>
      </c>
      <c r="T361" s="849">
        <v>0.0</v>
      </c>
      <c r="U361" s="849">
        <v>0.0</v>
      </c>
      <c r="V361" s="849">
        <v>0.0</v>
      </c>
      <c r="W361" s="849">
        <v>0.0</v>
      </c>
      <c r="X361" s="849">
        <v>0.0</v>
      </c>
      <c r="Y361" s="849">
        <v>0.0</v>
      </c>
      <c r="Z361" s="849">
        <v>0.0</v>
      </c>
      <c r="AA361" s="849">
        <v>0.0</v>
      </c>
      <c r="AB361" s="849">
        <v>0.0</v>
      </c>
      <c r="AC361" s="849">
        <v>0.0</v>
      </c>
      <c r="AD361" s="849">
        <v>0.0</v>
      </c>
      <c r="AE361" s="849">
        <v>0.0</v>
      </c>
      <c r="AF361" s="849">
        <v>0.0</v>
      </c>
      <c r="AG361" s="849">
        <v>0.0</v>
      </c>
      <c r="AH361" s="849">
        <v>0.0</v>
      </c>
      <c r="AI361" s="849">
        <v>0.0</v>
      </c>
      <c r="AJ361" s="794" t="str">
        <f t="shared" ref="AJ361:AK361" si="719">C361</f>
        <v>G22200</v>
      </c>
      <c r="AK361" s="794" t="str">
        <f t="shared" si="719"/>
        <v>TPS/CTI/ACHAT/VEHICULE</v>
      </c>
      <c r="AL361" s="794">
        <f t="array" ref="AL361">IFERROR(INDEX(G361:R361,1,MATCH(Parametres!$B$3,G$1:R$1,0)-1)*IF(OR(F361="L",F361="S",F361="I"),-1,1),"")</f>
        <v>0</v>
      </c>
      <c r="AM361" s="794">
        <f t="shared" si="4"/>
        <v>0</v>
      </c>
      <c r="AN361" s="794">
        <f t="array" ref="AN361">INDEX(G361:R361,1,MATCH(Parametres!$B$3,G$1:R$1,0))*IF(OR(F361="L",F361="S",F361="I"),-1,1)</f>
        <v>0</v>
      </c>
      <c r="AO361" s="853" t="str">
        <f>+VLOOKUP($AJ361,Data_Validation!$A:$D,1,0)</f>
        <v>#N/A</v>
      </c>
      <c r="AP361" s="853" t="str">
        <f>+VLOOKUP($AJ361,Data_Validation!$A:$D,3,0)</f>
        <v>#N/A</v>
      </c>
      <c r="AQ361" s="853" t="str">
        <f>+VLOOKUP($AJ361,Data_Validation!$A:$D,4,0)</f>
        <v>#N/A</v>
      </c>
      <c r="AR361" s="853" t="s">
        <v>728</v>
      </c>
      <c r="AS361" s="853" t="str">
        <f>+VLOOKUP($AJ361,Data_Validation!$A:$E,5,0)</f>
        <v>#N/A</v>
      </c>
      <c r="AT361" s="794" t="str">
        <f t="shared" ref="AT361:AU361" si="720">C361</f>
        <v>G22200</v>
      </c>
      <c r="AU361" s="854" t="str">
        <f t="shared" si="720"/>
        <v>TPS/CTI/ACHAT/VEHICULE</v>
      </c>
      <c r="AV361" s="794">
        <f t="array" ref="AV361">IFERROR(INDEX(V361:AG361,1,MATCH(Parametres!$B$3,V$1:AG$1,0)-1)*IF(OR(C361="L",C361="S",C361="I"),-1,1),"")</f>
        <v>0</v>
      </c>
      <c r="AW361" s="794">
        <f t="shared" si="6"/>
        <v>0</v>
      </c>
      <c r="AX361" s="794">
        <f t="array" ref="AX361">INDEX(V361:AG361,1,MATCH(Parametres!$B$3,V$1:AG$1,0))*IF(OR(C361="L",C361="S",C361="I"),-1,1)</f>
        <v>0</v>
      </c>
      <c r="AY361" s="853" t="s">
        <v>772</v>
      </c>
      <c r="AZ361" s="853" t="str">
        <f>+VLOOKUP($AJ361,Data_Validation!$A:$E,5,0)</f>
        <v>#N/A</v>
      </c>
    </row>
    <row r="362" ht="15.75" customHeight="1">
      <c r="A362" s="849" t="s">
        <v>1239</v>
      </c>
      <c r="B362" s="849">
        <v>2025.0</v>
      </c>
      <c r="C362" s="849" t="s">
        <v>2047</v>
      </c>
      <c r="D362" s="849" t="s">
        <v>2048</v>
      </c>
      <c r="E362" s="849" t="s">
        <v>2057</v>
      </c>
      <c r="F362" s="849" t="s">
        <v>1926</v>
      </c>
      <c r="G362" s="849">
        <v>0.0</v>
      </c>
      <c r="H362" s="849">
        <v>0.0</v>
      </c>
      <c r="I362" s="849">
        <v>0.0</v>
      </c>
      <c r="J362" s="849">
        <v>0.0</v>
      </c>
      <c r="K362" s="849">
        <v>0.0</v>
      </c>
      <c r="L362" s="849">
        <v>0.0</v>
      </c>
      <c r="M362" s="849">
        <v>0.0</v>
      </c>
      <c r="N362" s="849">
        <v>0.0</v>
      </c>
      <c r="O362" s="849">
        <v>0.0</v>
      </c>
      <c r="P362" s="849">
        <v>0.0</v>
      </c>
      <c r="Q362" s="849">
        <v>0.0</v>
      </c>
      <c r="R362" s="849">
        <v>0.0</v>
      </c>
      <c r="S362" s="849">
        <v>0.0</v>
      </c>
      <c r="T362" s="849">
        <v>0.0</v>
      </c>
      <c r="U362" s="849">
        <v>0.0</v>
      </c>
      <c r="V362" s="849">
        <v>0.0</v>
      </c>
      <c r="W362" s="849">
        <v>0.0</v>
      </c>
      <c r="X362" s="849">
        <v>0.0</v>
      </c>
      <c r="Y362" s="849">
        <v>0.0</v>
      </c>
      <c r="Z362" s="849">
        <v>0.0</v>
      </c>
      <c r="AA362" s="849">
        <v>0.0</v>
      </c>
      <c r="AB362" s="849">
        <v>0.0</v>
      </c>
      <c r="AC362" s="849">
        <v>0.0</v>
      </c>
      <c r="AD362" s="849">
        <v>0.0</v>
      </c>
      <c r="AE362" s="849">
        <v>0.0</v>
      </c>
      <c r="AF362" s="849">
        <v>0.0</v>
      </c>
      <c r="AG362" s="849">
        <v>0.0</v>
      </c>
      <c r="AH362" s="849">
        <v>0.0</v>
      </c>
      <c r="AI362" s="849">
        <v>0.0</v>
      </c>
      <c r="AJ362" s="794" t="str">
        <f t="shared" ref="AJ362:AK362" si="721">C362</f>
        <v>G22210</v>
      </c>
      <c r="AK362" s="794" t="str">
        <f t="shared" si="721"/>
        <v>INTERCO 15814251 CANADA</v>
      </c>
      <c r="AL362" s="794">
        <f t="array" ref="AL362">IFERROR(INDEX(G362:R362,1,MATCH(Parametres!$B$3,G$1:R$1,0)-1)*IF(OR(F362="L",F362="S",F362="I"),-1,1),"")</f>
        <v>0</v>
      </c>
      <c r="AM362" s="794">
        <f t="shared" si="4"/>
        <v>0</v>
      </c>
      <c r="AN362" s="794">
        <f t="array" ref="AN362">INDEX(G362:R362,1,MATCH(Parametres!$B$3,G$1:R$1,0))*IF(OR(F362="L",F362="S",F362="I"),-1,1)</f>
        <v>0</v>
      </c>
      <c r="AO362" s="853" t="str">
        <f>+VLOOKUP($AJ362,Data_Validation!$A:$D,1,0)</f>
        <v>G22210</v>
      </c>
      <c r="AP362" s="853" t="str">
        <f>+VLOOKUP($AJ362,Data_Validation!$A:$D,3,0)</f>
        <v/>
      </c>
      <c r="AQ362" s="853" t="str">
        <f>+VLOOKUP($AJ362,Data_Validation!$A:$D,4,0)</f>
        <v/>
      </c>
      <c r="AR362" s="853" t="s">
        <v>728</v>
      </c>
      <c r="AS362" s="853" t="str">
        <f>+VLOOKUP($AJ362,Data_Validation!$A:$E,5,0)</f>
        <v/>
      </c>
      <c r="AT362" s="794" t="str">
        <f t="shared" ref="AT362:AU362" si="722">C362</f>
        <v>G22210</v>
      </c>
      <c r="AU362" s="854" t="str">
        <f t="shared" si="722"/>
        <v>INTERCO 15814251 CANADA</v>
      </c>
      <c r="AV362" s="794">
        <f t="array" ref="AV362">IFERROR(INDEX(V362:AG362,1,MATCH(Parametres!$B$3,V$1:AG$1,0)-1)*IF(OR(C362="L",C362="S",C362="I"),-1,1),"")</f>
        <v>0</v>
      </c>
      <c r="AW362" s="794">
        <f t="shared" si="6"/>
        <v>0</v>
      </c>
      <c r="AX362" s="794">
        <f t="array" ref="AX362">INDEX(V362:AG362,1,MATCH(Parametres!$B$3,V$1:AG$1,0))*IF(OR(C362="L",C362="S",C362="I"),-1,1)</f>
        <v>0</v>
      </c>
      <c r="AY362" s="853" t="s">
        <v>772</v>
      </c>
      <c r="AZ362" s="853" t="str">
        <f>+VLOOKUP($AJ362,Data_Validation!$A:$E,5,0)</f>
        <v/>
      </c>
    </row>
    <row r="363" ht="15.75" customHeight="1">
      <c r="A363" s="849" t="s">
        <v>1239</v>
      </c>
      <c r="B363" s="849">
        <v>2025.0</v>
      </c>
      <c r="C363" s="849" t="s">
        <v>2049</v>
      </c>
      <c r="D363" s="849" t="s">
        <v>3451</v>
      </c>
      <c r="E363" s="849" t="s">
        <v>1926</v>
      </c>
      <c r="F363" s="849" t="s">
        <v>1926</v>
      </c>
      <c r="G363" s="849">
        <v>5902837.21</v>
      </c>
      <c r="H363" s="849">
        <v>5890671.21</v>
      </c>
      <c r="I363" s="849">
        <v>4787393.19</v>
      </c>
      <c r="J363" s="849">
        <v>4188521.59</v>
      </c>
      <c r="K363" s="849">
        <v>4189666.78</v>
      </c>
      <c r="L363" s="849">
        <v>4177998.23</v>
      </c>
      <c r="M363" s="849">
        <v>4172792.12</v>
      </c>
      <c r="N363" s="849">
        <v>4192438.37</v>
      </c>
      <c r="O363" s="849">
        <v>5802141.51</v>
      </c>
      <c r="P363" s="849">
        <v>5799185.07</v>
      </c>
      <c r="Q363" s="849">
        <v>5785742.06</v>
      </c>
      <c r="R363" s="849">
        <v>5785742.06</v>
      </c>
      <c r="S363" s="849">
        <v>0.0</v>
      </c>
      <c r="T363" s="849">
        <v>0.0</v>
      </c>
      <c r="U363" s="849">
        <v>0.0</v>
      </c>
      <c r="V363" s="849">
        <v>0.0</v>
      </c>
      <c r="W363" s="849">
        <v>0.0</v>
      </c>
      <c r="X363" s="849">
        <v>0.0</v>
      </c>
      <c r="Y363" s="849">
        <v>0.0</v>
      </c>
      <c r="Z363" s="849">
        <v>0.0</v>
      </c>
      <c r="AA363" s="849">
        <v>0.0</v>
      </c>
      <c r="AB363" s="849">
        <v>0.0</v>
      </c>
      <c r="AC363" s="849">
        <v>0.0</v>
      </c>
      <c r="AD363" s="849">
        <v>0.0</v>
      </c>
      <c r="AE363" s="849">
        <v>0.0</v>
      </c>
      <c r="AF363" s="849">
        <v>0.0</v>
      </c>
      <c r="AG363" s="849">
        <v>0.0</v>
      </c>
      <c r="AH363" s="849">
        <v>0.0</v>
      </c>
      <c r="AI363" s="849">
        <v>0.0</v>
      </c>
      <c r="AJ363" s="794" t="str">
        <f t="shared" ref="AJ363:AK363" si="723">C363</f>
        <v>G22211</v>
      </c>
      <c r="AK363" s="794" t="str">
        <f t="shared" si="723"/>
        <v>INTERCO HYUNDAI LONGUEUIL</v>
      </c>
      <c r="AL363" s="794">
        <f t="array" ref="AL363">IFERROR(INDEX(G363:R363,1,MATCH(Parametres!$B$3,G$1:R$1,0)-1)*IF(OR(F363="L",F363="S",F363="I"),-1,1),"")</f>
        <v>4192438.37</v>
      </c>
      <c r="AM363" s="794">
        <f t="shared" si="4"/>
        <v>1609703.14</v>
      </c>
      <c r="AN363" s="794">
        <f t="array" ref="AN363">INDEX(G363:R363,1,MATCH(Parametres!$B$3,G$1:R$1,0))*IF(OR(F363="L",F363="S",F363="I"),-1,1)</f>
        <v>5802141.51</v>
      </c>
      <c r="AO363" s="853" t="str">
        <f>+VLOOKUP($AJ363,Data_Validation!$A:$D,1,0)</f>
        <v>G22211</v>
      </c>
      <c r="AP363" s="853" t="str">
        <f>+VLOOKUP($AJ363,Data_Validation!$A:$D,3,0)</f>
        <v>Bilan</v>
      </c>
      <c r="AQ363" s="853" t="str">
        <f>+VLOOKUP($AJ363,Data_Validation!$A:$D,4,0)</f>
        <v>Recevables Intercos</v>
      </c>
      <c r="AR363" s="853" t="s">
        <v>728</v>
      </c>
      <c r="AS363" s="853" t="str">
        <f>+VLOOKUP($AJ363,Data_Validation!$A:$E,5,0)</f>
        <v/>
      </c>
      <c r="AT363" s="794" t="str">
        <f t="shared" ref="AT363:AU363" si="724">C363</f>
        <v>G22211</v>
      </c>
      <c r="AU363" s="854" t="str">
        <f t="shared" si="724"/>
        <v>INTERCO HYUNDAI LONGUEUIL</v>
      </c>
      <c r="AV363" s="794">
        <f t="array" ref="AV363">IFERROR(INDEX(V363:AG363,1,MATCH(Parametres!$B$3,V$1:AG$1,0)-1)*IF(OR(C363="L",C363="S",C363="I"),-1,1),"")</f>
        <v>0</v>
      </c>
      <c r="AW363" s="794">
        <f t="shared" si="6"/>
        <v>0</v>
      </c>
      <c r="AX363" s="794">
        <f t="array" ref="AX363">INDEX(V363:AG363,1,MATCH(Parametres!$B$3,V$1:AG$1,0))*IF(OR(C363="L",C363="S",C363="I"),-1,1)</f>
        <v>0</v>
      </c>
      <c r="AY363" s="853" t="s">
        <v>772</v>
      </c>
      <c r="AZ363" s="853" t="str">
        <f>+VLOOKUP($AJ363,Data_Validation!$A:$E,5,0)</f>
        <v/>
      </c>
    </row>
    <row r="364" ht="15.0" customHeight="1">
      <c r="A364" s="849" t="s">
        <v>1239</v>
      </c>
      <c r="B364" s="849">
        <v>2025.0</v>
      </c>
      <c r="C364" s="849" t="s">
        <v>2051</v>
      </c>
      <c r="D364" s="849" t="s">
        <v>2052</v>
      </c>
      <c r="E364" s="849" t="s">
        <v>2057</v>
      </c>
      <c r="F364" s="849" t="s">
        <v>1926</v>
      </c>
      <c r="G364" s="849">
        <v>300000.0</v>
      </c>
      <c r="H364" s="849">
        <v>300000.0</v>
      </c>
      <c r="I364" s="849">
        <v>300000.0</v>
      </c>
      <c r="J364" s="849">
        <v>300000.0</v>
      </c>
      <c r="K364" s="849">
        <v>300000.0</v>
      </c>
      <c r="L364" s="849">
        <v>300000.0</v>
      </c>
      <c r="M364" s="849">
        <v>300000.0</v>
      </c>
      <c r="N364" s="849">
        <v>300000.0</v>
      </c>
      <c r="O364" s="849">
        <v>300000.0</v>
      </c>
      <c r="P364" s="849">
        <v>300000.0</v>
      </c>
      <c r="Q364" s="849">
        <v>300000.0</v>
      </c>
      <c r="R364" s="849">
        <v>0.0</v>
      </c>
      <c r="S364" s="849">
        <v>0.0</v>
      </c>
      <c r="T364" s="849">
        <v>0.0</v>
      </c>
      <c r="U364" s="849">
        <v>0.0</v>
      </c>
      <c r="V364" s="849">
        <v>0.0</v>
      </c>
      <c r="W364" s="849">
        <v>0.0</v>
      </c>
      <c r="X364" s="849">
        <v>0.0</v>
      </c>
      <c r="Y364" s="849">
        <v>0.0</v>
      </c>
      <c r="Z364" s="849">
        <v>0.0</v>
      </c>
      <c r="AA364" s="849">
        <v>0.0</v>
      </c>
      <c r="AB364" s="849">
        <v>0.0</v>
      </c>
      <c r="AC364" s="849">
        <v>0.0</v>
      </c>
      <c r="AD364" s="849">
        <v>0.0</v>
      </c>
      <c r="AE364" s="849">
        <v>0.0</v>
      </c>
      <c r="AF364" s="849">
        <v>0.0</v>
      </c>
      <c r="AG364" s="849">
        <v>0.0</v>
      </c>
      <c r="AH364" s="849">
        <v>0.0</v>
      </c>
      <c r="AI364" s="849">
        <v>0.0</v>
      </c>
      <c r="AJ364" s="794" t="str">
        <f t="shared" ref="AJ364:AK364" si="725">C364</f>
        <v>G22212</v>
      </c>
      <c r="AK364" s="794" t="str">
        <f t="shared" si="725"/>
        <v>INTERCO 9510-1309 QC INC</v>
      </c>
      <c r="AL364" s="794">
        <f t="array" ref="AL364">IFERROR(INDEX(G364:R364,1,MATCH(Parametres!$B$3,G$1:R$1,0)-1)*IF(OR(F364="L",F364="S",F364="I"),-1,1),"")</f>
        <v>300000</v>
      </c>
      <c r="AM364" s="794">
        <f t="shared" si="4"/>
        <v>0</v>
      </c>
      <c r="AN364" s="794">
        <f t="array" ref="AN364">INDEX(G364:R364,1,MATCH(Parametres!$B$3,G$1:R$1,0))*IF(OR(F364="L",F364="S",F364="I"),-1,1)</f>
        <v>300000</v>
      </c>
      <c r="AO364" s="853" t="str">
        <f>+VLOOKUP($AJ364,Data_Validation!$A:$D,1,0)</f>
        <v>G22212</v>
      </c>
      <c r="AP364" s="853" t="str">
        <f>+VLOOKUP($AJ364,Data_Validation!$A:$D,3,0)</f>
        <v>Bilan</v>
      </c>
      <c r="AQ364" s="853" t="str">
        <f>+VLOOKUP($AJ364,Data_Validation!$A:$D,4,0)</f>
        <v>Recevables Véhicules</v>
      </c>
      <c r="AR364" s="853" t="s">
        <v>728</v>
      </c>
      <c r="AS364" s="853" t="str">
        <f>+VLOOKUP($AJ364,Data_Validation!$A:$E,5,0)</f>
        <v/>
      </c>
      <c r="AT364" s="794" t="str">
        <f t="shared" ref="AT364:AU364" si="726">C364</f>
        <v>G22212</v>
      </c>
      <c r="AU364" s="854" t="str">
        <f t="shared" si="726"/>
        <v>INTERCO 9510-1309 QC INC</v>
      </c>
      <c r="AV364" s="794">
        <f t="array" ref="AV364">IFERROR(INDEX(V364:AG364,1,MATCH(Parametres!$B$3,V$1:AG$1,0)-1)*IF(OR(C364="L",C364="S",C364="I"),-1,1),"")</f>
        <v>0</v>
      </c>
      <c r="AW364" s="794">
        <f t="shared" si="6"/>
        <v>0</v>
      </c>
      <c r="AX364" s="794">
        <f t="array" ref="AX364">INDEX(V364:AG364,1,MATCH(Parametres!$B$3,V$1:AG$1,0))*IF(OR(C364="L",C364="S",C364="I"),-1,1)</f>
        <v>0</v>
      </c>
      <c r="AY364" s="853" t="s">
        <v>772</v>
      </c>
      <c r="AZ364" s="853" t="str">
        <f>+VLOOKUP($AJ364,Data_Validation!$A:$E,5,0)</f>
        <v/>
      </c>
    </row>
    <row r="365" ht="15.75" customHeight="1">
      <c r="A365" s="849" t="s">
        <v>1239</v>
      </c>
      <c r="B365" s="849">
        <v>2025.0</v>
      </c>
      <c r="C365" s="849" t="s">
        <v>2053</v>
      </c>
      <c r="D365" s="849" t="s">
        <v>3452</v>
      </c>
      <c r="E365" s="849" t="s">
        <v>2057</v>
      </c>
      <c r="F365" s="849" t="s">
        <v>1926</v>
      </c>
      <c r="G365" s="849">
        <v>100000.0</v>
      </c>
      <c r="H365" s="849">
        <v>100000.0</v>
      </c>
      <c r="I365" s="849">
        <v>100000.0</v>
      </c>
      <c r="J365" s="849">
        <v>100000.0</v>
      </c>
      <c r="K365" s="849">
        <v>100000.0</v>
      </c>
      <c r="L365" s="849">
        <v>100000.0</v>
      </c>
      <c r="M365" s="849">
        <v>100000.0</v>
      </c>
      <c r="N365" s="849">
        <v>100000.0</v>
      </c>
      <c r="O365" s="849">
        <v>100000.0</v>
      </c>
      <c r="P365" s="849">
        <v>100000.0</v>
      </c>
      <c r="Q365" s="849">
        <v>100000.0</v>
      </c>
      <c r="R365" s="849">
        <v>0.0</v>
      </c>
      <c r="S365" s="849">
        <v>0.0</v>
      </c>
      <c r="T365" s="849">
        <v>0.0</v>
      </c>
      <c r="U365" s="849">
        <v>0.0</v>
      </c>
      <c r="V365" s="849">
        <v>0.0</v>
      </c>
      <c r="W365" s="849">
        <v>0.0</v>
      </c>
      <c r="X365" s="849">
        <v>0.0</v>
      </c>
      <c r="Y365" s="849">
        <v>0.0</v>
      </c>
      <c r="Z365" s="849">
        <v>0.0</v>
      </c>
      <c r="AA365" s="849">
        <v>0.0</v>
      </c>
      <c r="AB365" s="849">
        <v>0.0</v>
      </c>
      <c r="AC365" s="849">
        <v>0.0</v>
      </c>
      <c r="AD365" s="849">
        <v>0.0</v>
      </c>
      <c r="AE365" s="849">
        <v>0.0</v>
      </c>
      <c r="AF365" s="849">
        <v>0.0</v>
      </c>
      <c r="AG365" s="849">
        <v>0.0</v>
      </c>
      <c r="AH365" s="849">
        <v>0.0</v>
      </c>
      <c r="AI365" s="849">
        <v>0.0</v>
      </c>
      <c r="AJ365" s="794" t="str">
        <f t="shared" ref="AJ365:AK365" si="727">C365</f>
        <v>G22213</v>
      </c>
      <c r="AK365" s="794" t="str">
        <f t="shared" si="727"/>
        <v>INTERCO HERELLE</v>
      </c>
      <c r="AL365" s="794">
        <f t="array" ref="AL365">IFERROR(INDEX(G365:R365,1,MATCH(Parametres!$B$3,G$1:R$1,0)-1)*IF(OR(F365="L",F365="S",F365="I"),-1,1),"")</f>
        <v>100000</v>
      </c>
      <c r="AM365" s="794">
        <f t="shared" si="4"/>
        <v>0</v>
      </c>
      <c r="AN365" s="794">
        <f t="array" ref="AN365">INDEX(G365:R365,1,MATCH(Parametres!$B$3,G$1:R$1,0))*IF(OR(F365="L",F365="S",F365="I"),-1,1)</f>
        <v>100000</v>
      </c>
      <c r="AO365" s="853" t="str">
        <f>+VLOOKUP($AJ365,Data_Validation!$A:$D,1,0)</f>
        <v>G22213</v>
      </c>
      <c r="AP365" s="853" t="str">
        <f>+VLOOKUP($AJ365,Data_Validation!$A:$D,3,0)</f>
        <v>Bilan</v>
      </c>
      <c r="AQ365" s="853" t="str">
        <f>+VLOOKUP($AJ365,Data_Validation!$A:$D,4,0)</f>
        <v>Recevables Véhicules</v>
      </c>
      <c r="AR365" s="853" t="s">
        <v>728</v>
      </c>
      <c r="AS365" s="853" t="str">
        <f>+VLOOKUP($AJ365,Data_Validation!$A:$E,5,0)</f>
        <v/>
      </c>
      <c r="AT365" s="794" t="str">
        <f t="shared" ref="AT365:AU365" si="728">C365</f>
        <v>G22213</v>
      </c>
      <c r="AU365" s="854" t="str">
        <f t="shared" si="728"/>
        <v>INTERCO HERELLE</v>
      </c>
      <c r="AV365" s="794">
        <f t="array" ref="AV365">IFERROR(INDEX(V365:AG365,1,MATCH(Parametres!$B$3,V$1:AG$1,0)-1)*IF(OR(C365="L",C365="S",C365="I"),-1,1),"")</f>
        <v>0</v>
      </c>
      <c r="AW365" s="794">
        <f t="shared" si="6"/>
        <v>0</v>
      </c>
      <c r="AX365" s="794">
        <f t="array" ref="AX365">INDEX(V365:AG365,1,MATCH(Parametres!$B$3,V$1:AG$1,0))*IF(OR(C365="L",C365="S",C365="I"),-1,1)</f>
        <v>0</v>
      </c>
      <c r="AY365" s="853" t="s">
        <v>772</v>
      </c>
      <c r="AZ365" s="853" t="str">
        <f>+VLOOKUP($AJ365,Data_Validation!$A:$E,5,0)</f>
        <v/>
      </c>
    </row>
    <row r="366" ht="15.75" customHeight="1">
      <c r="A366" s="849" t="s">
        <v>1239</v>
      </c>
      <c r="B366" s="849">
        <v>2025.0</v>
      </c>
      <c r="C366" s="849" t="s">
        <v>2055</v>
      </c>
      <c r="D366" s="849" t="s">
        <v>2056</v>
      </c>
      <c r="E366" s="849" t="s">
        <v>2057</v>
      </c>
      <c r="F366" s="849" t="s">
        <v>1926</v>
      </c>
      <c r="G366" s="849">
        <v>0.0</v>
      </c>
      <c r="H366" s="849">
        <v>0.0</v>
      </c>
      <c r="I366" s="849">
        <v>0.0</v>
      </c>
      <c r="J366" s="849">
        <v>0.0</v>
      </c>
      <c r="K366" s="849">
        <v>0.0</v>
      </c>
      <c r="L366" s="849">
        <v>0.0</v>
      </c>
      <c r="M366" s="849">
        <v>0.0</v>
      </c>
      <c r="N366" s="849">
        <v>0.0</v>
      </c>
      <c r="O366" s="849">
        <v>0.0</v>
      </c>
      <c r="P366" s="849">
        <v>0.0</v>
      </c>
      <c r="Q366" s="849">
        <v>0.0</v>
      </c>
      <c r="R366" s="849">
        <v>0.0</v>
      </c>
      <c r="S366" s="849">
        <v>0.0</v>
      </c>
      <c r="T366" s="849">
        <v>0.0</v>
      </c>
      <c r="U366" s="849">
        <v>0.0</v>
      </c>
      <c r="V366" s="849">
        <v>0.0</v>
      </c>
      <c r="W366" s="849">
        <v>0.0</v>
      </c>
      <c r="X366" s="849">
        <v>0.0</v>
      </c>
      <c r="Y366" s="849">
        <v>0.0</v>
      </c>
      <c r="Z366" s="849">
        <v>0.0</v>
      </c>
      <c r="AA366" s="849">
        <v>0.0</v>
      </c>
      <c r="AB366" s="849">
        <v>0.0</v>
      </c>
      <c r="AC366" s="849">
        <v>0.0</v>
      </c>
      <c r="AD366" s="849">
        <v>0.0</v>
      </c>
      <c r="AE366" s="849">
        <v>0.0</v>
      </c>
      <c r="AF366" s="849">
        <v>0.0</v>
      </c>
      <c r="AG366" s="849">
        <v>0.0</v>
      </c>
      <c r="AH366" s="849">
        <v>0.0</v>
      </c>
      <c r="AI366" s="849">
        <v>0.0</v>
      </c>
      <c r="AJ366" s="794" t="str">
        <f t="shared" ref="AJ366:AK366" si="729">C366</f>
        <v>G22500</v>
      </c>
      <c r="AK366" s="794" t="str">
        <f t="shared" si="729"/>
        <v>VENTES PAYES COMPTANT</v>
      </c>
      <c r="AL366" s="794">
        <f t="array" ref="AL366">IFERROR(INDEX(G366:R366,1,MATCH(Parametres!$B$3,G$1:R$1,0)-1)*IF(OR(F366="L",F366="S",F366="I"),-1,1),"")</f>
        <v>0</v>
      </c>
      <c r="AM366" s="794">
        <f t="shared" si="4"/>
        <v>0</v>
      </c>
      <c r="AN366" s="794">
        <f t="array" ref="AN366">INDEX(G366:R366,1,MATCH(Parametres!$B$3,G$1:R$1,0))*IF(OR(F366="L",F366="S",F366="I"),-1,1)</f>
        <v>0</v>
      </c>
      <c r="AO366" s="853" t="str">
        <f>+VLOOKUP($AJ366,Data_Validation!$A:$D,1,0)</f>
        <v>#N/A</v>
      </c>
      <c r="AP366" s="853" t="str">
        <f>+VLOOKUP($AJ366,Data_Validation!$A:$D,3,0)</f>
        <v>#N/A</v>
      </c>
      <c r="AQ366" s="853" t="str">
        <f>+VLOOKUP($AJ366,Data_Validation!$A:$D,4,0)</f>
        <v>#N/A</v>
      </c>
      <c r="AR366" s="853" t="s">
        <v>728</v>
      </c>
      <c r="AS366" s="853" t="str">
        <f>+VLOOKUP($AJ366,Data_Validation!$A:$E,5,0)</f>
        <v>#N/A</v>
      </c>
      <c r="AT366" s="794" t="str">
        <f t="shared" ref="AT366:AU366" si="730">C366</f>
        <v>G22500</v>
      </c>
      <c r="AU366" s="854" t="str">
        <f t="shared" si="730"/>
        <v>VENTES PAYES COMPTANT</v>
      </c>
      <c r="AV366" s="794">
        <f t="array" ref="AV366">IFERROR(INDEX(V366:AG366,1,MATCH(Parametres!$B$3,V$1:AG$1,0)-1)*IF(OR(C366="L",C366="S",C366="I"),-1,1),"")</f>
        <v>0</v>
      </c>
      <c r="AW366" s="794">
        <f t="shared" si="6"/>
        <v>0</v>
      </c>
      <c r="AX366" s="794">
        <f t="array" ref="AX366">INDEX(V366:AG366,1,MATCH(Parametres!$B$3,V$1:AG$1,0))*IF(OR(C366="L",C366="S",C366="I"),-1,1)</f>
        <v>0</v>
      </c>
      <c r="AY366" s="853" t="s">
        <v>772</v>
      </c>
      <c r="AZ366" s="853" t="str">
        <f>+VLOOKUP($AJ366,Data_Validation!$A:$E,5,0)</f>
        <v>#N/A</v>
      </c>
    </row>
    <row r="367" ht="15.75" customHeight="1">
      <c r="A367" s="849" t="s">
        <v>1239</v>
      </c>
      <c r="B367" s="849">
        <v>2025.0</v>
      </c>
      <c r="C367" s="849" t="s">
        <v>2058</v>
      </c>
      <c r="D367" s="849" t="s">
        <v>2059</v>
      </c>
      <c r="E367" s="849" t="s">
        <v>1926</v>
      </c>
      <c r="F367" s="849" t="s">
        <v>1926</v>
      </c>
      <c r="G367" s="849">
        <v>0.0</v>
      </c>
      <c r="H367" s="849">
        <v>0.0</v>
      </c>
      <c r="I367" s="849">
        <v>0.0</v>
      </c>
      <c r="J367" s="849">
        <v>0.0</v>
      </c>
      <c r="K367" s="849">
        <v>0.0</v>
      </c>
      <c r="L367" s="849">
        <v>0.0</v>
      </c>
      <c r="M367" s="849">
        <v>0.0</v>
      </c>
      <c r="N367" s="849">
        <v>0.0</v>
      </c>
      <c r="O367" s="849">
        <v>0.0</v>
      </c>
      <c r="P367" s="849">
        <v>0.0</v>
      </c>
      <c r="Q367" s="849">
        <v>0.0</v>
      </c>
      <c r="R367" s="849">
        <v>15.18</v>
      </c>
      <c r="S367" s="849">
        <v>0.0</v>
      </c>
      <c r="T367" s="849">
        <v>0.0</v>
      </c>
      <c r="U367" s="849">
        <v>0.0</v>
      </c>
      <c r="V367" s="849">
        <v>0.0</v>
      </c>
      <c r="W367" s="849">
        <v>0.0</v>
      </c>
      <c r="X367" s="849">
        <v>0.0</v>
      </c>
      <c r="Y367" s="849">
        <v>0.0</v>
      </c>
      <c r="Z367" s="849">
        <v>0.0</v>
      </c>
      <c r="AA367" s="849">
        <v>0.0</v>
      </c>
      <c r="AB367" s="849">
        <v>0.0</v>
      </c>
      <c r="AC367" s="849">
        <v>0.0</v>
      </c>
      <c r="AD367" s="849">
        <v>0.0</v>
      </c>
      <c r="AE367" s="849">
        <v>0.0</v>
      </c>
      <c r="AF367" s="849">
        <v>0.0</v>
      </c>
      <c r="AG367" s="849">
        <v>0.0</v>
      </c>
      <c r="AH367" s="849">
        <v>0.0</v>
      </c>
      <c r="AI367" s="849">
        <v>0.0</v>
      </c>
      <c r="AJ367" s="794" t="str">
        <f t="shared" ref="AJ367:AK367" si="731">C367</f>
        <v>G22501</v>
      </c>
      <c r="AK367" s="794" t="str">
        <f t="shared" si="731"/>
        <v>CASHC</v>
      </c>
      <c r="AL367" s="794">
        <f t="array" ref="AL367">IFERROR(INDEX(G367:R367,1,MATCH(Parametres!$B$3,G$1:R$1,0)-1)*IF(OR(F367="L",F367="S",F367="I"),-1,1),"")</f>
        <v>0</v>
      </c>
      <c r="AM367" s="794">
        <f t="shared" si="4"/>
        <v>0</v>
      </c>
      <c r="AN367" s="794">
        <f t="array" ref="AN367">INDEX(G367:R367,1,MATCH(Parametres!$B$3,G$1:R$1,0))*IF(OR(F367="L",F367="S",F367="I"),-1,1)</f>
        <v>0</v>
      </c>
      <c r="AO367" s="853" t="str">
        <f>+VLOOKUP($AJ367,Data_Validation!$A:$D,1,0)</f>
        <v>G22501</v>
      </c>
      <c r="AP367" s="853" t="str">
        <f>+VLOOKUP($AJ367,Data_Validation!$A:$D,3,0)</f>
        <v>Bilan</v>
      </c>
      <c r="AQ367" s="853" t="str">
        <f>+VLOOKUP($AJ367,Data_Validation!$A:$D,4,0)</f>
        <v>Encaisse</v>
      </c>
      <c r="AR367" s="853" t="s">
        <v>728</v>
      </c>
      <c r="AS367" s="853" t="str">
        <f>+VLOOKUP($AJ367,Data_Validation!$A:$E,5,0)</f>
        <v/>
      </c>
      <c r="AT367" s="794" t="str">
        <f t="shared" ref="AT367:AU367" si="732">C367</f>
        <v>G22501</v>
      </c>
      <c r="AU367" s="854" t="str">
        <f t="shared" si="732"/>
        <v>CASHC</v>
      </c>
      <c r="AV367" s="794">
        <f t="array" ref="AV367">IFERROR(INDEX(V367:AG367,1,MATCH(Parametres!$B$3,V$1:AG$1,0)-1)*IF(OR(C367="L",C367="S",C367="I"),-1,1),"")</f>
        <v>0</v>
      </c>
      <c r="AW367" s="794">
        <f t="shared" si="6"/>
        <v>0</v>
      </c>
      <c r="AX367" s="794">
        <f t="array" ref="AX367">INDEX(V367:AG367,1,MATCH(Parametres!$B$3,V$1:AG$1,0))*IF(OR(C367="L",C367="S",C367="I"),-1,1)</f>
        <v>0</v>
      </c>
      <c r="AY367" s="853" t="s">
        <v>772</v>
      </c>
      <c r="AZ367" s="853" t="str">
        <f>+VLOOKUP($AJ367,Data_Validation!$A:$E,5,0)</f>
        <v/>
      </c>
    </row>
    <row r="368" ht="15.75" customHeight="1">
      <c r="A368" s="849" t="s">
        <v>1239</v>
      </c>
      <c r="B368" s="849">
        <v>2025.0</v>
      </c>
      <c r="C368" s="849" t="s">
        <v>2060</v>
      </c>
      <c r="D368" s="849" t="s">
        <v>2061</v>
      </c>
      <c r="E368" s="849" t="s">
        <v>1926</v>
      </c>
      <c r="F368" s="849" t="s">
        <v>1926</v>
      </c>
      <c r="G368" s="849">
        <v>0.0</v>
      </c>
      <c r="H368" s="849">
        <v>0.0</v>
      </c>
      <c r="I368" s="849">
        <v>134.68</v>
      </c>
      <c r="J368" s="849">
        <v>134.68</v>
      </c>
      <c r="K368" s="849">
        <v>0.0</v>
      </c>
      <c r="L368" s="849">
        <v>0.0</v>
      </c>
      <c r="M368" s="849">
        <v>0.0</v>
      </c>
      <c r="N368" s="849">
        <v>9.07</v>
      </c>
      <c r="O368" s="849">
        <v>0.0</v>
      </c>
      <c r="P368" s="849">
        <v>-231.32</v>
      </c>
      <c r="Q368" s="849">
        <v>-86.18</v>
      </c>
      <c r="R368" s="849">
        <v>0.0</v>
      </c>
      <c r="S368" s="849">
        <v>0.0</v>
      </c>
      <c r="T368" s="849">
        <v>0.0</v>
      </c>
      <c r="U368" s="849">
        <v>0.0</v>
      </c>
      <c r="V368" s="849">
        <v>0.0</v>
      </c>
      <c r="W368" s="849">
        <v>0.0</v>
      </c>
      <c r="X368" s="849">
        <v>0.0</v>
      </c>
      <c r="Y368" s="849">
        <v>0.0</v>
      </c>
      <c r="Z368" s="849">
        <v>0.0</v>
      </c>
      <c r="AA368" s="849">
        <v>0.0</v>
      </c>
      <c r="AB368" s="849">
        <v>0.0</v>
      </c>
      <c r="AC368" s="849">
        <v>0.0</v>
      </c>
      <c r="AD368" s="849">
        <v>0.0</v>
      </c>
      <c r="AE368" s="849">
        <v>0.0</v>
      </c>
      <c r="AF368" s="849">
        <v>0.0</v>
      </c>
      <c r="AG368" s="849">
        <v>0.0</v>
      </c>
      <c r="AH368" s="849">
        <v>0.0</v>
      </c>
      <c r="AI368" s="849">
        <v>0.0</v>
      </c>
      <c r="AJ368" s="794" t="str">
        <f t="shared" ref="AJ368:AK368" si="733">C368</f>
        <v>G22502</v>
      </c>
      <c r="AK368" s="794" t="str">
        <f t="shared" si="733"/>
        <v>DEBIT/INTERAC</v>
      </c>
      <c r="AL368" s="794">
        <f t="array" ref="AL368">IFERROR(INDEX(G368:R368,1,MATCH(Parametres!$B$3,G$1:R$1,0)-1)*IF(OR(F368="L",F368="S",F368="I"),-1,1),"")</f>
        <v>9.07</v>
      </c>
      <c r="AM368" s="794">
        <f t="shared" si="4"/>
        <v>-9.07</v>
      </c>
      <c r="AN368" s="794">
        <f t="array" ref="AN368">INDEX(G368:R368,1,MATCH(Parametres!$B$3,G$1:R$1,0))*IF(OR(F368="L",F368="S",F368="I"),-1,1)</f>
        <v>0</v>
      </c>
      <c r="AO368" s="853" t="str">
        <f>+VLOOKUP($AJ368,Data_Validation!$A:$D,1,0)</f>
        <v>G22502</v>
      </c>
      <c r="AP368" s="853" t="str">
        <f>+VLOOKUP($AJ368,Data_Validation!$A:$D,3,0)</f>
        <v>Bilan</v>
      </c>
      <c r="AQ368" s="853" t="str">
        <f>+VLOOKUP($AJ368,Data_Validation!$A:$D,4,0)</f>
        <v>Encaisse</v>
      </c>
      <c r="AR368" s="853" t="s">
        <v>728</v>
      </c>
      <c r="AS368" s="853" t="str">
        <f>+VLOOKUP($AJ368,Data_Validation!$A:$E,5,0)</f>
        <v/>
      </c>
      <c r="AT368" s="794" t="str">
        <f t="shared" ref="AT368:AU368" si="734">C368</f>
        <v>G22502</v>
      </c>
      <c r="AU368" s="854" t="str">
        <f t="shared" si="734"/>
        <v>DEBIT/INTERAC</v>
      </c>
      <c r="AV368" s="794">
        <f t="array" ref="AV368">IFERROR(INDEX(V368:AG368,1,MATCH(Parametres!$B$3,V$1:AG$1,0)-1)*IF(OR(C368="L",C368="S",C368="I"),-1,1),"")</f>
        <v>0</v>
      </c>
      <c r="AW368" s="794">
        <f t="shared" si="6"/>
        <v>0</v>
      </c>
      <c r="AX368" s="794">
        <f t="array" ref="AX368">INDEX(V368:AG368,1,MATCH(Parametres!$B$3,V$1:AG$1,0))*IF(OR(C368="L",C368="S",C368="I"),-1,1)</f>
        <v>0</v>
      </c>
      <c r="AY368" s="853" t="s">
        <v>772</v>
      </c>
      <c r="AZ368" s="853" t="str">
        <f>+VLOOKUP($AJ368,Data_Validation!$A:$E,5,0)</f>
        <v/>
      </c>
    </row>
    <row r="369" ht="15.75" customHeight="1">
      <c r="A369" s="849" t="s">
        <v>1239</v>
      </c>
      <c r="B369" s="849">
        <v>2025.0</v>
      </c>
      <c r="C369" s="849" t="s">
        <v>2062</v>
      </c>
      <c r="D369" s="849" t="s">
        <v>2063</v>
      </c>
      <c r="E369" s="849" t="s">
        <v>1926</v>
      </c>
      <c r="F369" s="849" t="s">
        <v>1926</v>
      </c>
      <c r="G369" s="849">
        <v>0.0</v>
      </c>
      <c r="H369" s="849">
        <v>0.0</v>
      </c>
      <c r="I369" s="849">
        <v>0.0</v>
      </c>
      <c r="J369" s="849">
        <v>0.0</v>
      </c>
      <c r="K369" s="849">
        <v>0.0</v>
      </c>
      <c r="L369" s="849">
        <v>0.0</v>
      </c>
      <c r="M369" s="849">
        <v>0.0</v>
      </c>
      <c r="N369" s="849">
        <v>0.0</v>
      </c>
      <c r="O369" s="849">
        <v>0.0</v>
      </c>
      <c r="P369" s="849">
        <v>0.0</v>
      </c>
      <c r="Q369" s="849">
        <v>0.0</v>
      </c>
      <c r="R369" s="849">
        <v>0.0</v>
      </c>
      <c r="S369" s="849">
        <v>0.0</v>
      </c>
      <c r="T369" s="849">
        <v>0.0</v>
      </c>
      <c r="U369" s="849">
        <v>0.0</v>
      </c>
      <c r="V369" s="849">
        <v>0.0</v>
      </c>
      <c r="W369" s="849">
        <v>0.0</v>
      </c>
      <c r="X369" s="849">
        <v>0.0</v>
      </c>
      <c r="Y369" s="849">
        <v>0.0</v>
      </c>
      <c r="Z369" s="849">
        <v>0.0</v>
      </c>
      <c r="AA369" s="849">
        <v>0.0</v>
      </c>
      <c r="AB369" s="849">
        <v>0.0</v>
      </c>
      <c r="AC369" s="849">
        <v>0.0</v>
      </c>
      <c r="AD369" s="849">
        <v>0.0</v>
      </c>
      <c r="AE369" s="849">
        <v>0.0</v>
      </c>
      <c r="AF369" s="849">
        <v>0.0</v>
      </c>
      <c r="AG369" s="849">
        <v>0.0</v>
      </c>
      <c r="AH369" s="849">
        <v>0.0</v>
      </c>
      <c r="AI369" s="849">
        <v>0.0</v>
      </c>
      <c r="AJ369" s="794" t="str">
        <f t="shared" ref="AJ369:AK369" si="735">C369</f>
        <v>G22503</v>
      </c>
      <c r="AK369" s="794" t="str">
        <f t="shared" si="735"/>
        <v>MASTER CARD</v>
      </c>
      <c r="AL369" s="794">
        <f t="array" ref="AL369">IFERROR(INDEX(G369:R369,1,MATCH(Parametres!$B$3,G$1:R$1,0)-1)*IF(OR(F369="L",F369="S",F369="I"),-1,1),"")</f>
        <v>0</v>
      </c>
      <c r="AM369" s="794">
        <f t="shared" si="4"/>
        <v>0</v>
      </c>
      <c r="AN369" s="794">
        <f t="array" ref="AN369">INDEX(G369:R369,1,MATCH(Parametres!$B$3,G$1:R$1,0))*IF(OR(F369="L",F369="S",F369="I"),-1,1)</f>
        <v>0</v>
      </c>
      <c r="AO369" s="853" t="str">
        <f>+VLOOKUP($AJ369,Data_Validation!$A:$D,1,0)</f>
        <v>G22503</v>
      </c>
      <c r="AP369" s="853" t="str">
        <f>+VLOOKUP($AJ369,Data_Validation!$A:$D,3,0)</f>
        <v>Bilan</v>
      </c>
      <c r="AQ369" s="853" t="str">
        <f>+VLOOKUP($AJ369,Data_Validation!$A:$D,4,0)</f>
        <v>Encaisse</v>
      </c>
      <c r="AR369" s="853" t="s">
        <v>728</v>
      </c>
      <c r="AS369" s="853" t="str">
        <f>+VLOOKUP($AJ369,Data_Validation!$A:$E,5,0)</f>
        <v/>
      </c>
      <c r="AT369" s="794" t="str">
        <f t="shared" ref="AT369:AU369" si="736">C369</f>
        <v>G22503</v>
      </c>
      <c r="AU369" s="854" t="str">
        <f t="shared" si="736"/>
        <v>MASTER CARD</v>
      </c>
      <c r="AV369" s="794">
        <f t="array" ref="AV369">IFERROR(INDEX(V369:AG369,1,MATCH(Parametres!$B$3,V$1:AG$1,0)-1)*IF(OR(C369="L",C369="S",C369="I"),-1,1),"")</f>
        <v>0</v>
      </c>
      <c r="AW369" s="794">
        <f t="shared" si="6"/>
        <v>0</v>
      </c>
      <c r="AX369" s="794">
        <f t="array" ref="AX369">INDEX(V369:AG369,1,MATCH(Parametres!$B$3,V$1:AG$1,0))*IF(OR(C369="L",C369="S",C369="I"),-1,1)</f>
        <v>0</v>
      </c>
      <c r="AY369" s="853" t="s">
        <v>772</v>
      </c>
      <c r="AZ369" s="853" t="str">
        <f>+VLOOKUP($AJ369,Data_Validation!$A:$E,5,0)</f>
        <v/>
      </c>
    </row>
    <row r="370" ht="15.75" customHeight="1">
      <c r="A370" s="849" t="s">
        <v>1239</v>
      </c>
      <c r="B370" s="849">
        <v>2025.0</v>
      </c>
      <c r="C370" s="849" t="s">
        <v>2064</v>
      </c>
      <c r="D370" s="849" t="s">
        <v>2065</v>
      </c>
      <c r="E370" s="849" t="s">
        <v>1926</v>
      </c>
      <c r="F370" s="849" t="s">
        <v>1926</v>
      </c>
      <c r="G370" s="849">
        <v>0.0</v>
      </c>
      <c r="H370" s="849">
        <v>0.0</v>
      </c>
      <c r="I370" s="849">
        <v>0.0</v>
      </c>
      <c r="J370" s="849">
        <v>0.0</v>
      </c>
      <c r="K370" s="849">
        <v>0.0</v>
      </c>
      <c r="L370" s="849">
        <v>0.0</v>
      </c>
      <c r="M370" s="849">
        <v>0.0</v>
      </c>
      <c r="N370" s="849">
        <v>-347.8</v>
      </c>
      <c r="O370" s="849">
        <v>0.0</v>
      </c>
      <c r="P370" s="849">
        <v>0.0</v>
      </c>
      <c r="Q370" s="849">
        <v>-42.25</v>
      </c>
      <c r="R370" s="849">
        <v>0.0</v>
      </c>
      <c r="S370" s="849">
        <v>0.0</v>
      </c>
      <c r="T370" s="849">
        <v>0.0</v>
      </c>
      <c r="U370" s="849">
        <v>0.0</v>
      </c>
      <c r="V370" s="849">
        <v>0.0</v>
      </c>
      <c r="W370" s="849">
        <v>0.0</v>
      </c>
      <c r="X370" s="849">
        <v>0.0</v>
      </c>
      <c r="Y370" s="849">
        <v>0.0</v>
      </c>
      <c r="Z370" s="849">
        <v>0.0</v>
      </c>
      <c r="AA370" s="849">
        <v>0.0</v>
      </c>
      <c r="AB370" s="849">
        <v>0.0</v>
      </c>
      <c r="AC370" s="849">
        <v>0.0</v>
      </c>
      <c r="AD370" s="849">
        <v>0.0</v>
      </c>
      <c r="AE370" s="849">
        <v>0.0</v>
      </c>
      <c r="AF370" s="849">
        <v>0.0</v>
      </c>
      <c r="AG370" s="849">
        <v>0.0</v>
      </c>
      <c r="AH370" s="849">
        <v>0.0</v>
      </c>
      <c r="AI370" s="849">
        <v>0.0</v>
      </c>
      <c r="AJ370" s="794" t="str">
        <f t="shared" ref="AJ370:AK370" si="737">C370</f>
        <v>G22504</v>
      </c>
      <c r="AK370" s="794" t="str">
        <f t="shared" si="737"/>
        <v>VISA</v>
      </c>
      <c r="AL370" s="794">
        <f t="array" ref="AL370">IFERROR(INDEX(G370:R370,1,MATCH(Parametres!$B$3,G$1:R$1,0)-1)*IF(OR(F370="L",F370="S",F370="I"),-1,1),"")</f>
        <v>-347.8</v>
      </c>
      <c r="AM370" s="794">
        <f t="shared" si="4"/>
        <v>347.8</v>
      </c>
      <c r="AN370" s="794">
        <f t="array" ref="AN370">INDEX(G370:R370,1,MATCH(Parametres!$B$3,G$1:R$1,0))*IF(OR(F370="L",F370="S",F370="I"),-1,1)</f>
        <v>0</v>
      </c>
      <c r="AO370" s="853" t="str">
        <f>+VLOOKUP($AJ370,Data_Validation!$A:$D,1,0)</f>
        <v>G22504</v>
      </c>
      <c r="AP370" s="853" t="str">
        <f>+VLOOKUP($AJ370,Data_Validation!$A:$D,3,0)</f>
        <v>Bilan</v>
      </c>
      <c r="AQ370" s="853" t="str">
        <f>+VLOOKUP($AJ370,Data_Validation!$A:$D,4,0)</f>
        <v>Encaisse</v>
      </c>
      <c r="AR370" s="853" t="s">
        <v>728</v>
      </c>
      <c r="AS370" s="853" t="str">
        <f>+VLOOKUP($AJ370,Data_Validation!$A:$E,5,0)</f>
        <v/>
      </c>
      <c r="AT370" s="794" t="str">
        <f t="shared" ref="AT370:AU370" si="738">C370</f>
        <v>G22504</v>
      </c>
      <c r="AU370" s="854" t="str">
        <f t="shared" si="738"/>
        <v>VISA</v>
      </c>
      <c r="AV370" s="794">
        <f t="array" ref="AV370">IFERROR(INDEX(V370:AG370,1,MATCH(Parametres!$B$3,V$1:AG$1,0)-1)*IF(OR(C370="L",C370="S",C370="I"),-1,1),"")</f>
        <v>0</v>
      </c>
      <c r="AW370" s="794">
        <f t="shared" si="6"/>
        <v>0</v>
      </c>
      <c r="AX370" s="794">
        <f t="array" ref="AX370">INDEX(V370:AG370,1,MATCH(Parametres!$B$3,V$1:AG$1,0))*IF(OR(C370="L",C370="S",C370="I"),-1,1)</f>
        <v>0</v>
      </c>
      <c r="AY370" s="853" t="s">
        <v>772</v>
      </c>
      <c r="AZ370" s="853" t="str">
        <f>+VLOOKUP($AJ370,Data_Validation!$A:$E,5,0)</f>
        <v/>
      </c>
    </row>
    <row r="371" ht="15.75" customHeight="1">
      <c r="A371" s="849" t="s">
        <v>1239</v>
      </c>
      <c r="B371" s="849">
        <v>2025.0</v>
      </c>
      <c r="C371" s="849" t="s">
        <v>2066</v>
      </c>
      <c r="D371" s="849" t="s">
        <v>2067</v>
      </c>
      <c r="E371" s="849" t="s">
        <v>1926</v>
      </c>
      <c r="F371" s="849" t="s">
        <v>1926</v>
      </c>
      <c r="G371" s="849">
        <v>0.0</v>
      </c>
      <c r="H371" s="849">
        <v>0.0</v>
      </c>
      <c r="I371" s="849">
        <v>0.0</v>
      </c>
      <c r="J371" s="849">
        <v>0.0</v>
      </c>
      <c r="K371" s="849">
        <v>0.0</v>
      </c>
      <c r="L371" s="849">
        <v>0.0</v>
      </c>
      <c r="M371" s="849">
        <v>0.0</v>
      </c>
      <c r="N371" s="849">
        <v>0.0</v>
      </c>
      <c r="O371" s="849">
        <v>0.0</v>
      </c>
      <c r="P371" s="849">
        <v>0.0</v>
      </c>
      <c r="Q371" s="849">
        <v>0.0</v>
      </c>
      <c r="R371" s="849">
        <v>0.0</v>
      </c>
      <c r="S371" s="849">
        <v>0.0</v>
      </c>
      <c r="T371" s="849">
        <v>0.0</v>
      </c>
      <c r="U371" s="849">
        <v>0.0</v>
      </c>
      <c r="V371" s="849">
        <v>0.0</v>
      </c>
      <c r="W371" s="849">
        <v>0.0</v>
      </c>
      <c r="X371" s="849">
        <v>0.0</v>
      </c>
      <c r="Y371" s="849">
        <v>0.0</v>
      </c>
      <c r="Z371" s="849">
        <v>0.0</v>
      </c>
      <c r="AA371" s="849">
        <v>0.0</v>
      </c>
      <c r="AB371" s="849">
        <v>0.0</v>
      </c>
      <c r="AC371" s="849">
        <v>0.0</v>
      </c>
      <c r="AD371" s="849">
        <v>0.0</v>
      </c>
      <c r="AE371" s="849">
        <v>0.0</v>
      </c>
      <c r="AF371" s="849">
        <v>0.0</v>
      </c>
      <c r="AG371" s="849">
        <v>0.0</v>
      </c>
      <c r="AH371" s="849">
        <v>0.0</v>
      </c>
      <c r="AI371" s="849">
        <v>0.0</v>
      </c>
      <c r="AJ371" s="794" t="str">
        <f t="shared" ref="AJ371:AK371" si="739">C371</f>
        <v>G22505</v>
      </c>
      <c r="AK371" s="794" t="str">
        <f t="shared" si="739"/>
        <v>AMEX</v>
      </c>
      <c r="AL371" s="794">
        <f t="array" ref="AL371">IFERROR(INDEX(G371:R371,1,MATCH(Parametres!$B$3,G$1:R$1,0)-1)*IF(OR(F371="L",F371="S",F371="I"),-1,1),"")</f>
        <v>0</v>
      </c>
      <c r="AM371" s="794">
        <f t="shared" si="4"/>
        <v>0</v>
      </c>
      <c r="AN371" s="794">
        <f t="array" ref="AN371">INDEX(G371:R371,1,MATCH(Parametres!$B$3,G$1:R$1,0))*IF(OR(F371="L",F371="S",F371="I"),-1,1)</f>
        <v>0</v>
      </c>
      <c r="AO371" s="853" t="str">
        <f>+VLOOKUP($AJ371,Data_Validation!$A:$D,1,0)</f>
        <v>G22505</v>
      </c>
      <c r="AP371" s="853" t="str">
        <f>+VLOOKUP($AJ371,Data_Validation!$A:$D,3,0)</f>
        <v>Bilan</v>
      </c>
      <c r="AQ371" s="853" t="str">
        <f>+VLOOKUP($AJ371,Data_Validation!$A:$D,4,0)</f>
        <v>Encaisse</v>
      </c>
      <c r="AR371" s="853" t="s">
        <v>728</v>
      </c>
      <c r="AS371" s="853" t="str">
        <f>+VLOOKUP($AJ371,Data_Validation!$A:$E,5,0)</f>
        <v/>
      </c>
      <c r="AT371" s="794" t="str">
        <f t="shared" ref="AT371:AU371" si="740">C371</f>
        <v>G22505</v>
      </c>
      <c r="AU371" s="854" t="str">
        <f t="shared" si="740"/>
        <v>AMEX</v>
      </c>
      <c r="AV371" s="794">
        <f t="array" ref="AV371">IFERROR(INDEX(V371:AG371,1,MATCH(Parametres!$B$3,V$1:AG$1,0)-1)*IF(OR(C371="L",C371="S",C371="I"),-1,1),"")</f>
        <v>0</v>
      </c>
      <c r="AW371" s="794">
        <f t="shared" si="6"/>
        <v>0</v>
      </c>
      <c r="AX371" s="794">
        <f t="array" ref="AX371">INDEX(V371:AG371,1,MATCH(Parametres!$B$3,V$1:AG$1,0))*IF(OR(C371="L",C371="S",C371="I"),-1,1)</f>
        <v>0</v>
      </c>
      <c r="AY371" s="853" t="s">
        <v>772</v>
      </c>
      <c r="AZ371" s="853" t="str">
        <f>+VLOOKUP($AJ371,Data_Validation!$A:$E,5,0)</f>
        <v/>
      </c>
    </row>
    <row r="372" ht="15.75" customHeight="1">
      <c r="A372" s="849" t="s">
        <v>1239</v>
      </c>
      <c r="B372" s="849">
        <v>2025.0</v>
      </c>
      <c r="C372" s="849" t="s">
        <v>2068</v>
      </c>
      <c r="D372" s="849" t="s">
        <v>2069</v>
      </c>
      <c r="E372" s="849" t="s">
        <v>1926</v>
      </c>
      <c r="F372" s="849" t="s">
        <v>1926</v>
      </c>
      <c r="G372" s="849">
        <v>0.0</v>
      </c>
      <c r="H372" s="849">
        <v>0.0</v>
      </c>
      <c r="I372" s="849">
        <v>0.0</v>
      </c>
      <c r="J372" s="849">
        <v>0.0</v>
      </c>
      <c r="K372" s="849">
        <v>0.0</v>
      </c>
      <c r="L372" s="849">
        <v>0.0</v>
      </c>
      <c r="M372" s="849">
        <v>0.0</v>
      </c>
      <c r="N372" s="849">
        <v>0.0</v>
      </c>
      <c r="O372" s="849">
        <v>0.0</v>
      </c>
      <c r="P372" s="849">
        <v>0.0</v>
      </c>
      <c r="Q372" s="849">
        <v>0.0</v>
      </c>
      <c r="R372" s="849">
        <v>0.0</v>
      </c>
      <c r="S372" s="849">
        <v>0.0</v>
      </c>
      <c r="T372" s="849">
        <v>0.0</v>
      </c>
      <c r="U372" s="849">
        <v>0.0</v>
      </c>
      <c r="V372" s="849">
        <v>0.0</v>
      </c>
      <c r="W372" s="849">
        <v>0.0</v>
      </c>
      <c r="X372" s="849">
        <v>0.0</v>
      </c>
      <c r="Y372" s="849">
        <v>0.0</v>
      </c>
      <c r="Z372" s="849">
        <v>0.0</v>
      </c>
      <c r="AA372" s="849">
        <v>0.0</v>
      </c>
      <c r="AB372" s="849">
        <v>0.0</v>
      </c>
      <c r="AC372" s="849">
        <v>0.0</v>
      </c>
      <c r="AD372" s="849">
        <v>0.0</v>
      </c>
      <c r="AE372" s="849">
        <v>0.0</v>
      </c>
      <c r="AF372" s="849">
        <v>0.0</v>
      </c>
      <c r="AG372" s="849">
        <v>0.0</v>
      </c>
      <c r="AH372" s="849">
        <v>0.0</v>
      </c>
      <c r="AI372" s="849">
        <v>0.0</v>
      </c>
      <c r="AJ372" s="794" t="str">
        <f t="shared" ref="AJ372:AK372" si="741">C372</f>
        <v>G22506</v>
      </c>
      <c r="AK372" s="794" t="str">
        <f t="shared" si="741"/>
        <v>CHEQUES</v>
      </c>
      <c r="AL372" s="794">
        <f t="array" ref="AL372">IFERROR(INDEX(G372:R372,1,MATCH(Parametres!$B$3,G$1:R$1,0)-1)*IF(OR(F372="L",F372="S",F372="I"),-1,1),"")</f>
        <v>0</v>
      </c>
      <c r="AM372" s="794">
        <f t="shared" si="4"/>
        <v>0</v>
      </c>
      <c r="AN372" s="794">
        <f t="array" ref="AN372">INDEX(G372:R372,1,MATCH(Parametres!$B$3,G$1:R$1,0))*IF(OR(F372="L",F372="S",F372="I"),-1,1)</f>
        <v>0</v>
      </c>
      <c r="AO372" s="853" t="str">
        <f>+VLOOKUP($AJ372,Data_Validation!$A:$D,1,0)</f>
        <v>G22506</v>
      </c>
      <c r="AP372" s="853" t="str">
        <f>+VLOOKUP($AJ372,Data_Validation!$A:$D,3,0)</f>
        <v>Bilan</v>
      </c>
      <c r="AQ372" s="853" t="str">
        <f>+VLOOKUP($AJ372,Data_Validation!$A:$D,4,0)</f>
        <v>Encaisse</v>
      </c>
      <c r="AR372" s="853" t="s">
        <v>728</v>
      </c>
      <c r="AS372" s="853" t="str">
        <f>+VLOOKUP($AJ372,Data_Validation!$A:$E,5,0)</f>
        <v/>
      </c>
      <c r="AT372" s="794" t="str">
        <f t="shared" ref="AT372:AU372" si="742">C372</f>
        <v>G22506</v>
      </c>
      <c r="AU372" s="854" t="str">
        <f t="shared" si="742"/>
        <v>CHEQUES</v>
      </c>
      <c r="AV372" s="794">
        <f t="array" ref="AV372">IFERROR(INDEX(V372:AG372,1,MATCH(Parametres!$B$3,V$1:AG$1,0)-1)*IF(OR(C372="L",C372="S",C372="I"),-1,1),"")</f>
        <v>0</v>
      </c>
      <c r="AW372" s="794">
        <f t="shared" si="6"/>
        <v>0</v>
      </c>
      <c r="AX372" s="794">
        <f t="array" ref="AX372">INDEX(V372:AG372,1,MATCH(Parametres!$B$3,V$1:AG$1,0))*IF(OR(C372="L",C372="S",C372="I"),-1,1)</f>
        <v>0</v>
      </c>
      <c r="AY372" s="853" t="s">
        <v>772</v>
      </c>
      <c r="AZ372" s="853" t="str">
        <f>+VLOOKUP($AJ372,Data_Validation!$A:$E,5,0)</f>
        <v/>
      </c>
    </row>
    <row r="373" ht="15.75" customHeight="1">
      <c r="A373" s="849" t="s">
        <v>1239</v>
      </c>
      <c r="B373" s="849">
        <v>2025.0</v>
      </c>
      <c r="C373" s="849" t="s">
        <v>2070</v>
      </c>
      <c r="D373" s="849" t="s">
        <v>2071</v>
      </c>
      <c r="E373" s="849" t="s">
        <v>2072</v>
      </c>
      <c r="F373" s="849" t="s">
        <v>1926</v>
      </c>
      <c r="G373" s="849">
        <v>0.0</v>
      </c>
      <c r="H373" s="849">
        <v>0.0</v>
      </c>
      <c r="I373" s="849">
        <v>0.0</v>
      </c>
      <c r="J373" s="849">
        <v>0.0</v>
      </c>
      <c r="K373" s="849">
        <v>0.0</v>
      </c>
      <c r="L373" s="849">
        <v>0.0</v>
      </c>
      <c r="M373" s="849">
        <v>0.0</v>
      </c>
      <c r="N373" s="849">
        <v>0.0</v>
      </c>
      <c r="O373" s="849">
        <v>0.0</v>
      </c>
      <c r="P373" s="849">
        <v>0.0</v>
      </c>
      <c r="Q373" s="849">
        <v>0.0</v>
      </c>
      <c r="R373" s="849">
        <v>0.0</v>
      </c>
      <c r="S373" s="849">
        <v>0.0</v>
      </c>
      <c r="T373" s="849">
        <v>0.0</v>
      </c>
      <c r="U373" s="849">
        <v>0.0</v>
      </c>
      <c r="V373" s="849">
        <v>0.0</v>
      </c>
      <c r="W373" s="849">
        <v>0.0</v>
      </c>
      <c r="X373" s="849">
        <v>0.0</v>
      </c>
      <c r="Y373" s="849">
        <v>0.0</v>
      </c>
      <c r="Z373" s="849">
        <v>0.0</v>
      </c>
      <c r="AA373" s="849">
        <v>0.0</v>
      </c>
      <c r="AB373" s="849">
        <v>0.0</v>
      </c>
      <c r="AC373" s="849">
        <v>0.0</v>
      </c>
      <c r="AD373" s="849">
        <v>0.0</v>
      </c>
      <c r="AE373" s="849">
        <v>0.0</v>
      </c>
      <c r="AF373" s="849">
        <v>0.0</v>
      </c>
      <c r="AG373" s="849">
        <v>0.0</v>
      </c>
      <c r="AH373" s="849">
        <v>0.0</v>
      </c>
      <c r="AI373" s="849">
        <v>0.0</v>
      </c>
      <c r="AJ373" s="794" t="str">
        <f t="shared" ref="AJ373:AK373" si="743">C373</f>
        <v>G23000</v>
      </c>
      <c r="AK373" s="794" t="str">
        <f t="shared" si="743"/>
        <v>VEHICULES USAGÉS GLOBE</v>
      </c>
      <c r="AL373" s="794">
        <f t="array" ref="AL373">IFERROR(INDEX(G373:R373,1,MATCH(Parametres!$B$3,G$1:R$1,0)-1)*IF(OR(F373="L",F373="S",F373="I"),-1,1),"")</f>
        <v>0</v>
      </c>
      <c r="AM373" s="794">
        <f t="shared" si="4"/>
        <v>0</v>
      </c>
      <c r="AN373" s="794">
        <f t="array" ref="AN373">INDEX(G373:R373,1,MATCH(Parametres!$B$3,G$1:R$1,0))*IF(OR(F373="L",F373="S",F373="I"),-1,1)</f>
        <v>0</v>
      </c>
      <c r="AO373" s="853" t="str">
        <f>+VLOOKUP($AJ373,Data_Validation!$A:$D,1,0)</f>
        <v>#N/A</v>
      </c>
      <c r="AP373" s="853" t="str">
        <f>+VLOOKUP($AJ373,Data_Validation!$A:$D,3,0)</f>
        <v>#N/A</v>
      </c>
      <c r="AQ373" s="853" t="str">
        <f>+VLOOKUP($AJ373,Data_Validation!$A:$D,4,0)</f>
        <v>#N/A</v>
      </c>
      <c r="AR373" s="853" t="s">
        <v>728</v>
      </c>
      <c r="AS373" s="853" t="str">
        <f>+VLOOKUP($AJ373,Data_Validation!$A:$E,5,0)</f>
        <v>#N/A</v>
      </c>
      <c r="AT373" s="794" t="str">
        <f t="shared" ref="AT373:AU373" si="744">C373</f>
        <v>G23000</v>
      </c>
      <c r="AU373" s="854" t="str">
        <f t="shared" si="744"/>
        <v>VEHICULES USAGÉS GLOBE</v>
      </c>
      <c r="AV373" s="794">
        <f t="array" ref="AV373">IFERROR(INDEX(V373:AG373,1,MATCH(Parametres!$B$3,V$1:AG$1,0)-1)*IF(OR(C373="L",C373="S",C373="I"),-1,1),"")</f>
        <v>0</v>
      </c>
      <c r="AW373" s="794">
        <f t="shared" si="6"/>
        <v>0</v>
      </c>
      <c r="AX373" s="794">
        <f t="array" ref="AX373">INDEX(V373:AG373,1,MATCH(Parametres!$B$3,V$1:AG$1,0))*IF(OR(C373="L",C373="S",C373="I"),-1,1)</f>
        <v>0</v>
      </c>
      <c r="AY373" s="853" t="s">
        <v>772</v>
      </c>
      <c r="AZ373" s="853" t="str">
        <f>+VLOOKUP($AJ373,Data_Validation!$A:$E,5,0)</f>
        <v>#N/A</v>
      </c>
    </row>
    <row r="374" ht="15.75" customHeight="1">
      <c r="A374" s="849" t="s">
        <v>1239</v>
      </c>
      <c r="B374" s="849">
        <v>2025.0</v>
      </c>
      <c r="C374" s="849" t="s">
        <v>2073</v>
      </c>
      <c r="D374" s="849" t="s">
        <v>2074</v>
      </c>
      <c r="E374" s="849" t="s">
        <v>2072</v>
      </c>
      <c r="F374" s="849" t="s">
        <v>1926</v>
      </c>
      <c r="G374" s="849">
        <v>487574.88</v>
      </c>
      <c r="H374" s="849">
        <v>452454.77</v>
      </c>
      <c r="I374" s="849">
        <v>493801.4</v>
      </c>
      <c r="J374" s="849">
        <v>185112.05</v>
      </c>
      <c r="K374" s="849">
        <v>0.0</v>
      </c>
      <c r="L374" s="849">
        <v>93830.0</v>
      </c>
      <c r="M374" s="849">
        <v>93830.0</v>
      </c>
      <c r="N374" s="849">
        <v>146912.0</v>
      </c>
      <c r="O374" s="849">
        <v>506037.0</v>
      </c>
      <c r="P374" s="849">
        <v>247095.0</v>
      </c>
      <c r="Q374" s="849">
        <v>247095.0</v>
      </c>
      <c r="R374" s="849">
        <v>659811.0</v>
      </c>
      <c r="S374" s="849">
        <v>0.0</v>
      </c>
      <c r="T374" s="849">
        <v>0.0</v>
      </c>
      <c r="U374" s="849">
        <v>0.0</v>
      </c>
      <c r="V374" s="849">
        <v>0.0</v>
      </c>
      <c r="W374" s="849">
        <v>0.0</v>
      </c>
      <c r="X374" s="849">
        <v>0.0</v>
      </c>
      <c r="Y374" s="849">
        <v>0.0</v>
      </c>
      <c r="Z374" s="849">
        <v>0.0</v>
      </c>
      <c r="AA374" s="849">
        <v>0.0</v>
      </c>
      <c r="AB374" s="849">
        <v>0.0</v>
      </c>
      <c r="AC374" s="849">
        <v>0.0</v>
      </c>
      <c r="AD374" s="849">
        <v>0.0</v>
      </c>
      <c r="AE374" s="849">
        <v>0.0</v>
      </c>
      <c r="AF374" s="849">
        <v>0.0</v>
      </c>
      <c r="AG374" s="849">
        <v>0.0</v>
      </c>
      <c r="AH374" s="849">
        <v>0.0</v>
      </c>
      <c r="AI374" s="849">
        <v>0.0</v>
      </c>
      <c r="AJ374" s="794" t="str">
        <f t="shared" ref="AJ374:AK374" si="745">C374</f>
        <v>G23100</v>
      </c>
      <c r="AK374" s="794" t="str">
        <f t="shared" si="745"/>
        <v>INV. AUTOS NEUVES</v>
      </c>
      <c r="AL374" s="794">
        <f t="array" ref="AL374">IFERROR(INDEX(G374:R374,1,MATCH(Parametres!$B$3,G$1:R$1,0)-1)*IF(OR(F374="L",F374="S",F374="I"),-1,1),"")</f>
        <v>146912</v>
      </c>
      <c r="AM374" s="794">
        <f t="shared" si="4"/>
        <v>359125</v>
      </c>
      <c r="AN374" s="794">
        <f t="array" ref="AN374">INDEX(G374:R374,1,MATCH(Parametres!$B$3,G$1:R$1,0))*IF(OR(F374="L",F374="S",F374="I"),-1,1)</f>
        <v>506037</v>
      </c>
      <c r="AO374" s="853" t="str">
        <f>+VLOOKUP($AJ374,Data_Validation!$A:$D,1,0)</f>
        <v>G23100</v>
      </c>
      <c r="AP374" s="853" t="str">
        <f>+VLOOKUP($AJ374,Data_Validation!$A:$D,3,0)</f>
        <v>Bilan</v>
      </c>
      <c r="AQ374" s="853" t="str">
        <f>+VLOOKUP($AJ374,Data_Validation!$A:$D,4,0)</f>
        <v>Inventaire Véhicules Neufs</v>
      </c>
      <c r="AR374" s="853" t="s">
        <v>728</v>
      </c>
      <c r="AS374" s="853" t="str">
        <f>+VLOOKUP($AJ374,Data_Validation!$A:$E,5,0)</f>
        <v/>
      </c>
      <c r="AT374" s="794" t="str">
        <f t="shared" ref="AT374:AU374" si="746">C374</f>
        <v>G23100</v>
      </c>
      <c r="AU374" s="854" t="str">
        <f t="shared" si="746"/>
        <v>INV. AUTOS NEUVES</v>
      </c>
      <c r="AV374" s="794">
        <f t="array" ref="AV374">IFERROR(INDEX(V374:AG374,1,MATCH(Parametres!$B$3,V$1:AG$1,0)-1)*IF(OR(C374="L",C374="S",C374="I"),-1,1),"")</f>
        <v>0</v>
      </c>
      <c r="AW374" s="794">
        <f t="shared" si="6"/>
        <v>0</v>
      </c>
      <c r="AX374" s="794">
        <f t="array" ref="AX374">INDEX(V374:AG374,1,MATCH(Parametres!$B$3,V$1:AG$1,0))*IF(OR(C374="L",C374="S",C374="I"),-1,1)</f>
        <v>0</v>
      </c>
      <c r="AY374" s="853" t="s">
        <v>772</v>
      </c>
      <c r="AZ374" s="853" t="str">
        <f>+VLOOKUP($AJ374,Data_Validation!$A:$E,5,0)</f>
        <v/>
      </c>
    </row>
    <row r="375" ht="15.75" customHeight="1">
      <c r="A375" s="849" t="s">
        <v>1239</v>
      </c>
      <c r="B375" s="849">
        <v>2025.0</v>
      </c>
      <c r="C375" s="849" t="s">
        <v>2075</v>
      </c>
      <c r="D375" s="849" t="s">
        <v>2076</v>
      </c>
      <c r="E375" s="849" t="s">
        <v>2072</v>
      </c>
      <c r="F375" s="849" t="s">
        <v>1926</v>
      </c>
      <c r="G375" s="849">
        <v>0.0</v>
      </c>
      <c r="H375" s="849">
        <v>0.0</v>
      </c>
      <c r="I375" s="849">
        <v>0.0</v>
      </c>
      <c r="J375" s="849">
        <v>0.0</v>
      </c>
      <c r="K375" s="849">
        <v>0.0</v>
      </c>
      <c r="L375" s="849">
        <v>0.0</v>
      </c>
      <c r="M375" s="849">
        <v>0.0</v>
      </c>
      <c r="N375" s="849">
        <v>0.0</v>
      </c>
      <c r="O375" s="849">
        <v>0.0</v>
      </c>
      <c r="P375" s="849">
        <v>0.0</v>
      </c>
      <c r="Q375" s="849">
        <v>0.0</v>
      </c>
      <c r="R375" s="849">
        <v>0.0</v>
      </c>
      <c r="S375" s="849">
        <v>0.0</v>
      </c>
      <c r="T375" s="849">
        <v>0.0</v>
      </c>
      <c r="U375" s="849">
        <v>0.0</v>
      </c>
      <c r="V375" s="849">
        <v>0.0</v>
      </c>
      <c r="W375" s="849">
        <v>0.0</v>
      </c>
      <c r="X375" s="849">
        <v>0.0</v>
      </c>
      <c r="Y375" s="849">
        <v>0.0</v>
      </c>
      <c r="Z375" s="849">
        <v>0.0</v>
      </c>
      <c r="AA375" s="849">
        <v>0.0</v>
      </c>
      <c r="AB375" s="849">
        <v>0.0</v>
      </c>
      <c r="AC375" s="849">
        <v>0.0</v>
      </c>
      <c r="AD375" s="849">
        <v>0.0</v>
      </c>
      <c r="AE375" s="849">
        <v>0.0</v>
      </c>
      <c r="AF375" s="849">
        <v>0.0</v>
      </c>
      <c r="AG375" s="849">
        <v>0.0</v>
      </c>
      <c r="AH375" s="849">
        <v>0.0</v>
      </c>
      <c r="AI375" s="849">
        <v>0.0</v>
      </c>
      <c r="AJ375" s="794" t="str">
        <f t="shared" ref="AJ375:AK375" si="747">C375</f>
        <v>G23500</v>
      </c>
      <c r="AK375" s="794" t="str">
        <f t="shared" si="747"/>
        <v>INV. CAM. POIDS MOY-NEUFS</v>
      </c>
      <c r="AL375" s="794">
        <f t="array" ref="AL375">IFERROR(INDEX(G375:R375,1,MATCH(Parametres!$B$3,G$1:R$1,0)-1)*IF(OR(F375="L",F375="S",F375="I"),-1,1),"")</f>
        <v>0</v>
      </c>
      <c r="AM375" s="794">
        <f t="shared" si="4"/>
        <v>0</v>
      </c>
      <c r="AN375" s="794">
        <f t="array" ref="AN375">INDEX(G375:R375,1,MATCH(Parametres!$B$3,G$1:R$1,0))*IF(OR(F375="L",F375="S",F375="I"),-1,1)</f>
        <v>0</v>
      </c>
      <c r="AO375" s="853" t="str">
        <f>+VLOOKUP($AJ375,Data_Validation!$A:$D,1,0)</f>
        <v>#N/A</v>
      </c>
      <c r="AP375" s="853" t="str">
        <f>+VLOOKUP($AJ375,Data_Validation!$A:$D,3,0)</f>
        <v>#N/A</v>
      </c>
      <c r="AQ375" s="853" t="str">
        <f>+VLOOKUP($AJ375,Data_Validation!$A:$D,4,0)</f>
        <v>#N/A</v>
      </c>
      <c r="AR375" s="853" t="s">
        <v>728</v>
      </c>
      <c r="AS375" s="853" t="str">
        <f>+VLOOKUP($AJ375,Data_Validation!$A:$E,5,0)</f>
        <v>#N/A</v>
      </c>
      <c r="AT375" s="794" t="str">
        <f t="shared" ref="AT375:AU375" si="748">C375</f>
        <v>G23500</v>
      </c>
      <c r="AU375" s="854" t="str">
        <f t="shared" si="748"/>
        <v>INV. CAM. POIDS MOY-NEUFS</v>
      </c>
      <c r="AV375" s="794">
        <f t="array" ref="AV375">IFERROR(INDEX(V375:AG375,1,MATCH(Parametres!$B$3,V$1:AG$1,0)-1)*IF(OR(C375="L",C375="S",C375="I"),-1,1),"")</f>
        <v>0</v>
      </c>
      <c r="AW375" s="794">
        <f t="shared" si="6"/>
        <v>0</v>
      </c>
      <c r="AX375" s="794">
        <f t="array" ref="AX375">INDEX(V375:AG375,1,MATCH(Parametres!$B$3,V$1:AG$1,0))*IF(OR(C375="L",C375="S",C375="I"),-1,1)</f>
        <v>0</v>
      </c>
      <c r="AY375" s="853" t="s">
        <v>772</v>
      </c>
      <c r="AZ375" s="853" t="str">
        <f>+VLOOKUP($AJ375,Data_Validation!$A:$E,5,0)</f>
        <v>#N/A</v>
      </c>
    </row>
    <row r="376" ht="15.75" customHeight="1">
      <c r="A376" s="849" t="s">
        <v>1239</v>
      </c>
      <c r="B376" s="849">
        <v>2025.0</v>
      </c>
      <c r="C376" s="849" t="s">
        <v>2077</v>
      </c>
      <c r="D376" s="849" t="s">
        <v>2078</v>
      </c>
      <c r="E376" s="849" t="s">
        <v>2072</v>
      </c>
      <c r="F376" s="849" t="s">
        <v>1926</v>
      </c>
      <c r="G376" s="849">
        <v>1.644535478E7</v>
      </c>
      <c r="H376" s="849">
        <v>2.187532248E7</v>
      </c>
      <c r="I376" s="849">
        <v>3.541462908E7</v>
      </c>
      <c r="J376" s="849">
        <v>3.429542229E7</v>
      </c>
      <c r="K376" s="849">
        <v>3.204348554E7</v>
      </c>
      <c r="L376" s="849">
        <v>2.265204856E7</v>
      </c>
      <c r="M376" s="849">
        <v>2.104524464E7</v>
      </c>
      <c r="N376" s="849">
        <v>1.873377465E7</v>
      </c>
      <c r="O376" s="849">
        <v>2.294444989E7</v>
      </c>
      <c r="P376" s="849">
        <v>2.791570362E7</v>
      </c>
      <c r="Q376" s="849">
        <v>2.114000711E7</v>
      </c>
      <c r="R376" s="849">
        <v>2.715942239E7</v>
      </c>
      <c r="S376" s="849">
        <v>0.0</v>
      </c>
      <c r="T376" s="849">
        <v>0.0</v>
      </c>
      <c r="U376" s="849">
        <v>0.0</v>
      </c>
      <c r="V376" s="849">
        <v>0.0</v>
      </c>
      <c r="W376" s="849">
        <v>0.0</v>
      </c>
      <c r="X376" s="849">
        <v>0.0</v>
      </c>
      <c r="Y376" s="849">
        <v>0.0</v>
      </c>
      <c r="Z376" s="849">
        <v>0.0</v>
      </c>
      <c r="AA376" s="849">
        <v>0.0</v>
      </c>
      <c r="AB376" s="849">
        <v>0.0</v>
      </c>
      <c r="AC376" s="849">
        <v>0.0</v>
      </c>
      <c r="AD376" s="849">
        <v>0.0</v>
      </c>
      <c r="AE376" s="849">
        <v>0.0</v>
      </c>
      <c r="AF376" s="849">
        <v>0.0</v>
      </c>
      <c r="AG376" s="849">
        <v>0.0</v>
      </c>
      <c r="AH376" s="849">
        <v>0.0</v>
      </c>
      <c r="AI376" s="849">
        <v>0.0</v>
      </c>
      <c r="AJ376" s="794" t="str">
        <f t="shared" ref="AJ376:AK376" si="749">C376</f>
        <v>G23700</v>
      </c>
      <c r="AK376" s="794" t="str">
        <f t="shared" si="749"/>
        <v>INV. CAMIONS NEUFS</v>
      </c>
      <c r="AL376" s="794">
        <f t="array" ref="AL376">IFERROR(INDEX(G376:R376,1,MATCH(Parametres!$B$3,G$1:R$1,0)-1)*IF(OR(F376="L",F376="S",F376="I"),-1,1),"")</f>
        <v>18733774.65</v>
      </c>
      <c r="AM376" s="794">
        <f t="shared" si="4"/>
        <v>4210675.24</v>
      </c>
      <c r="AN376" s="794">
        <f t="array" ref="AN376">INDEX(G376:R376,1,MATCH(Parametres!$B$3,G$1:R$1,0))*IF(OR(F376="L",F376="S",F376="I"),-1,1)</f>
        <v>22944449.89</v>
      </c>
      <c r="AO376" s="853" t="str">
        <f>+VLOOKUP($AJ376,Data_Validation!$A:$D,1,0)</f>
        <v>G23700</v>
      </c>
      <c r="AP376" s="853" t="str">
        <f>+VLOOKUP($AJ376,Data_Validation!$A:$D,3,0)</f>
        <v>Bilan</v>
      </c>
      <c r="AQ376" s="853" t="str">
        <f>+VLOOKUP($AJ376,Data_Validation!$A:$D,4,0)</f>
        <v>Inventaire Véhicules Neufs</v>
      </c>
      <c r="AR376" s="853" t="s">
        <v>728</v>
      </c>
      <c r="AS376" s="853" t="str">
        <f>+VLOOKUP($AJ376,Data_Validation!$A:$E,5,0)</f>
        <v/>
      </c>
      <c r="AT376" s="794" t="str">
        <f t="shared" ref="AT376:AU376" si="750">C376</f>
        <v>G23700</v>
      </c>
      <c r="AU376" s="854" t="str">
        <f t="shared" si="750"/>
        <v>INV. CAMIONS NEUFS</v>
      </c>
      <c r="AV376" s="794">
        <f t="array" ref="AV376">IFERROR(INDEX(V376:AG376,1,MATCH(Parametres!$B$3,V$1:AG$1,0)-1)*IF(OR(C376="L",C376="S",C376="I"),-1,1),"")</f>
        <v>0</v>
      </c>
      <c r="AW376" s="794">
        <f t="shared" si="6"/>
        <v>0</v>
      </c>
      <c r="AX376" s="794">
        <f t="array" ref="AX376">INDEX(V376:AG376,1,MATCH(Parametres!$B$3,V$1:AG$1,0))*IF(OR(C376="L",C376="S",C376="I"),-1,1)</f>
        <v>0</v>
      </c>
      <c r="AY376" s="853" t="s">
        <v>772</v>
      </c>
      <c r="AZ376" s="853" t="str">
        <f>+VLOOKUP($AJ376,Data_Validation!$A:$E,5,0)</f>
        <v/>
      </c>
    </row>
    <row r="377" ht="15.75" customHeight="1">
      <c r="A377" s="849" t="s">
        <v>1239</v>
      </c>
      <c r="B377" s="849">
        <v>2025.0</v>
      </c>
      <c r="C377" s="849" t="s">
        <v>2079</v>
      </c>
      <c r="D377" s="849" t="s">
        <v>2080</v>
      </c>
      <c r="E377" s="849" t="s">
        <v>2072</v>
      </c>
      <c r="F377" s="849" t="s">
        <v>1926</v>
      </c>
      <c r="G377" s="849">
        <v>793615.82</v>
      </c>
      <c r="H377" s="849">
        <v>745322.74</v>
      </c>
      <c r="I377" s="849">
        <v>708486.73</v>
      </c>
      <c r="J377" s="849">
        <v>477619.18</v>
      </c>
      <c r="K377" s="849">
        <v>466405.13</v>
      </c>
      <c r="L377" s="849">
        <v>349289.24</v>
      </c>
      <c r="M377" s="849">
        <v>210102.82</v>
      </c>
      <c r="N377" s="849">
        <v>435292.38</v>
      </c>
      <c r="O377" s="849">
        <v>302729.02</v>
      </c>
      <c r="P377" s="849">
        <v>1471229.32</v>
      </c>
      <c r="Q377" s="849">
        <v>902366.12</v>
      </c>
      <c r="R377" s="849">
        <v>620576.41</v>
      </c>
      <c r="S377" s="849">
        <v>0.0</v>
      </c>
      <c r="T377" s="849">
        <v>0.0</v>
      </c>
      <c r="U377" s="849">
        <v>0.0</v>
      </c>
      <c r="V377" s="849">
        <v>0.0</v>
      </c>
      <c r="W377" s="849">
        <v>0.0</v>
      </c>
      <c r="X377" s="849">
        <v>0.0</v>
      </c>
      <c r="Y377" s="849">
        <v>0.0</v>
      </c>
      <c r="Z377" s="849">
        <v>0.0</v>
      </c>
      <c r="AA377" s="849">
        <v>0.0</v>
      </c>
      <c r="AB377" s="849">
        <v>0.0</v>
      </c>
      <c r="AC377" s="849">
        <v>0.0</v>
      </c>
      <c r="AD377" s="849">
        <v>0.0</v>
      </c>
      <c r="AE377" s="849">
        <v>0.0</v>
      </c>
      <c r="AF377" s="849">
        <v>0.0</v>
      </c>
      <c r="AG377" s="849">
        <v>0.0</v>
      </c>
      <c r="AH377" s="849">
        <v>0.0</v>
      </c>
      <c r="AI377" s="849">
        <v>0.0</v>
      </c>
      <c r="AJ377" s="794" t="str">
        <f t="shared" ref="AJ377:AK377" si="751">C377</f>
        <v>G24000</v>
      </c>
      <c r="AK377" s="794" t="str">
        <f t="shared" si="751"/>
        <v>INV. AUTOS USAGEES</v>
      </c>
      <c r="AL377" s="794">
        <f t="array" ref="AL377">IFERROR(INDEX(G377:R377,1,MATCH(Parametres!$B$3,G$1:R$1,0)-1)*IF(OR(F377="L",F377="S",F377="I"),-1,1),"")</f>
        <v>435292.38</v>
      </c>
      <c r="AM377" s="794">
        <f t="shared" si="4"/>
        <v>-132563.36</v>
      </c>
      <c r="AN377" s="794">
        <f t="array" ref="AN377">INDEX(G377:R377,1,MATCH(Parametres!$B$3,G$1:R$1,0))*IF(OR(F377="L",F377="S",F377="I"),-1,1)</f>
        <v>302729.02</v>
      </c>
      <c r="AO377" s="853" t="str">
        <f>+VLOOKUP($AJ377,Data_Validation!$A:$D,1,0)</f>
        <v>G24000</v>
      </c>
      <c r="AP377" s="853" t="str">
        <f>+VLOOKUP($AJ377,Data_Validation!$A:$D,3,0)</f>
        <v>Bilan</v>
      </c>
      <c r="AQ377" s="853" t="str">
        <f>+VLOOKUP($AJ377,Data_Validation!$A:$D,4,0)</f>
        <v>Inventaire Véhicules Usagés</v>
      </c>
      <c r="AR377" s="853" t="s">
        <v>728</v>
      </c>
      <c r="AS377" s="853" t="str">
        <f>+VLOOKUP($AJ377,Data_Validation!$A:$E,5,0)</f>
        <v/>
      </c>
      <c r="AT377" s="794" t="str">
        <f t="shared" ref="AT377:AU377" si="752">C377</f>
        <v>G24000</v>
      </c>
      <c r="AU377" s="854" t="str">
        <f t="shared" si="752"/>
        <v>INV. AUTOS USAGEES</v>
      </c>
      <c r="AV377" s="794">
        <f t="array" ref="AV377">IFERROR(INDEX(V377:AG377,1,MATCH(Parametres!$B$3,V$1:AG$1,0)-1)*IF(OR(C377="L",C377="S",C377="I"),-1,1),"")</f>
        <v>0</v>
      </c>
      <c r="AW377" s="794">
        <f t="shared" si="6"/>
        <v>0</v>
      </c>
      <c r="AX377" s="794">
        <f t="array" ref="AX377">INDEX(V377:AG377,1,MATCH(Parametres!$B$3,V$1:AG$1,0))*IF(OR(C377="L",C377="S",C377="I"),-1,1)</f>
        <v>0</v>
      </c>
      <c r="AY377" s="853" t="s">
        <v>772</v>
      </c>
      <c r="AZ377" s="853" t="str">
        <f>+VLOOKUP($AJ377,Data_Validation!$A:$E,5,0)</f>
        <v/>
      </c>
    </row>
    <row r="378" ht="15.75" customHeight="1">
      <c r="A378" s="849" t="s">
        <v>1239</v>
      </c>
      <c r="B378" s="849">
        <v>2025.0</v>
      </c>
      <c r="C378" s="849" t="s">
        <v>2081</v>
      </c>
      <c r="D378" s="849" t="s">
        <v>2082</v>
      </c>
      <c r="E378" s="849" t="s">
        <v>2072</v>
      </c>
      <c r="F378" s="849" t="s">
        <v>1926</v>
      </c>
      <c r="G378" s="849">
        <v>42860.09</v>
      </c>
      <c r="H378" s="849">
        <v>42860.09</v>
      </c>
      <c r="I378" s="849">
        <v>0.0</v>
      </c>
      <c r="J378" s="849">
        <v>0.0</v>
      </c>
      <c r="K378" s="849">
        <v>0.0</v>
      </c>
      <c r="L378" s="849">
        <v>0.0</v>
      </c>
      <c r="M378" s="849">
        <v>0.0</v>
      </c>
      <c r="N378" s="849">
        <v>0.0</v>
      </c>
      <c r="O378" s="849">
        <v>0.0</v>
      </c>
      <c r="P378" s="849">
        <v>0.0</v>
      </c>
      <c r="Q378" s="849">
        <v>0.0</v>
      </c>
      <c r="R378" s="849">
        <v>0.0</v>
      </c>
      <c r="S378" s="849">
        <v>0.0</v>
      </c>
      <c r="T378" s="849">
        <v>0.0</v>
      </c>
      <c r="U378" s="849">
        <v>0.0</v>
      </c>
      <c r="V378" s="849">
        <v>0.0</v>
      </c>
      <c r="W378" s="849">
        <v>0.0</v>
      </c>
      <c r="X378" s="849">
        <v>0.0</v>
      </c>
      <c r="Y378" s="849">
        <v>0.0</v>
      </c>
      <c r="Z378" s="849">
        <v>0.0</v>
      </c>
      <c r="AA378" s="849">
        <v>0.0</v>
      </c>
      <c r="AB378" s="849">
        <v>0.0</v>
      </c>
      <c r="AC378" s="849">
        <v>0.0</v>
      </c>
      <c r="AD378" s="849">
        <v>0.0</v>
      </c>
      <c r="AE378" s="849">
        <v>0.0</v>
      </c>
      <c r="AF378" s="849">
        <v>0.0</v>
      </c>
      <c r="AG378" s="849">
        <v>0.0</v>
      </c>
      <c r="AH378" s="849">
        <v>0.0</v>
      </c>
      <c r="AI378" s="849">
        <v>0.0</v>
      </c>
      <c r="AJ378" s="794" t="str">
        <f t="shared" ref="AJ378:AK378" si="753">C378</f>
        <v>G24001</v>
      </c>
      <c r="AK378" s="794" t="str">
        <f t="shared" si="753"/>
        <v>INVENTAIRE EBLOCK</v>
      </c>
      <c r="AL378" s="794">
        <f t="array" ref="AL378">IFERROR(INDEX(G378:R378,1,MATCH(Parametres!$B$3,G$1:R$1,0)-1)*IF(OR(F378="L",F378="S",F378="I"),-1,1),"")</f>
        <v>0</v>
      </c>
      <c r="AM378" s="794">
        <f t="shared" si="4"/>
        <v>0</v>
      </c>
      <c r="AN378" s="794">
        <f t="array" ref="AN378">INDEX(G378:R378,1,MATCH(Parametres!$B$3,G$1:R$1,0))*IF(OR(F378="L",F378="S",F378="I"),-1,1)</f>
        <v>0</v>
      </c>
      <c r="AO378" s="853" t="str">
        <f>+VLOOKUP($AJ378,Data_Validation!$A:$D,1,0)</f>
        <v>#N/A</v>
      </c>
      <c r="AP378" s="853" t="str">
        <f>+VLOOKUP($AJ378,Data_Validation!$A:$D,3,0)</f>
        <v>#N/A</v>
      </c>
      <c r="AQ378" s="853" t="str">
        <f>+VLOOKUP($AJ378,Data_Validation!$A:$D,4,0)</f>
        <v>#N/A</v>
      </c>
      <c r="AR378" s="853" t="s">
        <v>728</v>
      </c>
      <c r="AS378" s="853" t="str">
        <f>+VLOOKUP($AJ378,Data_Validation!$A:$E,5,0)</f>
        <v>#N/A</v>
      </c>
      <c r="AT378" s="794" t="str">
        <f t="shared" ref="AT378:AU378" si="754">C378</f>
        <v>G24001</v>
      </c>
      <c r="AU378" s="854" t="str">
        <f t="shared" si="754"/>
        <v>INVENTAIRE EBLOCK</v>
      </c>
      <c r="AV378" s="794">
        <f t="array" ref="AV378">IFERROR(INDEX(V378:AG378,1,MATCH(Parametres!$B$3,V$1:AG$1,0)-1)*IF(OR(C378="L",C378="S",C378="I"),-1,1),"")</f>
        <v>0</v>
      </c>
      <c r="AW378" s="794">
        <f t="shared" si="6"/>
        <v>0</v>
      </c>
      <c r="AX378" s="794">
        <f t="array" ref="AX378">INDEX(V378:AG378,1,MATCH(Parametres!$B$3,V$1:AG$1,0))*IF(OR(C378="L",C378="S",C378="I"),-1,1)</f>
        <v>0</v>
      </c>
      <c r="AY378" s="853" t="s">
        <v>772</v>
      </c>
      <c r="AZ378" s="853" t="str">
        <f>+VLOOKUP($AJ378,Data_Validation!$A:$E,5,0)</f>
        <v>#N/A</v>
      </c>
    </row>
    <row r="379" ht="15.75" customHeight="1">
      <c r="A379" s="849" t="s">
        <v>1239</v>
      </c>
      <c r="B379" s="849">
        <v>2025.0</v>
      </c>
      <c r="C379" s="849" t="s">
        <v>2083</v>
      </c>
      <c r="D379" s="849" t="s">
        <v>2084</v>
      </c>
      <c r="E379" s="849" t="s">
        <v>2072</v>
      </c>
      <c r="F379" s="849" t="s">
        <v>1926</v>
      </c>
      <c r="G379" s="849">
        <v>2827925.02</v>
      </c>
      <c r="H379" s="849">
        <v>4607796.59</v>
      </c>
      <c r="I379" s="849">
        <v>1564929.81</v>
      </c>
      <c r="J379" s="849">
        <v>2843500.48</v>
      </c>
      <c r="K379" s="849">
        <v>3178901.77</v>
      </c>
      <c r="L379" s="849">
        <v>2747328.65</v>
      </c>
      <c r="M379" s="849">
        <v>3492252.47</v>
      </c>
      <c r="N379" s="849">
        <v>2371907.33</v>
      </c>
      <c r="O379" s="849">
        <v>2364529.04</v>
      </c>
      <c r="P379" s="849">
        <v>3010401.03</v>
      </c>
      <c r="Q379" s="849">
        <v>3504702.93</v>
      </c>
      <c r="R379" s="849">
        <v>8078341.46</v>
      </c>
      <c r="S379" s="849">
        <v>0.0</v>
      </c>
      <c r="T379" s="849">
        <v>0.0</v>
      </c>
      <c r="U379" s="849">
        <v>0.0</v>
      </c>
      <c r="V379" s="849">
        <v>0.0</v>
      </c>
      <c r="W379" s="849">
        <v>0.0</v>
      </c>
      <c r="X379" s="849">
        <v>0.0</v>
      </c>
      <c r="Y379" s="849">
        <v>0.0</v>
      </c>
      <c r="Z379" s="849">
        <v>0.0</v>
      </c>
      <c r="AA379" s="849">
        <v>0.0</v>
      </c>
      <c r="AB379" s="849">
        <v>0.0</v>
      </c>
      <c r="AC379" s="849">
        <v>0.0</v>
      </c>
      <c r="AD379" s="849">
        <v>0.0</v>
      </c>
      <c r="AE379" s="849">
        <v>0.0</v>
      </c>
      <c r="AF379" s="849">
        <v>0.0</v>
      </c>
      <c r="AG379" s="849">
        <v>0.0</v>
      </c>
      <c r="AH379" s="849">
        <v>0.0</v>
      </c>
      <c r="AI379" s="849">
        <v>0.0</v>
      </c>
      <c r="AJ379" s="794" t="str">
        <f t="shared" ref="AJ379:AK379" si="755">C379</f>
        <v>G24100</v>
      </c>
      <c r="AK379" s="794" t="str">
        <f t="shared" si="755"/>
        <v>INV. CAMIONS USAGES</v>
      </c>
      <c r="AL379" s="794">
        <f t="array" ref="AL379">IFERROR(INDEX(G379:R379,1,MATCH(Parametres!$B$3,G$1:R$1,0)-1)*IF(OR(F379="L",F379="S",F379="I"),-1,1),"")</f>
        <v>2371907.33</v>
      </c>
      <c r="AM379" s="794">
        <f t="shared" si="4"/>
        <v>-7378.29</v>
      </c>
      <c r="AN379" s="794">
        <f t="array" ref="AN379">INDEX(G379:R379,1,MATCH(Parametres!$B$3,G$1:R$1,0))*IF(OR(F379="L",F379="S",F379="I"),-1,1)</f>
        <v>2364529.04</v>
      </c>
      <c r="AO379" s="853" t="str">
        <f>+VLOOKUP($AJ379,Data_Validation!$A:$D,1,0)</f>
        <v>G24100</v>
      </c>
      <c r="AP379" s="853" t="str">
        <f>+VLOOKUP($AJ379,Data_Validation!$A:$D,3,0)</f>
        <v>Bilan</v>
      </c>
      <c r="AQ379" s="853" t="str">
        <f>+VLOOKUP($AJ379,Data_Validation!$A:$D,4,0)</f>
        <v>Inventaire Véhicules Usagés</v>
      </c>
      <c r="AR379" s="853" t="s">
        <v>728</v>
      </c>
      <c r="AS379" s="853" t="str">
        <f>+VLOOKUP($AJ379,Data_Validation!$A:$E,5,0)</f>
        <v/>
      </c>
      <c r="AT379" s="794" t="str">
        <f t="shared" ref="AT379:AU379" si="756">C379</f>
        <v>G24100</v>
      </c>
      <c r="AU379" s="854" t="str">
        <f t="shared" si="756"/>
        <v>INV. CAMIONS USAGES</v>
      </c>
      <c r="AV379" s="794">
        <f t="array" ref="AV379">IFERROR(INDEX(V379:AG379,1,MATCH(Parametres!$B$3,V$1:AG$1,0)-1)*IF(OR(C379="L",C379="S",C379="I"),-1,1),"")</f>
        <v>0</v>
      </c>
      <c r="AW379" s="794">
        <f t="shared" si="6"/>
        <v>0</v>
      </c>
      <c r="AX379" s="794">
        <f t="array" ref="AX379">INDEX(V379:AG379,1,MATCH(Parametres!$B$3,V$1:AG$1,0))*IF(OR(C379="L",C379="S",C379="I"),-1,1)</f>
        <v>0</v>
      </c>
      <c r="AY379" s="853" t="s">
        <v>772</v>
      </c>
      <c r="AZ379" s="853" t="str">
        <f>+VLOOKUP($AJ379,Data_Validation!$A:$E,5,0)</f>
        <v/>
      </c>
    </row>
    <row r="380" ht="15.75" customHeight="1">
      <c r="A380" s="849" t="s">
        <v>1239</v>
      </c>
      <c r="B380" s="849">
        <v>2025.0</v>
      </c>
      <c r="C380" s="849" t="s">
        <v>2087</v>
      </c>
      <c r="D380" s="849" t="s">
        <v>3453</v>
      </c>
      <c r="E380" s="849" t="s">
        <v>2072</v>
      </c>
      <c r="F380" s="849" t="s">
        <v>1926</v>
      </c>
      <c r="G380" s="849">
        <v>8630050.1</v>
      </c>
      <c r="H380" s="849">
        <v>1.354421084E7</v>
      </c>
      <c r="I380" s="849">
        <v>2.151489099E7</v>
      </c>
      <c r="J380" s="849">
        <v>1.977347553E7</v>
      </c>
      <c r="K380" s="849">
        <v>1.310655695E7</v>
      </c>
      <c r="L380" s="849">
        <v>6995958.31</v>
      </c>
      <c r="M380" s="849">
        <v>4695997.71</v>
      </c>
      <c r="N380" s="849">
        <v>2325043.79</v>
      </c>
      <c r="O380" s="849">
        <v>1644034.03</v>
      </c>
      <c r="P380" s="849">
        <v>2482482.69</v>
      </c>
      <c r="Q380" s="849">
        <v>7581584.24</v>
      </c>
      <c r="R380" s="849">
        <v>1.23367053E7</v>
      </c>
      <c r="S380" s="849">
        <v>0.0</v>
      </c>
      <c r="T380" s="849">
        <v>0.0</v>
      </c>
      <c r="U380" s="849">
        <v>0.0</v>
      </c>
      <c r="V380" s="849">
        <v>0.0</v>
      </c>
      <c r="W380" s="849">
        <v>0.0</v>
      </c>
      <c r="X380" s="849">
        <v>0.0</v>
      </c>
      <c r="Y380" s="849">
        <v>0.0</v>
      </c>
      <c r="Z380" s="849">
        <v>0.0</v>
      </c>
      <c r="AA380" s="849">
        <v>0.0</v>
      </c>
      <c r="AB380" s="849">
        <v>0.0</v>
      </c>
      <c r="AC380" s="849">
        <v>0.0</v>
      </c>
      <c r="AD380" s="849">
        <v>0.0</v>
      </c>
      <c r="AE380" s="849">
        <v>0.0</v>
      </c>
      <c r="AF380" s="849">
        <v>0.0</v>
      </c>
      <c r="AG380" s="849">
        <v>0.0</v>
      </c>
      <c r="AH380" s="849">
        <v>0.0</v>
      </c>
      <c r="AI380" s="849">
        <v>0.0</v>
      </c>
      <c r="AJ380" s="794" t="str">
        <f t="shared" ref="AJ380:AK380" si="757">C380</f>
        <v>G24103</v>
      </c>
      <c r="AK380" s="794" t="str">
        <f t="shared" si="757"/>
        <v>INV. VENTES U.S.A</v>
      </c>
      <c r="AL380" s="794">
        <f t="array" ref="AL380">IFERROR(INDEX(G380:R380,1,MATCH(Parametres!$B$3,G$1:R$1,0)-1)*IF(OR(F380="L",F380="S",F380="I"),-1,1),"")</f>
        <v>2325043.79</v>
      </c>
      <c r="AM380" s="794">
        <f t="shared" si="4"/>
        <v>-681009.76</v>
      </c>
      <c r="AN380" s="794">
        <f t="array" ref="AN380">INDEX(G380:R380,1,MATCH(Parametres!$B$3,G$1:R$1,0))*IF(OR(F380="L",F380="S",F380="I"),-1,1)</f>
        <v>1644034.03</v>
      </c>
      <c r="AO380" s="853" t="str">
        <f>+VLOOKUP($AJ380,Data_Validation!$A:$D,1,0)</f>
        <v>G24103</v>
      </c>
      <c r="AP380" s="853" t="str">
        <f>+VLOOKUP($AJ380,Data_Validation!$A:$D,3,0)</f>
        <v>Bilan</v>
      </c>
      <c r="AQ380" s="853" t="str">
        <f>+VLOOKUP($AJ380,Data_Validation!$A:$D,4,0)</f>
        <v>Inventaire Véhicules Usagés</v>
      </c>
      <c r="AR380" s="853" t="s">
        <v>728</v>
      </c>
      <c r="AS380" s="853" t="str">
        <f>+VLOOKUP($AJ380,Data_Validation!$A:$E,5,0)</f>
        <v/>
      </c>
      <c r="AT380" s="794" t="str">
        <f t="shared" ref="AT380:AU380" si="758">C380</f>
        <v>G24103</v>
      </c>
      <c r="AU380" s="854" t="str">
        <f t="shared" si="758"/>
        <v>INV. VENTES U.S.A</v>
      </c>
      <c r="AV380" s="794">
        <f t="array" ref="AV380">IFERROR(INDEX(V380:AG380,1,MATCH(Parametres!$B$3,V$1:AG$1,0)-1)*IF(OR(C380="L",C380="S",C380="I"),-1,1),"")</f>
        <v>0</v>
      </c>
      <c r="AW380" s="794">
        <f t="shared" si="6"/>
        <v>0</v>
      </c>
      <c r="AX380" s="794">
        <f t="array" ref="AX380">INDEX(V380:AG380,1,MATCH(Parametres!$B$3,V$1:AG$1,0))*IF(OR(C380="L",C380="S",C380="I"),-1,1)</f>
        <v>0</v>
      </c>
      <c r="AY380" s="853" t="s">
        <v>772</v>
      </c>
      <c r="AZ380" s="853" t="str">
        <f>+VLOOKUP($AJ380,Data_Validation!$A:$E,5,0)</f>
        <v/>
      </c>
    </row>
    <row r="381" ht="15.75" customHeight="1">
      <c r="A381" s="849" t="s">
        <v>1239</v>
      </c>
      <c r="B381" s="849">
        <v>2025.0</v>
      </c>
      <c r="C381" s="849" t="s">
        <v>2091</v>
      </c>
      <c r="D381" s="849" t="s">
        <v>2092</v>
      </c>
      <c r="E381" s="849" t="s">
        <v>768</v>
      </c>
      <c r="F381" s="849" t="s">
        <v>1926</v>
      </c>
      <c r="G381" s="849">
        <v>0.0</v>
      </c>
      <c r="H381" s="849">
        <v>0.0</v>
      </c>
      <c r="I381" s="849">
        <v>0.0</v>
      </c>
      <c r="J381" s="849">
        <v>0.0</v>
      </c>
      <c r="K381" s="849">
        <v>0.0</v>
      </c>
      <c r="L381" s="849">
        <v>0.0</v>
      </c>
      <c r="M381" s="849">
        <v>0.0</v>
      </c>
      <c r="N381" s="849">
        <v>0.0</v>
      </c>
      <c r="O381" s="849">
        <v>0.0</v>
      </c>
      <c r="P381" s="849">
        <v>0.0</v>
      </c>
      <c r="Q381" s="849">
        <v>0.0</v>
      </c>
      <c r="R381" s="849">
        <v>0.0</v>
      </c>
      <c r="S381" s="849">
        <v>0.0</v>
      </c>
      <c r="T381" s="849">
        <v>0.0</v>
      </c>
      <c r="U381" s="849">
        <v>0.0</v>
      </c>
      <c r="V381" s="849">
        <v>0.0</v>
      </c>
      <c r="W381" s="849">
        <v>0.0</v>
      </c>
      <c r="X381" s="849">
        <v>0.0</v>
      </c>
      <c r="Y381" s="849">
        <v>0.0</v>
      </c>
      <c r="Z381" s="849">
        <v>0.0</v>
      </c>
      <c r="AA381" s="849">
        <v>0.0</v>
      </c>
      <c r="AB381" s="849">
        <v>0.0</v>
      </c>
      <c r="AC381" s="849">
        <v>0.0</v>
      </c>
      <c r="AD381" s="849">
        <v>0.0</v>
      </c>
      <c r="AE381" s="849">
        <v>0.0</v>
      </c>
      <c r="AF381" s="849">
        <v>0.0</v>
      </c>
      <c r="AG381" s="849">
        <v>0.0</v>
      </c>
      <c r="AH381" s="849">
        <v>0.0</v>
      </c>
      <c r="AI381" s="849">
        <v>0.0</v>
      </c>
      <c r="AJ381" s="794" t="str">
        <f t="shared" ref="AJ381:AK381" si="759">C381</f>
        <v>G242A</v>
      </c>
      <c r="AK381" s="794" t="str">
        <f t="shared" si="759"/>
        <v>PIECES D'ECHANGES</v>
      </c>
      <c r="AL381" s="794">
        <f t="array" ref="AL381">IFERROR(INDEX(G381:R381,1,MATCH(Parametres!$B$3,G$1:R$1,0)-1)*IF(OR(F381="L",F381="S",F381="I"),-1,1),"")</f>
        <v>0</v>
      </c>
      <c r="AM381" s="794">
        <f t="shared" si="4"/>
        <v>0</v>
      </c>
      <c r="AN381" s="794">
        <f t="array" ref="AN381">INDEX(G381:R381,1,MATCH(Parametres!$B$3,G$1:R$1,0))*IF(OR(F381="L",F381="S",F381="I"),-1,1)</f>
        <v>0</v>
      </c>
      <c r="AO381" s="853" t="str">
        <f>+VLOOKUP($AJ381,Data_Validation!$A:$D,1,0)</f>
        <v>#N/A</v>
      </c>
      <c r="AP381" s="853" t="str">
        <f>+VLOOKUP($AJ381,Data_Validation!$A:$D,3,0)</f>
        <v>#N/A</v>
      </c>
      <c r="AQ381" s="853" t="str">
        <f>+VLOOKUP($AJ381,Data_Validation!$A:$D,4,0)</f>
        <v>#N/A</v>
      </c>
      <c r="AR381" s="853" t="s">
        <v>728</v>
      </c>
      <c r="AS381" s="853" t="str">
        <f>+VLOOKUP($AJ381,Data_Validation!$A:$E,5,0)</f>
        <v>#N/A</v>
      </c>
      <c r="AT381" s="794" t="str">
        <f t="shared" ref="AT381:AU381" si="760">C381</f>
        <v>G242A</v>
      </c>
      <c r="AU381" s="854" t="str">
        <f t="shared" si="760"/>
        <v>PIECES D'ECHANGES</v>
      </c>
      <c r="AV381" s="794">
        <f t="array" ref="AV381">IFERROR(INDEX(V381:AG381,1,MATCH(Parametres!$B$3,V$1:AG$1,0)-1)*IF(OR(C381="L",C381="S",C381="I"),-1,1),"")</f>
        <v>0</v>
      </c>
      <c r="AW381" s="794">
        <f t="shared" si="6"/>
        <v>0</v>
      </c>
      <c r="AX381" s="794">
        <f t="array" ref="AX381">INDEX(V381:AG381,1,MATCH(Parametres!$B$3,V$1:AG$1,0))*IF(OR(C381="L",C381="S",C381="I"),-1,1)</f>
        <v>0</v>
      </c>
      <c r="AY381" s="853" t="s">
        <v>772</v>
      </c>
      <c r="AZ381" s="853" t="str">
        <f>+VLOOKUP($AJ381,Data_Validation!$A:$E,5,0)</f>
        <v>#N/A</v>
      </c>
    </row>
    <row r="382" ht="15.75" customHeight="1">
      <c r="A382" s="849" t="s">
        <v>1239</v>
      </c>
      <c r="B382" s="849">
        <v>2025.0</v>
      </c>
      <c r="C382" s="849" t="s">
        <v>2093</v>
      </c>
      <c r="D382" s="849" t="s">
        <v>2094</v>
      </c>
      <c r="E382" s="849" t="s">
        <v>768</v>
      </c>
      <c r="F382" s="849" t="s">
        <v>1926</v>
      </c>
      <c r="G382" s="849">
        <v>391622.39</v>
      </c>
      <c r="H382" s="849">
        <v>221360.0</v>
      </c>
      <c r="I382" s="849">
        <v>179617.76</v>
      </c>
      <c r="J382" s="849">
        <v>126062.05</v>
      </c>
      <c r="K382" s="849">
        <v>66601.11</v>
      </c>
      <c r="L382" s="849">
        <v>246602.28</v>
      </c>
      <c r="M382" s="849">
        <v>274794.71</v>
      </c>
      <c r="N382" s="849">
        <v>342605.14</v>
      </c>
      <c r="O382" s="849">
        <v>305943.8</v>
      </c>
      <c r="P382" s="849">
        <v>334474.39</v>
      </c>
      <c r="Q382" s="849">
        <v>331678.7</v>
      </c>
      <c r="R382" s="849">
        <v>287589.82</v>
      </c>
      <c r="S382" s="849">
        <v>0.0</v>
      </c>
      <c r="T382" s="849">
        <v>0.0</v>
      </c>
      <c r="U382" s="849">
        <v>0.0</v>
      </c>
      <c r="V382" s="849">
        <v>0.0</v>
      </c>
      <c r="W382" s="849">
        <v>0.0</v>
      </c>
      <c r="X382" s="849">
        <v>0.0</v>
      </c>
      <c r="Y382" s="849">
        <v>0.0</v>
      </c>
      <c r="Z382" s="849">
        <v>0.0</v>
      </c>
      <c r="AA382" s="849">
        <v>0.0</v>
      </c>
      <c r="AB382" s="849">
        <v>0.0</v>
      </c>
      <c r="AC382" s="849">
        <v>0.0</v>
      </c>
      <c r="AD382" s="849">
        <v>0.0</v>
      </c>
      <c r="AE382" s="849">
        <v>0.0</v>
      </c>
      <c r="AF382" s="849">
        <v>0.0</v>
      </c>
      <c r="AG382" s="849">
        <v>0.0</v>
      </c>
      <c r="AH382" s="849">
        <v>0.0</v>
      </c>
      <c r="AI382" s="849">
        <v>0.0</v>
      </c>
      <c r="AJ382" s="794" t="str">
        <f t="shared" ref="AJ382:AK382" si="761">C382</f>
        <v>G24200</v>
      </c>
      <c r="AK382" s="794" t="str">
        <f t="shared" si="761"/>
        <v>INV. DE PIECES</v>
      </c>
      <c r="AL382" s="794">
        <f t="array" ref="AL382">IFERROR(INDEX(G382:R382,1,MATCH(Parametres!$B$3,G$1:R$1,0)-1)*IF(OR(F382="L",F382="S",F382="I"),-1,1),"")</f>
        <v>342605.14</v>
      </c>
      <c r="AM382" s="794">
        <f t="shared" si="4"/>
        <v>-36661.34</v>
      </c>
      <c r="AN382" s="794">
        <f t="array" ref="AN382">INDEX(G382:R382,1,MATCH(Parametres!$B$3,G$1:R$1,0))*IF(OR(F382="L",F382="S",F382="I"),-1,1)</f>
        <v>305943.8</v>
      </c>
      <c r="AO382" s="853" t="str">
        <f>+VLOOKUP($AJ382,Data_Validation!$A:$D,1,0)</f>
        <v>G24200</v>
      </c>
      <c r="AP382" s="853" t="str">
        <f>+VLOOKUP($AJ382,Data_Validation!$A:$D,3,0)</f>
        <v>Bilan</v>
      </c>
      <c r="AQ382" s="853" t="str">
        <f>+VLOOKUP($AJ382,Data_Validation!$A:$D,4,0)</f>
        <v>Inventaire Pièces, Pneus, Huile</v>
      </c>
      <c r="AR382" s="853" t="s">
        <v>728</v>
      </c>
      <c r="AS382" s="853" t="str">
        <f>+VLOOKUP($AJ382,Data_Validation!$A:$E,5,0)</f>
        <v/>
      </c>
      <c r="AT382" s="794" t="str">
        <f t="shared" ref="AT382:AU382" si="762">C382</f>
        <v>G24200</v>
      </c>
      <c r="AU382" s="854" t="str">
        <f t="shared" si="762"/>
        <v>INV. DE PIECES</v>
      </c>
      <c r="AV382" s="794">
        <f t="array" ref="AV382">IFERROR(INDEX(V382:AG382,1,MATCH(Parametres!$B$3,V$1:AG$1,0)-1)*IF(OR(C382="L",C382="S",C382="I"),-1,1),"")</f>
        <v>0</v>
      </c>
      <c r="AW382" s="794">
        <f t="shared" si="6"/>
        <v>0</v>
      </c>
      <c r="AX382" s="794">
        <f t="array" ref="AX382">INDEX(V382:AG382,1,MATCH(Parametres!$B$3,V$1:AG$1,0))*IF(OR(C382="L",C382="S",C382="I"),-1,1)</f>
        <v>0</v>
      </c>
      <c r="AY382" s="853" t="s">
        <v>772</v>
      </c>
      <c r="AZ382" s="853" t="str">
        <f>+VLOOKUP($AJ382,Data_Validation!$A:$E,5,0)</f>
        <v/>
      </c>
    </row>
    <row r="383" ht="15.75" customHeight="1">
      <c r="A383" s="849" t="s">
        <v>1239</v>
      </c>
      <c r="B383" s="849">
        <v>2025.0</v>
      </c>
      <c r="C383" s="849" t="s">
        <v>2095</v>
      </c>
      <c r="D383" s="849" t="s">
        <v>2096</v>
      </c>
      <c r="E383" s="849" t="s">
        <v>768</v>
      </c>
      <c r="F383" s="849" t="s">
        <v>1926</v>
      </c>
      <c r="G383" s="849">
        <v>339824.65</v>
      </c>
      <c r="H383" s="849">
        <v>310236.8</v>
      </c>
      <c r="I383" s="849">
        <v>305627.9</v>
      </c>
      <c r="J383" s="849">
        <v>308025.78</v>
      </c>
      <c r="K383" s="849">
        <v>311747.68</v>
      </c>
      <c r="L383" s="849">
        <v>135192.66</v>
      </c>
      <c r="M383" s="849">
        <v>138535.14</v>
      </c>
      <c r="N383" s="849">
        <v>144861.64</v>
      </c>
      <c r="O383" s="849">
        <v>270203.94</v>
      </c>
      <c r="P383" s="849">
        <v>258530.78</v>
      </c>
      <c r="Q383" s="849">
        <v>244903.01</v>
      </c>
      <c r="R383" s="849">
        <v>236655.82</v>
      </c>
      <c r="S383" s="849">
        <v>0.0</v>
      </c>
      <c r="T383" s="849">
        <v>0.0</v>
      </c>
      <c r="U383" s="849">
        <v>0.0</v>
      </c>
      <c r="V383" s="849">
        <v>0.0</v>
      </c>
      <c r="W383" s="849">
        <v>0.0</v>
      </c>
      <c r="X383" s="849">
        <v>0.0</v>
      </c>
      <c r="Y383" s="849">
        <v>0.0</v>
      </c>
      <c r="Z383" s="849">
        <v>0.0</v>
      </c>
      <c r="AA383" s="849">
        <v>0.0</v>
      </c>
      <c r="AB383" s="849">
        <v>0.0</v>
      </c>
      <c r="AC383" s="849">
        <v>0.0</v>
      </c>
      <c r="AD383" s="849">
        <v>0.0</v>
      </c>
      <c r="AE383" s="849">
        <v>0.0</v>
      </c>
      <c r="AF383" s="849">
        <v>0.0</v>
      </c>
      <c r="AG383" s="849">
        <v>0.0</v>
      </c>
      <c r="AH383" s="849">
        <v>0.0</v>
      </c>
      <c r="AI383" s="849">
        <v>0.0</v>
      </c>
      <c r="AJ383" s="794" t="str">
        <f t="shared" ref="AJ383:AK383" si="763">C383</f>
        <v>G24300</v>
      </c>
      <c r="AK383" s="794" t="str">
        <f t="shared" si="763"/>
        <v>INV. DE PNEUS</v>
      </c>
      <c r="AL383" s="794">
        <f t="array" ref="AL383">IFERROR(INDEX(G383:R383,1,MATCH(Parametres!$B$3,G$1:R$1,0)-1)*IF(OR(F383="L",F383="S",F383="I"),-1,1),"")</f>
        <v>144861.64</v>
      </c>
      <c r="AM383" s="794">
        <f t="shared" si="4"/>
        <v>125342.3</v>
      </c>
      <c r="AN383" s="794">
        <f t="array" ref="AN383">INDEX(G383:R383,1,MATCH(Parametres!$B$3,G$1:R$1,0))*IF(OR(F383="L",F383="S",F383="I"),-1,1)</f>
        <v>270203.94</v>
      </c>
      <c r="AO383" s="853" t="str">
        <f>+VLOOKUP($AJ383,Data_Validation!$A:$D,1,0)</f>
        <v>G24300</v>
      </c>
      <c r="AP383" s="853" t="str">
        <f>+VLOOKUP($AJ383,Data_Validation!$A:$D,3,0)</f>
        <v>Bilan</v>
      </c>
      <c r="AQ383" s="853" t="str">
        <f>+VLOOKUP($AJ383,Data_Validation!$A:$D,4,0)</f>
        <v>Inventaire Pièces, Pneus, Huile</v>
      </c>
      <c r="AR383" s="853" t="s">
        <v>728</v>
      </c>
      <c r="AS383" s="853" t="str">
        <f>+VLOOKUP($AJ383,Data_Validation!$A:$E,5,0)</f>
        <v/>
      </c>
      <c r="AT383" s="794" t="str">
        <f t="shared" ref="AT383:AU383" si="764">C383</f>
        <v>G24300</v>
      </c>
      <c r="AU383" s="854" t="str">
        <f t="shared" si="764"/>
        <v>INV. DE PNEUS</v>
      </c>
      <c r="AV383" s="794">
        <f t="array" ref="AV383">IFERROR(INDEX(V383:AG383,1,MATCH(Parametres!$B$3,V$1:AG$1,0)-1)*IF(OR(C383="L",C383="S",C383="I"),-1,1),"")</f>
        <v>0</v>
      </c>
      <c r="AW383" s="794">
        <f t="shared" si="6"/>
        <v>0</v>
      </c>
      <c r="AX383" s="794">
        <f t="array" ref="AX383">INDEX(V383:AG383,1,MATCH(Parametres!$B$3,V$1:AG$1,0))*IF(OR(C383="L",C383="S",C383="I"),-1,1)</f>
        <v>0</v>
      </c>
      <c r="AY383" s="853" t="s">
        <v>772</v>
      </c>
      <c r="AZ383" s="853" t="str">
        <f>+VLOOKUP($AJ383,Data_Validation!$A:$E,5,0)</f>
        <v/>
      </c>
    </row>
    <row r="384" ht="15.75" customHeight="1">
      <c r="A384" s="849" t="s">
        <v>1239</v>
      </c>
      <c r="B384" s="849">
        <v>2025.0</v>
      </c>
      <c r="C384" s="849" t="s">
        <v>2099</v>
      </c>
      <c r="D384" s="849" t="s">
        <v>2100</v>
      </c>
      <c r="E384" s="849" t="s">
        <v>768</v>
      </c>
      <c r="F384" s="849" t="s">
        <v>1926</v>
      </c>
      <c r="G384" s="849">
        <v>0.0</v>
      </c>
      <c r="H384" s="849">
        <v>0.0</v>
      </c>
      <c r="I384" s="849">
        <v>0.0</v>
      </c>
      <c r="J384" s="849">
        <v>0.0</v>
      </c>
      <c r="K384" s="849">
        <v>0.0</v>
      </c>
      <c r="L384" s="849">
        <v>0.0</v>
      </c>
      <c r="M384" s="849">
        <v>0.0</v>
      </c>
      <c r="N384" s="849">
        <v>0.0</v>
      </c>
      <c r="O384" s="849">
        <v>0.0</v>
      </c>
      <c r="P384" s="849">
        <v>0.0</v>
      </c>
      <c r="Q384" s="849">
        <v>0.0</v>
      </c>
      <c r="R384" s="849">
        <v>0.0</v>
      </c>
      <c r="S384" s="849">
        <v>0.0</v>
      </c>
      <c r="T384" s="849">
        <v>0.0</v>
      </c>
      <c r="U384" s="849">
        <v>0.0</v>
      </c>
      <c r="V384" s="849">
        <v>0.0</v>
      </c>
      <c r="W384" s="849">
        <v>0.0</v>
      </c>
      <c r="X384" s="849">
        <v>0.0</v>
      </c>
      <c r="Y384" s="849">
        <v>0.0</v>
      </c>
      <c r="Z384" s="849">
        <v>0.0</v>
      </c>
      <c r="AA384" s="849">
        <v>0.0</v>
      </c>
      <c r="AB384" s="849">
        <v>0.0</v>
      </c>
      <c r="AC384" s="849">
        <v>0.0</v>
      </c>
      <c r="AD384" s="849">
        <v>0.0</v>
      </c>
      <c r="AE384" s="849">
        <v>0.0</v>
      </c>
      <c r="AF384" s="849">
        <v>0.0</v>
      </c>
      <c r="AG384" s="849">
        <v>0.0</v>
      </c>
      <c r="AH384" s="849">
        <v>0.0</v>
      </c>
      <c r="AI384" s="849">
        <v>0.0</v>
      </c>
      <c r="AJ384" s="794" t="str">
        <f t="shared" ref="AJ384:AK384" si="765">C384</f>
        <v>G244</v>
      </c>
      <c r="AK384" s="794" t="str">
        <f t="shared" si="765"/>
        <v>INV. ESS.,HUILE,GRAISSE</v>
      </c>
      <c r="AL384" s="794">
        <f t="array" ref="AL384">IFERROR(INDEX(G384:R384,1,MATCH(Parametres!$B$3,G$1:R$1,0)-1)*IF(OR(F384="L",F384="S",F384="I"),-1,1),"")</f>
        <v>0</v>
      </c>
      <c r="AM384" s="794">
        <f t="shared" si="4"/>
        <v>0</v>
      </c>
      <c r="AN384" s="794">
        <f t="array" ref="AN384">INDEX(G384:R384,1,MATCH(Parametres!$B$3,G$1:R$1,0))*IF(OR(F384="L",F384="S",F384="I"),-1,1)</f>
        <v>0</v>
      </c>
      <c r="AO384" s="853" t="str">
        <f>+VLOOKUP($AJ384,Data_Validation!$A:$D,1,0)</f>
        <v>#N/A</v>
      </c>
      <c r="AP384" s="853" t="str">
        <f>+VLOOKUP($AJ384,Data_Validation!$A:$D,3,0)</f>
        <v>#N/A</v>
      </c>
      <c r="AQ384" s="853" t="str">
        <f>+VLOOKUP($AJ384,Data_Validation!$A:$D,4,0)</f>
        <v>#N/A</v>
      </c>
      <c r="AR384" s="853" t="s">
        <v>728</v>
      </c>
      <c r="AS384" s="853" t="str">
        <f>+VLOOKUP($AJ384,Data_Validation!$A:$E,5,0)</f>
        <v>#N/A</v>
      </c>
      <c r="AT384" s="794" t="str">
        <f t="shared" ref="AT384:AU384" si="766">C384</f>
        <v>G244</v>
      </c>
      <c r="AU384" s="854" t="str">
        <f t="shared" si="766"/>
        <v>INV. ESS.,HUILE,GRAISSE</v>
      </c>
      <c r="AV384" s="794">
        <f t="array" ref="AV384">IFERROR(INDEX(V384:AG384,1,MATCH(Parametres!$B$3,V$1:AG$1,0)-1)*IF(OR(C384="L",C384="S",C384="I"),-1,1),"")</f>
        <v>0</v>
      </c>
      <c r="AW384" s="794">
        <f t="shared" si="6"/>
        <v>0</v>
      </c>
      <c r="AX384" s="794">
        <f t="array" ref="AX384">INDEX(V384:AG384,1,MATCH(Parametres!$B$3,V$1:AG$1,0))*IF(OR(C384="L",C384="S",C384="I"),-1,1)</f>
        <v>0</v>
      </c>
      <c r="AY384" s="853" t="s">
        <v>772</v>
      </c>
      <c r="AZ384" s="853" t="str">
        <f>+VLOOKUP($AJ384,Data_Validation!$A:$E,5,0)</f>
        <v>#N/A</v>
      </c>
    </row>
    <row r="385" ht="15.75" customHeight="1">
      <c r="A385" s="849" t="s">
        <v>1239</v>
      </c>
      <c r="B385" s="849">
        <v>2025.0</v>
      </c>
      <c r="C385" s="849" t="s">
        <v>2101</v>
      </c>
      <c r="D385" s="849" t="s">
        <v>3505</v>
      </c>
      <c r="E385" s="849" t="s">
        <v>768</v>
      </c>
      <c r="F385" s="849" t="s">
        <v>1926</v>
      </c>
      <c r="G385" s="849">
        <v>1753.27</v>
      </c>
      <c r="H385" s="849">
        <v>9088.27</v>
      </c>
      <c r="I385" s="849">
        <v>18373.84</v>
      </c>
      <c r="J385" s="849">
        <v>22686.84</v>
      </c>
      <c r="K385" s="849">
        <v>25759.58</v>
      </c>
      <c r="L385" s="849">
        <v>37021.63</v>
      </c>
      <c r="M385" s="849">
        <v>37021.63</v>
      </c>
      <c r="N385" s="849">
        <v>4727.28</v>
      </c>
      <c r="O385" s="849">
        <v>3562.72</v>
      </c>
      <c r="P385" s="849">
        <v>775.9</v>
      </c>
      <c r="Q385" s="849">
        <v>10985.42</v>
      </c>
      <c r="R385" s="849">
        <v>6161.41</v>
      </c>
      <c r="S385" s="849">
        <v>0.0</v>
      </c>
      <c r="T385" s="849">
        <v>0.0</v>
      </c>
      <c r="U385" s="849">
        <v>0.0</v>
      </c>
      <c r="V385" s="849">
        <v>0.0</v>
      </c>
      <c r="W385" s="849">
        <v>0.0</v>
      </c>
      <c r="X385" s="849">
        <v>0.0</v>
      </c>
      <c r="Y385" s="849">
        <v>0.0</v>
      </c>
      <c r="Z385" s="849">
        <v>0.0</v>
      </c>
      <c r="AA385" s="849">
        <v>0.0</v>
      </c>
      <c r="AB385" s="849">
        <v>0.0</v>
      </c>
      <c r="AC385" s="849">
        <v>0.0</v>
      </c>
      <c r="AD385" s="849">
        <v>0.0</v>
      </c>
      <c r="AE385" s="849">
        <v>0.0</v>
      </c>
      <c r="AF385" s="849">
        <v>0.0</v>
      </c>
      <c r="AG385" s="849">
        <v>0.0</v>
      </c>
      <c r="AH385" s="849">
        <v>0.0</v>
      </c>
      <c r="AI385" s="849">
        <v>0.0</v>
      </c>
      <c r="AJ385" s="794" t="str">
        <f t="shared" ref="AJ385:AK385" si="767">C385</f>
        <v>G24400</v>
      </c>
      <c r="AK385" s="794" t="str">
        <f t="shared" si="767"/>
        <v>HUILES</v>
      </c>
      <c r="AL385" s="794">
        <f t="array" ref="AL385">IFERROR(INDEX(G385:R385,1,MATCH(Parametres!$B$3,G$1:R$1,0)-1)*IF(OR(F385="L",F385="S",F385="I"),-1,1),"")</f>
        <v>4727.28</v>
      </c>
      <c r="AM385" s="794">
        <f t="shared" si="4"/>
        <v>-1164.56</v>
      </c>
      <c r="AN385" s="794">
        <f t="array" ref="AN385">INDEX(G385:R385,1,MATCH(Parametres!$B$3,G$1:R$1,0))*IF(OR(F385="L",F385="S",F385="I"),-1,1)</f>
        <v>3562.72</v>
      </c>
      <c r="AO385" s="853" t="str">
        <f>+VLOOKUP($AJ385,Data_Validation!$A:$D,1,0)</f>
        <v>G24400</v>
      </c>
      <c r="AP385" s="853" t="str">
        <f>+VLOOKUP($AJ385,Data_Validation!$A:$D,3,0)</f>
        <v>Bilan</v>
      </c>
      <c r="AQ385" s="853" t="str">
        <f>+VLOOKUP($AJ385,Data_Validation!$A:$D,4,0)</f>
        <v>Inventaire Pièces, Pneus, Huile</v>
      </c>
      <c r="AR385" s="853" t="s">
        <v>728</v>
      </c>
      <c r="AS385" s="853" t="str">
        <f>+VLOOKUP($AJ385,Data_Validation!$A:$E,5,0)</f>
        <v/>
      </c>
      <c r="AT385" s="794" t="str">
        <f t="shared" ref="AT385:AU385" si="768">C385</f>
        <v>G24400</v>
      </c>
      <c r="AU385" s="854" t="str">
        <f t="shared" si="768"/>
        <v>HUILES</v>
      </c>
      <c r="AV385" s="794">
        <f t="array" ref="AV385">IFERROR(INDEX(V385:AG385,1,MATCH(Parametres!$B$3,V$1:AG$1,0)-1)*IF(OR(C385="L",C385="S",C385="I"),-1,1),"")</f>
        <v>0</v>
      </c>
      <c r="AW385" s="794">
        <f t="shared" si="6"/>
        <v>0</v>
      </c>
      <c r="AX385" s="794">
        <f t="array" ref="AX385">INDEX(V385:AG385,1,MATCH(Parametres!$B$3,V$1:AG$1,0))*IF(OR(C385="L",C385="S",C385="I"),-1,1)</f>
        <v>0</v>
      </c>
      <c r="AY385" s="853" t="s">
        <v>772</v>
      </c>
      <c r="AZ385" s="853" t="str">
        <f>+VLOOKUP($AJ385,Data_Validation!$A:$E,5,0)</f>
        <v/>
      </c>
    </row>
    <row r="386" ht="15.75" customHeight="1">
      <c r="A386" s="849" t="s">
        <v>1239</v>
      </c>
      <c r="B386" s="849">
        <v>2025.0</v>
      </c>
      <c r="C386" s="849" t="s">
        <v>2103</v>
      </c>
      <c r="D386" s="849" t="s">
        <v>2104</v>
      </c>
      <c r="E386" s="849" t="s">
        <v>768</v>
      </c>
      <c r="F386" s="849" t="s">
        <v>1926</v>
      </c>
      <c r="G386" s="849">
        <v>33629.11</v>
      </c>
      <c r="H386" s="849">
        <v>34641.6</v>
      </c>
      <c r="I386" s="849">
        <v>37917.5</v>
      </c>
      <c r="J386" s="849">
        <v>42318.86</v>
      </c>
      <c r="K386" s="849">
        <v>47889.58</v>
      </c>
      <c r="L386" s="849">
        <v>49861.1</v>
      </c>
      <c r="M386" s="849">
        <v>48649.76</v>
      </c>
      <c r="N386" s="849">
        <v>62364.19</v>
      </c>
      <c r="O386" s="849">
        <v>73802.58</v>
      </c>
      <c r="P386" s="849">
        <v>79801.43</v>
      </c>
      <c r="Q386" s="849">
        <v>79180.4</v>
      </c>
      <c r="R386" s="849">
        <v>78714.93</v>
      </c>
      <c r="S386" s="849">
        <v>0.0</v>
      </c>
      <c r="T386" s="849">
        <v>0.0</v>
      </c>
      <c r="U386" s="849">
        <v>0.0</v>
      </c>
      <c r="V386" s="849">
        <v>0.0</v>
      </c>
      <c r="W386" s="849">
        <v>0.0</v>
      </c>
      <c r="X386" s="849">
        <v>0.0</v>
      </c>
      <c r="Y386" s="849">
        <v>0.0</v>
      </c>
      <c r="Z386" s="849">
        <v>0.0</v>
      </c>
      <c r="AA386" s="849">
        <v>0.0</v>
      </c>
      <c r="AB386" s="849">
        <v>0.0</v>
      </c>
      <c r="AC386" s="849">
        <v>0.0</v>
      </c>
      <c r="AD386" s="849">
        <v>0.0</v>
      </c>
      <c r="AE386" s="849">
        <v>0.0</v>
      </c>
      <c r="AF386" s="849">
        <v>0.0</v>
      </c>
      <c r="AG386" s="849">
        <v>0.0</v>
      </c>
      <c r="AH386" s="849">
        <v>0.0</v>
      </c>
      <c r="AI386" s="849">
        <v>0.0</v>
      </c>
      <c r="AJ386" s="794" t="str">
        <f t="shared" ref="AJ386:AK386" si="769">C386</f>
        <v>G24500</v>
      </c>
      <c r="AK386" s="794" t="str">
        <f t="shared" si="769"/>
        <v>INV. DE PEINTURE</v>
      </c>
      <c r="AL386" s="794">
        <f t="array" ref="AL386">IFERROR(INDEX(G386:R386,1,MATCH(Parametres!$B$3,G$1:R$1,0)-1)*IF(OR(F386="L",F386="S",F386="I"),-1,1),"")</f>
        <v>62364.19</v>
      </c>
      <c r="AM386" s="794">
        <f t="shared" si="4"/>
        <v>11438.39</v>
      </c>
      <c r="AN386" s="794">
        <f t="array" ref="AN386">INDEX(G386:R386,1,MATCH(Parametres!$B$3,G$1:R$1,0))*IF(OR(F386="L",F386="S",F386="I"),-1,1)</f>
        <v>73802.58</v>
      </c>
      <c r="AO386" s="853" t="str">
        <f>+VLOOKUP($AJ386,Data_Validation!$A:$D,1,0)</f>
        <v>G24500</v>
      </c>
      <c r="AP386" s="853" t="str">
        <f>+VLOOKUP($AJ386,Data_Validation!$A:$D,3,0)</f>
        <v>Bilan</v>
      </c>
      <c r="AQ386" s="853" t="str">
        <f>+VLOOKUP($AJ386,Data_Validation!$A:$D,4,0)</f>
        <v>Inventaire Pièces, Pneus, Huile</v>
      </c>
      <c r="AR386" s="853" t="s">
        <v>728</v>
      </c>
      <c r="AS386" s="853" t="str">
        <f>+VLOOKUP($AJ386,Data_Validation!$A:$E,5,0)</f>
        <v/>
      </c>
      <c r="AT386" s="794" t="str">
        <f t="shared" ref="AT386:AU386" si="770">C386</f>
        <v>G24500</v>
      </c>
      <c r="AU386" s="854" t="str">
        <f t="shared" si="770"/>
        <v>INV. DE PEINTURE</v>
      </c>
      <c r="AV386" s="794">
        <f t="array" ref="AV386">IFERROR(INDEX(V386:AG386,1,MATCH(Parametres!$B$3,V$1:AG$1,0)-1)*IF(OR(C386="L",C386="S",C386="I"),-1,1),"")</f>
        <v>0</v>
      </c>
      <c r="AW386" s="794">
        <f t="shared" si="6"/>
        <v>0</v>
      </c>
      <c r="AX386" s="794">
        <f t="array" ref="AX386">INDEX(V386:AG386,1,MATCH(Parametres!$B$3,V$1:AG$1,0))*IF(OR(C386="L",C386="S",C386="I"),-1,1)</f>
        <v>0</v>
      </c>
      <c r="AY386" s="853" t="s">
        <v>772</v>
      </c>
      <c r="AZ386" s="853" t="str">
        <f>+VLOOKUP($AJ386,Data_Validation!$A:$E,5,0)</f>
        <v/>
      </c>
    </row>
    <row r="387" ht="15.75" customHeight="1">
      <c r="A387" s="849" t="s">
        <v>1239</v>
      </c>
      <c r="B387" s="849">
        <v>2025.0</v>
      </c>
      <c r="C387" s="849" t="s">
        <v>2113</v>
      </c>
      <c r="D387" s="849" t="s">
        <v>2114</v>
      </c>
      <c r="E387" s="849" t="s">
        <v>2115</v>
      </c>
      <c r="F387" s="849" t="s">
        <v>1926</v>
      </c>
      <c r="G387" s="849">
        <v>4083.53</v>
      </c>
      <c r="H387" s="849">
        <v>940.25</v>
      </c>
      <c r="I387" s="849">
        <v>5033.95</v>
      </c>
      <c r="J387" s="849">
        <v>809.92</v>
      </c>
      <c r="K387" s="849">
        <v>1189.28</v>
      </c>
      <c r="L387" s="849">
        <v>1011.74</v>
      </c>
      <c r="M387" s="849">
        <v>2781.5</v>
      </c>
      <c r="N387" s="849">
        <v>1736.5</v>
      </c>
      <c r="O387" s="849">
        <v>2319.35</v>
      </c>
      <c r="P387" s="849">
        <v>1605.45</v>
      </c>
      <c r="Q387" s="849">
        <v>1114.95</v>
      </c>
      <c r="R387" s="849">
        <v>169.8</v>
      </c>
      <c r="S387" s="849">
        <v>0.0</v>
      </c>
      <c r="T387" s="849">
        <v>0.0</v>
      </c>
      <c r="U387" s="849">
        <v>0.0</v>
      </c>
      <c r="V387" s="849">
        <v>0.0</v>
      </c>
      <c r="W387" s="849">
        <v>0.0</v>
      </c>
      <c r="X387" s="849">
        <v>0.0</v>
      </c>
      <c r="Y387" s="849">
        <v>0.0</v>
      </c>
      <c r="Z387" s="849">
        <v>0.0</v>
      </c>
      <c r="AA387" s="849">
        <v>0.0</v>
      </c>
      <c r="AB387" s="849">
        <v>0.0</v>
      </c>
      <c r="AC387" s="849">
        <v>0.0</v>
      </c>
      <c r="AD387" s="849">
        <v>0.0</v>
      </c>
      <c r="AE387" s="849">
        <v>0.0</v>
      </c>
      <c r="AF387" s="849">
        <v>0.0</v>
      </c>
      <c r="AG387" s="849">
        <v>0.0</v>
      </c>
      <c r="AH387" s="849">
        <v>0.0</v>
      </c>
      <c r="AI387" s="849">
        <v>0.0</v>
      </c>
      <c r="AJ387" s="794" t="str">
        <f t="shared" ref="AJ387:AK387" si="771">C387</f>
        <v>G24600</v>
      </c>
      <c r="AK387" s="794" t="str">
        <f t="shared" si="771"/>
        <v>INV. SOUS-CONTRATS</v>
      </c>
      <c r="AL387" s="794">
        <f t="array" ref="AL387">IFERROR(INDEX(G387:R387,1,MATCH(Parametres!$B$3,G$1:R$1,0)-1)*IF(OR(F387="L",F387="S",F387="I"),-1,1),"")</f>
        <v>1736.5</v>
      </c>
      <c r="AM387" s="794">
        <f t="shared" si="4"/>
        <v>582.85</v>
      </c>
      <c r="AN387" s="794">
        <f t="array" ref="AN387">INDEX(G387:R387,1,MATCH(Parametres!$B$3,G$1:R$1,0))*IF(OR(F387="L",F387="S",F387="I"),-1,1)</f>
        <v>2319.35</v>
      </c>
      <c r="AO387" s="853" t="str">
        <f>+VLOOKUP($AJ387,Data_Validation!$A:$D,1,0)</f>
        <v>G24600</v>
      </c>
      <c r="AP387" s="853" t="str">
        <f>+VLOOKUP($AJ387,Data_Validation!$A:$D,3,0)</f>
        <v>Bilan</v>
      </c>
      <c r="AQ387" s="853" t="str">
        <f>+VLOOKUP($AJ387,Data_Validation!$A:$D,4,0)</f>
        <v>Sous-Traitance</v>
      </c>
      <c r="AR387" s="853" t="s">
        <v>728</v>
      </c>
      <c r="AS387" s="853" t="str">
        <f>+VLOOKUP($AJ387,Data_Validation!$A:$E,5,0)</f>
        <v/>
      </c>
      <c r="AT387" s="794" t="str">
        <f t="shared" ref="AT387:AU387" si="772">C387</f>
        <v>G24600</v>
      </c>
      <c r="AU387" s="854" t="str">
        <f t="shared" si="772"/>
        <v>INV. SOUS-CONTRATS</v>
      </c>
      <c r="AV387" s="794">
        <f t="array" ref="AV387">IFERROR(INDEX(V387:AG387,1,MATCH(Parametres!$B$3,V$1:AG$1,0)-1)*IF(OR(C387="L",C387="S",C387="I"),-1,1),"")</f>
        <v>0</v>
      </c>
      <c r="AW387" s="794">
        <f t="shared" si="6"/>
        <v>0</v>
      </c>
      <c r="AX387" s="794">
        <f t="array" ref="AX387">INDEX(V387:AG387,1,MATCH(Parametres!$B$3,V$1:AG$1,0))*IF(OR(C387="L",C387="S",C387="I"),-1,1)</f>
        <v>0</v>
      </c>
      <c r="AY387" s="853" t="s">
        <v>772</v>
      </c>
      <c r="AZ387" s="853" t="str">
        <f>+VLOOKUP($AJ387,Data_Validation!$A:$E,5,0)</f>
        <v/>
      </c>
    </row>
    <row r="388" ht="15.75" customHeight="1">
      <c r="A388" s="849" t="s">
        <v>1239</v>
      </c>
      <c r="B388" s="849">
        <v>2025.0</v>
      </c>
      <c r="C388" s="849" t="s">
        <v>2116</v>
      </c>
      <c r="D388" s="849" t="s">
        <v>2117</v>
      </c>
      <c r="E388" s="849" t="s">
        <v>2115</v>
      </c>
      <c r="F388" s="849" t="s">
        <v>1926</v>
      </c>
      <c r="G388" s="849">
        <v>45412.21</v>
      </c>
      <c r="H388" s="849">
        <v>22249.61</v>
      </c>
      <c r="I388" s="849">
        <v>27003.76</v>
      </c>
      <c r="J388" s="849">
        <v>33486.31</v>
      </c>
      <c r="K388" s="849">
        <v>33707.63</v>
      </c>
      <c r="L388" s="849">
        <v>47604.78</v>
      </c>
      <c r="M388" s="849">
        <v>29008.62</v>
      </c>
      <c r="N388" s="849">
        <v>37101.38</v>
      </c>
      <c r="O388" s="849">
        <v>52212.85</v>
      </c>
      <c r="P388" s="849">
        <v>36398.23</v>
      </c>
      <c r="Q388" s="849">
        <v>24682.85</v>
      </c>
      <c r="R388" s="849">
        <v>26414.69</v>
      </c>
      <c r="S388" s="849">
        <v>0.0</v>
      </c>
      <c r="T388" s="849">
        <v>0.0</v>
      </c>
      <c r="U388" s="849">
        <v>0.0</v>
      </c>
      <c r="V388" s="849">
        <v>0.0</v>
      </c>
      <c r="W388" s="849">
        <v>0.0</v>
      </c>
      <c r="X388" s="849">
        <v>0.0</v>
      </c>
      <c r="Y388" s="849">
        <v>0.0</v>
      </c>
      <c r="Z388" s="849">
        <v>0.0</v>
      </c>
      <c r="AA388" s="849">
        <v>0.0</v>
      </c>
      <c r="AB388" s="849">
        <v>0.0</v>
      </c>
      <c r="AC388" s="849">
        <v>0.0</v>
      </c>
      <c r="AD388" s="849">
        <v>0.0</v>
      </c>
      <c r="AE388" s="849">
        <v>0.0</v>
      </c>
      <c r="AF388" s="849">
        <v>0.0</v>
      </c>
      <c r="AG388" s="849">
        <v>0.0</v>
      </c>
      <c r="AH388" s="849">
        <v>0.0</v>
      </c>
      <c r="AI388" s="849">
        <v>0.0</v>
      </c>
      <c r="AJ388" s="794" t="str">
        <f t="shared" ref="AJ388:AK388" si="773">C388</f>
        <v>G24601</v>
      </c>
      <c r="AK388" s="794" t="str">
        <f t="shared" si="773"/>
        <v>INV. SOUS-CONTRAT BODY</v>
      </c>
      <c r="AL388" s="794">
        <f t="array" ref="AL388">IFERROR(INDEX(G388:R388,1,MATCH(Parametres!$B$3,G$1:R$1,0)-1)*IF(OR(F388="L",F388="S",F388="I"),-1,1),"")</f>
        <v>37101.38</v>
      </c>
      <c r="AM388" s="794">
        <f t="shared" si="4"/>
        <v>15111.47</v>
      </c>
      <c r="AN388" s="794">
        <f t="array" ref="AN388">INDEX(G388:R388,1,MATCH(Parametres!$B$3,G$1:R$1,0))*IF(OR(F388="L",F388="S",F388="I"),-1,1)</f>
        <v>52212.85</v>
      </c>
      <c r="AO388" s="853" t="str">
        <f>+VLOOKUP($AJ388,Data_Validation!$A:$D,1,0)</f>
        <v>G24601</v>
      </c>
      <c r="AP388" s="853" t="str">
        <f>+VLOOKUP($AJ388,Data_Validation!$A:$D,3,0)</f>
        <v>Bilan</v>
      </c>
      <c r="AQ388" s="853" t="str">
        <f>+VLOOKUP($AJ388,Data_Validation!$A:$D,4,0)</f>
        <v>Sous-Traitance</v>
      </c>
      <c r="AR388" s="853" t="s">
        <v>728</v>
      </c>
      <c r="AS388" s="853" t="str">
        <f>+VLOOKUP($AJ388,Data_Validation!$A:$E,5,0)</f>
        <v/>
      </c>
      <c r="AT388" s="794" t="str">
        <f t="shared" ref="AT388:AU388" si="774">C388</f>
        <v>G24601</v>
      </c>
      <c r="AU388" s="854" t="str">
        <f t="shared" si="774"/>
        <v>INV. SOUS-CONTRAT BODY</v>
      </c>
      <c r="AV388" s="794">
        <f t="array" ref="AV388">IFERROR(INDEX(V388:AG388,1,MATCH(Parametres!$B$3,V$1:AG$1,0)-1)*IF(OR(C388="L",C388="S",C388="I"),-1,1),"")</f>
        <v>0</v>
      </c>
      <c r="AW388" s="794">
        <f t="shared" si="6"/>
        <v>0</v>
      </c>
      <c r="AX388" s="794">
        <f t="array" ref="AX388">INDEX(V388:AG388,1,MATCH(Parametres!$B$3,V$1:AG$1,0))*IF(OR(C388="L",C388="S",C388="I"),-1,1)</f>
        <v>0</v>
      </c>
      <c r="AY388" s="853" t="s">
        <v>772</v>
      </c>
      <c r="AZ388" s="853" t="str">
        <f>+VLOOKUP($AJ388,Data_Validation!$A:$E,5,0)</f>
        <v/>
      </c>
    </row>
    <row r="389" ht="15.75" customHeight="1">
      <c r="A389" s="849" t="s">
        <v>1239</v>
      </c>
      <c r="B389" s="849">
        <v>2025.0</v>
      </c>
      <c r="C389" s="849" t="s">
        <v>2120</v>
      </c>
      <c r="D389" s="849" t="s">
        <v>3454</v>
      </c>
      <c r="E389" s="849" t="s">
        <v>768</v>
      </c>
      <c r="F389" s="849" t="s">
        <v>1926</v>
      </c>
      <c r="G389" s="849">
        <v>8538.01</v>
      </c>
      <c r="H389" s="849">
        <v>10830.46</v>
      </c>
      <c r="I389" s="849">
        <v>4114.51</v>
      </c>
      <c r="J389" s="849">
        <v>5241.73</v>
      </c>
      <c r="K389" s="849">
        <v>11823.78</v>
      </c>
      <c r="L389" s="849">
        <v>3937.83</v>
      </c>
      <c r="M389" s="849">
        <v>10599.52</v>
      </c>
      <c r="N389" s="849">
        <v>11001.3</v>
      </c>
      <c r="O389" s="849">
        <v>5329.63</v>
      </c>
      <c r="P389" s="849">
        <v>11594.98</v>
      </c>
      <c r="Q389" s="849">
        <v>5094.8</v>
      </c>
      <c r="R389" s="849">
        <v>4741.94</v>
      </c>
      <c r="S389" s="849">
        <v>0.0</v>
      </c>
      <c r="T389" s="849">
        <v>0.0</v>
      </c>
      <c r="U389" s="849">
        <v>0.0</v>
      </c>
      <c r="V389" s="849">
        <v>0.0</v>
      </c>
      <c r="W389" s="849">
        <v>0.0</v>
      </c>
      <c r="X389" s="849">
        <v>0.0</v>
      </c>
      <c r="Y389" s="849">
        <v>0.0</v>
      </c>
      <c r="Z389" s="849">
        <v>0.0</v>
      </c>
      <c r="AA389" s="849">
        <v>0.0</v>
      </c>
      <c r="AB389" s="849">
        <v>0.0</v>
      </c>
      <c r="AC389" s="849">
        <v>0.0</v>
      </c>
      <c r="AD389" s="849">
        <v>0.0</v>
      </c>
      <c r="AE389" s="849">
        <v>0.0</v>
      </c>
      <c r="AF389" s="849">
        <v>0.0</v>
      </c>
      <c r="AG389" s="849">
        <v>0.0</v>
      </c>
      <c r="AH389" s="849">
        <v>0.0</v>
      </c>
      <c r="AI389" s="849">
        <v>0.0</v>
      </c>
      <c r="AJ389" s="794" t="str">
        <f t="shared" ref="AJ389:AK389" si="775">C389</f>
        <v>G24700</v>
      </c>
      <c r="AK389" s="794" t="str">
        <f t="shared" si="775"/>
        <v>TRAVAUX EN COURS</v>
      </c>
      <c r="AL389" s="794">
        <f t="array" ref="AL389">IFERROR(INDEX(G389:R389,1,MATCH(Parametres!$B$3,G$1:R$1,0)-1)*IF(OR(F389="L",F389="S",F389="I"),-1,1),"")</f>
        <v>11001.3</v>
      </c>
      <c r="AM389" s="794">
        <f t="shared" si="4"/>
        <v>-5671.67</v>
      </c>
      <c r="AN389" s="794">
        <f t="array" ref="AN389">INDEX(G389:R389,1,MATCH(Parametres!$B$3,G$1:R$1,0))*IF(OR(F389="L",F389="S",F389="I"),-1,1)</f>
        <v>5329.63</v>
      </c>
      <c r="AO389" s="853" t="str">
        <f>+VLOOKUP($AJ389,Data_Validation!$A:$D,1,0)</f>
        <v>G24700</v>
      </c>
      <c r="AP389" s="853" t="str">
        <f>+VLOOKUP($AJ389,Data_Validation!$A:$D,3,0)</f>
        <v>Bilan</v>
      </c>
      <c r="AQ389" s="853" t="str">
        <f>+VLOOKUP($AJ389,Data_Validation!$A:$D,4,0)</f>
        <v>Travaux en Cours</v>
      </c>
      <c r="AR389" s="853" t="s">
        <v>728</v>
      </c>
      <c r="AS389" s="853" t="str">
        <f>+VLOOKUP($AJ389,Data_Validation!$A:$E,5,0)</f>
        <v/>
      </c>
      <c r="AT389" s="794" t="str">
        <f t="shared" ref="AT389:AU389" si="776">C389</f>
        <v>G24700</v>
      </c>
      <c r="AU389" s="854" t="str">
        <f t="shared" si="776"/>
        <v>TRAVAUX EN COURS</v>
      </c>
      <c r="AV389" s="794">
        <f t="array" ref="AV389">IFERROR(INDEX(V389:AG389,1,MATCH(Parametres!$B$3,V$1:AG$1,0)-1)*IF(OR(C389="L",C389="S",C389="I"),-1,1),"")</f>
        <v>0</v>
      </c>
      <c r="AW389" s="794">
        <f t="shared" si="6"/>
        <v>0</v>
      </c>
      <c r="AX389" s="794">
        <f t="array" ref="AX389">INDEX(V389:AG389,1,MATCH(Parametres!$B$3,V$1:AG$1,0))*IF(OR(C389="L",C389="S",C389="I"),-1,1)</f>
        <v>0</v>
      </c>
      <c r="AY389" s="853" t="s">
        <v>772</v>
      </c>
      <c r="AZ389" s="853" t="str">
        <f>+VLOOKUP($AJ389,Data_Validation!$A:$E,5,0)</f>
        <v/>
      </c>
    </row>
    <row r="390" ht="15.75" customHeight="1">
      <c r="A390" s="849" t="s">
        <v>1239</v>
      </c>
      <c r="B390" s="849">
        <v>2025.0</v>
      </c>
      <c r="C390" s="849" t="s">
        <v>2124</v>
      </c>
      <c r="D390" s="849" t="s">
        <v>2125</v>
      </c>
      <c r="E390" s="849" t="s">
        <v>768</v>
      </c>
      <c r="F390" s="849" t="s">
        <v>1926</v>
      </c>
      <c r="G390" s="849">
        <v>4419.48</v>
      </c>
      <c r="H390" s="849">
        <v>3152.84</v>
      </c>
      <c r="I390" s="849">
        <v>5506.24</v>
      </c>
      <c r="J390" s="849">
        <v>2259.33</v>
      </c>
      <c r="K390" s="849">
        <v>5738.46</v>
      </c>
      <c r="L390" s="849">
        <v>4811.84</v>
      </c>
      <c r="M390" s="849">
        <v>3959.63</v>
      </c>
      <c r="N390" s="849">
        <v>3670.2</v>
      </c>
      <c r="O390" s="849">
        <v>2012.96</v>
      </c>
      <c r="P390" s="849">
        <v>6688.07</v>
      </c>
      <c r="Q390" s="849">
        <v>1078.87</v>
      </c>
      <c r="R390" s="849">
        <v>939.27</v>
      </c>
      <c r="S390" s="849">
        <v>0.0</v>
      </c>
      <c r="T390" s="849">
        <v>0.0</v>
      </c>
      <c r="U390" s="849">
        <v>0.0</v>
      </c>
      <c r="V390" s="849">
        <v>0.0</v>
      </c>
      <c r="W390" s="849">
        <v>0.0</v>
      </c>
      <c r="X390" s="849">
        <v>0.0</v>
      </c>
      <c r="Y390" s="849">
        <v>0.0</v>
      </c>
      <c r="Z390" s="849">
        <v>0.0</v>
      </c>
      <c r="AA390" s="849">
        <v>0.0</v>
      </c>
      <c r="AB390" s="849">
        <v>0.0</v>
      </c>
      <c r="AC390" s="849">
        <v>0.0</v>
      </c>
      <c r="AD390" s="849">
        <v>0.0</v>
      </c>
      <c r="AE390" s="849">
        <v>0.0</v>
      </c>
      <c r="AF390" s="849">
        <v>0.0</v>
      </c>
      <c r="AG390" s="849">
        <v>0.0</v>
      </c>
      <c r="AH390" s="849">
        <v>0.0</v>
      </c>
      <c r="AI390" s="849">
        <v>0.0</v>
      </c>
      <c r="AJ390" s="794" t="str">
        <f t="shared" ref="AJ390:AK390" si="777">C390</f>
        <v>G24705</v>
      </c>
      <c r="AK390" s="794" t="str">
        <f t="shared" si="777"/>
        <v>TRAVAUX EN COURS-CARROSS</v>
      </c>
      <c r="AL390" s="794">
        <f t="array" ref="AL390">IFERROR(INDEX(G390:R390,1,MATCH(Parametres!$B$3,G$1:R$1,0)-1)*IF(OR(F390="L",F390="S",F390="I"),-1,1),"")</f>
        <v>3670.2</v>
      </c>
      <c r="AM390" s="794">
        <f t="shared" si="4"/>
        <v>-1657.24</v>
      </c>
      <c r="AN390" s="794">
        <f t="array" ref="AN390">INDEX(G390:R390,1,MATCH(Parametres!$B$3,G$1:R$1,0))*IF(OR(F390="L",F390="S",F390="I"),-1,1)</f>
        <v>2012.96</v>
      </c>
      <c r="AO390" s="853" t="str">
        <f>+VLOOKUP($AJ390,Data_Validation!$A:$D,1,0)</f>
        <v>G24705</v>
      </c>
      <c r="AP390" s="853" t="str">
        <f>+VLOOKUP($AJ390,Data_Validation!$A:$D,3,0)</f>
        <v>Bilan</v>
      </c>
      <c r="AQ390" s="853" t="str">
        <f>+VLOOKUP($AJ390,Data_Validation!$A:$D,4,0)</f>
        <v>Travaux en Cours</v>
      </c>
      <c r="AR390" s="853" t="s">
        <v>728</v>
      </c>
      <c r="AS390" s="853" t="str">
        <f>+VLOOKUP($AJ390,Data_Validation!$A:$E,5,0)</f>
        <v/>
      </c>
      <c r="AT390" s="794" t="str">
        <f t="shared" ref="AT390:AU390" si="778">C390</f>
        <v>G24705</v>
      </c>
      <c r="AU390" s="854" t="str">
        <f t="shared" si="778"/>
        <v>TRAVAUX EN COURS-CARROSS</v>
      </c>
      <c r="AV390" s="794">
        <f t="array" ref="AV390">IFERROR(INDEX(V390:AG390,1,MATCH(Parametres!$B$3,V$1:AG$1,0)-1)*IF(OR(C390="L",C390="S",C390="I"),-1,1),"")</f>
        <v>0</v>
      </c>
      <c r="AW390" s="794">
        <f t="shared" si="6"/>
        <v>0</v>
      </c>
      <c r="AX390" s="794">
        <f t="array" ref="AX390">INDEX(V390:AG390,1,MATCH(Parametres!$B$3,V$1:AG$1,0))*IF(OR(C390="L",C390="S",C390="I"),-1,1)</f>
        <v>0</v>
      </c>
      <c r="AY390" s="853" t="s">
        <v>772</v>
      </c>
      <c r="AZ390" s="853" t="str">
        <f>+VLOOKUP($AJ390,Data_Validation!$A:$E,5,0)</f>
        <v/>
      </c>
    </row>
    <row r="391" ht="15.75" customHeight="1">
      <c r="A391" s="849" t="s">
        <v>1239</v>
      </c>
      <c r="B391" s="849">
        <v>2025.0</v>
      </c>
      <c r="C391" s="849" t="s">
        <v>2128</v>
      </c>
      <c r="D391" s="849" t="s">
        <v>2129</v>
      </c>
      <c r="E391" s="849" t="s">
        <v>1959</v>
      </c>
      <c r="F391" s="849" t="s">
        <v>1926</v>
      </c>
      <c r="G391" s="849">
        <v>704750.0</v>
      </c>
      <c r="H391" s="849">
        <v>284500.0</v>
      </c>
      <c r="I391" s="849">
        <v>124000.0</v>
      </c>
      <c r="J391" s="849">
        <v>102641.6</v>
      </c>
      <c r="K391" s="849">
        <v>208078.66</v>
      </c>
      <c r="L391" s="849">
        <v>157500.0</v>
      </c>
      <c r="M391" s="849">
        <v>122000.0</v>
      </c>
      <c r="N391" s="849">
        <v>94000.0</v>
      </c>
      <c r="O391" s="849">
        <v>112000.0</v>
      </c>
      <c r="P391" s="849">
        <v>77000.0</v>
      </c>
      <c r="Q391" s="849">
        <v>63000.0</v>
      </c>
      <c r="R391" s="849">
        <v>61000.0</v>
      </c>
      <c r="S391" s="849">
        <v>0.0</v>
      </c>
      <c r="T391" s="849">
        <v>0.0</v>
      </c>
      <c r="U391" s="849">
        <v>0.0</v>
      </c>
      <c r="V391" s="849">
        <v>0.0</v>
      </c>
      <c r="W391" s="849">
        <v>0.0</v>
      </c>
      <c r="X391" s="849">
        <v>0.0</v>
      </c>
      <c r="Y391" s="849">
        <v>0.0</v>
      </c>
      <c r="Z391" s="849">
        <v>0.0</v>
      </c>
      <c r="AA391" s="849">
        <v>0.0</v>
      </c>
      <c r="AB391" s="849">
        <v>0.0</v>
      </c>
      <c r="AC391" s="849">
        <v>0.0</v>
      </c>
      <c r="AD391" s="849">
        <v>0.0</v>
      </c>
      <c r="AE391" s="849">
        <v>0.0</v>
      </c>
      <c r="AF391" s="849">
        <v>0.0</v>
      </c>
      <c r="AG391" s="849">
        <v>0.0</v>
      </c>
      <c r="AH391" s="849">
        <v>0.0</v>
      </c>
      <c r="AI391" s="849">
        <v>0.0</v>
      </c>
      <c r="AJ391" s="794" t="str">
        <f t="shared" ref="AJ391:AK391" si="779">C391</f>
        <v>G25000</v>
      </c>
      <c r="AK391" s="794" t="str">
        <f t="shared" si="779"/>
        <v>A RECEVOIR ROULEZ ELECT</v>
      </c>
      <c r="AL391" s="794">
        <f t="array" ref="AL391">IFERROR(INDEX(G391:R391,1,MATCH(Parametres!$B$3,G$1:R$1,0)-1)*IF(OR(F391="L",F391="S",F391="I"),-1,1),"")</f>
        <v>94000</v>
      </c>
      <c r="AM391" s="794">
        <f t="shared" si="4"/>
        <v>18000</v>
      </c>
      <c r="AN391" s="794">
        <f t="array" ref="AN391">INDEX(G391:R391,1,MATCH(Parametres!$B$3,G$1:R$1,0))*IF(OR(F391="L",F391="S",F391="I"),-1,1)</f>
        <v>112000</v>
      </c>
      <c r="AO391" s="853" t="str">
        <f>+VLOOKUP($AJ391,Data_Validation!$A:$D,1,0)</f>
        <v>G25000</v>
      </c>
      <c r="AP391" s="853" t="str">
        <f>+VLOOKUP($AJ391,Data_Validation!$A:$D,3,0)</f>
        <v>Bilan</v>
      </c>
      <c r="AQ391" s="853" t="str">
        <f>+VLOOKUP($AJ391,Data_Validation!$A:$D,4,0)</f>
        <v>Recevables Autres</v>
      </c>
      <c r="AR391" s="853" t="s">
        <v>728</v>
      </c>
      <c r="AS391" s="853" t="str">
        <f>+VLOOKUP($AJ391,Data_Validation!$A:$E,5,0)</f>
        <v/>
      </c>
      <c r="AT391" s="794" t="str">
        <f t="shared" ref="AT391:AU391" si="780">C391</f>
        <v>G25000</v>
      </c>
      <c r="AU391" s="854" t="str">
        <f t="shared" si="780"/>
        <v>A RECEVOIR ROULEZ ELECT</v>
      </c>
      <c r="AV391" s="794">
        <f t="array" ref="AV391">IFERROR(INDEX(V391:AG391,1,MATCH(Parametres!$B$3,V$1:AG$1,0)-1)*IF(OR(C391="L",C391="S",C391="I"),-1,1),"")</f>
        <v>0</v>
      </c>
      <c r="AW391" s="794">
        <f t="shared" si="6"/>
        <v>0</v>
      </c>
      <c r="AX391" s="794">
        <f t="array" ref="AX391">INDEX(V391:AG391,1,MATCH(Parametres!$B$3,V$1:AG$1,0))*IF(OR(C391="L",C391="S",C391="I"),-1,1)</f>
        <v>0</v>
      </c>
      <c r="AY391" s="853" t="s">
        <v>772</v>
      </c>
      <c r="AZ391" s="853" t="str">
        <f>+VLOOKUP($AJ391,Data_Validation!$A:$E,5,0)</f>
        <v/>
      </c>
    </row>
    <row r="392" ht="15.75" customHeight="1">
      <c r="A392" s="849" t="s">
        <v>1239</v>
      </c>
      <c r="B392" s="849">
        <v>2025.0</v>
      </c>
      <c r="C392" s="849" t="s">
        <v>2130</v>
      </c>
      <c r="D392" s="849" t="s">
        <v>2131</v>
      </c>
      <c r="E392" s="849" t="s">
        <v>768</v>
      </c>
      <c r="F392" s="849" t="s">
        <v>1926</v>
      </c>
      <c r="G392" s="849">
        <v>0.0</v>
      </c>
      <c r="H392" s="849">
        <v>0.0</v>
      </c>
      <c r="I392" s="849">
        <v>0.0</v>
      </c>
      <c r="J392" s="849">
        <v>0.0</v>
      </c>
      <c r="K392" s="849">
        <v>0.0</v>
      </c>
      <c r="L392" s="849">
        <v>0.0</v>
      </c>
      <c r="M392" s="849">
        <v>0.0</v>
      </c>
      <c r="N392" s="849">
        <v>0.0</v>
      </c>
      <c r="O392" s="849">
        <v>0.0</v>
      </c>
      <c r="P392" s="849">
        <v>0.0</v>
      </c>
      <c r="Q392" s="849">
        <v>0.0</v>
      </c>
      <c r="R392" s="849">
        <v>0.0</v>
      </c>
      <c r="S392" s="849">
        <v>0.0</v>
      </c>
      <c r="T392" s="849">
        <v>0.0</v>
      </c>
      <c r="U392" s="849">
        <v>0.0</v>
      </c>
      <c r="V392" s="849">
        <v>0.0</v>
      </c>
      <c r="W392" s="849">
        <v>0.0</v>
      </c>
      <c r="X392" s="849">
        <v>0.0</v>
      </c>
      <c r="Y392" s="849">
        <v>0.0</v>
      </c>
      <c r="Z392" s="849">
        <v>0.0</v>
      </c>
      <c r="AA392" s="849">
        <v>0.0</v>
      </c>
      <c r="AB392" s="849">
        <v>0.0</v>
      </c>
      <c r="AC392" s="849">
        <v>0.0</v>
      </c>
      <c r="AD392" s="849">
        <v>0.0</v>
      </c>
      <c r="AE392" s="849">
        <v>0.0</v>
      </c>
      <c r="AF392" s="849">
        <v>0.0</v>
      </c>
      <c r="AG392" s="849">
        <v>0.0</v>
      </c>
      <c r="AH392" s="849">
        <v>0.0</v>
      </c>
      <c r="AI392" s="849">
        <v>0.0</v>
      </c>
      <c r="AJ392" s="794" t="str">
        <f t="shared" ref="AJ392:AK392" si="781">C392</f>
        <v>G258</v>
      </c>
      <c r="AK392" s="794" t="str">
        <f t="shared" si="781"/>
        <v>PNEUS USAGÉS</v>
      </c>
      <c r="AL392" s="794">
        <f t="array" ref="AL392">IFERROR(INDEX(G392:R392,1,MATCH(Parametres!$B$3,G$1:R$1,0)-1)*IF(OR(F392="L",F392="S",F392="I"),-1,1),"")</f>
        <v>0</v>
      </c>
      <c r="AM392" s="794">
        <f t="shared" si="4"/>
        <v>0</v>
      </c>
      <c r="AN392" s="794">
        <f t="array" ref="AN392">INDEX(G392:R392,1,MATCH(Parametres!$B$3,G$1:R$1,0))*IF(OR(F392="L",F392="S",F392="I"),-1,1)</f>
        <v>0</v>
      </c>
      <c r="AO392" s="853" t="str">
        <f>+VLOOKUP($AJ392,Data_Validation!$A:$D,1,0)</f>
        <v>#N/A</v>
      </c>
      <c r="AP392" s="853" t="str">
        <f>+VLOOKUP($AJ392,Data_Validation!$A:$D,3,0)</f>
        <v>#N/A</v>
      </c>
      <c r="AQ392" s="853" t="str">
        <f>+VLOOKUP($AJ392,Data_Validation!$A:$D,4,0)</f>
        <v>#N/A</v>
      </c>
      <c r="AR392" s="853" t="s">
        <v>728</v>
      </c>
      <c r="AS392" s="853" t="str">
        <f>+VLOOKUP($AJ392,Data_Validation!$A:$E,5,0)</f>
        <v>#N/A</v>
      </c>
      <c r="AT392" s="794" t="str">
        <f t="shared" ref="AT392:AU392" si="782">C392</f>
        <v>G258</v>
      </c>
      <c r="AU392" s="854" t="str">
        <f t="shared" si="782"/>
        <v>PNEUS USAGÉS</v>
      </c>
      <c r="AV392" s="794">
        <f t="array" ref="AV392">IFERROR(INDEX(V392:AG392,1,MATCH(Parametres!$B$3,V$1:AG$1,0)-1)*IF(OR(C392="L",C392="S",C392="I"),-1,1),"")</f>
        <v>0</v>
      </c>
      <c r="AW392" s="794">
        <f t="shared" si="6"/>
        <v>0</v>
      </c>
      <c r="AX392" s="794">
        <f t="array" ref="AX392">INDEX(V392:AG392,1,MATCH(Parametres!$B$3,V$1:AG$1,0))*IF(OR(C392="L",C392="S",C392="I"),-1,1)</f>
        <v>0</v>
      </c>
      <c r="AY392" s="853" t="s">
        <v>772</v>
      </c>
      <c r="AZ392" s="853" t="str">
        <f>+VLOOKUP($AJ392,Data_Validation!$A:$E,5,0)</f>
        <v>#N/A</v>
      </c>
    </row>
    <row r="393" ht="15.75" customHeight="1">
      <c r="A393" s="849" t="s">
        <v>1239</v>
      </c>
      <c r="B393" s="849">
        <v>2025.0</v>
      </c>
      <c r="C393" s="849" t="s">
        <v>2132</v>
      </c>
      <c r="D393" s="849" t="s">
        <v>2133</v>
      </c>
      <c r="E393" s="849" t="s">
        <v>2057</v>
      </c>
      <c r="F393" s="849" t="s">
        <v>1926</v>
      </c>
      <c r="G393" s="849">
        <v>0.0</v>
      </c>
      <c r="H393" s="849">
        <v>0.0</v>
      </c>
      <c r="I393" s="849">
        <v>0.0</v>
      </c>
      <c r="J393" s="849">
        <v>0.0</v>
      </c>
      <c r="K393" s="849">
        <v>0.0</v>
      </c>
      <c r="L393" s="849">
        <v>0.0</v>
      </c>
      <c r="M393" s="849">
        <v>0.0</v>
      </c>
      <c r="N393" s="849">
        <v>0.0</v>
      </c>
      <c r="O393" s="849">
        <v>0.0</v>
      </c>
      <c r="P393" s="849">
        <v>0.0</v>
      </c>
      <c r="Q393" s="849">
        <v>0.0</v>
      </c>
      <c r="R393" s="849">
        <v>0.0</v>
      </c>
      <c r="S393" s="849">
        <v>0.0</v>
      </c>
      <c r="T393" s="849">
        <v>0.0</v>
      </c>
      <c r="U393" s="849">
        <v>0.0</v>
      </c>
      <c r="V393" s="849">
        <v>0.0</v>
      </c>
      <c r="W393" s="849">
        <v>0.0</v>
      </c>
      <c r="X393" s="849">
        <v>0.0</v>
      </c>
      <c r="Y393" s="849">
        <v>0.0</v>
      </c>
      <c r="Z393" s="849">
        <v>0.0</v>
      </c>
      <c r="AA393" s="849">
        <v>0.0</v>
      </c>
      <c r="AB393" s="849">
        <v>0.0</v>
      </c>
      <c r="AC393" s="849">
        <v>0.0</v>
      </c>
      <c r="AD393" s="849">
        <v>0.0</v>
      </c>
      <c r="AE393" s="849">
        <v>0.0</v>
      </c>
      <c r="AF393" s="849">
        <v>0.0</v>
      </c>
      <c r="AG393" s="849">
        <v>0.0</v>
      </c>
      <c r="AH393" s="849">
        <v>0.0</v>
      </c>
      <c r="AI393" s="849">
        <v>0.0</v>
      </c>
      <c r="AJ393" s="794" t="str">
        <f t="shared" ref="AJ393:AK393" si="783">C393</f>
        <v>G25800</v>
      </c>
      <c r="AK393" s="794" t="str">
        <f t="shared" si="783"/>
        <v>PNEUS COURTOISIES</v>
      </c>
      <c r="AL393" s="794">
        <f t="array" ref="AL393">IFERROR(INDEX(G393:R393,1,MATCH(Parametres!$B$3,G$1:R$1,0)-1)*IF(OR(F393="L",F393="S",F393="I"),-1,1),"")</f>
        <v>0</v>
      </c>
      <c r="AM393" s="794">
        <f t="shared" si="4"/>
        <v>0</v>
      </c>
      <c r="AN393" s="794">
        <f t="array" ref="AN393">INDEX(G393:R393,1,MATCH(Parametres!$B$3,G$1:R$1,0))*IF(OR(F393="L",F393="S",F393="I"),-1,1)</f>
        <v>0</v>
      </c>
      <c r="AO393" s="853" t="str">
        <f>+VLOOKUP($AJ393,Data_Validation!$A:$D,1,0)</f>
        <v>G25800</v>
      </c>
      <c r="AP393" s="853" t="str">
        <f>+VLOOKUP($AJ393,Data_Validation!$A:$D,3,0)</f>
        <v/>
      </c>
      <c r="AQ393" s="853" t="str">
        <f>+VLOOKUP($AJ393,Data_Validation!$A:$D,4,0)</f>
        <v/>
      </c>
      <c r="AR393" s="853" t="s">
        <v>728</v>
      </c>
      <c r="AS393" s="853" t="str">
        <f>+VLOOKUP($AJ393,Data_Validation!$A:$E,5,0)</f>
        <v/>
      </c>
      <c r="AT393" s="794" t="str">
        <f t="shared" ref="AT393:AU393" si="784">C393</f>
        <v>G25800</v>
      </c>
      <c r="AU393" s="854" t="str">
        <f t="shared" si="784"/>
        <v>PNEUS COURTOISIES</v>
      </c>
      <c r="AV393" s="794">
        <f t="array" ref="AV393">IFERROR(INDEX(V393:AG393,1,MATCH(Parametres!$B$3,V$1:AG$1,0)-1)*IF(OR(C393="L",C393="S",C393="I"),-1,1),"")</f>
        <v>0</v>
      </c>
      <c r="AW393" s="794">
        <f t="shared" si="6"/>
        <v>0</v>
      </c>
      <c r="AX393" s="794">
        <f t="array" ref="AX393">INDEX(V393:AG393,1,MATCH(Parametres!$B$3,V$1:AG$1,0))*IF(OR(C393="L",C393="S",C393="I"),-1,1)</f>
        <v>0</v>
      </c>
      <c r="AY393" s="853" t="s">
        <v>772</v>
      </c>
      <c r="AZ393" s="853" t="str">
        <f>+VLOOKUP($AJ393,Data_Validation!$A:$E,5,0)</f>
        <v/>
      </c>
    </row>
    <row r="394" ht="15.75" customHeight="1">
      <c r="A394" s="849" t="s">
        <v>1239</v>
      </c>
      <c r="B394" s="849">
        <v>2025.0</v>
      </c>
      <c r="C394" s="849" t="s">
        <v>2134</v>
      </c>
      <c r="D394" s="849" t="s">
        <v>2135</v>
      </c>
      <c r="E394" s="849" t="s">
        <v>768</v>
      </c>
      <c r="F394" s="849" t="s">
        <v>1926</v>
      </c>
      <c r="G394" s="849">
        <v>307759.0</v>
      </c>
      <c r="H394" s="849">
        <v>307759.0</v>
      </c>
      <c r="I394" s="849">
        <v>307759.0</v>
      </c>
      <c r="J394" s="849">
        <v>307759.0</v>
      </c>
      <c r="K394" s="849">
        <v>307759.0</v>
      </c>
      <c r="L394" s="849">
        <v>-272876.02</v>
      </c>
      <c r="M394" s="849">
        <v>-272876.02</v>
      </c>
      <c r="N394" s="849">
        <v>-272876.02</v>
      </c>
      <c r="O394" s="849">
        <v>-272876.02</v>
      </c>
      <c r="P394" s="849">
        <v>-272876.02</v>
      </c>
      <c r="Q394" s="849">
        <v>-272876.02</v>
      </c>
      <c r="R394" s="849">
        <v>-272876.02</v>
      </c>
      <c r="S394" s="849">
        <v>0.0</v>
      </c>
      <c r="T394" s="849">
        <v>0.0</v>
      </c>
      <c r="U394" s="849">
        <v>0.0</v>
      </c>
      <c r="V394" s="849">
        <v>0.0</v>
      </c>
      <c r="W394" s="849">
        <v>0.0</v>
      </c>
      <c r="X394" s="849">
        <v>0.0</v>
      </c>
      <c r="Y394" s="849">
        <v>0.0</v>
      </c>
      <c r="Z394" s="849">
        <v>0.0</v>
      </c>
      <c r="AA394" s="849">
        <v>0.0</v>
      </c>
      <c r="AB394" s="849">
        <v>0.0</v>
      </c>
      <c r="AC394" s="849">
        <v>0.0</v>
      </c>
      <c r="AD394" s="849">
        <v>0.0</v>
      </c>
      <c r="AE394" s="849">
        <v>0.0</v>
      </c>
      <c r="AF394" s="849">
        <v>0.0</v>
      </c>
      <c r="AG394" s="849">
        <v>0.0</v>
      </c>
      <c r="AH394" s="849">
        <v>0.0</v>
      </c>
      <c r="AI394" s="849">
        <v>0.0</v>
      </c>
      <c r="AJ394" s="794" t="str">
        <f t="shared" ref="AJ394:AK394" si="785">C394</f>
        <v>G26000</v>
      </c>
      <c r="AK394" s="794" t="str">
        <f t="shared" si="785"/>
        <v>PORTEFEUILLE</v>
      </c>
      <c r="AL394" s="794">
        <f t="array" ref="AL394">IFERROR(INDEX(G394:R394,1,MATCH(Parametres!$B$3,G$1:R$1,0)-1)*IF(OR(F394="L",F394="S",F394="I"),-1,1),"")</f>
        <v>-272876.02</v>
      </c>
      <c r="AM394" s="794">
        <f t="shared" si="4"/>
        <v>0</v>
      </c>
      <c r="AN394" s="794">
        <f t="array" ref="AN394">INDEX(G394:R394,1,MATCH(Parametres!$B$3,G$1:R$1,0))*IF(OR(F394="L",F394="S",F394="I"),-1,1)</f>
        <v>-272876.02</v>
      </c>
      <c r="AO394" s="853" t="str">
        <f>+VLOOKUP($AJ394,Data_Validation!$A:$D,1,0)</f>
        <v>G26000</v>
      </c>
      <c r="AP394" s="853" t="str">
        <f>+VLOOKUP($AJ394,Data_Validation!$A:$D,3,0)</f>
        <v>Bilan</v>
      </c>
      <c r="AQ394" s="853" t="str">
        <f>+VLOOKUP($AJ394,Data_Validation!$A:$D,4,0)</f>
        <v>Encaisse</v>
      </c>
      <c r="AR394" s="853" t="s">
        <v>728</v>
      </c>
      <c r="AS394" s="853" t="str">
        <f>+VLOOKUP($AJ394,Data_Validation!$A:$E,5,0)</f>
        <v/>
      </c>
      <c r="AT394" s="794" t="str">
        <f t="shared" ref="AT394:AU394" si="786">C394</f>
        <v>G26000</v>
      </c>
      <c r="AU394" s="854" t="str">
        <f t="shared" si="786"/>
        <v>PORTEFEUILLE</v>
      </c>
      <c r="AV394" s="794">
        <f t="array" ref="AV394">IFERROR(INDEX(V394:AG394,1,MATCH(Parametres!$B$3,V$1:AG$1,0)-1)*IF(OR(C394="L",C394="S",C394="I"),-1,1),"")</f>
        <v>0</v>
      </c>
      <c r="AW394" s="794">
        <f t="shared" si="6"/>
        <v>0</v>
      </c>
      <c r="AX394" s="794">
        <f t="array" ref="AX394">INDEX(V394:AG394,1,MATCH(Parametres!$B$3,V$1:AG$1,0))*IF(OR(C394="L",C394="S",C394="I"),-1,1)</f>
        <v>0</v>
      </c>
      <c r="AY394" s="853" t="s">
        <v>772</v>
      </c>
      <c r="AZ394" s="853" t="str">
        <f>+VLOOKUP($AJ394,Data_Validation!$A:$E,5,0)</f>
        <v/>
      </c>
    </row>
    <row r="395" ht="15.75" customHeight="1">
      <c r="A395" s="849" t="s">
        <v>1239</v>
      </c>
      <c r="B395" s="849">
        <v>2025.0</v>
      </c>
      <c r="C395" s="849" t="s">
        <v>2136</v>
      </c>
      <c r="D395" s="849" t="s">
        <v>2137</v>
      </c>
      <c r="E395" s="849" t="s">
        <v>1959</v>
      </c>
      <c r="F395" s="849" t="s">
        <v>1926</v>
      </c>
      <c r="G395" s="849">
        <v>-27734.21</v>
      </c>
      <c r="H395" s="849">
        <v>-49368.08</v>
      </c>
      <c r="I395" s="849">
        <v>-73091.04</v>
      </c>
      <c r="J395" s="849">
        <v>-56962.71</v>
      </c>
      <c r="K395" s="849">
        <v>-47306.8</v>
      </c>
      <c r="L395" s="849">
        <v>-21042.36</v>
      </c>
      <c r="M395" s="849">
        <v>-6158.05</v>
      </c>
      <c r="N395" s="849">
        <v>-16149.31</v>
      </c>
      <c r="O395" s="849">
        <v>-25366.71</v>
      </c>
      <c r="P395" s="849">
        <v>-32851.03</v>
      </c>
      <c r="Q395" s="849">
        <v>-41501.9</v>
      </c>
      <c r="R395" s="849">
        <v>-39533.04</v>
      </c>
      <c r="S395" s="849">
        <v>0.0</v>
      </c>
      <c r="T395" s="849">
        <v>0.0</v>
      </c>
      <c r="U395" s="849">
        <v>0.0</v>
      </c>
      <c r="V395" s="849">
        <v>0.0</v>
      </c>
      <c r="W395" s="849">
        <v>0.0</v>
      </c>
      <c r="X395" s="849">
        <v>0.0</v>
      </c>
      <c r="Y395" s="849">
        <v>0.0</v>
      </c>
      <c r="Z395" s="849">
        <v>0.0</v>
      </c>
      <c r="AA395" s="849">
        <v>0.0</v>
      </c>
      <c r="AB395" s="849">
        <v>0.0</v>
      </c>
      <c r="AC395" s="849">
        <v>0.0</v>
      </c>
      <c r="AD395" s="849">
        <v>0.0</v>
      </c>
      <c r="AE395" s="849">
        <v>0.0</v>
      </c>
      <c r="AF395" s="849">
        <v>0.0</v>
      </c>
      <c r="AG395" s="849">
        <v>0.0</v>
      </c>
      <c r="AH395" s="849">
        <v>0.0</v>
      </c>
      <c r="AI395" s="849">
        <v>0.0</v>
      </c>
      <c r="AJ395" s="794" t="str">
        <f t="shared" ref="AJ395:AK395" si="787">C395</f>
        <v>G26101</v>
      </c>
      <c r="AK395" s="794" t="str">
        <f t="shared" si="787"/>
        <v>INSPECTIONS (PDI)</v>
      </c>
      <c r="AL395" s="794">
        <f t="array" ref="AL395">IFERROR(INDEX(G395:R395,1,MATCH(Parametres!$B$3,G$1:R$1,0)-1)*IF(OR(F395="L",F395="S",F395="I"),-1,1),"")</f>
        <v>-16149.31</v>
      </c>
      <c r="AM395" s="794">
        <f t="shared" si="4"/>
        <v>-9217.4</v>
      </c>
      <c r="AN395" s="794">
        <f t="array" ref="AN395">INDEX(G395:R395,1,MATCH(Parametres!$B$3,G$1:R$1,0))*IF(OR(F395="L",F395="S",F395="I"),-1,1)</f>
        <v>-25366.71</v>
      </c>
      <c r="AO395" s="853" t="str">
        <f>+VLOOKUP($AJ395,Data_Validation!$A:$D,1,0)</f>
        <v>G26101</v>
      </c>
      <c r="AP395" s="853" t="str">
        <f>+VLOOKUP($AJ395,Data_Validation!$A:$D,3,0)</f>
        <v>Bilan</v>
      </c>
      <c r="AQ395" s="853" t="str">
        <f>+VLOOKUP($AJ395,Data_Validation!$A:$D,4,0)</f>
        <v>Recevables Manufacturier</v>
      </c>
      <c r="AR395" s="853" t="s">
        <v>728</v>
      </c>
      <c r="AS395" s="853" t="str">
        <f>+VLOOKUP($AJ395,Data_Validation!$A:$E,5,0)</f>
        <v/>
      </c>
      <c r="AT395" s="794" t="str">
        <f t="shared" ref="AT395:AU395" si="788">C395</f>
        <v>G26101</v>
      </c>
      <c r="AU395" s="854" t="str">
        <f t="shared" si="788"/>
        <v>INSPECTIONS (PDI)</v>
      </c>
      <c r="AV395" s="794">
        <f t="array" ref="AV395">IFERROR(INDEX(V395:AG395,1,MATCH(Parametres!$B$3,V$1:AG$1,0)-1)*IF(OR(C395="L",C395="S",C395="I"),-1,1),"")</f>
        <v>0</v>
      </c>
      <c r="AW395" s="794">
        <f t="shared" si="6"/>
        <v>0</v>
      </c>
      <c r="AX395" s="794">
        <f t="array" ref="AX395">INDEX(V395:AG395,1,MATCH(Parametres!$B$3,V$1:AG$1,0))*IF(OR(C395="L",C395="S",C395="I"),-1,1)</f>
        <v>0</v>
      </c>
      <c r="AY395" s="853" t="s">
        <v>772</v>
      </c>
      <c r="AZ395" s="853" t="str">
        <f>+VLOOKUP($AJ395,Data_Validation!$A:$E,5,0)</f>
        <v/>
      </c>
    </row>
    <row r="396" ht="15.75" customHeight="1">
      <c r="A396" s="849" t="s">
        <v>1239</v>
      </c>
      <c r="B396" s="849">
        <v>2025.0</v>
      </c>
      <c r="C396" s="849" t="s">
        <v>2138</v>
      </c>
      <c r="D396" s="849" t="s">
        <v>2139</v>
      </c>
      <c r="E396" s="849" t="s">
        <v>1959</v>
      </c>
      <c r="F396" s="849" t="s">
        <v>1926</v>
      </c>
      <c r="G396" s="849">
        <v>189309.71</v>
      </c>
      <c r="H396" s="849">
        <v>-25694.78</v>
      </c>
      <c r="I396" s="849">
        <v>6957.07</v>
      </c>
      <c r="J396" s="849">
        <v>84076.45</v>
      </c>
      <c r="K396" s="849">
        <v>257039.09</v>
      </c>
      <c r="L396" s="849">
        <v>375682.46</v>
      </c>
      <c r="M396" s="849">
        <v>360487.48</v>
      </c>
      <c r="N396" s="849">
        <v>422170.03</v>
      </c>
      <c r="O396" s="849">
        <v>316095.13</v>
      </c>
      <c r="P396" s="849">
        <v>98972.09</v>
      </c>
      <c r="Q396" s="849">
        <v>24421.37</v>
      </c>
      <c r="R396" s="849">
        <v>25276.46</v>
      </c>
      <c r="S396" s="849">
        <v>0.0</v>
      </c>
      <c r="T396" s="849">
        <v>0.0</v>
      </c>
      <c r="U396" s="849">
        <v>0.0</v>
      </c>
      <c r="V396" s="849">
        <v>0.0</v>
      </c>
      <c r="W396" s="849">
        <v>0.0</v>
      </c>
      <c r="X396" s="849">
        <v>0.0</v>
      </c>
      <c r="Y396" s="849">
        <v>0.0</v>
      </c>
      <c r="Z396" s="849">
        <v>0.0</v>
      </c>
      <c r="AA396" s="849">
        <v>0.0</v>
      </c>
      <c r="AB396" s="849">
        <v>0.0</v>
      </c>
      <c r="AC396" s="849">
        <v>0.0</v>
      </c>
      <c r="AD396" s="849">
        <v>0.0</v>
      </c>
      <c r="AE396" s="849">
        <v>0.0</v>
      </c>
      <c r="AF396" s="849">
        <v>0.0</v>
      </c>
      <c r="AG396" s="849">
        <v>0.0</v>
      </c>
      <c r="AH396" s="849">
        <v>0.0</v>
      </c>
      <c r="AI396" s="849">
        <v>0.0</v>
      </c>
      <c r="AJ396" s="794" t="str">
        <f t="shared" ref="AJ396:AK396" si="789">C396</f>
        <v>G26103</v>
      </c>
      <c r="AK396" s="794" t="str">
        <f t="shared" si="789"/>
        <v>PROGRAMMES DIVERS</v>
      </c>
      <c r="AL396" s="794">
        <f t="array" ref="AL396">IFERROR(INDEX(G396:R396,1,MATCH(Parametres!$B$3,G$1:R$1,0)-1)*IF(OR(F396="L",F396="S",F396="I"),-1,1),"")</f>
        <v>422170.03</v>
      </c>
      <c r="AM396" s="794">
        <f t="shared" si="4"/>
        <v>-106074.9</v>
      </c>
      <c r="AN396" s="794">
        <f t="array" ref="AN396">INDEX(G396:R396,1,MATCH(Parametres!$B$3,G$1:R$1,0))*IF(OR(F396="L",F396="S",F396="I"),-1,1)</f>
        <v>316095.13</v>
      </c>
      <c r="AO396" s="853" t="str">
        <f>+VLOOKUP($AJ396,Data_Validation!$A:$D,1,0)</f>
        <v>G26103</v>
      </c>
      <c r="AP396" s="853" t="str">
        <f>+VLOOKUP($AJ396,Data_Validation!$A:$D,3,0)</f>
        <v>Bilan</v>
      </c>
      <c r="AQ396" s="853" t="str">
        <f>+VLOOKUP($AJ396,Data_Validation!$A:$D,4,0)</f>
        <v>Recevables Manufacturier</v>
      </c>
      <c r="AR396" s="853" t="s">
        <v>728</v>
      </c>
      <c r="AS396" s="853" t="str">
        <f>+VLOOKUP($AJ396,Data_Validation!$A:$E,5,0)</f>
        <v/>
      </c>
      <c r="AT396" s="794" t="str">
        <f t="shared" ref="AT396:AU396" si="790">C396</f>
        <v>G26103</v>
      </c>
      <c r="AU396" s="854" t="str">
        <f t="shared" si="790"/>
        <v>PROGRAMMES DIVERS</v>
      </c>
      <c r="AV396" s="794">
        <f t="array" ref="AV396">IFERROR(INDEX(V396:AG396,1,MATCH(Parametres!$B$3,V$1:AG$1,0)-1)*IF(OR(C396="L",C396="S",C396="I"),-1,1),"")</f>
        <v>0</v>
      </c>
      <c r="AW396" s="794">
        <f t="shared" si="6"/>
        <v>0</v>
      </c>
      <c r="AX396" s="794">
        <f t="array" ref="AX396">INDEX(V396:AG396,1,MATCH(Parametres!$B$3,V$1:AG$1,0))*IF(OR(C396="L",C396="S",C396="I"),-1,1)</f>
        <v>0</v>
      </c>
      <c r="AY396" s="853" t="s">
        <v>772</v>
      </c>
      <c r="AZ396" s="853" t="str">
        <f>+VLOOKUP($AJ396,Data_Validation!$A:$E,5,0)</f>
        <v/>
      </c>
    </row>
    <row r="397" ht="15.75" customHeight="1">
      <c r="A397" s="849" t="s">
        <v>1239</v>
      </c>
      <c r="B397" s="849">
        <v>2025.0</v>
      </c>
      <c r="C397" s="849" t="s">
        <v>2140</v>
      </c>
      <c r="D397" s="849" t="s">
        <v>2141</v>
      </c>
      <c r="E397" s="849" t="s">
        <v>1959</v>
      </c>
      <c r="F397" s="849" t="s">
        <v>1926</v>
      </c>
      <c r="G397" s="849">
        <v>108528.0</v>
      </c>
      <c r="H397" s="849">
        <v>221908.0</v>
      </c>
      <c r="I397" s="849">
        <v>626534.0</v>
      </c>
      <c r="J397" s="849">
        <v>348809.0</v>
      </c>
      <c r="K397" s="849">
        <v>146609.0</v>
      </c>
      <c r="L397" s="849">
        <v>532928.86</v>
      </c>
      <c r="M397" s="849">
        <v>75069.0</v>
      </c>
      <c r="N397" s="849">
        <v>-100286.0</v>
      </c>
      <c r="O397" s="849">
        <v>-64667.06</v>
      </c>
      <c r="P397" s="849">
        <v>-93215.71</v>
      </c>
      <c r="Q397" s="849">
        <v>38998.91</v>
      </c>
      <c r="R397" s="849">
        <v>-48317.66</v>
      </c>
      <c r="S397" s="849">
        <v>0.0</v>
      </c>
      <c r="T397" s="849">
        <v>0.0</v>
      </c>
      <c r="U397" s="849">
        <v>0.0</v>
      </c>
      <c r="V397" s="849">
        <v>0.0</v>
      </c>
      <c r="W397" s="849">
        <v>0.0</v>
      </c>
      <c r="X397" s="849">
        <v>0.0</v>
      </c>
      <c r="Y397" s="849">
        <v>0.0</v>
      </c>
      <c r="Z397" s="849">
        <v>0.0</v>
      </c>
      <c r="AA397" s="849">
        <v>0.0</v>
      </c>
      <c r="AB397" s="849">
        <v>0.0</v>
      </c>
      <c r="AC397" s="849">
        <v>0.0</v>
      </c>
      <c r="AD397" s="849">
        <v>0.0</v>
      </c>
      <c r="AE397" s="849">
        <v>0.0</v>
      </c>
      <c r="AF397" s="849">
        <v>0.0</v>
      </c>
      <c r="AG397" s="849">
        <v>0.0</v>
      </c>
      <c r="AH397" s="849">
        <v>0.0</v>
      </c>
      <c r="AI397" s="849">
        <v>0.0</v>
      </c>
      <c r="AJ397" s="794" t="str">
        <f t="shared" ref="AJ397:AK397" si="791">C397</f>
        <v>G26104</v>
      </c>
      <c r="AK397" s="794" t="str">
        <f t="shared" si="791"/>
        <v>PROGRAMMES FLOTTES</v>
      </c>
      <c r="AL397" s="794">
        <f t="array" ref="AL397">IFERROR(INDEX(G397:R397,1,MATCH(Parametres!$B$3,G$1:R$1,0)-1)*IF(OR(F397="L",F397="S",F397="I"),-1,1),"")</f>
        <v>-100286</v>
      </c>
      <c r="AM397" s="794">
        <f t="shared" si="4"/>
        <v>35618.94</v>
      </c>
      <c r="AN397" s="794">
        <f t="array" ref="AN397">INDEX(G397:R397,1,MATCH(Parametres!$B$3,G$1:R$1,0))*IF(OR(F397="L",F397="S",F397="I"),-1,1)</f>
        <v>-64667.06</v>
      </c>
      <c r="AO397" s="853" t="str">
        <f>+VLOOKUP($AJ397,Data_Validation!$A:$D,1,0)</f>
        <v>G26104</v>
      </c>
      <c r="AP397" s="853" t="str">
        <f>+VLOOKUP($AJ397,Data_Validation!$A:$D,3,0)</f>
        <v>Bilan</v>
      </c>
      <c r="AQ397" s="853" t="str">
        <f>+VLOOKUP($AJ397,Data_Validation!$A:$D,4,0)</f>
        <v>Recevables Manufacturier</v>
      </c>
      <c r="AR397" s="853" t="s">
        <v>728</v>
      </c>
      <c r="AS397" s="853" t="str">
        <f>+VLOOKUP($AJ397,Data_Validation!$A:$E,5,0)</f>
        <v/>
      </c>
      <c r="AT397" s="794" t="str">
        <f t="shared" ref="AT397:AU397" si="792">C397</f>
        <v>G26104</v>
      </c>
      <c r="AU397" s="854" t="str">
        <f t="shared" si="792"/>
        <v>PROGRAMMES FLOTTES</v>
      </c>
      <c r="AV397" s="794">
        <f t="array" ref="AV397">IFERROR(INDEX(V397:AG397,1,MATCH(Parametres!$B$3,V$1:AG$1,0)-1)*IF(OR(C397="L",C397="S",C397="I"),-1,1),"")</f>
        <v>0</v>
      </c>
      <c r="AW397" s="794">
        <f t="shared" si="6"/>
        <v>0</v>
      </c>
      <c r="AX397" s="794">
        <f t="array" ref="AX397">INDEX(V397:AG397,1,MATCH(Parametres!$B$3,V$1:AG$1,0))*IF(OR(C397="L",C397="S",C397="I"),-1,1)</f>
        <v>0</v>
      </c>
      <c r="AY397" s="853" t="s">
        <v>772</v>
      </c>
      <c r="AZ397" s="853" t="str">
        <f>+VLOOKUP($AJ397,Data_Validation!$A:$E,5,0)</f>
        <v/>
      </c>
    </row>
    <row r="398" ht="15.75" customHeight="1">
      <c r="A398" s="849" t="s">
        <v>1239</v>
      </c>
      <c r="B398" s="849">
        <v>2025.0</v>
      </c>
      <c r="C398" s="849" t="s">
        <v>2144</v>
      </c>
      <c r="D398" s="849" t="s">
        <v>2145</v>
      </c>
      <c r="E398" s="849" t="s">
        <v>768</v>
      </c>
      <c r="F398" s="849" t="s">
        <v>1926</v>
      </c>
      <c r="G398" s="849">
        <v>13016.23</v>
      </c>
      <c r="H398" s="849">
        <v>10660.03</v>
      </c>
      <c r="I398" s="849">
        <v>7459.03</v>
      </c>
      <c r="J398" s="849">
        <v>20215.03</v>
      </c>
      <c r="K398" s="849">
        <v>17300.34</v>
      </c>
      <c r="L398" s="849">
        <v>14647.14</v>
      </c>
      <c r="M398" s="849">
        <v>11652.74</v>
      </c>
      <c r="N398" s="849">
        <v>9388.94</v>
      </c>
      <c r="O398" s="849">
        <v>7164.74</v>
      </c>
      <c r="P398" s="849">
        <v>22272.14</v>
      </c>
      <c r="Q398" s="849">
        <v>19922.54</v>
      </c>
      <c r="R398" s="849">
        <v>17988.74</v>
      </c>
      <c r="S398" s="849">
        <v>0.0</v>
      </c>
      <c r="T398" s="849">
        <v>0.0</v>
      </c>
      <c r="U398" s="849">
        <v>0.0</v>
      </c>
      <c r="V398" s="849">
        <v>0.0</v>
      </c>
      <c r="W398" s="849">
        <v>0.0</v>
      </c>
      <c r="X398" s="849">
        <v>0.0</v>
      </c>
      <c r="Y398" s="849">
        <v>0.0</v>
      </c>
      <c r="Z398" s="849">
        <v>0.0</v>
      </c>
      <c r="AA398" s="849">
        <v>0.0</v>
      </c>
      <c r="AB398" s="849">
        <v>0.0</v>
      </c>
      <c r="AC398" s="849">
        <v>0.0</v>
      </c>
      <c r="AD398" s="849">
        <v>0.0</v>
      </c>
      <c r="AE398" s="849">
        <v>0.0</v>
      </c>
      <c r="AF398" s="849">
        <v>0.0</v>
      </c>
      <c r="AG398" s="849">
        <v>0.0</v>
      </c>
      <c r="AH398" s="849">
        <v>0.0</v>
      </c>
      <c r="AI398" s="849">
        <v>0.0</v>
      </c>
      <c r="AJ398" s="794" t="str">
        <f t="shared" ref="AJ398:AK398" si="793">C398</f>
        <v>G26155</v>
      </c>
      <c r="AK398" s="794" t="str">
        <f t="shared" si="793"/>
        <v>VIGNETTES AUTO / CAMIONS</v>
      </c>
      <c r="AL398" s="794">
        <f t="array" ref="AL398">IFERROR(INDEX(G398:R398,1,MATCH(Parametres!$B$3,G$1:R$1,0)-1)*IF(OR(F398="L",F398="S",F398="I"),-1,1),"")</f>
        <v>9388.94</v>
      </c>
      <c r="AM398" s="794">
        <f t="shared" si="4"/>
        <v>-2224.2</v>
      </c>
      <c r="AN398" s="794">
        <f t="array" ref="AN398">INDEX(G398:R398,1,MATCH(Parametres!$B$3,G$1:R$1,0))*IF(OR(F398="L",F398="S",F398="I"),-1,1)</f>
        <v>7164.74</v>
      </c>
      <c r="AO398" s="853" t="str">
        <f>+VLOOKUP($AJ398,Data_Validation!$A:$D,1,0)</f>
        <v>G26155</v>
      </c>
      <c r="AP398" s="853" t="str">
        <f>+VLOOKUP($AJ398,Data_Validation!$A:$D,3,0)</f>
        <v>Bilan</v>
      </c>
      <c r="AQ398" s="853" t="str">
        <f>+VLOOKUP($AJ398,Data_Validation!$A:$D,4,0)</f>
        <v>Frais Payés d'Avance</v>
      </c>
      <c r="AR398" s="853" t="s">
        <v>728</v>
      </c>
      <c r="AS398" s="853" t="str">
        <f>+VLOOKUP($AJ398,Data_Validation!$A:$E,5,0)</f>
        <v/>
      </c>
      <c r="AT398" s="794" t="str">
        <f t="shared" ref="AT398:AU398" si="794">C398</f>
        <v>G26155</v>
      </c>
      <c r="AU398" s="854" t="str">
        <f t="shared" si="794"/>
        <v>VIGNETTES AUTO / CAMIONS</v>
      </c>
      <c r="AV398" s="794">
        <f t="array" ref="AV398">IFERROR(INDEX(V398:AG398,1,MATCH(Parametres!$B$3,V$1:AG$1,0)-1)*IF(OR(C398="L",C398="S",C398="I"),-1,1),"")</f>
        <v>0</v>
      </c>
      <c r="AW398" s="794">
        <f t="shared" si="6"/>
        <v>0</v>
      </c>
      <c r="AX398" s="794">
        <f t="array" ref="AX398">INDEX(V398:AG398,1,MATCH(Parametres!$B$3,V$1:AG$1,0))*IF(OR(C398="L",C398="S",C398="I"),-1,1)</f>
        <v>0</v>
      </c>
      <c r="AY398" s="853" t="s">
        <v>772</v>
      </c>
      <c r="AZ398" s="853" t="str">
        <f>+VLOOKUP($AJ398,Data_Validation!$A:$E,5,0)</f>
        <v/>
      </c>
    </row>
    <row r="399" ht="15.75" customHeight="1">
      <c r="A399" s="849" t="s">
        <v>1239</v>
      </c>
      <c r="B399" s="849">
        <v>2025.0</v>
      </c>
      <c r="C399" s="849" t="s">
        <v>2146</v>
      </c>
      <c r="D399" s="849" t="s">
        <v>2147</v>
      </c>
      <c r="E399" s="849" t="s">
        <v>2057</v>
      </c>
      <c r="F399" s="849" t="s">
        <v>1926</v>
      </c>
      <c r="G399" s="849">
        <v>3283.88</v>
      </c>
      <c r="H399" s="849">
        <v>2627.5</v>
      </c>
      <c r="I399" s="849">
        <v>48566.93</v>
      </c>
      <c r="J399" s="849">
        <v>2993.02</v>
      </c>
      <c r="K399" s="849">
        <v>24096.62</v>
      </c>
      <c r="L399" s="849">
        <v>12782.79</v>
      </c>
      <c r="M399" s="849">
        <v>-11963.9</v>
      </c>
      <c r="N399" s="849">
        <v>2487.73</v>
      </c>
      <c r="O399" s="849">
        <v>9485.87</v>
      </c>
      <c r="P399" s="849">
        <v>6107.21</v>
      </c>
      <c r="Q399" s="849">
        <v>3007.57</v>
      </c>
      <c r="R399" s="849">
        <v>-9284.43</v>
      </c>
      <c r="S399" s="849">
        <v>0.0</v>
      </c>
      <c r="T399" s="849">
        <v>0.0</v>
      </c>
      <c r="U399" s="849">
        <v>0.0</v>
      </c>
      <c r="V399" s="849">
        <v>0.0</v>
      </c>
      <c r="W399" s="849">
        <v>0.0</v>
      </c>
      <c r="X399" s="849">
        <v>0.0</v>
      </c>
      <c r="Y399" s="849">
        <v>0.0</v>
      </c>
      <c r="Z399" s="849">
        <v>0.0</v>
      </c>
      <c r="AA399" s="849">
        <v>0.0</v>
      </c>
      <c r="AB399" s="849">
        <v>0.0</v>
      </c>
      <c r="AC399" s="849">
        <v>0.0</v>
      </c>
      <c r="AD399" s="849">
        <v>0.0</v>
      </c>
      <c r="AE399" s="849">
        <v>0.0</v>
      </c>
      <c r="AF399" s="849">
        <v>0.0</v>
      </c>
      <c r="AG399" s="849">
        <v>0.0</v>
      </c>
      <c r="AH399" s="849">
        <v>0.0</v>
      </c>
      <c r="AI399" s="849">
        <v>0.0</v>
      </c>
      <c r="AJ399" s="794" t="str">
        <f t="shared" ref="AJ399:AK399" si="795">C399</f>
        <v>G26300</v>
      </c>
      <c r="AK399" s="794" t="str">
        <f t="shared" si="795"/>
        <v>RECLAMATION EN GARANTIE</v>
      </c>
      <c r="AL399" s="794">
        <f t="array" ref="AL399">IFERROR(INDEX(G399:R399,1,MATCH(Parametres!$B$3,G$1:R$1,0)-1)*IF(OR(F399="L",F399="S",F399="I"),-1,1),"")</f>
        <v>2487.73</v>
      </c>
      <c r="AM399" s="794">
        <f t="shared" si="4"/>
        <v>6998.14</v>
      </c>
      <c r="AN399" s="794">
        <f t="array" ref="AN399">INDEX(G399:R399,1,MATCH(Parametres!$B$3,G$1:R$1,0))*IF(OR(F399="L",F399="S",F399="I"),-1,1)</f>
        <v>9485.87</v>
      </c>
      <c r="AO399" s="853" t="str">
        <f>+VLOOKUP($AJ399,Data_Validation!$A:$D,1,0)</f>
        <v>G26300</v>
      </c>
      <c r="AP399" s="853" t="str">
        <f>+VLOOKUP($AJ399,Data_Validation!$A:$D,3,0)</f>
        <v>Bilan</v>
      </c>
      <c r="AQ399" s="853" t="str">
        <f>+VLOOKUP($AJ399,Data_Validation!$A:$D,4,0)</f>
        <v>Recevables Garantie Manufacturier</v>
      </c>
      <c r="AR399" s="853" t="s">
        <v>728</v>
      </c>
      <c r="AS399" s="853" t="str">
        <f>+VLOOKUP($AJ399,Data_Validation!$A:$E,5,0)</f>
        <v/>
      </c>
      <c r="AT399" s="794" t="str">
        <f t="shared" ref="AT399:AU399" si="796">C399</f>
        <v>G26300</v>
      </c>
      <c r="AU399" s="854" t="str">
        <f t="shared" si="796"/>
        <v>RECLAMATION EN GARANTIE</v>
      </c>
      <c r="AV399" s="794">
        <f t="array" ref="AV399">IFERROR(INDEX(V399:AG399,1,MATCH(Parametres!$B$3,V$1:AG$1,0)-1)*IF(OR(C399="L",C399="S",C399="I"),-1,1),"")</f>
        <v>0</v>
      </c>
      <c r="AW399" s="794">
        <f t="shared" si="6"/>
        <v>0</v>
      </c>
      <c r="AX399" s="794">
        <f t="array" ref="AX399">INDEX(V399:AG399,1,MATCH(Parametres!$B$3,V$1:AG$1,0))*IF(OR(C399="L",C399="S",C399="I"),-1,1)</f>
        <v>0</v>
      </c>
      <c r="AY399" s="853" t="s">
        <v>772</v>
      </c>
      <c r="AZ399" s="853" t="str">
        <f>+VLOOKUP($AJ399,Data_Validation!$A:$E,5,0)</f>
        <v/>
      </c>
    </row>
    <row r="400" ht="15.75" customHeight="1">
      <c r="A400" s="849" t="s">
        <v>1239</v>
      </c>
      <c r="B400" s="849">
        <v>2025.0</v>
      </c>
      <c r="C400" s="849" t="s">
        <v>2148</v>
      </c>
      <c r="D400" s="849" t="s">
        <v>2149</v>
      </c>
      <c r="E400" s="849" t="s">
        <v>2057</v>
      </c>
      <c r="F400" s="849" t="s">
        <v>1926</v>
      </c>
      <c r="G400" s="849">
        <v>0.0</v>
      </c>
      <c r="H400" s="849">
        <v>0.0</v>
      </c>
      <c r="I400" s="849">
        <v>0.0</v>
      </c>
      <c r="J400" s="849">
        <v>0.0</v>
      </c>
      <c r="K400" s="849">
        <v>0.0</v>
      </c>
      <c r="L400" s="849">
        <v>0.0</v>
      </c>
      <c r="M400" s="849">
        <v>0.0</v>
      </c>
      <c r="N400" s="849">
        <v>0.0</v>
      </c>
      <c r="O400" s="849">
        <v>0.0</v>
      </c>
      <c r="P400" s="849">
        <v>0.0</v>
      </c>
      <c r="Q400" s="849">
        <v>0.0</v>
      </c>
      <c r="R400" s="849">
        <v>0.0</v>
      </c>
      <c r="S400" s="849">
        <v>0.0</v>
      </c>
      <c r="T400" s="849">
        <v>0.0</v>
      </c>
      <c r="U400" s="849">
        <v>0.0</v>
      </c>
      <c r="V400" s="849">
        <v>0.0</v>
      </c>
      <c r="W400" s="849">
        <v>0.0</v>
      </c>
      <c r="X400" s="849">
        <v>0.0</v>
      </c>
      <c r="Y400" s="849">
        <v>0.0</v>
      </c>
      <c r="Z400" s="849">
        <v>0.0</v>
      </c>
      <c r="AA400" s="849">
        <v>0.0</v>
      </c>
      <c r="AB400" s="849">
        <v>0.0</v>
      </c>
      <c r="AC400" s="849">
        <v>0.0</v>
      </c>
      <c r="AD400" s="849">
        <v>0.0</v>
      </c>
      <c r="AE400" s="849">
        <v>0.0</v>
      </c>
      <c r="AF400" s="849">
        <v>0.0</v>
      </c>
      <c r="AG400" s="849">
        <v>0.0</v>
      </c>
      <c r="AH400" s="849">
        <v>0.0</v>
      </c>
      <c r="AI400" s="849">
        <v>0.0</v>
      </c>
      <c r="AJ400" s="794" t="str">
        <f t="shared" ref="AJ400:AK400" si="797">C400</f>
        <v>G26302</v>
      </c>
      <c r="AK400" s="794" t="str">
        <f t="shared" si="797"/>
        <v>RECLAMATIONS P.P.C.</v>
      </c>
      <c r="AL400" s="794">
        <f t="array" ref="AL400">IFERROR(INDEX(G400:R400,1,MATCH(Parametres!$B$3,G$1:R$1,0)-1)*IF(OR(F400="L",F400="S",F400="I"),-1,1),"")</f>
        <v>0</v>
      </c>
      <c r="AM400" s="794">
        <f t="shared" si="4"/>
        <v>0</v>
      </c>
      <c r="AN400" s="794">
        <f t="array" ref="AN400">INDEX(G400:R400,1,MATCH(Parametres!$B$3,G$1:R$1,0))*IF(OR(F400="L",F400="S",F400="I"),-1,1)</f>
        <v>0</v>
      </c>
      <c r="AO400" s="853" t="str">
        <f>+VLOOKUP($AJ400,Data_Validation!$A:$D,1,0)</f>
        <v>#N/A</v>
      </c>
      <c r="AP400" s="853" t="str">
        <f>+VLOOKUP($AJ400,Data_Validation!$A:$D,3,0)</f>
        <v>#N/A</v>
      </c>
      <c r="AQ400" s="853" t="str">
        <f>+VLOOKUP($AJ400,Data_Validation!$A:$D,4,0)</f>
        <v>#N/A</v>
      </c>
      <c r="AR400" s="853" t="s">
        <v>728</v>
      </c>
      <c r="AS400" s="853" t="str">
        <f>+VLOOKUP($AJ400,Data_Validation!$A:$E,5,0)</f>
        <v>#N/A</v>
      </c>
      <c r="AT400" s="794" t="str">
        <f t="shared" ref="AT400:AU400" si="798">C400</f>
        <v>G26302</v>
      </c>
      <c r="AU400" s="854" t="str">
        <f t="shared" si="798"/>
        <v>RECLAMATIONS P.P.C.</v>
      </c>
      <c r="AV400" s="794">
        <f t="array" ref="AV400">IFERROR(INDEX(V400:AG400,1,MATCH(Parametres!$B$3,V$1:AG$1,0)-1)*IF(OR(C400="L",C400="S",C400="I"),-1,1),"")</f>
        <v>0</v>
      </c>
      <c r="AW400" s="794">
        <f t="shared" si="6"/>
        <v>0</v>
      </c>
      <c r="AX400" s="794">
        <f t="array" ref="AX400">INDEX(V400:AG400,1,MATCH(Parametres!$B$3,V$1:AG$1,0))*IF(OR(C400="L",C400="S",C400="I"),-1,1)</f>
        <v>0</v>
      </c>
      <c r="AY400" s="853" t="s">
        <v>772</v>
      </c>
      <c r="AZ400" s="853" t="str">
        <f>+VLOOKUP($AJ400,Data_Validation!$A:$E,5,0)</f>
        <v>#N/A</v>
      </c>
    </row>
    <row r="401" ht="15.75" customHeight="1">
      <c r="A401" s="849" t="s">
        <v>1239</v>
      </c>
      <c r="B401" s="849">
        <v>2025.0</v>
      </c>
      <c r="C401" s="849" t="s">
        <v>2150</v>
      </c>
      <c r="D401" s="849" t="s">
        <v>2151</v>
      </c>
      <c r="E401" s="849" t="s">
        <v>2057</v>
      </c>
      <c r="F401" s="849" t="s">
        <v>1926</v>
      </c>
      <c r="G401" s="849">
        <v>0.0</v>
      </c>
      <c r="H401" s="849">
        <v>0.0</v>
      </c>
      <c r="I401" s="849">
        <v>0.0</v>
      </c>
      <c r="J401" s="849">
        <v>0.0</v>
      </c>
      <c r="K401" s="849">
        <v>0.0</v>
      </c>
      <c r="L401" s="849">
        <v>0.0</v>
      </c>
      <c r="M401" s="849">
        <v>0.0</v>
      </c>
      <c r="N401" s="849">
        <v>0.0</v>
      </c>
      <c r="O401" s="849">
        <v>0.0</v>
      </c>
      <c r="P401" s="849">
        <v>0.0</v>
      </c>
      <c r="Q401" s="849">
        <v>0.0</v>
      </c>
      <c r="R401" s="849">
        <v>0.0</v>
      </c>
      <c r="S401" s="849">
        <v>0.0</v>
      </c>
      <c r="T401" s="849">
        <v>0.0</v>
      </c>
      <c r="U401" s="849">
        <v>0.0</v>
      </c>
      <c r="V401" s="849">
        <v>0.0</v>
      </c>
      <c r="W401" s="849">
        <v>0.0</v>
      </c>
      <c r="X401" s="849">
        <v>0.0</v>
      </c>
      <c r="Y401" s="849">
        <v>0.0</v>
      </c>
      <c r="Z401" s="849">
        <v>0.0</v>
      </c>
      <c r="AA401" s="849">
        <v>0.0</v>
      </c>
      <c r="AB401" s="849">
        <v>0.0</v>
      </c>
      <c r="AC401" s="849">
        <v>0.0</v>
      </c>
      <c r="AD401" s="849">
        <v>0.0</v>
      </c>
      <c r="AE401" s="849">
        <v>0.0</v>
      </c>
      <c r="AF401" s="849">
        <v>0.0</v>
      </c>
      <c r="AG401" s="849">
        <v>0.0</v>
      </c>
      <c r="AH401" s="849">
        <v>0.0</v>
      </c>
      <c r="AI401" s="849">
        <v>0.0</v>
      </c>
      <c r="AJ401" s="794" t="str">
        <f t="shared" ref="AJ401:AK401" si="799">C401</f>
        <v>G26303</v>
      </c>
      <c r="AK401" s="794" t="str">
        <f t="shared" si="799"/>
        <v>DEDUCTIBLE CLAIMS</v>
      </c>
      <c r="AL401" s="794">
        <f t="array" ref="AL401">IFERROR(INDEX(G401:R401,1,MATCH(Parametres!$B$3,G$1:R$1,0)-1)*IF(OR(F401="L",F401="S",F401="I"),-1,1),"")</f>
        <v>0</v>
      </c>
      <c r="AM401" s="794">
        <f t="shared" si="4"/>
        <v>0</v>
      </c>
      <c r="AN401" s="794">
        <f t="array" ref="AN401">INDEX(G401:R401,1,MATCH(Parametres!$B$3,G$1:R$1,0))*IF(OR(F401="L",F401="S",F401="I"),-1,1)</f>
        <v>0</v>
      </c>
      <c r="AO401" s="853" t="str">
        <f>+VLOOKUP($AJ401,Data_Validation!$A:$D,1,0)</f>
        <v>#N/A</v>
      </c>
      <c r="AP401" s="853" t="str">
        <f>+VLOOKUP($AJ401,Data_Validation!$A:$D,3,0)</f>
        <v>#N/A</v>
      </c>
      <c r="AQ401" s="853" t="str">
        <f>+VLOOKUP($AJ401,Data_Validation!$A:$D,4,0)</f>
        <v>#N/A</v>
      </c>
      <c r="AR401" s="853" t="s">
        <v>728</v>
      </c>
      <c r="AS401" s="853" t="str">
        <f>+VLOOKUP($AJ401,Data_Validation!$A:$E,5,0)</f>
        <v>#N/A</v>
      </c>
      <c r="AT401" s="794" t="str">
        <f t="shared" ref="AT401:AU401" si="800">C401</f>
        <v>G26303</v>
      </c>
      <c r="AU401" s="854" t="str">
        <f t="shared" si="800"/>
        <v>DEDUCTIBLE CLAIMS</v>
      </c>
      <c r="AV401" s="794">
        <f t="array" ref="AV401">IFERROR(INDEX(V401:AG401,1,MATCH(Parametres!$B$3,V$1:AG$1,0)-1)*IF(OR(C401="L",C401="S",C401="I"),-1,1),"")</f>
        <v>0</v>
      </c>
      <c r="AW401" s="794">
        <f t="shared" si="6"/>
        <v>0</v>
      </c>
      <c r="AX401" s="794">
        <f t="array" ref="AX401">INDEX(V401:AG401,1,MATCH(Parametres!$B$3,V$1:AG$1,0))*IF(OR(C401="L",C401="S",C401="I"),-1,1)</f>
        <v>0</v>
      </c>
      <c r="AY401" s="853" t="s">
        <v>772</v>
      </c>
      <c r="AZ401" s="853" t="str">
        <f>+VLOOKUP($AJ401,Data_Validation!$A:$E,5,0)</f>
        <v>#N/A</v>
      </c>
    </row>
    <row r="402" ht="15.75" customHeight="1">
      <c r="A402" s="849" t="s">
        <v>1239</v>
      </c>
      <c r="B402" s="849">
        <v>2025.0</v>
      </c>
      <c r="C402" s="849" t="s">
        <v>2152</v>
      </c>
      <c r="D402" s="849" t="s">
        <v>2153</v>
      </c>
      <c r="E402" s="849" t="s">
        <v>2057</v>
      </c>
      <c r="F402" s="849" t="s">
        <v>1926</v>
      </c>
      <c r="G402" s="849">
        <v>0.0</v>
      </c>
      <c r="H402" s="849">
        <v>0.0</v>
      </c>
      <c r="I402" s="849">
        <v>0.0</v>
      </c>
      <c r="J402" s="849">
        <v>0.0</v>
      </c>
      <c r="K402" s="849">
        <v>0.0</v>
      </c>
      <c r="L402" s="849">
        <v>0.0</v>
      </c>
      <c r="M402" s="849">
        <v>0.0</v>
      </c>
      <c r="N402" s="849">
        <v>0.0</v>
      </c>
      <c r="O402" s="849">
        <v>0.0</v>
      </c>
      <c r="P402" s="849">
        <v>0.0</v>
      </c>
      <c r="Q402" s="849">
        <v>0.0</v>
      </c>
      <c r="R402" s="849">
        <v>0.0</v>
      </c>
      <c r="S402" s="849">
        <v>0.0</v>
      </c>
      <c r="T402" s="849">
        <v>0.0</v>
      </c>
      <c r="U402" s="849">
        <v>0.0</v>
      </c>
      <c r="V402" s="849">
        <v>0.0</v>
      </c>
      <c r="W402" s="849">
        <v>0.0</v>
      </c>
      <c r="X402" s="849">
        <v>0.0</v>
      </c>
      <c r="Y402" s="849">
        <v>0.0</v>
      </c>
      <c r="Z402" s="849">
        <v>0.0</v>
      </c>
      <c r="AA402" s="849">
        <v>0.0</v>
      </c>
      <c r="AB402" s="849">
        <v>0.0</v>
      </c>
      <c r="AC402" s="849">
        <v>0.0</v>
      </c>
      <c r="AD402" s="849">
        <v>0.0</v>
      </c>
      <c r="AE402" s="849">
        <v>0.0</v>
      </c>
      <c r="AF402" s="849">
        <v>0.0</v>
      </c>
      <c r="AG402" s="849">
        <v>0.0</v>
      </c>
      <c r="AH402" s="849">
        <v>0.0</v>
      </c>
      <c r="AI402" s="849">
        <v>0.0</v>
      </c>
      <c r="AJ402" s="794" t="str">
        <f t="shared" ref="AJ402:AK402" si="801">C402</f>
        <v>G26310</v>
      </c>
      <c r="AK402" s="794" t="str">
        <f t="shared" si="801"/>
        <v>TRANSPORT-TELECON</v>
      </c>
      <c r="AL402" s="794">
        <f t="array" ref="AL402">IFERROR(INDEX(G402:R402,1,MATCH(Parametres!$B$3,G$1:R$1,0)-1)*IF(OR(F402="L",F402="S",F402="I"),-1,1),"")</f>
        <v>0</v>
      </c>
      <c r="AM402" s="794">
        <f t="shared" si="4"/>
        <v>0</v>
      </c>
      <c r="AN402" s="794">
        <f t="array" ref="AN402">INDEX(G402:R402,1,MATCH(Parametres!$B$3,G$1:R$1,0))*IF(OR(F402="L",F402="S",F402="I"),-1,1)</f>
        <v>0</v>
      </c>
      <c r="AO402" s="853" t="str">
        <f>+VLOOKUP($AJ402,Data_Validation!$A:$D,1,0)</f>
        <v>#N/A</v>
      </c>
      <c r="AP402" s="853" t="str">
        <f>+VLOOKUP($AJ402,Data_Validation!$A:$D,3,0)</f>
        <v>#N/A</v>
      </c>
      <c r="AQ402" s="853" t="str">
        <f>+VLOOKUP($AJ402,Data_Validation!$A:$D,4,0)</f>
        <v>#N/A</v>
      </c>
      <c r="AR402" s="853" t="s">
        <v>728</v>
      </c>
      <c r="AS402" s="853" t="str">
        <f>+VLOOKUP($AJ402,Data_Validation!$A:$E,5,0)</f>
        <v>#N/A</v>
      </c>
      <c r="AT402" s="794" t="str">
        <f t="shared" ref="AT402:AU402" si="802">C402</f>
        <v>G26310</v>
      </c>
      <c r="AU402" s="854" t="str">
        <f t="shared" si="802"/>
        <v>TRANSPORT-TELECON</v>
      </c>
      <c r="AV402" s="794">
        <f t="array" ref="AV402">IFERROR(INDEX(V402:AG402,1,MATCH(Parametres!$B$3,V$1:AG$1,0)-1)*IF(OR(C402="L",C402="S",C402="I"),-1,1),"")</f>
        <v>0</v>
      </c>
      <c r="AW402" s="794">
        <f t="shared" si="6"/>
        <v>0</v>
      </c>
      <c r="AX402" s="794">
        <f t="array" ref="AX402">INDEX(V402:AG402,1,MATCH(Parametres!$B$3,V$1:AG$1,0))*IF(OR(C402="L",C402="S",C402="I"),-1,1)</f>
        <v>0</v>
      </c>
      <c r="AY402" s="853" t="s">
        <v>772</v>
      </c>
      <c r="AZ402" s="853" t="str">
        <f>+VLOOKUP($AJ402,Data_Validation!$A:$E,5,0)</f>
        <v>#N/A</v>
      </c>
    </row>
    <row r="403" ht="15.75" customHeight="1">
      <c r="A403" s="849" t="s">
        <v>1239</v>
      </c>
      <c r="B403" s="849">
        <v>2025.0</v>
      </c>
      <c r="C403" s="849" t="s">
        <v>2154</v>
      </c>
      <c r="D403" s="849" t="s">
        <v>2155</v>
      </c>
      <c r="E403" s="849" t="s">
        <v>768</v>
      </c>
      <c r="F403" s="849" t="s">
        <v>1926</v>
      </c>
      <c r="G403" s="849">
        <v>1343895.64</v>
      </c>
      <c r="H403" s="849">
        <v>982540.57</v>
      </c>
      <c r="I403" s="849">
        <v>1367885.49</v>
      </c>
      <c r="J403" s="849">
        <v>3000822.12</v>
      </c>
      <c r="K403" s="849">
        <v>1244163.44</v>
      </c>
      <c r="L403" s="849">
        <v>1244163.44</v>
      </c>
      <c r="M403" s="849">
        <v>-628712.93</v>
      </c>
      <c r="N403" s="849">
        <v>-561661.64</v>
      </c>
      <c r="O403" s="849">
        <v>181871.69</v>
      </c>
      <c r="P403" s="849">
        <v>487628.27</v>
      </c>
      <c r="Q403" s="849">
        <v>759332.01</v>
      </c>
      <c r="R403" s="849">
        <v>625098.98</v>
      </c>
      <c r="S403" s="849">
        <v>0.0</v>
      </c>
      <c r="T403" s="849">
        <v>0.0</v>
      </c>
      <c r="U403" s="849">
        <v>0.0</v>
      </c>
      <c r="V403" s="849">
        <v>0.0</v>
      </c>
      <c r="W403" s="849">
        <v>0.0</v>
      </c>
      <c r="X403" s="849">
        <v>0.0</v>
      </c>
      <c r="Y403" s="849">
        <v>0.0</v>
      </c>
      <c r="Z403" s="849">
        <v>0.0</v>
      </c>
      <c r="AA403" s="849">
        <v>0.0</v>
      </c>
      <c r="AB403" s="849">
        <v>0.0</v>
      </c>
      <c r="AC403" s="849">
        <v>0.0</v>
      </c>
      <c r="AD403" s="849">
        <v>0.0</v>
      </c>
      <c r="AE403" s="849">
        <v>0.0</v>
      </c>
      <c r="AF403" s="849">
        <v>0.0</v>
      </c>
      <c r="AG403" s="849">
        <v>0.0</v>
      </c>
      <c r="AH403" s="849">
        <v>0.0</v>
      </c>
      <c r="AI403" s="849">
        <v>0.0</v>
      </c>
      <c r="AJ403" s="794" t="str">
        <f t="shared" ref="AJ403:AK403" si="803">C403</f>
        <v>G26500</v>
      </c>
      <c r="AK403" s="794" t="str">
        <f t="shared" si="803"/>
        <v>TPS TVH TVQ À RECEVOIR</v>
      </c>
      <c r="AL403" s="794">
        <f t="array" ref="AL403">IFERROR(INDEX(G403:R403,1,MATCH(Parametres!$B$3,G$1:R$1,0)-1)*IF(OR(F403="L",F403="S",F403="I"),-1,1),"")</f>
        <v>-561661.64</v>
      </c>
      <c r="AM403" s="794">
        <f t="shared" si="4"/>
        <v>743533.33</v>
      </c>
      <c r="AN403" s="794">
        <f t="array" ref="AN403">INDEX(G403:R403,1,MATCH(Parametres!$B$3,G$1:R$1,0))*IF(OR(F403="L",F403="S",F403="I"),-1,1)</f>
        <v>181871.69</v>
      </c>
      <c r="AO403" s="853" t="str">
        <f>+VLOOKUP($AJ403,Data_Validation!$A:$D,1,0)</f>
        <v>G26500</v>
      </c>
      <c r="AP403" s="853" t="str">
        <f>+VLOOKUP($AJ403,Data_Validation!$A:$D,3,0)</f>
        <v>Bilan</v>
      </c>
      <c r="AQ403" s="853" t="str">
        <f>+VLOOKUP($AJ403,Data_Validation!$A:$D,4,0)</f>
        <v>Recevables Autres</v>
      </c>
      <c r="AR403" s="853" t="s">
        <v>728</v>
      </c>
      <c r="AS403" s="853" t="str">
        <f>+VLOOKUP($AJ403,Data_Validation!$A:$E,5,0)</f>
        <v/>
      </c>
      <c r="AT403" s="794" t="str">
        <f t="shared" ref="AT403:AU403" si="804">C403</f>
        <v>G26500</v>
      </c>
      <c r="AU403" s="854" t="str">
        <f t="shared" si="804"/>
        <v>TPS TVH TVQ À RECEVOIR</v>
      </c>
      <c r="AV403" s="794">
        <f t="array" ref="AV403">IFERROR(INDEX(V403:AG403,1,MATCH(Parametres!$B$3,V$1:AG$1,0)-1)*IF(OR(C403="L",C403="S",C403="I"),-1,1),"")</f>
        <v>0</v>
      </c>
      <c r="AW403" s="794">
        <f t="shared" si="6"/>
        <v>0</v>
      </c>
      <c r="AX403" s="794">
        <f t="array" ref="AX403">INDEX(V403:AG403,1,MATCH(Parametres!$B$3,V$1:AG$1,0))*IF(OR(C403="L",C403="S",C403="I"),-1,1)</f>
        <v>0</v>
      </c>
      <c r="AY403" s="853" t="s">
        <v>772</v>
      </c>
      <c r="AZ403" s="853" t="str">
        <f>+VLOOKUP($AJ403,Data_Validation!$A:$E,5,0)</f>
        <v/>
      </c>
    </row>
    <row r="404" ht="15.75" customHeight="1">
      <c r="A404" s="849" t="s">
        <v>1239</v>
      </c>
      <c r="B404" s="849">
        <v>2025.0</v>
      </c>
      <c r="C404" s="849" t="s">
        <v>2156</v>
      </c>
      <c r="D404" s="849" t="s">
        <v>2157</v>
      </c>
      <c r="E404" s="849" t="s">
        <v>768</v>
      </c>
      <c r="F404" s="849" t="s">
        <v>1926</v>
      </c>
      <c r="G404" s="849">
        <v>-1763.04</v>
      </c>
      <c r="H404" s="849">
        <v>-6321.04</v>
      </c>
      <c r="I404" s="849">
        <v>-10879.04</v>
      </c>
      <c r="J404" s="849">
        <v>-15437.04</v>
      </c>
      <c r="K404" s="849">
        <v>-19995.04</v>
      </c>
      <c r="L404" s="849">
        <v>-24553.04</v>
      </c>
      <c r="M404" s="849">
        <v>-52480.17</v>
      </c>
      <c r="N404" s="849">
        <v>-64718.17</v>
      </c>
      <c r="O404" s="849">
        <v>12531.8</v>
      </c>
      <c r="P404" s="849">
        <v>293.8</v>
      </c>
      <c r="Q404" s="849">
        <v>-11944.2</v>
      </c>
      <c r="R404" s="849">
        <v>0.0</v>
      </c>
      <c r="S404" s="849">
        <v>0.0</v>
      </c>
      <c r="T404" s="849">
        <v>0.0</v>
      </c>
      <c r="U404" s="849">
        <v>0.0</v>
      </c>
      <c r="V404" s="849">
        <v>0.0</v>
      </c>
      <c r="W404" s="849">
        <v>0.0</v>
      </c>
      <c r="X404" s="849">
        <v>0.0</v>
      </c>
      <c r="Y404" s="849">
        <v>0.0</v>
      </c>
      <c r="Z404" s="849">
        <v>0.0</v>
      </c>
      <c r="AA404" s="849">
        <v>0.0</v>
      </c>
      <c r="AB404" s="849">
        <v>0.0</v>
      </c>
      <c r="AC404" s="849">
        <v>0.0</v>
      </c>
      <c r="AD404" s="849">
        <v>0.0</v>
      </c>
      <c r="AE404" s="849">
        <v>0.0</v>
      </c>
      <c r="AF404" s="849">
        <v>0.0</v>
      </c>
      <c r="AG404" s="849">
        <v>0.0</v>
      </c>
      <c r="AH404" s="849">
        <v>0.0</v>
      </c>
      <c r="AI404" s="849">
        <v>0.0</v>
      </c>
      <c r="AJ404" s="794" t="str">
        <f t="shared" ref="AJ404:AK404" si="805">C404</f>
        <v>G27000</v>
      </c>
      <c r="AK404" s="794" t="str">
        <f t="shared" si="805"/>
        <v>TAXES PAYEES D'AVANCE</v>
      </c>
      <c r="AL404" s="794">
        <f t="array" ref="AL404">IFERROR(INDEX(G404:R404,1,MATCH(Parametres!$B$3,G$1:R$1,0)-1)*IF(OR(F404="L",F404="S",F404="I"),-1,1),"")</f>
        <v>-64718.17</v>
      </c>
      <c r="AM404" s="794">
        <f t="shared" si="4"/>
        <v>77249.97</v>
      </c>
      <c r="AN404" s="794">
        <f t="array" ref="AN404">INDEX(G404:R404,1,MATCH(Parametres!$B$3,G$1:R$1,0))*IF(OR(F404="L",F404="S",F404="I"),-1,1)</f>
        <v>12531.8</v>
      </c>
      <c r="AO404" s="853" t="str">
        <f>+VLOOKUP($AJ404,Data_Validation!$A:$D,1,0)</f>
        <v>G27000</v>
      </c>
      <c r="AP404" s="853" t="str">
        <f>+VLOOKUP($AJ404,Data_Validation!$A:$D,3,0)</f>
        <v>Bilan</v>
      </c>
      <c r="AQ404" s="853" t="str">
        <f>+VLOOKUP($AJ404,Data_Validation!$A:$D,4,0)</f>
        <v>Frais Payés d'Avance</v>
      </c>
      <c r="AR404" s="853" t="s">
        <v>728</v>
      </c>
      <c r="AS404" s="853" t="str">
        <f>+VLOOKUP($AJ404,Data_Validation!$A:$E,5,0)</f>
        <v/>
      </c>
      <c r="AT404" s="794" t="str">
        <f t="shared" ref="AT404:AU404" si="806">C404</f>
        <v>G27000</v>
      </c>
      <c r="AU404" s="854" t="str">
        <f t="shared" si="806"/>
        <v>TAXES PAYEES D'AVANCE</v>
      </c>
      <c r="AV404" s="794">
        <f t="array" ref="AV404">IFERROR(INDEX(V404:AG404,1,MATCH(Parametres!$B$3,V$1:AG$1,0)-1)*IF(OR(C404="L",C404="S",C404="I"),-1,1),"")</f>
        <v>0</v>
      </c>
      <c r="AW404" s="794">
        <f t="shared" si="6"/>
        <v>0</v>
      </c>
      <c r="AX404" s="794">
        <f t="array" ref="AX404">INDEX(V404:AG404,1,MATCH(Parametres!$B$3,V$1:AG$1,0))*IF(OR(C404="L",C404="S",C404="I"),-1,1)</f>
        <v>0</v>
      </c>
      <c r="AY404" s="853" t="s">
        <v>772</v>
      </c>
      <c r="AZ404" s="853" t="str">
        <f>+VLOOKUP($AJ404,Data_Validation!$A:$E,5,0)</f>
        <v/>
      </c>
    </row>
    <row r="405" ht="15.75" customHeight="1">
      <c r="A405" s="849" t="s">
        <v>1239</v>
      </c>
      <c r="B405" s="849">
        <v>2025.0</v>
      </c>
      <c r="C405" s="849" t="s">
        <v>2160</v>
      </c>
      <c r="D405" s="849" t="s">
        <v>2161</v>
      </c>
      <c r="E405" s="849" t="s">
        <v>768</v>
      </c>
      <c r="F405" s="849" t="s">
        <v>1926</v>
      </c>
      <c r="G405" s="849">
        <v>143809.62</v>
      </c>
      <c r="H405" s="849">
        <v>130736.01</v>
      </c>
      <c r="I405" s="849">
        <v>117662.4</v>
      </c>
      <c r="J405" s="849">
        <v>104588.79</v>
      </c>
      <c r="K405" s="849">
        <v>91515.18</v>
      </c>
      <c r="L405" s="849">
        <v>78441.57</v>
      </c>
      <c r="M405" s="849">
        <v>65367.96</v>
      </c>
      <c r="N405" s="849">
        <v>52294.35</v>
      </c>
      <c r="O405" s="849">
        <v>39220.74</v>
      </c>
      <c r="P405" s="849">
        <v>26147.13</v>
      </c>
      <c r="Q405" s="849">
        <v>13073.52</v>
      </c>
      <c r="R405" s="849">
        <v>80653.37</v>
      </c>
      <c r="S405" s="849">
        <v>0.0</v>
      </c>
      <c r="T405" s="849">
        <v>0.0</v>
      </c>
      <c r="U405" s="849">
        <v>0.0</v>
      </c>
      <c r="V405" s="849">
        <v>0.0</v>
      </c>
      <c r="W405" s="849">
        <v>0.0</v>
      </c>
      <c r="X405" s="849">
        <v>0.0</v>
      </c>
      <c r="Y405" s="849">
        <v>0.0</v>
      </c>
      <c r="Z405" s="849">
        <v>0.0</v>
      </c>
      <c r="AA405" s="849">
        <v>0.0</v>
      </c>
      <c r="AB405" s="849">
        <v>0.0</v>
      </c>
      <c r="AC405" s="849">
        <v>0.0</v>
      </c>
      <c r="AD405" s="849">
        <v>0.0</v>
      </c>
      <c r="AE405" s="849">
        <v>0.0</v>
      </c>
      <c r="AF405" s="849">
        <v>0.0</v>
      </c>
      <c r="AG405" s="849">
        <v>0.0</v>
      </c>
      <c r="AH405" s="849">
        <v>0.0</v>
      </c>
      <c r="AI405" s="849">
        <v>0.0</v>
      </c>
      <c r="AJ405" s="794" t="str">
        <f t="shared" ref="AJ405:AK405" si="807">C405</f>
        <v>G27100</v>
      </c>
      <c r="AK405" s="794" t="str">
        <f t="shared" si="807"/>
        <v>ASSURANCES PAYEES AVANCE</v>
      </c>
      <c r="AL405" s="794">
        <f t="array" ref="AL405">IFERROR(INDEX(G405:R405,1,MATCH(Parametres!$B$3,G$1:R$1,0)-1)*IF(OR(F405="L",F405="S",F405="I"),-1,1),"")</f>
        <v>52294.35</v>
      </c>
      <c r="AM405" s="794">
        <f t="shared" si="4"/>
        <v>-13073.61</v>
      </c>
      <c r="AN405" s="794">
        <f t="array" ref="AN405">INDEX(G405:R405,1,MATCH(Parametres!$B$3,G$1:R$1,0))*IF(OR(F405="L",F405="S",F405="I"),-1,1)</f>
        <v>39220.74</v>
      </c>
      <c r="AO405" s="853" t="str">
        <f>+VLOOKUP($AJ405,Data_Validation!$A:$D,1,0)</f>
        <v>G27100</v>
      </c>
      <c r="AP405" s="853" t="str">
        <f>+VLOOKUP($AJ405,Data_Validation!$A:$D,3,0)</f>
        <v>Bilan</v>
      </c>
      <c r="AQ405" s="853" t="str">
        <f>+VLOOKUP($AJ405,Data_Validation!$A:$D,4,0)</f>
        <v>Frais Payés d'Avance</v>
      </c>
      <c r="AR405" s="853" t="s">
        <v>728</v>
      </c>
      <c r="AS405" s="853" t="str">
        <f>+VLOOKUP($AJ405,Data_Validation!$A:$E,5,0)</f>
        <v/>
      </c>
      <c r="AT405" s="794" t="str">
        <f t="shared" ref="AT405:AU405" si="808">C405</f>
        <v>G27100</v>
      </c>
      <c r="AU405" s="854" t="str">
        <f t="shared" si="808"/>
        <v>ASSURANCES PAYEES AVANCE</v>
      </c>
      <c r="AV405" s="794">
        <f t="array" ref="AV405">IFERROR(INDEX(V405:AG405,1,MATCH(Parametres!$B$3,V$1:AG$1,0)-1)*IF(OR(C405="L",C405="S",C405="I"),-1,1),"")</f>
        <v>0</v>
      </c>
      <c r="AW405" s="794">
        <f t="shared" si="6"/>
        <v>0</v>
      </c>
      <c r="AX405" s="794">
        <f t="array" ref="AX405">INDEX(V405:AG405,1,MATCH(Parametres!$B$3,V$1:AG$1,0))*IF(OR(C405="L",C405="S",C405="I"),-1,1)</f>
        <v>0</v>
      </c>
      <c r="AY405" s="853" t="s">
        <v>772</v>
      </c>
      <c r="AZ405" s="853" t="str">
        <f>+VLOOKUP($AJ405,Data_Validation!$A:$E,5,0)</f>
        <v/>
      </c>
    </row>
    <row r="406" ht="15.75" customHeight="1">
      <c r="A406" s="849" t="s">
        <v>1239</v>
      </c>
      <c r="B406" s="849">
        <v>2025.0</v>
      </c>
      <c r="C406" s="849" t="s">
        <v>2162</v>
      </c>
      <c r="D406" s="849" t="s">
        <v>2163</v>
      </c>
      <c r="E406" s="849" t="s">
        <v>768</v>
      </c>
      <c r="F406" s="849" t="s">
        <v>1926</v>
      </c>
      <c r="G406" s="849">
        <v>106034.51</v>
      </c>
      <c r="H406" s="849">
        <v>138135.42</v>
      </c>
      <c r="I406" s="849">
        <v>157113.05</v>
      </c>
      <c r="J406" s="849">
        <v>224352.19</v>
      </c>
      <c r="K406" s="849">
        <v>237687.76</v>
      </c>
      <c r="L406" s="849">
        <v>2366353.46</v>
      </c>
      <c r="M406" s="849">
        <v>2399364.11</v>
      </c>
      <c r="N406" s="849">
        <v>2311862.33</v>
      </c>
      <c r="O406" s="849">
        <v>123082.24</v>
      </c>
      <c r="P406" s="849">
        <v>157664.53</v>
      </c>
      <c r="Q406" s="849">
        <v>158352.14</v>
      </c>
      <c r="R406" s="849">
        <v>218182.92</v>
      </c>
      <c r="S406" s="849">
        <v>0.0</v>
      </c>
      <c r="T406" s="849">
        <v>0.0</v>
      </c>
      <c r="U406" s="849">
        <v>0.0</v>
      </c>
      <c r="V406" s="849">
        <v>0.0</v>
      </c>
      <c r="W406" s="849">
        <v>0.0</v>
      </c>
      <c r="X406" s="849">
        <v>0.0</v>
      </c>
      <c r="Y406" s="849">
        <v>0.0</v>
      </c>
      <c r="Z406" s="849">
        <v>0.0</v>
      </c>
      <c r="AA406" s="849">
        <v>0.0</v>
      </c>
      <c r="AB406" s="849">
        <v>0.0</v>
      </c>
      <c r="AC406" s="849">
        <v>0.0</v>
      </c>
      <c r="AD406" s="849">
        <v>0.0</v>
      </c>
      <c r="AE406" s="849">
        <v>0.0</v>
      </c>
      <c r="AF406" s="849">
        <v>0.0</v>
      </c>
      <c r="AG406" s="849">
        <v>0.0</v>
      </c>
      <c r="AH406" s="849">
        <v>0.0</v>
      </c>
      <c r="AI406" s="849">
        <v>0.0</v>
      </c>
      <c r="AJ406" s="794" t="str">
        <f t="shared" ref="AJ406:AK406" si="809">C406</f>
        <v>G27400</v>
      </c>
      <c r="AK406" s="794" t="str">
        <f t="shared" si="809"/>
        <v>FRAIS PAYES AVANCE AUTRES</v>
      </c>
      <c r="AL406" s="794">
        <f t="array" ref="AL406">IFERROR(INDEX(G406:R406,1,MATCH(Parametres!$B$3,G$1:R$1,0)-1)*IF(OR(F406="L",F406="S",F406="I"),-1,1),"")</f>
        <v>2311862.33</v>
      </c>
      <c r="AM406" s="794">
        <f t="shared" si="4"/>
        <v>-2188780.09</v>
      </c>
      <c r="AN406" s="794">
        <f t="array" ref="AN406">INDEX(G406:R406,1,MATCH(Parametres!$B$3,G$1:R$1,0))*IF(OR(F406="L",F406="S",F406="I"),-1,1)</f>
        <v>123082.24</v>
      </c>
      <c r="AO406" s="853" t="str">
        <f>+VLOOKUP($AJ406,Data_Validation!$A:$D,1,0)</f>
        <v>G27400</v>
      </c>
      <c r="AP406" s="853" t="str">
        <f>+VLOOKUP($AJ406,Data_Validation!$A:$D,3,0)</f>
        <v>Bilan</v>
      </c>
      <c r="AQ406" s="853" t="str">
        <f>+VLOOKUP($AJ406,Data_Validation!$A:$D,4,0)</f>
        <v>Frais Payés d'Avance</v>
      </c>
      <c r="AR406" s="853" t="s">
        <v>728</v>
      </c>
      <c r="AS406" s="853" t="str">
        <f>+VLOOKUP($AJ406,Data_Validation!$A:$E,5,0)</f>
        <v/>
      </c>
      <c r="AT406" s="794" t="str">
        <f t="shared" ref="AT406:AU406" si="810">C406</f>
        <v>G27400</v>
      </c>
      <c r="AU406" s="854" t="str">
        <f t="shared" si="810"/>
        <v>FRAIS PAYES AVANCE AUTRES</v>
      </c>
      <c r="AV406" s="794">
        <f t="array" ref="AV406">IFERROR(INDEX(V406:AG406,1,MATCH(Parametres!$B$3,V$1:AG$1,0)-1)*IF(OR(C406="L",C406="S",C406="I"),-1,1),"")</f>
        <v>0</v>
      </c>
      <c r="AW406" s="794">
        <f t="shared" si="6"/>
        <v>0</v>
      </c>
      <c r="AX406" s="794">
        <f t="array" ref="AX406">INDEX(V406:AG406,1,MATCH(Parametres!$B$3,V$1:AG$1,0))*IF(OR(C406="L",C406="S",C406="I"),-1,1)</f>
        <v>0</v>
      </c>
      <c r="AY406" s="853" t="s">
        <v>772</v>
      </c>
      <c r="AZ406" s="853" t="str">
        <f>+VLOOKUP($AJ406,Data_Validation!$A:$E,5,0)</f>
        <v/>
      </c>
    </row>
    <row r="407" ht="15.75" customHeight="1">
      <c r="A407" s="849" t="s">
        <v>1239</v>
      </c>
      <c r="B407" s="849">
        <v>2025.0</v>
      </c>
      <c r="C407" s="849" t="s">
        <v>2164</v>
      </c>
      <c r="D407" s="849" t="s">
        <v>2165</v>
      </c>
      <c r="E407" s="849" t="s">
        <v>1951</v>
      </c>
      <c r="F407" s="849" t="s">
        <v>1926</v>
      </c>
      <c r="G407" s="849">
        <v>0.0</v>
      </c>
      <c r="H407" s="849">
        <v>0.0</v>
      </c>
      <c r="I407" s="849">
        <v>0.0</v>
      </c>
      <c r="J407" s="849">
        <v>0.0</v>
      </c>
      <c r="K407" s="849">
        <v>0.0</v>
      </c>
      <c r="L407" s="849">
        <v>0.0</v>
      </c>
      <c r="M407" s="849">
        <v>0.0</v>
      </c>
      <c r="N407" s="849">
        <v>0.0</v>
      </c>
      <c r="O407" s="849">
        <v>0.0</v>
      </c>
      <c r="P407" s="849">
        <v>0.0</v>
      </c>
      <c r="Q407" s="849">
        <v>0.0</v>
      </c>
      <c r="R407" s="849">
        <v>0.0</v>
      </c>
      <c r="S407" s="849">
        <v>0.0</v>
      </c>
      <c r="T407" s="849">
        <v>0.0</v>
      </c>
      <c r="U407" s="849">
        <v>0.0</v>
      </c>
      <c r="V407" s="849">
        <v>0.0</v>
      </c>
      <c r="W407" s="849">
        <v>0.0</v>
      </c>
      <c r="X407" s="849">
        <v>0.0</v>
      </c>
      <c r="Y407" s="849">
        <v>0.0</v>
      </c>
      <c r="Z407" s="849">
        <v>0.0</v>
      </c>
      <c r="AA407" s="849">
        <v>0.0</v>
      </c>
      <c r="AB407" s="849">
        <v>0.0</v>
      </c>
      <c r="AC407" s="849">
        <v>0.0</v>
      </c>
      <c r="AD407" s="849">
        <v>0.0</v>
      </c>
      <c r="AE407" s="849">
        <v>0.0</v>
      </c>
      <c r="AF407" s="849">
        <v>0.0</v>
      </c>
      <c r="AG407" s="849">
        <v>0.0</v>
      </c>
      <c r="AH407" s="849">
        <v>0.0</v>
      </c>
      <c r="AI407" s="849">
        <v>0.0</v>
      </c>
      <c r="AJ407" s="794" t="str">
        <f t="shared" ref="AJ407:AK407" si="811">C407</f>
        <v>G27401</v>
      </c>
      <c r="AK407" s="794" t="str">
        <f t="shared" si="811"/>
        <v>DEPOT PAYÉ D'AVANCE</v>
      </c>
      <c r="AL407" s="794">
        <f t="array" ref="AL407">IFERROR(INDEX(G407:R407,1,MATCH(Parametres!$B$3,G$1:R$1,0)-1)*IF(OR(F407="L",F407="S",F407="I"),-1,1),"")</f>
        <v>0</v>
      </c>
      <c r="AM407" s="794">
        <f t="shared" si="4"/>
        <v>0</v>
      </c>
      <c r="AN407" s="794">
        <f t="array" ref="AN407">INDEX(G407:R407,1,MATCH(Parametres!$B$3,G$1:R$1,0))*IF(OR(F407="L",F407="S",F407="I"),-1,1)</f>
        <v>0</v>
      </c>
      <c r="AO407" s="853" t="str">
        <f>+VLOOKUP($AJ407,Data_Validation!$A:$D,1,0)</f>
        <v>#N/A</v>
      </c>
      <c r="AP407" s="853" t="str">
        <f>+VLOOKUP($AJ407,Data_Validation!$A:$D,3,0)</f>
        <v>#N/A</v>
      </c>
      <c r="AQ407" s="853" t="str">
        <f>+VLOOKUP($AJ407,Data_Validation!$A:$D,4,0)</f>
        <v>#N/A</v>
      </c>
      <c r="AR407" s="853" t="s">
        <v>728</v>
      </c>
      <c r="AS407" s="853" t="str">
        <f>+VLOOKUP($AJ407,Data_Validation!$A:$E,5,0)</f>
        <v>#N/A</v>
      </c>
      <c r="AT407" s="794" t="str">
        <f t="shared" ref="AT407:AU407" si="812">C407</f>
        <v>G27401</v>
      </c>
      <c r="AU407" s="854" t="str">
        <f t="shared" si="812"/>
        <v>DEPOT PAYÉ D'AVANCE</v>
      </c>
      <c r="AV407" s="794">
        <f t="array" ref="AV407">IFERROR(INDEX(V407:AG407,1,MATCH(Parametres!$B$3,V$1:AG$1,0)-1)*IF(OR(C407="L",C407="S",C407="I"),-1,1),"")</f>
        <v>0</v>
      </c>
      <c r="AW407" s="794">
        <f t="shared" si="6"/>
        <v>0</v>
      </c>
      <c r="AX407" s="794">
        <f t="array" ref="AX407">INDEX(V407:AG407,1,MATCH(Parametres!$B$3,V$1:AG$1,0))*IF(OR(C407="L",C407="S",C407="I"),-1,1)</f>
        <v>0</v>
      </c>
      <c r="AY407" s="853" t="s">
        <v>772</v>
      </c>
      <c r="AZ407" s="853" t="str">
        <f>+VLOOKUP($AJ407,Data_Validation!$A:$E,5,0)</f>
        <v>#N/A</v>
      </c>
    </row>
    <row r="408" ht="15.75" customHeight="1">
      <c r="A408" s="849" t="s">
        <v>1239</v>
      </c>
      <c r="B408" s="849">
        <v>2025.0</v>
      </c>
      <c r="C408" s="849" t="s">
        <v>2180</v>
      </c>
      <c r="D408" s="849" t="s">
        <v>2181</v>
      </c>
      <c r="E408" s="849" t="s">
        <v>2072</v>
      </c>
      <c r="F408" s="849" t="s">
        <v>1926</v>
      </c>
      <c r="G408" s="849">
        <v>0.0</v>
      </c>
      <c r="H408" s="849">
        <v>0.0</v>
      </c>
      <c r="I408" s="849">
        <v>0.0</v>
      </c>
      <c r="J408" s="849">
        <v>0.0</v>
      </c>
      <c r="K408" s="849">
        <v>0.0</v>
      </c>
      <c r="L408" s="849">
        <v>0.0</v>
      </c>
      <c r="M408" s="849">
        <v>0.0</v>
      </c>
      <c r="N408" s="849">
        <v>0.0</v>
      </c>
      <c r="O408" s="849">
        <v>0.0</v>
      </c>
      <c r="P408" s="849">
        <v>0.0</v>
      </c>
      <c r="Q408" s="849">
        <v>0.0</v>
      </c>
      <c r="R408" s="849">
        <v>0.0</v>
      </c>
      <c r="S408" s="849">
        <v>0.0</v>
      </c>
      <c r="T408" s="849">
        <v>0.0</v>
      </c>
      <c r="U408" s="849">
        <v>0.0</v>
      </c>
      <c r="V408" s="849">
        <v>0.0</v>
      </c>
      <c r="W408" s="849">
        <v>0.0</v>
      </c>
      <c r="X408" s="849">
        <v>0.0</v>
      </c>
      <c r="Y408" s="849">
        <v>0.0</v>
      </c>
      <c r="Z408" s="849">
        <v>0.0</v>
      </c>
      <c r="AA408" s="849">
        <v>0.0</v>
      </c>
      <c r="AB408" s="849">
        <v>0.0</v>
      </c>
      <c r="AC408" s="849">
        <v>0.0</v>
      </c>
      <c r="AD408" s="849">
        <v>0.0</v>
      </c>
      <c r="AE408" s="849">
        <v>0.0</v>
      </c>
      <c r="AF408" s="849">
        <v>0.0</v>
      </c>
      <c r="AG408" s="849">
        <v>0.0</v>
      </c>
      <c r="AH408" s="849">
        <v>0.0</v>
      </c>
      <c r="AI408" s="849">
        <v>0.0</v>
      </c>
      <c r="AJ408" s="794" t="str">
        <f t="shared" ref="AJ408:AK408" si="813">C408</f>
        <v>G27700</v>
      </c>
      <c r="AK408" s="794" t="str">
        <f t="shared" si="813"/>
        <v>INV VEHICULE EN LOCATION</v>
      </c>
      <c r="AL408" s="794">
        <f t="array" ref="AL408">IFERROR(INDEX(G408:R408,1,MATCH(Parametres!$B$3,G$1:R$1,0)-1)*IF(OR(F408="L",F408="S",F408="I"),-1,1),"")</f>
        <v>0</v>
      </c>
      <c r="AM408" s="794">
        <f t="shared" si="4"/>
        <v>0</v>
      </c>
      <c r="AN408" s="794">
        <f t="array" ref="AN408">INDEX(G408:R408,1,MATCH(Parametres!$B$3,G$1:R$1,0))*IF(OR(F408="L",F408="S",F408="I"),-1,1)</f>
        <v>0</v>
      </c>
      <c r="AO408" s="853" t="str">
        <f>+VLOOKUP($AJ408,Data_Validation!$A:$D,1,0)</f>
        <v>#N/A</v>
      </c>
      <c r="AP408" s="853" t="str">
        <f>+VLOOKUP($AJ408,Data_Validation!$A:$D,3,0)</f>
        <v>#N/A</v>
      </c>
      <c r="AQ408" s="853" t="str">
        <f>+VLOOKUP($AJ408,Data_Validation!$A:$D,4,0)</f>
        <v>#N/A</v>
      </c>
      <c r="AR408" s="853" t="s">
        <v>728</v>
      </c>
      <c r="AS408" s="853" t="str">
        <f>+VLOOKUP($AJ408,Data_Validation!$A:$E,5,0)</f>
        <v>#N/A</v>
      </c>
      <c r="AT408" s="794" t="str">
        <f t="shared" ref="AT408:AU408" si="814">C408</f>
        <v>G27700</v>
      </c>
      <c r="AU408" s="854" t="str">
        <f t="shared" si="814"/>
        <v>INV VEHICULE EN LOCATION</v>
      </c>
      <c r="AV408" s="794">
        <f t="array" ref="AV408">IFERROR(INDEX(V408:AG408,1,MATCH(Parametres!$B$3,V$1:AG$1,0)-1)*IF(OR(C408="L",C408="S",C408="I"),-1,1),"")</f>
        <v>0</v>
      </c>
      <c r="AW408" s="794">
        <f t="shared" si="6"/>
        <v>0</v>
      </c>
      <c r="AX408" s="794">
        <f t="array" ref="AX408">INDEX(V408:AG408,1,MATCH(Parametres!$B$3,V$1:AG$1,0))*IF(OR(C408="L",C408="S",C408="I"),-1,1)</f>
        <v>0</v>
      </c>
      <c r="AY408" s="853" t="s">
        <v>772</v>
      </c>
      <c r="AZ408" s="853" t="str">
        <f>+VLOOKUP($AJ408,Data_Validation!$A:$E,5,0)</f>
        <v>#N/A</v>
      </c>
    </row>
    <row r="409" ht="15.75" customHeight="1">
      <c r="A409" s="849" t="s">
        <v>1239</v>
      </c>
      <c r="B409" s="849">
        <v>2025.0</v>
      </c>
      <c r="C409" s="849" t="s">
        <v>2182</v>
      </c>
      <c r="D409" s="849" t="s">
        <v>2183</v>
      </c>
      <c r="E409" s="849" t="s">
        <v>768</v>
      </c>
      <c r="F409" s="849" t="s">
        <v>1926</v>
      </c>
      <c r="G409" s="849">
        <v>0.0</v>
      </c>
      <c r="H409" s="849">
        <v>0.0</v>
      </c>
      <c r="I409" s="849">
        <v>0.0</v>
      </c>
      <c r="J409" s="849">
        <v>0.0</v>
      </c>
      <c r="K409" s="849">
        <v>0.0</v>
      </c>
      <c r="L409" s="849">
        <v>0.0</v>
      </c>
      <c r="M409" s="849">
        <v>0.0</v>
      </c>
      <c r="N409" s="849">
        <v>0.0</v>
      </c>
      <c r="O409" s="849">
        <v>0.0</v>
      </c>
      <c r="P409" s="849">
        <v>0.0</v>
      </c>
      <c r="Q409" s="849">
        <v>0.0</v>
      </c>
      <c r="R409" s="849">
        <v>0.0</v>
      </c>
      <c r="S409" s="849">
        <v>0.0</v>
      </c>
      <c r="T409" s="849">
        <v>0.0</v>
      </c>
      <c r="U409" s="849">
        <v>0.0</v>
      </c>
      <c r="V409" s="849">
        <v>0.0</v>
      </c>
      <c r="W409" s="849">
        <v>0.0</v>
      </c>
      <c r="X409" s="849">
        <v>0.0</v>
      </c>
      <c r="Y409" s="849">
        <v>0.0</v>
      </c>
      <c r="Z409" s="849">
        <v>0.0</v>
      </c>
      <c r="AA409" s="849">
        <v>0.0</v>
      </c>
      <c r="AB409" s="849">
        <v>0.0</v>
      </c>
      <c r="AC409" s="849">
        <v>0.0</v>
      </c>
      <c r="AD409" s="849">
        <v>0.0</v>
      </c>
      <c r="AE409" s="849">
        <v>0.0</v>
      </c>
      <c r="AF409" s="849">
        <v>0.0</v>
      </c>
      <c r="AG409" s="849">
        <v>0.0</v>
      </c>
      <c r="AH409" s="849">
        <v>0.0</v>
      </c>
      <c r="AI409" s="849">
        <v>0.0</v>
      </c>
      <c r="AJ409" s="794" t="str">
        <f t="shared" ref="AJ409:AK409" si="815">C409</f>
        <v>G27701</v>
      </c>
      <c r="AK409" s="794" t="str">
        <f t="shared" si="815"/>
        <v>AMORT. ACC. VEH. LOCATION</v>
      </c>
      <c r="AL409" s="794">
        <f t="array" ref="AL409">IFERROR(INDEX(G409:R409,1,MATCH(Parametres!$B$3,G$1:R$1,0)-1)*IF(OR(F409="L",F409="S",F409="I"),-1,1),"")</f>
        <v>0</v>
      </c>
      <c r="AM409" s="794">
        <f t="shared" si="4"/>
        <v>0</v>
      </c>
      <c r="AN409" s="794">
        <f t="array" ref="AN409">INDEX(G409:R409,1,MATCH(Parametres!$B$3,G$1:R$1,0))*IF(OR(F409="L",F409="S",F409="I"),-1,1)</f>
        <v>0</v>
      </c>
      <c r="AO409" s="853" t="str">
        <f>+VLOOKUP($AJ409,Data_Validation!$A:$D,1,0)</f>
        <v>G27701</v>
      </c>
      <c r="AP409" s="853" t="str">
        <f>+VLOOKUP($AJ409,Data_Validation!$A:$D,3,0)</f>
        <v/>
      </c>
      <c r="AQ409" s="853" t="str">
        <f>+VLOOKUP($AJ409,Data_Validation!$A:$D,4,0)</f>
        <v/>
      </c>
      <c r="AR409" s="853" t="s">
        <v>728</v>
      </c>
      <c r="AS409" s="853" t="str">
        <f>+VLOOKUP($AJ409,Data_Validation!$A:$E,5,0)</f>
        <v/>
      </c>
      <c r="AT409" s="794" t="str">
        <f t="shared" ref="AT409:AU409" si="816">C409</f>
        <v>G27701</v>
      </c>
      <c r="AU409" s="854" t="str">
        <f t="shared" si="816"/>
        <v>AMORT. ACC. VEH. LOCATION</v>
      </c>
      <c r="AV409" s="794">
        <f t="array" ref="AV409">IFERROR(INDEX(V409:AG409,1,MATCH(Parametres!$B$3,V$1:AG$1,0)-1)*IF(OR(C409="L",C409="S",C409="I"),-1,1),"")</f>
        <v>0</v>
      </c>
      <c r="AW409" s="794">
        <f t="shared" si="6"/>
        <v>0</v>
      </c>
      <c r="AX409" s="794">
        <f t="array" ref="AX409">INDEX(V409:AG409,1,MATCH(Parametres!$B$3,V$1:AG$1,0))*IF(OR(C409="L",C409="S",C409="I"),-1,1)</f>
        <v>0</v>
      </c>
      <c r="AY409" s="853" t="s">
        <v>772</v>
      </c>
      <c r="AZ409" s="853" t="str">
        <f>+VLOOKUP($AJ409,Data_Validation!$A:$E,5,0)</f>
        <v/>
      </c>
    </row>
    <row r="410" ht="15.75" customHeight="1">
      <c r="A410" s="849" t="s">
        <v>1239</v>
      </c>
      <c r="B410" s="849">
        <v>2025.0</v>
      </c>
      <c r="C410" s="849" t="s">
        <v>2184</v>
      </c>
      <c r="D410" s="849" t="s">
        <v>2185</v>
      </c>
      <c r="E410" s="849" t="s">
        <v>768</v>
      </c>
      <c r="F410" s="849" t="s">
        <v>1926</v>
      </c>
      <c r="G410" s="849">
        <v>1640983.15</v>
      </c>
      <c r="H410" s="849">
        <v>1640983.15</v>
      </c>
      <c r="I410" s="849">
        <v>1648094.55</v>
      </c>
      <c r="J410" s="849">
        <v>1648094.55</v>
      </c>
      <c r="K410" s="849">
        <v>1648094.55</v>
      </c>
      <c r="L410" s="849">
        <v>1648094.55</v>
      </c>
      <c r="M410" s="849">
        <v>1650563.84</v>
      </c>
      <c r="N410" s="849">
        <v>1659359.27</v>
      </c>
      <c r="O410" s="849">
        <v>1710020.63</v>
      </c>
      <c r="P410" s="849">
        <v>1711452.58</v>
      </c>
      <c r="Q410" s="849">
        <v>1711020.58</v>
      </c>
      <c r="R410" s="849">
        <v>1711020.58</v>
      </c>
      <c r="S410" s="849">
        <v>0.0</v>
      </c>
      <c r="T410" s="849">
        <v>0.0</v>
      </c>
      <c r="U410" s="849">
        <v>0.0</v>
      </c>
      <c r="V410" s="849">
        <v>0.0</v>
      </c>
      <c r="W410" s="849">
        <v>0.0</v>
      </c>
      <c r="X410" s="849">
        <v>0.0</v>
      </c>
      <c r="Y410" s="849">
        <v>0.0</v>
      </c>
      <c r="Z410" s="849">
        <v>0.0</v>
      </c>
      <c r="AA410" s="849">
        <v>0.0</v>
      </c>
      <c r="AB410" s="849">
        <v>0.0</v>
      </c>
      <c r="AC410" s="849">
        <v>0.0</v>
      </c>
      <c r="AD410" s="849">
        <v>0.0</v>
      </c>
      <c r="AE410" s="849">
        <v>0.0</v>
      </c>
      <c r="AF410" s="849">
        <v>0.0</v>
      </c>
      <c r="AG410" s="849">
        <v>0.0</v>
      </c>
      <c r="AH410" s="849">
        <v>0.0</v>
      </c>
      <c r="AI410" s="849">
        <v>0.0</v>
      </c>
      <c r="AJ410" s="794" t="str">
        <f t="shared" ref="AJ410:AK410" si="817">C410</f>
        <v>G28200</v>
      </c>
      <c r="AK410" s="794" t="str">
        <f t="shared" si="817"/>
        <v>MACHINERIE EQUIP. ATELIER</v>
      </c>
      <c r="AL410" s="794">
        <f t="array" ref="AL410">IFERROR(INDEX(G410:R410,1,MATCH(Parametres!$B$3,G$1:R$1,0)-1)*IF(OR(F410="L",F410="S",F410="I"),-1,1),"")</f>
        <v>1659359.27</v>
      </c>
      <c r="AM410" s="794">
        <f t="shared" si="4"/>
        <v>50661.36</v>
      </c>
      <c r="AN410" s="794">
        <f t="array" ref="AN410">INDEX(G410:R410,1,MATCH(Parametres!$B$3,G$1:R$1,0))*IF(OR(F410="L",F410="S",F410="I"),-1,1)</f>
        <v>1710020.63</v>
      </c>
      <c r="AO410" s="853" t="str">
        <f>+VLOOKUP($AJ410,Data_Validation!$A:$D,1,0)</f>
        <v>G28200</v>
      </c>
      <c r="AP410" s="853" t="str">
        <f>+VLOOKUP($AJ410,Data_Validation!$A:$D,3,0)</f>
        <v>Bilan</v>
      </c>
      <c r="AQ410" s="853" t="str">
        <f>+VLOOKUP($AJ410,Data_Validation!$A:$D,4,0)</f>
        <v>Équipements Service</v>
      </c>
      <c r="AR410" s="853" t="s">
        <v>728</v>
      </c>
      <c r="AS410" s="853" t="str">
        <f>+VLOOKUP($AJ410,Data_Validation!$A:$E,5,0)</f>
        <v/>
      </c>
      <c r="AT410" s="794" t="str">
        <f t="shared" ref="AT410:AU410" si="818">C410</f>
        <v>G28200</v>
      </c>
      <c r="AU410" s="854" t="str">
        <f t="shared" si="818"/>
        <v>MACHINERIE EQUIP. ATELIER</v>
      </c>
      <c r="AV410" s="794">
        <f t="array" ref="AV410">IFERROR(INDEX(V410:AG410,1,MATCH(Parametres!$B$3,V$1:AG$1,0)-1)*IF(OR(C410="L",C410="S",C410="I"),-1,1),"")</f>
        <v>0</v>
      </c>
      <c r="AW410" s="794">
        <f t="shared" si="6"/>
        <v>0</v>
      </c>
      <c r="AX410" s="794">
        <f t="array" ref="AX410">INDEX(V410:AG410,1,MATCH(Parametres!$B$3,V$1:AG$1,0))*IF(OR(C410="L",C410="S",C410="I"),-1,1)</f>
        <v>0</v>
      </c>
      <c r="AY410" s="853" t="s">
        <v>772</v>
      </c>
      <c r="AZ410" s="853" t="str">
        <f>+VLOOKUP($AJ410,Data_Validation!$A:$E,5,0)</f>
        <v/>
      </c>
    </row>
    <row r="411" ht="15.75" customHeight="1">
      <c r="A411" s="849" t="s">
        <v>1239</v>
      </c>
      <c r="B411" s="849">
        <v>2025.0</v>
      </c>
      <c r="C411" s="849" t="s">
        <v>2188</v>
      </c>
      <c r="D411" s="849" t="s">
        <v>2189</v>
      </c>
      <c r="E411" s="849" t="s">
        <v>768</v>
      </c>
      <c r="F411" s="849" t="s">
        <v>1926</v>
      </c>
      <c r="G411" s="849">
        <v>8033.37</v>
      </c>
      <c r="H411" s="849">
        <v>8033.37</v>
      </c>
      <c r="I411" s="849">
        <v>8033.37</v>
      </c>
      <c r="J411" s="849">
        <v>8033.37</v>
      </c>
      <c r="K411" s="849">
        <v>8033.37</v>
      </c>
      <c r="L411" s="849">
        <v>8033.37</v>
      </c>
      <c r="M411" s="849">
        <v>8033.37</v>
      </c>
      <c r="N411" s="849">
        <v>8033.37</v>
      </c>
      <c r="O411" s="849">
        <v>8033.37</v>
      </c>
      <c r="P411" s="849">
        <v>8033.37</v>
      </c>
      <c r="Q411" s="849">
        <v>7077.33</v>
      </c>
      <c r="R411" s="849">
        <v>7077.33</v>
      </c>
      <c r="S411" s="849">
        <v>0.0</v>
      </c>
      <c r="T411" s="849">
        <v>0.0</v>
      </c>
      <c r="U411" s="849">
        <v>0.0</v>
      </c>
      <c r="V411" s="849">
        <v>0.0</v>
      </c>
      <c r="W411" s="849">
        <v>0.0</v>
      </c>
      <c r="X411" s="849">
        <v>0.0</v>
      </c>
      <c r="Y411" s="849">
        <v>0.0</v>
      </c>
      <c r="Z411" s="849">
        <v>0.0</v>
      </c>
      <c r="AA411" s="849">
        <v>0.0</v>
      </c>
      <c r="AB411" s="849">
        <v>0.0</v>
      </c>
      <c r="AC411" s="849">
        <v>0.0</v>
      </c>
      <c r="AD411" s="849">
        <v>0.0</v>
      </c>
      <c r="AE411" s="849">
        <v>0.0</v>
      </c>
      <c r="AF411" s="849">
        <v>0.0</v>
      </c>
      <c r="AG411" s="849">
        <v>0.0</v>
      </c>
      <c r="AH411" s="849">
        <v>0.0</v>
      </c>
      <c r="AI411" s="849">
        <v>0.0</v>
      </c>
      <c r="AJ411" s="794" t="str">
        <f t="shared" ref="AJ411:AK411" si="819">C411</f>
        <v>G28300</v>
      </c>
      <c r="AK411" s="794" t="str">
        <f t="shared" si="819"/>
        <v>PNEUS ET ACC.DEMO/COURT</v>
      </c>
      <c r="AL411" s="794">
        <f t="array" ref="AL411">IFERROR(INDEX(G411:R411,1,MATCH(Parametres!$B$3,G$1:R$1,0)-1)*IF(OR(F411="L",F411="S",F411="I"),-1,1),"")</f>
        <v>8033.37</v>
      </c>
      <c r="AM411" s="794">
        <f t="shared" si="4"/>
        <v>0</v>
      </c>
      <c r="AN411" s="794">
        <f t="array" ref="AN411">INDEX(G411:R411,1,MATCH(Parametres!$B$3,G$1:R$1,0))*IF(OR(F411="L",F411="S",F411="I"),-1,1)</f>
        <v>8033.37</v>
      </c>
      <c r="AO411" s="853" t="str">
        <f>+VLOOKUP($AJ411,Data_Validation!$A:$D,1,0)</f>
        <v>G28300</v>
      </c>
      <c r="AP411" s="853" t="str">
        <f>+VLOOKUP($AJ411,Data_Validation!$A:$D,3,0)</f>
        <v>Bilan</v>
      </c>
      <c r="AQ411" s="853" t="str">
        <f>+VLOOKUP($AJ411,Data_Validation!$A:$D,4,0)</f>
        <v>Équipements Service</v>
      </c>
      <c r="AR411" s="853" t="s">
        <v>728</v>
      </c>
      <c r="AS411" s="853" t="str">
        <f>+VLOOKUP($AJ411,Data_Validation!$A:$E,5,0)</f>
        <v/>
      </c>
      <c r="AT411" s="794" t="str">
        <f t="shared" ref="AT411:AU411" si="820">C411</f>
        <v>G28300</v>
      </c>
      <c r="AU411" s="854" t="str">
        <f t="shared" si="820"/>
        <v>PNEUS ET ACC.DEMO/COURT</v>
      </c>
      <c r="AV411" s="794">
        <f t="array" ref="AV411">IFERROR(INDEX(V411:AG411,1,MATCH(Parametres!$B$3,V$1:AG$1,0)-1)*IF(OR(C411="L",C411="S",C411="I"),-1,1),"")</f>
        <v>0</v>
      </c>
      <c r="AW411" s="794">
        <f t="shared" si="6"/>
        <v>0</v>
      </c>
      <c r="AX411" s="794">
        <f t="array" ref="AX411">INDEX(V411:AG411,1,MATCH(Parametres!$B$3,V$1:AG$1,0))*IF(OR(C411="L",C411="S",C411="I"),-1,1)</f>
        <v>0</v>
      </c>
      <c r="AY411" s="853" t="s">
        <v>772</v>
      </c>
      <c r="AZ411" s="853" t="str">
        <f>+VLOOKUP($AJ411,Data_Validation!$A:$E,5,0)</f>
        <v/>
      </c>
    </row>
    <row r="412" ht="15.75" customHeight="1">
      <c r="A412" s="849" t="s">
        <v>1239</v>
      </c>
      <c r="B412" s="849">
        <v>2025.0</v>
      </c>
      <c r="C412" s="849" t="s">
        <v>2190</v>
      </c>
      <c r="D412" s="849" t="s">
        <v>2191</v>
      </c>
      <c r="E412" s="849" t="s">
        <v>768</v>
      </c>
      <c r="F412" s="849" t="s">
        <v>1926</v>
      </c>
      <c r="G412" s="849">
        <v>354597.74</v>
      </c>
      <c r="H412" s="849">
        <v>357496.74</v>
      </c>
      <c r="I412" s="849">
        <v>357496.74</v>
      </c>
      <c r="J412" s="849">
        <v>357496.74</v>
      </c>
      <c r="K412" s="849">
        <v>357496.74</v>
      </c>
      <c r="L412" s="849">
        <v>357879.73</v>
      </c>
      <c r="M412" s="849">
        <v>359560.54</v>
      </c>
      <c r="N412" s="849">
        <v>359560.54</v>
      </c>
      <c r="O412" s="849">
        <v>367060.54</v>
      </c>
      <c r="P412" s="849">
        <v>366677.55</v>
      </c>
      <c r="Q412" s="849">
        <v>367878.04</v>
      </c>
      <c r="R412" s="849">
        <v>368778.01</v>
      </c>
      <c r="S412" s="849">
        <v>0.0</v>
      </c>
      <c r="T412" s="849">
        <v>0.0</v>
      </c>
      <c r="U412" s="849">
        <v>0.0</v>
      </c>
      <c r="V412" s="849">
        <v>0.0</v>
      </c>
      <c r="W412" s="849">
        <v>0.0</v>
      </c>
      <c r="X412" s="849">
        <v>0.0</v>
      </c>
      <c r="Y412" s="849">
        <v>0.0</v>
      </c>
      <c r="Z412" s="849">
        <v>0.0</v>
      </c>
      <c r="AA412" s="849">
        <v>0.0</v>
      </c>
      <c r="AB412" s="849">
        <v>0.0</v>
      </c>
      <c r="AC412" s="849">
        <v>0.0</v>
      </c>
      <c r="AD412" s="849">
        <v>0.0</v>
      </c>
      <c r="AE412" s="849">
        <v>0.0</v>
      </c>
      <c r="AF412" s="849">
        <v>0.0</v>
      </c>
      <c r="AG412" s="849">
        <v>0.0</v>
      </c>
      <c r="AH412" s="849">
        <v>0.0</v>
      </c>
      <c r="AI412" s="849">
        <v>0.0</v>
      </c>
      <c r="AJ412" s="794" t="str">
        <f t="shared" ref="AJ412:AK412" si="821">C412</f>
        <v>G28400</v>
      </c>
      <c r="AK412" s="794" t="str">
        <f t="shared" si="821"/>
        <v>MOBILIER &amp; EQUIP BUREAU</v>
      </c>
      <c r="AL412" s="794">
        <f t="array" ref="AL412">IFERROR(INDEX(G412:R412,1,MATCH(Parametres!$B$3,G$1:R$1,0)-1)*IF(OR(F412="L",F412="S",F412="I"),-1,1),"")</f>
        <v>359560.54</v>
      </c>
      <c r="AM412" s="794">
        <f t="shared" si="4"/>
        <v>7500</v>
      </c>
      <c r="AN412" s="794">
        <f t="array" ref="AN412">INDEX(G412:R412,1,MATCH(Parametres!$B$3,G$1:R$1,0))*IF(OR(F412="L",F412="S",F412="I"),-1,1)</f>
        <v>367060.54</v>
      </c>
      <c r="AO412" s="853" t="str">
        <f>+VLOOKUP($AJ412,Data_Validation!$A:$D,1,0)</f>
        <v>G28400</v>
      </c>
      <c r="AP412" s="853" t="str">
        <f>+VLOOKUP($AJ412,Data_Validation!$A:$D,3,0)</f>
        <v>Bilan</v>
      </c>
      <c r="AQ412" s="853" t="str">
        <f>+VLOOKUP($AJ412,Data_Validation!$A:$D,4,0)</f>
        <v>Mobilier</v>
      </c>
      <c r="AR412" s="853" t="s">
        <v>728</v>
      </c>
      <c r="AS412" s="853" t="str">
        <f>+VLOOKUP($AJ412,Data_Validation!$A:$E,5,0)</f>
        <v/>
      </c>
      <c r="AT412" s="794" t="str">
        <f t="shared" ref="AT412:AU412" si="822">C412</f>
        <v>G28400</v>
      </c>
      <c r="AU412" s="854" t="str">
        <f t="shared" si="822"/>
        <v>MOBILIER &amp; EQUIP BUREAU</v>
      </c>
      <c r="AV412" s="794">
        <f t="array" ref="AV412">IFERROR(INDEX(V412:AG412,1,MATCH(Parametres!$B$3,V$1:AG$1,0)-1)*IF(OR(C412="L",C412="S",C412="I"),-1,1),"")</f>
        <v>0</v>
      </c>
      <c r="AW412" s="794">
        <f t="shared" si="6"/>
        <v>0</v>
      </c>
      <c r="AX412" s="794">
        <f t="array" ref="AX412">INDEX(V412:AG412,1,MATCH(Parametres!$B$3,V$1:AG$1,0))*IF(OR(C412="L",C412="S",C412="I"),-1,1)</f>
        <v>0</v>
      </c>
      <c r="AY412" s="853" t="s">
        <v>772</v>
      </c>
      <c r="AZ412" s="853" t="str">
        <f>+VLOOKUP($AJ412,Data_Validation!$A:$E,5,0)</f>
        <v/>
      </c>
    </row>
    <row r="413" ht="15.75" customHeight="1">
      <c r="A413" s="849" t="s">
        <v>1239</v>
      </c>
      <c r="B413" s="849">
        <v>2025.0</v>
      </c>
      <c r="C413" s="849" t="s">
        <v>2192</v>
      </c>
      <c r="D413" s="849" t="s">
        <v>2193</v>
      </c>
      <c r="E413" s="849" t="s">
        <v>768</v>
      </c>
      <c r="F413" s="849" t="s">
        <v>1926</v>
      </c>
      <c r="G413" s="849">
        <v>125277.95</v>
      </c>
      <c r="H413" s="849">
        <v>125277.95</v>
      </c>
      <c r="I413" s="849">
        <v>125277.95</v>
      </c>
      <c r="J413" s="849">
        <v>125277.95</v>
      </c>
      <c r="K413" s="849">
        <v>125277.95</v>
      </c>
      <c r="L413" s="849">
        <v>125277.95</v>
      </c>
      <c r="M413" s="849">
        <v>125277.95</v>
      </c>
      <c r="N413" s="849">
        <v>125277.95</v>
      </c>
      <c r="O413" s="849">
        <v>125277.95</v>
      </c>
      <c r="P413" s="849">
        <v>125277.95</v>
      </c>
      <c r="Q413" s="849">
        <v>125277.95</v>
      </c>
      <c r="R413" s="849">
        <v>125277.95</v>
      </c>
      <c r="S413" s="849">
        <v>0.0</v>
      </c>
      <c r="T413" s="849">
        <v>0.0</v>
      </c>
      <c r="U413" s="849">
        <v>0.0</v>
      </c>
      <c r="V413" s="849">
        <v>0.0</v>
      </c>
      <c r="W413" s="849">
        <v>0.0</v>
      </c>
      <c r="X413" s="849">
        <v>0.0</v>
      </c>
      <c r="Y413" s="849">
        <v>0.0</v>
      </c>
      <c r="Z413" s="849">
        <v>0.0</v>
      </c>
      <c r="AA413" s="849">
        <v>0.0</v>
      </c>
      <c r="AB413" s="849">
        <v>0.0</v>
      </c>
      <c r="AC413" s="849">
        <v>0.0</v>
      </c>
      <c r="AD413" s="849">
        <v>0.0</v>
      </c>
      <c r="AE413" s="849">
        <v>0.0</v>
      </c>
      <c r="AF413" s="849">
        <v>0.0</v>
      </c>
      <c r="AG413" s="849">
        <v>0.0</v>
      </c>
      <c r="AH413" s="849">
        <v>0.0</v>
      </c>
      <c r="AI413" s="849">
        <v>0.0</v>
      </c>
      <c r="AJ413" s="794" t="str">
        <f t="shared" ref="AJ413:AK413" si="823">C413</f>
        <v>G28500</v>
      </c>
      <c r="AK413" s="794" t="str">
        <f t="shared" si="823"/>
        <v>LIFT PIECES / TRACTEUR</v>
      </c>
      <c r="AL413" s="794">
        <f t="array" ref="AL413">IFERROR(INDEX(G413:R413,1,MATCH(Parametres!$B$3,G$1:R$1,0)-1)*IF(OR(F413="L",F413="S",F413="I"),-1,1),"")</f>
        <v>125277.95</v>
      </c>
      <c r="AM413" s="794">
        <f t="shared" si="4"/>
        <v>0</v>
      </c>
      <c r="AN413" s="794">
        <f t="array" ref="AN413">INDEX(G413:R413,1,MATCH(Parametres!$B$3,G$1:R$1,0))*IF(OR(F413="L",F413="S",F413="I"),-1,1)</f>
        <v>125277.95</v>
      </c>
      <c r="AO413" s="853" t="str">
        <f>+VLOOKUP($AJ413,Data_Validation!$A:$D,1,0)</f>
        <v>G28500</v>
      </c>
      <c r="AP413" s="853" t="str">
        <f>+VLOOKUP($AJ413,Data_Validation!$A:$D,3,0)</f>
        <v>Bilan</v>
      </c>
      <c r="AQ413" s="853" t="str">
        <f>+VLOOKUP($AJ413,Data_Validation!$A:$D,4,0)</f>
        <v>Équipements Service</v>
      </c>
      <c r="AR413" s="853" t="s">
        <v>728</v>
      </c>
      <c r="AS413" s="853" t="str">
        <f>+VLOOKUP($AJ413,Data_Validation!$A:$E,5,0)</f>
        <v/>
      </c>
      <c r="AT413" s="794" t="str">
        <f t="shared" ref="AT413:AU413" si="824">C413</f>
        <v>G28500</v>
      </c>
      <c r="AU413" s="854" t="str">
        <f t="shared" si="824"/>
        <v>LIFT PIECES / TRACTEUR</v>
      </c>
      <c r="AV413" s="794">
        <f t="array" ref="AV413">IFERROR(INDEX(V413:AG413,1,MATCH(Parametres!$B$3,V$1:AG$1,0)-1)*IF(OR(C413="L",C413="S",C413="I"),-1,1),"")</f>
        <v>0</v>
      </c>
      <c r="AW413" s="794">
        <f t="shared" si="6"/>
        <v>0</v>
      </c>
      <c r="AX413" s="794">
        <f t="array" ref="AX413">INDEX(V413:AG413,1,MATCH(Parametres!$B$3,V$1:AG$1,0))*IF(OR(C413="L",C413="S",C413="I"),-1,1)</f>
        <v>0</v>
      </c>
      <c r="AY413" s="853" t="s">
        <v>772</v>
      </c>
      <c r="AZ413" s="853" t="str">
        <f>+VLOOKUP($AJ413,Data_Validation!$A:$E,5,0)</f>
        <v/>
      </c>
    </row>
    <row r="414" ht="15.75" customHeight="1">
      <c r="A414" s="849" t="s">
        <v>1239</v>
      </c>
      <c r="B414" s="849">
        <v>2025.0</v>
      </c>
      <c r="C414" s="849" t="s">
        <v>2194</v>
      </c>
      <c r="D414" s="849" t="s">
        <v>2195</v>
      </c>
      <c r="E414" s="849" t="s">
        <v>768</v>
      </c>
      <c r="F414" s="849" t="s">
        <v>1926</v>
      </c>
      <c r="G414" s="849">
        <v>202317.69</v>
      </c>
      <c r="H414" s="849">
        <v>219827.49</v>
      </c>
      <c r="I414" s="849">
        <v>231337.34</v>
      </c>
      <c r="J414" s="849">
        <v>231337.34</v>
      </c>
      <c r="K414" s="849">
        <v>231337.34</v>
      </c>
      <c r="L414" s="849">
        <v>207362.34</v>
      </c>
      <c r="M414" s="849">
        <v>207362.34</v>
      </c>
      <c r="N414" s="849">
        <v>207362.34</v>
      </c>
      <c r="O414" s="849">
        <v>207362.34</v>
      </c>
      <c r="P414" s="849">
        <v>207362.34</v>
      </c>
      <c r="Q414" s="849">
        <v>207362.34</v>
      </c>
      <c r="R414" s="849">
        <v>207362.34</v>
      </c>
      <c r="S414" s="849">
        <v>0.0</v>
      </c>
      <c r="T414" s="849">
        <v>0.0</v>
      </c>
      <c r="U414" s="849">
        <v>0.0</v>
      </c>
      <c r="V414" s="849">
        <v>0.0</v>
      </c>
      <c r="W414" s="849">
        <v>0.0</v>
      </c>
      <c r="X414" s="849">
        <v>0.0</v>
      </c>
      <c r="Y414" s="849">
        <v>0.0</v>
      </c>
      <c r="Z414" s="849">
        <v>0.0</v>
      </c>
      <c r="AA414" s="849">
        <v>0.0</v>
      </c>
      <c r="AB414" s="849">
        <v>0.0</v>
      </c>
      <c r="AC414" s="849">
        <v>0.0</v>
      </c>
      <c r="AD414" s="849">
        <v>0.0</v>
      </c>
      <c r="AE414" s="849">
        <v>0.0</v>
      </c>
      <c r="AF414" s="849">
        <v>0.0</v>
      </c>
      <c r="AG414" s="849">
        <v>0.0</v>
      </c>
      <c r="AH414" s="849">
        <v>0.0</v>
      </c>
      <c r="AI414" s="849">
        <v>0.0</v>
      </c>
      <c r="AJ414" s="794" t="str">
        <f t="shared" ref="AJ414:AK414" si="825">C414</f>
        <v>G28600</v>
      </c>
      <c r="AK414" s="794" t="str">
        <f t="shared" si="825"/>
        <v>BATIMENT</v>
      </c>
      <c r="AL414" s="794">
        <f t="array" ref="AL414">IFERROR(INDEX(G414:R414,1,MATCH(Parametres!$B$3,G$1:R$1,0)-1)*IF(OR(F414="L",F414="S",F414="I"),-1,1),"")</f>
        <v>207362.34</v>
      </c>
      <c r="AM414" s="794">
        <f t="shared" si="4"/>
        <v>0</v>
      </c>
      <c r="AN414" s="794">
        <f t="array" ref="AN414">INDEX(G414:R414,1,MATCH(Parametres!$B$3,G$1:R$1,0))*IF(OR(F414="L",F414="S",F414="I"),-1,1)</f>
        <v>207362.34</v>
      </c>
      <c r="AO414" s="853" t="str">
        <f>+VLOOKUP($AJ414,Data_Validation!$A:$D,1,0)</f>
        <v>G28600</v>
      </c>
      <c r="AP414" s="853" t="str">
        <f>+VLOOKUP($AJ414,Data_Validation!$A:$D,3,0)</f>
        <v>Bilan</v>
      </c>
      <c r="AQ414" s="853" t="str">
        <f>+VLOOKUP($AJ414,Data_Validation!$A:$D,4,0)</f>
        <v>Améliorations Locatives</v>
      </c>
      <c r="AR414" s="853" t="s">
        <v>728</v>
      </c>
      <c r="AS414" s="853" t="str">
        <f>+VLOOKUP($AJ414,Data_Validation!$A:$E,5,0)</f>
        <v/>
      </c>
      <c r="AT414" s="794" t="str">
        <f t="shared" ref="AT414:AU414" si="826">C414</f>
        <v>G28600</v>
      </c>
      <c r="AU414" s="854" t="str">
        <f t="shared" si="826"/>
        <v>BATIMENT</v>
      </c>
      <c r="AV414" s="794">
        <f t="array" ref="AV414">IFERROR(INDEX(V414:AG414,1,MATCH(Parametres!$B$3,V$1:AG$1,0)-1)*IF(OR(C414="L",C414="S",C414="I"),-1,1),"")</f>
        <v>0</v>
      </c>
      <c r="AW414" s="794">
        <f t="shared" si="6"/>
        <v>0</v>
      </c>
      <c r="AX414" s="794">
        <f t="array" ref="AX414">INDEX(V414:AG414,1,MATCH(Parametres!$B$3,V$1:AG$1,0))*IF(OR(C414="L",C414="S",C414="I"),-1,1)</f>
        <v>0</v>
      </c>
      <c r="AY414" s="853" t="s">
        <v>772</v>
      </c>
      <c r="AZ414" s="853" t="str">
        <f>+VLOOKUP($AJ414,Data_Validation!$A:$E,5,0)</f>
        <v/>
      </c>
    </row>
    <row r="415" ht="15.75" customHeight="1">
      <c r="A415" s="849" t="s">
        <v>1239</v>
      </c>
      <c r="B415" s="849">
        <v>2025.0</v>
      </c>
      <c r="C415" s="849" t="s">
        <v>2196</v>
      </c>
      <c r="D415" s="849" t="s">
        <v>2197</v>
      </c>
      <c r="E415" s="849" t="s">
        <v>768</v>
      </c>
      <c r="F415" s="849" t="s">
        <v>1926</v>
      </c>
      <c r="G415" s="849">
        <v>208058.15</v>
      </c>
      <c r="H415" s="849">
        <v>209023.15</v>
      </c>
      <c r="I415" s="849">
        <v>231518.15</v>
      </c>
      <c r="J415" s="849">
        <v>231551.55</v>
      </c>
      <c r="K415" s="849">
        <v>253962.99</v>
      </c>
      <c r="L415" s="849">
        <v>253962.99</v>
      </c>
      <c r="M415" s="849">
        <v>253962.99</v>
      </c>
      <c r="N415" s="849">
        <v>253962.99</v>
      </c>
      <c r="O415" s="849">
        <v>256011.99</v>
      </c>
      <c r="P415" s="849">
        <v>257412.1</v>
      </c>
      <c r="Q415" s="849">
        <v>264203.43</v>
      </c>
      <c r="R415" s="849">
        <v>264203.43</v>
      </c>
      <c r="S415" s="849">
        <v>0.0</v>
      </c>
      <c r="T415" s="849">
        <v>0.0</v>
      </c>
      <c r="U415" s="849">
        <v>0.0</v>
      </c>
      <c r="V415" s="849">
        <v>0.0</v>
      </c>
      <c r="W415" s="849">
        <v>0.0</v>
      </c>
      <c r="X415" s="849">
        <v>0.0</v>
      </c>
      <c r="Y415" s="849">
        <v>0.0</v>
      </c>
      <c r="Z415" s="849">
        <v>0.0</v>
      </c>
      <c r="AA415" s="849">
        <v>0.0</v>
      </c>
      <c r="AB415" s="849">
        <v>0.0</v>
      </c>
      <c r="AC415" s="849">
        <v>0.0</v>
      </c>
      <c r="AD415" s="849">
        <v>0.0</v>
      </c>
      <c r="AE415" s="849">
        <v>0.0</v>
      </c>
      <c r="AF415" s="849">
        <v>0.0</v>
      </c>
      <c r="AG415" s="849">
        <v>0.0</v>
      </c>
      <c r="AH415" s="849">
        <v>0.0</v>
      </c>
      <c r="AI415" s="849">
        <v>0.0</v>
      </c>
      <c r="AJ415" s="794" t="str">
        <f t="shared" ref="AJ415:AK415" si="827">C415</f>
        <v>G28700</v>
      </c>
      <c r="AK415" s="794" t="str">
        <f t="shared" si="827"/>
        <v>MATERIEL INFORMATIQUE</v>
      </c>
      <c r="AL415" s="794">
        <f t="array" ref="AL415">IFERROR(INDEX(G415:R415,1,MATCH(Parametres!$B$3,G$1:R$1,0)-1)*IF(OR(F415="L",F415="S",F415="I"),-1,1),"")</f>
        <v>253962.99</v>
      </c>
      <c r="AM415" s="794">
        <f t="shared" si="4"/>
        <v>2049</v>
      </c>
      <c r="AN415" s="794">
        <f t="array" ref="AN415">INDEX(G415:R415,1,MATCH(Parametres!$B$3,G$1:R$1,0))*IF(OR(F415="L",F415="S",F415="I"),-1,1)</f>
        <v>256011.99</v>
      </c>
      <c r="AO415" s="853" t="str">
        <f>+VLOOKUP($AJ415,Data_Validation!$A:$D,1,0)</f>
        <v>G28700</v>
      </c>
      <c r="AP415" s="853" t="str">
        <f>+VLOOKUP($AJ415,Data_Validation!$A:$D,3,0)</f>
        <v>Bilan</v>
      </c>
      <c r="AQ415" s="853" t="str">
        <f>+VLOOKUP($AJ415,Data_Validation!$A:$D,4,0)</f>
        <v>Équipements Informatique</v>
      </c>
      <c r="AR415" s="853" t="s">
        <v>728</v>
      </c>
      <c r="AS415" s="853" t="str">
        <f>+VLOOKUP($AJ415,Data_Validation!$A:$E,5,0)</f>
        <v/>
      </c>
      <c r="AT415" s="794" t="str">
        <f t="shared" ref="AT415:AU415" si="828">C415</f>
        <v>G28700</v>
      </c>
      <c r="AU415" s="854" t="str">
        <f t="shared" si="828"/>
        <v>MATERIEL INFORMATIQUE</v>
      </c>
      <c r="AV415" s="794">
        <f t="array" ref="AV415">IFERROR(INDEX(V415:AG415,1,MATCH(Parametres!$B$3,V$1:AG$1,0)-1)*IF(OR(C415="L",C415="S",C415="I"),-1,1),"")</f>
        <v>0</v>
      </c>
      <c r="AW415" s="794">
        <f t="shared" si="6"/>
        <v>0</v>
      </c>
      <c r="AX415" s="794">
        <f t="array" ref="AX415">INDEX(V415:AG415,1,MATCH(Parametres!$B$3,V$1:AG$1,0))*IF(OR(C415="L",C415="S",C415="I"),-1,1)</f>
        <v>0</v>
      </c>
      <c r="AY415" s="853" t="s">
        <v>772</v>
      </c>
      <c r="AZ415" s="853" t="str">
        <f>+VLOOKUP($AJ415,Data_Validation!$A:$E,5,0)</f>
        <v/>
      </c>
    </row>
    <row r="416" ht="15.75" customHeight="1">
      <c r="A416" s="849" t="s">
        <v>1239</v>
      </c>
      <c r="B416" s="849">
        <v>2025.0</v>
      </c>
      <c r="C416" s="849" t="s">
        <v>2198</v>
      </c>
      <c r="D416" s="849" t="s">
        <v>2199</v>
      </c>
      <c r="E416" s="849" t="s">
        <v>768</v>
      </c>
      <c r="F416" s="849" t="s">
        <v>1926</v>
      </c>
      <c r="G416" s="849">
        <v>55976.71</v>
      </c>
      <c r="H416" s="849">
        <v>55976.71</v>
      </c>
      <c r="I416" s="849">
        <v>55976.71</v>
      </c>
      <c r="J416" s="849">
        <v>55976.71</v>
      </c>
      <c r="K416" s="849">
        <v>55976.71</v>
      </c>
      <c r="L416" s="849">
        <v>55976.71</v>
      </c>
      <c r="M416" s="849">
        <v>55976.71</v>
      </c>
      <c r="N416" s="849">
        <v>55976.71</v>
      </c>
      <c r="O416" s="849">
        <v>55976.71</v>
      </c>
      <c r="P416" s="849">
        <v>55976.71</v>
      </c>
      <c r="Q416" s="849">
        <v>55976.71</v>
      </c>
      <c r="R416" s="849">
        <v>55976.71</v>
      </c>
      <c r="S416" s="849">
        <v>0.0</v>
      </c>
      <c r="T416" s="849">
        <v>0.0</v>
      </c>
      <c r="U416" s="849">
        <v>0.0</v>
      </c>
      <c r="V416" s="849">
        <v>0.0</v>
      </c>
      <c r="W416" s="849">
        <v>0.0</v>
      </c>
      <c r="X416" s="849">
        <v>0.0</v>
      </c>
      <c r="Y416" s="849">
        <v>0.0</v>
      </c>
      <c r="Z416" s="849">
        <v>0.0</v>
      </c>
      <c r="AA416" s="849">
        <v>0.0</v>
      </c>
      <c r="AB416" s="849">
        <v>0.0</v>
      </c>
      <c r="AC416" s="849">
        <v>0.0</v>
      </c>
      <c r="AD416" s="849">
        <v>0.0</v>
      </c>
      <c r="AE416" s="849">
        <v>0.0</v>
      </c>
      <c r="AF416" s="849">
        <v>0.0</v>
      </c>
      <c r="AG416" s="849">
        <v>0.0</v>
      </c>
      <c r="AH416" s="849">
        <v>0.0</v>
      </c>
      <c r="AI416" s="849">
        <v>0.0</v>
      </c>
      <c r="AJ416" s="794" t="str">
        <f t="shared" ref="AJ416:AK416" si="829">C416</f>
        <v>G28800</v>
      </c>
      <c r="AK416" s="794" t="str">
        <f t="shared" si="829"/>
        <v>ENSEIGNES</v>
      </c>
      <c r="AL416" s="794">
        <f t="array" ref="AL416">IFERROR(INDEX(G416:R416,1,MATCH(Parametres!$B$3,G$1:R$1,0)-1)*IF(OR(F416="L",F416="S",F416="I"),-1,1),"")</f>
        <v>55976.71</v>
      </c>
      <c r="AM416" s="794">
        <f t="shared" si="4"/>
        <v>0</v>
      </c>
      <c r="AN416" s="794">
        <f t="array" ref="AN416">INDEX(G416:R416,1,MATCH(Parametres!$B$3,G$1:R$1,0))*IF(OR(F416="L",F416="S",F416="I"),-1,1)</f>
        <v>55976.71</v>
      </c>
      <c r="AO416" s="853" t="str">
        <f>+VLOOKUP($AJ416,Data_Validation!$A:$D,1,0)</f>
        <v>G28800</v>
      </c>
      <c r="AP416" s="853" t="str">
        <f>+VLOOKUP($AJ416,Data_Validation!$A:$D,3,0)</f>
        <v>Bilan</v>
      </c>
      <c r="AQ416" s="853" t="str">
        <f>+VLOOKUP($AJ416,Data_Validation!$A:$D,4,0)</f>
        <v>Enseigne</v>
      </c>
      <c r="AR416" s="853" t="s">
        <v>728</v>
      </c>
      <c r="AS416" s="853" t="str">
        <f>+VLOOKUP($AJ416,Data_Validation!$A:$E,5,0)</f>
        <v/>
      </c>
      <c r="AT416" s="794" t="str">
        <f t="shared" ref="AT416:AU416" si="830">C416</f>
        <v>G28800</v>
      </c>
      <c r="AU416" s="854" t="str">
        <f t="shared" si="830"/>
        <v>ENSEIGNES</v>
      </c>
      <c r="AV416" s="794">
        <f t="array" ref="AV416">IFERROR(INDEX(V416:AG416,1,MATCH(Parametres!$B$3,V$1:AG$1,0)-1)*IF(OR(C416="L",C416="S",C416="I"),-1,1),"")</f>
        <v>0</v>
      </c>
      <c r="AW416" s="794">
        <f t="shared" si="6"/>
        <v>0</v>
      </c>
      <c r="AX416" s="794">
        <f t="array" ref="AX416">INDEX(V416:AG416,1,MATCH(Parametres!$B$3,V$1:AG$1,0))*IF(OR(C416="L",C416="S",C416="I"),-1,1)</f>
        <v>0</v>
      </c>
      <c r="AY416" s="853" t="s">
        <v>772</v>
      </c>
      <c r="AZ416" s="853" t="str">
        <f>+VLOOKUP($AJ416,Data_Validation!$A:$E,5,0)</f>
        <v/>
      </c>
    </row>
    <row r="417" ht="15.75" customHeight="1">
      <c r="A417" s="849" t="s">
        <v>1239</v>
      </c>
      <c r="B417" s="849">
        <v>2025.0</v>
      </c>
      <c r="C417" s="849" t="s">
        <v>2200</v>
      </c>
      <c r="D417" s="849" t="s">
        <v>2201</v>
      </c>
      <c r="E417" s="849" t="s">
        <v>768</v>
      </c>
      <c r="F417" s="849" t="s">
        <v>1926</v>
      </c>
      <c r="G417" s="849">
        <v>0.0</v>
      </c>
      <c r="H417" s="849">
        <v>0.0</v>
      </c>
      <c r="I417" s="849">
        <v>0.0</v>
      </c>
      <c r="J417" s="849">
        <v>0.0</v>
      </c>
      <c r="K417" s="849">
        <v>0.0</v>
      </c>
      <c r="L417" s="849">
        <v>0.0</v>
      </c>
      <c r="M417" s="849">
        <v>0.0</v>
      </c>
      <c r="N417" s="849">
        <v>0.0</v>
      </c>
      <c r="O417" s="849">
        <v>0.0</v>
      </c>
      <c r="P417" s="849">
        <v>0.0</v>
      </c>
      <c r="Q417" s="849">
        <v>0.0</v>
      </c>
      <c r="R417" s="849">
        <v>0.0</v>
      </c>
      <c r="S417" s="849">
        <v>0.0</v>
      </c>
      <c r="T417" s="849">
        <v>0.0</v>
      </c>
      <c r="U417" s="849">
        <v>0.0</v>
      </c>
      <c r="V417" s="849">
        <v>0.0</v>
      </c>
      <c r="W417" s="849">
        <v>0.0</v>
      </c>
      <c r="X417" s="849">
        <v>0.0</v>
      </c>
      <c r="Y417" s="849">
        <v>0.0</v>
      </c>
      <c r="Z417" s="849">
        <v>0.0</v>
      </c>
      <c r="AA417" s="849">
        <v>0.0</v>
      </c>
      <c r="AB417" s="849">
        <v>0.0</v>
      </c>
      <c r="AC417" s="849">
        <v>0.0</v>
      </c>
      <c r="AD417" s="849">
        <v>0.0</v>
      </c>
      <c r="AE417" s="849">
        <v>0.0</v>
      </c>
      <c r="AF417" s="849">
        <v>0.0</v>
      </c>
      <c r="AG417" s="849">
        <v>0.0</v>
      </c>
      <c r="AH417" s="849">
        <v>0.0</v>
      </c>
      <c r="AI417" s="849">
        <v>0.0</v>
      </c>
      <c r="AJ417" s="794" t="str">
        <f t="shared" ref="AJ417:AK417" si="831">C417</f>
        <v>G28900</v>
      </c>
      <c r="AK417" s="794" t="str">
        <f t="shared" si="831"/>
        <v>ASPHALTE</v>
      </c>
      <c r="AL417" s="794">
        <f t="array" ref="AL417">IFERROR(INDEX(G417:R417,1,MATCH(Parametres!$B$3,G$1:R$1,0)-1)*IF(OR(F417="L",F417="S",F417="I"),-1,1),"")</f>
        <v>0</v>
      </c>
      <c r="AM417" s="794">
        <f t="shared" si="4"/>
        <v>0</v>
      </c>
      <c r="AN417" s="794">
        <f t="array" ref="AN417">INDEX(G417:R417,1,MATCH(Parametres!$B$3,G$1:R$1,0))*IF(OR(F417="L",F417="S",F417="I"),-1,1)</f>
        <v>0</v>
      </c>
      <c r="AO417" s="853" t="str">
        <f>+VLOOKUP($AJ417,Data_Validation!$A:$D,1,0)</f>
        <v>G28900</v>
      </c>
      <c r="AP417" s="853" t="str">
        <f>+VLOOKUP($AJ417,Data_Validation!$A:$D,3,0)</f>
        <v/>
      </c>
      <c r="AQ417" s="853" t="str">
        <f>+VLOOKUP($AJ417,Data_Validation!$A:$D,4,0)</f>
        <v/>
      </c>
      <c r="AR417" s="853" t="s">
        <v>728</v>
      </c>
      <c r="AS417" s="853" t="str">
        <f>+VLOOKUP($AJ417,Data_Validation!$A:$E,5,0)</f>
        <v/>
      </c>
      <c r="AT417" s="794" t="str">
        <f t="shared" ref="AT417:AU417" si="832">C417</f>
        <v>G28900</v>
      </c>
      <c r="AU417" s="854" t="str">
        <f t="shared" si="832"/>
        <v>ASPHALTE</v>
      </c>
      <c r="AV417" s="794">
        <f t="array" ref="AV417">IFERROR(INDEX(V417:AG417,1,MATCH(Parametres!$B$3,V$1:AG$1,0)-1)*IF(OR(C417="L",C417="S",C417="I"),-1,1),"")</f>
        <v>0</v>
      </c>
      <c r="AW417" s="794">
        <f t="shared" si="6"/>
        <v>0</v>
      </c>
      <c r="AX417" s="794">
        <f t="array" ref="AX417">INDEX(V417:AG417,1,MATCH(Parametres!$B$3,V$1:AG$1,0))*IF(OR(C417="L",C417="S",C417="I"),-1,1)</f>
        <v>0</v>
      </c>
      <c r="AY417" s="853" t="s">
        <v>772</v>
      </c>
      <c r="AZ417" s="853" t="str">
        <f>+VLOOKUP($AJ417,Data_Validation!$A:$E,5,0)</f>
        <v/>
      </c>
    </row>
    <row r="418" ht="15.75" customHeight="1">
      <c r="A418" s="849" t="s">
        <v>1239</v>
      </c>
      <c r="B418" s="849">
        <v>2025.0</v>
      </c>
      <c r="C418" s="849" t="s">
        <v>2202</v>
      </c>
      <c r="D418" s="849" t="s">
        <v>2203</v>
      </c>
      <c r="E418" s="849" t="s">
        <v>768</v>
      </c>
      <c r="F418" s="849" t="s">
        <v>1926</v>
      </c>
      <c r="G418" s="849">
        <v>1419.0</v>
      </c>
      <c r="H418" s="849">
        <v>12974.0</v>
      </c>
      <c r="I418" s="849">
        <v>12974.0</v>
      </c>
      <c r="J418" s="849">
        <v>12974.0</v>
      </c>
      <c r="K418" s="849">
        <v>12974.0</v>
      </c>
      <c r="L418" s="849">
        <v>12974.0</v>
      </c>
      <c r="M418" s="849">
        <v>12974.0</v>
      </c>
      <c r="N418" s="849">
        <v>12974.0</v>
      </c>
      <c r="O418" s="849">
        <v>12974.0</v>
      </c>
      <c r="P418" s="849">
        <v>12974.0</v>
      </c>
      <c r="Q418" s="849">
        <v>12974.0</v>
      </c>
      <c r="R418" s="849">
        <v>12974.0</v>
      </c>
      <c r="S418" s="849">
        <v>0.0</v>
      </c>
      <c r="T418" s="849">
        <v>0.0</v>
      </c>
      <c r="U418" s="849">
        <v>0.0</v>
      </c>
      <c r="V418" s="849">
        <v>0.0</v>
      </c>
      <c r="W418" s="849">
        <v>0.0</v>
      </c>
      <c r="X418" s="849">
        <v>0.0</v>
      </c>
      <c r="Y418" s="849">
        <v>0.0</v>
      </c>
      <c r="Z418" s="849">
        <v>0.0</v>
      </c>
      <c r="AA418" s="849">
        <v>0.0</v>
      </c>
      <c r="AB418" s="849">
        <v>0.0</v>
      </c>
      <c r="AC418" s="849">
        <v>0.0</v>
      </c>
      <c r="AD418" s="849">
        <v>0.0</v>
      </c>
      <c r="AE418" s="849">
        <v>0.0</v>
      </c>
      <c r="AF418" s="849">
        <v>0.0</v>
      </c>
      <c r="AG418" s="849">
        <v>0.0</v>
      </c>
      <c r="AH418" s="849">
        <v>0.0</v>
      </c>
      <c r="AI418" s="849">
        <v>0.0</v>
      </c>
      <c r="AJ418" s="794" t="str">
        <f t="shared" ref="AJ418:AK418" si="833">C418</f>
        <v>G29300</v>
      </c>
      <c r="AK418" s="794" t="str">
        <f t="shared" si="833"/>
        <v>BILLETS &amp; C/R ADMINIS.</v>
      </c>
      <c r="AL418" s="794">
        <f t="array" ref="AL418">IFERROR(INDEX(G418:R418,1,MATCH(Parametres!$B$3,G$1:R$1,0)-1)*IF(OR(F418="L",F418="S",F418="I"),-1,1),"")</f>
        <v>12974</v>
      </c>
      <c r="AM418" s="794">
        <f t="shared" si="4"/>
        <v>0</v>
      </c>
      <c r="AN418" s="794">
        <f t="array" ref="AN418">INDEX(G418:R418,1,MATCH(Parametres!$B$3,G$1:R$1,0))*IF(OR(F418="L",F418="S",F418="I"),-1,1)</f>
        <v>12974</v>
      </c>
      <c r="AO418" s="853" t="str">
        <f>+VLOOKUP($AJ418,Data_Validation!$A:$D,1,0)</f>
        <v>G29300</v>
      </c>
      <c r="AP418" s="853" t="str">
        <f>+VLOOKUP($AJ418,Data_Validation!$A:$D,3,0)</f>
        <v>Bilan</v>
      </c>
      <c r="AQ418" s="853" t="str">
        <f>+VLOOKUP($AJ418,Data_Validation!$A:$D,4,0)</f>
        <v>Avances à Recevoir Long Terme</v>
      </c>
      <c r="AR418" s="853" t="s">
        <v>728</v>
      </c>
      <c r="AS418" s="853" t="str">
        <f>+VLOOKUP($AJ418,Data_Validation!$A:$E,5,0)</f>
        <v/>
      </c>
      <c r="AT418" s="794" t="str">
        <f t="shared" ref="AT418:AU418" si="834">C418</f>
        <v>G29300</v>
      </c>
      <c r="AU418" s="854" t="str">
        <f t="shared" si="834"/>
        <v>BILLETS &amp; C/R ADMINIS.</v>
      </c>
      <c r="AV418" s="794">
        <f t="array" ref="AV418">IFERROR(INDEX(V418:AG418,1,MATCH(Parametres!$B$3,V$1:AG$1,0)-1)*IF(OR(C418="L",C418="S",C418="I"),-1,1),"")</f>
        <v>0</v>
      </c>
      <c r="AW418" s="794">
        <f t="shared" si="6"/>
        <v>0</v>
      </c>
      <c r="AX418" s="794">
        <f t="array" ref="AX418">INDEX(V418:AG418,1,MATCH(Parametres!$B$3,V$1:AG$1,0))*IF(OR(C418="L",C418="S",C418="I"),-1,1)</f>
        <v>0</v>
      </c>
      <c r="AY418" s="853" t="s">
        <v>772</v>
      </c>
      <c r="AZ418" s="853" t="str">
        <f>+VLOOKUP($AJ418,Data_Validation!$A:$E,5,0)</f>
        <v/>
      </c>
    </row>
    <row r="419" ht="15.75" customHeight="1">
      <c r="A419" s="849" t="s">
        <v>1239</v>
      </c>
      <c r="B419" s="849">
        <v>2025.0</v>
      </c>
      <c r="C419" s="849" t="s">
        <v>2204</v>
      </c>
      <c r="D419" s="849" t="s">
        <v>2205</v>
      </c>
      <c r="E419" s="849" t="s">
        <v>768</v>
      </c>
      <c r="F419" s="849" t="s">
        <v>1926</v>
      </c>
      <c r="G419" s="849">
        <v>0.0</v>
      </c>
      <c r="H419" s="849">
        <v>0.0</v>
      </c>
      <c r="I419" s="849">
        <v>4000000.0</v>
      </c>
      <c r="J419" s="849">
        <v>6000000.0</v>
      </c>
      <c r="K419" s="849">
        <v>9500000.0</v>
      </c>
      <c r="L419" s="849">
        <v>1.05E7</v>
      </c>
      <c r="M419" s="849">
        <v>1.25E7</v>
      </c>
      <c r="N419" s="849">
        <v>1.1E7</v>
      </c>
      <c r="O419" s="849">
        <v>9000000.0</v>
      </c>
      <c r="P419" s="849">
        <v>3500000.0</v>
      </c>
      <c r="Q419" s="849">
        <v>3000000.0</v>
      </c>
      <c r="R419" s="849">
        <v>2000000.0</v>
      </c>
      <c r="S419" s="849">
        <v>0.0</v>
      </c>
      <c r="T419" s="849">
        <v>0.0</v>
      </c>
      <c r="U419" s="849">
        <v>0.0</v>
      </c>
      <c r="V419" s="849">
        <v>0.0</v>
      </c>
      <c r="W419" s="849">
        <v>0.0</v>
      </c>
      <c r="X419" s="849">
        <v>0.0</v>
      </c>
      <c r="Y419" s="849">
        <v>0.0</v>
      </c>
      <c r="Z419" s="849">
        <v>0.0</v>
      </c>
      <c r="AA419" s="849">
        <v>0.0</v>
      </c>
      <c r="AB419" s="849">
        <v>0.0</v>
      </c>
      <c r="AC419" s="849">
        <v>0.0</v>
      </c>
      <c r="AD419" s="849">
        <v>0.0</v>
      </c>
      <c r="AE419" s="849">
        <v>0.0</v>
      </c>
      <c r="AF419" s="849">
        <v>0.0</v>
      </c>
      <c r="AG419" s="849">
        <v>0.0</v>
      </c>
      <c r="AH419" s="849">
        <v>0.0</v>
      </c>
      <c r="AI419" s="849">
        <v>0.0</v>
      </c>
      <c r="AJ419" s="794" t="str">
        <f t="shared" ref="AJ419:AK419" si="835">C419</f>
        <v>G29400</v>
      </c>
      <c r="AK419" s="794" t="str">
        <f t="shared" si="835"/>
        <v>EPARGNE BULK</v>
      </c>
      <c r="AL419" s="794">
        <f t="array" ref="AL419">IFERROR(INDEX(G419:R419,1,MATCH(Parametres!$B$3,G$1:R$1,0)-1)*IF(OR(F419="L",F419="S",F419="I"),-1,1),"")</f>
        <v>11000000</v>
      </c>
      <c r="AM419" s="794">
        <f t="shared" si="4"/>
        <v>-2000000</v>
      </c>
      <c r="AN419" s="794">
        <f t="array" ref="AN419">INDEX(G419:R419,1,MATCH(Parametres!$B$3,G$1:R$1,0))*IF(OR(F419="L",F419="S",F419="I"),-1,1)</f>
        <v>9000000</v>
      </c>
      <c r="AO419" s="853" t="str">
        <f>+VLOOKUP($AJ419,Data_Validation!$A:$D,1,0)</f>
        <v>G29400</v>
      </c>
      <c r="AP419" s="853" t="str">
        <f>+VLOOKUP($AJ419,Data_Validation!$A:$D,3,0)</f>
        <v>Bilan</v>
      </c>
      <c r="AQ419" s="853" t="str">
        <f>+VLOOKUP($AJ419,Data_Validation!$A:$D,4,0)</f>
        <v>Encaisse</v>
      </c>
      <c r="AR419" s="853" t="s">
        <v>728</v>
      </c>
      <c r="AS419" s="853" t="str">
        <f>+VLOOKUP($AJ419,Data_Validation!$A:$E,5,0)</f>
        <v/>
      </c>
      <c r="AT419" s="794" t="str">
        <f t="shared" ref="AT419:AU419" si="836">C419</f>
        <v>G29400</v>
      </c>
      <c r="AU419" s="854" t="str">
        <f t="shared" si="836"/>
        <v>EPARGNE BULK</v>
      </c>
      <c r="AV419" s="794">
        <f t="array" ref="AV419">IFERROR(INDEX(V419:AG419,1,MATCH(Parametres!$B$3,V$1:AG$1,0)-1)*IF(OR(C419="L",C419="S",C419="I"),-1,1),"")</f>
        <v>0</v>
      </c>
      <c r="AW419" s="794">
        <f t="shared" si="6"/>
        <v>0</v>
      </c>
      <c r="AX419" s="794">
        <f t="array" ref="AX419">INDEX(V419:AG419,1,MATCH(Parametres!$B$3,V$1:AG$1,0))*IF(OR(C419="L",C419="S",C419="I"),-1,1)</f>
        <v>0</v>
      </c>
      <c r="AY419" s="853" t="s">
        <v>772</v>
      </c>
      <c r="AZ419" s="853" t="str">
        <f>+VLOOKUP($AJ419,Data_Validation!$A:$E,5,0)</f>
        <v/>
      </c>
    </row>
    <row r="420" ht="15.75" customHeight="1">
      <c r="A420" s="849" t="s">
        <v>1239</v>
      </c>
      <c r="B420" s="849">
        <v>2025.0</v>
      </c>
      <c r="C420" s="849" t="s">
        <v>2206</v>
      </c>
      <c r="D420" s="849" t="s">
        <v>2207</v>
      </c>
      <c r="E420" s="849" t="s">
        <v>768</v>
      </c>
      <c r="F420" s="849" t="s">
        <v>1926</v>
      </c>
      <c r="G420" s="849">
        <v>2000.0</v>
      </c>
      <c r="H420" s="849">
        <v>2000.0</v>
      </c>
      <c r="I420" s="849">
        <v>2000.0</v>
      </c>
      <c r="J420" s="849">
        <v>2000.0</v>
      </c>
      <c r="K420" s="849">
        <v>2000.0</v>
      </c>
      <c r="L420" s="849">
        <v>2000.0</v>
      </c>
      <c r="M420" s="849">
        <v>2000.0</v>
      </c>
      <c r="N420" s="849">
        <v>2000.0</v>
      </c>
      <c r="O420" s="849">
        <v>2000.0</v>
      </c>
      <c r="P420" s="849">
        <v>2000.0</v>
      </c>
      <c r="Q420" s="849">
        <v>2000.0</v>
      </c>
      <c r="R420" s="849">
        <v>2000.0</v>
      </c>
      <c r="S420" s="849">
        <v>0.0</v>
      </c>
      <c r="T420" s="849">
        <v>0.0</v>
      </c>
      <c r="U420" s="849">
        <v>0.0</v>
      </c>
      <c r="V420" s="849">
        <v>0.0</v>
      </c>
      <c r="W420" s="849">
        <v>0.0</v>
      </c>
      <c r="X420" s="849">
        <v>0.0</v>
      </c>
      <c r="Y420" s="849">
        <v>0.0</v>
      </c>
      <c r="Z420" s="849">
        <v>0.0</v>
      </c>
      <c r="AA420" s="849">
        <v>0.0</v>
      </c>
      <c r="AB420" s="849">
        <v>0.0</v>
      </c>
      <c r="AC420" s="849">
        <v>0.0</v>
      </c>
      <c r="AD420" s="849">
        <v>0.0</v>
      </c>
      <c r="AE420" s="849">
        <v>0.0</v>
      </c>
      <c r="AF420" s="849">
        <v>0.0</v>
      </c>
      <c r="AG420" s="849">
        <v>0.0</v>
      </c>
      <c r="AH420" s="849">
        <v>0.0</v>
      </c>
      <c r="AI420" s="849">
        <v>0.0</v>
      </c>
      <c r="AJ420" s="794" t="str">
        <f t="shared" ref="AJ420:AK420" si="837">C420</f>
        <v>G29600</v>
      </c>
      <c r="AK420" s="794" t="str">
        <f t="shared" si="837"/>
        <v>AUTRES PLACEMENTS &amp; BIENS</v>
      </c>
      <c r="AL420" s="794">
        <f t="array" ref="AL420">IFERROR(INDEX(G420:R420,1,MATCH(Parametres!$B$3,G$1:R$1,0)-1)*IF(OR(F420="L",F420="S",F420="I"),-1,1),"")</f>
        <v>2000</v>
      </c>
      <c r="AM420" s="794">
        <f t="shared" si="4"/>
        <v>0</v>
      </c>
      <c r="AN420" s="794">
        <f t="array" ref="AN420">INDEX(G420:R420,1,MATCH(Parametres!$B$3,G$1:R$1,0))*IF(OR(F420="L",F420="S",F420="I"),-1,1)</f>
        <v>2000</v>
      </c>
      <c r="AO420" s="853" t="str">
        <f>+VLOOKUP($AJ420,Data_Validation!$A:$D,1,0)</f>
        <v>G29600</v>
      </c>
      <c r="AP420" s="853" t="str">
        <f>+VLOOKUP($AJ420,Data_Validation!$A:$D,3,0)</f>
        <v>Bilan</v>
      </c>
      <c r="AQ420" s="853" t="str">
        <f>+VLOOKUP($AJ420,Data_Validation!$A:$D,4,0)</f>
        <v>Avances à Recevoir Long Terme</v>
      </c>
      <c r="AR420" s="853" t="s">
        <v>728</v>
      </c>
      <c r="AS420" s="853" t="str">
        <f>+VLOOKUP($AJ420,Data_Validation!$A:$E,5,0)</f>
        <v/>
      </c>
      <c r="AT420" s="794" t="str">
        <f t="shared" ref="AT420:AU420" si="838">C420</f>
        <v>G29600</v>
      </c>
      <c r="AU420" s="854" t="str">
        <f t="shared" si="838"/>
        <v>AUTRES PLACEMENTS &amp; BIENS</v>
      </c>
      <c r="AV420" s="794">
        <f t="array" ref="AV420">IFERROR(INDEX(V420:AG420,1,MATCH(Parametres!$B$3,V$1:AG$1,0)-1)*IF(OR(C420="L",C420="S",C420="I"),-1,1),"")</f>
        <v>0</v>
      </c>
      <c r="AW420" s="794">
        <f t="shared" si="6"/>
        <v>0</v>
      </c>
      <c r="AX420" s="794">
        <f t="array" ref="AX420">INDEX(V420:AG420,1,MATCH(Parametres!$B$3,V$1:AG$1,0))*IF(OR(C420="L",C420="S",C420="I"),-1,1)</f>
        <v>0</v>
      </c>
      <c r="AY420" s="853" t="s">
        <v>772</v>
      </c>
      <c r="AZ420" s="853" t="str">
        <f>+VLOOKUP($AJ420,Data_Validation!$A:$E,5,0)</f>
        <v/>
      </c>
    </row>
    <row r="421" ht="15.75" customHeight="1">
      <c r="A421" s="849" t="s">
        <v>1239</v>
      </c>
      <c r="B421" s="849">
        <v>2025.0</v>
      </c>
      <c r="C421" s="849" t="s">
        <v>2208</v>
      </c>
      <c r="D421" s="849" t="s">
        <v>2209</v>
      </c>
      <c r="E421" s="849" t="s">
        <v>768</v>
      </c>
      <c r="F421" s="849" t="s">
        <v>1926</v>
      </c>
      <c r="G421" s="849">
        <v>0.0</v>
      </c>
      <c r="H421" s="849">
        <v>0.0</v>
      </c>
      <c r="I421" s="849">
        <v>0.0</v>
      </c>
      <c r="J421" s="849">
        <v>0.0</v>
      </c>
      <c r="K421" s="849">
        <v>0.0</v>
      </c>
      <c r="L421" s="849">
        <v>0.0</v>
      </c>
      <c r="M421" s="849">
        <v>0.0</v>
      </c>
      <c r="N421" s="849">
        <v>0.0</v>
      </c>
      <c r="O421" s="849">
        <v>0.0</v>
      </c>
      <c r="P421" s="849">
        <v>0.0</v>
      </c>
      <c r="Q421" s="849">
        <v>0.14</v>
      </c>
      <c r="R421" s="849">
        <v>-66.85</v>
      </c>
      <c r="S421" s="849">
        <v>0.0</v>
      </c>
      <c r="T421" s="849">
        <v>0.0</v>
      </c>
      <c r="U421" s="849">
        <v>0.0</v>
      </c>
      <c r="V421" s="849">
        <v>0.0</v>
      </c>
      <c r="W421" s="849">
        <v>0.0</v>
      </c>
      <c r="X421" s="849">
        <v>0.0</v>
      </c>
      <c r="Y421" s="849">
        <v>0.0</v>
      </c>
      <c r="Z421" s="849">
        <v>0.0</v>
      </c>
      <c r="AA421" s="849">
        <v>0.0</v>
      </c>
      <c r="AB421" s="849">
        <v>0.0</v>
      </c>
      <c r="AC421" s="849">
        <v>0.0</v>
      </c>
      <c r="AD421" s="849">
        <v>0.0</v>
      </c>
      <c r="AE421" s="849">
        <v>0.0</v>
      </c>
      <c r="AF421" s="849">
        <v>0.0</v>
      </c>
      <c r="AG421" s="849">
        <v>0.0</v>
      </c>
      <c r="AH421" s="849">
        <v>0.0</v>
      </c>
      <c r="AI421" s="849">
        <v>0.0</v>
      </c>
      <c r="AJ421" s="794" t="str">
        <f t="shared" ref="AJ421:AK421" si="839">C421</f>
        <v>G29900</v>
      </c>
      <c r="AK421" s="794" t="str">
        <f t="shared" si="839"/>
        <v>INTER-DIVISION</v>
      </c>
      <c r="AL421" s="794">
        <f t="array" ref="AL421">IFERROR(INDEX(G421:R421,1,MATCH(Parametres!$B$3,G$1:R$1,0)-1)*IF(OR(F421="L",F421="S",F421="I"),-1,1),"")</f>
        <v>0</v>
      </c>
      <c r="AM421" s="794">
        <f t="shared" si="4"/>
        <v>0</v>
      </c>
      <c r="AN421" s="794">
        <f t="array" ref="AN421">INDEX(G421:R421,1,MATCH(Parametres!$B$3,G$1:R$1,0))*IF(OR(F421="L",F421="S",F421="I"),-1,1)</f>
        <v>0</v>
      </c>
      <c r="AO421" s="853" t="str">
        <f>+VLOOKUP($AJ421,Data_Validation!$A:$D,1,0)</f>
        <v>G29900</v>
      </c>
      <c r="AP421" s="853" t="str">
        <f>+VLOOKUP($AJ421,Data_Validation!$A:$D,3,0)</f>
        <v>Bilan</v>
      </c>
      <c r="AQ421" s="853" t="str">
        <f>+VLOOKUP($AJ421,Data_Validation!$A:$D,4,0)</f>
        <v>Avances à Recevoir Long Terme</v>
      </c>
      <c r="AR421" s="853" t="s">
        <v>728</v>
      </c>
      <c r="AS421" s="853" t="str">
        <f>+VLOOKUP($AJ421,Data_Validation!$A:$E,5,0)</f>
        <v/>
      </c>
      <c r="AT421" s="794" t="str">
        <f t="shared" ref="AT421:AU421" si="840">C421</f>
        <v>G29900</v>
      </c>
      <c r="AU421" s="854" t="str">
        <f t="shared" si="840"/>
        <v>INTER-DIVISION</v>
      </c>
      <c r="AV421" s="794">
        <f t="array" ref="AV421">IFERROR(INDEX(V421:AG421,1,MATCH(Parametres!$B$3,V$1:AG$1,0)-1)*IF(OR(C421="L",C421="S",C421="I"),-1,1),"")</f>
        <v>0</v>
      </c>
      <c r="AW421" s="794">
        <f t="shared" si="6"/>
        <v>0</v>
      </c>
      <c r="AX421" s="794">
        <f t="array" ref="AX421">INDEX(V421:AG421,1,MATCH(Parametres!$B$3,V$1:AG$1,0))*IF(OR(C421="L",C421="S",C421="I"),-1,1)</f>
        <v>0</v>
      </c>
      <c r="AY421" s="853" t="s">
        <v>772</v>
      </c>
      <c r="AZ421" s="853" t="str">
        <f>+VLOOKUP($AJ421,Data_Validation!$A:$E,5,0)</f>
        <v/>
      </c>
    </row>
    <row r="422" ht="15.75" customHeight="1">
      <c r="A422" s="849" t="s">
        <v>1239</v>
      </c>
      <c r="B422" s="849">
        <v>2025.0</v>
      </c>
      <c r="C422" s="849" t="s">
        <v>2210</v>
      </c>
      <c r="D422" s="849" t="s">
        <v>2211</v>
      </c>
      <c r="E422" s="849" t="s">
        <v>2212</v>
      </c>
      <c r="F422" s="849" t="s">
        <v>2057</v>
      </c>
      <c r="G422" s="849">
        <v>2795571.24</v>
      </c>
      <c r="H422" s="849">
        <v>312151.88</v>
      </c>
      <c r="I422" s="849">
        <v>2086905.95</v>
      </c>
      <c r="J422" s="849">
        <v>1907573.05</v>
      </c>
      <c r="K422" s="849">
        <v>1429956.42</v>
      </c>
      <c r="L422" s="849">
        <v>517114.57</v>
      </c>
      <c r="M422" s="849">
        <v>81013.1</v>
      </c>
      <c r="N422" s="849">
        <v>778397.84</v>
      </c>
      <c r="O422" s="849">
        <v>2243390.58</v>
      </c>
      <c r="P422" s="849">
        <v>1804392.48</v>
      </c>
      <c r="Q422" s="849">
        <v>3886414.52</v>
      </c>
      <c r="R422" s="849">
        <v>5642391.18</v>
      </c>
      <c r="S422" s="849">
        <v>0.0</v>
      </c>
      <c r="T422" s="849">
        <v>0.0</v>
      </c>
      <c r="U422" s="849">
        <v>0.0</v>
      </c>
      <c r="V422" s="849">
        <v>0.0</v>
      </c>
      <c r="W422" s="849">
        <v>0.0</v>
      </c>
      <c r="X422" s="849">
        <v>0.0</v>
      </c>
      <c r="Y422" s="849">
        <v>0.0</v>
      </c>
      <c r="Z422" s="849">
        <v>0.0</v>
      </c>
      <c r="AA422" s="849">
        <v>0.0</v>
      </c>
      <c r="AB422" s="849">
        <v>0.0</v>
      </c>
      <c r="AC422" s="849">
        <v>0.0</v>
      </c>
      <c r="AD422" s="849">
        <v>0.0</v>
      </c>
      <c r="AE422" s="849">
        <v>0.0</v>
      </c>
      <c r="AF422" s="849">
        <v>0.0</v>
      </c>
      <c r="AG422" s="849">
        <v>0.0</v>
      </c>
      <c r="AH422" s="849">
        <v>0.0</v>
      </c>
      <c r="AI422" s="849">
        <v>0.0</v>
      </c>
      <c r="AJ422" s="794" t="str">
        <f t="shared" ref="AJ422:AK422" si="841">C422</f>
        <v>G30000</v>
      </c>
      <c r="AK422" s="794" t="str">
        <f t="shared" si="841"/>
        <v>C/P FOURNISSEURS</v>
      </c>
      <c r="AL422" s="794">
        <f t="array" ref="AL422">IFERROR(INDEX(G422:R422,1,MATCH(Parametres!$B$3,G$1:R$1,0)-1)*IF(OR(F422="L",F422="S",F422="I"),-1,1),"")</f>
        <v>-778397.84</v>
      </c>
      <c r="AM422" s="794">
        <f t="shared" si="4"/>
        <v>-1464992.74</v>
      </c>
      <c r="AN422" s="794">
        <f t="array" ref="AN422">INDEX(G422:R422,1,MATCH(Parametres!$B$3,G$1:R$1,0))*IF(OR(F422="L",F422="S",F422="I"),-1,1)</f>
        <v>-2243390.58</v>
      </c>
      <c r="AO422" s="853" t="str">
        <f>+VLOOKUP($AJ422,Data_Validation!$A:$D,1,0)</f>
        <v>G30000</v>
      </c>
      <c r="AP422" s="853" t="str">
        <f>+VLOOKUP($AJ422,Data_Validation!$A:$D,3,0)</f>
        <v>Bilan</v>
      </c>
      <c r="AQ422" s="853" t="str">
        <f>+VLOOKUP($AJ422,Data_Validation!$A:$D,4,0)</f>
        <v>Comptes à Payer Fournisseurs</v>
      </c>
      <c r="AR422" s="853" t="s">
        <v>728</v>
      </c>
      <c r="AS422" s="853" t="str">
        <f>+VLOOKUP($AJ422,Data_Validation!$A:$E,5,0)</f>
        <v/>
      </c>
      <c r="AT422" s="794" t="str">
        <f t="shared" ref="AT422:AU422" si="842">C422</f>
        <v>G30000</v>
      </c>
      <c r="AU422" s="854" t="str">
        <f t="shared" si="842"/>
        <v>C/P FOURNISSEURS</v>
      </c>
      <c r="AV422" s="794">
        <f t="array" ref="AV422">IFERROR(INDEX(V422:AG422,1,MATCH(Parametres!$B$3,V$1:AG$1,0)-1)*IF(OR(C422="L",C422="S",C422="I"),-1,1),"")</f>
        <v>0</v>
      </c>
      <c r="AW422" s="794">
        <f t="shared" si="6"/>
        <v>0</v>
      </c>
      <c r="AX422" s="794">
        <f t="array" ref="AX422">INDEX(V422:AG422,1,MATCH(Parametres!$B$3,V$1:AG$1,0))*IF(OR(C422="L",C422="S",C422="I"),-1,1)</f>
        <v>0</v>
      </c>
      <c r="AY422" s="853" t="s">
        <v>772</v>
      </c>
      <c r="AZ422" s="853" t="str">
        <f>+VLOOKUP($AJ422,Data_Validation!$A:$E,5,0)</f>
        <v/>
      </c>
    </row>
    <row r="423" ht="15.75" customHeight="1">
      <c r="A423" s="849" t="s">
        <v>1239</v>
      </c>
      <c r="B423" s="849">
        <v>2025.0</v>
      </c>
      <c r="C423" s="849" t="s">
        <v>2213</v>
      </c>
      <c r="D423" s="849" t="s">
        <v>3506</v>
      </c>
      <c r="E423" s="849" t="s">
        <v>2212</v>
      </c>
      <c r="F423" s="849" t="s">
        <v>2057</v>
      </c>
      <c r="G423" s="849">
        <v>0.0</v>
      </c>
      <c r="H423" s="849">
        <v>0.0</v>
      </c>
      <c r="I423" s="849">
        <v>0.0</v>
      </c>
      <c r="J423" s="849">
        <v>0.0</v>
      </c>
      <c r="K423" s="849">
        <v>0.0</v>
      </c>
      <c r="L423" s="849">
        <v>0.0</v>
      </c>
      <c r="M423" s="849">
        <v>0.0</v>
      </c>
      <c r="N423" s="849">
        <v>0.0</v>
      </c>
      <c r="O423" s="849">
        <v>0.0</v>
      </c>
      <c r="P423" s="849">
        <v>0.0</v>
      </c>
      <c r="Q423" s="849">
        <v>0.0</v>
      </c>
      <c r="R423" s="849">
        <v>0.0</v>
      </c>
      <c r="S423" s="849">
        <v>0.0</v>
      </c>
      <c r="T423" s="849">
        <v>0.0</v>
      </c>
      <c r="U423" s="849">
        <v>0.0</v>
      </c>
      <c r="V423" s="849">
        <v>0.0</v>
      </c>
      <c r="W423" s="849">
        <v>0.0</v>
      </c>
      <c r="X423" s="849">
        <v>0.0</v>
      </c>
      <c r="Y423" s="849">
        <v>0.0</v>
      </c>
      <c r="Z423" s="849">
        <v>0.0</v>
      </c>
      <c r="AA423" s="849">
        <v>0.0</v>
      </c>
      <c r="AB423" s="849">
        <v>0.0</v>
      </c>
      <c r="AC423" s="849">
        <v>0.0</v>
      </c>
      <c r="AD423" s="849">
        <v>0.0</v>
      </c>
      <c r="AE423" s="849">
        <v>0.0</v>
      </c>
      <c r="AF423" s="849">
        <v>0.0</v>
      </c>
      <c r="AG423" s="849">
        <v>0.0</v>
      </c>
      <c r="AH423" s="849">
        <v>0.0</v>
      </c>
      <c r="AI423" s="849">
        <v>0.0</v>
      </c>
      <c r="AJ423" s="794" t="str">
        <f t="shared" ref="AJ423:AK423" si="843">C423</f>
        <v>G30001</v>
      </c>
      <c r="AK423" s="794" t="str">
        <f t="shared" si="843"/>
        <v>COMPTES A PAYER OPEN-ITEM</v>
      </c>
      <c r="AL423" s="794">
        <f t="array" ref="AL423">IFERROR(INDEX(G423:R423,1,MATCH(Parametres!$B$3,G$1:R$1,0)-1)*IF(OR(F423="L",F423="S",F423="I"),-1,1),"")</f>
        <v>0</v>
      </c>
      <c r="AM423" s="794">
        <f t="shared" si="4"/>
        <v>0</v>
      </c>
      <c r="AN423" s="794">
        <f t="array" ref="AN423">INDEX(G423:R423,1,MATCH(Parametres!$B$3,G$1:R$1,0))*IF(OR(F423="L",F423="S",F423="I"),-1,1)</f>
        <v>0</v>
      </c>
      <c r="AO423" s="853" t="str">
        <f>+VLOOKUP($AJ423,Data_Validation!$A:$D,1,0)</f>
        <v>#N/A</v>
      </c>
      <c r="AP423" s="853" t="str">
        <f>+VLOOKUP($AJ423,Data_Validation!$A:$D,3,0)</f>
        <v>#N/A</v>
      </c>
      <c r="AQ423" s="853" t="str">
        <f>+VLOOKUP($AJ423,Data_Validation!$A:$D,4,0)</f>
        <v>#N/A</v>
      </c>
      <c r="AR423" s="853" t="s">
        <v>728</v>
      </c>
      <c r="AS423" s="853" t="str">
        <f>+VLOOKUP($AJ423,Data_Validation!$A:$E,5,0)</f>
        <v>#N/A</v>
      </c>
      <c r="AT423" s="794" t="str">
        <f t="shared" ref="AT423:AU423" si="844">C423</f>
        <v>G30001</v>
      </c>
      <c r="AU423" s="854" t="str">
        <f t="shared" si="844"/>
        <v>COMPTES A PAYER OPEN-ITEM</v>
      </c>
      <c r="AV423" s="794">
        <f t="array" ref="AV423">IFERROR(INDEX(V423:AG423,1,MATCH(Parametres!$B$3,V$1:AG$1,0)-1)*IF(OR(C423="L",C423="S",C423="I"),-1,1),"")</f>
        <v>0</v>
      </c>
      <c r="AW423" s="794">
        <f t="shared" si="6"/>
        <v>0</v>
      </c>
      <c r="AX423" s="794">
        <f t="array" ref="AX423">INDEX(V423:AG423,1,MATCH(Parametres!$B$3,V$1:AG$1,0))*IF(OR(C423="L",C423="S",C423="I"),-1,1)</f>
        <v>0</v>
      </c>
      <c r="AY423" s="853" t="s">
        <v>772</v>
      </c>
      <c r="AZ423" s="853" t="str">
        <f>+VLOOKUP($AJ423,Data_Validation!$A:$E,5,0)</f>
        <v>#N/A</v>
      </c>
    </row>
    <row r="424" ht="15.75" customHeight="1">
      <c r="A424" s="849" t="s">
        <v>1239</v>
      </c>
      <c r="B424" s="849">
        <v>2025.0</v>
      </c>
      <c r="C424" s="849" t="s">
        <v>2215</v>
      </c>
      <c r="D424" s="849" t="s">
        <v>2216</v>
      </c>
      <c r="E424" s="849" t="s">
        <v>1959</v>
      </c>
      <c r="F424" s="849" t="s">
        <v>2057</v>
      </c>
      <c r="G424" s="849">
        <v>0.0</v>
      </c>
      <c r="H424" s="849">
        <v>0.0</v>
      </c>
      <c r="I424" s="849">
        <v>0.0</v>
      </c>
      <c r="J424" s="849">
        <v>0.0</v>
      </c>
      <c r="K424" s="849">
        <v>0.0</v>
      </c>
      <c r="L424" s="849">
        <v>0.0</v>
      </c>
      <c r="M424" s="849">
        <v>0.0</v>
      </c>
      <c r="N424" s="849">
        <v>0.0</v>
      </c>
      <c r="O424" s="849">
        <v>0.0</v>
      </c>
      <c r="P424" s="849">
        <v>0.0</v>
      </c>
      <c r="Q424" s="849">
        <v>0.0</v>
      </c>
      <c r="R424" s="849">
        <v>0.0</v>
      </c>
      <c r="S424" s="849">
        <v>0.0</v>
      </c>
      <c r="T424" s="849">
        <v>0.0</v>
      </c>
      <c r="U424" s="849">
        <v>0.0</v>
      </c>
      <c r="V424" s="849">
        <v>0.0</v>
      </c>
      <c r="W424" s="849">
        <v>0.0</v>
      </c>
      <c r="X424" s="849">
        <v>0.0</v>
      </c>
      <c r="Y424" s="849">
        <v>0.0</v>
      </c>
      <c r="Z424" s="849">
        <v>0.0</v>
      </c>
      <c r="AA424" s="849">
        <v>0.0</v>
      </c>
      <c r="AB424" s="849">
        <v>0.0</v>
      </c>
      <c r="AC424" s="849">
        <v>0.0</v>
      </c>
      <c r="AD424" s="849">
        <v>0.0</v>
      </c>
      <c r="AE424" s="849">
        <v>0.0</v>
      </c>
      <c r="AF424" s="849">
        <v>0.0</v>
      </c>
      <c r="AG424" s="849">
        <v>0.0</v>
      </c>
      <c r="AH424" s="849">
        <v>0.0</v>
      </c>
      <c r="AI424" s="849">
        <v>0.0</v>
      </c>
      <c r="AJ424" s="794" t="str">
        <f t="shared" ref="AJ424:AK424" si="845">C424</f>
        <v>G30010</v>
      </c>
      <c r="AK424" s="794" t="str">
        <f t="shared" si="845"/>
        <v>CLAIMS G.M. DU AUX CLIENT</v>
      </c>
      <c r="AL424" s="794">
        <f t="array" ref="AL424">IFERROR(INDEX(G424:R424,1,MATCH(Parametres!$B$3,G$1:R$1,0)-1)*IF(OR(F424="L",F424="S",F424="I"),-1,1),"")</f>
        <v>0</v>
      </c>
      <c r="AM424" s="794">
        <f t="shared" si="4"/>
        <v>0</v>
      </c>
      <c r="AN424" s="794">
        <f t="array" ref="AN424">INDEX(G424:R424,1,MATCH(Parametres!$B$3,G$1:R$1,0))*IF(OR(F424="L",F424="S",F424="I"),-1,1)</f>
        <v>0</v>
      </c>
      <c r="AO424" s="853" t="str">
        <f>+VLOOKUP($AJ424,Data_Validation!$A:$D,1,0)</f>
        <v>G30010</v>
      </c>
      <c r="AP424" s="853" t="str">
        <f>+VLOOKUP($AJ424,Data_Validation!$A:$D,3,0)</f>
        <v>Bilan</v>
      </c>
      <c r="AQ424" s="853" t="str">
        <f>+VLOOKUP($AJ424,Data_Validation!$A:$D,4,0)</f>
        <v>Autres Comptes à Payer</v>
      </c>
      <c r="AR424" s="853" t="s">
        <v>728</v>
      </c>
      <c r="AS424" s="853" t="str">
        <f>+VLOOKUP($AJ424,Data_Validation!$A:$E,5,0)</f>
        <v/>
      </c>
      <c r="AT424" s="794" t="str">
        <f t="shared" ref="AT424:AU424" si="846">C424</f>
        <v>G30010</v>
      </c>
      <c r="AU424" s="854" t="str">
        <f t="shared" si="846"/>
        <v>CLAIMS G.M. DU AUX CLIENT</v>
      </c>
      <c r="AV424" s="794">
        <f t="array" ref="AV424">IFERROR(INDEX(V424:AG424,1,MATCH(Parametres!$B$3,V$1:AG$1,0)-1)*IF(OR(C424="L",C424="S",C424="I"),-1,1),"")</f>
        <v>0</v>
      </c>
      <c r="AW424" s="794">
        <f t="shared" si="6"/>
        <v>0</v>
      </c>
      <c r="AX424" s="794">
        <f t="array" ref="AX424">INDEX(V424:AG424,1,MATCH(Parametres!$B$3,V$1:AG$1,0))*IF(OR(C424="L",C424="S",C424="I"),-1,1)</f>
        <v>0</v>
      </c>
      <c r="AY424" s="853" t="s">
        <v>772</v>
      </c>
      <c r="AZ424" s="853" t="str">
        <f>+VLOOKUP($AJ424,Data_Validation!$A:$E,5,0)</f>
        <v/>
      </c>
    </row>
    <row r="425" ht="15.75" customHeight="1">
      <c r="A425" s="849" t="s">
        <v>1239</v>
      </c>
      <c r="B425" s="849">
        <v>2025.0</v>
      </c>
      <c r="C425" s="849" t="s">
        <v>2217</v>
      </c>
      <c r="D425" s="849" t="s">
        <v>2218</v>
      </c>
      <c r="E425" s="849" t="s">
        <v>1959</v>
      </c>
      <c r="F425" s="849" t="s">
        <v>2057</v>
      </c>
      <c r="G425" s="849">
        <v>39069.65</v>
      </c>
      <c r="H425" s="849">
        <v>56108.83</v>
      </c>
      <c r="I425" s="849">
        <v>24749.68</v>
      </c>
      <c r="J425" s="849">
        <v>68600.43</v>
      </c>
      <c r="K425" s="849">
        <v>-3079.08</v>
      </c>
      <c r="L425" s="849">
        <v>4270.53</v>
      </c>
      <c r="M425" s="849">
        <v>-5090.57</v>
      </c>
      <c r="N425" s="849">
        <v>13592.63</v>
      </c>
      <c r="O425" s="849">
        <v>16958.85</v>
      </c>
      <c r="P425" s="849">
        <v>10722.44</v>
      </c>
      <c r="Q425" s="849">
        <v>9292.3</v>
      </c>
      <c r="R425" s="849">
        <v>15033.56</v>
      </c>
      <c r="S425" s="849">
        <v>0.0</v>
      </c>
      <c r="T425" s="849">
        <v>0.0</v>
      </c>
      <c r="U425" s="849">
        <v>0.0</v>
      </c>
      <c r="V425" s="849">
        <v>0.0</v>
      </c>
      <c r="W425" s="849">
        <v>0.0</v>
      </c>
      <c r="X425" s="849">
        <v>0.0</v>
      </c>
      <c r="Y425" s="849">
        <v>0.0</v>
      </c>
      <c r="Z425" s="849">
        <v>0.0</v>
      </c>
      <c r="AA425" s="849">
        <v>0.0</v>
      </c>
      <c r="AB425" s="849">
        <v>0.0</v>
      </c>
      <c r="AC425" s="849">
        <v>0.0</v>
      </c>
      <c r="AD425" s="849">
        <v>0.0</v>
      </c>
      <c r="AE425" s="849">
        <v>0.0</v>
      </c>
      <c r="AF425" s="849">
        <v>0.0</v>
      </c>
      <c r="AG425" s="849">
        <v>0.0</v>
      </c>
      <c r="AH425" s="849">
        <v>0.0</v>
      </c>
      <c r="AI425" s="849">
        <v>0.0</v>
      </c>
      <c r="AJ425" s="794" t="str">
        <f t="shared" ref="AJ425:AK425" si="847">C425</f>
        <v>G30020</v>
      </c>
      <c r="AK425" s="794" t="str">
        <f t="shared" si="847"/>
        <v>PLAN PROTECTION A PAYER</v>
      </c>
      <c r="AL425" s="794">
        <f t="array" ref="AL425">IFERROR(INDEX(G425:R425,1,MATCH(Parametres!$B$3,G$1:R$1,0)-1)*IF(OR(F425="L",F425="S",F425="I"),-1,1),"")</f>
        <v>-13592.63</v>
      </c>
      <c r="AM425" s="794">
        <f t="shared" si="4"/>
        <v>-3366.22</v>
      </c>
      <c r="AN425" s="794">
        <f t="array" ref="AN425">INDEX(G425:R425,1,MATCH(Parametres!$B$3,G$1:R$1,0))*IF(OR(F425="L",F425="S",F425="I"),-1,1)</f>
        <v>-16958.85</v>
      </c>
      <c r="AO425" s="853" t="str">
        <f>+VLOOKUP($AJ425,Data_Validation!$A:$D,1,0)</f>
        <v>G30020</v>
      </c>
      <c r="AP425" s="853" t="str">
        <f>+VLOOKUP($AJ425,Data_Validation!$A:$D,3,0)</f>
        <v>Bilan</v>
      </c>
      <c r="AQ425" s="853" t="str">
        <f>+VLOOKUP($AJ425,Data_Validation!$A:$D,4,0)</f>
        <v>Autres Comptes à Payer</v>
      </c>
      <c r="AR425" s="853" t="s">
        <v>728</v>
      </c>
      <c r="AS425" s="853" t="str">
        <f>+VLOOKUP($AJ425,Data_Validation!$A:$E,5,0)</f>
        <v/>
      </c>
      <c r="AT425" s="794" t="str">
        <f t="shared" ref="AT425:AU425" si="848">C425</f>
        <v>G30020</v>
      </c>
      <c r="AU425" s="854" t="str">
        <f t="shared" si="848"/>
        <v>PLAN PROTECTION A PAYER</v>
      </c>
      <c r="AV425" s="794">
        <f t="array" ref="AV425">IFERROR(INDEX(V425:AG425,1,MATCH(Parametres!$B$3,V$1:AG$1,0)-1)*IF(OR(C425="L",C425="S",C425="I"),-1,1),"")</f>
        <v>0</v>
      </c>
      <c r="AW425" s="794">
        <f t="shared" si="6"/>
        <v>0</v>
      </c>
      <c r="AX425" s="794">
        <f t="array" ref="AX425">INDEX(V425:AG425,1,MATCH(Parametres!$B$3,V$1:AG$1,0))*IF(OR(C425="L",C425="S",C425="I"),-1,1)</f>
        <v>0</v>
      </c>
      <c r="AY425" s="853" t="s">
        <v>772</v>
      </c>
      <c r="AZ425" s="853" t="str">
        <f>+VLOOKUP($AJ425,Data_Validation!$A:$E,5,0)</f>
        <v/>
      </c>
    </row>
    <row r="426" ht="15.75" customHeight="1">
      <c r="A426" s="849" t="s">
        <v>1239</v>
      </c>
      <c r="B426" s="849">
        <v>2025.0</v>
      </c>
      <c r="C426" s="849" t="s">
        <v>2222</v>
      </c>
      <c r="D426" s="849" t="s">
        <v>2223</v>
      </c>
      <c r="E426" s="849" t="s">
        <v>768</v>
      </c>
      <c r="F426" s="849" t="s">
        <v>2057</v>
      </c>
      <c r="G426" s="849">
        <v>3330.0</v>
      </c>
      <c r="H426" s="849">
        <v>1534.5</v>
      </c>
      <c r="I426" s="849">
        <v>2898.0</v>
      </c>
      <c r="J426" s="849">
        <v>3010.5</v>
      </c>
      <c r="K426" s="849">
        <v>7951.0</v>
      </c>
      <c r="L426" s="849">
        <v>3771.0</v>
      </c>
      <c r="M426" s="849">
        <v>2241.0</v>
      </c>
      <c r="N426" s="849">
        <v>2281.5</v>
      </c>
      <c r="O426" s="849">
        <v>1899.0</v>
      </c>
      <c r="P426" s="849">
        <v>2313.0</v>
      </c>
      <c r="Q426" s="849">
        <v>2416.5</v>
      </c>
      <c r="R426" s="849">
        <v>2232.0</v>
      </c>
      <c r="S426" s="849">
        <v>0.0</v>
      </c>
      <c r="T426" s="849">
        <v>0.0</v>
      </c>
      <c r="U426" s="849">
        <v>0.0</v>
      </c>
      <c r="V426" s="849">
        <v>0.0</v>
      </c>
      <c r="W426" s="849">
        <v>0.0</v>
      </c>
      <c r="X426" s="849">
        <v>0.0</v>
      </c>
      <c r="Y426" s="849">
        <v>0.0</v>
      </c>
      <c r="Z426" s="849">
        <v>0.0</v>
      </c>
      <c r="AA426" s="849">
        <v>0.0</v>
      </c>
      <c r="AB426" s="849">
        <v>0.0</v>
      </c>
      <c r="AC426" s="849">
        <v>0.0</v>
      </c>
      <c r="AD426" s="849">
        <v>0.0</v>
      </c>
      <c r="AE426" s="849">
        <v>0.0</v>
      </c>
      <c r="AF426" s="849">
        <v>0.0</v>
      </c>
      <c r="AG426" s="849">
        <v>0.0</v>
      </c>
      <c r="AH426" s="849">
        <v>0.0</v>
      </c>
      <c r="AI426" s="849">
        <v>0.0</v>
      </c>
      <c r="AJ426" s="794" t="str">
        <f t="shared" ref="AJ426:AK426" si="849">C426</f>
        <v>G30030</v>
      </c>
      <c r="AK426" s="794" t="str">
        <f t="shared" si="849"/>
        <v>DROIT SPECIF. SUR PNEUS</v>
      </c>
      <c r="AL426" s="794">
        <f t="array" ref="AL426">IFERROR(INDEX(G426:R426,1,MATCH(Parametres!$B$3,G$1:R$1,0)-1)*IF(OR(F426="L",F426="S",F426="I"),-1,1),"")</f>
        <v>-2281.5</v>
      </c>
      <c r="AM426" s="794">
        <f t="shared" si="4"/>
        <v>382.5</v>
      </c>
      <c r="AN426" s="794">
        <f t="array" ref="AN426">INDEX(G426:R426,1,MATCH(Parametres!$B$3,G$1:R$1,0))*IF(OR(F426="L",F426="S",F426="I"),-1,1)</f>
        <v>-1899</v>
      </c>
      <c r="AO426" s="853" t="str">
        <f>+VLOOKUP($AJ426,Data_Validation!$A:$D,1,0)</f>
        <v>G30030</v>
      </c>
      <c r="AP426" s="853" t="str">
        <f>+VLOOKUP($AJ426,Data_Validation!$A:$D,3,0)</f>
        <v>Bilan</v>
      </c>
      <c r="AQ426" s="853" t="str">
        <f>+VLOOKUP($AJ426,Data_Validation!$A:$D,4,0)</f>
        <v>Taxes de Vente à Payer</v>
      </c>
      <c r="AR426" s="853" t="s">
        <v>728</v>
      </c>
      <c r="AS426" s="853" t="str">
        <f>+VLOOKUP($AJ426,Data_Validation!$A:$E,5,0)</f>
        <v/>
      </c>
      <c r="AT426" s="794" t="str">
        <f t="shared" ref="AT426:AU426" si="850">C426</f>
        <v>G30030</v>
      </c>
      <c r="AU426" s="854" t="str">
        <f t="shared" si="850"/>
        <v>DROIT SPECIF. SUR PNEUS</v>
      </c>
      <c r="AV426" s="794">
        <f t="array" ref="AV426">IFERROR(INDEX(V426:AG426,1,MATCH(Parametres!$B$3,V$1:AG$1,0)-1)*IF(OR(C426="L",C426="S",C426="I"),-1,1),"")</f>
        <v>0</v>
      </c>
      <c r="AW426" s="794">
        <f t="shared" si="6"/>
        <v>0</v>
      </c>
      <c r="AX426" s="794">
        <f t="array" ref="AX426">INDEX(V426:AG426,1,MATCH(Parametres!$B$3,V$1:AG$1,0))*IF(OR(C426="L",C426="S",C426="I"),-1,1)</f>
        <v>0</v>
      </c>
      <c r="AY426" s="853" t="s">
        <v>772</v>
      </c>
      <c r="AZ426" s="853" t="str">
        <f>+VLOOKUP($AJ426,Data_Validation!$A:$E,5,0)</f>
        <v/>
      </c>
    </row>
    <row r="427" ht="15.75" customHeight="1">
      <c r="A427" s="849" t="s">
        <v>1239</v>
      </c>
      <c r="B427" s="849">
        <v>2025.0</v>
      </c>
      <c r="C427" s="849" t="s">
        <v>2226</v>
      </c>
      <c r="D427" s="849" t="s">
        <v>2227</v>
      </c>
      <c r="E427" s="849" t="s">
        <v>768</v>
      </c>
      <c r="F427" s="849" t="s">
        <v>2057</v>
      </c>
      <c r="G427" s="849">
        <v>144500.0</v>
      </c>
      <c r="H427" s="849">
        <v>144500.0</v>
      </c>
      <c r="I427" s="849">
        <v>144500.0</v>
      </c>
      <c r="J427" s="849">
        <v>144500.0</v>
      </c>
      <c r="K427" s="849">
        <v>144500.0</v>
      </c>
      <c r="L427" s="849">
        <v>44500.0</v>
      </c>
      <c r="M427" s="849">
        <v>44500.0</v>
      </c>
      <c r="N427" s="849">
        <v>44500.0</v>
      </c>
      <c r="O427" s="849">
        <v>44500.0</v>
      </c>
      <c r="P427" s="849">
        <v>44500.0</v>
      </c>
      <c r="Q427" s="849">
        <v>44500.0</v>
      </c>
      <c r="R427" s="849">
        <v>56397.81</v>
      </c>
      <c r="S427" s="849">
        <v>0.0</v>
      </c>
      <c r="T427" s="849">
        <v>0.0</v>
      </c>
      <c r="U427" s="849">
        <v>0.0</v>
      </c>
      <c r="V427" s="849">
        <v>0.0</v>
      </c>
      <c r="W427" s="849">
        <v>0.0</v>
      </c>
      <c r="X427" s="849">
        <v>0.0</v>
      </c>
      <c r="Y427" s="849">
        <v>0.0</v>
      </c>
      <c r="Z427" s="849">
        <v>0.0</v>
      </c>
      <c r="AA427" s="849">
        <v>0.0</v>
      </c>
      <c r="AB427" s="849">
        <v>0.0</v>
      </c>
      <c r="AC427" s="849">
        <v>0.0</v>
      </c>
      <c r="AD427" s="849">
        <v>0.0</v>
      </c>
      <c r="AE427" s="849">
        <v>0.0</v>
      </c>
      <c r="AF427" s="849">
        <v>0.0</v>
      </c>
      <c r="AG427" s="849">
        <v>0.0</v>
      </c>
      <c r="AH427" s="849">
        <v>0.0</v>
      </c>
      <c r="AI427" s="849">
        <v>0.0</v>
      </c>
      <c r="AJ427" s="794" t="str">
        <f t="shared" ref="AJ427:AK427" si="851">C427</f>
        <v>G30040</v>
      </c>
      <c r="AK427" s="794" t="str">
        <f t="shared" si="851"/>
        <v>AVANCE REMARK. AUTO CANAD</v>
      </c>
      <c r="AL427" s="794">
        <f t="array" ref="AL427">IFERROR(INDEX(G427:R427,1,MATCH(Parametres!$B$3,G$1:R$1,0)-1)*IF(OR(F427="L",F427="S",F427="I"),-1,1),"")</f>
        <v>-44500</v>
      </c>
      <c r="AM427" s="794">
        <f t="shared" si="4"/>
        <v>0</v>
      </c>
      <c r="AN427" s="794">
        <f t="array" ref="AN427">INDEX(G427:R427,1,MATCH(Parametres!$B$3,G$1:R$1,0))*IF(OR(F427="L",F427="S",F427="I"),-1,1)</f>
        <v>-44500</v>
      </c>
      <c r="AO427" s="853" t="str">
        <f>+VLOOKUP($AJ427,Data_Validation!$A:$D,1,0)</f>
        <v>G30040</v>
      </c>
      <c r="AP427" s="853" t="str">
        <f>+VLOOKUP($AJ427,Data_Validation!$A:$D,3,0)</f>
        <v>Bilan</v>
      </c>
      <c r="AQ427" s="853" t="str">
        <f>+VLOOKUP($AJ427,Data_Validation!$A:$D,4,0)</f>
        <v>Payables Intercos</v>
      </c>
      <c r="AR427" s="853" t="s">
        <v>728</v>
      </c>
      <c r="AS427" s="853" t="str">
        <f>+VLOOKUP($AJ427,Data_Validation!$A:$E,5,0)</f>
        <v/>
      </c>
      <c r="AT427" s="794" t="str">
        <f t="shared" ref="AT427:AU427" si="852">C427</f>
        <v>G30040</v>
      </c>
      <c r="AU427" s="854" t="str">
        <f t="shared" si="852"/>
        <v>AVANCE REMARK. AUTO CANAD</v>
      </c>
      <c r="AV427" s="794">
        <f t="array" ref="AV427">IFERROR(INDEX(V427:AG427,1,MATCH(Parametres!$B$3,V$1:AG$1,0)-1)*IF(OR(C427="L",C427="S",C427="I"),-1,1),"")</f>
        <v>0</v>
      </c>
      <c r="AW427" s="794">
        <f t="shared" si="6"/>
        <v>0</v>
      </c>
      <c r="AX427" s="794">
        <f t="array" ref="AX427">INDEX(V427:AG427,1,MATCH(Parametres!$B$3,V$1:AG$1,0))*IF(OR(C427="L",C427="S",C427="I"),-1,1)</f>
        <v>0</v>
      </c>
      <c r="AY427" s="853" t="s">
        <v>772</v>
      </c>
      <c r="AZ427" s="853" t="str">
        <f>+VLOOKUP($AJ427,Data_Validation!$A:$E,5,0)</f>
        <v/>
      </c>
    </row>
    <row r="428" ht="15.75" customHeight="1">
      <c r="A428" s="849" t="s">
        <v>1239</v>
      </c>
      <c r="B428" s="849">
        <v>2025.0</v>
      </c>
      <c r="C428" s="849" t="s">
        <v>2230</v>
      </c>
      <c r="D428" s="849" t="s">
        <v>2231</v>
      </c>
      <c r="E428" s="849" t="s">
        <v>768</v>
      </c>
      <c r="F428" s="849" t="s">
        <v>2057</v>
      </c>
      <c r="G428" s="849">
        <v>1218649.0</v>
      </c>
      <c r="H428" s="849">
        <v>1218649.0</v>
      </c>
      <c r="I428" s="849">
        <v>1218649.0</v>
      </c>
      <c r="J428" s="849">
        <v>1218649.0</v>
      </c>
      <c r="K428" s="849">
        <v>1218649.0</v>
      </c>
      <c r="L428" s="849">
        <v>1906664.06</v>
      </c>
      <c r="M428" s="849">
        <v>3562.0</v>
      </c>
      <c r="N428" s="849">
        <v>3562.0</v>
      </c>
      <c r="O428" s="849">
        <v>3562.0</v>
      </c>
      <c r="P428" s="849">
        <v>3562.0</v>
      </c>
      <c r="Q428" s="849">
        <v>3562.0</v>
      </c>
      <c r="R428" s="849">
        <v>3562.0</v>
      </c>
      <c r="S428" s="849">
        <v>0.0</v>
      </c>
      <c r="T428" s="849">
        <v>0.0</v>
      </c>
      <c r="U428" s="849">
        <v>0.0</v>
      </c>
      <c r="V428" s="849">
        <v>0.0</v>
      </c>
      <c r="W428" s="849">
        <v>0.0</v>
      </c>
      <c r="X428" s="849">
        <v>0.0</v>
      </c>
      <c r="Y428" s="849">
        <v>0.0</v>
      </c>
      <c r="Z428" s="849">
        <v>0.0</v>
      </c>
      <c r="AA428" s="849">
        <v>0.0</v>
      </c>
      <c r="AB428" s="849">
        <v>0.0</v>
      </c>
      <c r="AC428" s="849">
        <v>0.0</v>
      </c>
      <c r="AD428" s="849">
        <v>0.0</v>
      </c>
      <c r="AE428" s="849">
        <v>0.0</v>
      </c>
      <c r="AF428" s="849">
        <v>0.0</v>
      </c>
      <c r="AG428" s="849">
        <v>0.0</v>
      </c>
      <c r="AH428" s="849">
        <v>0.0</v>
      </c>
      <c r="AI428" s="849">
        <v>0.0</v>
      </c>
      <c r="AJ428" s="794" t="str">
        <f t="shared" ref="AJ428:AK428" si="853">C428</f>
        <v>G30045</v>
      </c>
      <c r="AK428" s="794" t="str">
        <f t="shared" si="853"/>
        <v>AVANCE 9046-6640 QC INC</v>
      </c>
      <c r="AL428" s="794">
        <f t="array" ref="AL428">IFERROR(INDEX(G428:R428,1,MATCH(Parametres!$B$3,G$1:R$1,0)-1)*IF(OR(F428="L",F428="S",F428="I"),-1,1),"")</f>
        <v>-3562</v>
      </c>
      <c r="AM428" s="794">
        <f t="shared" si="4"/>
        <v>0</v>
      </c>
      <c r="AN428" s="794">
        <f t="array" ref="AN428">INDEX(G428:R428,1,MATCH(Parametres!$B$3,G$1:R$1,0))*IF(OR(F428="L",F428="S",F428="I"),-1,1)</f>
        <v>-3562</v>
      </c>
      <c r="AO428" s="853" t="str">
        <f>+VLOOKUP($AJ428,Data_Validation!$A:$D,1,0)</f>
        <v>G30045</v>
      </c>
      <c r="AP428" s="853" t="str">
        <f>+VLOOKUP($AJ428,Data_Validation!$A:$D,3,0)</f>
        <v>Bilan</v>
      </c>
      <c r="AQ428" s="853" t="str">
        <f>+VLOOKUP($AJ428,Data_Validation!$A:$D,4,0)</f>
        <v>Payables Intercos</v>
      </c>
      <c r="AR428" s="853" t="s">
        <v>728</v>
      </c>
      <c r="AS428" s="853" t="str">
        <f>+VLOOKUP($AJ428,Data_Validation!$A:$E,5,0)</f>
        <v/>
      </c>
      <c r="AT428" s="794" t="str">
        <f t="shared" ref="AT428:AU428" si="854">C428</f>
        <v>G30045</v>
      </c>
      <c r="AU428" s="854" t="str">
        <f t="shared" si="854"/>
        <v>AVANCE 9046-6640 QC INC</v>
      </c>
      <c r="AV428" s="794">
        <f t="array" ref="AV428">IFERROR(INDEX(V428:AG428,1,MATCH(Parametres!$B$3,V$1:AG$1,0)-1)*IF(OR(C428="L",C428="S",C428="I"),-1,1),"")</f>
        <v>0</v>
      </c>
      <c r="AW428" s="794">
        <f t="shared" si="6"/>
        <v>0</v>
      </c>
      <c r="AX428" s="794">
        <f t="array" ref="AX428">INDEX(V428:AG428,1,MATCH(Parametres!$B$3,V$1:AG$1,0))*IF(OR(C428="L",C428="S",C428="I"),-1,1)</f>
        <v>0</v>
      </c>
      <c r="AY428" s="853" t="s">
        <v>772</v>
      </c>
      <c r="AZ428" s="853" t="str">
        <f>+VLOOKUP($AJ428,Data_Validation!$A:$E,5,0)</f>
        <v/>
      </c>
    </row>
    <row r="429" ht="15.75" customHeight="1">
      <c r="A429" s="849" t="s">
        <v>1239</v>
      </c>
      <c r="B429" s="849">
        <v>2025.0</v>
      </c>
      <c r="C429" s="849" t="s">
        <v>2232</v>
      </c>
      <c r="D429" s="849" t="s">
        <v>2233</v>
      </c>
      <c r="E429" s="849" t="s">
        <v>768</v>
      </c>
      <c r="F429" s="849" t="s">
        <v>2057</v>
      </c>
      <c r="G429" s="849">
        <v>5500000.0</v>
      </c>
      <c r="H429" s="849">
        <v>5500000.0</v>
      </c>
      <c r="I429" s="849">
        <v>5500000.0</v>
      </c>
      <c r="J429" s="849">
        <v>5500000.0</v>
      </c>
      <c r="K429" s="849">
        <v>5500000.0</v>
      </c>
      <c r="L429" s="849">
        <v>5500000.0</v>
      </c>
      <c r="M429" s="849">
        <v>0.0</v>
      </c>
      <c r="N429" s="849">
        <v>0.0</v>
      </c>
      <c r="O429" s="849">
        <v>0.0</v>
      </c>
      <c r="P429" s="849">
        <v>0.0</v>
      </c>
      <c r="Q429" s="849">
        <v>0.0</v>
      </c>
      <c r="R429" s="849">
        <v>0.0</v>
      </c>
      <c r="S429" s="849">
        <v>0.0</v>
      </c>
      <c r="T429" s="849">
        <v>0.0</v>
      </c>
      <c r="U429" s="849">
        <v>0.0</v>
      </c>
      <c r="V429" s="849">
        <v>0.0</v>
      </c>
      <c r="W429" s="849">
        <v>0.0</v>
      </c>
      <c r="X429" s="849">
        <v>0.0</v>
      </c>
      <c r="Y429" s="849">
        <v>0.0</v>
      </c>
      <c r="Z429" s="849">
        <v>0.0</v>
      </c>
      <c r="AA429" s="849">
        <v>0.0</v>
      </c>
      <c r="AB429" s="849">
        <v>0.0</v>
      </c>
      <c r="AC429" s="849">
        <v>0.0</v>
      </c>
      <c r="AD429" s="849">
        <v>0.0</v>
      </c>
      <c r="AE429" s="849">
        <v>0.0</v>
      </c>
      <c r="AF429" s="849">
        <v>0.0</v>
      </c>
      <c r="AG429" s="849">
        <v>0.0</v>
      </c>
      <c r="AH429" s="849">
        <v>0.0</v>
      </c>
      <c r="AI429" s="849">
        <v>0.0</v>
      </c>
      <c r="AJ429" s="794" t="str">
        <f t="shared" ref="AJ429:AK429" si="855">C429</f>
        <v>G30046</v>
      </c>
      <c r="AK429" s="794" t="str">
        <f t="shared" si="855"/>
        <v>AVANCE HYUNDAI ST-CONSTAN</v>
      </c>
      <c r="AL429" s="794">
        <f t="array" ref="AL429">IFERROR(INDEX(G429:R429,1,MATCH(Parametres!$B$3,G$1:R$1,0)-1)*IF(OR(F429="L",F429="S",F429="I"),-1,1),"")</f>
        <v>0</v>
      </c>
      <c r="AM429" s="794">
        <f t="shared" si="4"/>
        <v>0</v>
      </c>
      <c r="AN429" s="794">
        <f t="array" ref="AN429">INDEX(G429:R429,1,MATCH(Parametres!$B$3,G$1:R$1,0))*IF(OR(F429="L",F429="S",F429="I"),-1,1)</f>
        <v>0</v>
      </c>
      <c r="AO429" s="853" t="str">
        <f>+VLOOKUP($AJ429,Data_Validation!$A:$D,1,0)</f>
        <v>G30046</v>
      </c>
      <c r="AP429" s="853" t="str">
        <f>+VLOOKUP($AJ429,Data_Validation!$A:$D,3,0)</f>
        <v>Bilan</v>
      </c>
      <c r="AQ429" s="853" t="str">
        <f>+VLOOKUP($AJ429,Data_Validation!$A:$D,4,0)</f>
        <v>Payables Intercos</v>
      </c>
      <c r="AR429" s="853" t="s">
        <v>728</v>
      </c>
      <c r="AS429" s="853" t="str">
        <f>+VLOOKUP($AJ429,Data_Validation!$A:$E,5,0)</f>
        <v/>
      </c>
      <c r="AT429" s="794" t="str">
        <f t="shared" ref="AT429:AU429" si="856">C429</f>
        <v>G30046</v>
      </c>
      <c r="AU429" s="854" t="str">
        <f t="shared" si="856"/>
        <v>AVANCE HYUNDAI ST-CONSTAN</v>
      </c>
      <c r="AV429" s="794">
        <f t="array" ref="AV429">IFERROR(INDEX(V429:AG429,1,MATCH(Parametres!$B$3,V$1:AG$1,0)-1)*IF(OR(C429="L",C429="S",C429="I"),-1,1),"")</f>
        <v>0</v>
      </c>
      <c r="AW429" s="794">
        <f t="shared" si="6"/>
        <v>0</v>
      </c>
      <c r="AX429" s="794">
        <f t="array" ref="AX429">INDEX(V429:AG429,1,MATCH(Parametres!$B$3,V$1:AG$1,0))*IF(OR(C429="L",C429="S",C429="I"),-1,1)</f>
        <v>0</v>
      </c>
      <c r="AY429" s="853" t="s">
        <v>772</v>
      </c>
      <c r="AZ429" s="853" t="str">
        <f>+VLOOKUP($AJ429,Data_Validation!$A:$E,5,0)</f>
        <v/>
      </c>
    </row>
    <row r="430" ht="15.75" customHeight="1">
      <c r="A430" s="849" t="s">
        <v>1239</v>
      </c>
      <c r="B430" s="849">
        <v>2025.0</v>
      </c>
      <c r="C430" s="849" t="s">
        <v>2234</v>
      </c>
      <c r="D430" s="849" t="s">
        <v>2235</v>
      </c>
      <c r="E430" s="849" t="s">
        <v>768</v>
      </c>
      <c r="F430" s="849" t="s">
        <v>2057</v>
      </c>
      <c r="G430" s="849">
        <v>-100000.0</v>
      </c>
      <c r="H430" s="849">
        <v>-100000.0</v>
      </c>
      <c r="I430" s="849">
        <v>-100000.0</v>
      </c>
      <c r="J430" s="849">
        <v>-100000.0</v>
      </c>
      <c r="K430" s="849">
        <v>-100000.0</v>
      </c>
      <c r="L430" s="849">
        <v>0.0</v>
      </c>
      <c r="M430" s="849">
        <v>0.0</v>
      </c>
      <c r="N430" s="849">
        <v>0.0</v>
      </c>
      <c r="O430" s="849">
        <v>0.0</v>
      </c>
      <c r="P430" s="849">
        <v>0.0</v>
      </c>
      <c r="Q430" s="849">
        <v>0.0</v>
      </c>
      <c r="R430" s="849">
        <v>0.0</v>
      </c>
      <c r="S430" s="849">
        <v>0.0</v>
      </c>
      <c r="T430" s="849">
        <v>0.0</v>
      </c>
      <c r="U430" s="849">
        <v>0.0</v>
      </c>
      <c r="V430" s="849">
        <v>0.0</v>
      </c>
      <c r="W430" s="849">
        <v>0.0</v>
      </c>
      <c r="X430" s="849">
        <v>0.0</v>
      </c>
      <c r="Y430" s="849">
        <v>0.0</v>
      </c>
      <c r="Z430" s="849">
        <v>0.0</v>
      </c>
      <c r="AA430" s="849">
        <v>0.0</v>
      </c>
      <c r="AB430" s="849">
        <v>0.0</v>
      </c>
      <c r="AC430" s="849">
        <v>0.0</v>
      </c>
      <c r="AD430" s="849">
        <v>0.0</v>
      </c>
      <c r="AE430" s="849">
        <v>0.0</v>
      </c>
      <c r="AF430" s="849">
        <v>0.0</v>
      </c>
      <c r="AG430" s="849">
        <v>0.0</v>
      </c>
      <c r="AH430" s="849">
        <v>0.0</v>
      </c>
      <c r="AI430" s="849">
        <v>0.0</v>
      </c>
      <c r="AJ430" s="794" t="str">
        <f t="shared" ref="AJ430:AK430" si="857">C430</f>
        <v>G30047</v>
      </c>
      <c r="AK430" s="794" t="str">
        <f t="shared" si="857"/>
        <v>AVANCE - PAUL LOISELLE</v>
      </c>
      <c r="AL430" s="794">
        <f t="array" ref="AL430">IFERROR(INDEX(G430:R430,1,MATCH(Parametres!$B$3,G$1:R$1,0)-1)*IF(OR(F430="L",F430="S",F430="I"),-1,1),"")</f>
        <v>0</v>
      </c>
      <c r="AM430" s="794">
        <f t="shared" si="4"/>
        <v>0</v>
      </c>
      <c r="AN430" s="794">
        <f t="array" ref="AN430">INDEX(G430:R430,1,MATCH(Parametres!$B$3,G$1:R$1,0))*IF(OR(F430="L",F430="S",F430="I"),-1,1)</f>
        <v>0</v>
      </c>
      <c r="AO430" s="853" t="str">
        <f>+VLOOKUP($AJ430,Data_Validation!$A:$D,1,0)</f>
        <v>G30047</v>
      </c>
      <c r="AP430" s="853" t="str">
        <f>+VLOOKUP($AJ430,Data_Validation!$A:$D,3,0)</f>
        <v>Bilan</v>
      </c>
      <c r="AQ430" s="853" t="str">
        <f>+VLOOKUP($AJ430,Data_Validation!$A:$D,4,0)</f>
        <v>Payables Intercos</v>
      </c>
      <c r="AR430" s="853" t="s">
        <v>728</v>
      </c>
      <c r="AS430" s="853" t="str">
        <f>+VLOOKUP($AJ430,Data_Validation!$A:$E,5,0)</f>
        <v/>
      </c>
      <c r="AT430" s="794" t="str">
        <f t="shared" ref="AT430:AU430" si="858">C430</f>
        <v>G30047</v>
      </c>
      <c r="AU430" s="854" t="str">
        <f t="shared" si="858"/>
        <v>AVANCE - PAUL LOISELLE</v>
      </c>
      <c r="AV430" s="794">
        <f t="array" ref="AV430">IFERROR(INDEX(V430:AG430,1,MATCH(Parametres!$B$3,V$1:AG$1,0)-1)*IF(OR(C430="L",C430="S",C430="I"),-1,1),"")</f>
        <v>0</v>
      </c>
      <c r="AW430" s="794">
        <f t="shared" si="6"/>
        <v>0</v>
      </c>
      <c r="AX430" s="794">
        <f t="array" ref="AX430">INDEX(V430:AG430,1,MATCH(Parametres!$B$3,V$1:AG$1,0))*IF(OR(C430="L",C430="S",C430="I"),-1,1)</f>
        <v>0</v>
      </c>
      <c r="AY430" s="853" t="s">
        <v>772</v>
      </c>
      <c r="AZ430" s="853" t="str">
        <f>+VLOOKUP($AJ430,Data_Validation!$A:$E,5,0)</f>
        <v/>
      </c>
    </row>
    <row r="431" ht="15.75" customHeight="1">
      <c r="A431" s="849" t="s">
        <v>1239</v>
      </c>
      <c r="B431" s="849">
        <v>2025.0</v>
      </c>
      <c r="C431" s="849" t="s">
        <v>2236</v>
      </c>
      <c r="D431" s="849" t="s">
        <v>2237</v>
      </c>
      <c r="E431" s="849" t="s">
        <v>768</v>
      </c>
      <c r="F431" s="849" t="s">
        <v>2057</v>
      </c>
      <c r="G431" s="849">
        <v>0.0</v>
      </c>
      <c r="H431" s="849">
        <v>0.0</v>
      </c>
      <c r="I431" s="849">
        <v>0.0</v>
      </c>
      <c r="J431" s="849">
        <v>0.0</v>
      </c>
      <c r="K431" s="849">
        <v>0.0</v>
      </c>
      <c r="L431" s="849">
        <v>-102129.0</v>
      </c>
      <c r="M431" s="849">
        <v>0.0</v>
      </c>
      <c r="N431" s="849">
        <v>0.0</v>
      </c>
      <c r="O431" s="849">
        <v>0.0</v>
      </c>
      <c r="P431" s="849">
        <v>0.0</v>
      </c>
      <c r="Q431" s="849">
        <v>0.0</v>
      </c>
      <c r="R431" s="849">
        <v>0.0</v>
      </c>
      <c r="S431" s="849">
        <v>0.0</v>
      </c>
      <c r="T431" s="849">
        <v>0.0</v>
      </c>
      <c r="U431" s="849">
        <v>0.0</v>
      </c>
      <c r="V431" s="849">
        <v>0.0</v>
      </c>
      <c r="W431" s="849">
        <v>0.0</v>
      </c>
      <c r="X431" s="849">
        <v>0.0</v>
      </c>
      <c r="Y431" s="849">
        <v>0.0</v>
      </c>
      <c r="Z431" s="849">
        <v>0.0</v>
      </c>
      <c r="AA431" s="849">
        <v>0.0</v>
      </c>
      <c r="AB431" s="849">
        <v>0.0</v>
      </c>
      <c r="AC431" s="849">
        <v>0.0</v>
      </c>
      <c r="AD431" s="849">
        <v>0.0</v>
      </c>
      <c r="AE431" s="849">
        <v>0.0</v>
      </c>
      <c r="AF431" s="849">
        <v>0.0</v>
      </c>
      <c r="AG431" s="849">
        <v>0.0</v>
      </c>
      <c r="AH431" s="849">
        <v>0.0</v>
      </c>
      <c r="AI431" s="849">
        <v>0.0</v>
      </c>
      <c r="AJ431" s="794" t="str">
        <f t="shared" ref="AJ431:AK431" si="859">C431</f>
        <v>G30048</v>
      </c>
      <c r="AK431" s="794" t="str">
        <f t="shared" si="859"/>
        <v>AVANCE LUC POIRIER</v>
      </c>
      <c r="AL431" s="794">
        <f t="array" ref="AL431">IFERROR(INDEX(G431:R431,1,MATCH(Parametres!$B$3,G$1:R$1,0)-1)*IF(OR(F431="L",F431="S",F431="I"),-1,1),"")</f>
        <v>0</v>
      </c>
      <c r="AM431" s="794">
        <f t="shared" si="4"/>
        <v>0</v>
      </c>
      <c r="AN431" s="794">
        <f t="array" ref="AN431">INDEX(G431:R431,1,MATCH(Parametres!$B$3,G$1:R$1,0))*IF(OR(F431="L",F431="S",F431="I"),-1,1)</f>
        <v>0</v>
      </c>
      <c r="AO431" s="853" t="str">
        <f>+VLOOKUP($AJ431,Data_Validation!$A:$D,1,0)</f>
        <v>G30048</v>
      </c>
      <c r="AP431" s="853" t="str">
        <f>+VLOOKUP($AJ431,Data_Validation!$A:$D,3,0)</f>
        <v/>
      </c>
      <c r="AQ431" s="853" t="str">
        <f>+VLOOKUP($AJ431,Data_Validation!$A:$D,4,0)</f>
        <v/>
      </c>
      <c r="AR431" s="853" t="s">
        <v>728</v>
      </c>
      <c r="AS431" s="853" t="str">
        <f>+VLOOKUP($AJ431,Data_Validation!$A:$E,5,0)</f>
        <v/>
      </c>
      <c r="AT431" s="794" t="str">
        <f t="shared" ref="AT431:AU431" si="860">C431</f>
        <v>G30048</v>
      </c>
      <c r="AU431" s="854" t="str">
        <f t="shared" si="860"/>
        <v>AVANCE LUC POIRIER</v>
      </c>
      <c r="AV431" s="794">
        <f t="array" ref="AV431">IFERROR(INDEX(V431:AG431,1,MATCH(Parametres!$B$3,V$1:AG$1,0)-1)*IF(OR(C431="L",C431="S",C431="I"),-1,1),"")</f>
        <v>0</v>
      </c>
      <c r="AW431" s="794">
        <f t="shared" si="6"/>
        <v>0</v>
      </c>
      <c r="AX431" s="794">
        <f t="array" ref="AX431">INDEX(V431:AG431,1,MATCH(Parametres!$B$3,V$1:AG$1,0))*IF(OR(C431="L",C431="S",C431="I"),-1,1)</f>
        <v>0</v>
      </c>
      <c r="AY431" s="853" t="s">
        <v>772</v>
      </c>
      <c r="AZ431" s="853" t="str">
        <f>+VLOOKUP($AJ431,Data_Validation!$A:$E,5,0)</f>
        <v/>
      </c>
    </row>
    <row r="432" ht="15.75" customHeight="1">
      <c r="A432" s="849" t="s">
        <v>1239</v>
      </c>
      <c r="B432" s="849">
        <v>2025.0</v>
      </c>
      <c r="C432" s="849" t="s">
        <v>2238</v>
      </c>
      <c r="D432" s="849" t="s">
        <v>2239</v>
      </c>
      <c r="E432" s="849" t="s">
        <v>768</v>
      </c>
      <c r="F432" s="849" t="s">
        <v>2057</v>
      </c>
      <c r="G432" s="849">
        <v>335513.12</v>
      </c>
      <c r="H432" s="849">
        <v>354375.58</v>
      </c>
      <c r="I432" s="849">
        <v>317194.22</v>
      </c>
      <c r="J432" s="849">
        <v>329955.66</v>
      </c>
      <c r="K432" s="849">
        <v>440507.43</v>
      </c>
      <c r="L432" s="849">
        <v>252038.78</v>
      </c>
      <c r="M432" s="849">
        <v>-75.0</v>
      </c>
      <c r="N432" s="849">
        <v>-1150.0</v>
      </c>
      <c r="O432" s="849">
        <v>0.0</v>
      </c>
      <c r="P432" s="849">
        <v>0.0</v>
      </c>
      <c r="Q432" s="849">
        <v>0.0</v>
      </c>
      <c r="R432" s="849">
        <v>0.0</v>
      </c>
      <c r="S432" s="849">
        <v>0.0</v>
      </c>
      <c r="T432" s="849">
        <v>0.0</v>
      </c>
      <c r="U432" s="849">
        <v>0.0</v>
      </c>
      <c r="V432" s="849">
        <v>0.0</v>
      </c>
      <c r="W432" s="849">
        <v>0.0</v>
      </c>
      <c r="X432" s="849">
        <v>0.0</v>
      </c>
      <c r="Y432" s="849">
        <v>0.0</v>
      </c>
      <c r="Z432" s="849">
        <v>0.0</v>
      </c>
      <c r="AA432" s="849">
        <v>0.0</v>
      </c>
      <c r="AB432" s="849">
        <v>0.0</v>
      </c>
      <c r="AC432" s="849">
        <v>0.0</v>
      </c>
      <c r="AD432" s="849">
        <v>0.0</v>
      </c>
      <c r="AE432" s="849">
        <v>0.0</v>
      </c>
      <c r="AF432" s="849">
        <v>0.0</v>
      </c>
      <c r="AG432" s="849">
        <v>0.0</v>
      </c>
      <c r="AH432" s="849">
        <v>0.0</v>
      </c>
      <c r="AI432" s="849">
        <v>0.0</v>
      </c>
      <c r="AJ432" s="794" t="str">
        <f t="shared" ref="AJ432:AK432" si="861">C432</f>
        <v>G30050</v>
      </c>
      <c r="AK432" s="794" t="str">
        <f t="shared" si="861"/>
        <v>REVENUS DIFFERES</v>
      </c>
      <c r="AL432" s="794">
        <f t="array" ref="AL432">IFERROR(INDEX(G432:R432,1,MATCH(Parametres!$B$3,G$1:R$1,0)-1)*IF(OR(F432="L",F432="S",F432="I"),-1,1),"")</f>
        <v>1150</v>
      </c>
      <c r="AM432" s="794">
        <f t="shared" si="4"/>
        <v>-1150</v>
      </c>
      <c r="AN432" s="794">
        <f t="array" ref="AN432">INDEX(G432:R432,1,MATCH(Parametres!$B$3,G$1:R$1,0))*IF(OR(F432="L",F432="S",F432="I"),-1,1)</f>
        <v>0</v>
      </c>
      <c r="AO432" s="853" t="str">
        <f>+VLOOKUP($AJ432,Data_Validation!$A:$D,1,0)</f>
        <v>G30050</v>
      </c>
      <c r="AP432" s="853" t="str">
        <f>+VLOOKUP($AJ432,Data_Validation!$A:$D,3,0)</f>
        <v>Bilan</v>
      </c>
      <c r="AQ432" s="853" t="str">
        <f>+VLOOKUP($AJ432,Data_Validation!$A:$D,4,0)</f>
        <v>Autres Courus</v>
      </c>
      <c r="AR432" s="853" t="s">
        <v>728</v>
      </c>
      <c r="AS432" s="853" t="str">
        <f>+VLOOKUP($AJ432,Data_Validation!$A:$E,5,0)</f>
        <v/>
      </c>
      <c r="AT432" s="794" t="str">
        <f t="shared" ref="AT432:AU432" si="862">C432</f>
        <v>G30050</v>
      </c>
      <c r="AU432" s="854" t="str">
        <f t="shared" si="862"/>
        <v>REVENUS DIFFERES</v>
      </c>
      <c r="AV432" s="794">
        <f t="array" ref="AV432">IFERROR(INDEX(V432:AG432,1,MATCH(Parametres!$B$3,V$1:AG$1,0)-1)*IF(OR(C432="L",C432="S",C432="I"),-1,1),"")</f>
        <v>0</v>
      </c>
      <c r="AW432" s="794">
        <f t="shared" si="6"/>
        <v>0</v>
      </c>
      <c r="AX432" s="794">
        <f t="array" ref="AX432">INDEX(V432:AG432,1,MATCH(Parametres!$B$3,V$1:AG$1,0))*IF(OR(C432="L",C432="S",C432="I"),-1,1)</f>
        <v>0</v>
      </c>
      <c r="AY432" s="853" t="s">
        <v>772</v>
      </c>
      <c r="AZ432" s="853" t="str">
        <f>+VLOOKUP($AJ432,Data_Validation!$A:$E,5,0)</f>
        <v/>
      </c>
    </row>
    <row r="433" ht="15.75" customHeight="1">
      <c r="A433" s="849" t="s">
        <v>1239</v>
      </c>
      <c r="B433" s="849">
        <v>2025.0</v>
      </c>
      <c r="C433" s="849" t="s">
        <v>2240</v>
      </c>
      <c r="D433" s="849" t="s">
        <v>2241</v>
      </c>
      <c r="E433" s="849" t="s">
        <v>2115</v>
      </c>
      <c r="F433" s="849" t="s">
        <v>2057</v>
      </c>
      <c r="G433" s="849">
        <v>0.0</v>
      </c>
      <c r="H433" s="849">
        <v>0.0</v>
      </c>
      <c r="I433" s="849">
        <v>0.0</v>
      </c>
      <c r="J433" s="849">
        <v>0.0</v>
      </c>
      <c r="K433" s="849">
        <v>0.0</v>
      </c>
      <c r="L433" s="849">
        <v>0.0</v>
      </c>
      <c r="M433" s="849">
        <v>238443.54</v>
      </c>
      <c r="N433" s="849">
        <v>253226.07</v>
      </c>
      <c r="O433" s="849">
        <v>304580.38</v>
      </c>
      <c r="P433" s="849">
        <v>171441.96</v>
      </c>
      <c r="Q433" s="849">
        <v>189061.89</v>
      </c>
      <c r="R433" s="849">
        <v>249288.52</v>
      </c>
      <c r="S433" s="849">
        <v>0.0</v>
      </c>
      <c r="T433" s="849">
        <v>0.0</v>
      </c>
      <c r="U433" s="849">
        <v>0.0</v>
      </c>
      <c r="V433" s="849">
        <v>0.0</v>
      </c>
      <c r="W433" s="849">
        <v>0.0</v>
      </c>
      <c r="X433" s="849">
        <v>0.0</v>
      </c>
      <c r="Y433" s="849">
        <v>0.0</v>
      </c>
      <c r="Z433" s="849">
        <v>0.0</v>
      </c>
      <c r="AA433" s="849">
        <v>0.0</v>
      </c>
      <c r="AB433" s="849">
        <v>0.0</v>
      </c>
      <c r="AC433" s="849">
        <v>0.0</v>
      </c>
      <c r="AD433" s="849">
        <v>0.0</v>
      </c>
      <c r="AE433" s="849">
        <v>0.0</v>
      </c>
      <c r="AF433" s="849">
        <v>0.0</v>
      </c>
      <c r="AG433" s="849">
        <v>0.0</v>
      </c>
      <c r="AH433" s="849">
        <v>0.0</v>
      </c>
      <c r="AI433" s="849">
        <v>0.0</v>
      </c>
      <c r="AJ433" s="794" t="str">
        <f t="shared" ref="AJ433:AK433" si="863">C433</f>
        <v>G30051</v>
      </c>
      <c r="AK433" s="794" t="str">
        <f t="shared" si="863"/>
        <v>REVENUS DIFFERÉS II</v>
      </c>
      <c r="AL433" s="794">
        <f t="array" ref="AL433">IFERROR(INDEX(G433:R433,1,MATCH(Parametres!$B$3,G$1:R$1,0)-1)*IF(OR(F433="L",F433="S",F433="I"),-1,1),"")</f>
        <v>-253226.07</v>
      </c>
      <c r="AM433" s="794">
        <f t="shared" si="4"/>
        <v>-51354.31</v>
      </c>
      <c r="AN433" s="794">
        <f t="array" ref="AN433">INDEX(G433:R433,1,MATCH(Parametres!$B$3,G$1:R$1,0))*IF(OR(F433="L",F433="S",F433="I"),-1,1)</f>
        <v>-304580.38</v>
      </c>
      <c r="AO433" s="853" t="str">
        <f>+VLOOKUP($AJ433,Data_Validation!$A:$D,1,0)</f>
        <v>G30051</v>
      </c>
      <c r="AP433" s="853" t="str">
        <f>+VLOOKUP($AJ433,Data_Validation!$A:$D,3,0)</f>
        <v>Bilan</v>
      </c>
      <c r="AQ433" s="853" t="str">
        <f>+VLOOKUP($AJ433,Data_Validation!$A:$D,4,0)</f>
        <v>Autres Courus</v>
      </c>
      <c r="AR433" s="853" t="s">
        <v>728</v>
      </c>
      <c r="AS433" s="853" t="str">
        <f>+VLOOKUP($AJ433,Data_Validation!$A:$E,5,0)</f>
        <v/>
      </c>
      <c r="AT433" s="794" t="str">
        <f t="shared" ref="AT433:AU433" si="864">C433</f>
        <v>G30051</v>
      </c>
      <c r="AU433" s="854" t="str">
        <f t="shared" si="864"/>
        <v>REVENUS DIFFERÉS II</v>
      </c>
      <c r="AV433" s="794">
        <f t="array" ref="AV433">IFERROR(INDEX(V433:AG433,1,MATCH(Parametres!$B$3,V$1:AG$1,0)-1)*IF(OR(C433="L",C433="S",C433="I"),-1,1),"")</f>
        <v>0</v>
      </c>
      <c r="AW433" s="794">
        <f t="shared" si="6"/>
        <v>0</v>
      </c>
      <c r="AX433" s="794">
        <f t="array" ref="AX433">INDEX(V433:AG433,1,MATCH(Parametres!$B$3,V$1:AG$1,0))*IF(OR(C433="L",C433="S",C433="I"),-1,1)</f>
        <v>0</v>
      </c>
      <c r="AY433" s="853" t="s">
        <v>772</v>
      </c>
      <c r="AZ433" s="853" t="str">
        <f>+VLOOKUP($AJ433,Data_Validation!$A:$E,5,0)</f>
        <v/>
      </c>
    </row>
    <row r="434" ht="15.75" customHeight="1">
      <c r="A434" s="849" t="s">
        <v>1239</v>
      </c>
      <c r="B434" s="849">
        <v>2025.0</v>
      </c>
      <c r="C434" s="849" t="s">
        <v>2242</v>
      </c>
      <c r="D434" s="849" t="s">
        <v>2243</v>
      </c>
      <c r="E434" s="849" t="s">
        <v>768</v>
      </c>
      <c r="F434" s="849" t="s">
        <v>2057</v>
      </c>
      <c r="G434" s="849">
        <v>-278892.55</v>
      </c>
      <c r="H434" s="849">
        <v>-120232.55</v>
      </c>
      <c r="I434" s="849">
        <v>-206513.85</v>
      </c>
      <c r="J434" s="849">
        <v>256166.31</v>
      </c>
      <c r="K434" s="849">
        <v>353738.07</v>
      </c>
      <c r="L434" s="849">
        <v>964922.65</v>
      </c>
      <c r="M434" s="849">
        <v>664667.86</v>
      </c>
      <c r="N434" s="849">
        <v>452884.42</v>
      </c>
      <c r="O434" s="849">
        <v>310602.72</v>
      </c>
      <c r="P434" s="849">
        <v>169793.75</v>
      </c>
      <c r="Q434" s="849">
        <v>195301.33</v>
      </c>
      <c r="R434" s="849">
        <v>74757.43</v>
      </c>
      <c r="S434" s="849">
        <v>0.0</v>
      </c>
      <c r="T434" s="849">
        <v>0.0</v>
      </c>
      <c r="U434" s="849">
        <v>0.0</v>
      </c>
      <c r="V434" s="849">
        <v>0.0</v>
      </c>
      <c r="W434" s="849">
        <v>0.0</v>
      </c>
      <c r="X434" s="849">
        <v>0.0</v>
      </c>
      <c r="Y434" s="849">
        <v>0.0</v>
      </c>
      <c r="Z434" s="849">
        <v>0.0</v>
      </c>
      <c r="AA434" s="849">
        <v>0.0</v>
      </c>
      <c r="AB434" s="849">
        <v>0.0</v>
      </c>
      <c r="AC434" s="849">
        <v>0.0</v>
      </c>
      <c r="AD434" s="849">
        <v>0.0</v>
      </c>
      <c r="AE434" s="849">
        <v>0.0</v>
      </c>
      <c r="AF434" s="849">
        <v>0.0</v>
      </c>
      <c r="AG434" s="849">
        <v>0.0</v>
      </c>
      <c r="AH434" s="849">
        <v>0.0</v>
      </c>
      <c r="AI434" s="849">
        <v>0.0</v>
      </c>
      <c r="AJ434" s="794" t="str">
        <f t="shared" ref="AJ434:AK434" si="865">C434</f>
        <v>G30055</v>
      </c>
      <c r="AK434" s="794" t="str">
        <f t="shared" si="865"/>
        <v>RESERVE US-GAMMA</v>
      </c>
      <c r="AL434" s="794">
        <f t="array" ref="AL434">IFERROR(INDEX(G434:R434,1,MATCH(Parametres!$B$3,G$1:R$1,0)-1)*IF(OR(F434="L",F434="S",F434="I"),-1,1),"")</f>
        <v>-452884.42</v>
      </c>
      <c r="AM434" s="794">
        <f t="shared" si="4"/>
        <v>142281.7</v>
      </c>
      <c r="AN434" s="794">
        <f t="array" ref="AN434">INDEX(G434:R434,1,MATCH(Parametres!$B$3,G$1:R$1,0))*IF(OR(F434="L",F434="S",F434="I"),-1,1)</f>
        <v>-310602.72</v>
      </c>
      <c r="AO434" s="853" t="str">
        <f>+VLOOKUP($AJ434,Data_Validation!$A:$D,1,0)</f>
        <v>G30055</v>
      </c>
      <c r="AP434" s="853" t="str">
        <f>+VLOOKUP($AJ434,Data_Validation!$A:$D,3,0)</f>
        <v>Bilan</v>
      </c>
      <c r="AQ434" s="853" t="str">
        <f>+VLOOKUP($AJ434,Data_Validation!$A:$D,4,0)</f>
        <v>Autres Courus</v>
      </c>
      <c r="AR434" s="853" t="s">
        <v>728</v>
      </c>
      <c r="AS434" s="853" t="str">
        <f>+VLOOKUP($AJ434,Data_Validation!$A:$E,5,0)</f>
        <v/>
      </c>
      <c r="AT434" s="794" t="str">
        <f t="shared" ref="AT434:AU434" si="866">C434</f>
        <v>G30055</v>
      </c>
      <c r="AU434" s="854" t="str">
        <f t="shared" si="866"/>
        <v>RESERVE US-GAMMA</v>
      </c>
      <c r="AV434" s="794">
        <f t="array" ref="AV434">IFERROR(INDEX(V434:AG434,1,MATCH(Parametres!$B$3,V$1:AG$1,0)-1)*IF(OR(C434="L",C434="S",C434="I"),-1,1),"")</f>
        <v>0</v>
      </c>
      <c r="AW434" s="794">
        <f t="shared" si="6"/>
        <v>0</v>
      </c>
      <c r="AX434" s="794">
        <f t="array" ref="AX434">INDEX(V434:AG434,1,MATCH(Parametres!$B$3,V$1:AG$1,0))*IF(OR(C434="L",C434="S",C434="I"),-1,1)</f>
        <v>0</v>
      </c>
      <c r="AY434" s="853" t="s">
        <v>772</v>
      </c>
      <c r="AZ434" s="853" t="str">
        <f>+VLOOKUP($AJ434,Data_Validation!$A:$E,5,0)</f>
        <v/>
      </c>
    </row>
    <row r="435" ht="15.75" customHeight="1">
      <c r="A435" s="849" t="s">
        <v>1239</v>
      </c>
      <c r="B435" s="849">
        <v>2025.0</v>
      </c>
      <c r="C435" s="849" t="s">
        <v>2244</v>
      </c>
      <c r="D435" s="849" t="s">
        <v>2245</v>
      </c>
      <c r="E435" s="849" t="s">
        <v>768</v>
      </c>
      <c r="F435" s="849" t="s">
        <v>2057</v>
      </c>
      <c r="G435" s="849">
        <v>0.0</v>
      </c>
      <c r="H435" s="849">
        <v>0.0</v>
      </c>
      <c r="I435" s="849">
        <v>0.0</v>
      </c>
      <c r="J435" s="849">
        <v>0.0</v>
      </c>
      <c r="K435" s="849">
        <v>0.0</v>
      </c>
      <c r="L435" s="849">
        <v>0.0</v>
      </c>
      <c r="M435" s="849">
        <v>0.0</v>
      </c>
      <c r="N435" s="849">
        <v>0.0</v>
      </c>
      <c r="O435" s="849">
        <v>0.0</v>
      </c>
      <c r="P435" s="849">
        <v>0.0</v>
      </c>
      <c r="Q435" s="849">
        <v>0.0</v>
      </c>
      <c r="R435" s="849">
        <v>2000000.0</v>
      </c>
      <c r="S435" s="849">
        <v>0.0</v>
      </c>
      <c r="T435" s="849">
        <v>0.0</v>
      </c>
      <c r="U435" s="849">
        <v>0.0</v>
      </c>
      <c r="V435" s="849">
        <v>0.0</v>
      </c>
      <c r="W435" s="849">
        <v>0.0</v>
      </c>
      <c r="X435" s="849">
        <v>0.0</v>
      </c>
      <c r="Y435" s="849">
        <v>0.0</v>
      </c>
      <c r="Z435" s="849">
        <v>0.0</v>
      </c>
      <c r="AA435" s="849">
        <v>0.0</v>
      </c>
      <c r="AB435" s="849">
        <v>0.0</v>
      </c>
      <c r="AC435" s="849">
        <v>0.0</v>
      </c>
      <c r="AD435" s="849">
        <v>0.0</v>
      </c>
      <c r="AE435" s="849">
        <v>0.0</v>
      </c>
      <c r="AF435" s="849">
        <v>0.0</v>
      </c>
      <c r="AG435" s="849">
        <v>0.0</v>
      </c>
      <c r="AH435" s="849">
        <v>0.0</v>
      </c>
      <c r="AI435" s="849">
        <v>0.0</v>
      </c>
      <c r="AJ435" s="794" t="str">
        <f t="shared" ref="AJ435:AK435" si="867">C435</f>
        <v>G30070</v>
      </c>
      <c r="AK435" s="794" t="str">
        <f t="shared" si="867"/>
        <v>AVANCES HAWKSBERY CHEV</v>
      </c>
      <c r="AL435" s="794">
        <f t="array" ref="AL435">IFERROR(INDEX(G435:R435,1,MATCH(Parametres!$B$3,G$1:R$1,0)-1)*IF(OR(F435="L",F435="S",F435="I"),-1,1),"")</f>
        <v>0</v>
      </c>
      <c r="AM435" s="794">
        <f t="shared" si="4"/>
        <v>0</v>
      </c>
      <c r="AN435" s="794">
        <f t="array" ref="AN435">INDEX(G435:R435,1,MATCH(Parametres!$B$3,G$1:R$1,0))*IF(OR(F435="L",F435="S",F435="I"),-1,1)</f>
        <v>0</v>
      </c>
      <c r="AO435" s="853" t="str">
        <f>+VLOOKUP($AJ435,Data_Validation!$A:$D,1,0)</f>
        <v>G30070</v>
      </c>
      <c r="AP435" s="853" t="str">
        <f>+VLOOKUP($AJ435,Data_Validation!$A:$D,3,0)</f>
        <v>Bilan</v>
      </c>
      <c r="AQ435" s="853" t="str">
        <f>+VLOOKUP($AJ435,Data_Validation!$A:$D,4,0)</f>
        <v>Payables Intercos</v>
      </c>
      <c r="AR435" s="853" t="s">
        <v>728</v>
      </c>
      <c r="AS435" s="853" t="str">
        <f>+VLOOKUP($AJ435,Data_Validation!$A:$E,5,0)</f>
        <v/>
      </c>
      <c r="AT435" s="794" t="str">
        <f t="shared" ref="AT435:AU435" si="868">C435</f>
        <v>G30070</v>
      </c>
      <c r="AU435" s="854" t="str">
        <f t="shared" si="868"/>
        <v>AVANCES HAWKSBERY CHEV</v>
      </c>
      <c r="AV435" s="794">
        <f t="array" ref="AV435">IFERROR(INDEX(V435:AG435,1,MATCH(Parametres!$B$3,V$1:AG$1,0)-1)*IF(OR(C435="L",C435="S",C435="I"),-1,1),"")</f>
        <v>0</v>
      </c>
      <c r="AW435" s="794">
        <f t="shared" si="6"/>
        <v>0</v>
      </c>
      <c r="AX435" s="794">
        <f t="array" ref="AX435">INDEX(V435:AG435,1,MATCH(Parametres!$B$3,V$1:AG$1,0))*IF(OR(C435="L",C435="S",C435="I"),-1,1)</f>
        <v>0</v>
      </c>
      <c r="AY435" s="853" t="s">
        <v>772</v>
      </c>
      <c r="AZ435" s="853" t="str">
        <f>+VLOOKUP($AJ435,Data_Validation!$A:$E,5,0)</f>
        <v/>
      </c>
    </row>
    <row r="436" ht="15.75" customHeight="1">
      <c r="A436" s="849" t="s">
        <v>1239</v>
      </c>
      <c r="B436" s="849">
        <v>2025.0</v>
      </c>
      <c r="C436" s="849" t="s">
        <v>2246</v>
      </c>
      <c r="D436" s="849" t="s">
        <v>2247</v>
      </c>
      <c r="E436" s="849" t="s">
        <v>1951</v>
      </c>
      <c r="F436" s="849" t="s">
        <v>2057</v>
      </c>
      <c r="G436" s="849">
        <v>0.0</v>
      </c>
      <c r="H436" s="849">
        <v>0.0</v>
      </c>
      <c r="I436" s="849">
        <v>0.0</v>
      </c>
      <c r="J436" s="849">
        <v>0.0</v>
      </c>
      <c r="K436" s="849">
        <v>0.0</v>
      </c>
      <c r="L436" s="849">
        <v>100000.0</v>
      </c>
      <c r="M436" s="849">
        <v>1.499078234E7</v>
      </c>
      <c r="N436" s="849">
        <v>1.499078234E7</v>
      </c>
      <c r="O436" s="849">
        <v>1.264078234E7</v>
      </c>
      <c r="P436" s="849">
        <v>7640782.34</v>
      </c>
      <c r="Q436" s="849">
        <v>6980888.77</v>
      </c>
      <c r="R436" s="849">
        <v>-2766687.77</v>
      </c>
      <c r="S436" s="849">
        <v>0.0</v>
      </c>
      <c r="T436" s="849">
        <v>0.0</v>
      </c>
      <c r="U436" s="849">
        <v>0.0</v>
      </c>
      <c r="V436" s="849">
        <v>0.0</v>
      </c>
      <c r="W436" s="849">
        <v>0.0</v>
      </c>
      <c r="X436" s="849">
        <v>0.0</v>
      </c>
      <c r="Y436" s="849">
        <v>0.0</v>
      </c>
      <c r="Z436" s="849">
        <v>0.0</v>
      </c>
      <c r="AA436" s="849">
        <v>0.0</v>
      </c>
      <c r="AB436" s="849">
        <v>0.0</v>
      </c>
      <c r="AC436" s="849">
        <v>0.0</v>
      </c>
      <c r="AD436" s="849">
        <v>0.0</v>
      </c>
      <c r="AE436" s="849">
        <v>0.0</v>
      </c>
      <c r="AF436" s="849">
        <v>0.0</v>
      </c>
      <c r="AG436" s="849">
        <v>0.0</v>
      </c>
      <c r="AH436" s="849">
        <v>0.0</v>
      </c>
      <c r="AI436" s="849">
        <v>0.0</v>
      </c>
      <c r="AJ436" s="794" t="str">
        <f t="shared" ref="AJ436:AK436" si="869">C436</f>
        <v>G30080</v>
      </c>
      <c r="AK436" s="794" t="str">
        <f t="shared" si="869"/>
        <v>AVANCES 13721515 CANADA I</v>
      </c>
      <c r="AL436" s="794">
        <f t="array" ref="AL436">IFERROR(INDEX(G436:R436,1,MATCH(Parametres!$B$3,G$1:R$1,0)-1)*IF(OR(F436="L",F436="S",F436="I"),-1,1),"")</f>
        <v>-14990782.34</v>
      </c>
      <c r="AM436" s="794">
        <f t="shared" si="4"/>
        <v>2350000</v>
      </c>
      <c r="AN436" s="794">
        <f t="array" ref="AN436">INDEX(G436:R436,1,MATCH(Parametres!$B$3,G$1:R$1,0))*IF(OR(F436="L",F436="S",F436="I"),-1,1)</f>
        <v>-12640782.34</v>
      </c>
      <c r="AO436" s="853" t="str">
        <f>+VLOOKUP($AJ436,Data_Validation!$A:$D,1,0)</f>
        <v>G30080</v>
      </c>
      <c r="AP436" s="853" t="str">
        <f>+VLOOKUP($AJ436,Data_Validation!$A:$D,3,0)</f>
        <v>Bilan</v>
      </c>
      <c r="AQ436" s="853" t="str">
        <f>+VLOOKUP($AJ436,Data_Validation!$A:$D,4,0)</f>
        <v>Payables Intercos</v>
      </c>
      <c r="AR436" s="853" t="s">
        <v>728</v>
      </c>
      <c r="AS436" s="853" t="str">
        <f>+VLOOKUP($AJ436,Data_Validation!$A:$E,5,0)</f>
        <v/>
      </c>
      <c r="AT436" s="794" t="str">
        <f t="shared" ref="AT436:AU436" si="870">C436</f>
        <v>G30080</v>
      </c>
      <c r="AU436" s="854" t="str">
        <f t="shared" si="870"/>
        <v>AVANCES 13721515 CANADA I</v>
      </c>
      <c r="AV436" s="794">
        <f t="array" ref="AV436">IFERROR(INDEX(V436:AG436,1,MATCH(Parametres!$B$3,V$1:AG$1,0)-1)*IF(OR(C436="L",C436="S",C436="I"),-1,1),"")</f>
        <v>0</v>
      </c>
      <c r="AW436" s="794">
        <f t="shared" si="6"/>
        <v>0</v>
      </c>
      <c r="AX436" s="794">
        <f t="array" ref="AX436">INDEX(V436:AG436,1,MATCH(Parametres!$B$3,V$1:AG$1,0))*IF(OR(C436="L",C436="S",C436="I"),-1,1)</f>
        <v>0</v>
      </c>
      <c r="AY436" s="853" t="s">
        <v>772</v>
      </c>
      <c r="AZ436" s="853" t="str">
        <f>+VLOOKUP($AJ436,Data_Validation!$A:$E,5,0)</f>
        <v/>
      </c>
    </row>
    <row r="437" ht="15.75" customHeight="1">
      <c r="A437" s="849" t="s">
        <v>1239</v>
      </c>
      <c r="B437" s="849">
        <v>2025.0</v>
      </c>
      <c r="C437" s="849" t="s">
        <v>2248</v>
      </c>
      <c r="D437" s="849" t="s">
        <v>2249</v>
      </c>
      <c r="E437" s="849" t="s">
        <v>768</v>
      </c>
      <c r="F437" s="849" t="s">
        <v>2057</v>
      </c>
      <c r="G437" s="849">
        <v>0.0</v>
      </c>
      <c r="H437" s="849">
        <v>0.0</v>
      </c>
      <c r="I437" s="849">
        <v>0.0</v>
      </c>
      <c r="J437" s="849">
        <v>0.0</v>
      </c>
      <c r="K437" s="849">
        <v>0.0</v>
      </c>
      <c r="L437" s="849">
        <v>181687.0</v>
      </c>
      <c r="M437" s="849">
        <v>181687.0</v>
      </c>
      <c r="N437" s="849">
        <v>181687.0</v>
      </c>
      <c r="O437" s="849">
        <v>181687.0</v>
      </c>
      <c r="P437" s="849">
        <v>181477.75</v>
      </c>
      <c r="Q437" s="849">
        <v>181477.75</v>
      </c>
      <c r="R437" s="849">
        <v>181477.75</v>
      </c>
      <c r="S437" s="849">
        <v>0.0</v>
      </c>
      <c r="T437" s="849">
        <v>0.0</v>
      </c>
      <c r="U437" s="849">
        <v>0.0</v>
      </c>
      <c r="V437" s="849">
        <v>0.0</v>
      </c>
      <c r="W437" s="849">
        <v>0.0</v>
      </c>
      <c r="X437" s="849">
        <v>0.0</v>
      </c>
      <c r="Y437" s="849">
        <v>0.0</v>
      </c>
      <c r="Z437" s="849">
        <v>0.0</v>
      </c>
      <c r="AA437" s="849">
        <v>0.0</v>
      </c>
      <c r="AB437" s="849">
        <v>0.0</v>
      </c>
      <c r="AC437" s="849">
        <v>0.0</v>
      </c>
      <c r="AD437" s="849">
        <v>0.0</v>
      </c>
      <c r="AE437" s="849">
        <v>0.0</v>
      </c>
      <c r="AF437" s="849">
        <v>0.0</v>
      </c>
      <c r="AG437" s="849">
        <v>0.0</v>
      </c>
      <c r="AH437" s="849">
        <v>0.0</v>
      </c>
      <c r="AI437" s="849">
        <v>0.0</v>
      </c>
      <c r="AJ437" s="794" t="str">
        <f t="shared" ref="AJ437:AK437" si="871">C437</f>
        <v>G30090</v>
      </c>
      <c r="AK437" s="794" t="str">
        <f t="shared" si="871"/>
        <v>AVANCES 9512-1703 QC</v>
      </c>
      <c r="AL437" s="794">
        <f t="array" ref="AL437">IFERROR(INDEX(G437:R437,1,MATCH(Parametres!$B$3,G$1:R$1,0)-1)*IF(OR(F437="L",F437="S",F437="I"),-1,1),"")</f>
        <v>-181687</v>
      </c>
      <c r="AM437" s="794">
        <f t="shared" si="4"/>
        <v>0</v>
      </c>
      <c r="AN437" s="794">
        <f t="array" ref="AN437">INDEX(G437:R437,1,MATCH(Parametres!$B$3,G$1:R$1,0))*IF(OR(F437="L",F437="S",F437="I"),-1,1)</f>
        <v>-181687</v>
      </c>
      <c r="AO437" s="853" t="str">
        <f>+VLOOKUP($AJ437,Data_Validation!$A:$D,1,0)</f>
        <v>G30090</v>
      </c>
      <c r="AP437" s="853" t="str">
        <f>+VLOOKUP($AJ437,Data_Validation!$A:$D,3,0)</f>
        <v>Bilan</v>
      </c>
      <c r="AQ437" s="853" t="str">
        <f>+VLOOKUP($AJ437,Data_Validation!$A:$D,4,0)</f>
        <v>Payables Intercos</v>
      </c>
      <c r="AR437" s="853" t="s">
        <v>728</v>
      </c>
      <c r="AS437" s="853" t="str">
        <f>+VLOOKUP($AJ437,Data_Validation!$A:$E,5,0)</f>
        <v/>
      </c>
      <c r="AT437" s="794" t="str">
        <f t="shared" ref="AT437:AU437" si="872">C437</f>
        <v>G30090</v>
      </c>
      <c r="AU437" s="854" t="str">
        <f t="shared" si="872"/>
        <v>AVANCES 9512-1703 QC</v>
      </c>
      <c r="AV437" s="794">
        <f t="array" ref="AV437">IFERROR(INDEX(V437:AG437,1,MATCH(Parametres!$B$3,V$1:AG$1,0)-1)*IF(OR(C437="L",C437="S",C437="I"),-1,1),"")</f>
        <v>0</v>
      </c>
      <c r="AW437" s="794">
        <f t="shared" si="6"/>
        <v>0</v>
      </c>
      <c r="AX437" s="794">
        <f t="array" ref="AX437">INDEX(V437:AG437,1,MATCH(Parametres!$B$3,V$1:AG$1,0))*IF(OR(C437="L",C437="S",C437="I"),-1,1)</f>
        <v>0</v>
      </c>
      <c r="AY437" s="853" t="s">
        <v>772</v>
      </c>
      <c r="AZ437" s="853" t="str">
        <f>+VLOOKUP($AJ437,Data_Validation!$A:$E,5,0)</f>
        <v/>
      </c>
    </row>
    <row r="438" ht="15.75" customHeight="1">
      <c r="A438" s="849" t="s">
        <v>1239</v>
      </c>
      <c r="B438" s="849">
        <v>2025.0</v>
      </c>
      <c r="C438" s="849" t="s">
        <v>2252</v>
      </c>
      <c r="D438" s="849" t="s">
        <v>2253</v>
      </c>
      <c r="E438" s="849" t="s">
        <v>1951</v>
      </c>
      <c r="F438" s="849" t="s">
        <v>2057</v>
      </c>
      <c r="G438" s="849">
        <v>0.0</v>
      </c>
      <c r="H438" s="849">
        <v>0.0</v>
      </c>
      <c r="I438" s="849">
        <v>0.0</v>
      </c>
      <c r="J438" s="849">
        <v>0.0</v>
      </c>
      <c r="K438" s="849">
        <v>0.0</v>
      </c>
      <c r="L438" s="849">
        <v>0.0</v>
      </c>
      <c r="M438" s="849">
        <v>0.0</v>
      </c>
      <c r="N438" s="849">
        <v>0.0</v>
      </c>
      <c r="O438" s="849">
        <v>0.0</v>
      </c>
      <c r="P438" s="849">
        <v>0.0</v>
      </c>
      <c r="Q438" s="849">
        <v>0.0</v>
      </c>
      <c r="R438" s="849">
        <v>0.0</v>
      </c>
      <c r="S438" s="849">
        <v>0.0</v>
      </c>
      <c r="T438" s="849">
        <v>0.0</v>
      </c>
      <c r="U438" s="849">
        <v>0.0</v>
      </c>
      <c r="V438" s="849">
        <v>0.0</v>
      </c>
      <c r="W438" s="849">
        <v>0.0</v>
      </c>
      <c r="X438" s="849">
        <v>0.0</v>
      </c>
      <c r="Y438" s="849">
        <v>0.0</v>
      </c>
      <c r="Z438" s="849">
        <v>0.0</v>
      </c>
      <c r="AA438" s="849">
        <v>0.0</v>
      </c>
      <c r="AB438" s="849">
        <v>0.0</v>
      </c>
      <c r="AC438" s="849">
        <v>0.0</v>
      </c>
      <c r="AD438" s="849">
        <v>0.0</v>
      </c>
      <c r="AE438" s="849">
        <v>0.0</v>
      </c>
      <c r="AF438" s="849">
        <v>0.0</v>
      </c>
      <c r="AG438" s="849">
        <v>0.0</v>
      </c>
      <c r="AH438" s="849">
        <v>0.0</v>
      </c>
      <c r="AI438" s="849">
        <v>0.0</v>
      </c>
      <c r="AJ438" s="794" t="str">
        <f t="shared" ref="AJ438:AK438" si="873">C438</f>
        <v>G30100</v>
      </c>
      <c r="AK438" s="794" t="str">
        <f t="shared" si="873"/>
        <v>DEPOT CLIENTS</v>
      </c>
      <c r="AL438" s="794">
        <f t="array" ref="AL438">IFERROR(INDEX(G438:R438,1,MATCH(Parametres!$B$3,G$1:R$1,0)-1)*IF(OR(F438="L",F438="S",F438="I"),-1,1),"")</f>
        <v>0</v>
      </c>
      <c r="AM438" s="794">
        <f t="shared" si="4"/>
        <v>0</v>
      </c>
      <c r="AN438" s="794">
        <f t="array" ref="AN438">INDEX(G438:R438,1,MATCH(Parametres!$B$3,G$1:R$1,0))*IF(OR(F438="L",F438="S",F438="I"),-1,1)</f>
        <v>0</v>
      </c>
      <c r="AO438" s="853" t="str">
        <f>+VLOOKUP($AJ438,Data_Validation!$A:$D,1,0)</f>
        <v>#N/A</v>
      </c>
      <c r="AP438" s="853" t="str">
        <f>+VLOOKUP($AJ438,Data_Validation!$A:$D,3,0)</f>
        <v>#N/A</v>
      </c>
      <c r="AQ438" s="853" t="str">
        <f>+VLOOKUP($AJ438,Data_Validation!$A:$D,4,0)</f>
        <v>#N/A</v>
      </c>
      <c r="AR438" s="853" t="s">
        <v>728</v>
      </c>
      <c r="AS438" s="853" t="str">
        <f>+VLOOKUP($AJ438,Data_Validation!$A:$E,5,0)</f>
        <v>#N/A</v>
      </c>
      <c r="AT438" s="794" t="str">
        <f t="shared" ref="AT438:AU438" si="874">C438</f>
        <v>G30100</v>
      </c>
      <c r="AU438" s="854" t="str">
        <f t="shared" si="874"/>
        <v>DEPOT CLIENTS</v>
      </c>
      <c r="AV438" s="794">
        <f t="array" ref="AV438">IFERROR(INDEX(V438:AG438,1,MATCH(Parametres!$B$3,V$1:AG$1,0)-1)*IF(OR(C438="L",C438="S",C438="I"),-1,1),"")</f>
        <v>0</v>
      </c>
      <c r="AW438" s="794">
        <f t="shared" si="6"/>
        <v>0</v>
      </c>
      <c r="AX438" s="794">
        <f t="array" ref="AX438">INDEX(V438:AG438,1,MATCH(Parametres!$B$3,V$1:AG$1,0))*IF(OR(C438="L",C438="S",C438="I"),-1,1)</f>
        <v>0</v>
      </c>
      <c r="AY438" s="853" t="s">
        <v>772</v>
      </c>
      <c r="AZ438" s="853" t="str">
        <f>+VLOOKUP($AJ438,Data_Validation!$A:$E,5,0)</f>
        <v>#N/A</v>
      </c>
    </row>
    <row r="439" ht="15.75" customHeight="1">
      <c r="A439" s="849" t="s">
        <v>1239</v>
      </c>
      <c r="B439" s="849">
        <v>2025.0</v>
      </c>
      <c r="C439" s="849" t="s">
        <v>2255</v>
      </c>
      <c r="D439" s="849" t="s">
        <v>2256</v>
      </c>
      <c r="E439" s="849" t="s">
        <v>2257</v>
      </c>
      <c r="F439" s="849" t="s">
        <v>2057</v>
      </c>
      <c r="G439" s="849">
        <v>0.0</v>
      </c>
      <c r="H439" s="849">
        <v>0.0</v>
      </c>
      <c r="I439" s="849">
        <v>0.0</v>
      </c>
      <c r="J439" s="849">
        <v>0.0</v>
      </c>
      <c r="K439" s="849">
        <v>0.0</v>
      </c>
      <c r="L439" s="849">
        <v>0.0</v>
      </c>
      <c r="M439" s="849">
        <v>0.0</v>
      </c>
      <c r="N439" s="849">
        <v>0.0</v>
      </c>
      <c r="O439" s="849">
        <v>0.0</v>
      </c>
      <c r="P439" s="849">
        <v>0.0</v>
      </c>
      <c r="Q439" s="849">
        <v>0.0</v>
      </c>
      <c r="R439" s="849">
        <v>0.0</v>
      </c>
      <c r="S439" s="849">
        <v>0.0</v>
      </c>
      <c r="T439" s="849">
        <v>0.0</v>
      </c>
      <c r="U439" s="849">
        <v>0.0</v>
      </c>
      <c r="V439" s="849">
        <v>0.0</v>
      </c>
      <c r="W439" s="849">
        <v>0.0</v>
      </c>
      <c r="X439" s="849">
        <v>0.0</v>
      </c>
      <c r="Y439" s="849">
        <v>0.0</v>
      </c>
      <c r="Z439" s="849">
        <v>0.0</v>
      </c>
      <c r="AA439" s="849">
        <v>0.0</v>
      </c>
      <c r="AB439" s="849">
        <v>0.0</v>
      </c>
      <c r="AC439" s="849">
        <v>0.0</v>
      </c>
      <c r="AD439" s="849">
        <v>0.0</v>
      </c>
      <c r="AE439" s="849">
        <v>0.0</v>
      </c>
      <c r="AF439" s="849">
        <v>0.0</v>
      </c>
      <c r="AG439" s="849">
        <v>0.0</v>
      </c>
      <c r="AH439" s="849">
        <v>0.0</v>
      </c>
      <c r="AI439" s="849">
        <v>0.0</v>
      </c>
      <c r="AJ439" s="794" t="str">
        <f t="shared" ref="AJ439:AK439" si="875">C439</f>
        <v>G30900</v>
      </c>
      <c r="AK439" s="794" t="str">
        <f t="shared" si="875"/>
        <v>EFFETS A PAYER POINDS MOY</v>
      </c>
      <c r="AL439" s="794">
        <f t="array" ref="AL439">IFERROR(INDEX(G439:R439,1,MATCH(Parametres!$B$3,G$1:R$1,0)-1)*IF(OR(F439="L",F439="S",F439="I"),-1,1),"")</f>
        <v>0</v>
      </c>
      <c r="AM439" s="794">
        <f t="shared" si="4"/>
        <v>0</v>
      </c>
      <c r="AN439" s="794">
        <f t="array" ref="AN439">INDEX(G439:R439,1,MATCH(Parametres!$B$3,G$1:R$1,0))*IF(OR(F439="L",F439="S",F439="I"),-1,1)</f>
        <v>0</v>
      </c>
      <c r="AO439" s="853" t="str">
        <f>+VLOOKUP($AJ439,Data_Validation!$A:$D,1,0)</f>
        <v>#N/A</v>
      </c>
      <c r="AP439" s="853" t="str">
        <f>+VLOOKUP($AJ439,Data_Validation!$A:$D,3,0)</f>
        <v>#N/A</v>
      </c>
      <c r="AQ439" s="853" t="str">
        <f>+VLOOKUP($AJ439,Data_Validation!$A:$D,4,0)</f>
        <v>#N/A</v>
      </c>
      <c r="AR439" s="853" t="s">
        <v>728</v>
      </c>
      <c r="AS439" s="853" t="str">
        <f>+VLOOKUP($AJ439,Data_Validation!$A:$E,5,0)</f>
        <v>#N/A</v>
      </c>
      <c r="AT439" s="794" t="str">
        <f t="shared" ref="AT439:AU439" si="876">C439</f>
        <v>G30900</v>
      </c>
      <c r="AU439" s="854" t="str">
        <f t="shared" si="876"/>
        <v>EFFETS A PAYER POINDS MOY</v>
      </c>
      <c r="AV439" s="794">
        <f t="array" ref="AV439">IFERROR(INDEX(V439:AG439,1,MATCH(Parametres!$B$3,V$1:AG$1,0)-1)*IF(OR(C439="L",C439="S",C439="I"),-1,1),"")</f>
        <v>0</v>
      </c>
      <c r="AW439" s="794">
        <f t="shared" si="6"/>
        <v>0</v>
      </c>
      <c r="AX439" s="794">
        <f t="array" ref="AX439">INDEX(V439:AG439,1,MATCH(Parametres!$B$3,V$1:AG$1,0))*IF(OR(C439="L",C439="S",C439="I"),-1,1)</f>
        <v>0</v>
      </c>
      <c r="AY439" s="853" t="s">
        <v>772</v>
      </c>
      <c r="AZ439" s="853" t="str">
        <f>+VLOOKUP($AJ439,Data_Validation!$A:$E,5,0)</f>
        <v>#N/A</v>
      </c>
    </row>
    <row r="440" ht="15.75" customHeight="1">
      <c r="A440" s="849" t="s">
        <v>1239</v>
      </c>
      <c r="B440" s="849">
        <v>2025.0</v>
      </c>
      <c r="C440" s="849" t="s">
        <v>2258</v>
      </c>
      <c r="D440" s="849" t="s">
        <v>2259</v>
      </c>
      <c r="E440" s="849" t="s">
        <v>2257</v>
      </c>
      <c r="F440" s="849" t="s">
        <v>2057</v>
      </c>
      <c r="G440" s="849">
        <v>1.995021163E7</v>
      </c>
      <c r="H440" s="849">
        <v>2.670822226E7</v>
      </c>
      <c r="I440" s="849">
        <v>4.565988511E7</v>
      </c>
      <c r="J440" s="849">
        <v>4.25923662E7</v>
      </c>
      <c r="K440" s="849">
        <v>4.216381681E7</v>
      </c>
      <c r="L440" s="849">
        <v>2.974581318E7</v>
      </c>
      <c r="M440" s="849">
        <v>2.436572274E7</v>
      </c>
      <c r="N440" s="849">
        <v>2.051745769E7</v>
      </c>
      <c r="O440" s="849">
        <v>2.652988582E7</v>
      </c>
      <c r="P440" s="849">
        <v>3.127522056E7</v>
      </c>
      <c r="Q440" s="849">
        <v>2.694560282E7</v>
      </c>
      <c r="R440" s="849">
        <v>2.779699776E7</v>
      </c>
      <c r="S440" s="849">
        <v>0.0</v>
      </c>
      <c r="T440" s="849">
        <v>0.0</v>
      </c>
      <c r="U440" s="849">
        <v>0.0</v>
      </c>
      <c r="V440" s="849">
        <v>0.0</v>
      </c>
      <c r="W440" s="849">
        <v>0.0</v>
      </c>
      <c r="X440" s="849">
        <v>0.0</v>
      </c>
      <c r="Y440" s="849">
        <v>0.0</v>
      </c>
      <c r="Z440" s="849">
        <v>0.0</v>
      </c>
      <c r="AA440" s="849">
        <v>0.0</v>
      </c>
      <c r="AB440" s="849">
        <v>0.0</v>
      </c>
      <c r="AC440" s="849">
        <v>0.0</v>
      </c>
      <c r="AD440" s="849">
        <v>0.0</v>
      </c>
      <c r="AE440" s="849">
        <v>0.0</v>
      </c>
      <c r="AF440" s="849">
        <v>0.0</v>
      </c>
      <c r="AG440" s="849">
        <v>0.0</v>
      </c>
      <c r="AH440" s="849">
        <v>0.0</v>
      </c>
      <c r="AI440" s="849">
        <v>0.0</v>
      </c>
      <c r="AJ440" s="794" t="str">
        <f t="shared" ref="AJ440:AK440" si="877">C440</f>
        <v>G31000</v>
      </c>
      <c r="AK440" s="794" t="str">
        <f t="shared" si="877"/>
        <v>EFFETS A PAYER VEHICULES</v>
      </c>
      <c r="AL440" s="794">
        <f t="array" ref="AL440">IFERROR(INDEX(G440:R440,1,MATCH(Parametres!$B$3,G$1:R$1,0)-1)*IF(OR(F440="L",F440="S",F440="I"),-1,1),"")</f>
        <v>-20517457.69</v>
      </c>
      <c r="AM440" s="794">
        <f t="shared" si="4"/>
        <v>-6012428.13</v>
      </c>
      <c r="AN440" s="794">
        <f t="array" ref="AN440">INDEX(G440:R440,1,MATCH(Parametres!$B$3,G$1:R$1,0))*IF(OR(F440="L",F440="S",F440="I"),-1,1)</f>
        <v>-26529885.82</v>
      </c>
      <c r="AO440" s="853" t="str">
        <f>+VLOOKUP($AJ440,Data_Validation!$A:$D,1,0)</f>
        <v>G31000</v>
      </c>
      <c r="AP440" s="853" t="str">
        <f>+VLOOKUP($AJ440,Data_Validation!$A:$D,3,0)</f>
        <v>Bilan</v>
      </c>
      <c r="AQ440" s="853" t="str">
        <f>+VLOOKUP($AJ440,Data_Validation!$A:$D,4,0)</f>
        <v>Effet à Payer Véhicules Neufs</v>
      </c>
      <c r="AR440" s="853" t="s">
        <v>728</v>
      </c>
      <c r="AS440" s="853" t="str">
        <f>+VLOOKUP($AJ440,Data_Validation!$A:$E,5,0)</f>
        <v/>
      </c>
      <c r="AT440" s="794" t="str">
        <f t="shared" ref="AT440:AU440" si="878">C440</f>
        <v>G31000</v>
      </c>
      <c r="AU440" s="854" t="str">
        <f t="shared" si="878"/>
        <v>EFFETS A PAYER VEHICULES</v>
      </c>
      <c r="AV440" s="794">
        <f t="array" ref="AV440">IFERROR(INDEX(V440:AG440,1,MATCH(Parametres!$B$3,V$1:AG$1,0)-1)*IF(OR(C440="L",C440="S",C440="I"),-1,1),"")</f>
        <v>0</v>
      </c>
      <c r="AW440" s="794">
        <f t="shared" si="6"/>
        <v>0</v>
      </c>
      <c r="AX440" s="794">
        <f t="array" ref="AX440">INDEX(V440:AG440,1,MATCH(Parametres!$B$3,V$1:AG$1,0))*IF(OR(C440="L",C440="S",C440="I"),-1,1)</f>
        <v>0</v>
      </c>
      <c r="AY440" s="853" t="s">
        <v>772</v>
      </c>
      <c r="AZ440" s="853" t="str">
        <f>+VLOOKUP($AJ440,Data_Validation!$A:$E,5,0)</f>
        <v/>
      </c>
    </row>
    <row r="441" ht="15.75" customHeight="1">
      <c r="A441" s="849" t="s">
        <v>1239</v>
      </c>
      <c r="B441" s="849">
        <v>2025.0</v>
      </c>
      <c r="C441" s="849" t="s">
        <v>2260</v>
      </c>
      <c r="D441" s="849" t="s">
        <v>2261</v>
      </c>
      <c r="E441" s="849" t="s">
        <v>2257</v>
      </c>
      <c r="F441" s="849" t="s">
        <v>2057</v>
      </c>
      <c r="G441" s="849">
        <v>4788948.13</v>
      </c>
      <c r="H441" s="849">
        <v>1.336001295E7</v>
      </c>
      <c r="I441" s="849">
        <v>1.797003706E7</v>
      </c>
      <c r="J441" s="849">
        <v>1.988717066E7</v>
      </c>
      <c r="K441" s="849">
        <v>1.683555701E7</v>
      </c>
      <c r="L441" s="849">
        <v>1.065271973E7</v>
      </c>
      <c r="M441" s="849">
        <v>6557333.73</v>
      </c>
      <c r="N441" s="849">
        <v>4588456.09</v>
      </c>
      <c r="O441" s="849">
        <v>3971863.11</v>
      </c>
      <c r="P441" s="849">
        <v>6514875.91</v>
      </c>
      <c r="Q441" s="849">
        <v>1.05013971E7</v>
      </c>
      <c r="R441" s="849">
        <v>1.931693727E7</v>
      </c>
      <c r="S441" s="849">
        <v>0.0</v>
      </c>
      <c r="T441" s="849">
        <v>0.0</v>
      </c>
      <c r="U441" s="849">
        <v>0.0</v>
      </c>
      <c r="V441" s="849">
        <v>0.0</v>
      </c>
      <c r="W441" s="849">
        <v>0.0</v>
      </c>
      <c r="X441" s="849">
        <v>0.0</v>
      </c>
      <c r="Y441" s="849">
        <v>0.0</v>
      </c>
      <c r="Z441" s="849">
        <v>0.0</v>
      </c>
      <c r="AA441" s="849">
        <v>0.0</v>
      </c>
      <c r="AB441" s="849">
        <v>0.0</v>
      </c>
      <c r="AC441" s="849">
        <v>0.0</v>
      </c>
      <c r="AD441" s="849">
        <v>0.0</v>
      </c>
      <c r="AE441" s="849">
        <v>0.0</v>
      </c>
      <c r="AF441" s="849">
        <v>0.0</v>
      </c>
      <c r="AG441" s="849">
        <v>0.0</v>
      </c>
      <c r="AH441" s="849">
        <v>0.0</v>
      </c>
      <c r="AI441" s="849">
        <v>0.0</v>
      </c>
      <c r="AJ441" s="794" t="str">
        <f t="shared" ref="AJ441:AK441" si="879">C441</f>
        <v>G31100</v>
      </c>
      <c r="AK441" s="794" t="str">
        <f t="shared" si="879"/>
        <v>EFFETS PAYER VEH. OCC.</v>
      </c>
      <c r="AL441" s="794">
        <f t="array" ref="AL441">IFERROR(INDEX(G441:R441,1,MATCH(Parametres!$B$3,G$1:R$1,0)-1)*IF(OR(F441="L",F441="S",F441="I"),-1,1),"")</f>
        <v>-4588456.09</v>
      </c>
      <c r="AM441" s="794">
        <f t="shared" si="4"/>
        <v>616592.98</v>
      </c>
      <c r="AN441" s="794">
        <f t="array" ref="AN441">INDEX(G441:R441,1,MATCH(Parametres!$B$3,G$1:R$1,0))*IF(OR(F441="L",F441="S",F441="I"),-1,1)</f>
        <v>-3971863.11</v>
      </c>
      <c r="AO441" s="853" t="str">
        <f>+VLOOKUP($AJ441,Data_Validation!$A:$D,1,0)</f>
        <v>G31100</v>
      </c>
      <c r="AP441" s="853" t="str">
        <f>+VLOOKUP($AJ441,Data_Validation!$A:$D,3,0)</f>
        <v>Bilan</v>
      </c>
      <c r="AQ441" s="853" t="str">
        <f>+VLOOKUP($AJ441,Data_Validation!$A:$D,4,0)</f>
        <v>Effet à Payer Véhicules Usagés</v>
      </c>
      <c r="AR441" s="853" t="s">
        <v>728</v>
      </c>
      <c r="AS441" s="853" t="str">
        <f>+VLOOKUP($AJ441,Data_Validation!$A:$E,5,0)</f>
        <v/>
      </c>
      <c r="AT441" s="794" t="str">
        <f t="shared" ref="AT441:AU441" si="880">C441</f>
        <v>G31100</v>
      </c>
      <c r="AU441" s="854" t="str">
        <f t="shared" si="880"/>
        <v>EFFETS PAYER VEH. OCC.</v>
      </c>
      <c r="AV441" s="794">
        <f t="array" ref="AV441">IFERROR(INDEX(V441:AG441,1,MATCH(Parametres!$B$3,V$1:AG$1,0)-1)*IF(OR(C441="L",C441="S",C441="I"),-1,1),"")</f>
        <v>0</v>
      </c>
      <c r="AW441" s="794">
        <f t="shared" si="6"/>
        <v>0</v>
      </c>
      <c r="AX441" s="794">
        <f t="array" ref="AX441">INDEX(V441:AG441,1,MATCH(Parametres!$B$3,V$1:AG$1,0))*IF(OR(C441="L",C441="S",C441="I"),-1,1)</f>
        <v>0</v>
      </c>
      <c r="AY441" s="853" t="s">
        <v>772</v>
      </c>
      <c r="AZ441" s="853" t="str">
        <f>+VLOOKUP($AJ441,Data_Validation!$A:$E,5,0)</f>
        <v/>
      </c>
    </row>
    <row r="442" ht="15.75" customHeight="1">
      <c r="A442" s="849" t="s">
        <v>1239</v>
      </c>
      <c r="B442" s="849">
        <v>2025.0</v>
      </c>
      <c r="C442" s="849" t="s">
        <v>2262</v>
      </c>
      <c r="D442" s="849" t="s">
        <v>2263</v>
      </c>
      <c r="E442" s="849" t="s">
        <v>2257</v>
      </c>
      <c r="F442" s="849" t="s">
        <v>2057</v>
      </c>
      <c r="G442" s="849">
        <v>0.0</v>
      </c>
      <c r="H442" s="849">
        <v>0.0</v>
      </c>
      <c r="I442" s="849">
        <v>0.0</v>
      </c>
      <c r="J442" s="849">
        <v>0.0</v>
      </c>
      <c r="K442" s="849">
        <v>0.0</v>
      </c>
      <c r="L442" s="849">
        <v>0.0</v>
      </c>
      <c r="M442" s="849">
        <v>0.0</v>
      </c>
      <c r="N442" s="849">
        <v>0.0</v>
      </c>
      <c r="O442" s="849">
        <v>0.0</v>
      </c>
      <c r="P442" s="849">
        <v>0.0</v>
      </c>
      <c r="Q442" s="849">
        <v>0.0</v>
      </c>
      <c r="R442" s="849">
        <v>0.0</v>
      </c>
      <c r="S442" s="849">
        <v>0.0</v>
      </c>
      <c r="T442" s="849">
        <v>0.0</v>
      </c>
      <c r="U442" s="849">
        <v>0.0</v>
      </c>
      <c r="V442" s="849">
        <v>0.0</v>
      </c>
      <c r="W442" s="849">
        <v>0.0</v>
      </c>
      <c r="X442" s="849">
        <v>0.0</v>
      </c>
      <c r="Y442" s="849">
        <v>0.0</v>
      </c>
      <c r="Z442" s="849">
        <v>0.0</v>
      </c>
      <c r="AA442" s="849">
        <v>0.0</v>
      </c>
      <c r="AB442" s="849">
        <v>0.0</v>
      </c>
      <c r="AC442" s="849">
        <v>0.0</v>
      </c>
      <c r="AD442" s="849">
        <v>0.0</v>
      </c>
      <c r="AE442" s="849">
        <v>0.0</v>
      </c>
      <c r="AF442" s="849">
        <v>0.0</v>
      </c>
      <c r="AG442" s="849">
        <v>0.0</v>
      </c>
      <c r="AH442" s="849">
        <v>0.0</v>
      </c>
      <c r="AI442" s="849">
        <v>0.0</v>
      </c>
      <c r="AJ442" s="794" t="str">
        <f t="shared" ref="AJ442:AK442" si="881">C442</f>
        <v>G31200</v>
      </c>
      <c r="AK442" s="794" t="str">
        <f t="shared" si="881"/>
        <v>A/P VEHICULES LOCATIONS</v>
      </c>
      <c r="AL442" s="794">
        <f t="array" ref="AL442">IFERROR(INDEX(G442:R442,1,MATCH(Parametres!$B$3,G$1:R$1,0)-1)*IF(OR(F442="L",F442="S",F442="I"),-1,1),"")</f>
        <v>0</v>
      </c>
      <c r="AM442" s="794">
        <f t="shared" si="4"/>
        <v>0</v>
      </c>
      <c r="AN442" s="794">
        <f t="array" ref="AN442">INDEX(G442:R442,1,MATCH(Parametres!$B$3,G$1:R$1,0))*IF(OR(F442="L",F442="S",F442="I"),-1,1)</f>
        <v>0</v>
      </c>
      <c r="AO442" s="853" t="str">
        <f>+VLOOKUP($AJ442,Data_Validation!$A:$D,1,0)</f>
        <v>#N/A</v>
      </c>
      <c r="AP442" s="853" t="str">
        <f>+VLOOKUP($AJ442,Data_Validation!$A:$D,3,0)</f>
        <v>#N/A</v>
      </c>
      <c r="AQ442" s="853" t="str">
        <f>+VLOOKUP($AJ442,Data_Validation!$A:$D,4,0)</f>
        <v>#N/A</v>
      </c>
      <c r="AR442" s="853" t="s">
        <v>728</v>
      </c>
      <c r="AS442" s="853" t="str">
        <f>+VLOOKUP($AJ442,Data_Validation!$A:$E,5,0)</f>
        <v>#N/A</v>
      </c>
      <c r="AT442" s="794" t="str">
        <f t="shared" ref="AT442:AU442" si="882">C442</f>
        <v>G31200</v>
      </c>
      <c r="AU442" s="854" t="str">
        <f t="shared" si="882"/>
        <v>A/P VEHICULES LOCATIONS</v>
      </c>
      <c r="AV442" s="794">
        <f t="array" ref="AV442">IFERROR(INDEX(V442:AG442,1,MATCH(Parametres!$B$3,V$1:AG$1,0)-1)*IF(OR(C442="L",C442="S",C442="I"),-1,1),"")</f>
        <v>0</v>
      </c>
      <c r="AW442" s="794">
        <f t="shared" si="6"/>
        <v>0</v>
      </c>
      <c r="AX442" s="794">
        <f t="array" ref="AX442">INDEX(V442:AG442,1,MATCH(Parametres!$B$3,V$1:AG$1,0))*IF(OR(C442="L",C442="S",C442="I"),-1,1)</f>
        <v>0</v>
      </c>
      <c r="AY442" s="853" t="s">
        <v>772</v>
      </c>
      <c r="AZ442" s="853" t="str">
        <f>+VLOOKUP($AJ442,Data_Validation!$A:$E,5,0)</f>
        <v>#N/A</v>
      </c>
    </row>
    <row r="443" ht="15.75" customHeight="1">
      <c r="A443" s="849" t="s">
        <v>1239</v>
      </c>
      <c r="B443" s="849">
        <v>2025.0</v>
      </c>
      <c r="C443" s="849" t="s">
        <v>2264</v>
      </c>
      <c r="D443" s="849" t="s">
        <v>2265</v>
      </c>
      <c r="E443" s="849" t="s">
        <v>768</v>
      </c>
      <c r="F443" s="849" t="s">
        <v>2057</v>
      </c>
      <c r="G443" s="849">
        <v>0.0</v>
      </c>
      <c r="H443" s="849">
        <v>0.0</v>
      </c>
      <c r="I443" s="849">
        <v>0.0</v>
      </c>
      <c r="J443" s="849">
        <v>0.0</v>
      </c>
      <c r="K443" s="849">
        <v>0.0</v>
      </c>
      <c r="L443" s="849">
        <v>0.0</v>
      </c>
      <c r="M443" s="849">
        <v>120000.0</v>
      </c>
      <c r="N443" s="849">
        <v>0.0</v>
      </c>
      <c r="O443" s="849">
        <v>0.0</v>
      </c>
      <c r="P443" s="849">
        <v>0.0</v>
      </c>
      <c r="Q443" s="849">
        <v>0.0</v>
      </c>
      <c r="R443" s="849">
        <v>0.0</v>
      </c>
      <c r="S443" s="849">
        <v>0.0</v>
      </c>
      <c r="T443" s="849">
        <v>0.0</v>
      </c>
      <c r="U443" s="849">
        <v>0.0</v>
      </c>
      <c r="V443" s="849">
        <v>0.0</v>
      </c>
      <c r="W443" s="849">
        <v>0.0</v>
      </c>
      <c r="X443" s="849">
        <v>0.0</v>
      </c>
      <c r="Y443" s="849">
        <v>0.0</v>
      </c>
      <c r="Z443" s="849">
        <v>0.0</v>
      </c>
      <c r="AA443" s="849">
        <v>0.0</v>
      </c>
      <c r="AB443" s="849">
        <v>0.0</v>
      </c>
      <c r="AC443" s="849">
        <v>0.0</v>
      </c>
      <c r="AD443" s="849">
        <v>0.0</v>
      </c>
      <c r="AE443" s="849">
        <v>0.0</v>
      </c>
      <c r="AF443" s="849">
        <v>0.0</v>
      </c>
      <c r="AG443" s="849">
        <v>0.0</v>
      </c>
      <c r="AH443" s="849">
        <v>0.0</v>
      </c>
      <c r="AI443" s="849">
        <v>0.0</v>
      </c>
      <c r="AJ443" s="794" t="str">
        <f t="shared" ref="AJ443:AK443" si="883">C443</f>
        <v>G31400</v>
      </c>
      <c r="AK443" s="794" t="str">
        <f t="shared" si="883"/>
        <v>MARGE DE CREDIT</v>
      </c>
      <c r="AL443" s="794">
        <f t="array" ref="AL443">IFERROR(INDEX(G443:R443,1,MATCH(Parametres!$B$3,G$1:R$1,0)-1)*IF(OR(F443="L",F443="S",F443="I"),-1,1),"")</f>
        <v>0</v>
      </c>
      <c r="AM443" s="794">
        <f t="shared" si="4"/>
        <v>0</v>
      </c>
      <c r="AN443" s="794">
        <f t="array" ref="AN443">INDEX(G443:R443,1,MATCH(Parametres!$B$3,G$1:R$1,0))*IF(OR(F443="L",F443="S",F443="I"),-1,1)</f>
        <v>0</v>
      </c>
      <c r="AO443" s="853" t="str">
        <f>+VLOOKUP($AJ443,Data_Validation!$A:$D,1,0)</f>
        <v>G31400</v>
      </c>
      <c r="AP443" s="853" t="str">
        <f>+VLOOKUP($AJ443,Data_Validation!$A:$D,3,0)</f>
        <v/>
      </c>
      <c r="AQ443" s="853" t="str">
        <f>+VLOOKUP($AJ443,Data_Validation!$A:$D,4,0)</f>
        <v/>
      </c>
      <c r="AR443" s="853" t="s">
        <v>728</v>
      </c>
      <c r="AS443" s="853" t="str">
        <f>+VLOOKUP($AJ443,Data_Validation!$A:$E,5,0)</f>
        <v/>
      </c>
      <c r="AT443" s="794" t="str">
        <f t="shared" ref="AT443:AU443" si="884">C443</f>
        <v>G31400</v>
      </c>
      <c r="AU443" s="854" t="str">
        <f t="shared" si="884"/>
        <v>MARGE DE CREDIT</v>
      </c>
      <c r="AV443" s="794">
        <f t="array" ref="AV443">IFERROR(INDEX(V443:AG443,1,MATCH(Parametres!$B$3,V$1:AG$1,0)-1)*IF(OR(C443="L",C443="S",C443="I"),-1,1),"")</f>
        <v>0</v>
      </c>
      <c r="AW443" s="794">
        <f t="shared" si="6"/>
        <v>0</v>
      </c>
      <c r="AX443" s="794">
        <f t="array" ref="AX443">INDEX(V443:AG443,1,MATCH(Parametres!$B$3,V$1:AG$1,0))*IF(OR(C443="L",C443="S",C443="I"),-1,1)</f>
        <v>0</v>
      </c>
      <c r="AY443" s="853" t="s">
        <v>772</v>
      </c>
      <c r="AZ443" s="853" t="str">
        <f>+VLOOKUP($AJ443,Data_Validation!$A:$E,5,0)</f>
        <v/>
      </c>
    </row>
    <row r="444" ht="15.75" customHeight="1">
      <c r="A444" s="849" t="s">
        <v>1239</v>
      </c>
      <c r="B444" s="849">
        <v>2025.0</v>
      </c>
      <c r="C444" s="849" t="s">
        <v>2266</v>
      </c>
      <c r="D444" s="849" t="s">
        <v>2267</v>
      </c>
      <c r="E444" s="849" t="s">
        <v>768</v>
      </c>
      <c r="F444" s="849" t="s">
        <v>2057</v>
      </c>
      <c r="G444" s="849">
        <v>0.0</v>
      </c>
      <c r="H444" s="849">
        <v>0.0</v>
      </c>
      <c r="I444" s="849">
        <v>0.0</v>
      </c>
      <c r="J444" s="849">
        <v>0.0</v>
      </c>
      <c r="K444" s="849">
        <v>0.0</v>
      </c>
      <c r="L444" s="849">
        <v>0.0</v>
      </c>
      <c r="M444" s="849">
        <v>0.0</v>
      </c>
      <c r="N444" s="849">
        <v>0.0</v>
      </c>
      <c r="O444" s="849">
        <v>0.0</v>
      </c>
      <c r="P444" s="849">
        <v>0.0</v>
      </c>
      <c r="Q444" s="849">
        <v>0.0</v>
      </c>
      <c r="R444" s="849">
        <v>0.0</v>
      </c>
      <c r="S444" s="849">
        <v>0.0</v>
      </c>
      <c r="T444" s="849">
        <v>0.0</v>
      </c>
      <c r="U444" s="849">
        <v>0.0</v>
      </c>
      <c r="V444" s="849">
        <v>0.0</v>
      </c>
      <c r="W444" s="849">
        <v>0.0</v>
      </c>
      <c r="X444" s="849">
        <v>0.0</v>
      </c>
      <c r="Y444" s="849">
        <v>0.0</v>
      </c>
      <c r="Z444" s="849">
        <v>0.0</v>
      </c>
      <c r="AA444" s="849">
        <v>0.0</v>
      </c>
      <c r="AB444" s="849">
        <v>0.0</v>
      </c>
      <c r="AC444" s="849">
        <v>0.0</v>
      </c>
      <c r="AD444" s="849">
        <v>0.0</v>
      </c>
      <c r="AE444" s="849">
        <v>0.0</v>
      </c>
      <c r="AF444" s="849">
        <v>0.0</v>
      </c>
      <c r="AG444" s="849">
        <v>0.0</v>
      </c>
      <c r="AH444" s="849">
        <v>0.0</v>
      </c>
      <c r="AI444" s="849">
        <v>0.0</v>
      </c>
      <c r="AJ444" s="794" t="str">
        <f t="shared" ref="AJ444:AK444" si="885">C444</f>
        <v>G31500</v>
      </c>
      <c r="AK444" s="794" t="str">
        <f t="shared" si="885"/>
        <v>T.P.S. PAYABLE</v>
      </c>
      <c r="AL444" s="794">
        <f t="array" ref="AL444">IFERROR(INDEX(G444:R444,1,MATCH(Parametres!$B$3,G$1:R$1,0)-1)*IF(OR(F444="L",F444="S",F444="I"),-1,1),"")</f>
        <v>0</v>
      </c>
      <c r="AM444" s="794">
        <f t="shared" si="4"/>
        <v>0</v>
      </c>
      <c r="AN444" s="794">
        <f t="array" ref="AN444">INDEX(G444:R444,1,MATCH(Parametres!$B$3,G$1:R$1,0))*IF(OR(F444="L",F444="S",F444="I"),-1,1)</f>
        <v>0</v>
      </c>
      <c r="AO444" s="853" t="str">
        <f>+VLOOKUP($AJ444,Data_Validation!$A:$D,1,0)</f>
        <v>#N/A</v>
      </c>
      <c r="AP444" s="853" t="str">
        <f>+VLOOKUP($AJ444,Data_Validation!$A:$D,3,0)</f>
        <v>#N/A</v>
      </c>
      <c r="AQ444" s="853" t="str">
        <f>+VLOOKUP($AJ444,Data_Validation!$A:$D,4,0)</f>
        <v>#N/A</v>
      </c>
      <c r="AR444" s="853" t="s">
        <v>728</v>
      </c>
      <c r="AS444" s="853" t="str">
        <f>+VLOOKUP($AJ444,Data_Validation!$A:$E,5,0)</f>
        <v>#N/A</v>
      </c>
      <c r="AT444" s="794" t="str">
        <f t="shared" ref="AT444:AU444" si="886">C444</f>
        <v>G31500</v>
      </c>
      <c r="AU444" s="854" t="str">
        <f t="shared" si="886"/>
        <v>T.P.S. PAYABLE</v>
      </c>
      <c r="AV444" s="794">
        <f t="array" ref="AV444">IFERROR(INDEX(V444:AG444,1,MATCH(Parametres!$B$3,V$1:AG$1,0)-1)*IF(OR(C444="L",C444="S",C444="I"),-1,1),"")</f>
        <v>0</v>
      </c>
      <c r="AW444" s="794">
        <f t="shared" si="6"/>
        <v>0</v>
      </c>
      <c r="AX444" s="794">
        <f t="array" ref="AX444">INDEX(V444:AG444,1,MATCH(Parametres!$B$3,V$1:AG$1,0))*IF(OR(C444="L",C444="S",C444="I"),-1,1)</f>
        <v>0</v>
      </c>
      <c r="AY444" s="853" t="s">
        <v>772</v>
      </c>
      <c r="AZ444" s="853" t="str">
        <f>+VLOOKUP($AJ444,Data_Validation!$A:$E,5,0)</f>
        <v>#N/A</v>
      </c>
    </row>
    <row r="445" ht="15.75" customHeight="1">
      <c r="A445" s="849" t="s">
        <v>1239</v>
      </c>
      <c r="B445" s="849">
        <v>2025.0</v>
      </c>
      <c r="C445" s="849" t="s">
        <v>2268</v>
      </c>
      <c r="D445" s="849" t="s">
        <v>2269</v>
      </c>
      <c r="E445" s="849" t="s">
        <v>768</v>
      </c>
      <c r="F445" s="849" t="s">
        <v>2057</v>
      </c>
      <c r="G445" s="849">
        <v>0.0</v>
      </c>
      <c r="H445" s="849">
        <v>0.0</v>
      </c>
      <c r="I445" s="849">
        <v>0.0</v>
      </c>
      <c r="J445" s="849">
        <v>0.0</v>
      </c>
      <c r="K445" s="849">
        <v>-73648.0</v>
      </c>
      <c r="L445" s="849">
        <v>-73648.0</v>
      </c>
      <c r="M445" s="849">
        <v>0.0</v>
      </c>
      <c r="N445" s="849">
        <v>0.0</v>
      </c>
      <c r="O445" s="849">
        <v>0.0</v>
      </c>
      <c r="P445" s="849">
        <v>0.0</v>
      </c>
      <c r="Q445" s="849">
        <v>0.0</v>
      </c>
      <c r="R445" s="849">
        <v>0.0</v>
      </c>
      <c r="S445" s="849">
        <v>0.0</v>
      </c>
      <c r="T445" s="849">
        <v>0.0</v>
      </c>
      <c r="U445" s="849">
        <v>0.0</v>
      </c>
      <c r="V445" s="849">
        <v>0.0</v>
      </c>
      <c r="W445" s="849">
        <v>0.0</v>
      </c>
      <c r="X445" s="849">
        <v>0.0</v>
      </c>
      <c r="Y445" s="849">
        <v>0.0</v>
      </c>
      <c r="Z445" s="849">
        <v>0.0</v>
      </c>
      <c r="AA445" s="849">
        <v>0.0</v>
      </c>
      <c r="AB445" s="849">
        <v>0.0</v>
      </c>
      <c r="AC445" s="849">
        <v>0.0</v>
      </c>
      <c r="AD445" s="849">
        <v>0.0</v>
      </c>
      <c r="AE445" s="849">
        <v>0.0</v>
      </c>
      <c r="AF445" s="849">
        <v>0.0</v>
      </c>
      <c r="AG445" s="849">
        <v>0.0</v>
      </c>
      <c r="AH445" s="849">
        <v>0.0</v>
      </c>
      <c r="AI445" s="849">
        <v>0.0</v>
      </c>
      <c r="AJ445" s="794" t="str">
        <f t="shared" ref="AJ445:AK445" si="887">C445</f>
        <v>G32000</v>
      </c>
      <c r="AK445" s="794" t="str">
        <f t="shared" si="887"/>
        <v>INTERETS A/P</v>
      </c>
      <c r="AL445" s="794">
        <f t="array" ref="AL445">IFERROR(INDEX(G445:R445,1,MATCH(Parametres!$B$3,G$1:R$1,0)-1)*IF(OR(F445="L",F445="S",F445="I"),-1,1),"")</f>
        <v>0</v>
      </c>
      <c r="AM445" s="794">
        <f t="shared" si="4"/>
        <v>0</v>
      </c>
      <c r="AN445" s="794">
        <f t="array" ref="AN445">INDEX(G445:R445,1,MATCH(Parametres!$B$3,G$1:R$1,0))*IF(OR(F445="L",F445="S",F445="I"),-1,1)</f>
        <v>0</v>
      </c>
      <c r="AO445" s="853" t="str">
        <f>+VLOOKUP($AJ445,Data_Validation!$A:$D,1,0)</f>
        <v>G32000</v>
      </c>
      <c r="AP445" s="853" t="str">
        <f>+VLOOKUP($AJ445,Data_Validation!$A:$D,3,0)</f>
        <v/>
      </c>
      <c r="AQ445" s="853" t="str">
        <f>+VLOOKUP($AJ445,Data_Validation!$A:$D,4,0)</f>
        <v/>
      </c>
      <c r="AR445" s="853" t="s">
        <v>728</v>
      </c>
      <c r="AS445" s="853" t="str">
        <f>+VLOOKUP($AJ445,Data_Validation!$A:$E,5,0)</f>
        <v/>
      </c>
      <c r="AT445" s="794" t="str">
        <f t="shared" ref="AT445:AU445" si="888">C445</f>
        <v>G32000</v>
      </c>
      <c r="AU445" s="854" t="str">
        <f t="shared" si="888"/>
        <v>INTERETS A/P</v>
      </c>
      <c r="AV445" s="794">
        <f t="array" ref="AV445">IFERROR(INDEX(V445:AG445,1,MATCH(Parametres!$B$3,V$1:AG$1,0)-1)*IF(OR(C445="L",C445="S",C445="I"),-1,1),"")</f>
        <v>0</v>
      </c>
      <c r="AW445" s="794">
        <f t="shared" si="6"/>
        <v>0</v>
      </c>
      <c r="AX445" s="794">
        <f t="array" ref="AX445">INDEX(V445:AG445,1,MATCH(Parametres!$B$3,V$1:AG$1,0))*IF(OR(C445="L",C445="S",C445="I"),-1,1)</f>
        <v>0</v>
      </c>
      <c r="AY445" s="853" t="s">
        <v>772</v>
      </c>
      <c r="AZ445" s="853" t="str">
        <f>+VLOOKUP($AJ445,Data_Validation!$A:$E,5,0)</f>
        <v/>
      </c>
    </row>
    <row r="446" ht="15.75" customHeight="1">
      <c r="A446" s="849" t="s">
        <v>1239</v>
      </c>
      <c r="B446" s="849">
        <v>2025.0</v>
      </c>
      <c r="C446" s="849" t="s">
        <v>2270</v>
      </c>
      <c r="D446" s="849" t="s">
        <v>2271</v>
      </c>
      <c r="E446" s="849" t="s">
        <v>768</v>
      </c>
      <c r="F446" s="849" t="s">
        <v>2057</v>
      </c>
      <c r="G446" s="849">
        <v>9264.94</v>
      </c>
      <c r="H446" s="849">
        <v>9238.51</v>
      </c>
      <c r="I446" s="849">
        <v>10191.27</v>
      </c>
      <c r="J446" s="849">
        <v>15634.62</v>
      </c>
      <c r="K446" s="849">
        <v>12097.82</v>
      </c>
      <c r="L446" s="849">
        <v>9763.9</v>
      </c>
      <c r="M446" s="849">
        <v>7774.35</v>
      </c>
      <c r="N446" s="849">
        <v>1717.72</v>
      </c>
      <c r="O446" s="849">
        <v>-610.77</v>
      </c>
      <c r="P446" s="849">
        <v>7960.18</v>
      </c>
      <c r="Q446" s="849">
        <v>5265.02</v>
      </c>
      <c r="R446" s="849">
        <v>3830.14</v>
      </c>
      <c r="S446" s="849">
        <v>0.0</v>
      </c>
      <c r="T446" s="849">
        <v>0.0</v>
      </c>
      <c r="U446" s="849">
        <v>0.0</v>
      </c>
      <c r="V446" s="849">
        <v>0.0</v>
      </c>
      <c r="W446" s="849">
        <v>0.0</v>
      </c>
      <c r="X446" s="849">
        <v>0.0</v>
      </c>
      <c r="Y446" s="849">
        <v>0.0</v>
      </c>
      <c r="Z446" s="849">
        <v>0.0</v>
      </c>
      <c r="AA446" s="849">
        <v>0.0</v>
      </c>
      <c r="AB446" s="849">
        <v>0.0</v>
      </c>
      <c r="AC446" s="849">
        <v>0.0</v>
      </c>
      <c r="AD446" s="849">
        <v>0.0</v>
      </c>
      <c r="AE446" s="849">
        <v>0.0</v>
      </c>
      <c r="AF446" s="849">
        <v>0.0</v>
      </c>
      <c r="AG446" s="849">
        <v>0.0</v>
      </c>
      <c r="AH446" s="849">
        <v>0.0</v>
      </c>
      <c r="AI446" s="849">
        <v>0.0</v>
      </c>
      <c r="AJ446" s="794" t="str">
        <f t="shared" ref="AJ446:AK446" si="889">C446</f>
        <v>G3210A</v>
      </c>
      <c r="AK446" s="794" t="str">
        <f t="shared" si="889"/>
        <v>ASS-COLLECTIVE A PAYER</v>
      </c>
      <c r="AL446" s="794">
        <f t="array" ref="AL446">IFERROR(INDEX(G446:R446,1,MATCH(Parametres!$B$3,G$1:R$1,0)-1)*IF(OR(F446="L",F446="S",F446="I"),-1,1),"")</f>
        <v>-1717.72</v>
      </c>
      <c r="AM446" s="794">
        <f t="shared" si="4"/>
        <v>2328.49</v>
      </c>
      <c r="AN446" s="794">
        <f t="array" ref="AN446">INDEX(G446:R446,1,MATCH(Parametres!$B$3,G$1:R$1,0))*IF(OR(F446="L",F446="S",F446="I"),-1,1)</f>
        <v>610.77</v>
      </c>
      <c r="AO446" s="853" t="str">
        <f>+VLOOKUP($AJ446,Data_Validation!$A:$D,1,0)</f>
        <v>G3210A</v>
      </c>
      <c r="AP446" s="853" t="str">
        <f>+VLOOKUP($AJ446,Data_Validation!$A:$D,3,0)</f>
        <v>Bilan</v>
      </c>
      <c r="AQ446" s="853" t="str">
        <f>+VLOOKUP($AJ446,Data_Validation!$A:$D,4,0)</f>
        <v>DAS à Payer</v>
      </c>
      <c r="AR446" s="853" t="s">
        <v>728</v>
      </c>
      <c r="AS446" s="853" t="str">
        <f>+VLOOKUP($AJ446,Data_Validation!$A:$E,5,0)</f>
        <v/>
      </c>
      <c r="AT446" s="794" t="str">
        <f t="shared" ref="AT446:AU446" si="890">C446</f>
        <v>G3210A</v>
      </c>
      <c r="AU446" s="854" t="str">
        <f t="shared" si="890"/>
        <v>ASS-COLLECTIVE A PAYER</v>
      </c>
      <c r="AV446" s="794">
        <f t="array" ref="AV446">IFERROR(INDEX(V446:AG446,1,MATCH(Parametres!$B$3,V$1:AG$1,0)-1)*IF(OR(C446="L",C446="S",C446="I"),-1,1),"")</f>
        <v>0</v>
      </c>
      <c r="AW446" s="794">
        <f t="shared" si="6"/>
        <v>0</v>
      </c>
      <c r="AX446" s="794">
        <f t="array" ref="AX446">INDEX(V446:AG446,1,MATCH(Parametres!$B$3,V$1:AG$1,0))*IF(OR(C446="L",C446="S",C446="I"),-1,1)</f>
        <v>0</v>
      </c>
      <c r="AY446" s="853" t="s">
        <v>772</v>
      </c>
      <c r="AZ446" s="853" t="str">
        <f>+VLOOKUP($AJ446,Data_Validation!$A:$E,5,0)</f>
        <v/>
      </c>
    </row>
    <row r="447" ht="15.75" customHeight="1">
      <c r="A447" s="849" t="s">
        <v>1239</v>
      </c>
      <c r="B447" s="849">
        <v>2025.0</v>
      </c>
      <c r="C447" s="849" t="s">
        <v>2272</v>
      </c>
      <c r="D447" s="849" t="s">
        <v>2273</v>
      </c>
      <c r="E447" s="849" t="s">
        <v>768</v>
      </c>
      <c r="F447" s="849" t="s">
        <v>2057</v>
      </c>
      <c r="G447" s="849">
        <v>85765.65</v>
      </c>
      <c r="H447" s="849">
        <v>88163.07</v>
      </c>
      <c r="I447" s="849">
        <v>102963.61</v>
      </c>
      <c r="J447" s="849">
        <v>-32990.39</v>
      </c>
      <c r="K447" s="849">
        <v>0.0</v>
      </c>
      <c r="L447" s="849">
        <v>17378.51</v>
      </c>
      <c r="M447" s="849">
        <v>69513.98</v>
      </c>
      <c r="N447" s="849">
        <v>80355.47</v>
      </c>
      <c r="O447" s="849">
        <v>116646.41</v>
      </c>
      <c r="P447" s="849">
        <v>0.0</v>
      </c>
      <c r="Q447" s="849">
        <v>0.0</v>
      </c>
      <c r="R447" s="849">
        <v>71293.99</v>
      </c>
      <c r="S447" s="849">
        <v>0.0</v>
      </c>
      <c r="T447" s="849">
        <v>0.0</v>
      </c>
      <c r="U447" s="849">
        <v>0.0</v>
      </c>
      <c r="V447" s="849">
        <v>0.0</v>
      </c>
      <c r="W447" s="849">
        <v>0.0</v>
      </c>
      <c r="X447" s="849">
        <v>0.0</v>
      </c>
      <c r="Y447" s="849">
        <v>0.0</v>
      </c>
      <c r="Z447" s="849">
        <v>0.0</v>
      </c>
      <c r="AA447" s="849">
        <v>0.0</v>
      </c>
      <c r="AB447" s="849">
        <v>0.0</v>
      </c>
      <c r="AC447" s="849">
        <v>0.0</v>
      </c>
      <c r="AD447" s="849">
        <v>0.0</v>
      </c>
      <c r="AE447" s="849">
        <v>0.0</v>
      </c>
      <c r="AF447" s="849">
        <v>0.0</v>
      </c>
      <c r="AG447" s="849">
        <v>0.0</v>
      </c>
      <c r="AH447" s="849">
        <v>0.0</v>
      </c>
      <c r="AI447" s="849">
        <v>0.0</v>
      </c>
      <c r="AJ447" s="794" t="str">
        <f t="shared" ref="AJ447:AK447" si="891">C447</f>
        <v>G32100</v>
      </c>
      <c r="AK447" s="794" t="str">
        <f t="shared" si="891"/>
        <v>SALAIRES &amp; COMM. A PAYER</v>
      </c>
      <c r="AL447" s="794">
        <f t="array" ref="AL447">IFERROR(INDEX(G447:R447,1,MATCH(Parametres!$B$3,G$1:R$1,0)-1)*IF(OR(F447="L",F447="S",F447="I"),-1,1),"")</f>
        <v>-80355.47</v>
      </c>
      <c r="AM447" s="794">
        <f t="shared" si="4"/>
        <v>-36290.94</v>
      </c>
      <c r="AN447" s="794">
        <f t="array" ref="AN447">INDEX(G447:R447,1,MATCH(Parametres!$B$3,G$1:R$1,0))*IF(OR(F447="L",F447="S",F447="I"),-1,1)</f>
        <v>-116646.41</v>
      </c>
      <c r="AO447" s="853" t="str">
        <f>+VLOOKUP($AJ447,Data_Validation!$A:$D,1,0)</f>
        <v>G32100</v>
      </c>
      <c r="AP447" s="853" t="str">
        <f>+VLOOKUP($AJ447,Data_Validation!$A:$D,3,0)</f>
        <v>Bilan</v>
      </c>
      <c r="AQ447" s="853" t="str">
        <f>+VLOOKUP($AJ447,Data_Validation!$A:$D,4,0)</f>
        <v>Salaires à Payer</v>
      </c>
      <c r="AR447" s="853" t="s">
        <v>728</v>
      </c>
      <c r="AS447" s="853" t="str">
        <f>+VLOOKUP($AJ447,Data_Validation!$A:$E,5,0)</f>
        <v/>
      </c>
      <c r="AT447" s="794" t="str">
        <f t="shared" ref="AT447:AU447" si="892">C447</f>
        <v>G32100</v>
      </c>
      <c r="AU447" s="854" t="str">
        <f t="shared" si="892"/>
        <v>SALAIRES &amp; COMM. A PAYER</v>
      </c>
      <c r="AV447" s="794">
        <f t="array" ref="AV447">IFERROR(INDEX(V447:AG447,1,MATCH(Parametres!$B$3,V$1:AG$1,0)-1)*IF(OR(C447="L",C447="S",C447="I"),-1,1),"")</f>
        <v>0</v>
      </c>
      <c r="AW447" s="794">
        <f t="shared" si="6"/>
        <v>0</v>
      </c>
      <c r="AX447" s="794">
        <f t="array" ref="AX447">INDEX(V447:AG447,1,MATCH(Parametres!$B$3,V$1:AG$1,0))*IF(OR(C447="L",C447="S",C447="I"),-1,1)</f>
        <v>0</v>
      </c>
      <c r="AY447" s="853" t="s">
        <v>772</v>
      </c>
      <c r="AZ447" s="853" t="str">
        <f>+VLOOKUP($AJ447,Data_Validation!$A:$E,5,0)</f>
        <v/>
      </c>
    </row>
    <row r="448" ht="15.75" customHeight="1">
      <c r="A448" s="849" t="s">
        <v>1239</v>
      </c>
      <c r="B448" s="849">
        <v>2025.0</v>
      </c>
      <c r="C448" s="849" t="s">
        <v>2274</v>
      </c>
      <c r="D448" s="849" t="s">
        <v>2275</v>
      </c>
      <c r="E448" s="849" t="s">
        <v>2212</v>
      </c>
      <c r="F448" s="849" t="s">
        <v>2057</v>
      </c>
      <c r="G448" s="849">
        <v>42351.8</v>
      </c>
      <c r="H448" s="849">
        <v>52213.13</v>
      </c>
      <c r="I448" s="849">
        <v>51331.17</v>
      </c>
      <c r="J448" s="849">
        <v>52516.61</v>
      </c>
      <c r="K448" s="849">
        <v>68506.27</v>
      </c>
      <c r="L448" s="849">
        <v>80948.03</v>
      </c>
      <c r="M448" s="849">
        <v>74980.84</v>
      </c>
      <c r="N448" s="849">
        <v>140693.9</v>
      </c>
      <c r="O448" s="849">
        <v>184454.92</v>
      </c>
      <c r="P448" s="849">
        <v>15446.64</v>
      </c>
      <c r="Q448" s="849">
        <v>83081.28</v>
      </c>
      <c r="R448" s="849">
        <v>139120.8</v>
      </c>
      <c r="S448" s="849">
        <v>0.0</v>
      </c>
      <c r="T448" s="849">
        <v>0.0</v>
      </c>
      <c r="U448" s="849">
        <v>0.0</v>
      </c>
      <c r="V448" s="849">
        <v>0.0</v>
      </c>
      <c r="W448" s="849">
        <v>0.0</v>
      </c>
      <c r="X448" s="849">
        <v>0.0</v>
      </c>
      <c r="Y448" s="849">
        <v>0.0</v>
      </c>
      <c r="Z448" s="849">
        <v>0.0</v>
      </c>
      <c r="AA448" s="849">
        <v>0.0</v>
      </c>
      <c r="AB448" s="849">
        <v>0.0</v>
      </c>
      <c r="AC448" s="849">
        <v>0.0</v>
      </c>
      <c r="AD448" s="849">
        <v>0.0</v>
      </c>
      <c r="AE448" s="849">
        <v>0.0</v>
      </c>
      <c r="AF448" s="849">
        <v>0.0</v>
      </c>
      <c r="AG448" s="849">
        <v>0.0</v>
      </c>
      <c r="AH448" s="849">
        <v>0.0</v>
      </c>
      <c r="AI448" s="849">
        <v>0.0</v>
      </c>
      <c r="AJ448" s="794" t="str">
        <f t="shared" ref="AJ448:AK448" si="893">C448</f>
        <v>G32101</v>
      </c>
      <c r="AK448" s="794" t="str">
        <f t="shared" si="893"/>
        <v>COMMISSIONS A PAYER</v>
      </c>
      <c r="AL448" s="794">
        <f t="array" ref="AL448">IFERROR(INDEX(G448:R448,1,MATCH(Parametres!$B$3,G$1:R$1,0)-1)*IF(OR(F448="L",F448="S",F448="I"),-1,1),"")</f>
        <v>-140693.9</v>
      </c>
      <c r="AM448" s="794">
        <f t="shared" si="4"/>
        <v>-43761.02</v>
      </c>
      <c r="AN448" s="794">
        <f t="array" ref="AN448">INDEX(G448:R448,1,MATCH(Parametres!$B$3,G$1:R$1,0))*IF(OR(F448="L",F448="S",F448="I"),-1,1)</f>
        <v>-184454.92</v>
      </c>
      <c r="AO448" s="853" t="str">
        <f>+VLOOKUP($AJ448,Data_Validation!$A:$D,1,0)</f>
        <v>G32101</v>
      </c>
      <c r="AP448" s="853" t="str">
        <f>+VLOOKUP($AJ448,Data_Validation!$A:$D,3,0)</f>
        <v>Bilan</v>
      </c>
      <c r="AQ448" s="853" t="str">
        <f>+VLOOKUP($AJ448,Data_Validation!$A:$D,4,0)</f>
        <v>Salaires à Payer</v>
      </c>
      <c r="AR448" s="853" t="s">
        <v>728</v>
      </c>
      <c r="AS448" s="853" t="str">
        <f>+VLOOKUP($AJ448,Data_Validation!$A:$E,5,0)</f>
        <v/>
      </c>
      <c r="AT448" s="794" t="str">
        <f t="shared" ref="AT448:AU448" si="894">C448</f>
        <v>G32101</v>
      </c>
      <c r="AU448" s="854" t="str">
        <f t="shared" si="894"/>
        <v>COMMISSIONS A PAYER</v>
      </c>
      <c r="AV448" s="794">
        <f t="array" ref="AV448">IFERROR(INDEX(V448:AG448,1,MATCH(Parametres!$B$3,V$1:AG$1,0)-1)*IF(OR(C448="L",C448="S",C448="I"),-1,1),"")</f>
        <v>0</v>
      </c>
      <c r="AW448" s="794">
        <f t="shared" si="6"/>
        <v>0</v>
      </c>
      <c r="AX448" s="794">
        <f t="array" ref="AX448">INDEX(V448:AG448,1,MATCH(Parametres!$B$3,V$1:AG$1,0))*IF(OR(C448="L",C448="S",C448="I"),-1,1)</f>
        <v>0</v>
      </c>
      <c r="AY448" s="853" t="s">
        <v>772</v>
      </c>
      <c r="AZ448" s="853" t="str">
        <f>+VLOOKUP($AJ448,Data_Validation!$A:$E,5,0)</f>
        <v/>
      </c>
    </row>
    <row r="449" ht="15.75" customHeight="1">
      <c r="A449" s="849" t="s">
        <v>1239</v>
      </c>
      <c r="B449" s="849">
        <v>2025.0</v>
      </c>
      <c r="C449" s="849" t="s">
        <v>2276</v>
      </c>
      <c r="D449" s="849" t="s">
        <v>2277</v>
      </c>
      <c r="E449" s="849" t="s">
        <v>1200</v>
      </c>
      <c r="F449" s="849" t="s">
        <v>2057</v>
      </c>
      <c r="G449" s="849">
        <v>0.0</v>
      </c>
      <c r="H449" s="849">
        <v>0.0</v>
      </c>
      <c r="I449" s="849">
        <v>0.0</v>
      </c>
      <c r="J449" s="849">
        <v>0.0</v>
      </c>
      <c r="K449" s="849">
        <v>0.0</v>
      </c>
      <c r="L449" s="849">
        <v>0.0</v>
      </c>
      <c r="M449" s="849">
        <v>0.0</v>
      </c>
      <c r="N449" s="849">
        <v>0.0</v>
      </c>
      <c r="O449" s="849">
        <v>0.0</v>
      </c>
      <c r="P449" s="849">
        <v>0.0</v>
      </c>
      <c r="Q449" s="849">
        <v>0.0</v>
      </c>
      <c r="R449" s="849">
        <v>0.0</v>
      </c>
      <c r="S449" s="849">
        <v>0.0</v>
      </c>
      <c r="T449" s="849">
        <v>0.0</v>
      </c>
      <c r="U449" s="849">
        <v>0.0</v>
      </c>
      <c r="V449" s="849">
        <v>0.0</v>
      </c>
      <c r="W449" s="849">
        <v>0.0</v>
      </c>
      <c r="X449" s="849">
        <v>0.0</v>
      </c>
      <c r="Y449" s="849">
        <v>0.0</v>
      </c>
      <c r="Z449" s="849">
        <v>0.0</v>
      </c>
      <c r="AA449" s="849">
        <v>0.0</v>
      </c>
      <c r="AB449" s="849">
        <v>0.0</v>
      </c>
      <c r="AC449" s="849">
        <v>0.0</v>
      </c>
      <c r="AD449" s="849">
        <v>0.0</v>
      </c>
      <c r="AE449" s="849">
        <v>0.0</v>
      </c>
      <c r="AF449" s="849">
        <v>0.0</v>
      </c>
      <c r="AG449" s="849">
        <v>0.0</v>
      </c>
      <c r="AH449" s="849">
        <v>0.0</v>
      </c>
      <c r="AI449" s="849">
        <v>0.0</v>
      </c>
      <c r="AJ449" s="794" t="str">
        <f t="shared" ref="AJ449:AK449" si="895">C449</f>
        <v>G32102</v>
      </c>
      <c r="AK449" s="794" t="str">
        <f t="shared" si="895"/>
        <v>SALAIRES A PAYER</v>
      </c>
      <c r="AL449" s="794">
        <f t="array" ref="AL449">IFERROR(INDEX(G449:R449,1,MATCH(Parametres!$B$3,G$1:R$1,0)-1)*IF(OR(F449="L",F449="S",F449="I"),-1,1),"")</f>
        <v>0</v>
      </c>
      <c r="AM449" s="794">
        <f t="shared" si="4"/>
        <v>0</v>
      </c>
      <c r="AN449" s="794">
        <f t="array" ref="AN449">INDEX(G449:R449,1,MATCH(Parametres!$B$3,G$1:R$1,0))*IF(OR(F449="L",F449="S",F449="I"),-1,1)</f>
        <v>0</v>
      </c>
      <c r="AO449" s="853" t="str">
        <f>+VLOOKUP($AJ449,Data_Validation!$A:$D,1,0)</f>
        <v>G32102</v>
      </c>
      <c r="AP449" s="853" t="str">
        <f>+VLOOKUP($AJ449,Data_Validation!$A:$D,3,0)</f>
        <v/>
      </c>
      <c r="AQ449" s="853" t="str">
        <f>+VLOOKUP($AJ449,Data_Validation!$A:$D,4,0)</f>
        <v/>
      </c>
      <c r="AR449" s="853" t="s">
        <v>728</v>
      </c>
      <c r="AS449" s="853" t="str">
        <f>+VLOOKUP($AJ449,Data_Validation!$A:$E,5,0)</f>
        <v/>
      </c>
      <c r="AT449" s="794" t="str">
        <f t="shared" ref="AT449:AU449" si="896">C449</f>
        <v>G32102</v>
      </c>
      <c r="AU449" s="854" t="str">
        <f t="shared" si="896"/>
        <v>SALAIRES A PAYER</v>
      </c>
      <c r="AV449" s="794">
        <f t="array" ref="AV449">IFERROR(INDEX(V449:AG449,1,MATCH(Parametres!$B$3,V$1:AG$1,0)-1)*IF(OR(C449="L",C449="S",C449="I"),-1,1),"")</f>
        <v>0</v>
      </c>
      <c r="AW449" s="794">
        <f t="shared" si="6"/>
        <v>0</v>
      </c>
      <c r="AX449" s="794">
        <f t="array" ref="AX449">INDEX(V449:AG449,1,MATCH(Parametres!$B$3,V$1:AG$1,0))*IF(OR(C449="L",C449="S",C449="I"),-1,1)</f>
        <v>0</v>
      </c>
      <c r="AY449" s="853" t="s">
        <v>772</v>
      </c>
      <c r="AZ449" s="853" t="str">
        <f>+VLOOKUP($AJ449,Data_Validation!$A:$E,5,0)</f>
        <v/>
      </c>
    </row>
    <row r="450" ht="15.75" customHeight="1">
      <c r="A450" s="849" t="s">
        <v>1239</v>
      </c>
      <c r="B450" s="849">
        <v>2025.0</v>
      </c>
      <c r="C450" s="849" t="s">
        <v>2280</v>
      </c>
      <c r="D450" s="849" t="s">
        <v>2281</v>
      </c>
      <c r="E450" s="849" t="s">
        <v>768</v>
      </c>
      <c r="F450" s="849" t="s">
        <v>2057</v>
      </c>
      <c r="G450" s="849">
        <v>0.0</v>
      </c>
      <c r="H450" s="849">
        <v>0.0</v>
      </c>
      <c r="I450" s="849">
        <v>0.0</v>
      </c>
      <c r="J450" s="849">
        <v>0.0</v>
      </c>
      <c r="K450" s="849">
        <v>0.0</v>
      </c>
      <c r="L450" s="849">
        <v>0.0</v>
      </c>
      <c r="M450" s="849">
        <v>0.0</v>
      </c>
      <c r="N450" s="849">
        <v>0.0</v>
      </c>
      <c r="O450" s="849">
        <v>0.0</v>
      </c>
      <c r="P450" s="849">
        <v>0.0</v>
      </c>
      <c r="Q450" s="849">
        <v>0.0</v>
      </c>
      <c r="R450" s="849">
        <v>0.0</v>
      </c>
      <c r="S450" s="849">
        <v>0.0</v>
      </c>
      <c r="T450" s="849">
        <v>0.0</v>
      </c>
      <c r="U450" s="849">
        <v>0.0</v>
      </c>
      <c r="V450" s="849">
        <v>0.0</v>
      </c>
      <c r="W450" s="849">
        <v>0.0</v>
      </c>
      <c r="X450" s="849">
        <v>0.0</v>
      </c>
      <c r="Y450" s="849">
        <v>0.0</v>
      </c>
      <c r="Z450" s="849">
        <v>0.0</v>
      </c>
      <c r="AA450" s="849">
        <v>0.0</v>
      </c>
      <c r="AB450" s="849">
        <v>0.0</v>
      </c>
      <c r="AC450" s="849">
        <v>0.0</v>
      </c>
      <c r="AD450" s="849">
        <v>0.0</v>
      </c>
      <c r="AE450" s="849">
        <v>0.0</v>
      </c>
      <c r="AF450" s="849">
        <v>0.0</v>
      </c>
      <c r="AG450" s="849">
        <v>0.0</v>
      </c>
      <c r="AH450" s="849">
        <v>0.0</v>
      </c>
      <c r="AI450" s="849">
        <v>0.0</v>
      </c>
      <c r="AJ450" s="794" t="str">
        <f t="shared" ref="AJ450:AK450" si="897">C450</f>
        <v>G32301</v>
      </c>
      <c r="AK450" s="794" t="str">
        <f t="shared" si="897"/>
        <v>REER COLLECTIF A PAYER</v>
      </c>
      <c r="AL450" s="794">
        <f t="array" ref="AL450">IFERROR(INDEX(G450:R450,1,MATCH(Parametres!$B$3,G$1:R$1,0)-1)*IF(OR(F450="L",F450="S",F450="I"),-1,1),"")</f>
        <v>0</v>
      </c>
      <c r="AM450" s="794">
        <f t="shared" si="4"/>
        <v>0</v>
      </c>
      <c r="AN450" s="794">
        <f t="array" ref="AN450">INDEX(G450:R450,1,MATCH(Parametres!$B$3,G$1:R$1,0))*IF(OR(F450="L",F450="S",F450="I"),-1,1)</f>
        <v>0</v>
      </c>
      <c r="AO450" s="853" t="str">
        <f>+VLOOKUP($AJ450,Data_Validation!$A:$D,1,0)</f>
        <v>#N/A</v>
      </c>
      <c r="AP450" s="853" t="str">
        <f>+VLOOKUP($AJ450,Data_Validation!$A:$D,3,0)</f>
        <v>#N/A</v>
      </c>
      <c r="AQ450" s="853" t="str">
        <f>+VLOOKUP($AJ450,Data_Validation!$A:$D,4,0)</f>
        <v>#N/A</v>
      </c>
      <c r="AR450" s="853" t="s">
        <v>728</v>
      </c>
      <c r="AS450" s="853" t="str">
        <f>+VLOOKUP($AJ450,Data_Validation!$A:$E,5,0)</f>
        <v>#N/A</v>
      </c>
      <c r="AT450" s="794" t="str">
        <f t="shared" ref="AT450:AU450" si="898">C450</f>
        <v>G32301</v>
      </c>
      <c r="AU450" s="854" t="str">
        <f t="shared" si="898"/>
        <v>REER COLLECTIF A PAYER</v>
      </c>
      <c r="AV450" s="794">
        <f t="array" ref="AV450">IFERROR(INDEX(V450:AG450,1,MATCH(Parametres!$B$3,V$1:AG$1,0)-1)*IF(OR(C450="L",C450="S",C450="I"),-1,1),"")</f>
        <v>0</v>
      </c>
      <c r="AW450" s="794">
        <f t="shared" si="6"/>
        <v>0</v>
      </c>
      <c r="AX450" s="794">
        <f t="array" ref="AX450">INDEX(V450:AG450,1,MATCH(Parametres!$B$3,V$1:AG$1,0))*IF(OR(C450="L",C450="S",C450="I"),-1,1)</f>
        <v>0</v>
      </c>
      <c r="AY450" s="853" t="s">
        <v>772</v>
      </c>
      <c r="AZ450" s="853" t="str">
        <f>+VLOOKUP($AJ450,Data_Validation!$A:$E,5,0)</f>
        <v>#N/A</v>
      </c>
    </row>
    <row r="451" ht="15.75" customHeight="1">
      <c r="A451" s="849" t="s">
        <v>1239</v>
      </c>
      <c r="B451" s="849">
        <v>2025.0</v>
      </c>
      <c r="C451" s="849" t="s">
        <v>2282</v>
      </c>
      <c r="D451" s="849" t="s">
        <v>2283</v>
      </c>
      <c r="E451" s="849" t="s">
        <v>768</v>
      </c>
      <c r="F451" s="849" t="s">
        <v>2057</v>
      </c>
      <c r="G451" s="849">
        <v>0.0</v>
      </c>
      <c r="H451" s="849">
        <v>0.0</v>
      </c>
      <c r="I451" s="849">
        <v>0.0</v>
      </c>
      <c r="J451" s="849">
        <v>0.0</v>
      </c>
      <c r="K451" s="849">
        <v>0.0</v>
      </c>
      <c r="L451" s="849">
        <v>0.0</v>
      </c>
      <c r="M451" s="849">
        <v>0.0</v>
      </c>
      <c r="N451" s="849">
        <v>0.0</v>
      </c>
      <c r="O451" s="849">
        <v>0.0</v>
      </c>
      <c r="P451" s="849">
        <v>0.0</v>
      </c>
      <c r="Q451" s="849">
        <v>0.0</v>
      </c>
      <c r="R451" s="849">
        <v>0.0</v>
      </c>
      <c r="S451" s="849">
        <v>0.0</v>
      </c>
      <c r="T451" s="849">
        <v>0.0</v>
      </c>
      <c r="U451" s="849">
        <v>0.0</v>
      </c>
      <c r="V451" s="849">
        <v>0.0</v>
      </c>
      <c r="W451" s="849">
        <v>0.0</v>
      </c>
      <c r="X451" s="849">
        <v>0.0</v>
      </c>
      <c r="Y451" s="849">
        <v>0.0</v>
      </c>
      <c r="Z451" s="849">
        <v>0.0</v>
      </c>
      <c r="AA451" s="849">
        <v>0.0</v>
      </c>
      <c r="AB451" s="849">
        <v>0.0</v>
      </c>
      <c r="AC451" s="849">
        <v>0.0</v>
      </c>
      <c r="AD451" s="849">
        <v>0.0</v>
      </c>
      <c r="AE451" s="849">
        <v>0.0</v>
      </c>
      <c r="AF451" s="849">
        <v>0.0</v>
      </c>
      <c r="AG451" s="849">
        <v>0.0</v>
      </c>
      <c r="AH451" s="849">
        <v>0.0</v>
      </c>
      <c r="AI451" s="849">
        <v>0.0</v>
      </c>
      <c r="AJ451" s="794" t="str">
        <f t="shared" ref="AJ451:AK451" si="899">C451</f>
        <v>G32302</v>
      </c>
      <c r="AK451" s="794" t="str">
        <f t="shared" si="899"/>
        <v>ASSURANCE CHOMAGE A PAYER</v>
      </c>
      <c r="AL451" s="794">
        <f t="array" ref="AL451">IFERROR(INDEX(G451:R451,1,MATCH(Parametres!$B$3,G$1:R$1,0)-1)*IF(OR(F451="L",F451="S",F451="I"),-1,1),"")</f>
        <v>0</v>
      </c>
      <c r="AM451" s="794">
        <f t="shared" si="4"/>
        <v>0</v>
      </c>
      <c r="AN451" s="794">
        <f t="array" ref="AN451">INDEX(G451:R451,1,MATCH(Parametres!$B$3,G$1:R$1,0))*IF(OR(F451="L",F451="S",F451="I"),-1,1)</f>
        <v>0</v>
      </c>
      <c r="AO451" s="853" t="str">
        <f>+VLOOKUP($AJ451,Data_Validation!$A:$D,1,0)</f>
        <v>G32302</v>
      </c>
      <c r="AP451" s="853" t="str">
        <f>+VLOOKUP($AJ451,Data_Validation!$A:$D,3,0)</f>
        <v/>
      </c>
      <c r="AQ451" s="853" t="str">
        <f>+VLOOKUP($AJ451,Data_Validation!$A:$D,4,0)</f>
        <v/>
      </c>
      <c r="AR451" s="853" t="s">
        <v>728</v>
      </c>
      <c r="AS451" s="853" t="str">
        <f>+VLOOKUP($AJ451,Data_Validation!$A:$E,5,0)</f>
        <v/>
      </c>
      <c r="AT451" s="794" t="str">
        <f t="shared" ref="AT451:AU451" si="900">C451</f>
        <v>G32302</v>
      </c>
      <c r="AU451" s="854" t="str">
        <f t="shared" si="900"/>
        <v>ASSURANCE CHOMAGE A PAYER</v>
      </c>
      <c r="AV451" s="794">
        <f t="array" ref="AV451">IFERROR(INDEX(V451:AG451,1,MATCH(Parametres!$B$3,V$1:AG$1,0)-1)*IF(OR(C451="L",C451="S",C451="I"),-1,1),"")</f>
        <v>0</v>
      </c>
      <c r="AW451" s="794">
        <f t="shared" si="6"/>
        <v>0</v>
      </c>
      <c r="AX451" s="794">
        <f t="array" ref="AX451">INDEX(V451:AG451,1,MATCH(Parametres!$B$3,V$1:AG$1,0))*IF(OR(C451="L",C451="S",C451="I"),-1,1)</f>
        <v>0</v>
      </c>
      <c r="AY451" s="853" t="s">
        <v>772</v>
      </c>
      <c r="AZ451" s="853" t="str">
        <f>+VLOOKUP($AJ451,Data_Validation!$A:$E,5,0)</f>
        <v/>
      </c>
    </row>
    <row r="452" ht="15.75" customHeight="1">
      <c r="A452" s="849" t="s">
        <v>1239</v>
      </c>
      <c r="B452" s="849">
        <v>2025.0</v>
      </c>
      <c r="C452" s="849" t="s">
        <v>2284</v>
      </c>
      <c r="D452" s="849" t="s">
        <v>2285</v>
      </c>
      <c r="E452" s="849" t="s">
        <v>768</v>
      </c>
      <c r="F452" s="849" t="s">
        <v>2057</v>
      </c>
      <c r="G452" s="849">
        <v>0.0</v>
      </c>
      <c r="H452" s="849">
        <v>0.0</v>
      </c>
      <c r="I452" s="849">
        <v>0.0</v>
      </c>
      <c r="J452" s="849">
        <v>0.0</v>
      </c>
      <c r="K452" s="849">
        <v>0.0</v>
      </c>
      <c r="L452" s="849">
        <v>0.0</v>
      </c>
      <c r="M452" s="849">
        <v>0.0</v>
      </c>
      <c r="N452" s="849">
        <v>0.0</v>
      </c>
      <c r="O452" s="849">
        <v>0.0</v>
      </c>
      <c r="P452" s="849">
        <v>0.0</v>
      </c>
      <c r="Q452" s="849">
        <v>0.0</v>
      </c>
      <c r="R452" s="849">
        <v>0.0</v>
      </c>
      <c r="S452" s="849">
        <v>0.0</v>
      </c>
      <c r="T452" s="849">
        <v>0.0</v>
      </c>
      <c r="U452" s="849">
        <v>0.0</v>
      </c>
      <c r="V452" s="849">
        <v>0.0</v>
      </c>
      <c r="W452" s="849">
        <v>0.0</v>
      </c>
      <c r="X452" s="849">
        <v>0.0</v>
      </c>
      <c r="Y452" s="849">
        <v>0.0</v>
      </c>
      <c r="Z452" s="849">
        <v>0.0</v>
      </c>
      <c r="AA452" s="849">
        <v>0.0</v>
      </c>
      <c r="AB452" s="849">
        <v>0.0</v>
      </c>
      <c r="AC452" s="849">
        <v>0.0</v>
      </c>
      <c r="AD452" s="849">
        <v>0.0</v>
      </c>
      <c r="AE452" s="849">
        <v>0.0</v>
      </c>
      <c r="AF452" s="849">
        <v>0.0</v>
      </c>
      <c r="AG452" s="849">
        <v>0.0</v>
      </c>
      <c r="AH452" s="849">
        <v>0.0</v>
      </c>
      <c r="AI452" s="849">
        <v>0.0</v>
      </c>
      <c r="AJ452" s="794" t="str">
        <f t="shared" ref="AJ452:AK452" si="901">C452</f>
        <v>G32303</v>
      </c>
      <c r="AK452" s="794" t="str">
        <f t="shared" si="901"/>
        <v>DON CHARITE A PAYER CENTR</v>
      </c>
      <c r="AL452" s="794">
        <f t="array" ref="AL452">IFERROR(INDEX(G452:R452,1,MATCH(Parametres!$B$3,G$1:R$1,0)-1)*IF(OR(F452="L",F452="S",F452="I"),-1,1),"")</f>
        <v>0</v>
      </c>
      <c r="AM452" s="794">
        <f t="shared" si="4"/>
        <v>0</v>
      </c>
      <c r="AN452" s="794">
        <f t="array" ref="AN452">INDEX(G452:R452,1,MATCH(Parametres!$B$3,G$1:R$1,0))*IF(OR(F452="L",F452="S",F452="I"),-1,1)</f>
        <v>0</v>
      </c>
      <c r="AO452" s="853" t="str">
        <f>+VLOOKUP($AJ452,Data_Validation!$A:$D,1,0)</f>
        <v>#N/A</v>
      </c>
      <c r="AP452" s="853" t="str">
        <f>+VLOOKUP($AJ452,Data_Validation!$A:$D,3,0)</f>
        <v>#N/A</v>
      </c>
      <c r="AQ452" s="853" t="str">
        <f>+VLOOKUP($AJ452,Data_Validation!$A:$D,4,0)</f>
        <v>#N/A</v>
      </c>
      <c r="AR452" s="853" t="s">
        <v>728</v>
      </c>
      <c r="AS452" s="853" t="str">
        <f>+VLOOKUP($AJ452,Data_Validation!$A:$E,5,0)</f>
        <v>#N/A</v>
      </c>
      <c r="AT452" s="794" t="str">
        <f t="shared" ref="AT452:AU452" si="902">C452</f>
        <v>G32303</v>
      </c>
      <c r="AU452" s="854" t="str">
        <f t="shared" si="902"/>
        <v>DON CHARITE A PAYER CENTR</v>
      </c>
      <c r="AV452" s="794">
        <f t="array" ref="AV452">IFERROR(INDEX(V452:AG452,1,MATCH(Parametres!$B$3,V$1:AG$1,0)-1)*IF(OR(C452="L",C452="S",C452="I"),-1,1),"")</f>
        <v>0</v>
      </c>
      <c r="AW452" s="794">
        <f t="shared" si="6"/>
        <v>0</v>
      </c>
      <c r="AX452" s="794">
        <f t="array" ref="AX452">INDEX(V452:AG452,1,MATCH(Parametres!$B$3,V$1:AG$1,0))*IF(OR(C452="L",C452="S",C452="I"),-1,1)</f>
        <v>0</v>
      </c>
      <c r="AY452" s="853" t="s">
        <v>772</v>
      </c>
      <c r="AZ452" s="853" t="str">
        <f>+VLOOKUP($AJ452,Data_Validation!$A:$E,5,0)</f>
        <v>#N/A</v>
      </c>
    </row>
    <row r="453" ht="15.0" customHeight="1">
      <c r="A453" s="849" t="s">
        <v>1239</v>
      </c>
      <c r="B453" s="849">
        <v>2025.0</v>
      </c>
      <c r="C453" s="849" t="s">
        <v>2286</v>
      </c>
      <c r="D453" s="849" t="s">
        <v>2287</v>
      </c>
      <c r="E453" s="849" t="s">
        <v>768</v>
      </c>
      <c r="F453" s="849" t="s">
        <v>2057</v>
      </c>
      <c r="G453" s="849">
        <v>-625347.0</v>
      </c>
      <c r="H453" s="849">
        <v>-625347.0</v>
      </c>
      <c r="I453" s="849">
        <v>-680404.0</v>
      </c>
      <c r="J453" s="849">
        <v>-735461.0</v>
      </c>
      <c r="K453" s="849">
        <v>-790518.0</v>
      </c>
      <c r="L453" s="849">
        <v>-247656.78</v>
      </c>
      <c r="M453" s="849">
        <v>-275719.78</v>
      </c>
      <c r="N453" s="849">
        <v>-303782.78</v>
      </c>
      <c r="O453" s="849">
        <v>-331845.78</v>
      </c>
      <c r="P453" s="849">
        <v>-352845.78</v>
      </c>
      <c r="Q453" s="849">
        <v>-352845.78</v>
      </c>
      <c r="R453" s="849">
        <v>-352845.78</v>
      </c>
      <c r="S453" s="849">
        <v>0.0</v>
      </c>
      <c r="T453" s="849">
        <v>0.0</v>
      </c>
      <c r="U453" s="849">
        <v>0.0</v>
      </c>
      <c r="V453" s="849">
        <v>0.0</v>
      </c>
      <c r="W453" s="849">
        <v>0.0</v>
      </c>
      <c r="X453" s="849">
        <v>0.0</v>
      </c>
      <c r="Y453" s="849">
        <v>0.0</v>
      </c>
      <c r="Z453" s="849">
        <v>0.0</v>
      </c>
      <c r="AA453" s="849">
        <v>0.0</v>
      </c>
      <c r="AB453" s="849">
        <v>0.0</v>
      </c>
      <c r="AC453" s="849">
        <v>0.0</v>
      </c>
      <c r="AD453" s="849">
        <v>0.0</v>
      </c>
      <c r="AE453" s="849">
        <v>0.0</v>
      </c>
      <c r="AF453" s="849">
        <v>0.0</v>
      </c>
      <c r="AG453" s="849">
        <v>0.0</v>
      </c>
      <c r="AH453" s="849">
        <v>0.0</v>
      </c>
      <c r="AI453" s="849">
        <v>0.0</v>
      </c>
      <c r="AJ453" s="794" t="str">
        <f t="shared" ref="AJ453:AK453" si="903">C453</f>
        <v>G32304</v>
      </c>
      <c r="AK453" s="794" t="str">
        <f t="shared" si="903"/>
        <v>IMPOT FEDERAL A PAYER</v>
      </c>
      <c r="AL453" s="794">
        <f t="array" ref="AL453">IFERROR(INDEX(G453:R453,1,MATCH(Parametres!$B$3,G$1:R$1,0)-1)*IF(OR(F453="L",F453="S",F453="I"),-1,1),"")</f>
        <v>303782.78</v>
      </c>
      <c r="AM453" s="794">
        <f t="shared" si="4"/>
        <v>28063</v>
      </c>
      <c r="AN453" s="794">
        <f t="array" ref="AN453">INDEX(G453:R453,1,MATCH(Parametres!$B$3,G$1:R$1,0))*IF(OR(F453="L",F453="S",F453="I"),-1,1)</f>
        <v>331845.78</v>
      </c>
      <c r="AO453" s="853" t="str">
        <f>+VLOOKUP($AJ453,Data_Validation!$A:$D,1,0)</f>
        <v>G32304</v>
      </c>
      <c r="AP453" s="853" t="str">
        <f>+VLOOKUP($AJ453,Data_Validation!$A:$D,3,0)</f>
        <v>Bilan</v>
      </c>
      <c r="AQ453" s="853" t="str">
        <f>+VLOOKUP($AJ453,Data_Validation!$A:$D,4,0)</f>
        <v>Frais Payés d'Avance</v>
      </c>
      <c r="AR453" s="853" t="s">
        <v>728</v>
      </c>
      <c r="AS453" s="853" t="str">
        <f>+VLOOKUP($AJ453,Data_Validation!$A:$E,5,0)</f>
        <v/>
      </c>
      <c r="AT453" s="794" t="str">
        <f t="shared" ref="AT453:AU453" si="904">C453</f>
        <v>G32304</v>
      </c>
      <c r="AU453" s="854" t="str">
        <f t="shared" si="904"/>
        <v>IMPOT FEDERAL A PAYER</v>
      </c>
      <c r="AV453" s="794">
        <f t="array" ref="AV453">IFERROR(INDEX(V453:AG453,1,MATCH(Parametres!$B$3,V$1:AG$1,0)-1)*IF(OR(C453="L",C453="S",C453="I"),-1,1),"")</f>
        <v>0</v>
      </c>
      <c r="AW453" s="794">
        <f t="shared" si="6"/>
        <v>0</v>
      </c>
      <c r="AX453" s="794">
        <f t="array" ref="AX453">INDEX(V453:AG453,1,MATCH(Parametres!$B$3,V$1:AG$1,0))*IF(OR(C453="L",C453="S",C453="I"),-1,1)</f>
        <v>0</v>
      </c>
      <c r="AY453" s="853" t="s">
        <v>772</v>
      </c>
      <c r="AZ453" s="853" t="str">
        <f>+VLOOKUP($AJ453,Data_Validation!$A:$E,5,0)</f>
        <v/>
      </c>
    </row>
    <row r="454" ht="15.0" customHeight="1">
      <c r="A454" s="849" t="s">
        <v>1239</v>
      </c>
      <c r="B454" s="849">
        <v>2025.0</v>
      </c>
      <c r="C454" s="849" t="s">
        <v>2288</v>
      </c>
      <c r="D454" s="849" t="s">
        <v>2289</v>
      </c>
      <c r="E454" s="849" t="s">
        <v>768</v>
      </c>
      <c r="F454" s="849" t="s">
        <v>2057</v>
      </c>
      <c r="G454" s="849">
        <v>0.0</v>
      </c>
      <c r="H454" s="849">
        <v>0.0</v>
      </c>
      <c r="I454" s="849">
        <v>0.0</v>
      </c>
      <c r="J454" s="849">
        <v>0.0</v>
      </c>
      <c r="K454" s="849">
        <v>0.0</v>
      </c>
      <c r="L454" s="849">
        <v>0.0</v>
      </c>
      <c r="M454" s="849">
        <v>0.0</v>
      </c>
      <c r="N454" s="849">
        <v>0.0</v>
      </c>
      <c r="O454" s="849">
        <v>0.0</v>
      </c>
      <c r="P454" s="849">
        <v>0.0</v>
      </c>
      <c r="Q454" s="849">
        <v>0.0</v>
      </c>
      <c r="R454" s="849">
        <v>0.0</v>
      </c>
      <c r="S454" s="849">
        <v>0.0</v>
      </c>
      <c r="T454" s="849">
        <v>0.0</v>
      </c>
      <c r="U454" s="849">
        <v>0.0</v>
      </c>
      <c r="V454" s="849">
        <v>0.0</v>
      </c>
      <c r="W454" s="849">
        <v>0.0</v>
      </c>
      <c r="X454" s="849">
        <v>0.0</v>
      </c>
      <c r="Y454" s="849">
        <v>0.0</v>
      </c>
      <c r="Z454" s="849">
        <v>0.0</v>
      </c>
      <c r="AA454" s="849">
        <v>0.0</v>
      </c>
      <c r="AB454" s="849">
        <v>0.0</v>
      </c>
      <c r="AC454" s="849">
        <v>0.0</v>
      </c>
      <c r="AD454" s="849">
        <v>0.0</v>
      </c>
      <c r="AE454" s="849">
        <v>0.0</v>
      </c>
      <c r="AF454" s="849">
        <v>0.0</v>
      </c>
      <c r="AG454" s="849">
        <v>0.0</v>
      </c>
      <c r="AH454" s="849">
        <v>0.0</v>
      </c>
      <c r="AI454" s="849">
        <v>0.0</v>
      </c>
      <c r="AJ454" s="794" t="str">
        <f t="shared" ref="AJ454:AK454" si="905">C454</f>
        <v>G32305</v>
      </c>
      <c r="AK454" s="794" t="str">
        <f t="shared" si="905"/>
        <v>REGIME ASS. MALADIE PAYER</v>
      </c>
      <c r="AL454" s="794">
        <f t="array" ref="AL454">IFERROR(INDEX(G454:R454,1,MATCH(Parametres!$B$3,G$1:R$1,0)-1)*IF(OR(F454="L",F454="S",F454="I"),-1,1),"")</f>
        <v>0</v>
      </c>
      <c r="AM454" s="794">
        <f t="shared" si="4"/>
        <v>0</v>
      </c>
      <c r="AN454" s="794">
        <f t="array" ref="AN454">INDEX(G454:R454,1,MATCH(Parametres!$B$3,G$1:R$1,0))*IF(OR(F454="L",F454="S",F454="I"),-1,1)</f>
        <v>0</v>
      </c>
      <c r="AO454" s="853" t="str">
        <f>+VLOOKUP($AJ454,Data_Validation!$A:$D,1,0)</f>
        <v>G32305</v>
      </c>
      <c r="AP454" s="853" t="str">
        <f>+VLOOKUP($AJ454,Data_Validation!$A:$D,3,0)</f>
        <v/>
      </c>
      <c r="AQ454" s="853" t="str">
        <f>+VLOOKUP($AJ454,Data_Validation!$A:$D,4,0)</f>
        <v/>
      </c>
      <c r="AR454" s="853" t="s">
        <v>728</v>
      </c>
      <c r="AS454" s="853" t="str">
        <f>+VLOOKUP($AJ454,Data_Validation!$A:$E,5,0)</f>
        <v/>
      </c>
      <c r="AT454" s="794" t="str">
        <f t="shared" ref="AT454:AU454" si="906">C454</f>
        <v>G32305</v>
      </c>
      <c r="AU454" s="854" t="str">
        <f t="shared" si="906"/>
        <v>REGIME ASS. MALADIE PAYER</v>
      </c>
      <c r="AV454" s="794">
        <f t="array" ref="AV454">IFERROR(INDEX(V454:AG454,1,MATCH(Parametres!$B$3,V$1:AG$1,0)-1)*IF(OR(C454="L",C454="S",C454="I"),-1,1),"")</f>
        <v>0</v>
      </c>
      <c r="AW454" s="794">
        <f t="shared" si="6"/>
        <v>0</v>
      </c>
      <c r="AX454" s="794">
        <f t="array" ref="AX454">INDEX(V454:AG454,1,MATCH(Parametres!$B$3,V$1:AG$1,0))*IF(OR(C454="L",C454="S",C454="I"),-1,1)</f>
        <v>0</v>
      </c>
      <c r="AY454" s="853" t="s">
        <v>772</v>
      </c>
      <c r="AZ454" s="853" t="str">
        <f>+VLOOKUP($AJ454,Data_Validation!$A:$E,5,0)</f>
        <v/>
      </c>
    </row>
    <row r="455" ht="15.0" customHeight="1">
      <c r="A455" s="849" t="s">
        <v>1239</v>
      </c>
      <c r="B455" s="849">
        <v>2025.0</v>
      </c>
      <c r="C455" s="849" t="s">
        <v>2290</v>
      </c>
      <c r="D455" s="849" t="s">
        <v>2291</v>
      </c>
      <c r="E455" s="849" t="s">
        <v>768</v>
      </c>
      <c r="F455" s="849" t="s">
        <v>2057</v>
      </c>
      <c r="G455" s="849">
        <v>-481372.0</v>
      </c>
      <c r="H455" s="849">
        <v>-519100.0</v>
      </c>
      <c r="I455" s="849">
        <v>-556828.0</v>
      </c>
      <c r="J455" s="849">
        <v>-594556.0</v>
      </c>
      <c r="K455" s="849">
        <v>-632284.0</v>
      </c>
      <c r="L455" s="849">
        <v>-320763.73</v>
      </c>
      <c r="M455" s="849">
        <v>-342265.73</v>
      </c>
      <c r="N455" s="849">
        <v>-342265.73</v>
      </c>
      <c r="O455" s="849">
        <v>-342265.73</v>
      </c>
      <c r="P455" s="849">
        <v>-363265.73</v>
      </c>
      <c r="Q455" s="849">
        <v>-363265.73</v>
      </c>
      <c r="R455" s="849">
        <v>-363265.73</v>
      </c>
      <c r="S455" s="849">
        <v>0.0</v>
      </c>
      <c r="T455" s="849">
        <v>0.0</v>
      </c>
      <c r="U455" s="849">
        <v>0.0</v>
      </c>
      <c r="V455" s="849">
        <v>0.0</v>
      </c>
      <c r="W455" s="849">
        <v>0.0</v>
      </c>
      <c r="X455" s="849">
        <v>0.0</v>
      </c>
      <c r="Y455" s="849">
        <v>0.0</v>
      </c>
      <c r="Z455" s="849">
        <v>0.0</v>
      </c>
      <c r="AA455" s="849">
        <v>0.0</v>
      </c>
      <c r="AB455" s="849">
        <v>0.0</v>
      </c>
      <c r="AC455" s="849">
        <v>0.0</v>
      </c>
      <c r="AD455" s="849">
        <v>0.0</v>
      </c>
      <c r="AE455" s="849">
        <v>0.0</v>
      </c>
      <c r="AF455" s="849">
        <v>0.0</v>
      </c>
      <c r="AG455" s="849">
        <v>0.0</v>
      </c>
      <c r="AH455" s="849">
        <v>0.0</v>
      </c>
      <c r="AI455" s="849">
        <v>0.0</v>
      </c>
      <c r="AJ455" s="794" t="str">
        <f t="shared" ref="AJ455:AK455" si="907">C455</f>
        <v>G32306</v>
      </c>
      <c r="AK455" s="794" t="str">
        <f t="shared" si="907"/>
        <v>IMPOT PROVINCIAL A PAYER</v>
      </c>
      <c r="AL455" s="794">
        <f t="array" ref="AL455">IFERROR(INDEX(G455:R455,1,MATCH(Parametres!$B$3,G$1:R$1,0)-1)*IF(OR(F455="L",F455="S",F455="I"),-1,1),"")</f>
        <v>342265.73</v>
      </c>
      <c r="AM455" s="794">
        <f t="shared" si="4"/>
        <v>0</v>
      </c>
      <c r="AN455" s="794">
        <f t="array" ref="AN455">INDEX(G455:R455,1,MATCH(Parametres!$B$3,G$1:R$1,0))*IF(OR(F455="L",F455="S",F455="I"),-1,1)</f>
        <v>342265.73</v>
      </c>
      <c r="AO455" s="853" t="str">
        <f>+VLOOKUP($AJ455,Data_Validation!$A:$D,1,0)</f>
        <v>G32306</v>
      </c>
      <c r="AP455" s="853" t="str">
        <f>+VLOOKUP($AJ455,Data_Validation!$A:$D,3,0)</f>
        <v>Bilan</v>
      </c>
      <c r="AQ455" s="853" t="str">
        <f>+VLOOKUP($AJ455,Data_Validation!$A:$D,4,0)</f>
        <v>Frais Payés d'Avance</v>
      </c>
      <c r="AR455" s="853" t="s">
        <v>728</v>
      </c>
      <c r="AS455" s="853" t="str">
        <f>+VLOOKUP($AJ455,Data_Validation!$A:$E,5,0)</f>
        <v/>
      </c>
      <c r="AT455" s="794" t="str">
        <f t="shared" ref="AT455:AU455" si="908">C455</f>
        <v>G32306</v>
      </c>
      <c r="AU455" s="854" t="str">
        <f t="shared" si="908"/>
        <v>IMPOT PROVINCIAL A PAYER</v>
      </c>
      <c r="AV455" s="794">
        <f t="array" ref="AV455">IFERROR(INDEX(V455:AG455,1,MATCH(Parametres!$B$3,V$1:AG$1,0)-1)*IF(OR(C455="L",C455="S",C455="I"),-1,1),"")</f>
        <v>0</v>
      </c>
      <c r="AW455" s="794">
        <f t="shared" si="6"/>
        <v>0</v>
      </c>
      <c r="AX455" s="794">
        <f t="array" ref="AX455">INDEX(V455:AG455,1,MATCH(Parametres!$B$3,V$1:AG$1,0))*IF(OR(C455="L",C455="S",C455="I"),-1,1)</f>
        <v>0</v>
      </c>
      <c r="AY455" s="853" t="s">
        <v>772</v>
      </c>
      <c r="AZ455" s="853" t="str">
        <f>+VLOOKUP($AJ455,Data_Validation!$A:$E,5,0)</f>
        <v/>
      </c>
    </row>
    <row r="456" ht="15.0" customHeight="1">
      <c r="A456" s="849" t="s">
        <v>1239</v>
      </c>
      <c r="B456" s="849">
        <v>2025.0</v>
      </c>
      <c r="C456" s="849" t="s">
        <v>2292</v>
      </c>
      <c r="D456" s="849" t="s">
        <v>2293</v>
      </c>
      <c r="E456" s="849" t="s">
        <v>768</v>
      </c>
      <c r="F456" s="849" t="s">
        <v>2057</v>
      </c>
      <c r="G456" s="849">
        <v>0.0</v>
      </c>
      <c r="H456" s="849">
        <v>0.0</v>
      </c>
      <c r="I456" s="849">
        <v>0.0</v>
      </c>
      <c r="J456" s="849">
        <v>0.0</v>
      </c>
      <c r="K456" s="849">
        <v>0.0</v>
      </c>
      <c r="L456" s="849">
        <v>0.0</v>
      </c>
      <c r="M456" s="849">
        <v>0.0</v>
      </c>
      <c r="N456" s="849">
        <v>0.0</v>
      </c>
      <c r="O456" s="849">
        <v>0.0</v>
      </c>
      <c r="P456" s="849">
        <v>0.0</v>
      </c>
      <c r="Q456" s="849">
        <v>0.0</v>
      </c>
      <c r="R456" s="849">
        <v>0.0</v>
      </c>
      <c r="S456" s="849">
        <v>0.0</v>
      </c>
      <c r="T456" s="849">
        <v>0.0</v>
      </c>
      <c r="U456" s="849">
        <v>0.0</v>
      </c>
      <c r="V456" s="849">
        <v>0.0</v>
      </c>
      <c r="W456" s="849">
        <v>0.0</v>
      </c>
      <c r="X456" s="849">
        <v>0.0</v>
      </c>
      <c r="Y456" s="849">
        <v>0.0</v>
      </c>
      <c r="Z456" s="849">
        <v>0.0</v>
      </c>
      <c r="AA456" s="849">
        <v>0.0</v>
      </c>
      <c r="AB456" s="849">
        <v>0.0</v>
      </c>
      <c r="AC456" s="849">
        <v>0.0</v>
      </c>
      <c r="AD456" s="849">
        <v>0.0</v>
      </c>
      <c r="AE456" s="849">
        <v>0.0</v>
      </c>
      <c r="AF456" s="849">
        <v>0.0</v>
      </c>
      <c r="AG456" s="849">
        <v>0.0</v>
      </c>
      <c r="AH456" s="849">
        <v>0.0</v>
      </c>
      <c r="AI456" s="849">
        <v>0.0</v>
      </c>
      <c r="AJ456" s="794" t="str">
        <f t="shared" ref="AJ456:AK456" si="909">C456</f>
        <v>G32307</v>
      </c>
      <c r="AK456" s="794" t="str">
        <f t="shared" si="909"/>
        <v>REGIME DES RENTES QUEBEC</v>
      </c>
      <c r="AL456" s="794">
        <f t="array" ref="AL456">IFERROR(INDEX(G456:R456,1,MATCH(Parametres!$B$3,G$1:R$1,0)-1)*IF(OR(F456="L",F456="S",F456="I"),-1,1),"")</f>
        <v>0</v>
      </c>
      <c r="AM456" s="794">
        <f t="shared" si="4"/>
        <v>0</v>
      </c>
      <c r="AN456" s="794">
        <f t="array" ref="AN456">INDEX(G456:R456,1,MATCH(Parametres!$B$3,G$1:R$1,0))*IF(OR(F456="L",F456="S",F456="I"),-1,1)</f>
        <v>0</v>
      </c>
      <c r="AO456" s="853" t="str">
        <f>+VLOOKUP($AJ456,Data_Validation!$A:$D,1,0)</f>
        <v>G32307</v>
      </c>
      <c r="AP456" s="853" t="str">
        <f>+VLOOKUP($AJ456,Data_Validation!$A:$D,3,0)</f>
        <v/>
      </c>
      <c r="AQ456" s="853" t="str">
        <f>+VLOOKUP($AJ456,Data_Validation!$A:$D,4,0)</f>
        <v/>
      </c>
      <c r="AR456" s="853" t="s">
        <v>728</v>
      </c>
      <c r="AS456" s="853" t="str">
        <f>+VLOOKUP($AJ456,Data_Validation!$A:$E,5,0)</f>
        <v/>
      </c>
      <c r="AT456" s="794" t="str">
        <f t="shared" ref="AT456:AU456" si="910">C456</f>
        <v>G32307</v>
      </c>
      <c r="AU456" s="854" t="str">
        <f t="shared" si="910"/>
        <v>REGIME DES RENTES QUEBEC</v>
      </c>
      <c r="AV456" s="794">
        <f t="array" ref="AV456">IFERROR(INDEX(V456:AG456,1,MATCH(Parametres!$B$3,V$1:AG$1,0)-1)*IF(OR(C456="L",C456="S",C456="I"),-1,1),"")</f>
        <v>0</v>
      </c>
      <c r="AW456" s="794">
        <f t="shared" si="6"/>
        <v>0</v>
      </c>
      <c r="AX456" s="794">
        <f t="array" ref="AX456">INDEX(V456:AG456,1,MATCH(Parametres!$B$3,V$1:AG$1,0))*IF(OR(C456="L",C456="S",C456="I"),-1,1)</f>
        <v>0</v>
      </c>
      <c r="AY456" s="853" t="s">
        <v>772</v>
      </c>
      <c r="AZ456" s="853" t="str">
        <f>+VLOOKUP($AJ456,Data_Validation!$A:$E,5,0)</f>
        <v/>
      </c>
    </row>
    <row r="457" ht="15.0" customHeight="1">
      <c r="A457" s="849" t="s">
        <v>1239</v>
      </c>
      <c r="B457" s="849">
        <v>2025.0</v>
      </c>
      <c r="C457" s="849" t="s">
        <v>2294</v>
      </c>
      <c r="D457" s="849" t="s">
        <v>2295</v>
      </c>
      <c r="E457" s="849" t="s">
        <v>768</v>
      </c>
      <c r="F457" s="849" t="s">
        <v>2057</v>
      </c>
      <c r="G457" s="849">
        <v>0.0</v>
      </c>
      <c r="H457" s="849">
        <v>0.0</v>
      </c>
      <c r="I457" s="849">
        <v>0.0</v>
      </c>
      <c r="J457" s="849">
        <v>0.0</v>
      </c>
      <c r="K457" s="849">
        <v>0.0</v>
      </c>
      <c r="L457" s="849">
        <v>0.0</v>
      </c>
      <c r="M457" s="849">
        <v>0.0</v>
      </c>
      <c r="N457" s="849">
        <v>0.0</v>
      </c>
      <c r="O457" s="849">
        <v>0.0</v>
      </c>
      <c r="P457" s="849">
        <v>0.0</v>
      </c>
      <c r="Q457" s="849">
        <v>0.0</v>
      </c>
      <c r="R457" s="849">
        <v>0.0</v>
      </c>
      <c r="S457" s="849">
        <v>0.0</v>
      </c>
      <c r="T457" s="849">
        <v>0.0</v>
      </c>
      <c r="U457" s="849">
        <v>0.0</v>
      </c>
      <c r="V457" s="849">
        <v>0.0</v>
      </c>
      <c r="W457" s="849">
        <v>0.0</v>
      </c>
      <c r="X457" s="849">
        <v>0.0</v>
      </c>
      <c r="Y457" s="849">
        <v>0.0</v>
      </c>
      <c r="Z457" s="849">
        <v>0.0</v>
      </c>
      <c r="AA457" s="849">
        <v>0.0</v>
      </c>
      <c r="AB457" s="849">
        <v>0.0</v>
      </c>
      <c r="AC457" s="849">
        <v>0.0</v>
      </c>
      <c r="AD457" s="849">
        <v>0.0</v>
      </c>
      <c r="AE457" s="849">
        <v>0.0</v>
      </c>
      <c r="AF457" s="849">
        <v>0.0</v>
      </c>
      <c r="AG457" s="849">
        <v>0.0</v>
      </c>
      <c r="AH457" s="849">
        <v>0.0</v>
      </c>
      <c r="AI457" s="849">
        <v>0.0</v>
      </c>
      <c r="AJ457" s="794" t="str">
        <f t="shared" ref="AJ457:AK457" si="911">C457</f>
        <v>G32308</v>
      </c>
      <c r="AK457" s="794" t="str">
        <f t="shared" si="911"/>
        <v>COTISATIONS COMITE EMPLOY</v>
      </c>
      <c r="AL457" s="794">
        <f t="array" ref="AL457">IFERROR(INDEX(G457:R457,1,MATCH(Parametres!$B$3,G$1:R$1,0)-1)*IF(OR(F457="L",F457="S",F457="I"),-1,1),"")</f>
        <v>0</v>
      </c>
      <c r="AM457" s="794">
        <f t="shared" si="4"/>
        <v>0</v>
      </c>
      <c r="AN457" s="794">
        <f t="array" ref="AN457">INDEX(G457:R457,1,MATCH(Parametres!$B$3,G$1:R$1,0))*IF(OR(F457="L",F457="S",F457="I"),-1,1)</f>
        <v>0</v>
      </c>
      <c r="AO457" s="853" t="str">
        <f>+VLOOKUP($AJ457,Data_Validation!$A:$D,1,0)</f>
        <v>#N/A</v>
      </c>
      <c r="AP457" s="853" t="str">
        <f>+VLOOKUP($AJ457,Data_Validation!$A:$D,3,0)</f>
        <v>#N/A</v>
      </c>
      <c r="AQ457" s="853" t="str">
        <f>+VLOOKUP($AJ457,Data_Validation!$A:$D,4,0)</f>
        <v>#N/A</v>
      </c>
      <c r="AR457" s="853" t="s">
        <v>728</v>
      </c>
      <c r="AS457" s="853" t="str">
        <f>+VLOOKUP($AJ457,Data_Validation!$A:$E,5,0)</f>
        <v>#N/A</v>
      </c>
      <c r="AT457" s="794" t="str">
        <f t="shared" ref="AT457:AU457" si="912">C457</f>
        <v>G32308</v>
      </c>
      <c r="AU457" s="854" t="str">
        <f t="shared" si="912"/>
        <v>COTISATIONS COMITE EMPLOY</v>
      </c>
      <c r="AV457" s="794">
        <f t="array" ref="AV457">IFERROR(INDEX(V457:AG457,1,MATCH(Parametres!$B$3,V$1:AG$1,0)-1)*IF(OR(C457="L",C457="S",C457="I"),-1,1),"")</f>
        <v>0</v>
      </c>
      <c r="AW457" s="794">
        <f t="shared" si="6"/>
        <v>0</v>
      </c>
      <c r="AX457" s="794">
        <f t="array" ref="AX457">INDEX(V457:AG457,1,MATCH(Parametres!$B$3,V$1:AG$1,0))*IF(OR(C457="L",C457="S",C457="I"),-1,1)</f>
        <v>0</v>
      </c>
      <c r="AY457" s="853" t="s">
        <v>772</v>
      </c>
      <c r="AZ457" s="853" t="str">
        <f>+VLOOKUP($AJ457,Data_Validation!$A:$E,5,0)</f>
        <v>#N/A</v>
      </c>
    </row>
    <row r="458" ht="15.0" customHeight="1">
      <c r="A458" s="849" t="s">
        <v>1239</v>
      </c>
      <c r="B458" s="849">
        <v>2025.0</v>
      </c>
      <c r="C458" s="849" t="s">
        <v>2296</v>
      </c>
      <c r="D458" s="849" t="s">
        <v>2297</v>
      </c>
      <c r="E458" s="849" t="s">
        <v>768</v>
      </c>
      <c r="F458" s="849" t="s">
        <v>2057</v>
      </c>
      <c r="G458" s="849">
        <v>0.0</v>
      </c>
      <c r="H458" s="849">
        <v>0.0</v>
      </c>
      <c r="I458" s="849">
        <v>0.0</v>
      </c>
      <c r="J458" s="849">
        <v>0.0</v>
      </c>
      <c r="K458" s="849">
        <v>0.0</v>
      </c>
      <c r="L458" s="849">
        <v>0.0</v>
      </c>
      <c r="M458" s="849">
        <v>0.0</v>
      </c>
      <c r="N458" s="849">
        <v>0.0</v>
      </c>
      <c r="O458" s="849">
        <v>0.0</v>
      </c>
      <c r="P458" s="849">
        <v>0.0</v>
      </c>
      <c r="Q458" s="849">
        <v>0.0</v>
      </c>
      <c r="R458" s="849">
        <v>0.0</v>
      </c>
      <c r="S458" s="849">
        <v>0.0</v>
      </c>
      <c r="T458" s="849">
        <v>0.0</v>
      </c>
      <c r="U458" s="849">
        <v>0.0</v>
      </c>
      <c r="V458" s="849">
        <v>0.0</v>
      </c>
      <c r="W458" s="849">
        <v>0.0</v>
      </c>
      <c r="X458" s="849">
        <v>0.0</v>
      </c>
      <c r="Y458" s="849">
        <v>0.0</v>
      </c>
      <c r="Z458" s="849">
        <v>0.0</v>
      </c>
      <c r="AA458" s="849">
        <v>0.0</v>
      </c>
      <c r="AB458" s="849">
        <v>0.0</v>
      </c>
      <c r="AC458" s="849">
        <v>0.0</v>
      </c>
      <c r="AD458" s="849">
        <v>0.0</v>
      </c>
      <c r="AE458" s="849">
        <v>0.0</v>
      </c>
      <c r="AF458" s="849">
        <v>0.0</v>
      </c>
      <c r="AG458" s="849">
        <v>0.0</v>
      </c>
      <c r="AH458" s="849">
        <v>0.0</v>
      </c>
      <c r="AI458" s="849">
        <v>0.0</v>
      </c>
      <c r="AJ458" s="794" t="str">
        <f t="shared" ref="AJ458:AK458" si="913">C458</f>
        <v>G32309</v>
      </c>
      <c r="AK458" s="794" t="str">
        <f t="shared" si="913"/>
        <v>FONDS PENSION EMPLOYES</v>
      </c>
      <c r="AL458" s="794">
        <f t="array" ref="AL458">IFERROR(INDEX(G458:R458,1,MATCH(Parametres!$B$3,G$1:R$1,0)-1)*IF(OR(F458="L",F458="S",F458="I"),-1,1),"")</f>
        <v>0</v>
      </c>
      <c r="AM458" s="794">
        <f t="shared" si="4"/>
        <v>0</v>
      </c>
      <c r="AN458" s="794">
        <f t="array" ref="AN458">INDEX(G458:R458,1,MATCH(Parametres!$B$3,G$1:R$1,0))*IF(OR(F458="L",F458="S",F458="I"),-1,1)</f>
        <v>0</v>
      </c>
      <c r="AO458" s="853" t="str">
        <f>+VLOOKUP($AJ458,Data_Validation!$A:$D,1,0)</f>
        <v>G32309</v>
      </c>
      <c r="AP458" s="853" t="str">
        <f>+VLOOKUP($AJ458,Data_Validation!$A:$D,3,0)</f>
        <v/>
      </c>
      <c r="AQ458" s="853" t="str">
        <f>+VLOOKUP($AJ458,Data_Validation!$A:$D,4,0)</f>
        <v/>
      </c>
      <c r="AR458" s="853" t="s">
        <v>728</v>
      </c>
      <c r="AS458" s="853" t="str">
        <f>+VLOOKUP($AJ458,Data_Validation!$A:$E,5,0)</f>
        <v/>
      </c>
      <c r="AT458" s="794" t="str">
        <f t="shared" ref="AT458:AU458" si="914">C458</f>
        <v>G32309</v>
      </c>
      <c r="AU458" s="854" t="str">
        <f t="shared" si="914"/>
        <v>FONDS PENSION EMPLOYES</v>
      </c>
      <c r="AV458" s="794">
        <f t="array" ref="AV458">IFERROR(INDEX(V458:AG458,1,MATCH(Parametres!$B$3,V$1:AG$1,0)-1)*IF(OR(C458="L",C458="S",C458="I"),-1,1),"")</f>
        <v>0</v>
      </c>
      <c r="AW458" s="794">
        <f t="shared" si="6"/>
        <v>0</v>
      </c>
      <c r="AX458" s="794">
        <f t="array" ref="AX458">INDEX(V458:AG458,1,MATCH(Parametres!$B$3,V$1:AG$1,0))*IF(OR(C458="L",C458="S",C458="I"),-1,1)</f>
        <v>0</v>
      </c>
      <c r="AY458" s="853" t="s">
        <v>772</v>
      </c>
      <c r="AZ458" s="853" t="str">
        <f>+VLOOKUP($AJ458,Data_Validation!$A:$E,5,0)</f>
        <v/>
      </c>
    </row>
    <row r="459" ht="15.0" customHeight="1">
      <c r="A459" s="849" t="s">
        <v>1239</v>
      </c>
      <c r="B459" s="849">
        <v>2025.0</v>
      </c>
      <c r="C459" s="849" t="s">
        <v>2298</v>
      </c>
      <c r="D459" s="849" t="s">
        <v>2299</v>
      </c>
      <c r="E459" s="849" t="s">
        <v>768</v>
      </c>
      <c r="F459" s="849" t="s">
        <v>2057</v>
      </c>
      <c r="G459" s="849">
        <v>0.0</v>
      </c>
      <c r="H459" s="849">
        <v>0.0</v>
      </c>
      <c r="I459" s="849">
        <v>0.0</v>
      </c>
      <c r="J459" s="849">
        <v>0.0</v>
      </c>
      <c r="K459" s="849">
        <v>0.0</v>
      </c>
      <c r="L459" s="849">
        <v>0.0</v>
      </c>
      <c r="M459" s="849">
        <v>0.0</v>
      </c>
      <c r="N459" s="849">
        <v>0.0</v>
      </c>
      <c r="O459" s="849">
        <v>0.0</v>
      </c>
      <c r="P459" s="849">
        <v>0.0</v>
      </c>
      <c r="Q459" s="849">
        <v>0.0</v>
      </c>
      <c r="R459" s="849">
        <v>0.0</v>
      </c>
      <c r="S459" s="849">
        <v>0.0</v>
      </c>
      <c r="T459" s="849">
        <v>0.0</v>
      </c>
      <c r="U459" s="849">
        <v>0.0</v>
      </c>
      <c r="V459" s="849">
        <v>0.0</v>
      </c>
      <c r="W459" s="849">
        <v>0.0</v>
      </c>
      <c r="X459" s="849">
        <v>0.0</v>
      </c>
      <c r="Y459" s="849">
        <v>0.0</v>
      </c>
      <c r="Z459" s="849">
        <v>0.0</v>
      </c>
      <c r="AA459" s="849">
        <v>0.0</v>
      </c>
      <c r="AB459" s="849">
        <v>0.0</v>
      </c>
      <c r="AC459" s="849">
        <v>0.0</v>
      </c>
      <c r="AD459" s="849">
        <v>0.0</v>
      </c>
      <c r="AE459" s="849">
        <v>0.0</v>
      </c>
      <c r="AF459" s="849">
        <v>0.0</v>
      </c>
      <c r="AG459" s="849">
        <v>0.0</v>
      </c>
      <c r="AH459" s="849">
        <v>0.0</v>
      </c>
      <c r="AI459" s="849">
        <v>0.0</v>
      </c>
      <c r="AJ459" s="794" t="str">
        <f t="shared" ref="AJ459:AK459" si="915">C459</f>
        <v>G32310</v>
      </c>
      <c r="AK459" s="794" t="str">
        <f t="shared" si="915"/>
        <v>FONDS PENSION EMPLOYEUR</v>
      </c>
      <c r="AL459" s="794">
        <f t="array" ref="AL459">IFERROR(INDEX(G459:R459,1,MATCH(Parametres!$B$3,G$1:R$1,0)-1)*IF(OR(F459="L",F459="S",F459="I"),-1,1),"")</f>
        <v>0</v>
      </c>
      <c r="AM459" s="794">
        <f t="shared" si="4"/>
        <v>0</v>
      </c>
      <c r="AN459" s="794">
        <f t="array" ref="AN459">INDEX(G459:R459,1,MATCH(Parametres!$B$3,G$1:R$1,0))*IF(OR(F459="L",F459="S",F459="I"),-1,1)</f>
        <v>0</v>
      </c>
      <c r="AO459" s="853" t="str">
        <f>+VLOOKUP($AJ459,Data_Validation!$A:$D,1,0)</f>
        <v>G32310</v>
      </c>
      <c r="AP459" s="853" t="str">
        <f>+VLOOKUP($AJ459,Data_Validation!$A:$D,3,0)</f>
        <v/>
      </c>
      <c r="AQ459" s="853" t="str">
        <f>+VLOOKUP($AJ459,Data_Validation!$A:$D,4,0)</f>
        <v/>
      </c>
      <c r="AR459" s="853" t="s">
        <v>728</v>
      </c>
      <c r="AS459" s="853" t="str">
        <f>+VLOOKUP($AJ459,Data_Validation!$A:$E,5,0)</f>
        <v/>
      </c>
      <c r="AT459" s="794" t="str">
        <f t="shared" ref="AT459:AU459" si="916">C459</f>
        <v>G32310</v>
      </c>
      <c r="AU459" s="854" t="str">
        <f t="shared" si="916"/>
        <v>FONDS PENSION EMPLOYEUR</v>
      </c>
      <c r="AV459" s="794">
        <f t="array" ref="AV459">IFERROR(INDEX(V459:AG459,1,MATCH(Parametres!$B$3,V$1:AG$1,0)-1)*IF(OR(C459="L",C459="S",C459="I"),-1,1),"")</f>
        <v>0</v>
      </c>
      <c r="AW459" s="794">
        <f t="shared" si="6"/>
        <v>0</v>
      </c>
      <c r="AX459" s="794">
        <f t="array" ref="AX459">INDEX(V459:AG459,1,MATCH(Parametres!$B$3,V$1:AG$1,0))*IF(OR(C459="L",C459="S",C459="I"),-1,1)</f>
        <v>0</v>
      </c>
      <c r="AY459" s="853" t="s">
        <v>772</v>
      </c>
      <c r="AZ459" s="853" t="str">
        <f>+VLOOKUP($AJ459,Data_Validation!$A:$E,5,0)</f>
        <v/>
      </c>
    </row>
    <row r="460" ht="15.0" customHeight="1">
      <c r="A460" s="849" t="s">
        <v>1239</v>
      </c>
      <c r="B460" s="849">
        <v>2025.0</v>
      </c>
      <c r="C460" s="849" t="s">
        <v>2300</v>
      </c>
      <c r="D460" s="849" t="s">
        <v>2301</v>
      </c>
      <c r="E460" s="849" t="s">
        <v>768</v>
      </c>
      <c r="F460" s="849" t="s">
        <v>2057</v>
      </c>
      <c r="G460" s="849">
        <v>0.0</v>
      </c>
      <c r="H460" s="849">
        <v>0.0</v>
      </c>
      <c r="I460" s="849">
        <v>0.0</v>
      </c>
      <c r="J460" s="849">
        <v>0.0</v>
      </c>
      <c r="K460" s="849">
        <v>0.0</v>
      </c>
      <c r="L460" s="849">
        <v>0.0</v>
      </c>
      <c r="M460" s="849">
        <v>0.0</v>
      </c>
      <c r="N460" s="849">
        <v>0.0</v>
      </c>
      <c r="O460" s="849">
        <v>0.0</v>
      </c>
      <c r="P460" s="849">
        <v>0.0</v>
      </c>
      <c r="Q460" s="849">
        <v>0.0</v>
      </c>
      <c r="R460" s="849">
        <v>0.0</v>
      </c>
      <c r="S460" s="849">
        <v>0.0</v>
      </c>
      <c r="T460" s="849">
        <v>0.0</v>
      </c>
      <c r="U460" s="849">
        <v>0.0</v>
      </c>
      <c r="V460" s="849">
        <v>0.0</v>
      </c>
      <c r="W460" s="849">
        <v>0.0</v>
      </c>
      <c r="X460" s="849">
        <v>0.0</v>
      </c>
      <c r="Y460" s="849">
        <v>0.0</v>
      </c>
      <c r="Z460" s="849">
        <v>0.0</v>
      </c>
      <c r="AA460" s="849">
        <v>0.0</v>
      </c>
      <c r="AB460" s="849">
        <v>0.0</v>
      </c>
      <c r="AC460" s="849">
        <v>0.0</v>
      </c>
      <c r="AD460" s="849">
        <v>0.0</v>
      </c>
      <c r="AE460" s="849">
        <v>0.0</v>
      </c>
      <c r="AF460" s="849">
        <v>0.0</v>
      </c>
      <c r="AG460" s="849">
        <v>0.0</v>
      </c>
      <c r="AH460" s="849">
        <v>0.0</v>
      </c>
      <c r="AI460" s="849">
        <v>0.0</v>
      </c>
      <c r="AJ460" s="794" t="str">
        <f t="shared" ref="AJ460:AK460" si="917">C460</f>
        <v>G32311</v>
      </c>
      <c r="AK460" s="794" t="str">
        <f t="shared" si="917"/>
        <v>RQAP A PAYER</v>
      </c>
      <c r="AL460" s="794">
        <f t="array" ref="AL460">IFERROR(INDEX(G460:R460,1,MATCH(Parametres!$B$3,G$1:R$1,0)-1)*IF(OR(F460="L",F460="S",F460="I"),-1,1),"")</f>
        <v>0</v>
      </c>
      <c r="AM460" s="794">
        <f t="shared" si="4"/>
        <v>0</v>
      </c>
      <c r="AN460" s="794">
        <f t="array" ref="AN460">INDEX(G460:R460,1,MATCH(Parametres!$B$3,G$1:R$1,0))*IF(OR(F460="L",F460="S",F460="I"),-1,1)</f>
        <v>0</v>
      </c>
      <c r="AO460" s="853" t="str">
        <f>+VLOOKUP($AJ460,Data_Validation!$A:$D,1,0)</f>
        <v>G32311</v>
      </c>
      <c r="AP460" s="853" t="str">
        <f>+VLOOKUP($AJ460,Data_Validation!$A:$D,3,0)</f>
        <v/>
      </c>
      <c r="AQ460" s="853" t="str">
        <f>+VLOOKUP($AJ460,Data_Validation!$A:$D,4,0)</f>
        <v/>
      </c>
      <c r="AR460" s="853" t="s">
        <v>728</v>
      </c>
      <c r="AS460" s="853" t="str">
        <f>+VLOOKUP($AJ460,Data_Validation!$A:$E,5,0)</f>
        <v/>
      </c>
      <c r="AT460" s="794" t="str">
        <f t="shared" ref="AT460:AU460" si="918">C460</f>
        <v>G32311</v>
      </c>
      <c r="AU460" s="854" t="str">
        <f t="shared" si="918"/>
        <v>RQAP A PAYER</v>
      </c>
      <c r="AV460" s="794">
        <f t="array" ref="AV460">IFERROR(INDEX(V460:AG460,1,MATCH(Parametres!$B$3,V$1:AG$1,0)-1)*IF(OR(C460="L",C460="S",C460="I"),-1,1),"")</f>
        <v>0</v>
      </c>
      <c r="AW460" s="794">
        <f t="shared" si="6"/>
        <v>0</v>
      </c>
      <c r="AX460" s="794">
        <f t="array" ref="AX460">INDEX(V460:AG460,1,MATCH(Parametres!$B$3,V$1:AG$1,0))*IF(OR(C460="L",C460="S",C460="I"),-1,1)</f>
        <v>0</v>
      </c>
      <c r="AY460" s="853" t="s">
        <v>772</v>
      </c>
      <c r="AZ460" s="853" t="str">
        <f>+VLOOKUP($AJ460,Data_Validation!$A:$E,5,0)</f>
        <v/>
      </c>
    </row>
    <row r="461" ht="15.0" customHeight="1">
      <c r="A461" s="849" t="s">
        <v>1239</v>
      </c>
      <c r="B461" s="849">
        <v>2025.0</v>
      </c>
      <c r="C461" s="849" t="s">
        <v>2302</v>
      </c>
      <c r="D461" s="849" t="s">
        <v>2303</v>
      </c>
      <c r="E461" s="849" t="s">
        <v>768</v>
      </c>
      <c r="F461" s="849" t="s">
        <v>2057</v>
      </c>
      <c r="G461" s="849">
        <v>2959.71</v>
      </c>
      <c r="H461" s="849">
        <v>3191.18</v>
      </c>
      <c r="I461" s="849">
        <v>3313.65</v>
      </c>
      <c r="J461" s="849">
        <v>3791.56</v>
      </c>
      <c r="K461" s="849">
        <v>4010.14</v>
      </c>
      <c r="L461" s="849">
        <v>4240.11</v>
      </c>
      <c r="M461" s="849">
        <v>4454.95</v>
      </c>
      <c r="N461" s="849">
        <v>4666.77</v>
      </c>
      <c r="O461" s="849">
        <v>4863.35</v>
      </c>
      <c r="P461" s="849">
        <v>5148.26</v>
      </c>
      <c r="Q461" s="849">
        <v>3046.34</v>
      </c>
      <c r="R461" s="849">
        <v>3263.19</v>
      </c>
      <c r="S461" s="849">
        <v>0.0</v>
      </c>
      <c r="T461" s="849">
        <v>0.0</v>
      </c>
      <c r="U461" s="849">
        <v>0.0</v>
      </c>
      <c r="V461" s="849">
        <v>0.0</v>
      </c>
      <c r="W461" s="849">
        <v>0.0</v>
      </c>
      <c r="X461" s="849">
        <v>0.0</v>
      </c>
      <c r="Y461" s="849">
        <v>0.0</v>
      </c>
      <c r="Z461" s="849">
        <v>0.0</v>
      </c>
      <c r="AA461" s="849">
        <v>0.0</v>
      </c>
      <c r="AB461" s="849">
        <v>0.0</v>
      </c>
      <c r="AC461" s="849">
        <v>0.0</v>
      </c>
      <c r="AD461" s="849">
        <v>0.0</v>
      </c>
      <c r="AE461" s="849">
        <v>0.0</v>
      </c>
      <c r="AF461" s="849">
        <v>0.0</v>
      </c>
      <c r="AG461" s="849">
        <v>0.0</v>
      </c>
      <c r="AH461" s="849">
        <v>0.0</v>
      </c>
      <c r="AI461" s="849">
        <v>0.0</v>
      </c>
      <c r="AJ461" s="794" t="str">
        <f t="shared" ref="AJ461:AK461" si="919">C461</f>
        <v>G32312</v>
      </c>
      <c r="AK461" s="794" t="str">
        <f t="shared" si="919"/>
        <v>CSST A PAYER</v>
      </c>
      <c r="AL461" s="794">
        <f t="array" ref="AL461">IFERROR(INDEX(G461:R461,1,MATCH(Parametres!$B$3,G$1:R$1,0)-1)*IF(OR(F461="L",F461="S",F461="I"),-1,1),"")</f>
        <v>-4666.77</v>
      </c>
      <c r="AM461" s="794">
        <f t="shared" si="4"/>
        <v>-196.58</v>
      </c>
      <c r="AN461" s="794">
        <f t="array" ref="AN461">INDEX(G461:R461,1,MATCH(Parametres!$B$3,G$1:R$1,0))*IF(OR(F461="L",F461="S",F461="I"),-1,1)</f>
        <v>-4863.35</v>
      </c>
      <c r="AO461" s="853" t="str">
        <f>+VLOOKUP($AJ461,Data_Validation!$A:$D,1,0)</f>
        <v>G32312</v>
      </c>
      <c r="AP461" s="853" t="str">
        <f>+VLOOKUP($AJ461,Data_Validation!$A:$D,3,0)</f>
        <v>Bilan</v>
      </c>
      <c r="AQ461" s="853" t="str">
        <f>+VLOOKUP($AJ461,Data_Validation!$A:$D,4,0)</f>
        <v>DAS à Payer</v>
      </c>
      <c r="AR461" s="853" t="s">
        <v>728</v>
      </c>
      <c r="AS461" s="853" t="str">
        <f>+VLOOKUP($AJ461,Data_Validation!$A:$E,5,0)</f>
        <v/>
      </c>
      <c r="AT461" s="794" t="str">
        <f t="shared" ref="AT461:AU461" si="920">C461</f>
        <v>G32312</v>
      </c>
      <c r="AU461" s="854" t="str">
        <f t="shared" si="920"/>
        <v>CSST A PAYER</v>
      </c>
      <c r="AV461" s="794">
        <f t="array" ref="AV461">IFERROR(INDEX(V461:AG461,1,MATCH(Parametres!$B$3,V$1:AG$1,0)-1)*IF(OR(C461="L",C461="S",C461="I"),-1,1),"")</f>
        <v>0</v>
      </c>
      <c r="AW461" s="794">
        <f t="shared" si="6"/>
        <v>0</v>
      </c>
      <c r="AX461" s="794">
        <f t="array" ref="AX461">INDEX(V461:AG461,1,MATCH(Parametres!$B$3,V$1:AG$1,0))*IF(OR(C461="L",C461="S",C461="I"),-1,1)</f>
        <v>0</v>
      </c>
      <c r="AY461" s="853" t="s">
        <v>772</v>
      </c>
      <c r="AZ461" s="853" t="str">
        <f>+VLOOKUP($AJ461,Data_Validation!$A:$E,5,0)</f>
        <v/>
      </c>
    </row>
    <row r="462" ht="15.0" customHeight="1">
      <c r="A462" s="849" t="s">
        <v>1239</v>
      </c>
      <c r="B462" s="849">
        <v>2025.0</v>
      </c>
      <c r="C462" s="849" t="s">
        <v>2306</v>
      </c>
      <c r="D462" s="849" t="s">
        <v>3456</v>
      </c>
      <c r="E462" s="849" t="s">
        <v>768</v>
      </c>
      <c r="F462" s="849" t="s">
        <v>2057</v>
      </c>
      <c r="G462" s="849">
        <v>110902.86</v>
      </c>
      <c r="H462" s="849">
        <v>116971.18</v>
      </c>
      <c r="I462" s="849">
        <v>180819.98</v>
      </c>
      <c r="J462" s="849">
        <v>103781.56</v>
      </c>
      <c r="K462" s="849">
        <v>137697.8</v>
      </c>
      <c r="L462" s="849">
        <v>168165.46</v>
      </c>
      <c r="M462" s="849">
        <v>118667.89</v>
      </c>
      <c r="N462" s="849">
        <v>120489.24</v>
      </c>
      <c r="O462" s="849">
        <v>148209.82</v>
      </c>
      <c r="P462" s="849">
        <v>134561.35</v>
      </c>
      <c r="Q462" s="849">
        <v>102538.03</v>
      </c>
      <c r="R462" s="849">
        <v>81387.85</v>
      </c>
      <c r="S462" s="849">
        <v>0.0</v>
      </c>
      <c r="T462" s="849">
        <v>0.0</v>
      </c>
      <c r="U462" s="849">
        <v>0.0</v>
      </c>
      <c r="V462" s="849">
        <v>0.0</v>
      </c>
      <c r="W462" s="849">
        <v>0.0</v>
      </c>
      <c r="X462" s="849">
        <v>0.0</v>
      </c>
      <c r="Y462" s="849">
        <v>0.0</v>
      </c>
      <c r="Z462" s="849">
        <v>0.0</v>
      </c>
      <c r="AA462" s="849">
        <v>0.0</v>
      </c>
      <c r="AB462" s="849">
        <v>0.0</v>
      </c>
      <c r="AC462" s="849">
        <v>0.0</v>
      </c>
      <c r="AD462" s="849">
        <v>0.0</v>
      </c>
      <c r="AE462" s="849">
        <v>0.0</v>
      </c>
      <c r="AF462" s="849">
        <v>0.0</v>
      </c>
      <c r="AG462" s="849">
        <v>0.0</v>
      </c>
      <c r="AH462" s="849">
        <v>0.0</v>
      </c>
      <c r="AI462" s="849">
        <v>0.0</v>
      </c>
      <c r="AJ462" s="794" t="str">
        <f t="shared" ref="AJ462:AK462" si="921">C462</f>
        <v>G32400</v>
      </c>
      <c r="AK462" s="794" t="str">
        <f t="shared" si="921"/>
        <v>TAXES DE VENTES A PAYER</v>
      </c>
      <c r="AL462" s="794">
        <f t="array" ref="AL462">IFERROR(INDEX(G462:R462,1,MATCH(Parametres!$B$3,G$1:R$1,0)-1)*IF(OR(F462="L",F462="S",F462="I"),-1,1),"")</f>
        <v>-120489.24</v>
      </c>
      <c r="AM462" s="794">
        <f t="shared" si="4"/>
        <v>-27720.58</v>
      </c>
      <c r="AN462" s="794">
        <f t="array" ref="AN462">INDEX(G462:R462,1,MATCH(Parametres!$B$3,G$1:R$1,0))*IF(OR(F462="L",F462="S",F462="I"),-1,1)</f>
        <v>-148209.82</v>
      </c>
      <c r="AO462" s="853" t="str">
        <f>+VLOOKUP($AJ462,Data_Validation!$A:$D,1,0)</f>
        <v>G32400</v>
      </c>
      <c r="AP462" s="853" t="str">
        <f>+VLOOKUP($AJ462,Data_Validation!$A:$D,3,0)</f>
        <v>Bilan</v>
      </c>
      <c r="AQ462" s="853" t="str">
        <f>+VLOOKUP($AJ462,Data_Validation!$A:$D,4,0)</f>
        <v>Taxes de Vente à Payer</v>
      </c>
      <c r="AR462" s="853" t="s">
        <v>728</v>
      </c>
      <c r="AS462" s="853" t="str">
        <f>+VLOOKUP($AJ462,Data_Validation!$A:$E,5,0)</f>
        <v/>
      </c>
      <c r="AT462" s="794" t="str">
        <f t="shared" ref="AT462:AU462" si="922">C462</f>
        <v>G32400</v>
      </c>
      <c r="AU462" s="854" t="str">
        <f t="shared" si="922"/>
        <v>TAXES DE VENTES A PAYER</v>
      </c>
      <c r="AV462" s="794">
        <f t="array" ref="AV462">IFERROR(INDEX(V462:AG462,1,MATCH(Parametres!$B$3,V$1:AG$1,0)-1)*IF(OR(C462="L",C462="S",C462="I"),-1,1),"")</f>
        <v>0</v>
      </c>
      <c r="AW462" s="794">
        <f t="shared" si="6"/>
        <v>0</v>
      </c>
      <c r="AX462" s="794">
        <f t="array" ref="AX462">INDEX(V462:AG462,1,MATCH(Parametres!$B$3,V$1:AG$1,0))*IF(OR(C462="L",C462="S",C462="I"),-1,1)</f>
        <v>0</v>
      </c>
      <c r="AY462" s="853" t="s">
        <v>772</v>
      </c>
      <c r="AZ462" s="853" t="str">
        <f>+VLOOKUP($AJ462,Data_Validation!$A:$E,5,0)</f>
        <v/>
      </c>
    </row>
    <row r="463" ht="15.0" customHeight="1">
      <c r="A463" s="849" t="s">
        <v>1239</v>
      </c>
      <c r="B463" s="849">
        <v>2025.0</v>
      </c>
      <c r="C463" s="849" t="s">
        <v>2308</v>
      </c>
      <c r="D463" s="849" t="s">
        <v>2309</v>
      </c>
      <c r="E463" s="849" t="s">
        <v>768</v>
      </c>
      <c r="F463" s="849" t="s">
        <v>2057</v>
      </c>
      <c r="G463" s="849">
        <v>678350.17</v>
      </c>
      <c r="H463" s="849">
        <v>713378.24</v>
      </c>
      <c r="I463" s="849">
        <v>1217871.86</v>
      </c>
      <c r="J463" s="849">
        <v>1297248.34</v>
      </c>
      <c r="K463" s="849">
        <v>1200171.82</v>
      </c>
      <c r="L463" s="849">
        <v>1270210.3</v>
      </c>
      <c r="M463" s="849">
        <v>911450.27</v>
      </c>
      <c r="N463" s="849">
        <v>896866.9</v>
      </c>
      <c r="O463" s="849">
        <v>989132.99</v>
      </c>
      <c r="P463" s="849">
        <v>1102803.34</v>
      </c>
      <c r="Q463" s="849">
        <v>1348444.27</v>
      </c>
      <c r="R463" s="849">
        <v>1013832.88</v>
      </c>
      <c r="S463" s="849">
        <v>0.0</v>
      </c>
      <c r="T463" s="849">
        <v>0.0</v>
      </c>
      <c r="U463" s="849">
        <v>0.0</v>
      </c>
      <c r="V463" s="849">
        <v>0.0</v>
      </c>
      <c r="W463" s="849">
        <v>0.0</v>
      </c>
      <c r="X463" s="849">
        <v>0.0</v>
      </c>
      <c r="Y463" s="849">
        <v>0.0</v>
      </c>
      <c r="Z463" s="849">
        <v>0.0</v>
      </c>
      <c r="AA463" s="849">
        <v>0.0</v>
      </c>
      <c r="AB463" s="849">
        <v>0.0</v>
      </c>
      <c r="AC463" s="849">
        <v>0.0</v>
      </c>
      <c r="AD463" s="849">
        <v>0.0</v>
      </c>
      <c r="AE463" s="849">
        <v>0.0</v>
      </c>
      <c r="AF463" s="849">
        <v>0.0</v>
      </c>
      <c r="AG463" s="849">
        <v>0.0</v>
      </c>
      <c r="AH463" s="849">
        <v>0.0</v>
      </c>
      <c r="AI463" s="849">
        <v>0.0</v>
      </c>
      <c r="AJ463" s="794" t="str">
        <f t="shared" ref="AJ463:AK463" si="923">C463</f>
        <v>G32401</v>
      </c>
      <c r="AK463" s="794" t="str">
        <f t="shared" si="923"/>
        <v>T.P.S. A PAYER</v>
      </c>
      <c r="AL463" s="794">
        <f t="array" ref="AL463">IFERROR(INDEX(G463:R463,1,MATCH(Parametres!$B$3,G$1:R$1,0)-1)*IF(OR(F463="L",F463="S",F463="I"),-1,1),"")</f>
        <v>-896866.9</v>
      </c>
      <c r="AM463" s="794">
        <f t="shared" si="4"/>
        <v>-92266.09</v>
      </c>
      <c r="AN463" s="794">
        <f t="array" ref="AN463">INDEX(G463:R463,1,MATCH(Parametres!$B$3,G$1:R$1,0))*IF(OR(F463="L",F463="S",F463="I"),-1,1)</f>
        <v>-989132.99</v>
      </c>
      <c r="AO463" s="853" t="str">
        <f>+VLOOKUP($AJ463,Data_Validation!$A:$D,1,0)</f>
        <v>G32401</v>
      </c>
      <c r="AP463" s="853" t="str">
        <f>+VLOOKUP($AJ463,Data_Validation!$A:$D,3,0)</f>
        <v>Bilan</v>
      </c>
      <c r="AQ463" s="853" t="str">
        <f>+VLOOKUP($AJ463,Data_Validation!$A:$D,4,0)</f>
        <v>Taxes de Vente à Payer</v>
      </c>
      <c r="AR463" s="853" t="s">
        <v>728</v>
      </c>
      <c r="AS463" s="853" t="str">
        <f>+VLOOKUP($AJ463,Data_Validation!$A:$E,5,0)</f>
        <v/>
      </c>
      <c r="AT463" s="794" t="str">
        <f t="shared" ref="AT463:AU463" si="924">C463</f>
        <v>G32401</v>
      </c>
      <c r="AU463" s="854" t="str">
        <f t="shared" si="924"/>
        <v>T.P.S. A PAYER</v>
      </c>
      <c r="AV463" s="794">
        <f t="array" ref="AV463">IFERROR(INDEX(V463:AG463,1,MATCH(Parametres!$B$3,V$1:AG$1,0)-1)*IF(OR(C463="L",C463="S",C463="I"),-1,1),"")</f>
        <v>0</v>
      </c>
      <c r="AW463" s="794">
        <f t="shared" si="6"/>
        <v>0</v>
      </c>
      <c r="AX463" s="794">
        <f t="array" ref="AX463">INDEX(V463:AG463,1,MATCH(Parametres!$B$3,V$1:AG$1,0))*IF(OR(C463="L",C463="S",C463="I"),-1,1)</f>
        <v>0</v>
      </c>
      <c r="AY463" s="853" t="s">
        <v>772</v>
      </c>
      <c r="AZ463" s="853" t="str">
        <f>+VLOOKUP($AJ463,Data_Validation!$A:$E,5,0)</f>
        <v/>
      </c>
    </row>
    <row r="464" ht="15.0" customHeight="1">
      <c r="A464" s="849" t="s">
        <v>1239</v>
      </c>
      <c r="B464" s="849">
        <v>2025.0</v>
      </c>
      <c r="C464" s="849" t="s">
        <v>2310</v>
      </c>
      <c r="D464" s="849" t="s">
        <v>2311</v>
      </c>
      <c r="E464" s="849" t="s">
        <v>768</v>
      </c>
      <c r="F464" s="849" t="s">
        <v>2057</v>
      </c>
      <c r="G464" s="849">
        <v>1460.79</v>
      </c>
      <c r="H464" s="849">
        <v>1782.54</v>
      </c>
      <c r="I464" s="849">
        <v>729.09</v>
      </c>
      <c r="J464" s="849">
        <v>375.93</v>
      </c>
      <c r="K464" s="849">
        <v>753.66</v>
      </c>
      <c r="L464" s="849">
        <v>610.92</v>
      </c>
      <c r="M464" s="849">
        <v>300.33</v>
      </c>
      <c r="N464" s="849">
        <v>1250.55</v>
      </c>
      <c r="O464" s="849">
        <v>1319.04</v>
      </c>
      <c r="P464" s="849">
        <v>2215.98</v>
      </c>
      <c r="Q464" s="849">
        <v>1615.77</v>
      </c>
      <c r="R464" s="849">
        <v>1452.6</v>
      </c>
      <c r="S464" s="849">
        <v>0.0</v>
      </c>
      <c r="T464" s="849">
        <v>0.0</v>
      </c>
      <c r="U464" s="849">
        <v>0.0</v>
      </c>
      <c r="V464" s="849">
        <v>0.0</v>
      </c>
      <c r="W464" s="849">
        <v>0.0</v>
      </c>
      <c r="X464" s="849">
        <v>0.0</v>
      </c>
      <c r="Y464" s="849">
        <v>0.0</v>
      </c>
      <c r="Z464" s="849">
        <v>0.0</v>
      </c>
      <c r="AA464" s="849">
        <v>0.0</v>
      </c>
      <c r="AB464" s="849">
        <v>0.0</v>
      </c>
      <c r="AC464" s="849">
        <v>0.0</v>
      </c>
      <c r="AD464" s="849">
        <v>0.0</v>
      </c>
      <c r="AE464" s="849">
        <v>0.0</v>
      </c>
      <c r="AF464" s="849">
        <v>0.0</v>
      </c>
      <c r="AG464" s="849">
        <v>0.0</v>
      </c>
      <c r="AH464" s="849">
        <v>0.0</v>
      </c>
      <c r="AI464" s="849">
        <v>0.0</v>
      </c>
      <c r="AJ464" s="794" t="str">
        <f t="shared" ref="AJ464:AK464" si="925">C464</f>
        <v>G32402</v>
      </c>
      <c r="AK464" s="794" t="str">
        <f t="shared" si="925"/>
        <v>TPA ASSURANCES</v>
      </c>
      <c r="AL464" s="794">
        <f t="array" ref="AL464">IFERROR(INDEX(G464:R464,1,MATCH(Parametres!$B$3,G$1:R$1,0)-1)*IF(OR(F464="L",F464="S",F464="I"),-1,1),"")</f>
        <v>-1250.55</v>
      </c>
      <c r="AM464" s="794">
        <f t="shared" si="4"/>
        <v>-68.49</v>
      </c>
      <c r="AN464" s="794">
        <f t="array" ref="AN464">INDEX(G464:R464,1,MATCH(Parametres!$B$3,G$1:R$1,0))*IF(OR(F464="L",F464="S",F464="I"),-1,1)</f>
        <v>-1319.04</v>
      </c>
      <c r="AO464" s="853" t="str">
        <f>+VLOOKUP($AJ464,Data_Validation!$A:$D,1,0)</f>
        <v>G32402</v>
      </c>
      <c r="AP464" s="853" t="str">
        <f>+VLOOKUP($AJ464,Data_Validation!$A:$D,3,0)</f>
        <v>Bilan</v>
      </c>
      <c r="AQ464" s="853" t="str">
        <f>+VLOOKUP($AJ464,Data_Validation!$A:$D,4,0)</f>
        <v>Taxes de Vente à Payer</v>
      </c>
      <c r="AR464" s="853" t="s">
        <v>728</v>
      </c>
      <c r="AS464" s="853" t="str">
        <f>+VLOOKUP($AJ464,Data_Validation!$A:$E,5,0)</f>
        <v/>
      </c>
      <c r="AT464" s="794" t="str">
        <f t="shared" ref="AT464:AU464" si="926">C464</f>
        <v>G32402</v>
      </c>
      <c r="AU464" s="854" t="str">
        <f t="shared" si="926"/>
        <v>TPA ASSURANCES</v>
      </c>
      <c r="AV464" s="794">
        <f t="array" ref="AV464">IFERROR(INDEX(V464:AG464,1,MATCH(Parametres!$B$3,V$1:AG$1,0)-1)*IF(OR(C464="L",C464="S",C464="I"),-1,1),"")</f>
        <v>0</v>
      </c>
      <c r="AW464" s="794">
        <f t="shared" si="6"/>
        <v>0</v>
      </c>
      <c r="AX464" s="794">
        <f t="array" ref="AX464">INDEX(V464:AG464,1,MATCH(Parametres!$B$3,V$1:AG$1,0))*IF(OR(C464="L",C464="S",C464="I"),-1,1)</f>
        <v>0</v>
      </c>
      <c r="AY464" s="853" t="s">
        <v>772</v>
      </c>
      <c r="AZ464" s="853" t="str">
        <f>+VLOOKUP($AJ464,Data_Validation!$A:$E,5,0)</f>
        <v/>
      </c>
    </row>
    <row r="465" ht="15.0" customHeight="1">
      <c r="A465" s="849" t="s">
        <v>1239</v>
      </c>
      <c r="B465" s="849">
        <v>2025.0</v>
      </c>
      <c r="C465" s="849" t="s">
        <v>2312</v>
      </c>
      <c r="D465" s="849" t="s">
        <v>2313</v>
      </c>
      <c r="E465" s="849" t="s">
        <v>768</v>
      </c>
      <c r="F465" s="849" t="s">
        <v>2057</v>
      </c>
      <c r="G465" s="849">
        <v>0.0</v>
      </c>
      <c r="H465" s="849">
        <v>0.0</v>
      </c>
      <c r="I465" s="849">
        <v>7644.46</v>
      </c>
      <c r="J465" s="849">
        <v>15922.08</v>
      </c>
      <c r="K465" s="849">
        <v>16792.44</v>
      </c>
      <c r="L465" s="849">
        <v>21695.33</v>
      </c>
      <c r="M465" s="849">
        <v>755.23</v>
      </c>
      <c r="N465" s="849">
        <v>5629.44</v>
      </c>
      <c r="O465" s="849">
        <v>10609.64</v>
      </c>
      <c r="P465" s="849">
        <v>19955.41</v>
      </c>
      <c r="Q465" s="849">
        <v>29587.44</v>
      </c>
      <c r="R465" s="849">
        <v>43912.48</v>
      </c>
      <c r="S465" s="849">
        <v>0.0</v>
      </c>
      <c r="T465" s="849">
        <v>0.0</v>
      </c>
      <c r="U465" s="849">
        <v>0.0</v>
      </c>
      <c r="V465" s="849">
        <v>0.0</v>
      </c>
      <c r="W465" s="849">
        <v>0.0</v>
      </c>
      <c r="X465" s="849">
        <v>0.0</v>
      </c>
      <c r="Y465" s="849">
        <v>0.0</v>
      </c>
      <c r="Z465" s="849">
        <v>0.0</v>
      </c>
      <c r="AA465" s="849">
        <v>0.0</v>
      </c>
      <c r="AB465" s="849">
        <v>0.0</v>
      </c>
      <c r="AC465" s="849">
        <v>0.0</v>
      </c>
      <c r="AD465" s="849">
        <v>0.0</v>
      </c>
      <c r="AE465" s="849">
        <v>0.0</v>
      </c>
      <c r="AF465" s="849">
        <v>0.0</v>
      </c>
      <c r="AG465" s="849">
        <v>0.0</v>
      </c>
      <c r="AH465" s="849">
        <v>0.0</v>
      </c>
      <c r="AI465" s="849">
        <v>0.0</v>
      </c>
      <c r="AJ465" s="794" t="str">
        <f t="shared" ref="AJ465:AK465" si="927">C465</f>
        <v>G32500</v>
      </c>
      <c r="AK465" s="794" t="str">
        <f t="shared" si="927"/>
        <v>TAXE DELUXE A PAYER</v>
      </c>
      <c r="AL465" s="794">
        <f t="array" ref="AL465">IFERROR(INDEX(G465:R465,1,MATCH(Parametres!$B$3,G$1:R$1,0)-1)*IF(OR(F465="L",F465="S",F465="I"),-1,1),"")</f>
        <v>-5629.44</v>
      </c>
      <c r="AM465" s="794">
        <f t="shared" si="4"/>
        <v>-4980.2</v>
      </c>
      <c r="AN465" s="794">
        <f t="array" ref="AN465">INDEX(G465:R465,1,MATCH(Parametres!$B$3,G$1:R$1,0))*IF(OR(F465="L",F465="S",F465="I"),-1,1)</f>
        <v>-10609.64</v>
      </c>
      <c r="AO465" s="853" t="str">
        <f>+VLOOKUP($AJ465,Data_Validation!$A:$D,1,0)</f>
        <v>G32500</v>
      </c>
      <c r="AP465" s="853" t="str">
        <f>+VLOOKUP($AJ465,Data_Validation!$A:$D,3,0)</f>
        <v>Bilan</v>
      </c>
      <c r="AQ465" s="853" t="str">
        <f>+VLOOKUP($AJ465,Data_Validation!$A:$D,4,0)</f>
        <v>Taxes de Vente à Payer</v>
      </c>
      <c r="AR465" s="853" t="s">
        <v>728</v>
      </c>
      <c r="AS465" s="853" t="str">
        <f>+VLOOKUP($AJ465,Data_Validation!$A:$E,5,0)</f>
        <v/>
      </c>
      <c r="AT465" s="794" t="str">
        <f t="shared" ref="AT465:AU465" si="928">C465</f>
        <v>G32500</v>
      </c>
      <c r="AU465" s="854" t="str">
        <f t="shared" si="928"/>
        <v>TAXE DELUXE A PAYER</v>
      </c>
      <c r="AV465" s="794">
        <f t="array" ref="AV465">IFERROR(INDEX(V465:AG465,1,MATCH(Parametres!$B$3,V$1:AG$1,0)-1)*IF(OR(C465="L",C465="S",C465="I"),-1,1),"")</f>
        <v>0</v>
      </c>
      <c r="AW465" s="794">
        <f t="shared" si="6"/>
        <v>0</v>
      </c>
      <c r="AX465" s="794">
        <f t="array" ref="AX465">INDEX(V465:AG465,1,MATCH(Parametres!$B$3,V$1:AG$1,0))*IF(OR(C465="L",C465="S",C465="I"),-1,1)</f>
        <v>0</v>
      </c>
      <c r="AY465" s="853" t="s">
        <v>772</v>
      </c>
      <c r="AZ465" s="853" t="str">
        <f>+VLOOKUP($AJ465,Data_Validation!$A:$E,5,0)</f>
        <v/>
      </c>
    </row>
    <row r="466" ht="15.0" customHeight="1">
      <c r="A466" s="849" t="s">
        <v>1239</v>
      </c>
      <c r="B466" s="849">
        <v>2025.0</v>
      </c>
      <c r="C466" s="849" t="s">
        <v>2314</v>
      </c>
      <c r="D466" s="849" t="s">
        <v>2315</v>
      </c>
      <c r="E466" s="849" t="s">
        <v>768</v>
      </c>
      <c r="F466" s="849" t="s">
        <v>2057</v>
      </c>
      <c r="G466" s="849">
        <v>171553.27</v>
      </c>
      <c r="H466" s="849">
        <v>171553.27</v>
      </c>
      <c r="I466" s="849">
        <v>171553.27</v>
      </c>
      <c r="J466" s="849">
        <v>171553.27</v>
      </c>
      <c r="K466" s="849">
        <v>107129.27</v>
      </c>
      <c r="L466" s="849">
        <v>-64424.0</v>
      </c>
      <c r="M466" s="849">
        <v>0.0</v>
      </c>
      <c r="N466" s="849">
        <v>0.0</v>
      </c>
      <c r="O466" s="849">
        <v>0.0</v>
      </c>
      <c r="P466" s="849">
        <v>0.0</v>
      </c>
      <c r="Q466" s="849">
        <v>0.0</v>
      </c>
      <c r="R466" s="849">
        <v>0.0</v>
      </c>
      <c r="S466" s="849">
        <v>0.0</v>
      </c>
      <c r="T466" s="849">
        <v>0.0</v>
      </c>
      <c r="U466" s="849">
        <v>0.0</v>
      </c>
      <c r="V466" s="849">
        <v>0.0</v>
      </c>
      <c r="W466" s="849">
        <v>0.0</v>
      </c>
      <c r="X466" s="849">
        <v>0.0</v>
      </c>
      <c r="Y466" s="849">
        <v>0.0</v>
      </c>
      <c r="Z466" s="849">
        <v>0.0</v>
      </c>
      <c r="AA466" s="849">
        <v>0.0</v>
      </c>
      <c r="AB466" s="849">
        <v>0.0</v>
      </c>
      <c r="AC466" s="849">
        <v>0.0</v>
      </c>
      <c r="AD466" s="849">
        <v>0.0</v>
      </c>
      <c r="AE466" s="849">
        <v>0.0</v>
      </c>
      <c r="AF466" s="849">
        <v>0.0</v>
      </c>
      <c r="AG466" s="849">
        <v>0.0</v>
      </c>
      <c r="AH466" s="849">
        <v>0.0</v>
      </c>
      <c r="AI466" s="849">
        <v>0.0</v>
      </c>
      <c r="AJ466" s="794" t="str">
        <f t="shared" ref="AJ466:AK466" si="929">C466</f>
        <v>G32700</v>
      </c>
      <c r="AK466" s="794" t="str">
        <f t="shared" si="929"/>
        <v>IMPÔTS EXIGIBLES</v>
      </c>
      <c r="AL466" s="794">
        <f t="array" ref="AL466">IFERROR(INDEX(G466:R466,1,MATCH(Parametres!$B$3,G$1:R$1,0)-1)*IF(OR(F466="L",F466="S",F466="I"),-1,1),"")</f>
        <v>0</v>
      </c>
      <c r="AM466" s="794">
        <f t="shared" si="4"/>
        <v>0</v>
      </c>
      <c r="AN466" s="794">
        <f t="array" ref="AN466">INDEX(G466:R466,1,MATCH(Parametres!$B$3,G$1:R$1,0))*IF(OR(F466="L",F466="S",F466="I"),-1,1)</f>
        <v>0</v>
      </c>
      <c r="AO466" s="853" t="str">
        <f>+VLOOKUP($AJ466,Data_Validation!$A:$D,1,0)</f>
        <v>G32700</v>
      </c>
      <c r="AP466" s="853" t="str">
        <f>+VLOOKUP($AJ466,Data_Validation!$A:$D,3,0)</f>
        <v>Bilan</v>
      </c>
      <c r="AQ466" s="853" t="str">
        <f>+VLOOKUP($AJ466,Data_Validation!$A:$D,4,0)</f>
        <v>Impôts à payer</v>
      </c>
      <c r="AR466" s="853" t="s">
        <v>728</v>
      </c>
      <c r="AS466" s="853" t="str">
        <f>+VLOOKUP($AJ466,Data_Validation!$A:$E,5,0)</f>
        <v/>
      </c>
      <c r="AT466" s="794" t="str">
        <f t="shared" ref="AT466:AU466" si="930">C466</f>
        <v>G32700</v>
      </c>
      <c r="AU466" s="854" t="str">
        <f t="shared" si="930"/>
        <v>IMPÔTS EXIGIBLES</v>
      </c>
      <c r="AV466" s="794">
        <f t="array" ref="AV466">IFERROR(INDEX(V466:AG466,1,MATCH(Parametres!$B$3,V$1:AG$1,0)-1)*IF(OR(C466="L",C466="S",C466="I"),-1,1),"")</f>
        <v>0</v>
      </c>
      <c r="AW466" s="794">
        <f t="shared" si="6"/>
        <v>0</v>
      </c>
      <c r="AX466" s="794">
        <f t="array" ref="AX466">INDEX(V466:AG466,1,MATCH(Parametres!$B$3,V$1:AG$1,0))*IF(OR(C466="L",C466="S",C466="I"),-1,1)</f>
        <v>0</v>
      </c>
      <c r="AY466" s="853" t="s">
        <v>772</v>
      </c>
      <c r="AZ466" s="853" t="str">
        <f>+VLOOKUP($AJ466,Data_Validation!$A:$E,5,0)</f>
        <v/>
      </c>
    </row>
    <row r="467" ht="15.0" customHeight="1">
      <c r="A467" s="849" t="s">
        <v>1239</v>
      </c>
      <c r="B467" s="849">
        <v>2025.0</v>
      </c>
      <c r="C467" s="849" t="s">
        <v>2318</v>
      </c>
      <c r="D467" s="849" t="s">
        <v>2319</v>
      </c>
      <c r="E467" s="849" t="s">
        <v>2115</v>
      </c>
      <c r="F467" s="849" t="s">
        <v>2057</v>
      </c>
      <c r="G467" s="849">
        <v>-173407.47</v>
      </c>
      <c r="H467" s="849">
        <v>-177180.45</v>
      </c>
      <c r="I467" s="849">
        <v>-58277.47</v>
      </c>
      <c r="J467" s="849">
        <v>-182899.61</v>
      </c>
      <c r="K467" s="849">
        <v>-88317.21</v>
      </c>
      <c r="L467" s="849">
        <v>-100119.01</v>
      </c>
      <c r="M467" s="849">
        <v>-105538.09</v>
      </c>
      <c r="N467" s="849">
        <v>-81996.95</v>
      </c>
      <c r="O467" s="849">
        <v>-89577.12</v>
      </c>
      <c r="P467" s="849">
        <v>-84577.12</v>
      </c>
      <c r="Q467" s="849">
        <v>0.0</v>
      </c>
      <c r="R467" s="849">
        <v>-2688835.87</v>
      </c>
      <c r="S467" s="849">
        <v>0.0</v>
      </c>
      <c r="T467" s="849">
        <v>0.0</v>
      </c>
      <c r="U467" s="849">
        <v>0.0</v>
      </c>
      <c r="V467" s="849">
        <v>0.0</v>
      </c>
      <c r="W467" s="849">
        <v>0.0</v>
      </c>
      <c r="X467" s="849">
        <v>0.0</v>
      </c>
      <c r="Y467" s="849">
        <v>0.0</v>
      </c>
      <c r="Z467" s="849">
        <v>0.0</v>
      </c>
      <c r="AA467" s="849">
        <v>0.0</v>
      </c>
      <c r="AB467" s="849">
        <v>0.0</v>
      </c>
      <c r="AC467" s="849">
        <v>0.0</v>
      </c>
      <c r="AD467" s="849">
        <v>0.0</v>
      </c>
      <c r="AE467" s="849">
        <v>0.0</v>
      </c>
      <c r="AF467" s="849">
        <v>0.0</v>
      </c>
      <c r="AG467" s="849">
        <v>0.0</v>
      </c>
      <c r="AH467" s="849">
        <v>0.0</v>
      </c>
      <c r="AI467" s="849">
        <v>0.0</v>
      </c>
      <c r="AJ467" s="794" t="str">
        <f t="shared" ref="AJ467:AK467" si="931">C467</f>
        <v>G32900</v>
      </c>
      <c r="AK467" s="794" t="str">
        <f t="shared" si="931"/>
        <v>BONI À PAYER PROPRIETAIRE</v>
      </c>
      <c r="AL467" s="794">
        <f t="array" ref="AL467">IFERROR(INDEX(G467:R467,1,MATCH(Parametres!$B$3,G$1:R$1,0)-1)*IF(OR(F467="L",F467="S",F467="I"),-1,1),"")</f>
        <v>81996.95</v>
      </c>
      <c r="AM467" s="794">
        <f t="shared" si="4"/>
        <v>7580.17</v>
      </c>
      <c r="AN467" s="794">
        <f t="array" ref="AN467">INDEX(G467:R467,1,MATCH(Parametres!$B$3,G$1:R$1,0))*IF(OR(F467="L",F467="S",F467="I"),-1,1)</f>
        <v>89577.12</v>
      </c>
      <c r="AO467" s="853" t="str">
        <f>+VLOOKUP($AJ467,Data_Validation!$A:$D,1,0)</f>
        <v>G32900</v>
      </c>
      <c r="AP467" s="853" t="str">
        <f>+VLOOKUP($AJ467,Data_Validation!$A:$D,3,0)</f>
        <v>Bilan</v>
      </c>
      <c r="AQ467" s="853" t="str">
        <f>+VLOOKUP($AJ467,Data_Validation!$A:$D,4,0)</f>
        <v>Salaires à Payer</v>
      </c>
      <c r="AR467" s="853" t="s">
        <v>728</v>
      </c>
      <c r="AS467" s="853" t="str">
        <f>+VLOOKUP($AJ467,Data_Validation!$A:$E,5,0)</f>
        <v/>
      </c>
      <c r="AT467" s="794" t="str">
        <f t="shared" ref="AT467:AU467" si="932">C467</f>
        <v>G32900</v>
      </c>
      <c r="AU467" s="854" t="str">
        <f t="shared" si="932"/>
        <v>BONI À PAYER PROPRIETAIRE</v>
      </c>
      <c r="AV467" s="794">
        <f t="array" ref="AV467">IFERROR(INDEX(V467:AG467,1,MATCH(Parametres!$B$3,V$1:AG$1,0)-1)*IF(OR(C467="L",C467="S",C467="I"),-1,1),"")</f>
        <v>0</v>
      </c>
      <c r="AW467" s="794">
        <f t="shared" si="6"/>
        <v>0</v>
      </c>
      <c r="AX467" s="794">
        <f t="array" ref="AX467">INDEX(V467:AG467,1,MATCH(Parametres!$B$3,V$1:AG$1,0))*IF(OR(C467="L",C467="S",C467="I"),-1,1)</f>
        <v>0</v>
      </c>
      <c r="AY467" s="853" t="s">
        <v>772</v>
      </c>
      <c r="AZ467" s="853" t="str">
        <f>+VLOOKUP($AJ467,Data_Validation!$A:$E,5,0)</f>
        <v/>
      </c>
    </row>
    <row r="468" ht="15.0" customHeight="1">
      <c r="A468" s="849" t="s">
        <v>1239</v>
      </c>
      <c r="B468" s="849">
        <v>2025.0</v>
      </c>
      <c r="C468" s="849" t="s">
        <v>2330</v>
      </c>
      <c r="D468" s="849" t="s">
        <v>3457</v>
      </c>
      <c r="E468" s="849" t="s">
        <v>1959</v>
      </c>
      <c r="F468" s="849" t="s">
        <v>2057</v>
      </c>
      <c r="G468" s="849">
        <v>-6931.42</v>
      </c>
      <c r="H468" s="849">
        <v>-2755.95</v>
      </c>
      <c r="I468" s="849">
        <v>7343.77</v>
      </c>
      <c r="J468" s="849">
        <v>12694.92</v>
      </c>
      <c r="K468" s="849">
        <v>15827.2</v>
      </c>
      <c r="L468" s="849">
        <v>20315.62</v>
      </c>
      <c r="M468" s="849">
        <v>20345.82</v>
      </c>
      <c r="N468" s="849">
        <v>24353.72</v>
      </c>
      <c r="O468" s="849">
        <v>13796.91</v>
      </c>
      <c r="P468" s="849">
        <v>10643.93</v>
      </c>
      <c r="Q468" s="849">
        <v>609.0</v>
      </c>
      <c r="R468" s="849">
        <v>5918.68</v>
      </c>
      <c r="S468" s="849">
        <v>0.0</v>
      </c>
      <c r="T468" s="849">
        <v>0.0</v>
      </c>
      <c r="U468" s="849">
        <v>0.0</v>
      </c>
      <c r="V468" s="849">
        <v>0.0</v>
      </c>
      <c r="W468" s="849">
        <v>0.0</v>
      </c>
      <c r="X468" s="849">
        <v>0.0</v>
      </c>
      <c r="Y468" s="849">
        <v>0.0</v>
      </c>
      <c r="Z468" s="849">
        <v>0.0</v>
      </c>
      <c r="AA468" s="849">
        <v>0.0</v>
      </c>
      <c r="AB468" s="849">
        <v>0.0</v>
      </c>
      <c r="AC468" s="849">
        <v>0.0</v>
      </c>
      <c r="AD468" s="849">
        <v>0.0</v>
      </c>
      <c r="AE468" s="849">
        <v>0.0</v>
      </c>
      <c r="AF468" s="849">
        <v>0.0</v>
      </c>
      <c r="AG468" s="849">
        <v>0.0</v>
      </c>
      <c r="AH468" s="849">
        <v>0.0</v>
      </c>
      <c r="AI468" s="849">
        <v>0.0</v>
      </c>
      <c r="AJ468" s="794" t="str">
        <f t="shared" ref="AJ468:AK468" si="933">C468</f>
        <v>G33100</v>
      </c>
      <c r="AK468" s="794" t="str">
        <f t="shared" si="933"/>
        <v>AUTRES DEPENSES A PAYER</v>
      </c>
      <c r="AL468" s="794">
        <f t="array" ref="AL468">IFERROR(INDEX(G468:R468,1,MATCH(Parametres!$B$3,G$1:R$1,0)-1)*IF(OR(F468="L",F468="S",F468="I"),-1,1),"")</f>
        <v>-24353.72</v>
      </c>
      <c r="AM468" s="794">
        <f t="shared" si="4"/>
        <v>10556.81</v>
      </c>
      <c r="AN468" s="794">
        <f t="array" ref="AN468">INDEX(G468:R468,1,MATCH(Parametres!$B$3,G$1:R$1,0))*IF(OR(F468="L",F468="S",F468="I"),-1,1)</f>
        <v>-13796.91</v>
      </c>
      <c r="AO468" s="853" t="str">
        <f>+VLOOKUP($AJ468,Data_Validation!$A:$D,1,0)</f>
        <v>G33100</v>
      </c>
      <c r="AP468" s="853" t="str">
        <f>+VLOOKUP($AJ468,Data_Validation!$A:$D,3,0)</f>
        <v>Bilan</v>
      </c>
      <c r="AQ468" s="853" t="str">
        <f>+VLOOKUP($AJ468,Data_Validation!$A:$D,4,0)</f>
        <v>Autres Courus</v>
      </c>
      <c r="AR468" s="853" t="s">
        <v>728</v>
      </c>
      <c r="AS468" s="853" t="str">
        <f>+VLOOKUP($AJ468,Data_Validation!$A:$E,5,0)</f>
        <v/>
      </c>
      <c r="AT468" s="794" t="str">
        <f t="shared" ref="AT468:AU468" si="934">C468</f>
        <v>G33100</v>
      </c>
      <c r="AU468" s="854" t="str">
        <f t="shared" si="934"/>
        <v>AUTRES DEPENSES A PAYER</v>
      </c>
      <c r="AV468" s="794">
        <f t="array" ref="AV468">IFERROR(INDEX(V468:AG468,1,MATCH(Parametres!$B$3,V$1:AG$1,0)-1)*IF(OR(C468="L",C468="S",C468="I"),-1,1),"")</f>
        <v>0</v>
      </c>
      <c r="AW468" s="794">
        <f t="shared" si="6"/>
        <v>0</v>
      </c>
      <c r="AX468" s="794">
        <f t="array" ref="AX468">INDEX(V468:AG468,1,MATCH(Parametres!$B$3,V$1:AG$1,0))*IF(OR(C468="L",C468="S",C468="I"),-1,1)</f>
        <v>0</v>
      </c>
      <c r="AY468" s="853" t="s">
        <v>772</v>
      </c>
      <c r="AZ468" s="853" t="str">
        <f>+VLOOKUP($AJ468,Data_Validation!$A:$E,5,0)</f>
        <v/>
      </c>
    </row>
    <row r="469" ht="15.0" customHeight="1">
      <c r="A469" s="849" t="s">
        <v>1239</v>
      </c>
      <c r="B469" s="849">
        <v>2025.0</v>
      </c>
      <c r="C469" s="849" t="s">
        <v>2332</v>
      </c>
      <c r="D469" s="849" t="s">
        <v>2333</v>
      </c>
      <c r="E469" s="849" t="s">
        <v>768</v>
      </c>
      <c r="F469" s="849" t="s">
        <v>2057</v>
      </c>
      <c r="G469" s="849">
        <v>-3406.25</v>
      </c>
      <c r="H469" s="849">
        <v>-3406.25</v>
      </c>
      <c r="I469" s="849">
        <v>-3406.25</v>
      </c>
      <c r="J469" s="849">
        <v>-3406.25</v>
      </c>
      <c r="K469" s="849">
        <v>-3406.25</v>
      </c>
      <c r="L469" s="849">
        <v>-3406.25</v>
      </c>
      <c r="M469" s="849">
        <v>-3406.25</v>
      </c>
      <c r="N469" s="849">
        <v>-3406.25</v>
      </c>
      <c r="O469" s="849">
        <v>-3406.25</v>
      </c>
      <c r="P469" s="849">
        <v>-3406.25</v>
      </c>
      <c r="Q469" s="849">
        <v>-3406.25</v>
      </c>
      <c r="R469" s="849">
        <v>0.0</v>
      </c>
      <c r="S469" s="849">
        <v>0.0</v>
      </c>
      <c r="T469" s="849">
        <v>0.0</v>
      </c>
      <c r="U469" s="849">
        <v>0.0</v>
      </c>
      <c r="V469" s="849">
        <v>0.0</v>
      </c>
      <c r="W469" s="849">
        <v>0.0</v>
      </c>
      <c r="X469" s="849">
        <v>0.0</v>
      </c>
      <c r="Y469" s="849">
        <v>0.0</v>
      </c>
      <c r="Z469" s="849">
        <v>0.0</v>
      </c>
      <c r="AA469" s="849">
        <v>0.0</v>
      </c>
      <c r="AB469" s="849">
        <v>0.0</v>
      </c>
      <c r="AC469" s="849">
        <v>0.0</v>
      </c>
      <c r="AD469" s="849">
        <v>0.0</v>
      </c>
      <c r="AE469" s="849">
        <v>0.0</v>
      </c>
      <c r="AF469" s="849">
        <v>0.0</v>
      </c>
      <c r="AG469" s="849">
        <v>0.0</v>
      </c>
      <c r="AH469" s="849">
        <v>0.0</v>
      </c>
      <c r="AI469" s="849">
        <v>0.0</v>
      </c>
      <c r="AJ469" s="794" t="str">
        <f t="shared" ref="AJ469:AK469" si="935">C469</f>
        <v>G33101</v>
      </c>
      <c r="AK469" s="794" t="str">
        <f t="shared" si="935"/>
        <v>PROVISION PUBLICITE</v>
      </c>
      <c r="AL469" s="794">
        <f t="array" ref="AL469">IFERROR(INDEX(G469:R469,1,MATCH(Parametres!$B$3,G$1:R$1,0)-1)*IF(OR(F469="L",F469="S",F469="I"),-1,1),"")</f>
        <v>3406.25</v>
      </c>
      <c r="AM469" s="794">
        <f t="shared" si="4"/>
        <v>0</v>
      </c>
      <c r="AN469" s="794">
        <f t="array" ref="AN469">INDEX(G469:R469,1,MATCH(Parametres!$B$3,G$1:R$1,0))*IF(OR(F469="L",F469="S",F469="I"),-1,1)</f>
        <v>3406.25</v>
      </c>
      <c r="AO469" s="853" t="str">
        <f>+VLOOKUP($AJ469,Data_Validation!$A:$D,1,0)</f>
        <v>G33101</v>
      </c>
      <c r="AP469" s="853" t="str">
        <f>+VLOOKUP($AJ469,Data_Validation!$A:$D,3,0)</f>
        <v>Bilan</v>
      </c>
      <c r="AQ469" s="853" t="str">
        <f>+VLOOKUP($AJ469,Data_Validation!$A:$D,4,0)</f>
        <v>Autres Courus</v>
      </c>
      <c r="AR469" s="853" t="s">
        <v>728</v>
      </c>
      <c r="AS469" s="853" t="str">
        <f>+VLOOKUP($AJ469,Data_Validation!$A:$E,5,0)</f>
        <v/>
      </c>
      <c r="AT469" s="794" t="str">
        <f t="shared" ref="AT469:AU469" si="936">C469</f>
        <v>G33101</v>
      </c>
      <c r="AU469" s="854" t="str">
        <f t="shared" si="936"/>
        <v>PROVISION PUBLICITE</v>
      </c>
      <c r="AV469" s="794">
        <f t="array" ref="AV469">IFERROR(INDEX(V469:AG469,1,MATCH(Parametres!$B$3,V$1:AG$1,0)-1)*IF(OR(C469="L",C469="S",C469="I"),-1,1),"")</f>
        <v>0</v>
      </c>
      <c r="AW469" s="794">
        <f t="shared" si="6"/>
        <v>0</v>
      </c>
      <c r="AX469" s="794">
        <f t="array" ref="AX469">INDEX(V469:AG469,1,MATCH(Parametres!$B$3,V$1:AG$1,0))*IF(OR(C469="L",C469="S",C469="I"),-1,1)</f>
        <v>0</v>
      </c>
      <c r="AY469" s="853" t="s">
        <v>772</v>
      </c>
      <c r="AZ469" s="853" t="str">
        <f>+VLOOKUP($AJ469,Data_Validation!$A:$E,5,0)</f>
        <v/>
      </c>
    </row>
    <row r="470" ht="15.0" customHeight="1">
      <c r="A470" s="849" t="s">
        <v>1239</v>
      </c>
      <c r="B470" s="849">
        <v>2025.0</v>
      </c>
      <c r="C470" s="849" t="s">
        <v>2334</v>
      </c>
      <c r="D470" s="849" t="s">
        <v>2335</v>
      </c>
      <c r="E470" s="849" t="s">
        <v>768</v>
      </c>
      <c r="F470" s="849" t="s">
        <v>2057</v>
      </c>
      <c r="G470" s="849">
        <v>228895.92</v>
      </c>
      <c r="H470" s="849">
        <v>231259.26</v>
      </c>
      <c r="I470" s="849">
        <v>233809.34</v>
      </c>
      <c r="J470" s="849">
        <v>249378.52</v>
      </c>
      <c r="K470" s="849">
        <v>262953.66</v>
      </c>
      <c r="L470" s="849">
        <v>261857.21</v>
      </c>
      <c r="M470" s="849">
        <v>249528.07</v>
      </c>
      <c r="N470" s="849">
        <v>213342.22</v>
      </c>
      <c r="O470" s="849">
        <v>207981.28</v>
      </c>
      <c r="P470" s="849">
        <v>220072.48</v>
      </c>
      <c r="Q470" s="849">
        <v>228857.66</v>
      </c>
      <c r="R470" s="849">
        <v>276972.32</v>
      </c>
      <c r="S470" s="849">
        <v>0.0</v>
      </c>
      <c r="T470" s="849">
        <v>0.0</v>
      </c>
      <c r="U470" s="849">
        <v>0.0</v>
      </c>
      <c r="V470" s="849">
        <v>0.0</v>
      </c>
      <c r="W470" s="849">
        <v>0.0</v>
      </c>
      <c r="X470" s="849">
        <v>0.0</v>
      </c>
      <c r="Y470" s="849">
        <v>0.0</v>
      </c>
      <c r="Z470" s="849">
        <v>0.0</v>
      </c>
      <c r="AA470" s="849">
        <v>0.0</v>
      </c>
      <c r="AB470" s="849">
        <v>0.0</v>
      </c>
      <c r="AC470" s="849">
        <v>0.0</v>
      </c>
      <c r="AD470" s="849">
        <v>0.0</v>
      </c>
      <c r="AE470" s="849">
        <v>0.0</v>
      </c>
      <c r="AF470" s="849">
        <v>0.0</v>
      </c>
      <c r="AG470" s="849">
        <v>0.0</v>
      </c>
      <c r="AH470" s="849">
        <v>0.0</v>
      </c>
      <c r="AI470" s="849">
        <v>0.0</v>
      </c>
      <c r="AJ470" s="794" t="str">
        <f t="shared" ref="AJ470:AK470" si="937">C470</f>
        <v>G33102</v>
      </c>
      <c r="AK470" s="794" t="str">
        <f t="shared" si="937"/>
        <v>PROVISIONS POUR VACANCES</v>
      </c>
      <c r="AL470" s="794">
        <f t="array" ref="AL470">IFERROR(INDEX(G470:R470,1,MATCH(Parametres!$B$3,G$1:R$1,0)-1)*IF(OR(F470="L",F470="S",F470="I"),-1,1),"")</f>
        <v>-213342.22</v>
      </c>
      <c r="AM470" s="794">
        <f t="shared" si="4"/>
        <v>5360.94</v>
      </c>
      <c r="AN470" s="794">
        <f t="array" ref="AN470">INDEX(G470:R470,1,MATCH(Parametres!$B$3,G$1:R$1,0))*IF(OR(F470="L",F470="S",F470="I"),-1,1)</f>
        <v>-207981.28</v>
      </c>
      <c r="AO470" s="853" t="str">
        <f>+VLOOKUP($AJ470,Data_Validation!$A:$D,1,0)</f>
        <v>G33102</v>
      </c>
      <c r="AP470" s="853" t="str">
        <f>+VLOOKUP($AJ470,Data_Validation!$A:$D,3,0)</f>
        <v>Bilan</v>
      </c>
      <c r="AQ470" s="853" t="str">
        <f>+VLOOKUP($AJ470,Data_Validation!$A:$D,4,0)</f>
        <v>Salaires à Payer</v>
      </c>
      <c r="AR470" s="853" t="s">
        <v>728</v>
      </c>
      <c r="AS470" s="853" t="str">
        <f>+VLOOKUP($AJ470,Data_Validation!$A:$E,5,0)</f>
        <v/>
      </c>
      <c r="AT470" s="794" t="str">
        <f t="shared" ref="AT470:AU470" si="938">C470</f>
        <v>G33102</v>
      </c>
      <c r="AU470" s="854" t="str">
        <f t="shared" si="938"/>
        <v>PROVISIONS POUR VACANCES</v>
      </c>
      <c r="AV470" s="794">
        <f t="array" ref="AV470">IFERROR(INDEX(V470:AG470,1,MATCH(Parametres!$B$3,V$1:AG$1,0)-1)*IF(OR(C470="L",C470="S",C470="I"),-1,1),"")</f>
        <v>0</v>
      </c>
      <c r="AW470" s="794">
        <f t="shared" si="6"/>
        <v>0</v>
      </c>
      <c r="AX470" s="794">
        <f t="array" ref="AX470">INDEX(V470:AG470,1,MATCH(Parametres!$B$3,V$1:AG$1,0))*IF(OR(C470="L",C470="S",C470="I"),-1,1)</f>
        <v>0</v>
      </c>
      <c r="AY470" s="853" t="s">
        <v>772</v>
      </c>
      <c r="AZ470" s="853" t="str">
        <f>+VLOOKUP($AJ470,Data_Validation!$A:$E,5,0)</f>
        <v/>
      </c>
    </row>
    <row r="471" ht="15.0" customHeight="1">
      <c r="A471" s="849" t="s">
        <v>1239</v>
      </c>
      <c r="B471" s="849">
        <v>2025.0</v>
      </c>
      <c r="C471" s="849" t="s">
        <v>2336</v>
      </c>
      <c r="D471" s="849" t="s">
        <v>3458</v>
      </c>
      <c r="E471" s="849" t="s">
        <v>771</v>
      </c>
      <c r="F471" s="849" t="s">
        <v>2057</v>
      </c>
      <c r="G471" s="849">
        <v>30898.99</v>
      </c>
      <c r="H471" s="849">
        <v>25973.75</v>
      </c>
      <c r="I471" s="849">
        <v>21859.9</v>
      </c>
      <c r="J471" s="849">
        <v>28404.4</v>
      </c>
      <c r="K471" s="849">
        <v>28181.69</v>
      </c>
      <c r="L471" s="849">
        <v>36861.12</v>
      </c>
      <c r="M471" s="849">
        <v>6970.75</v>
      </c>
      <c r="N471" s="849">
        <v>3800.0</v>
      </c>
      <c r="O471" s="849">
        <v>7325.0</v>
      </c>
      <c r="P471" s="849">
        <v>12096.3</v>
      </c>
      <c r="Q471" s="849">
        <v>19678.2</v>
      </c>
      <c r="R471" s="849">
        <v>0.0</v>
      </c>
      <c r="S471" s="849">
        <v>0.0</v>
      </c>
      <c r="T471" s="849">
        <v>0.0</v>
      </c>
      <c r="U471" s="849">
        <v>0.0</v>
      </c>
      <c r="V471" s="849">
        <v>0.0</v>
      </c>
      <c r="W471" s="849">
        <v>0.0</v>
      </c>
      <c r="X471" s="849">
        <v>0.0</v>
      </c>
      <c r="Y471" s="849">
        <v>0.0</v>
      </c>
      <c r="Z471" s="849">
        <v>0.0</v>
      </c>
      <c r="AA471" s="849">
        <v>0.0</v>
      </c>
      <c r="AB471" s="849">
        <v>0.0</v>
      </c>
      <c r="AC471" s="849">
        <v>0.0</v>
      </c>
      <c r="AD471" s="849">
        <v>0.0</v>
      </c>
      <c r="AE471" s="849">
        <v>0.0</v>
      </c>
      <c r="AF471" s="849">
        <v>0.0</v>
      </c>
      <c r="AG471" s="849">
        <v>0.0</v>
      </c>
      <c r="AH471" s="849">
        <v>0.0</v>
      </c>
      <c r="AI471" s="849">
        <v>0.0</v>
      </c>
      <c r="AJ471" s="794" t="str">
        <f t="shared" ref="AJ471:AK471" si="939">C471</f>
        <v>G33103</v>
      </c>
      <c r="AK471" s="794" t="str">
        <f t="shared" si="939"/>
        <v>RESERVE USA</v>
      </c>
      <c r="AL471" s="794">
        <f t="array" ref="AL471">IFERROR(INDEX(G471:R471,1,MATCH(Parametres!$B$3,G$1:R$1,0)-1)*IF(OR(F471="L",F471="S",F471="I"),-1,1),"")</f>
        <v>-3800</v>
      </c>
      <c r="AM471" s="794">
        <f t="shared" si="4"/>
        <v>-3525</v>
      </c>
      <c r="AN471" s="794">
        <f t="array" ref="AN471">INDEX(G471:R471,1,MATCH(Parametres!$B$3,G$1:R$1,0))*IF(OR(F471="L",F471="S",F471="I"),-1,1)</f>
        <v>-7325</v>
      </c>
      <c r="AO471" s="853" t="str">
        <f>+VLOOKUP($AJ471,Data_Validation!$A:$D,1,0)</f>
        <v>G33103</v>
      </c>
      <c r="AP471" s="853" t="str">
        <f>+VLOOKUP($AJ471,Data_Validation!$A:$D,3,0)</f>
        <v>Bilan</v>
      </c>
      <c r="AQ471" s="853" t="str">
        <f>+VLOOKUP($AJ471,Data_Validation!$A:$D,4,0)</f>
        <v>Autres Courus</v>
      </c>
      <c r="AR471" s="853" t="s">
        <v>728</v>
      </c>
      <c r="AS471" s="853" t="str">
        <f>+VLOOKUP($AJ471,Data_Validation!$A:$E,5,0)</f>
        <v/>
      </c>
      <c r="AT471" s="794" t="str">
        <f t="shared" ref="AT471:AU471" si="940">C471</f>
        <v>G33103</v>
      </c>
      <c r="AU471" s="854" t="str">
        <f t="shared" si="940"/>
        <v>RESERVE USA</v>
      </c>
      <c r="AV471" s="794">
        <f t="array" ref="AV471">IFERROR(INDEX(V471:AG471,1,MATCH(Parametres!$B$3,V$1:AG$1,0)-1)*IF(OR(C471="L",C471="S",C471="I"),-1,1),"")</f>
        <v>0</v>
      </c>
      <c r="AW471" s="794">
        <f t="shared" si="6"/>
        <v>0</v>
      </c>
      <c r="AX471" s="794">
        <f t="array" ref="AX471">INDEX(V471:AG471,1,MATCH(Parametres!$B$3,V$1:AG$1,0))*IF(OR(C471="L",C471="S",C471="I"),-1,1)</f>
        <v>0</v>
      </c>
      <c r="AY471" s="853" t="s">
        <v>772</v>
      </c>
      <c r="AZ471" s="853" t="str">
        <f>+VLOOKUP($AJ471,Data_Validation!$A:$E,5,0)</f>
        <v/>
      </c>
    </row>
    <row r="472" ht="15.0" customHeight="1">
      <c r="A472" s="849" t="s">
        <v>1239</v>
      </c>
      <c r="B472" s="849">
        <v>2025.0</v>
      </c>
      <c r="C472" s="849" t="s">
        <v>2338</v>
      </c>
      <c r="D472" s="849" t="s">
        <v>2339</v>
      </c>
      <c r="E472" s="849" t="s">
        <v>1959</v>
      </c>
      <c r="F472" s="849" t="s">
        <v>2057</v>
      </c>
      <c r="G472" s="849">
        <v>77240.08</v>
      </c>
      <c r="H472" s="849">
        <v>121849.08</v>
      </c>
      <c r="I472" s="849">
        <v>34156.08</v>
      </c>
      <c r="J472" s="849">
        <v>111331.08</v>
      </c>
      <c r="K472" s="849">
        <v>121699.93</v>
      </c>
      <c r="L472" s="849">
        <v>143388.61</v>
      </c>
      <c r="M472" s="849">
        <v>26782.69</v>
      </c>
      <c r="N472" s="849">
        <v>76472.27</v>
      </c>
      <c r="O472" s="849">
        <v>10506.0</v>
      </c>
      <c r="P472" s="849">
        <v>7357.0</v>
      </c>
      <c r="Q472" s="849">
        <v>9655.0</v>
      </c>
      <c r="R472" s="849">
        <v>12405.0</v>
      </c>
      <c r="S472" s="849">
        <v>0.0</v>
      </c>
      <c r="T472" s="849">
        <v>0.0</v>
      </c>
      <c r="U472" s="849">
        <v>0.0</v>
      </c>
      <c r="V472" s="849">
        <v>0.0</v>
      </c>
      <c r="W472" s="849">
        <v>0.0</v>
      </c>
      <c r="X472" s="849">
        <v>0.0</v>
      </c>
      <c r="Y472" s="849">
        <v>0.0</v>
      </c>
      <c r="Z472" s="849">
        <v>0.0</v>
      </c>
      <c r="AA472" s="849">
        <v>0.0</v>
      </c>
      <c r="AB472" s="849">
        <v>0.0</v>
      </c>
      <c r="AC472" s="849">
        <v>0.0</v>
      </c>
      <c r="AD472" s="849">
        <v>0.0</v>
      </c>
      <c r="AE472" s="849">
        <v>0.0</v>
      </c>
      <c r="AF472" s="849">
        <v>0.0</v>
      </c>
      <c r="AG472" s="849">
        <v>0.0</v>
      </c>
      <c r="AH472" s="849">
        <v>0.0</v>
      </c>
      <c r="AI472" s="849">
        <v>0.0</v>
      </c>
      <c r="AJ472" s="794" t="str">
        <f t="shared" ref="AJ472:AK472" si="941">C472</f>
        <v>G33104</v>
      </c>
      <c r="AK472" s="794" t="str">
        <f t="shared" si="941"/>
        <v>RESERVE FLOTTES</v>
      </c>
      <c r="AL472" s="794">
        <f t="array" ref="AL472">IFERROR(INDEX(G472:R472,1,MATCH(Parametres!$B$3,G$1:R$1,0)-1)*IF(OR(F472="L",F472="S",F472="I"),-1,1),"")</f>
        <v>-76472.27</v>
      </c>
      <c r="AM472" s="794">
        <f t="shared" si="4"/>
        <v>65966.27</v>
      </c>
      <c r="AN472" s="794">
        <f t="array" ref="AN472">INDEX(G472:R472,1,MATCH(Parametres!$B$3,G$1:R$1,0))*IF(OR(F472="L",F472="S",F472="I"),-1,1)</f>
        <v>-10506</v>
      </c>
      <c r="AO472" s="853" t="str">
        <f>+VLOOKUP($AJ472,Data_Validation!$A:$D,1,0)</f>
        <v>G33104</v>
      </c>
      <c r="AP472" s="853" t="str">
        <f>+VLOOKUP($AJ472,Data_Validation!$A:$D,3,0)</f>
        <v>Bilan</v>
      </c>
      <c r="AQ472" s="853" t="str">
        <f>+VLOOKUP($AJ472,Data_Validation!$A:$D,4,0)</f>
        <v>Autres Courus</v>
      </c>
      <c r="AR472" s="853" t="s">
        <v>728</v>
      </c>
      <c r="AS472" s="853" t="str">
        <f>+VLOOKUP($AJ472,Data_Validation!$A:$E,5,0)</f>
        <v/>
      </c>
      <c r="AT472" s="794" t="str">
        <f t="shared" ref="AT472:AU472" si="942">C472</f>
        <v>G33104</v>
      </c>
      <c r="AU472" s="854" t="str">
        <f t="shared" si="942"/>
        <v>RESERVE FLOTTES</v>
      </c>
      <c r="AV472" s="794">
        <f t="array" ref="AV472">IFERROR(INDEX(V472:AG472,1,MATCH(Parametres!$B$3,V$1:AG$1,0)-1)*IF(OR(C472="L",C472="S",C472="I"),-1,1),"")</f>
        <v>0</v>
      </c>
      <c r="AW472" s="794">
        <f t="shared" si="6"/>
        <v>0</v>
      </c>
      <c r="AX472" s="794">
        <f t="array" ref="AX472">INDEX(V472:AG472,1,MATCH(Parametres!$B$3,V$1:AG$1,0))*IF(OR(C472="L",C472="S",C472="I"),-1,1)</f>
        <v>0</v>
      </c>
      <c r="AY472" s="853" t="s">
        <v>772</v>
      </c>
      <c r="AZ472" s="853" t="str">
        <f>+VLOOKUP($AJ472,Data_Validation!$A:$E,5,0)</f>
        <v/>
      </c>
    </row>
    <row r="473" ht="15.0" customHeight="1">
      <c r="A473" s="849" t="s">
        <v>1239</v>
      </c>
      <c r="B473" s="849">
        <v>2025.0</v>
      </c>
      <c r="C473" s="849" t="s">
        <v>2340</v>
      </c>
      <c r="D473" s="849" t="s">
        <v>2341</v>
      </c>
      <c r="E473" s="849" t="s">
        <v>771</v>
      </c>
      <c r="F473" s="849" t="s">
        <v>2057</v>
      </c>
      <c r="G473" s="849">
        <v>26749.0</v>
      </c>
      <c r="H473" s="849">
        <v>50857.52</v>
      </c>
      <c r="I473" s="849">
        <v>98380.42</v>
      </c>
      <c r="J473" s="849">
        <v>112567.59</v>
      </c>
      <c r="K473" s="849">
        <v>113194.34</v>
      </c>
      <c r="L473" s="849">
        <v>113194.34</v>
      </c>
      <c r="M473" s="849">
        <v>113194.34</v>
      </c>
      <c r="N473" s="849">
        <v>113750.34</v>
      </c>
      <c r="O473" s="849">
        <v>113194.34</v>
      </c>
      <c r="P473" s="849">
        <v>117091.34</v>
      </c>
      <c r="Q473" s="849">
        <v>134913.84</v>
      </c>
      <c r="R473" s="849">
        <v>0.0</v>
      </c>
      <c r="S473" s="849">
        <v>0.0</v>
      </c>
      <c r="T473" s="849">
        <v>0.0</v>
      </c>
      <c r="U473" s="849">
        <v>0.0</v>
      </c>
      <c r="V473" s="849">
        <v>0.0</v>
      </c>
      <c r="W473" s="849">
        <v>0.0</v>
      </c>
      <c r="X473" s="849">
        <v>0.0</v>
      </c>
      <c r="Y473" s="849">
        <v>0.0</v>
      </c>
      <c r="Z473" s="849">
        <v>0.0</v>
      </c>
      <c r="AA473" s="849">
        <v>0.0</v>
      </c>
      <c r="AB473" s="849">
        <v>0.0</v>
      </c>
      <c r="AC473" s="849">
        <v>0.0</v>
      </c>
      <c r="AD473" s="849">
        <v>0.0</v>
      </c>
      <c r="AE473" s="849">
        <v>0.0</v>
      </c>
      <c r="AF473" s="849">
        <v>0.0</v>
      </c>
      <c r="AG473" s="849">
        <v>0.0</v>
      </c>
      <c r="AH473" s="849">
        <v>0.0</v>
      </c>
      <c r="AI473" s="849">
        <v>0.0</v>
      </c>
      <c r="AJ473" s="794" t="str">
        <f t="shared" ref="AJ473:AK473" si="943">C473</f>
        <v>G33105</v>
      </c>
      <c r="AK473" s="794" t="str">
        <f t="shared" si="943"/>
        <v>RESERVE TRANSP.WHOLESALE</v>
      </c>
      <c r="AL473" s="794">
        <f t="array" ref="AL473">IFERROR(INDEX(G473:R473,1,MATCH(Parametres!$B$3,G$1:R$1,0)-1)*IF(OR(F473="L",F473="S",F473="I"),-1,1),"")</f>
        <v>-113750.34</v>
      </c>
      <c r="AM473" s="794">
        <f t="shared" si="4"/>
        <v>556</v>
      </c>
      <c r="AN473" s="794">
        <f t="array" ref="AN473">INDEX(G473:R473,1,MATCH(Parametres!$B$3,G$1:R$1,0))*IF(OR(F473="L",F473="S",F473="I"),-1,1)</f>
        <v>-113194.34</v>
      </c>
      <c r="AO473" s="853" t="str">
        <f>+VLOOKUP($AJ473,Data_Validation!$A:$D,1,0)</f>
        <v>G33105</v>
      </c>
      <c r="AP473" s="853" t="str">
        <f>+VLOOKUP($AJ473,Data_Validation!$A:$D,3,0)</f>
        <v>Bilan</v>
      </c>
      <c r="AQ473" s="853" t="str">
        <f>+VLOOKUP($AJ473,Data_Validation!$A:$D,4,0)</f>
        <v>Autres Courus</v>
      </c>
      <c r="AR473" s="853" t="s">
        <v>728</v>
      </c>
      <c r="AS473" s="853" t="str">
        <f>+VLOOKUP($AJ473,Data_Validation!$A:$E,5,0)</f>
        <v/>
      </c>
      <c r="AT473" s="794" t="str">
        <f t="shared" ref="AT473:AU473" si="944">C473</f>
        <v>G33105</v>
      </c>
      <c r="AU473" s="854" t="str">
        <f t="shared" si="944"/>
        <v>RESERVE TRANSP.WHOLESALE</v>
      </c>
      <c r="AV473" s="794">
        <f t="array" ref="AV473">IFERROR(INDEX(V473:AG473,1,MATCH(Parametres!$B$3,V$1:AG$1,0)-1)*IF(OR(C473="L",C473="S",C473="I"),-1,1),"")</f>
        <v>0</v>
      </c>
      <c r="AW473" s="794">
        <f t="shared" si="6"/>
        <v>0</v>
      </c>
      <c r="AX473" s="794">
        <f t="array" ref="AX473">INDEX(V473:AG473,1,MATCH(Parametres!$B$3,V$1:AG$1,0))*IF(OR(C473="L",C473="S",C473="I"),-1,1)</f>
        <v>0</v>
      </c>
      <c r="AY473" s="853" t="s">
        <v>772</v>
      </c>
      <c r="AZ473" s="853" t="str">
        <f>+VLOOKUP($AJ473,Data_Validation!$A:$E,5,0)</f>
        <v/>
      </c>
    </row>
    <row r="474" ht="15.0" customHeight="1">
      <c r="A474" s="849" t="s">
        <v>1239</v>
      </c>
      <c r="B474" s="849">
        <v>2025.0</v>
      </c>
      <c r="C474" s="849" t="s">
        <v>2342</v>
      </c>
      <c r="D474" s="849" t="s">
        <v>2343</v>
      </c>
      <c r="E474" s="849" t="s">
        <v>1959</v>
      </c>
      <c r="F474" s="849" t="s">
        <v>2057</v>
      </c>
      <c r="G474" s="849">
        <v>0.0</v>
      </c>
      <c r="H474" s="849">
        <v>0.0</v>
      </c>
      <c r="I474" s="849">
        <v>0.0</v>
      </c>
      <c r="J474" s="849">
        <v>0.0</v>
      </c>
      <c r="K474" s="849">
        <v>0.0</v>
      </c>
      <c r="L474" s="849">
        <v>0.0</v>
      </c>
      <c r="M474" s="849">
        <v>0.0</v>
      </c>
      <c r="N474" s="849">
        <v>0.0</v>
      </c>
      <c r="O474" s="849">
        <v>8266.32</v>
      </c>
      <c r="P474" s="849">
        <v>8266.32</v>
      </c>
      <c r="Q474" s="849">
        <v>6266.32</v>
      </c>
      <c r="R474" s="849">
        <v>-75400.35</v>
      </c>
      <c r="S474" s="849">
        <v>0.0</v>
      </c>
      <c r="T474" s="849">
        <v>0.0</v>
      </c>
      <c r="U474" s="849">
        <v>0.0</v>
      </c>
      <c r="V474" s="849">
        <v>0.0</v>
      </c>
      <c r="W474" s="849">
        <v>0.0</v>
      </c>
      <c r="X474" s="849">
        <v>0.0</v>
      </c>
      <c r="Y474" s="849">
        <v>0.0</v>
      </c>
      <c r="Z474" s="849">
        <v>0.0</v>
      </c>
      <c r="AA474" s="849">
        <v>0.0</v>
      </c>
      <c r="AB474" s="849">
        <v>0.0</v>
      </c>
      <c r="AC474" s="849">
        <v>0.0</v>
      </c>
      <c r="AD474" s="849">
        <v>0.0</v>
      </c>
      <c r="AE474" s="849">
        <v>0.0</v>
      </c>
      <c r="AF474" s="849">
        <v>0.0</v>
      </c>
      <c r="AG474" s="849">
        <v>0.0</v>
      </c>
      <c r="AH474" s="849">
        <v>0.0</v>
      </c>
      <c r="AI474" s="849">
        <v>0.0</v>
      </c>
      <c r="AJ474" s="794" t="str">
        <f t="shared" ref="AJ474:AK474" si="945">C474</f>
        <v>G33106</v>
      </c>
      <c r="AK474" s="794" t="str">
        <f t="shared" si="945"/>
        <v>RESERVE DEMO</v>
      </c>
      <c r="AL474" s="794">
        <f t="array" ref="AL474">IFERROR(INDEX(G474:R474,1,MATCH(Parametres!$B$3,G$1:R$1,0)-1)*IF(OR(F474="L",F474="S",F474="I"),-1,1),"")</f>
        <v>0</v>
      </c>
      <c r="AM474" s="794">
        <f t="shared" si="4"/>
        <v>-8266.32</v>
      </c>
      <c r="AN474" s="794">
        <f t="array" ref="AN474">INDEX(G474:R474,1,MATCH(Parametres!$B$3,G$1:R$1,0))*IF(OR(F474="L",F474="S",F474="I"),-1,1)</f>
        <v>-8266.32</v>
      </c>
      <c r="AO474" s="853" t="str">
        <f>+VLOOKUP($AJ474,Data_Validation!$A:$D,1,0)</f>
        <v>G33106</v>
      </c>
      <c r="AP474" s="853" t="str">
        <f>+VLOOKUP($AJ474,Data_Validation!$A:$D,3,0)</f>
        <v>Bilan</v>
      </c>
      <c r="AQ474" s="853" t="str">
        <f>+VLOOKUP($AJ474,Data_Validation!$A:$D,4,0)</f>
        <v>Autres Courus</v>
      </c>
      <c r="AR474" s="853" t="s">
        <v>728</v>
      </c>
      <c r="AS474" s="853" t="str">
        <f>+VLOOKUP($AJ474,Data_Validation!$A:$E,5,0)</f>
        <v/>
      </c>
      <c r="AT474" s="794" t="str">
        <f t="shared" ref="AT474:AU474" si="946">C474</f>
        <v>G33106</v>
      </c>
      <c r="AU474" s="854" t="str">
        <f t="shared" si="946"/>
        <v>RESERVE DEMO</v>
      </c>
      <c r="AV474" s="794">
        <f t="array" ref="AV474">IFERROR(INDEX(V474:AG474,1,MATCH(Parametres!$B$3,V$1:AG$1,0)-1)*IF(OR(C474="L",C474="S",C474="I"),-1,1),"")</f>
        <v>0</v>
      </c>
      <c r="AW474" s="794">
        <f t="shared" si="6"/>
        <v>0</v>
      </c>
      <c r="AX474" s="794">
        <f t="array" ref="AX474">INDEX(V474:AG474,1,MATCH(Parametres!$B$3,V$1:AG$1,0))*IF(OR(C474="L",C474="S",C474="I"),-1,1)</f>
        <v>0</v>
      </c>
      <c r="AY474" s="853" t="s">
        <v>772</v>
      </c>
      <c r="AZ474" s="853" t="str">
        <f>+VLOOKUP($AJ474,Data_Validation!$A:$E,5,0)</f>
        <v/>
      </c>
    </row>
    <row r="475" ht="15.0" customHeight="1">
      <c r="A475" s="849" t="s">
        <v>1239</v>
      </c>
      <c r="B475" s="849">
        <v>2025.0</v>
      </c>
      <c r="C475" s="849" t="s">
        <v>2344</v>
      </c>
      <c r="D475" s="849" t="s">
        <v>2345</v>
      </c>
      <c r="E475" s="849" t="s">
        <v>1959</v>
      </c>
      <c r="F475" s="849" t="s">
        <v>2057</v>
      </c>
      <c r="G475" s="849">
        <v>0.0</v>
      </c>
      <c r="H475" s="849">
        <v>0.0</v>
      </c>
      <c r="I475" s="849">
        <v>0.0</v>
      </c>
      <c r="J475" s="849">
        <v>0.0</v>
      </c>
      <c r="K475" s="849">
        <v>0.0</v>
      </c>
      <c r="L475" s="849">
        <v>0.0</v>
      </c>
      <c r="M475" s="849">
        <v>0.0</v>
      </c>
      <c r="N475" s="849">
        <v>0.0</v>
      </c>
      <c r="O475" s="849">
        <v>-21489.32</v>
      </c>
      <c r="P475" s="849">
        <v>95497.68</v>
      </c>
      <c r="Q475" s="849">
        <v>79086.0</v>
      </c>
      <c r="R475" s="849">
        <v>-78756.0</v>
      </c>
      <c r="S475" s="849">
        <v>0.0</v>
      </c>
      <c r="T475" s="849">
        <v>0.0</v>
      </c>
      <c r="U475" s="849">
        <v>0.0</v>
      </c>
      <c r="V475" s="849">
        <v>0.0</v>
      </c>
      <c r="W475" s="849">
        <v>0.0</v>
      </c>
      <c r="X475" s="849">
        <v>0.0</v>
      </c>
      <c r="Y475" s="849">
        <v>0.0</v>
      </c>
      <c r="Z475" s="849">
        <v>0.0</v>
      </c>
      <c r="AA475" s="849">
        <v>0.0</v>
      </c>
      <c r="AB475" s="849">
        <v>0.0</v>
      </c>
      <c r="AC475" s="849">
        <v>0.0</v>
      </c>
      <c r="AD475" s="849">
        <v>0.0</v>
      </c>
      <c r="AE475" s="849">
        <v>0.0</v>
      </c>
      <c r="AF475" s="849">
        <v>0.0</v>
      </c>
      <c r="AG475" s="849">
        <v>0.0</v>
      </c>
      <c r="AH475" s="849">
        <v>0.0</v>
      </c>
      <c r="AI475" s="849">
        <v>0.0</v>
      </c>
      <c r="AJ475" s="794" t="str">
        <f t="shared" ref="AJ475:AK475" si="947">C475</f>
        <v>G33107</v>
      </c>
      <c r="AK475" s="794" t="str">
        <f t="shared" si="947"/>
        <v>ACCESSOIRES FLOTTES</v>
      </c>
      <c r="AL475" s="794">
        <f t="array" ref="AL475">IFERROR(INDEX(G475:R475,1,MATCH(Parametres!$B$3,G$1:R$1,0)-1)*IF(OR(F475="L",F475="S",F475="I"),-1,1),"")</f>
        <v>0</v>
      </c>
      <c r="AM475" s="794">
        <f t="shared" si="4"/>
        <v>21489.32</v>
      </c>
      <c r="AN475" s="794">
        <f t="array" ref="AN475">INDEX(G475:R475,1,MATCH(Parametres!$B$3,G$1:R$1,0))*IF(OR(F475="L",F475="S",F475="I"),-1,1)</f>
        <v>21489.32</v>
      </c>
      <c r="AO475" s="853" t="str">
        <f>+VLOOKUP($AJ475,Data_Validation!$A:$D,1,0)</f>
        <v>G33107</v>
      </c>
      <c r="AP475" s="853" t="str">
        <f>+VLOOKUP($AJ475,Data_Validation!$A:$D,3,0)</f>
        <v>Bilan</v>
      </c>
      <c r="AQ475" s="853" t="str">
        <f>+VLOOKUP($AJ475,Data_Validation!$A:$D,4,0)</f>
        <v>Autres Comptes à Payer</v>
      </c>
      <c r="AR475" s="853" t="s">
        <v>728</v>
      </c>
      <c r="AS475" s="853" t="str">
        <f>+VLOOKUP($AJ475,Data_Validation!$A:$E,5,0)</f>
        <v/>
      </c>
      <c r="AT475" s="794" t="str">
        <f t="shared" ref="AT475:AU475" si="948">C475</f>
        <v>G33107</v>
      </c>
      <c r="AU475" s="854" t="str">
        <f t="shared" si="948"/>
        <v>ACCESSOIRES FLOTTES</v>
      </c>
      <c r="AV475" s="794">
        <f t="array" ref="AV475">IFERROR(INDEX(V475:AG475,1,MATCH(Parametres!$B$3,V$1:AG$1,0)-1)*IF(OR(C475="L",C475="S",C475="I"),-1,1),"")</f>
        <v>0</v>
      </c>
      <c r="AW475" s="794">
        <f t="shared" si="6"/>
        <v>0</v>
      </c>
      <c r="AX475" s="794">
        <f t="array" ref="AX475">INDEX(V475:AG475,1,MATCH(Parametres!$B$3,V$1:AG$1,0))*IF(OR(C475="L",C475="S",C475="I"),-1,1)</f>
        <v>0</v>
      </c>
      <c r="AY475" s="853" t="s">
        <v>772</v>
      </c>
      <c r="AZ475" s="853" t="str">
        <f>+VLOOKUP($AJ475,Data_Validation!$A:$E,5,0)</f>
        <v/>
      </c>
    </row>
    <row r="476" ht="15.0" customHeight="1">
      <c r="A476" s="849" t="s">
        <v>1239</v>
      </c>
      <c r="B476" s="849">
        <v>2025.0</v>
      </c>
      <c r="C476" s="849" t="s">
        <v>2348</v>
      </c>
      <c r="D476" s="849" t="s">
        <v>2349</v>
      </c>
      <c r="E476" s="849" t="s">
        <v>771</v>
      </c>
      <c r="F476" s="849" t="s">
        <v>2057</v>
      </c>
      <c r="G476" s="849">
        <v>0.0</v>
      </c>
      <c r="H476" s="849">
        <v>0.0</v>
      </c>
      <c r="I476" s="849">
        <v>0.0</v>
      </c>
      <c r="J476" s="849">
        <v>0.0</v>
      </c>
      <c r="K476" s="849">
        <v>0.0</v>
      </c>
      <c r="L476" s="849">
        <v>0.0</v>
      </c>
      <c r="M476" s="849">
        <v>0.0</v>
      </c>
      <c r="N476" s="849">
        <v>0.0</v>
      </c>
      <c r="O476" s="849">
        <v>0.0</v>
      </c>
      <c r="P476" s="849">
        <v>0.0</v>
      </c>
      <c r="Q476" s="849">
        <v>0.0</v>
      </c>
      <c r="R476" s="849">
        <v>0.0</v>
      </c>
      <c r="S476" s="849">
        <v>0.0</v>
      </c>
      <c r="T476" s="849">
        <v>0.0</v>
      </c>
      <c r="U476" s="849">
        <v>0.0</v>
      </c>
      <c r="V476" s="849">
        <v>0.0</v>
      </c>
      <c r="W476" s="849">
        <v>0.0</v>
      </c>
      <c r="X476" s="849">
        <v>0.0</v>
      </c>
      <c r="Y476" s="849">
        <v>0.0</v>
      </c>
      <c r="Z476" s="849">
        <v>0.0</v>
      </c>
      <c r="AA476" s="849">
        <v>0.0</v>
      </c>
      <c r="AB476" s="849">
        <v>0.0</v>
      </c>
      <c r="AC476" s="849">
        <v>0.0</v>
      </c>
      <c r="AD476" s="849">
        <v>0.0</v>
      </c>
      <c r="AE476" s="849">
        <v>0.0</v>
      </c>
      <c r="AF476" s="849">
        <v>0.0</v>
      </c>
      <c r="AG476" s="849">
        <v>0.0</v>
      </c>
      <c r="AH476" s="849">
        <v>0.0</v>
      </c>
      <c r="AI476" s="849">
        <v>0.0</v>
      </c>
      <c r="AJ476" s="794" t="str">
        <f t="shared" ref="AJ476:AK476" si="949">C476</f>
        <v>G33110</v>
      </c>
      <c r="AK476" s="794" t="str">
        <f t="shared" si="949"/>
        <v>RABAIS LOCATION LMB INC</v>
      </c>
      <c r="AL476" s="794">
        <f t="array" ref="AL476">IFERROR(INDEX(G476:R476,1,MATCH(Parametres!$B$3,G$1:R$1,0)-1)*IF(OR(F476="L",F476="S",F476="I"),-1,1),"")</f>
        <v>0</v>
      </c>
      <c r="AM476" s="794">
        <f t="shared" si="4"/>
        <v>0</v>
      </c>
      <c r="AN476" s="794">
        <f t="array" ref="AN476">INDEX(G476:R476,1,MATCH(Parametres!$B$3,G$1:R$1,0))*IF(OR(F476="L",F476="S",F476="I"),-1,1)</f>
        <v>0</v>
      </c>
      <c r="AO476" s="853" t="str">
        <f>+VLOOKUP($AJ476,Data_Validation!$A:$D,1,0)</f>
        <v>G33110</v>
      </c>
      <c r="AP476" s="853" t="str">
        <f>+VLOOKUP($AJ476,Data_Validation!$A:$D,3,0)</f>
        <v/>
      </c>
      <c r="AQ476" s="853" t="str">
        <f>+VLOOKUP($AJ476,Data_Validation!$A:$D,4,0)</f>
        <v/>
      </c>
      <c r="AR476" s="853" t="s">
        <v>728</v>
      </c>
      <c r="AS476" s="853" t="str">
        <f>+VLOOKUP($AJ476,Data_Validation!$A:$E,5,0)</f>
        <v/>
      </c>
      <c r="AT476" s="794" t="str">
        <f t="shared" ref="AT476:AU476" si="950">C476</f>
        <v>G33110</v>
      </c>
      <c r="AU476" s="854" t="str">
        <f t="shared" si="950"/>
        <v>RABAIS LOCATION LMB INC</v>
      </c>
      <c r="AV476" s="794">
        <f t="array" ref="AV476">IFERROR(INDEX(V476:AG476,1,MATCH(Parametres!$B$3,V$1:AG$1,0)-1)*IF(OR(C476="L",C476="S",C476="I"),-1,1),"")</f>
        <v>0</v>
      </c>
      <c r="AW476" s="794">
        <f t="shared" si="6"/>
        <v>0</v>
      </c>
      <c r="AX476" s="794">
        <f t="array" ref="AX476">INDEX(V476:AG476,1,MATCH(Parametres!$B$3,V$1:AG$1,0))*IF(OR(C476="L",C476="S",C476="I"),-1,1)</f>
        <v>0</v>
      </c>
      <c r="AY476" s="853" t="s">
        <v>772</v>
      </c>
      <c r="AZ476" s="853" t="str">
        <f>+VLOOKUP($AJ476,Data_Validation!$A:$E,5,0)</f>
        <v/>
      </c>
    </row>
    <row r="477" ht="15.0" customHeight="1">
      <c r="A477" s="849" t="s">
        <v>1239</v>
      </c>
      <c r="B477" s="849">
        <v>2025.0</v>
      </c>
      <c r="C477" s="849" t="s">
        <v>2350</v>
      </c>
      <c r="D477" s="849" t="s">
        <v>2351</v>
      </c>
      <c r="E477" s="849" t="s">
        <v>768</v>
      </c>
      <c r="F477" s="849" t="s">
        <v>2057</v>
      </c>
      <c r="G477" s="849">
        <v>4150.0</v>
      </c>
      <c r="H477" s="849">
        <v>6850.0</v>
      </c>
      <c r="I477" s="849">
        <v>7050.0</v>
      </c>
      <c r="J477" s="849">
        <v>9330.0</v>
      </c>
      <c r="K477" s="849">
        <v>9330.0</v>
      </c>
      <c r="L477" s="849">
        <v>9330.0</v>
      </c>
      <c r="M477" s="849">
        <v>9330.0</v>
      </c>
      <c r="N477" s="849">
        <v>9730.0</v>
      </c>
      <c r="O477" s="849">
        <v>9930.0</v>
      </c>
      <c r="P477" s="849">
        <v>10730.0</v>
      </c>
      <c r="Q477" s="849">
        <v>11880.0</v>
      </c>
      <c r="R477" s="849">
        <v>0.0</v>
      </c>
      <c r="S477" s="849">
        <v>0.0</v>
      </c>
      <c r="T477" s="849">
        <v>0.0</v>
      </c>
      <c r="U477" s="849">
        <v>0.0</v>
      </c>
      <c r="V477" s="849">
        <v>0.0</v>
      </c>
      <c r="W477" s="849">
        <v>0.0</v>
      </c>
      <c r="X477" s="849">
        <v>0.0</v>
      </c>
      <c r="Y477" s="849">
        <v>0.0</v>
      </c>
      <c r="Z477" s="849">
        <v>0.0</v>
      </c>
      <c r="AA477" s="849">
        <v>0.0</v>
      </c>
      <c r="AB477" s="849">
        <v>0.0</v>
      </c>
      <c r="AC477" s="849">
        <v>0.0</v>
      </c>
      <c r="AD477" s="849">
        <v>0.0</v>
      </c>
      <c r="AE477" s="849">
        <v>0.0</v>
      </c>
      <c r="AF477" s="849">
        <v>0.0</v>
      </c>
      <c r="AG477" s="849">
        <v>0.0</v>
      </c>
      <c r="AH477" s="849">
        <v>0.0</v>
      </c>
      <c r="AI477" s="849">
        <v>0.0</v>
      </c>
      <c r="AJ477" s="794" t="str">
        <f t="shared" ref="AJ477:AK477" si="951">C477</f>
        <v>G33111</v>
      </c>
      <c r="AK477" s="794" t="str">
        <f t="shared" si="951"/>
        <v>PROVISION WHOLESSALE</v>
      </c>
      <c r="AL477" s="794">
        <f t="array" ref="AL477">IFERROR(INDEX(G477:R477,1,MATCH(Parametres!$B$3,G$1:R$1,0)-1)*IF(OR(F477="L",F477="S",F477="I"),-1,1),"")</f>
        <v>-9730</v>
      </c>
      <c r="AM477" s="794">
        <f t="shared" si="4"/>
        <v>-200</v>
      </c>
      <c r="AN477" s="794">
        <f t="array" ref="AN477">INDEX(G477:R477,1,MATCH(Parametres!$B$3,G$1:R$1,0))*IF(OR(F477="L",F477="S",F477="I"),-1,1)</f>
        <v>-9930</v>
      </c>
      <c r="AO477" s="853" t="str">
        <f>+VLOOKUP($AJ477,Data_Validation!$A:$D,1,0)</f>
        <v>G33111</v>
      </c>
      <c r="AP477" s="853" t="str">
        <f>+VLOOKUP($AJ477,Data_Validation!$A:$D,3,0)</f>
        <v>Bilan</v>
      </c>
      <c r="AQ477" s="853" t="str">
        <f>+VLOOKUP($AJ477,Data_Validation!$A:$D,4,0)</f>
        <v>Autres Courus</v>
      </c>
      <c r="AR477" s="853" t="s">
        <v>728</v>
      </c>
      <c r="AS477" s="853" t="str">
        <f>+VLOOKUP($AJ477,Data_Validation!$A:$E,5,0)</f>
        <v/>
      </c>
      <c r="AT477" s="794" t="str">
        <f t="shared" ref="AT477:AU477" si="952">C477</f>
        <v>G33111</v>
      </c>
      <c r="AU477" s="854" t="str">
        <f t="shared" si="952"/>
        <v>PROVISION WHOLESSALE</v>
      </c>
      <c r="AV477" s="794">
        <f t="array" ref="AV477">IFERROR(INDEX(V477:AG477,1,MATCH(Parametres!$B$3,V$1:AG$1,0)-1)*IF(OR(C477="L",C477="S",C477="I"),-1,1),"")</f>
        <v>0</v>
      </c>
      <c r="AW477" s="794">
        <f t="shared" si="6"/>
        <v>0</v>
      </c>
      <c r="AX477" s="794">
        <f t="array" ref="AX477">INDEX(V477:AG477,1,MATCH(Parametres!$B$3,V$1:AG$1,0))*IF(OR(C477="L",C477="S",C477="I"),-1,1)</f>
        <v>0</v>
      </c>
      <c r="AY477" s="853" t="s">
        <v>772</v>
      </c>
      <c r="AZ477" s="853" t="str">
        <f>+VLOOKUP($AJ477,Data_Validation!$A:$E,5,0)</f>
        <v/>
      </c>
    </row>
    <row r="478" ht="15.0" customHeight="1">
      <c r="A478" s="849" t="s">
        <v>1239</v>
      </c>
      <c r="B478" s="849">
        <v>2025.0</v>
      </c>
      <c r="C478" s="849" t="s">
        <v>2352</v>
      </c>
      <c r="D478" s="849" t="s">
        <v>2353</v>
      </c>
      <c r="E478" s="849" t="s">
        <v>768</v>
      </c>
      <c r="F478" s="849" t="s">
        <v>2057</v>
      </c>
      <c r="G478" s="849">
        <v>22500.0</v>
      </c>
      <c r="H478" s="849">
        <v>26000.0</v>
      </c>
      <c r="I478" s="849">
        <v>33000.0</v>
      </c>
      <c r="J478" s="849">
        <v>39000.0</v>
      </c>
      <c r="K478" s="849">
        <v>45750.0</v>
      </c>
      <c r="L478" s="849">
        <v>49750.0</v>
      </c>
      <c r="M478" s="849">
        <v>57000.0</v>
      </c>
      <c r="N478" s="849">
        <v>62500.0</v>
      </c>
      <c r="O478" s="849">
        <v>27140.3</v>
      </c>
      <c r="P478" s="849">
        <v>27140.3</v>
      </c>
      <c r="Q478" s="849">
        <v>27140.3</v>
      </c>
      <c r="R478" s="849">
        <v>0.0</v>
      </c>
      <c r="S478" s="849">
        <v>0.0</v>
      </c>
      <c r="T478" s="849">
        <v>0.0</v>
      </c>
      <c r="U478" s="849">
        <v>0.0</v>
      </c>
      <c r="V478" s="849">
        <v>0.0</v>
      </c>
      <c r="W478" s="849">
        <v>0.0</v>
      </c>
      <c r="X478" s="849">
        <v>0.0</v>
      </c>
      <c r="Y478" s="849">
        <v>0.0</v>
      </c>
      <c r="Z478" s="849">
        <v>0.0</v>
      </c>
      <c r="AA478" s="849">
        <v>0.0</v>
      </c>
      <c r="AB478" s="849">
        <v>0.0</v>
      </c>
      <c r="AC478" s="849">
        <v>0.0</v>
      </c>
      <c r="AD478" s="849">
        <v>0.0</v>
      </c>
      <c r="AE478" s="849">
        <v>0.0</v>
      </c>
      <c r="AF478" s="849">
        <v>0.0</v>
      </c>
      <c r="AG478" s="849">
        <v>0.0</v>
      </c>
      <c r="AH478" s="849">
        <v>0.0</v>
      </c>
      <c r="AI478" s="849">
        <v>0.0</v>
      </c>
      <c r="AJ478" s="794" t="str">
        <f t="shared" ref="AJ478:AK478" si="953">C478</f>
        <v>G33112</v>
      </c>
      <c r="AK478" s="794" t="str">
        <f t="shared" si="953"/>
        <v>PROVISION DETAIL</v>
      </c>
      <c r="AL478" s="794">
        <f t="array" ref="AL478">IFERROR(INDEX(G478:R478,1,MATCH(Parametres!$B$3,G$1:R$1,0)-1)*IF(OR(F478="L",F478="S",F478="I"),-1,1),"")</f>
        <v>-62500</v>
      </c>
      <c r="AM478" s="794">
        <f t="shared" si="4"/>
        <v>35359.7</v>
      </c>
      <c r="AN478" s="794">
        <f t="array" ref="AN478">INDEX(G478:R478,1,MATCH(Parametres!$B$3,G$1:R$1,0))*IF(OR(F478="L",F478="S",F478="I"),-1,1)</f>
        <v>-27140.3</v>
      </c>
      <c r="AO478" s="853" t="str">
        <f>+VLOOKUP($AJ478,Data_Validation!$A:$D,1,0)</f>
        <v>G33112</v>
      </c>
      <c r="AP478" s="853" t="str">
        <f>+VLOOKUP($AJ478,Data_Validation!$A:$D,3,0)</f>
        <v>Bilan</v>
      </c>
      <c r="AQ478" s="853" t="str">
        <f>+VLOOKUP($AJ478,Data_Validation!$A:$D,4,0)</f>
        <v>Autres Courus</v>
      </c>
      <c r="AR478" s="853" t="s">
        <v>728</v>
      </c>
      <c r="AS478" s="853" t="str">
        <f>+VLOOKUP($AJ478,Data_Validation!$A:$E,5,0)</f>
        <v/>
      </c>
      <c r="AT478" s="794" t="str">
        <f t="shared" ref="AT478:AU478" si="954">C478</f>
        <v>G33112</v>
      </c>
      <c r="AU478" s="854" t="str">
        <f t="shared" si="954"/>
        <v>PROVISION DETAIL</v>
      </c>
      <c r="AV478" s="794">
        <f t="array" ref="AV478">IFERROR(INDEX(V478:AG478,1,MATCH(Parametres!$B$3,V$1:AG$1,0)-1)*IF(OR(C478="L",C478="S",C478="I"),-1,1),"")</f>
        <v>0</v>
      </c>
      <c r="AW478" s="794">
        <f t="shared" si="6"/>
        <v>0</v>
      </c>
      <c r="AX478" s="794">
        <f t="array" ref="AX478">INDEX(V478:AG478,1,MATCH(Parametres!$B$3,V$1:AG$1,0))*IF(OR(C478="L",C478="S",C478="I"),-1,1)</f>
        <v>0</v>
      </c>
      <c r="AY478" s="853" t="s">
        <v>772</v>
      </c>
      <c r="AZ478" s="853" t="str">
        <f>+VLOOKUP($AJ478,Data_Validation!$A:$E,5,0)</f>
        <v/>
      </c>
    </row>
    <row r="479" ht="15.0" customHeight="1">
      <c r="A479" s="849" t="s">
        <v>1239</v>
      </c>
      <c r="B479" s="849">
        <v>2025.0</v>
      </c>
      <c r="C479" s="849" t="s">
        <v>2354</v>
      </c>
      <c r="D479" s="849" t="s">
        <v>2355</v>
      </c>
      <c r="E479" s="849" t="s">
        <v>768</v>
      </c>
      <c r="F479" s="849" t="s">
        <v>2057</v>
      </c>
      <c r="G479" s="849">
        <v>-22783.45</v>
      </c>
      <c r="H479" s="849">
        <v>60900.0</v>
      </c>
      <c r="I479" s="849">
        <v>98300.0</v>
      </c>
      <c r="J479" s="849">
        <v>106050.0</v>
      </c>
      <c r="K479" s="849">
        <v>106400.0</v>
      </c>
      <c r="L479" s="849">
        <v>106400.0</v>
      </c>
      <c r="M479" s="849">
        <v>106400.0</v>
      </c>
      <c r="N479" s="849">
        <v>106400.0</v>
      </c>
      <c r="O479" s="849">
        <v>47500.0</v>
      </c>
      <c r="P479" s="849">
        <v>58290.0</v>
      </c>
      <c r="Q479" s="849">
        <v>97360.0</v>
      </c>
      <c r="R479" s="849">
        <v>0.0</v>
      </c>
      <c r="S479" s="849">
        <v>0.0</v>
      </c>
      <c r="T479" s="849">
        <v>0.0</v>
      </c>
      <c r="U479" s="849">
        <v>0.0</v>
      </c>
      <c r="V479" s="849">
        <v>0.0</v>
      </c>
      <c r="W479" s="849">
        <v>0.0</v>
      </c>
      <c r="X479" s="849">
        <v>0.0</v>
      </c>
      <c r="Y479" s="849">
        <v>0.0</v>
      </c>
      <c r="Z479" s="849">
        <v>0.0</v>
      </c>
      <c r="AA479" s="849">
        <v>0.0</v>
      </c>
      <c r="AB479" s="849">
        <v>0.0</v>
      </c>
      <c r="AC479" s="849">
        <v>0.0</v>
      </c>
      <c r="AD479" s="849">
        <v>0.0</v>
      </c>
      <c r="AE479" s="849">
        <v>0.0</v>
      </c>
      <c r="AF479" s="849">
        <v>0.0</v>
      </c>
      <c r="AG479" s="849">
        <v>0.0</v>
      </c>
      <c r="AH479" s="849">
        <v>0.0</v>
      </c>
      <c r="AI479" s="849">
        <v>0.0</v>
      </c>
      <c r="AJ479" s="794" t="str">
        <f t="shared" ref="AJ479:AK479" si="955">C479</f>
        <v>G33113</v>
      </c>
      <c r="AK479" s="794" t="str">
        <f t="shared" si="955"/>
        <v>PROVISION USA</v>
      </c>
      <c r="AL479" s="794">
        <f t="array" ref="AL479">IFERROR(INDEX(G479:R479,1,MATCH(Parametres!$B$3,G$1:R$1,0)-1)*IF(OR(F479="L",F479="S",F479="I"),-1,1),"")</f>
        <v>-106400</v>
      </c>
      <c r="AM479" s="794">
        <f t="shared" si="4"/>
        <v>58900</v>
      </c>
      <c r="AN479" s="794">
        <f t="array" ref="AN479">INDEX(G479:R479,1,MATCH(Parametres!$B$3,G$1:R$1,0))*IF(OR(F479="L",F479="S",F479="I"),-1,1)</f>
        <v>-47500</v>
      </c>
      <c r="AO479" s="853" t="str">
        <f>+VLOOKUP($AJ479,Data_Validation!$A:$D,1,0)</f>
        <v>G33113</v>
      </c>
      <c r="AP479" s="853" t="str">
        <f>+VLOOKUP($AJ479,Data_Validation!$A:$D,3,0)</f>
        <v>Bilan</v>
      </c>
      <c r="AQ479" s="853" t="str">
        <f>+VLOOKUP($AJ479,Data_Validation!$A:$D,4,0)</f>
        <v>Autres Courus</v>
      </c>
      <c r="AR479" s="853" t="s">
        <v>728</v>
      </c>
      <c r="AS479" s="853" t="str">
        <f>+VLOOKUP($AJ479,Data_Validation!$A:$E,5,0)</f>
        <v/>
      </c>
      <c r="AT479" s="794" t="str">
        <f t="shared" ref="AT479:AU479" si="956">C479</f>
        <v>G33113</v>
      </c>
      <c r="AU479" s="854" t="str">
        <f t="shared" si="956"/>
        <v>PROVISION USA</v>
      </c>
      <c r="AV479" s="794">
        <f t="array" ref="AV479">IFERROR(INDEX(V479:AG479,1,MATCH(Parametres!$B$3,V$1:AG$1,0)-1)*IF(OR(C479="L",C479="S",C479="I"),-1,1),"")</f>
        <v>0</v>
      </c>
      <c r="AW479" s="794">
        <f t="shared" si="6"/>
        <v>0</v>
      </c>
      <c r="AX479" s="794">
        <f t="array" ref="AX479">INDEX(V479:AG479,1,MATCH(Parametres!$B$3,V$1:AG$1,0))*IF(OR(C479="L",C479="S",C479="I"),-1,1)</f>
        <v>0</v>
      </c>
      <c r="AY479" s="853" t="s">
        <v>772</v>
      </c>
      <c r="AZ479" s="853" t="str">
        <f>+VLOOKUP($AJ479,Data_Validation!$A:$E,5,0)</f>
        <v/>
      </c>
    </row>
    <row r="480" ht="15.0" customHeight="1">
      <c r="A480" s="849" t="s">
        <v>1239</v>
      </c>
      <c r="B480" s="849">
        <v>2025.0</v>
      </c>
      <c r="C480" s="849" t="s">
        <v>2356</v>
      </c>
      <c r="D480" s="849" t="s">
        <v>2357</v>
      </c>
      <c r="E480" s="849" t="s">
        <v>768</v>
      </c>
      <c r="F480" s="849" t="s">
        <v>2057</v>
      </c>
      <c r="G480" s="849">
        <v>0.0</v>
      </c>
      <c r="H480" s="849">
        <v>150.0</v>
      </c>
      <c r="I480" s="849">
        <v>15300.0</v>
      </c>
      <c r="J480" s="849">
        <v>20150.0</v>
      </c>
      <c r="K480" s="849">
        <v>20300.0</v>
      </c>
      <c r="L480" s="849">
        <v>20300.0</v>
      </c>
      <c r="M480" s="849">
        <v>20300.0</v>
      </c>
      <c r="N480" s="849">
        <v>0.0</v>
      </c>
      <c r="O480" s="849">
        <v>300.0</v>
      </c>
      <c r="P480" s="849">
        <v>4950.0</v>
      </c>
      <c r="Q480" s="849">
        <v>4950.0</v>
      </c>
      <c r="R480" s="849">
        <v>0.0</v>
      </c>
      <c r="S480" s="849">
        <v>0.0</v>
      </c>
      <c r="T480" s="849">
        <v>0.0</v>
      </c>
      <c r="U480" s="849">
        <v>0.0</v>
      </c>
      <c r="V480" s="849">
        <v>0.0</v>
      </c>
      <c r="W480" s="849">
        <v>0.0</v>
      </c>
      <c r="X480" s="849">
        <v>0.0</v>
      </c>
      <c r="Y480" s="849">
        <v>0.0</v>
      </c>
      <c r="Z480" s="849">
        <v>0.0</v>
      </c>
      <c r="AA480" s="849">
        <v>0.0</v>
      </c>
      <c r="AB480" s="849">
        <v>0.0</v>
      </c>
      <c r="AC480" s="849">
        <v>0.0</v>
      </c>
      <c r="AD480" s="849">
        <v>0.0</v>
      </c>
      <c r="AE480" s="849">
        <v>0.0</v>
      </c>
      <c r="AF480" s="849">
        <v>0.0</v>
      </c>
      <c r="AG480" s="849">
        <v>0.0</v>
      </c>
      <c r="AH480" s="849">
        <v>0.0</v>
      </c>
      <c r="AI480" s="849">
        <v>0.0</v>
      </c>
      <c r="AJ480" s="794" t="str">
        <f t="shared" ref="AJ480:AK480" si="957">C480</f>
        <v>G33114</v>
      </c>
      <c r="AK480" s="794" t="str">
        <f t="shared" si="957"/>
        <v>PROVISION HERELLE</v>
      </c>
      <c r="AL480" s="794">
        <f t="array" ref="AL480">IFERROR(INDEX(G480:R480,1,MATCH(Parametres!$B$3,G$1:R$1,0)-1)*IF(OR(F480="L",F480="S",F480="I"),-1,1),"")</f>
        <v>0</v>
      </c>
      <c r="AM480" s="794">
        <f t="shared" si="4"/>
        <v>-300</v>
      </c>
      <c r="AN480" s="794">
        <f t="array" ref="AN480">INDEX(G480:R480,1,MATCH(Parametres!$B$3,G$1:R$1,0))*IF(OR(F480="L",F480="S",F480="I"),-1,1)</f>
        <v>-300</v>
      </c>
      <c r="AO480" s="853" t="str">
        <f>+VLOOKUP($AJ480,Data_Validation!$A:$D,1,0)</f>
        <v>G33114</v>
      </c>
      <c r="AP480" s="853" t="str">
        <f>+VLOOKUP($AJ480,Data_Validation!$A:$D,3,0)</f>
        <v>Bilan</v>
      </c>
      <c r="AQ480" s="853" t="str">
        <f>+VLOOKUP($AJ480,Data_Validation!$A:$D,4,0)</f>
        <v>Autres Courus</v>
      </c>
      <c r="AR480" s="853" t="s">
        <v>728</v>
      </c>
      <c r="AS480" s="853" t="str">
        <f>+VLOOKUP($AJ480,Data_Validation!$A:$E,5,0)</f>
        <v/>
      </c>
      <c r="AT480" s="794" t="str">
        <f t="shared" ref="AT480:AU480" si="958">C480</f>
        <v>G33114</v>
      </c>
      <c r="AU480" s="854" t="str">
        <f t="shared" si="958"/>
        <v>PROVISION HERELLE</v>
      </c>
      <c r="AV480" s="794">
        <f t="array" ref="AV480">IFERROR(INDEX(V480:AG480,1,MATCH(Parametres!$B$3,V$1:AG$1,0)-1)*IF(OR(C480="L",C480="S",C480="I"),-1,1),"")</f>
        <v>0</v>
      </c>
      <c r="AW480" s="794">
        <f t="shared" si="6"/>
        <v>0</v>
      </c>
      <c r="AX480" s="794">
        <f t="array" ref="AX480">INDEX(V480:AG480,1,MATCH(Parametres!$B$3,V$1:AG$1,0))*IF(OR(C480="L",C480="S",C480="I"),-1,1)</f>
        <v>0</v>
      </c>
      <c r="AY480" s="853" t="s">
        <v>772</v>
      </c>
      <c r="AZ480" s="853" t="str">
        <f>+VLOOKUP($AJ480,Data_Validation!$A:$E,5,0)</f>
        <v/>
      </c>
    </row>
    <row r="481" ht="15.0" customHeight="1">
      <c r="A481" s="849" t="s">
        <v>1239</v>
      </c>
      <c r="B481" s="849">
        <v>2025.0</v>
      </c>
      <c r="C481" s="849" t="s">
        <v>2358</v>
      </c>
      <c r="D481" s="849" t="s">
        <v>2359</v>
      </c>
      <c r="E481" s="849" t="s">
        <v>771</v>
      </c>
      <c r="F481" s="849" t="s">
        <v>2057</v>
      </c>
      <c r="G481" s="849">
        <v>0.0</v>
      </c>
      <c r="H481" s="849">
        <v>0.0</v>
      </c>
      <c r="I481" s="849">
        <v>0.0</v>
      </c>
      <c r="J481" s="849">
        <v>0.0</v>
      </c>
      <c r="K481" s="849">
        <v>0.0</v>
      </c>
      <c r="L481" s="849">
        <v>0.0</v>
      </c>
      <c r="M481" s="849">
        <v>0.0</v>
      </c>
      <c r="N481" s="849">
        <v>0.0</v>
      </c>
      <c r="O481" s="849">
        <v>0.0</v>
      </c>
      <c r="P481" s="849">
        <v>2284.52</v>
      </c>
      <c r="Q481" s="849">
        <v>0.0</v>
      </c>
      <c r="R481" s="849">
        <v>0.0</v>
      </c>
      <c r="S481" s="849">
        <v>0.0</v>
      </c>
      <c r="T481" s="849">
        <v>0.0</v>
      </c>
      <c r="U481" s="849">
        <v>0.0</v>
      </c>
      <c r="V481" s="849">
        <v>0.0</v>
      </c>
      <c r="W481" s="849">
        <v>0.0</v>
      </c>
      <c r="X481" s="849">
        <v>0.0</v>
      </c>
      <c r="Y481" s="849">
        <v>0.0</v>
      </c>
      <c r="Z481" s="849">
        <v>0.0</v>
      </c>
      <c r="AA481" s="849">
        <v>0.0</v>
      </c>
      <c r="AB481" s="849">
        <v>0.0</v>
      </c>
      <c r="AC481" s="849">
        <v>0.0</v>
      </c>
      <c r="AD481" s="849">
        <v>0.0</v>
      </c>
      <c r="AE481" s="849">
        <v>0.0</v>
      </c>
      <c r="AF481" s="849">
        <v>0.0</v>
      </c>
      <c r="AG481" s="849">
        <v>0.0</v>
      </c>
      <c r="AH481" s="849">
        <v>0.0</v>
      </c>
      <c r="AI481" s="849">
        <v>0.0</v>
      </c>
      <c r="AJ481" s="794" t="str">
        <f t="shared" ref="AJ481:AK481" si="959">C481</f>
        <v>G33115</v>
      </c>
      <c r="AK481" s="794" t="str">
        <f t="shared" si="959"/>
        <v>PROVISION LMB</v>
      </c>
      <c r="AL481" s="794">
        <f t="array" ref="AL481">IFERROR(INDEX(G481:R481,1,MATCH(Parametres!$B$3,G$1:R$1,0)-1)*IF(OR(F481="L",F481="S",F481="I"),-1,1),"")</f>
        <v>0</v>
      </c>
      <c r="AM481" s="794">
        <f t="shared" si="4"/>
        <v>0</v>
      </c>
      <c r="AN481" s="794">
        <f t="array" ref="AN481">INDEX(G481:R481,1,MATCH(Parametres!$B$3,G$1:R$1,0))*IF(OR(F481="L",F481="S",F481="I"),-1,1)</f>
        <v>0</v>
      </c>
      <c r="AO481" s="853" t="str">
        <f>+VLOOKUP($AJ481,Data_Validation!$A:$D,1,0)</f>
        <v>G33115</v>
      </c>
      <c r="AP481" s="853" t="str">
        <f>+VLOOKUP($AJ481,Data_Validation!$A:$D,3,0)</f>
        <v>Bilan</v>
      </c>
      <c r="AQ481" s="853" t="str">
        <f>+VLOOKUP($AJ481,Data_Validation!$A:$D,4,0)</f>
        <v>Autres Courus</v>
      </c>
      <c r="AR481" s="853" t="s">
        <v>728</v>
      </c>
      <c r="AS481" s="853" t="str">
        <f>+VLOOKUP($AJ481,Data_Validation!$A:$E,5,0)</f>
        <v/>
      </c>
      <c r="AT481" s="794" t="str">
        <f t="shared" ref="AT481:AU481" si="960">C481</f>
        <v>G33115</v>
      </c>
      <c r="AU481" s="854" t="str">
        <f t="shared" si="960"/>
        <v>PROVISION LMB</v>
      </c>
      <c r="AV481" s="794">
        <f t="array" ref="AV481">IFERROR(INDEX(V481:AG481,1,MATCH(Parametres!$B$3,V$1:AG$1,0)-1)*IF(OR(C481="L",C481="S",C481="I"),-1,1),"")</f>
        <v>0</v>
      </c>
      <c r="AW481" s="794">
        <f t="shared" si="6"/>
        <v>0</v>
      </c>
      <c r="AX481" s="794">
        <f t="array" ref="AX481">INDEX(V481:AG481,1,MATCH(Parametres!$B$3,V$1:AG$1,0))*IF(OR(C481="L",C481="S",C481="I"),-1,1)</f>
        <v>0</v>
      </c>
      <c r="AY481" s="853" t="s">
        <v>772</v>
      </c>
      <c r="AZ481" s="853" t="str">
        <f>+VLOOKUP($AJ481,Data_Validation!$A:$E,5,0)</f>
        <v/>
      </c>
    </row>
    <row r="482" ht="15.0" customHeight="1">
      <c r="A482" s="849" t="s">
        <v>1239</v>
      </c>
      <c r="B482" s="849">
        <v>2025.0</v>
      </c>
      <c r="C482" s="849" t="s">
        <v>2368</v>
      </c>
      <c r="D482" s="849" t="s">
        <v>2369</v>
      </c>
      <c r="E482" s="849" t="s">
        <v>1959</v>
      </c>
      <c r="F482" s="849" t="s">
        <v>2057</v>
      </c>
      <c r="G482" s="849">
        <v>7704.1</v>
      </c>
      <c r="H482" s="849">
        <v>8204.1</v>
      </c>
      <c r="I482" s="849">
        <v>8454.1</v>
      </c>
      <c r="J482" s="849">
        <v>16454.1</v>
      </c>
      <c r="K482" s="849">
        <v>18579.1</v>
      </c>
      <c r="L482" s="849">
        <v>19704.1</v>
      </c>
      <c r="M482" s="849">
        <v>4704.1</v>
      </c>
      <c r="N482" s="849">
        <v>6204.1</v>
      </c>
      <c r="O482" s="849">
        <v>6454.1</v>
      </c>
      <c r="P482" s="849">
        <v>22925.79</v>
      </c>
      <c r="Q482" s="849">
        <v>3925.81</v>
      </c>
      <c r="R482" s="849">
        <v>575.0</v>
      </c>
      <c r="S482" s="849">
        <v>0.0</v>
      </c>
      <c r="T482" s="849">
        <v>0.0</v>
      </c>
      <c r="U482" s="849">
        <v>0.0</v>
      </c>
      <c r="V482" s="849">
        <v>0.0</v>
      </c>
      <c r="W482" s="849">
        <v>0.0</v>
      </c>
      <c r="X482" s="849">
        <v>0.0</v>
      </c>
      <c r="Y482" s="849">
        <v>0.0</v>
      </c>
      <c r="Z482" s="849">
        <v>0.0</v>
      </c>
      <c r="AA482" s="849">
        <v>0.0</v>
      </c>
      <c r="AB482" s="849">
        <v>0.0</v>
      </c>
      <c r="AC482" s="849">
        <v>0.0</v>
      </c>
      <c r="AD482" s="849">
        <v>0.0</v>
      </c>
      <c r="AE482" s="849">
        <v>0.0</v>
      </c>
      <c r="AF482" s="849">
        <v>0.0</v>
      </c>
      <c r="AG482" s="849">
        <v>0.0</v>
      </c>
      <c r="AH482" s="849">
        <v>0.0</v>
      </c>
      <c r="AI482" s="849">
        <v>0.0</v>
      </c>
      <c r="AJ482" s="794" t="str">
        <f t="shared" ref="AJ482:AK482" si="961">C482</f>
        <v>G33150</v>
      </c>
      <c r="AK482" s="794" t="str">
        <f t="shared" si="961"/>
        <v>SIMPLICITÉ RABAIS À PAYER</v>
      </c>
      <c r="AL482" s="794">
        <f t="array" ref="AL482">IFERROR(INDEX(G482:R482,1,MATCH(Parametres!$B$3,G$1:R$1,0)-1)*IF(OR(F482="L",F482="S",F482="I"),-1,1),"")</f>
        <v>-6204.1</v>
      </c>
      <c r="AM482" s="794">
        <f t="shared" si="4"/>
        <v>-250</v>
      </c>
      <c r="AN482" s="794">
        <f t="array" ref="AN482">INDEX(G482:R482,1,MATCH(Parametres!$B$3,G$1:R$1,0))*IF(OR(F482="L",F482="S",F482="I"),-1,1)</f>
        <v>-6454.1</v>
      </c>
      <c r="AO482" s="853" t="str">
        <f>+VLOOKUP($AJ482,Data_Validation!$A:$D,1,0)</f>
        <v>G33150</v>
      </c>
      <c r="AP482" s="853" t="str">
        <f>+VLOOKUP($AJ482,Data_Validation!$A:$D,3,0)</f>
        <v>Bilan</v>
      </c>
      <c r="AQ482" s="853" t="str">
        <f>+VLOOKUP($AJ482,Data_Validation!$A:$D,4,0)</f>
        <v>Autres Courus</v>
      </c>
      <c r="AR482" s="853" t="s">
        <v>728</v>
      </c>
      <c r="AS482" s="853" t="str">
        <f>+VLOOKUP($AJ482,Data_Validation!$A:$E,5,0)</f>
        <v/>
      </c>
      <c r="AT482" s="794" t="str">
        <f t="shared" ref="AT482:AU482" si="962">C482</f>
        <v>G33150</v>
      </c>
      <c r="AU482" s="854" t="str">
        <f t="shared" si="962"/>
        <v>SIMPLICITÉ RABAIS À PAYER</v>
      </c>
      <c r="AV482" s="794">
        <f t="array" ref="AV482">IFERROR(INDEX(V482:AG482,1,MATCH(Parametres!$B$3,V$1:AG$1,0)-1)*IF(OR(C482="L",C482="S",C482="I"),-1,1),"")</f>
        <v>0</v>
      </c>
      <c r="AW482" s="794">
        <f t="shared" si="6"/>
        <v>0</v>
      </c>
      <c r="AX482" s="794">
        <f t="array" ref="AX482">INDEX(V482:AG482,1,MATCH(Parametres!$B$3,V$1:AG$1,0))*IF(OR(C482="L",C482="S",C482="I"),-1,1)</f>
        <v>0</v>
      </c>
      <c r="AY482" s="853" t="s">
        <v>772</v>
      </c>
      <c r="AZ482" s="853" t="str">
        <f>+VLOOKUP($AJ482,Data_Validation!$A:$E,5,0)</f>
        <v/>
      </c>
    </row>
    <row r="483" ht="15.0" customHeight="1">
      <c r="A483" s="849" t="s">
        <v>1239</v>
      </c>
      <c r="B483" s="849">
        <v>2025.0</v>
      </c>
      <c r="C483" s="849" t="s">
        <v>2370</v>
      </c>
      <c r="D483" s="849" t="s">
        <v>2371</v>
      </c>
      <c r="E483" s="849" t="s">
        <v>768</v>
      </c>
      <c r="F483" s="849" t="s">
        <v>2057</v>
      </c>
      <c r="G483" s="849">
        <v>0.0</v>
      </c>
      <c r="H483" s="849">
        <v>0.0</v>
      </c>
      <c r="I483" s="849">
        <v>0.0</v>
      </c>
      <c r="J483" s="849">
        <v>0.0</v>
      </c>
      <c r="K483" s="849">
        <v>0.0</v>
      </c>
      <c r="L483" s="849">
        <v>0.0</v>
      </c>
      <c r="M483" s="849">
        <v>0.0</v>
      </c>
      <c r="N483" s="849">
        <v>0.0</v>
      </c>
      <c r="O483" s="849">
        <v>0.0</v>
      </c>
      <c r="P483" s="849">
        <v>0.0</v>
      </c>
      <c r="Q483" s="849">
        <v>0.0</v>
      </c>
      <c r="R483" s="849">
        <v>0.0</v>
      </c>
      <c r="S483" s="849">
        <v>0.0</v>
      </c>
      <c r="T483" s="849">
        <v>0.0</v>
      </c>
      <c r="U483" s="849">
        <v>0.0</v>
      </c>
      <c r="V483" s="849">
        <v>0.0</v>
      </c>
      <c r="W483" s="849">
        <v>0.0</v>
      </c>
      <c r="X483" s="849">
        <v>0.0</v>
      </c>
      <c r="Y483" s="849">
        <v>0.0</v>
      </c>
      <c r="Z483" s="849">
        <v>0.0</v>
      </c>
      <c r="AA483" s="849">
        <v>0.0</v>
      </c>
      <c r="AB483" s="849">
        <v>0.0</v>
      </c>
      <c r="AC483" s="849">
        <v>0.0</v>
      </c>
      <c r="AD483" s="849">
        <v>0.0</v>
      </c>
      <c r="AE483" s="849">
        <v>0.0</v>
      </c>
      <c r="AF483" s="849">
        <v>0.0</v>
      </c>
      <c r="AG483" s="849">
        <v>0.0</v>
      </c>
      <c r="AH483" s="849">
        <v>0.0</v>
      </c>
      <c r="AI483" s="849">
        <v>0.0</v>
      </c>
      <c r="AJ483" s="794" t="str">
        <f t="shared" ref="AJ483:AK483" si="963">C483</f>
        <v>G33200</v>
      </c>
      <c r="AK483" s="794" t="str">
        <f t="shared" si="963"/>
        <v>RACHAT ACTIONS PRIVILEGIE</v>
      </c>
      <c r="AL483" s="794">
        <f t="array" ref="AL483">IFERROR(INDEX(G483:R483,1,MATCH(Parametres!$B$3,G$1:R$1,0)-1)*IF(OR(F483="L",F483="S",F483="I"),-1,1),"")</f>
        <v>0</v>
      </c>
      <c r="AM483" s="794">
        <f t="shared" si="4"/>
        <v>0</v>
      </c>
      <c r="AN483" s="794">
        <f t="array" ref="AN483">INDEX(G483:R483,1,MATCH(Parametres!$B$3,G$1:R$1,0))*IF(OR(F483="L",F483="S",F483="I"),-1,1)</f>
        <v>0</v>
      </c>
      <c r="AO483" s="853" t="str">
        <f>+VLOOKUP($AJ483,Data_Validation!$A:$D,1,0)</f>
        <v>#N/A</v>
      </c>
      <c r="AP483" s="853" t="str">
        <f>+VLOOKUP($AJ483,Data_Validation!$A:$D,3,0)</f>
        <v>#N/A</v>
      </c>
      <c r="AQ483" s="853" t="str">
        <f>+VLOOKUP($AJ483,Data_Validation!$A:$D,4,0)</f>
        <v>#N/A</v>
      </c>
      <c r="AR483" s="853" t="s">
        <v>728</v>
      </c>
      <c r="AS483" s="853" t="str">
        <f>+VLOOKUP($AJ483,Data_Validation!$A:$E,5,0)</f>
        <v>#N/A</v>
      </c>
      <c r="AT483" s="794" t="str">
        <f t="shared" ref="AT483:AU483" si="964">C483</f>
        <v>G33200</v>
      </c>
      <c r="AU483" s="854" t="str">
        <f t="shared" si="964"/>
        <v>RACHAT ACTIONS PRIVILEGIE</v>
      </c>
      <c r="AV483" s="794">
        <f t="array" ref="AV483">IFERROR(INDEX(V483:AG483,1,MATCH(Parametres!$B$3,V$1:AG$1,0)-1)*IF(OR(C483="L",C483="S",C483="I"),-1,1),"")</f>
        <v>0</v>
      </c>
      <c r="AW483" s="794">
        <f t="shared" si="6"/>
        <v>0</v>
      </c>
      <c r="AX483" s="794">
        <f t="array" ref="AX483">INDEX(V483:AG483,1,MATCH(Parametres!$B$3,V$1:AG$1,0))*IF(OR(C483="L",C483="S",C483="I"),-1,1)</f>
        <v>0</v>
      </c>
      <c r="AY483" s="853" t="s">
        <v>772</v>
      </c>
      <c r="AZ483" s="853" t="str">
        <f>+VLOOKUP($AJ483,Data_Validation!$A:$E,5,0)</f>
        <v>#N/A</v>
      </c>
    </row>
    <row r="484" ht="15.0" customHeight="1">
      <c r="A484" s="849" t="s">
        <v>1239</v>
      </c>
      <c r="B484" s="849">
        <v>2025.0</v>
      </c>
      <c r="C484" s="849" t="s">
        <v>2374</v>
      </c>
      <c r="D484" s="849" t="s">
        <v>2375</v>
      </c>
      <c r="E484" s="849" t="s">
        <v>768</v>
      </c>
      <c r="F484" s="849" t="s">
        <v>2057</v>
      </c>
      <c r="G484" s="849">
        <v>1530.0</v>
      </c>
      <c r="H484" s="849">
        <v>1530.0</v>
      </c>
      <c r="I484" s="849">
        <v>1530.0</v>
      </c>
      <c r="J484" s="849">
        <v>1530.0</v>
      </c>
      <c r="K484" s="849">
        <v>1530.0</v>
      </c>
      <c r="L484" s="849">
        <v>-30962.0</v>
      </c>
      <c r="M484" s="849">
        <v>-30962.0</v>
      </c>
      <c r="N484" s="849">
        <v>-30962.0</v>
      </c>
      <c r="O484" s="849">
        <v>-30962.0</v>
      </c>
      <c r="P484" s="849">
        <v>-30962.0</v>
      </c>
      <c r="Q484" s="849">
        <v>-30962.0</v>
      </c>
      <c r="R484" s="849">
        <v>-30962.0</v>
      </c>
      <c r="S484" s="849">
        <v>0.0</v>
      </c>
      <c r="T484" s="849">
        <v>0.0</v>
      </c>
      <c r="U484" s="849">
        <v>0.0</v>
      </c>
      <c r="V484" s="849">
        <v>0.0</v>
      </c>
      <c r="W484" s="849">
        <v>0.0</v>
      </c>
      <c r="X484" s="849">
        <v>0.0</v>
      </c>
      <c r="Y484" s="849">
        <v>0.0</v>
      </c>
      <c r="Z484" s="849">
        <v>0.0</v>
      </c>
      <c r="AA484" s="849">
        <v>0.0</v>
      </c>
      <c r="AB484" s="849">
        <v>0.0</v>
      </c>
      <c r="AC484" s="849">
        <v>0.0</v>
      </c>
      <c r="AD484" s="849">
        <v>0.0</v>
      </c>
      <c r="AE484" s="849">
        <v>0.0</v>
      </c>
      <c r="AF484" s="849">
        <v>0.0</v>
      </c>
      <c r="AG484" s="849">
        <v>0.0</v>
      </c>
      <c r="AH484" s="849">
        <v>0.0</v>
      </c>
      <c r="AI484" s="849">
        <v>0.0</v>
      </c>
      <c r="AJ484" s="794" t="str">
        <f t="shared" ref="AJ484:AK484" si="965">C484</f>
        <v>G33300</v>
      </c>
      <c r="AK484" s="794" t="str">
        <f t="shared" si="965"/>
        <v>ACTIF D'IMPOTS FUTURS</v>
      </c>
      <c r="AL484" s="794">
        <f t="array" ref="AL484">IFERROR(INDEX(G484:R484,1,MATCH(Parametres!$B$3,G$1:R$1,0)-1)*IF(OR(F484="L",F484="S",F484="I"),-1,1),"")</f>
        <v>30962</v>
      </c>
      <c r="AM484" s="794">
        <f t="shared" si="4"/>
        <v>0</v>
      </c>
      <c r="AN484" s="794">
        <f t="array" ref="AN484">INDEX(G484:R484,1,MATCH(Parametres!$B$3,G$1:R$1,0))*IF(OR(F484="L",F484="S",F484="I"),-1,1)</f>
        <v>30962</v>
      </c>
      <c r="AO484" s="853" t="str">
        <f>+VLOOKUP($AJ484,Data_Validation!$A:$D,1,0)</f>
        <v>G33300</v>
      </c>
      <c r="AP484" s="853" t="str">
        <f>+VLOOKUP($AJ484,Data_Validation!$A:$D,3,0)</f>
        <v>Bilan</v>
      </c>
      <c r="AQ484" s="853" t="str">
        <f>+VLOOKUP($AJ484,Data_Validation!$A:$D,4,0)</f>
        <v>Impôts Futurs à payer</v>
      </c>
      <c r="AR484" s="853" t="s">
        <v>728</v>
      </c>
      <c r="AS484" s="853" t="str">
        <f>+VLOOKUP($AJ484,Data_Validation!$A:$E,5,0)</f>
        <v/>
      </c>
      <c r="AT484" s="794" t="str">
        <f t="shared" ref="AT484:AU484" si="966">C484</f>
        <v>G33300</v>
      </c>
      <c r="AU484" s="854" t="str">
        <f t="shared" si="966"/>
        <v>ACTIF D'IMPOTS FUTURS</v>
      </c>
      <c r="AV484" s="794">
        <f t="array" ref="AV484">IFERROR(INDEX(V484:AG484,1,MATCH(Parametres!$B$3,V$1:AG$1,0)-1)*IF(OR(C484="L",C484="S",C484="I"),-1,1),"")</f>
        <v>0</v>
      </c>
      <c r="AW484" s="794">
        <f t="shared" si="6"/>
        <v>0</v>
      </c>
      <c r="AX484" s="794">
        <f t="array" ref="AX484">INDEX(V484:AG484,1,MATCH(Parametres!$B$3,V$1:AG$1,0))*IF(OR(C484="L",C484="S",C484="I"),-1,1)</f>
        <v>0</v>
      </c>
      <c r="AY484" s="853" t="s">
        <v>772</v>
      </c>
      <c r="AZ484" s="853" t="str">
        <f>+VLOOKUP($AJ484,Data_Validation!$A:$E,5,0)</f>
        <v/>
      </c>
    </row>
    <row r="485" ht="15.0" customHeight="1">
      <c r="A485" s="849" t="s">
        <v>1239</v>
      </c>
      <c r="B485" s="849">
        <v>2025.0</v>
      </c>
      <c r="C485" s="849" t="s">
        <v>2376</v>
      </c>
      <c r="D485" s="849" t="s">
        <v>2377</v>
      </c>
      <c r="E485" s="849" t="s">
        <v>768</v>
      </c>
      <c r="F485" s="849" t="s">
        <v>2057</v>
      </c>
      <c r="G485" s="849">
        <v>3697580.28</v>
      </c>
      <c r="H485" s="849">
        <v>3697580.28</v>
      </c>
      <c r="I485" s="849">
        <v>3697580.28</v>
      </c>
      <c r="J485" s="849">
        <v>3697580.28</v>
      </c>
      <c r="K485" s="849">
        <v>3697580.28</v>
      </c>
      <c r="L485" s="849">
        <v>3697580.28</v>
      </c>
      <c r="M485" s="849">
        <v>0.0</v>
      </c>
      <c r="N485" s="849">
        <v>0.0</v>
      </c>
      <c r="O485" s="849">
        <v>0.0</v>
      </c>
      <c r="P485" s="849">
        <v>0.0</v>
      </c>
      <c r="Q485" s="849">
        <v>0.0</v>
      </c>
      <c r="R485" s="849">
        <v>0.0</v>
      </c>
      <c r="S485" s="849">
        <v>0.0</v>
      </c>
      <c r="T485" s="849">
        <v>0.0</v>
      </c>
      <c r="U485" s="849">
        <v>0.0</v>
      </c>
      <c r="V485" s="849">
        <v>0.0</v>
      </c>
      <c r="W485" s="849">
        <v>0.0</v>
      </c>
      <c r="X485" s="849">
        <v>0.0</v>
      </c>
      <c r="Y485" s="849">
        <v>0.0</v>
      </c>
      <c r="Z485" s="849">
        <v>0.0</v>
      </c>
      <c r="AA485" s="849">
        <v>0.0</v>
      </c>
      <c r="AB485" s="849">
        <v>0.0</v>
      </c>
      <c r="AC485" s="849">
        <v>0.0</v>
      </c>
      <c r="AD485" s="849">
        <v>0.0</v>
      </c>
      <c r="AE485" s="849">
        <v>0.0</v>
      </c>
      <c r="AF485" s="849">
        <v>0.0</v>
      </c>
      <c r="AG485" s="849">
        <v>0.0</v>
      </c>
      <c r="AH485" s="849">
        <v>0.0</v>
      </c>
      <c r="AI485" s="849">
        <v>0.0</v>
      </c>
      <c r="AJ485" s="794" t="str">
        <f t="shared" ref="AJ485:AK485" si="967">C485</f>
        <v>G33400</v>
      </c>
      <c r="AK485" s="794" t="str">
        <f t="shared" si="967"/>
        <v>MARGE DE CRÉDIT &amp; LOYER</v>
      </c>
      <c r="AL485" s="794">
        <f t="array" ref="AL485">IFERROR(INDEX(G485:R485,1,MATCH(Parametres!$B$3,G$1:R$1,0)-1)*IF(OR(F485="L",F485="S",F485="I"),-1,1),"")</f>
        <v>0</v>
      </c>
      <c r="AM485" s="794">
        <f t="shared" si="4"/>
        <v>0</v>
      </c>
      <c r="AN485" s="794">
        <f t="array" ref="AN485">INDEX(G485:R485,1,MATCH(Parametres!$B$3,G$1:R$1,0))*IF(OR(F485="L",F485="S",F485="I"),-1,1)</f>
        <v>0</v>
      </c>
      <c r="AO485" s="853" t="str">
        <f>+VLOOKUP($AJ485,Data_Validation!$A:$D,1,0)</f>
        <v>G33400</v>
      </c>
      <c r="AP485" s="853" t="str">
        <f>+VLOOKUP($AJ485,Data_Validation!$A:$D,3,0)</f>
        <v>Bilan</v>
      </c>
      <c r="AQ485" s="853" t="str">
        <f>+VLOOKUP($AJ485,Data_Validation!$A:$D,4,0)</f>
        <v>Marge de crédit</v>
      </c>
      <c r="AR485" s="853" t="s">
        <v>728</v>
      </c>
      <c r="AS485" s="853" t="str">
        <f>+VLOOKUP($AJ485,Data_Validation!$A:$E,5,0)</f>
        <v/>
      </c>
      <c r="AT485" s="794" t="str">
        <f t="shared" ref="AT485:AU485" si="968">C485</f>
        <v>G33400</v>
      </c>
      <c r="AU485" s="854" t="str">
        <f t="shared" si="968"/>
        <v>MARGE DE CRÉDIT &amp; LOYER</v>
      </c>
      <c r="AV485" s="794">
        <f t="array" ref="AV485">IFERROR(INDEX(V485:AG485,1,MATCH(Parametres!$B$3,V$1:AG$1,0)-1)*IF(OR(C485="L",C485="S",C485="I"),-1,1),"")</f>
        <v>0</v>
      </c>
      <c r="AW485" s="794">
        <f t="shared" si="6"/>
        <v>0</v>
      </c>
      <c r="AX485" s="794">
        <f t="array" ref="AX485">INDEX(V485:AG485,1,MATCH(Parametres!$B$3,V$1:AG$1,0))*IF(OR(C485="L",C485="S",C485="I"),-1,1)</f>
        <v>0</v>
      </c>
      <c r="AY485" s="853" t="s">
        <v>772</v>
      </c>
      <c r="AZ485" s="853" t="str">
        <f>+VLOOKUP($AJ485,Data_Validation!$A:$E,5,0)</f>
        <v/>
      </c>
    </row>
    <row r="486" ht="15.0" customHeight="1">
      <c r="A486" s="849" t="s">
        <v>1239</v>
      </c>
      <c r="B486" s="849">
        <v>2025.0</v>
      </c>
      <c r="C486" s="849" t="s">
        <v>2378</v>
      </c>
      <c r="D486" s="849" t="s">
        <v>2379</v>
      </c>
      <c r="E486" s="849" t="s">
        <v>768</v>
      </c>
      <c r="F486" s="849" t="s">
        <v>2057</v>
      </c>
      <c r="G486" s="849">
        <v>-101027.0</v>
      </c>
      <c r="H486" s="849">
        <v>-101027.0</v>
      </c>
      <c r="I486" s="849">
        <v>-101027.0</v>
      </c>
      <c r="J486" s="849">
        <v>-101027.0</v>
      </c>
      <c r="K486" s="849">
        <v>-101027.0</v>
      </c>
      <c r="L486" s="849">
        <v>-62787.0</v>
      </c>
      <c r="M486" s="849">
        <v>-62787.0</v>
      </c>
      <c r="N486" s="849">
        <v>-62787.0</v>
      </c>
      <c r="O486" s="849">
        <v>-62787.0</v>
      </c>
      <c r="P486" s="849">
        <v>-62787.0</v>
      </c>
      <c r="Q486" s="849">
        <v>-62787.0</v>
      </c>
      <c r="R486" s="849">
        <v>-62787.0</v>
      </c>
      <c r="S486" s="849">
        <v>0.0</v>
      </c>
      <c r="T486" s="849">
        <v>0.0</v>
      </c>
      <c r="U486" s="849">
        <v>0.0</v>
      </c>
      <c r="V486" s="849">
        <v>0.0</v>
      </c>
      <c r="W486" s="849">
        <v>0.0</v>
      </c>
      <c r="X486" s="849">
        <v>0.0</v>
      </c>
      <c r="Y486" s="849">
        <v>0.0</v>
      </c>
      <c r="Z486" s="849">
        <v>0.0</v>
      </c>
      <c r="AA486" s="849">
        <v>0.0</v>
      </c>
      <c r="AB486" s="849">
        <v>0.0</v>
      </c>
      <c r="AC486" s="849">
        <v>0.0</v>
      </c>
      <c r="AD486" s="849">
        <v>0.0</v>
      </c>
      <c r="AE486" s="849">
        <v>0.0</v>
      </c>
      <c r="AF486" s="849">
        <v>0.0</v>
      </c>
      <c r="AG486" s="849">
        <v>0.0</v>
      </c>
      <c r="AH486" s="849">
        <v>0.0</v>
      </c>
      <c r="AI486" s="849">
        <v>0.0</v>
      </c>
      <c r="AJ486" s="794" t="str">
        <f t="shared" ref="AJ486:AK486" si="969">C486</f>
        <v>G33600</v>
      </c>
      <c r="AK486" s="794" t="str">
        <f t="shared" si="969"/>
        <v>RRI</v>
      </c>
      <c r="AL486" s="794">
        <f t="array" ref="AL486">IFERROR(INDEX(G486:R486,1,MATCH(Parametres!$B$3,G$1:R$1,0)-1)*IF(OR(F486="L",F486="S",F486="I"),-1,1),"")</f>
        <v>62787</v>
      </c>
      <c r="AM486" s="794">
        <f t="shared" si="4"/>
        <v>0</v>
      </c>
      <c r="AN486" s="794">
        <f t="array" ref="AN486">INDEX(G486:R486,1,MATCH(Parametres!$B$3,G$1:R$1,0))*IF(OR(F486="L",F486="S",F486="I"),-1,1)</f>
        <v>62787</v>
      </c>
      <c r="AO486" s="853" t="str">
        <f>+VLOOKUP($AJ486,Data_Validation!$A:$D,1,0)</f>
        <v>G33600</v>
      </c>
      <c r="AP486" s="853" t="str">
        <f>+VLOOKUP($AJ486,Data_Validation!$A:$D,3,0)</f>
        <v>Bilan</v>
      </c>
      <c r="AQ486" s="853" t="str">
        <f>+VLOOKUP($AJ486,Data_Validation!$A:$D,4,0)</f>
        <v>Frais Payés d'Avance</v>
      </c>
      <c r="AR486" s="853" t="s">
        <v>728</v>
      </c>
      <c r="AS486" s="853" t="str">
        <f>+VLOOKUP($AJ486,Data_Validation!$A:$E,5,0)</f>
        <v/>
      </c>
      <c r="AT486" s="794" t="str">
        <f t="shared" ref="AT486:AU486" si="970">C486</f>
        <v>G33600</v>
      </c>
      <c r="AU486" s="854" t="str">
        <f t="shared" si="970"/>
        <v>RRI</v>
      </c>
      <c r="AV486" s="794">
        <f t="array" ref="AV486">IFERROR(INDEX(V486:AG486,1,MATCH(Parametres!$B$3,V$1:AG$1,0)-1)*IF(OR(C486="L",C486="S",C486="I"),-1,1),"")</f>
        <v>0</v>
      </c>
      <c r="AW486" s="794">
        <f t="shared" si="6"/>
        <v>0</v>
      </c>
      <c r="AX486" s="794">
        <f t="array" ref="AX486">INDEX(V486:AG486,1,MATCH(Parametres!$B$3,V$1:AG$1,0))*IF(OR(C486="L",C486="S",C486="I"),-1,1)</f>
        <v>0</v>
      </c>
      <c r="AY486" s="853" t="s">
        <v>772</v>
      </c>
      <c r="AZ486" s="853" t="str">
        <f>+VLOOKUP($AJ486,Data_Validation!$A:$E,5,0)</f>
        <v/>
      </c>
    </row>
    <row r="487" ht="15.0" customHeight="1">
      <c r="A487" s="849" t="s">
        <v>1239</v>
      </c>
      <c r="B487" s="849">
        <v>2025.0</v>
      </c>
      <c r="C487" s="849" t="s">
        <v>2380</v>
      </c>
      <c r="D487" s="849" t="s">
        <v>2381</v>
      </c>
      <c r="E487" s="849" t="s">
        <v>768</v>
      </c>
      <c r="F487" s="849" t="s">
        <v>2057</v>
      </c>
      <c r="G487" s="849">
        <v>0.0</v>
      </c>
      <c r="H487" s="849">
        <v>0.0</v>
      </c>
      <c r="I487" s="849">
        <v>0.0</v>
      </c>
      <c r="J487" s="849">
        <v>0.0</v>
      </c>
      <c r="K487" s="849">
        <v>0.0</v>
      </c>
      <c r="L487" s="849">
        <v>0.0</v>
      </c>
      <c r="M487" s="849">
        <v>0.0</v>
      </c>
      <c r="N487" s="849">
        <v>0.0</v>
      </c>
      <c r="O487" s="849">
        <v>0.0</v>
      </c>
      <c r="P487" s="849">
        <v>0.0</v>
      </c>
      <c r="Q487" s="849">
        <v>0.0</v>
      </c>
      <c r="R487" s="849">
        <v>0.0</v>
      </c>
      <c r="S487" s="849">
        <v>0.0</v>
      </c>
      <c r="T487" s="849">
        <v>0.0</v>
      </c>
      <c r="U487" s="849">
        <v>0.0</v>
      </c>
      <c r="V487" s="849">
        <v>0.0</v>
      </c>
      <c r="W487" s="849">
        <v>0.0</v>
      </c>
      <c r="X487" s="849">
        <v>0.0</v>
      </c>
      <c r="Y487" s="849">
        <v>0.0</v>
      </c>
      <c r="Z487" s="849">
        <v>0.0</v>
      </c>
      <c r="AA487" s="849">
        <v>0.0</v>
      </c>
      <c r="AB487" s="849">
        <v>0.0</v>
      </c>
      <c r="AC487" s="849">
        <v>0.0</v>
      </c>
      <c r="AD487" s="849">
        <v>0.0</v>
      </c>
      <c r="AE487" s="849">
        <v>0.0</v>
      </c>
      <c r="AF487" s="849">
        <v>0.0</v>
      </c>
      <c r="AG487" s="849">
        <v>0.0</v>
      </c>
      <c r="AH487" s="849">
        <v>0.0</v>
      </c>
      <c r="AI487" s="849">
        <v>0.0</v>
      </c>
      <c r="AJ487" s="794" t="str">
        <f t="shared" ref="AJ487:AK487" si="971">C487</f>
        <v>G34000</v>
      </c>
      <c r="AK487" s="794" t="str">
        <f t="shared" si="971"/>
        <v>PROV.CREANCES DOUTEUSES</v>
      </c>
      <c r="AL487" s="794">
        <f t="array" ref="AL487">IFERROR(INDEX(G487:R487,1,MATCH(Parametres!$B$3,G$1:R$1,0)-1)*IF(OR(F487="L",F487="S",F487="I"),-1,1),"")</f>
        <v>0</v>
      </c>
      <c r="AM487" s="794">
        <f t="shared" si="4"/>
        <v>0</v>
      </c>
      <c r="AN487" s="794">
        <f t="array" ref="AN487">INDEX(G487:R487,1,MATCH(Parametres!$B$3,G$1:R$1,0))*IF(OR(F487="L",F487="S",F487="I"),-1,1)</f>
        <v>0</v>
      </c>
      <c r="AO487" s="853" t="str">
        <f>+VLOOKUP($AJ487,Data_Validation!$A:$D,1,0)</f>
        <v>G34000</v>
      </c>
      <c r="AP487" s="853" t="str">
        <f>+VLOOKUP($AJ487,Data_Validation!$A:$D,3,0)</f>
        <v/>
      </c>
      <c r="AQ487" s="853" t="str">
        <f>+VLOOKUP($AJ487,Data_Validation!$A:$D,4,0)</f>
        <v/>
      </c>
      <c r="AR487" s="853" t="s">
        <v>728</v>
      </c>
      <c r="AS487" s="853" t="str">
        <f>+VLOOKUP($AJ487,Data_Validation!$A:$E,5,0)</f>
        <v/>
      </c>
      <c r="AT487" s="794" t="str">
        <f t="shared" ref="AT487:AU487" si="972">C487</f>
        <v>G34000</v>
      </c>
      <c r="AU487" s="854" t="str">
        <f t="shared" si="972"/>
        <v>PROV.CREANCES DOUTEUSES</v>
      </c>
      <c r="AV487" s="794">
        <f t="array" ref="AV487">IFERROR(INDEX(V487:AG487,1,MATCH(Parametres!$B$3,V$1:AG$1,0)-1)*IF(OR(C487="L",C487="S",C487="I"),-1,1),"")</f>
        <v>0</v>
      </c>
      <c r="AW487" s="794">
        <f t="shared" si="6"/>
        <v>0</v>
      </c>
      <c r="AX487" s="794">
        <f t="array" ref="AX487">INDEX(V487:AG487,1,MATCH(Parametres!$B$3,V$1:AG$1,0))*IF(OR(C487="L",C487="S",C487="I"),-1,1)</f>
        <v>0</v>
      </c>
      <c r="AY487" s="853" t="s">
        <v>772</v>
      </c>
      <c r="AZ487" s="853" t="str">
        <f>+VLOOKUP($AJ487,Data_Validation!$A:$E,5,0)</f>
        <v/>
      </c>
    </row>
    <row r="488" ht="15.0" customHeight="1">
      <c r="A488" s="849" t="s">
        <v>1239</v>
      </c>
      <c r="B488" s="849">
        <v>2025.0</v>
      </c>
      <c r="C488" s="849" t="s">
        <v>2382</v>
      </c>
      <c r="D488" s="849" t="s">
        <v>2383</v>
      </c>
      <c r="E488" s="849" t="s">
        <v>768</v>
      </c>
      <c r="F488" s="849" t="s">
        <v>2057</v>
      </c>
      <c r="G488" s="849">
        <v>1338981.12</v>
      </c>
      <c r="H488" s="849">
        <v>1344010.98</v>
      </c>
      <c r="I488" s="849">
        <v>1349040.84</v>
      </c>
      <c r="J488" s="849">
        <v>1354070.7</v>
      </c>
      <c r="K488" s="849">
        <v>1359100.56</v>
      </c>
      <c r="L488" s="849">
        <v>1364130.42</v>
      </c>
      <c r="M488" s="849">
        <v>1369160.28</v>
      </c>
      <c r="N488" s="849">
        <v>1374190.14</v>
      </c>
      <c r="O488" s="849">
        <v>1379220.0</v>
      </c>
      <c r="P488" s="849">
        <v>1384249.86</v>
      </c>
      <c r="Q488" s="849">
        <v>1389279.72</v>
      </c>
      <c r="R488" s="849">
        <v>1394309.58</v>
      </c>
      <c r="S488" s="849">
        <v>0.0</v>
      </c>
      <c r="T488" s="849">
        <v>0.0</v>
      </c>
      <c r="U488" s="849">
        <v>0.0</v>
      </c>
      <c r="V488" s="849">
        <v>0.0</v>
      </c>
      <c r="W488" s="849">
        <v>0.0</v>
      </c>
      <c r="X488" s="849">
        <v>0.0</v>
      </c>
      <c r="Y488" s="849">
        <v>0.0</v>
      </c>
      <c r="Z488" s="849">
        <v>0.0</v>
      </c>
      <c r="AA488" s="849">
        <v>0.0</v>
      </c>
      <c r="AB488" s="849">
        <v>0.0</v>
      </c>
      <c r="AC488" s="849">
        <v>0.0</v>
      </c>
      <c r="AD488" s="849">
        <v>0.0</v>
      </c>
      <c r="AE488" s="849">
        <v>0.0</v>
      </c>
      <c r="AF488" s="849">
        <v>0.0</v>
      </c>
      <c r="AG488" s="849">
        <v>0.0</v>
      </c>
      <c r="AH488" s="849">
        <v>0.0</v>
      </c>
      <c r="AI488" s="849">
        <v>0.0</v>
      </c>
      <c r="AJ488" s="794" t="str">
        <f t="shared" ref="AJ488:AK488" si="973">C488</f>
        <v>G35200</v>
      </c>
      <c r="AK488" s="794" t="str">
        <f t="shared" si="973"/>
        <v>AMORT.ACC.MACHINERIE,EQUI</v>
      </c>
      <c r="AL488" s="794">
        <f t="array" ref="AL488">IFERROR(INDEX(G488:R488,1,MATCH(Parametres!$B$3,G$1:R$1,0)-1)*IF(OR(F488="L",F488="S",F488="I"),-1,1),"")</f>
        <v>-1374190.14</v>
      </c>
      <c r="AM488" s="794">
        <f t="shared" si="4"/>
        <v>-5029.86</v>
      </c>
      <c r="AN488" s="794">
        <f t="array" ref="AN488">INDEX(G488:R488,1,MATCH(Parametres!$B$3,G$1:R$1,0))*IF(OR(F488="L",F488="S",F488="I"),-1,1)</f>
        <v>-1379220</v>
      </c>
      <c r="AO488" s="853" t="str">
        <f>+VLOOKUP($AJ488,Data_Validation!$A:$D,1,0)</f>
        <v>G35200</v>
      </c>
      <c r="AP488" s="853" t="str">
        <f>+VLOOKUP($AJ488,Data_Validation!$A:$D,3,0)</f>
        <v>Bilan</v>
      </c>
      <c r="AQ488" s="853" t="str">
        <f>+VLOOKUP($AJ488,Data_Validation!$A:$D,4,0)</f>
        <v>Équipements Service</v>
      </c>
      <c r="AR488" s="853" t="s">
        <v>728</v>
      </c>
      <c r="AS488" s="853" t="str">
        <f>+VLOOKUP($AJ488,Data_Validation!$A:$E,5,0)</f>
        <v/>
      </c>
      <c r="AT488" s="794" t="str">
        <f t="shared" ref="AT488:AU488" si="974">C488</f>
        <v>G35200</v>
      </c>
      <c r="AU488" s="854" t="str">
        <f t="shared" si="974"/>
        <v>AMORT.ACC.MACHINERIE,EQUI</v>
      </c>
      <c r="AV488" s="794">
        <f t="array" ref="AV488">IFERROR(INDEX(V488:AG488,1,MATCH(Parametres!$B$3,V$1:AG$1,0)-1)*IF(OR(C488="L",C488="S",C488="I"),-1,1),"")</f>
        <v>0</v>
      </c>
      <c r="AW488" s="794">
        <f t="shared" si="6"/>
        <v>0</v>
      </c>
      <c r="AX488" s="794">
        <f t="array" ref="AX488">INDEX(V488:AG488,1,MATCH(Parametres!$B$3,V$1:AG$1,0))*IF(OR(C488="L",C488="S",C488="I"),-1,1)</f>
        <v>0</v>
      </c>
      <c r="AY488" s="853" t="s">
        <v>772</v>
      </c>
      <c r="AZ488" s="853" t="str">
        <f>+VLOOKUP($AJ488,Data_Validation!$A:$E,5,0)</f>
        <v/>
      </c>
    </row>
    <row r="489" ht="15.0" customHeight="1">
      <c r="A489" s="849" t="s">
        <v>1239</v>
      </c>
      <c r="B489" s="849">
        <v>2025.0</v>
      </c>
      <c r="C489" s="849" t="s">
        <v>2386</v>
      </c>
      <c r="D489" s="849" t="s">
        <v>2387</v>
      </c>
      <c r="E489" s="849" t="s">
        <v>768</v>
      </c>
      <c r="F489" s="849" t="s">
        <v>2057</v>
      </c>
      <c r="G489" s="849">
        <v>1509.83</v>
      </c>
      <c r="H489" s="849">
        <v>1604.19</v>
      </c>
      <c r="I489" s="849">
        <v>1698.55</v>
      </c>
      <c r="J489" s="849">
        <v>1792.91</v>
      </c>
      <c r="K489" s="849">
        <v>1887.27</v>
      </c>
      <c r="L489" s="849">
        <v>500.63</v>
      </c>
      <c r="M489" s="849">
        <v>594.99</v>
      </c>
      <c r="N489" s="849">
        <v>689.35</v>
      </c>
      <c r="O489" s="849">
        <v>783.71</v>
      </c>
      <c r="P489" s="849">
        <v>878.07</v>
      </c>
      <c r="Q489" s="849">
        <v>972.43</v>
      </c>
      <c r="R489" s="849">
        <v>1066.79</v>
      </c>
      <c r="S489" s="849">
        <v>0.0</v>
      </c>
      <c r="T489" s="849">
        <v>0.0</v>
      </c>
      <c r="U489" s="849">
        <v>0.0</v>
      </c>
      <c r="V489" s="849">
        <v>0.0</v>
      </c>
      <c r="W489" s="849">
        <v>0.0</v>
      </c>
      <c r="X489" s="849">
        <v>0.0</v>
      </c>
      <c r="Y489" s="849">
        <v>0.0</v>
      </c>
      <c r="Z489" s="849">
        <v>0.0</v>
      </c>
      <c r="AA489" s="849">
        <v>0.0</v>
      </c>
      <c r="AB489" s="849">
        <v>0.0</v>
      </c>
      <c r="AC489" s="849">
        <v>0.0</v>
      </c>
      <c r="AD489" s="849">
        <v>0.0</v>
      </c>
      <c r="AE489" s="849">
        <v>0.0</v>
      </c>
      <c r="AF489" s="849">
        <v>0.0</v>
      </c>
      <c r="AG489" s="849">
        <v>0.0</v>
      </c>
      <c r="AH489" s="849">
        <v>0.0</v>
      </c>
      <c r="AI489" s="849">
        <v>0.0</v>
      </c>
      <c r="AJ489" s="794" t="str">
        <f t="shared" ref="AJ489:AK489" si="975">C489</f>
        <v>G35300</v>
      </c>
      <c r="AK489" s="794" t="str">
        <f t="shared" si="975"/>
        <v>AMORT.PNEUSACC.DEMO/COURT</v>
      </c>
      <c r="AL489" s="794">
        <f t="array" ref="AL489">IFERROR(INDEX(G489:R489,1,MATCH(Parametres!$B$3,G$1:R$1,0)-1)*IF(OR(F489="L",F489="S",F489="I"),-1,1),"")</f>
        <v>-689.35</v>
      </c>
      <c r="AM489" s="794">
        <f t="shared" si="4"/>
        <v>-94.36</v>
      </c>
      <c r="AN489" s="794">
        <f t="array" ref="AN489">INDEX(G489:R489,1,MATCH(Parametres!$B$3,G$1:R$1,0))*IF(OR(F489="L",F489="S",F489="I"),-1,1)</f>
        <v>-783.71</v>
      </c>
      <c r="AO489" s="853" t="str">
        <f>+VLOOKUP($AJ489,Data_Validation!$A:$D,1,0)</f>
        <v>G35300</v>
      </c>
      <c r="AP489" s="853" t="str">
        <f>+VLOOKUP($AJ489,Data_Validation!$A:$D,3,0)</f>
        <v>Bilan</v>
      </c>
      <c r="AQ489" s="853" t="str">
        <f>+VLOOKUP($AJ489,Data_Validation!$A:$D,4,0)</f>
        <v>Équipements Service</v>
      </c>
      <c r="AR489" s="853" t="s">
        <v>728</v>
      </c>
      <c r="AS489" s="853" t="str">
        <f>+VLOOKUP($AJ489,Data_Validation!$A:$E,5,0)</f>
        <v/>
      </c>
      <c r="AT489" s="794" t="str">
        <f t="shared" ref="AT489:AU489" si="976">C489</f>
        <v>G35300</v>
      </c>
      <c r="AU489" s="854" t="str">
        <f t="shared" si="976"/>
        <v>AMORT.PNEUSACC.DEMO/COURT</v>
      </c>
      <c r="AV489" s="794">
        <f t="array" ref="AV489">IFERROR(INDEX(V489:AG489,1,MATCH(Parametres!$B$3,V$1:AG$1,0)-1)*IF(OR(C489="L",C489="S",C489="I"),-1,1),"")</f>
        <v>0</v>
      </c>
      <c r="AW489" s="794">
        <f t="shared" si="6"/>
        <v>0</v>
      </c>
      <c r="AX489" s="794">
        <f t="array" ref="AX489">INDEX(V489:AG489,1,MATCH(Parametres!$B$3,V$1:AG$1,0))*IF(OR(C489="L",C489="S",C489="I"),-1,1)</f>
        <v>0</v>
      </c>
      <c r="AY489" s="853" t="s">
        <v>772</v>
      </c>
      <c r="AZ489" s="853" t="str">
        <f>+VLOOKUP($AJ489,Data_Validation!$A:$E,5,0)</f>
        <v/>
      </c>
    </row>
    <row r="490" ht="15.0" customHeight="1">
      <c r="A490" s="849" t="s">
        <v>1239</v>
      </c>
      <c r="B490" s="849">
        <v>2025.0</v>
      </c>
      <c r="C490" s="849" t="s">
        <v>2388</v>
      </c>
      <c r="D490" s="849" t="s">
        <v>2389</v>
      </c>
      <c r="E490" s="849" t="s">
        <v>768</v>
      </c>
      <c r="F490" s="849" t="s">
        <v>2057</v>
      </c>
      <c r="G490" s="849">
        <v>305924.71</v>
      </c>
      <c r="H490" s="849">
        <v>306749.67</v>
      </c>
      <c r="I490" s="849">
        <v>307574.63</v>
      </c>
      <c r="J490" s="849">
        <v>308399.59</v>
      </c>
      <c r="K490" s="849">
        <v>309224.55</v>
      </c>
      <c r="L490" s="849">
        <v>310049.51</v>
      </c>
      <c r="M490" s="849">
        <v>310874.47</v>
      </c>
      <c r="N490" s="849">
        <v>311699.43</v>
      </c>
      <c r="O490" s="849">
        <v>312524.39</v>
      </c>
      <c r="P490" s="849">
        <v>313349.35</v>
      </c>
      <c r="Q490" s="849">
        <v>314174.31</v>
      </c>
      <c r="R490" s="849">
        <v>314999.27</v>
      </c>
      <c r="S490" s="849">
        <v>0.0</v>
      </c>
      <c r="T490" s="849">
        <v>0.0</v>
      </c>
      <c r="U490" s="849">
        <v>0.0</v>
      </c>
      <c r="V490" s="849">
        <v>0.0</v>
      </c>
      <c r="W490" s="849">
        <v>0.0</v>
      </c>
      <c r="X490" s="849">
        <v>0.0</v>
      </c>
      <c r="Y490" s="849">
        <v>0.0</v>
      </c>
      <c r="Z490" s="849">
        <v>0.0</v>
      </c>
      <c r="AA490" s="849">
        <v>0.0</v>
      </c>
      <c r="AB490" s="849">
        <v>0.0</v>
      </c>
      <c r="AC490" s="849">
        <v>0.0</v>
      </c>
      <c r="AD490" s="849">
        <v>0.0</v>
      </c>
      <c r="AE490" s="849">
        <v>0.0</v>
      </c>
      <c r="AF490" s="849">
        <v>0.0</v>
      </c>
      <c r="AG490" s="849">
        <v>0.0</v>
      </c>
      <c r="AH490" s="849">
        <v>0.0</v>
      </c>
      <c r="AI490" s="849">
        <v>0.0</v>
      </c>
      <c r="AJ490" s="794" t="str">
        <f t="shared" ref="AJ490:AK490" si="977">C490</f>
        <v>G35400</v>
      </c>
      <c r="AK490" s="794" t="str">
        <f t="shared" si="977"/>
        <v>AMORT.ACC.&amp; EQUIP.BUR</v>
      </c>
      <c r="AL490" s="794">
        <f t="array" ref="AL490">IFERROR(INDEX(G490:R490,1,MATCH(Parametres!$B$3,G$1:R$1,0)-1)*IF(OR(F490="L",F490="S",F490="I"),-1,1),"")</f>
        <v>-311699.43</v>
      </c>
      <c r="AM490" s="794">
        <f t="shared" si="4"/>
        <v>-824.96</v>
      </c>
      <c r="AN490" s="794">
        <f t="array" ref="AN490">INDEX(G490:R490,1,MATCH(Parametres!$B$3,G$1:R$1,0))*IF(OR(F490="L",F490="S",F490="I"),-1,1)</f>
        <v>-312524.39</v>
      </c>
      <c r="AO490" s="853" t="str">
        <f>+VLOOKUP($AJ490,Data_Validation!$A:$D,1,0)</f>
        <v>G35400</v>
      </c>
      <c r="AP490" s="853" t="str">
        <f>+VLOOKUP($AJ490,Data_Validation!$A:$D,3,0)</f>
        <v>Bilan</v>
      </c>
      <c r="AQ490" s="853" t="str">
        <f>+VLOOKUP($AJ490,Data_Validation!$A:$D,4,0)</f>
        <v>Mobilier</v>
      </c>
      <c r="AR490" s="853" t="s">
        <v>728</v>
      </c>
      <c r="AS490" s="853" t="str">
        <f>+VLOOKUP($AJ490,Data_Validation!$A:$E,5,0)</f>
        <v/>
      </c>
      <c r="AT490" s="794" t="str">
        <f t="shared" ref="AT490:AU490" si="978">C490</f>
        <v>G35400</v>
      </c>
      <c r="AU490" s="854" t="str">
        <f t="shared" si="978"/>
        <v>AMORT.ACC.&amp; EQUIP.BUR</v>
      </c>
      <c r="AV490" s="794">
        <f t="array" ref="AV490">IFERROR(INDEX(V490:AG490,1,MATCH(Parametres!$B$3,V$1:AG$1,0)-1)*IF(OR(C490="L",C490="S",C490="I"),-1,1),"")</f>
        <v>0</v>
      </c>
      <c r="AW490" s="794">
        <f t="shared" si="6"/>
        <v>0</v>
      </c>
      <c r="AX490" s="794">
        <f t="array" ref="AX490">INDEX(V490:AG490,1,MATCH(Parametres!$B$3,V$1:AG$1,0))*IF(OR(C490="L",C490="S",C490="I"),-1,1)</f>
        <v>0</v>
      </c>
      <c r="AY490" s="853" t="s">
        <v>772</v>
      </c>
      <c r="AZ490" s="853" t="str">
        <f>+VLOOKUP($AJ490,Data_Validation!$A:$E,5,0)</f>
        <v/>
      </c>
    </row>
    <row r="491" ht="15.0" customHeight="1">
      <c r="A491" s="849" t="s">
        <v>1239</v>
      </c>
      <c r="B491" s="849">
        <v>2025.0</v>
      </c>
      <c r="C491" s="849" t="s">
        <v>2390</v>
      </c>
      <c r="D491" s="849" t="s">
        <v>2391</v>
      </c>
      <c r="E491" s="849" t="s">
        <v>768</v>
      </c>
      <c r="F491" s="849" t="s">
        <v>2057</v>
      </c>
      <c r="G491" s="849">
        <v>57442.75</v>
      </c>
      <c r="H491" s="849">
        <v>59182.11</v>
      </c>
      <c r="I491" s="849">
        <v>60921.47</v>
      </c>
      <c r="J491" s="849">
        <v>62660.83</v>
      </c>
      <c r="K491" s="849">
        <v>64400.19</v>
      </c>
      <c r="L491" s="849">
        <v>66139.55</v>
      </c>
      <c r="M491" s="849">
        <v>67878.91</v>
      </c>
      <c r="N491" s="849">
        <v>69618.27</v>
      </c>
      <c r="O491" s="849">
        <v>71357.63</v>
      </c>
      <c r="P491" s="849">
        <v>73096.99</v>
      </c>
      <c r="Q491" s="849">
        <v>74836.35</v>
      </c>
      <c r="R491" s="849">
        <v>76575.71</v>
      </c>
      <c r="S491" s="849">
        <v>0.0</v>
      </c>
      <c r="T491" s="849">
        <v>0.0</v>
      </c>
      <c r="U491" s="849">
        <v>0.0</v>
      </c>
      <c r="V491" s="849">
        <v>0.0</v>
      </c>
      <c r="W491" s="849">
        <v>0.0</v>
      </c>
      <c r="X491" s="849">
        <v>0.0</v>
      </c>
      <c r="Y491" s="849">
        <v>0.0</v>
      </c>
      <c r="Z491" s="849">
        <v>0.0</v>
      </c>
      <c r="AA491" s="849">
        <v>0.0</v>
      </c>
      <c r="AB491" s="849">
        <v>0.0</v>
      </c>
      <c r="AC491" s="849">
        <v>0.0</v>
      </c>
      <c r="AD491" s="849">
        <v>0.0</v>
      </c>
      <c r="AE491" s="849">
        <v>0.0</v>
      </c>
      <c r="AF491" s="849">
        <v>0.0</v>
      </c>
      <c r="AG491" s="849">
        <v>0.0</v>
      </c>
      <c r="AH491" s="849">
        <v>0.0</v>
      </c>
      <c r="AI491" s="849">
        <v>0.0</v>
      </c>
      <c r="AJ491" s="794" t="str">
        <f t="shared" ref="AJ491:AK491" si="979">C491</f>
        <v>G35500</v>
      </c>
      <c r="AK491" s="794" t="str">
        <f t="shared" si="979"/>
        <v>AMORT.CUMULE VEHICULE SER</v>
      </c>
      <c r="AL491" s="794">
        <f t="array" ref="AL491">IFERROR(INDEX(G491:R491,1,MATCH(Parametres!$B$3,G$1:R$1,0)-1)*IF(OR(F491="L",F491="S",F491="I"),-1,1),"")</f>
        <v>-69618.27</v>
      </c>
      <c r="AM491" s="794">
        <f t="shared" si="4"/>
        <v>-1739.36</v>
      </c>
      <c r="AN491" s="794">
        <f t="array" ref="AN491">INDEX(G491:R491,1,MATCH(Parametres!$B$3,G$1:R$1,0))*IF(OR(F491="L",F491="S",F491="I"),-1,1)</f>
        <v>-71357.63</v>
      </c>
      <c r="AO491" s="853" t="str">
        <f>+VLOOKUP($AJ491,Data_Validation!$A:$D,1,0)</f>
        <v>G35500</v>
      </c>
      <c r="AP491" s="853" t="str">
        <f>+VLOOKUP($AJ491,Data_Validation!$A:$D,3,0)</f>
        <v>Bilan</v>
      </c>
      <c r="AQ491" s="853" t="str">
        <f>+VLOOKUP($AJ491,Data_Validation!$A:$D,4,0)</f>
        <v>Équipements Service</v>
      </c>
      <c r="AR491" s="853" t="s">
        <v>728</v>
      </c>
      <c r="AS491" s="853" t="str">
        <f>+VLOOKUP($AJ491,Data_Validation!$A:$E,5,0)</f>
        <v/>
      </c>
      <c r="AT491" s="794" t="str">
        <f t="shared" ref="AT491:AU491" si="980">C491</f>
        <v>G35500</v>
      </c>
      <c r="AU491" s="854" t="str">
        <f t="shared" si="980"/>
        <v>AMORT.CUMULE VEHICULE SER</v>
      </c>
      <c r="AV491" s="794">
        <f t="array" ref="AV491">IFERROR(INDEX(V491:AG491,1,MATCH(Parametres!$B$3,V$1:AG$1,0)-1)*IF(OR(C491="L",C491="S",C491="I"),-1,1),"")</f>
        <v>0</v>
      </c>
      <c r="AW491" s="794">
        <f t="shared" si="6"/>
        <v>0</v>
      </c>
      <c r="AX491" s="794">
        <f t="array" ref="AX491">INDEX(V491:AG491,1,MATCH(Parametres!$B$3,V$1:AG$1,0))*IF(OR(C491="L",C491="S",C491="I"),-1,1)</f>
        <v>0</v>
      </c>
      <c r="AY491" s="853" t="s">
        <v>772</v>
      </c>
      <c r="AZ491" s="853" t="str">
        <f>+VLOOKUP($AJ491,Data_Validation!$A:$E,5,0)</f>
        <v/>
      </c>
    </row>
    <row r="492" ht="15.0" customHeight="1">
      <c r="A492" s="849" t="s">
        <v>1239</v>
      </c>
      <c r="B492" s="849">
        <v>2025.0</v>
      </c>
      <c r="C492" s="849" t="s">
        <v>2392</v>
      </c>
      <c r="D492" s="849" t="s">
        <v>2393</v>
      </c>
      <c r="E492" s="849" t="s">
        <v>768</v>
      </c>
      <c r="F492" s="849" t="s">
        <v>2057</v>
      </c>
      <c r="G492" s="849">
        <v>36567.36</v>
      </c>
      <c r="H492" s="849">
        <v>38757.5</v>
      </c>
      <c r="I492" s="849">
        <v>40947.64</v>
      </c>
      <c r="J492" s="849">
        <v>43137.78</v>
      </c>
      <c r="K492" s="849">
        <v>45327.92</v>
      </c>
      <c r="L492" s="849">
        <v>47518.06</v>
      </c>
      <c r="M492" s="849">
        <v>49708.2</v>
      </c>
      <c r="N492" s="849">
        <v>51898.34</v>
      </c>
      <c r="O492" s="849">
        <v>54088.48</v>
      </c>
      <c r="P492" s="849">
        <v>56278.62</v>
      </c>
      <c r="Q492" s="849">
        <v>58468.76</v>
      </c>
      <c r="R492" s="849">
        <v>60658.9</v>
      </c>
      <c r="S492" s="849">
        <v>0.0</v>
      </c>
      <c r="T492" s="849">
        <v>0.0</v>
      </c>
      <c r="U492" s="849">
        <v>0.0</v>
      </c>
      <c r="V492" s="849">
        <v>0.0</v>
      </c>
      <c r="W492" s="849">
        <v>0.0</v>
      </c>
      <c r="X492" s="849">
        <v>0.0</v>
      </c>
      <c r="Y492" s="849">
        <v>0.0</v>
      </c>
      <c r="Z492" s="849">
        <v>0.0</v>
      </c>
      <c r="AA492" s="849">
        <v>0.0</v>
      </c>
      <c r="AB492" s="849">
        <v>0.0</v>
      </c>
      <c r="AC492" s="849">
        <v>0.0</v>
      </c>
      <c r="AD492" s="849">
        <v>0.0</v>
      </c>
      <c r="AE492" s="849">
        <v>0.0</v>
      </c>
      <c r="AF492" s="849">
        <v>0.0</v>
      </c>
      <c r="AG492" s="849">
        <v>0.0</v>
      </c>
      <c r="AH492" s="849">
        <v>0.0</v>
      </c>
      <c r="AI492" s="849">
        <v>0.0</v>
      </c>
      <c r="AJ492" s="794" t="str">
        <f t="shared" ref="AJ492:AK492" si="981">C492</f>
        <v>G35600</v>
      </c>
      <c r="AK492" s="794" t="str">
        <f t="shared" si="981"/>
        <v>AMORT.ACC.AMEL. LOCAT.</v>
      </c>
      <c r="AL492" s="794">
        <f t="array" ref="AL492">IFERROR(INDEX(G492:R492,1,MATCH(Parametres!$B$3,G$1:R$1,0)-1)*IF(OR(F492="L",F492="S",F492="I"),-1,1),"")</f>
        <v>-51898.34</v>
      </c>
      <c r="AM492" s="794">
        <f t="shared" si="4"/>
        <v>-2190.14</v>
      </c>
      <c r="AN492" s="794">
        <f t="array" ref="AN492">INDEX(G492:R492,1,MATCH(Parametres!$B$3,G$1:R$1,0))*IF(OR(F492="L",F492="S",F492="I"),-1,1)</f>
        <v>-54088.48</v>
      </c>
      <c r="AO492" s="853" t="str">
        <f>+VLOOKUP($AJ492,Data_Validation!$A:$D,1,0)</f>
        <v>G35600</v>
      </c>
      <c r="AP492" s="853" t="str">
        <f>+VLOOKUP($AJ492,Data_Validation!$A:$D,3,0)</f>
        <v>Bilan</v>
      </c>
      <c r="AQ492" s="853" t="str">
        <f>+VLOOKUP($AJ492,Data_Validation!$A:$D,4,0)</f>
        <v>Améliorations Locatives</v>
      </c>
      <c r="AR492" s="853" t="s">
        <v>728</v>
      </c>
      <c r="AS492" s="853" t="str">
        <f>+VLOOKUP($AJ492,Data_Validation!$A:$E,5,0)</f>
        <v/>
      </c>
      <c r="AT492" s="794" t="str">
        <f t="shared" ref="AT492:AU492" si="982">C492</f>
        <v>G35600</v>
      </c>
      <c r="AU492" s="854" t="str">
        <f t="shared" si="982"/>
        <v>AMORT.ACC.AMEL. LOCAT.</v>
      </c>
      <c r="AV492" s="794">
        <f t="array" ref="AV492">IFERROR(INDEX(V492:AG492,1,MATCH(Parametres!$B$3,V$1:AG$1,0)-1)*IF(OR(C492="L",C492="S",C492="I"),-1,1),"")</f>
        <v>0</v>
      </c>
      <c r="AW492" s="794">
        <f t="shared" si="6"/>
        <v>0</v>
      </c>
      <c r="AX492" s="794">
        <f t="array" ref="AX492">INDEX(V492:AG492,1,MATCH(Parametres!$B$3,V$1:AG$1,0))*IF(OR(C492="L",C492="S",C492="I"),-1,1)</f>
        <v>0</v>
      </c>
      <c r="AY492" s="853" t="s">
        <v>772</v>
      </c>
      <c r="AZ492" s="853" t="str">
        <f>+VLOOKUP($AJ492,Data_Validation!$A:$E,5,0)</f>
        <v/>
      </c>
    </row>
    <row r="493" ht="15.0" customHeight="1">
      <c r="A493" s="849" t="s">
        <v>1239</v>
      </c>
      <c r="B493" s="849">
        <v>2025.0</v>
      </c>
      <c r="C493" s="849" t="s">
        <v>2394</v>
      </c>
      <c r="D493" s="849" t="s">
        <v>2395</v>
      </c>
      <c r="E493" s="849" t="s">
        <v>768</v>
      </c>
      <c r="F493" s="849" t="s">
        <v>2057</v>
      </c>
      <c r="G493" s="849">
        <v>178113.07</v>
      </c>
      <c r="H493" s="849">
        <v>178880.89</v>
      </c>
      <c r="I493" s="849">
        <v>179648.71</v>
      </c>
      <c r="J493" s="849">
        <v>180416.53</v>
      </c>
      <c r="K493" s="849">
        <v>181184.35</v>
      </c>
      <c r="L493" s="849">
        <v>181952.17</v>
      </c>
      <c r="M493" s="849">
        <v>182719.99</v>
      </c>
      <c r="N493" s="849">
        <v>183487.81</v>
      </c>
      <c r="O493" s="849">
        <v>184255.63</v>
      </c>
      <c r="P493" s="849">
        <v>185023.45</v>
      </c>
      <c r="Q493" s="849">
        <v>185791.27</v>
      </c>
      <c r="R493" s="849">
        <v>186559.09</v>
      </c>
      <c r="S493" s="849">
        <v>0.0</v>
      </c>
      <c r="T493" s="849">
        <v>0.0</v>
      </c>
      <c r="U493" s="849">
        <v>0.0</v>
      </c>
      <c r="V493" s="849">
        <v>0.0</v>
      </c>
      <c r="W493" s="849">
        <v>0.0</v>
      </c>
      <c r="X493" s="849">
        <v>0.0</v>
      </c>
      <c r="Y493" s="849">
        <v>0.0</v>
      </c>
      <c r="Z493" s="849">
        <v>0.0</v>
      </c>
      <c r="AA493" s="849">
        <v>0.0</v>
      </c>
      <c r="AB493" s="849">
        <v>0.0</v>
      </c>
      <c r="AC493" s="849">
        <v>0.0</v>
      </c>
      <c r="AD493" s="849">
        <v>0.0</v>
      </c>
      <c r="AE493" s="849">
        <v>0.0</v>
      </c>
      <c r="AF493" s="849">
        <v>0.0</v>
      </c>
      <c r="AG493" s="849">
        <v>0.0</v>
      </c>
      <c r="AH493" s="849">
        <v>0.0</v>
      </c>
      <c r="AI493" s="849">
        <v>0.0</v>
      </c>
      <c r="AJ493" s="794" t="str">
        <f t="shared" ref="AJ493:AK493" si="983">C493</f>
        <v>G35700</v>
      </c>
      <c r="AK493" s="794" t="str">
        <f t="shared" si="983"/>
        <v>AMORT. MATERIEL INFORM.</v>
      </c>
      <c r="AL493" s="794">
        <f t="array" ref="AL493">IFERROR(INDEX(G493:R493,1,MATCH(Parametres!$B$3,G$1:R$1,0)-1)*IF(OR(F493="L",F493="S",F493="I"),-1,1),"")</f>
        <v>-183487.81</v>
      </c>
      <c r="AM493" s="794">
        <f t="shared" si="4"/>
        <v>-767.82</v>
      </c>
      <c r="AN493" s="794">
        <f t="array" ref="AN493">INDEX(G493:R493,1,MATCH(Parametres!$B$3,G$1:R$1,0))*IF(OR(F493="L",F493="S",F493="I"),-1,1)</f>
        <v>-184255.63</v>
      </c>
      <c r="AO493" s="853" t="str">
        <f>+VLOOKUP($AJ493,Data_Validation!$A:$D,1,0)</f>
        <v>G35700</v>
      </c>
      <c r="AP493" s="853" t="str">
        <f>+VLOOKUP($AJ493,Data_Validation!$A:$D,3,0)</f>
        <v>Bilan</v>
      </c>
      <c r="AQ493" s="853" t="str">
        <f>+VLOOKUP($AJ493,Data_Validation!$A:$D,4,0)</f>
        <v>Équipements Informatique</v>
      </c>
      <c r="AR493" s="853" t="s">
        <v>728</v>
      </c>
      <c r="AS493" s="853" t="str">
        <f>+VLOOKUP($AJ493,Data_Validation!$A:$E,5,0)</f>
        <v/>
      </c>
      <c r="AT493" s="794" t="str">
        <f t="shared" ref="AT493:AU493" si="984">C493</f>
        <v>G35700</v>
      </c>
      <c r="AU493" s="854" t="str">
        <f t="shared" si="984"/>
        <v>AMORT. MATERIEL INFORM.</v>
      </c>
      <c r="AV493" s="794">
        <f t="array" ref="AV493">IFERROR(INDEX(V493:AG493,1,MATCH(Parametres!$B$3,V$1:AG$1,0)-1)*IF(OR(C493="L",C493="S",C493="I"),-1,1),"")</f>
        <v>0</v>
      </c>
      <c r="AW493" s="794">
        <f t="shared" si="6"/>
        <v>0</v>
      </c>
      <c r="AX493" s="794">
        <f t="array" ref="AX493">INDEX(V493:AG493,1,MATCH(Parametres!$B$3,V$1:AG$1,0))*IF(OR(C493="L",C493="S",C493="I"),-1,1)</f>
        <v>0</v>
      </c>
      <c r="AY493" s="853" t="s">
        <v>772</v>
      </c>
      <c r="AZ493" s="853" t="str">
        <f>+VLOOKUP($AJ493,Data_Validation!$A:$E,5,0)</f>
        <v/>
      </c>
    </row>
    <row r="494" ht="15.0" customHeight="1">
      <c r="A494" s="849" t="s">
        <v>1239</v>
      </c>
      <c r="B494" s="849">
        <v>2025.0</v>
      </c>
      <c r="C494" s="849" t="s">
        <v>2396</v>
      </c>
      <c r="D494" s="849" t="s">
        <v>2397</v>
      </c>
      <c r="E494" s="849" t="s">
        <v>768</v>
      </c>
      <c r="F494" s="849" t="s">
        <v>2057</v>
      </c>
      <c r="G494" s="849">
        <v>47732.58</v>
      </c>
      <c r="H494" s="849">
        <v>47872.31</v>
      </c>
      <c r="I494" s="849">
        <v>48012.04</v>
      </c>
      <c r="J494" s="849">
        <v>48151.77</v>
      </c>
      <c r="K494" s="849">
        <v>48291.5</v>
      </c>
      <c r="L494" s="849">
        <v>48431.23</v>
      </c>
      <c r="M494" s="849">
        <v>48570.96</v>
      </c>
      <c r="N494" s="849">
        <v>48710.69</v>
      </c>
      <c r="O494" s="849">
        <v>48850.42</v>
      </c>
      <c r="P494" s="849">
        <v>48990.15</v>
      </c>
      <c r="Q494" s="849">
        <v>49129.88</v>
      </c>
      <c r="R494" s="849">
        <v>49269.61</v>
      </c>
      <c r="S494" s="849">
        <v>0.0</v>
      </c>
      <c r="T494" s="849">
        <v>0.0</v>
      </c>
      <c r="U494" s="849">
        <v>0.0</v>
      </c>
      <c r="V494" s="849">
        <v>0.0</v>
      </c>
      <c r="W494" s="849">
        <v>0.0</v>
      </c>
      <c r="X494" s="849">
        <v>0.0</v>
      </c>
      <c r="Y494" s="849">
        <v>0.0</v>
      </c>
      <c r="Z494" s="849">
        <v>0.0</v>
      </c>
      <c r="AA494" s="849">
        <v>0.0</v>
      </c>
      <c r="AB494" s="849">
        <v>0.0</v>
      </c>
      <c r="AC494" s="849">
        <v>0.0</v>
      </c>
      <c r="AD494" s="849">
        <v>0.0</v>
      </c>
      <c r="AE494" s="849">
        <v>0.0</v>
      </c>
      <c r="AF494" s="849">
        <v>0.0</v>
      </c>
      <c r="AG494" s="849">
        <v>0.0</v>
      </c>
      <c r="AH494" s="849">
        <v>0.0</v>
      </c>
      <c r="AI494" s="849">
        <v>0.0</v>
      </c>
      <c r="AJ494" s="794" t="str">
        <f t="shared" ref="AJ494:AK494" si="985">C494</f>
        <v>G35800</v>
      </c>
      <c r="AK494" s="794" t="str">
        <f t="shared" si="985"/>
        <v>AMORT.CUMULÉ ENSEIGNES</v>
      </c>
      <c r="AL494" s="794">
        <f t="array" ref="AL494">IFERROR(INDEX(G494:R494,1,MATCH(Parametres!$B$3,G$1:R$1,0)-1)*IF(OR(F494="L",F494="S",F494="I"),-1,1),"")</f>
        <v>-48710.69</v>
      </c>
      <c r="AM494" s="794">
        <f t="shared" si="4"/>
        <v>-139.73</v>
      </c>
      <c r="AN494" s="794">
        <f t="array" ref="AN494">INDEX(G494:R494,1,MATCH(Parametres!$B$3,G$1:R$1,0))*IF(OR(F494="L",F494="S",F494="I"),-1,1)</f>
        <v>-48850.42</v>
      </c>
      <c r="AO494" s="853" t="str">
        <f>+VLOOKUP($AJ494,Data_Validation!$A:$D,1,0)</f>
        <v>G35800</v>
      </c>
      <c r="AP494" s="853" t="str">
        <f>+VLOOKUP($AJ494,Data_Validation!$A:$D,3,0)</f>
        <v>Bilan</v>
      </c>
      <c r="AQ494" s="853" t="str">
        <f>+VLOOKUP($AJ494,Data_Validation!$A:$D,4,0)</f>
        <v>Enseigne</v>
      </c>
      <c r="AR494" s="853" t="s">
        <v>728</v>
      </c>
      <c r="AS494" s="853" t="str">
        <f>+VLOOKUP($AJ494,Data_Validation!$A:$E,5,0)</f>
        <v/>
      </c>
      <c r="AT494" s="794" t="str">
        <f t="shared" ref="AT494:AU494" si="986">C494</f>
        <v>G35800</v>
      </c>
      <c r="AU494" s="854" t="str">
        <f t="shared" si="986"/>
        <v>AMORT.CUMULÉ ENSEIGNES</v>
      </c>
      <c r="AV494" s="794">
        <f t="array" ref="AV494">IFERROR(INDEX(V494:AG494,1,MATCH(Parametres!$B$3,V$1:AG$1,0)-1)*IF(OR(C494="L",C494="S",C494="I"),-1,1),"")</f>
        <v>0</v>
      </c>
      <c r="AW494" s="794">
        <f t="shared" si="6"/>
        <v>0</v>
      </c>
      <c r="AX494" s="794">
        <f t="array" ref="AX494">INDEX(V494:AG494,1,MATCH(Parametres!$B$3,V$1:AG$1,0))*IF(OR(C494="L",C494="S",C494="I"),-1,1)</f>
        <v>0</v>
      </c>
      <c r="AY494" s="853" t="s">
        <v>772</v>
      </c>
      <c r="AZ494" s="853" t="str">
        <f>+VLOOKUP($AJ494,Data_Validation!$A:$E,5,0)</f>
        <v/>
      </c>
    </row>
    <row r="495" ht="15.0" customHeight="1">
      <c r="A495" s="849" t="s">
        <v>1239</v>
      </c>
      <c r="B495" s="849">
        <v>2025.0</v>
      </c>
      <c r="C495" s="849" t="s">
        <v>2398</v>
      </c>
      <c r="D495" s="849" t="s">
        <v>2399</v>
      </c>
      <c r="E495" s="849" t="s">
        <v>768</v>
      </c>
      <c r="F495" s="849" t="s">
        <v>2057</v>
      </c>
      <c r="G495" s="849">
        <v>0.0</v>
      </c>
      <c r="H495" s="849">
        <v>0.0</v>
      </c>
      <c r="I495" s="849">
        <v>0.0</v>
      </c>
      <c r="J495" s="849">
        <v>0.0</v>
      </c>
      <c r="K495" s="849">
        <v>0.0</v>
      </c>
      <c r="L495" s="849">
        <v>0.0</v>
      </c>
      <c r="M495" s="849">
        <v>0.0</v>
      </c>
      <c r="N495" s="849">
        <v>0.0</v>
      </c>
      <c r="O495" s="849">
        <v>0.0</v>
      </c>
      <c r="P495" s="849">
        <v>0.0</v>
      </c>
      <c r="Q495" s="849">
        <v>0.0</v>
      </c>
      <c r="R495" s="849">
        <v>0.0</v>
      </c>
      <c r="S495" s="849">
        <v>0.0</v>
      </c>
      <c r="T495" s="849">
        <v>0.0</v>
      </c>
      <c r="U495" s="849">
        <v>0.0</v>
      </c>
      <c r="V495" s="849">
        <v>0.0</v>
      </c>
      <c r="W495" s="849">
        <v>0.0</v>
      </c>
      <c r="X495" s="849">
        <v>0.0</v>
      </c>
      <c r="Y495" s="849">
        <v>0.0</v>
      </c>
      <c r="Z495" s="849">
        <v>0.0</v>
      </c>
      <c r="AA495" s="849">
        <v>0.0</v>
      </c>
      <c r="AB495" s="849">
        <v>0.0</v>
      </c>
      <c r="AC495" s="849">
        <v>0.0</v>
      </c>
      <c r="AD495" s="849">
        <v>0.0</v>
      </c>
      <c r="AE495" s="849">
        <v>0.0</v>
      </c>
      <c r="AF495" s="849">
        <v>0.0</v>
      </c>
      <c r="AG495" s="849">
        <v>0.0</v>
      </c>
      <c r="AH495" s="849">
        <v>0.0</v>
      </c>
      <c r="AI495" s="849">
        <v>0.0</v>
      </c>
      <c r="AJ495" s="794" t="str">
        <f t="shared" ref="AJ495:AK495" si="987">C495</f>
        <v>G35900</v>
      </c>
      <c r="AK495" s="794" t="str">
        <f t="shared" si="987"/>
        <v>ASPHALTE AMORT.CUMULÉ</v>
      </c>
      <c r="AL495" s="794">
        <f t="array" ref="AL495">IFERROR(INDEX(G495:R495,1,MATCH(Parametres!$B$3,G$1:R$1,0)-1)*IF(OR(F495="L",F495="S",F495="I"),-1,1),"")</f>
        <v>0</v>
      </c>
      <c r="AM495" s="794">
        <f t="shared" si="4"/>
        <v>0</v>
      </c>
      <c r="AN495" s="794">
        <f t="array" ref="AN495">INDEX(G495:R495,1,MATCH(Parametres!$B$3,G$1:R$1,0))*IF(OR(F495="L",F495="S",F495="I"),-1,1)</f>
        <v>0</v>
      </c>
      <c r="AO495" s="853" t="str">
        <f>+VLOOKUP($AJ495,Data_Validation!$A:$D,1,0)</f>
        <v>G35900</v>
      </c>
      <c r="AP495" s="853" t="str">
        <f>+VLOOKUP($AJ495,Data_Validation!$A:$D,3,0)</f>
        <v/>
      </c>
      <c r="AQ495" s="853" t="str">
        <f>+VLOOKUP($AJ495,Data_Validation!$A:$D,4,0)</f>
        <v/>
      </c>
      <c r="AR495" s="853" t="s">
        <v>728</v>
      </c>
      <c r="AS495" s="853" t="str">
        <f>+VLOOKUP($AJ495,Data_Validation!$A:$E,5,0)</f>
        <v/>
      </c>
      <c r="AT495" s="794" t="str">
        <f t="shared" ref="AT495:AU495" si="988">C495</f>
        <v>G35900</v>
      </c>
      <c r="AU495" s="854" t="str">
        <f t="shared" si="988"/>
        <v>ASPHALTE AMORT.CUMULÉ</v>
      </c>
      <c r="AV495" s="794">
        <f t="array" ref="AV495">IFERROR(INDEX(V495:AG495,1,MATCH(Parametres!$B$3,V$1:AG$1,0)-1)*IF(OR(C495="L",C495="S",C495="I"),-1,1),"")</f>
        <v>0</v>
      </c>
      <c r="AW495" s="794">
        <f t="shared" si="6"/>
        <v>0</v>
      </c>
      <c r="AX495" s="794">
        <f t="array" ref="AX495">INDEX(V495:AG495,1,MATCH(Parametres!$B$3,V$1:AG$1,0))*IF(OR(C495="L",C495="S",C495="I"),-1,1)</f>
        <v>0</v>
      </c>
      <c r="AY495" s="853" t="s">
        <v>772</v>
      </c>
      <c r="AZ495" s="853" t="str">
        <f>+VLOOKUP($AJ495,Data_Validation!$A:$E,5,0)</f>
        <v/>
      </c>
    </row>
    <row r="496" ht="15.0" customHeight="1">
      <c r="A496" s="849" t="s">
        <v>1239</v>
      </c>
      <c r="B496" s="849">
        <v>2025.0</v>
      </c>
      <c r="C496" s="849" t="s">
        <v>2400</v>
      </c>
      <c r="D496" s="849" t="s">
        <v>2401</v>
      </c>
      <c r="E496" s="849" t="s">
        <v>768</v>
      </c>
      <c r="F496" s="849" t="s">
        <v>2057</v>
      </c>
      <c r="G496" s="849">
        <v>185.0</v>
      </c>
      <c r="H496" s="849">
        <v>185.0</v>
      </c>
      <c r="I496" s="849">
        <v>185.0</v>
      </c>
      <c r="J496" s="849">
        <v>185.0</v>
      </c>
      <c r="K496" s="849">
        <v>185.0</v>
      </c>
      <c r="L496" s="849">
        <v>0.0</v>
      </c>
      <c r="M496" s="849">
        <v>0.0</v>
      </c>
      <c r="N496" s="849">
        <v>0.0</v>
      </c>
      <c r="O496" s="849">
        <v>0.0</v>
      </c>
      <c r="P496" s="849">
        <v>0.0</v>
      </c>
      <c r="Q496" s="849">
        <v>0.0</v>
      </c>
      <c r="R496" s="849">
        <v>0.0</v>
      </c>
      <c r="S496" s="849">
        <v>0.0</v>
      </c>
      <c r="T496" s="849">
        <v>0.0</v>
      </c>
      <c r="U496" s="849">
        <v>0.0</v>
      </c>
      <c r="V496" s="849">
        <v>0.0</v>
      </c>
      <c r="W496" s="849">
        <v>0.0</v>
      </c>
      <c r="X496" s="849">
        <v>0.0</v>
      </c>
      <c r="Y496" s="849">
        <v>0.0</v>
      </c>
      <c r="Z496" s="849">
        <v>0.0</v>
      </c>
      <c r="AA496" s="849">
        <v>0.0</v>
      </c>
      <c r="AB496" s="849">
        <v>0.0</v>
      </c>
      <c r="AC496" s="849">
        <v>0.0</v>
      </c>
      <c r="AD496" s="849">
        <v>0.0</v>
      </c>
      <c r="AE496" s="849">
        <v>0.0</v>
      </c>
      <c r="AF496" s="849">
        <v>0.0</v>
      </c>
      <c r="AG496" s="849">
        <v>0.0</v>
      </c>
      <c r="AH496" s="849">
        <v>0.0</v>
      </c>
      <c r="AI496" s="849">
        <v>0.0</v>
      </c>
      <c r="AJ496" s="794" t="str">
        <f t="shared" ref="AJ496:AK496" si="989">C496</f>
        <v>G36000</v>
      </c>
      <c r="AK496" s="794" t="str">
        <f t="shared" si="989"/>
        <v>CAPITAL-ACTIONS</v>
      </c>
      <c r="AL496" s="794">
        <f t="array" ref="AL496">IFERROR(INDEX(G496:R496,1,MATCH(Parametres!$B$3,G$1:R$1,0)-1)*IF(OR(F496="L",F496="S",F496="I"),-1,1),"")</f>
        <v>0</v>
      </c>
      <c r="AM496" s="794">
        <f t="shared" si="4"/>
        <v>0</v>
      </c>
      <c r="AN496" s="794">
        <f t="array" ref="AN496">INDEX(G496:R496,1,MATCH(Parametres!$B$3,G$1:R$1,0))*IF(OR(F496="L",F496="S",F496="I"),-1,1)</f>
        <v>0</v>
      </c>
      <c r="AO496" s="853" t="str">
        <f>+VLOOKUP($AJ496,Data_Validation!$A:$D,1,0)</f>
        <v>G36000</v>
      </c>
      <c r="AP496" s="853" t="str">
        <f>+VLOOKUP($AJ496,Data_Validation!$A:$D,3,0)</f>
        <v>Bilan</v>
      </c>
      <c r="AQ496" s="853" t="str">
        <f>+VLOOKUP($AJ496,Data_Validation!$A:$D,4,0)</f>
        <v>Capital Actions</v>
      </c>
      <c r="AR496" s="853" t="s">
        <v>728</v>
      </c>
      <c r="AS496" s="853" t="str">
        <f>+VLOOKUP($AJ496,Data_Validation!$A:$E,5,0)</f>
        <v/>
      </c>
      <c r="AT496" s="794" t="str">
        <f t="shared" ref="AT496:AU496" si="990">C496</f>
        <v>G36000</v>
      </c>
      <c r="AU496" s="854" t="str">
        <f t="shared" si="990"/>
        <v>CAPITAL-ACTIONS</v>
      </c>
      <c r="AV496" s="794">
        <f t="array" ref="AV496">IFERROR(INDEX(V496:AG496,1,MATCH(Parametres!$B$3,V$1:AG$1,0)-1)*IF(OR(C496="L",C496="S",C496="I"),-1,1),"")</f>
        <v>0</v>
      </c>
      <c r="AW496" s="794">
        <f t="shared" si="6"/>
        <v>0</v>
      </c>
      <c r="AX496" s="794">
        <f t="array" ref="AX496">INDEX(V496:AG496,1,MATCH(Parametres!$B$3,V$1:AG$1,0))*IF(OR(C496="L",C496="S",C496="I"),-1,1)</f>
        <v>0</v>
      </c>
      <c r="AY496" s="853" t="s">
        <v>772</v>
      </c>
      <c r="AZ496" s="853" t="str">
        <f>+VLOOKUP($AJ496,Data_Validation!$A:$E,5,0)</f>
        <v/>
      </c>
    </row>
    <row r="497" ht="15.0" customHeight="1">
      <c r="A497" s="849" t="s">
        <v>1239</v>
      </c>
      <c r="B497" s="849">
        <v>2025.0</v>
      </c>
      <c r="C497" s="849" t="s">
        <v>2402</v>
      </c>
      <c r="D497" s="849" t="s">
        <v>2403</v>
      </c>
      <c r="E497" s="849" t="s">
        <v>768</v>
      </c>
      <c r="F497" s="849" t="s">
        <v>2057</v>
      </c>
      <c r="G497" s="849">
        <v>0.0</v>
      </c>
      <c r="H497" s="849">
        <v>0.0</v>
      </c>
      <c r="I497" s="849">
        <v>0.0</v>
      </c>
      <c r="J497" s="849">
        <v>0.0</v>
      </c>
      <c r="K497" s="849">
        <v>0.0</v>
      </c>
      <c r="L497" s="849">
        <v>15.0</v>
      </c>
      <c r="M497" s="849">
        <v>15.0</v>
      </c>
      <c r="N497" s="849">
        <v>15.0</v>
      </c>
      <c r="O497" s="849">
        <v>15.0</v>
      </c>
      <c r="P497" s="849">
        <v>15.0</v>
      </c>
      <c r="Q497" s="849">
        <v>15.0</v>
      </c>
      <c r="R497" s="849">
        <v>15.0</v>
      </c>
      <c r="S497" s="849">
        <v>0.0</v>
      </c>
      <c r="T497" s="849">
        <v>0.0</v>
      </c>
      <c r="U497" s="849">
        <v>0.0</v>
      </c>
      <c r="V497" s="849">
        <v>0.0</v>
      </c>
      <c r="W497" s="849">
        <v>0.0</v>
      </c>
      <c r="X497" s="849">
        <v>0.0</v>
      </c>
      <c r="Y497" s="849">
        <v>0.0</v>
      </c>
      <c r="Z497" s="849">
        <v>0.0</v>
      </c>
      <c r="AA497" s="849">
        <v>0.0</v>
      </c>
      <c r="AB497" s="849">
        <v>0.0</v>
      </c>
      <c r="AC497" s="849">
        <v>0.0</v>
      </c>
      <c r="AD497" s="849">
        <v>0.0</v>
      </c>
      <c r="AE497" s="849">
        <v>0.0</v>
      </c>
      <c r="AF497" s="849">
        <v>0.0</v>
      </c>
      <c r="AG497" s="849">
        <v>0.0</v>
      </c>
      <c r="AH497" s="849">
        <v>0.0</v>
      </c>
      <c r="AI497" s="849">
        <v>0.0</v>
      </c>
      <c r="AJ497" s="794" t="str">
        <f t="shared" ref="AJ497:AK497" si="991">C497</f>
        <v>G36001</v>
      </c>
      <c r="AK497" s="794" t="str">
        <f t="shared" si="991"/>
        <v>ACTIONS A</v>
      </c>
      <c r="AL497" s="794">
        <f t="array" ref="AL497">IFERROR(INDEX(G497:R497,1,MATCH(Parametres!$B$3,G$1:R$1,0)-1)*IF(OR(F497="L",F497="S",F497="I"),-1,1),"")</f>
        <v>-15</v>
      </c>
      <c r="AM497" s="794">
        <f t="shared" si="4"/>
        <v>0</v>
      </c>
      <c r="AN497" s="794">
        <f t="array" ref="AN497">INDEX(G497:R497,1,MATCH(Parametres!$B$3,G$1:R$1,0))*IF(OR(F497="L",F497="S",F497="I"),-1,1)</f>
        <v>-15</v>
      </c>
      <c r="AO497" s="853" t="str">
        <f>+VLOOKUP($AJ497,Data_Validation!$A:$D,1,0)</f>
        <v>G36001</v>
      </c>
      <c r="AP497" s="853" t="str">
        <f>+VLOOKUP($AJ497,Data_Validation!$A:$D,3,0)</f>
        <v>Bilan</v>
      </c>
      <c r="AQ497" s="853" t="str">
        <f>+VLOOKUP($AJ497,Data_Validation!$A:$D,4,0)</f>
        <v>Capital Actions</v>
      </c>
      <c r="AR497" s="853" t="s">
        <v>728</v>
      </c>
      <c r="AS497" s="853" t="str">
        <f>+VLOOKUP($AJ497,Data_Validation!$A:$E,5,0)</f>
        <v/>
      </c>
      <c r="AT497" s="794" t="str">
        <f t="shared" ref="AT497:AU497" si="992">C497</f>
        <v>G36001</v>
      </c>
      <c r="AU497" s="854" t="str">
        <f t="shared" si="992"/>
        <v>ACTIONS A</v>
      </c>
      <c r="AV497" s="794">
        <f t="array" ref="AV497">IFERROR(INDEX(V497:AG497,1,MATCH(Parametres!$B$3,V$1:AG$1,0)-1)*IF(OR(C497="L",C497="S",C497="I"),-1,1),"")</f>
        <v>0</v>
      </c>
      <c r="AW497" s="794">
        <f t="shared" si="6"/>
        <v>0</v>
      </c>
      <c r="AX497" s="794">
        <f t="array" ref="AX497">INDEX(V497:AG497,1,MATCH(Parametres!$B$3,V$1:AG$1,0))*IF(OR(C497="L",C497="S",C497="I"),-1,1)</f>
        <v>0</v>
      </c>
      <c r="AY497" s="853" t="s">
        <v>772</v>
      </c>
      <c r="AZ497" s="853" t="str">
        <f>+VLOOKUP($AJ497,Data_Validation!$A:$E,5,0)</f>
        <v/>
      </c>
    </row>
    <row r="498" ht="15.0" customHeight="1">
      <c r="A498" s="849" t="s">
        <v>1239</v>
      </c>
      <c r="B498" s="849">
        <v>2025.0</v>
      </c>
      <c r="C498" s="849" t="s">
        <v>2404</v>
      </c>
      <c r="D498" s="849" t="s">
        <v>2405</v>
      </c>
      <c r="E498" s="849" t="s">
        <v>768</v>
      </c>
      <c r="F498" s="849" t="s">
        <v>2057</v>
      </c>
      <c r="G498" s="849">
        <v>0.0</v>
      </c>
      <c r="H498" s="849">
        <v>0.0</v>
      </c>
      <c r="I498" s="849">
        <v>0.0</v>
      </c>
      <c r="J498" s="849">
        <v>0.0</v>
      </c>
      <c r="K498" s="849">
        <v>0.0</v>
      </c>
      <c r="L498" s="849">
        <v>85.0</v>
      </c>
      <c r="M498" s="849">
        <v>85.0</v>
      </c>
      <c r="N498" s="849">
        <v>85.0</v>
      </c>
      <c r="O498" s="849">
        <v>85.0</v>
      </c>
      <c r="P498" s="849">
        <v>85.0</v>
      </c>
      <c r="Q498" s="849">
        <v>85.0</v>
      </c>
      <c r="R498" s="849">
        <v>85.0</v>
      </c>
      <c r="S498" s="849">
        <v>0.0</v>
      </c>
      <c r="T498" s="849">
        <v>0.0</v>
      </c>
      <c r="U498" s="849">
        <v>0.0</v>
      </c>
      <c r="V498" s="849">
        <v>0.0</v>
      </c>
      <c r="W498" s="849">
        <v>0.0</v>
      </c>
      <c r="X498" s="849">
        <v>0.0</v>
      </c>
      <c r="Y498" s="849">
        <v>0.0</v>
      </c>
      <c r="Z498" s="849">
        <v>0.0</v>
      </c>
      <c r="AA498" s="849">
        <v>0.0</v>
      </c>
      <c r="AB498" s="849">
        <v>0.0</v>
      </c>
      <c r="AC498" s="849">
        <v>0.0</v>
      </c>
      <c r="AD498" s="849">
        <v>0.0</v>
      </c>
      <c r="AE498" s="849">
        <v>0.0</v>
      </c>
      <c r="AF498" s="849">
        <v>0.0</v>
      </c>
      <c r="AG498" s="849">
        <v>0.0</v>
      </c>
      <c r="AH498" s="849">
        <v>0.0</v>
      </c>
      <c r="AI498" s="849">
        <v>0.0</v>
      </c>
      <c r="AJ498" s="794" t="str">
        <f t="shared" ref="AJ498:AK498" si="993">C498</f>
        <v>G36002</v>
      </c>
      <c r="AK498" s="794" t="str">
        <f t="shared" si="993"/>
        <v>ACTIONS B</v>
      </c>
      <c r="AL498" s="794">
        <f t="array" ref="AL498">IFERROR(INDEX(G498:R498,1,MATCH(Parametres!$B$3,G$1:R$1,0)-1)*IF(OR(F498="L",F498="S",F498="I"),-1,1),"")</f>
        <v>-85</v>
      </c>
      <c r="AM498" s="794">
        <f t="shared" si="4"/>
        <v>0</v>
      </c>
      <c r="AN498" s="794">
        <f t="array" ref="AN498">INDEX(G498:R498,1,MATCH(Parametres!$B$3,G$1:R$1,0))*IF(OR(F498="L",F498="S",F498="I"),-1,1)</f>
        <v>-85</v>
      </c>
      <c r="AO498" s="853" t="str">
        <f>+VLOOKUP($AJ498,Data_Validation!$A:$D,1,0)</f>
        <v>G36002</v>
      </c>
      <c r="AP498" s="853" t="str">
        <f>+VLOOKUP($AJ498,Data_Validation!$A:$D,3,0)</f>
        <v>Bilan</v>
      </c>
      <c r="AQ498" s="853" t="str">
        <f>+VLOOKUP($AJ498,Data_Validation!$A:$D,4,0)</f>
        <v>Capital Actions</v>
      </c>
      <c r="AR498" s="853" t="s">
        <v>728</v>
      </c>
      <c r="AS498" s="853" t="str">
        <f>+VLOOKUP($AJ498,Data_Validation!$A:$E,5,0)</f>
        <v/>
      </c>
      <c r="AT498" s="794" t="str">
        <f t="shared" ref="AT498:AU498" si="994">C498</f>
        <v>G36002</v>
      </c>
      <c r="AU498" s="854" t="str">
        <f t="shared" si="994"/>
        <v>ACTIONS B</v>
      </c>
      <c r="AV498" s="794">
        <f t="array" ref="AV498">IFERROR(INDEX(V498:AG498,1,MATCH(Parametres!$B$3,V$1:AG$1,0)-1)*IF(OR(C498="L",C498="S",C498="I"),-1,1),"")</f>
        <v>0</v>
      </c>
      <c r="AW498" s="794">
        <f t="shared" si="6"/>
        <v>0</v>
      </c>
      <c r="AX498" s="794">
        <f t="array" ref="AX498">INDEX(V498:AG498,1,MATCH(Parametres!$B$3,V$1:AG$1,0))*IF(OR(C498="L",C498="S",C498="I"),-1,1)</f>
        <v>0</v>
      </c>
      <c r="AY498" s="853" t="s">
        <v>772</v>
      </c>
      <c r="AZ498" s="853" t="str">
        <f>+VLOOKUP($AJ498,Data_Validation!$A:$E,5,0)</f>
        <v/>
      </c>
    </row>
    <row r="499" ht="15.0" customHeight="1">
      <c r="A499" s="849" t="s">
        <v>1239</v>
      </c>
      <c r="B499" s="849">
        <v>2025.0</v>
      </c>
      <c r="C499" s="849" t="s">
        <v>2406</v>
      </c>
      <c r="D499" s="849" t="s">
        <v>2407</v>
      </c>
      <c r="E499" s="849" t="s">
        <v>768</v>
      </c>
      <c r="F499" s="849" t="s">
        <v>2057</v>
      </c>
      <c r="G499" s="849">
        <v>0.0</v>
      </c>
      <c r="H499" s="849">
        <v>0.0</v>
      </c>
      <c r="I499" s="849">
        <v>0.0</v>
      </c>
      <c r="J499" s="849">
        <v>0.0</v>
      </c>
      <c r="K499" s="849">
        <v>0.0</v>
      </c>
      <c r="L499" s="849">
        <v>85.0</v>
      </c>
      <c r="M499" s="849">
        <v>85.0</v>
      </c>
      <c r="N499" s="849">
        <v>85.0</v>
      </c>
      <c r="O499" s="849">
        <v>85.0</v>
      </c>
      <c r="P499" s="849">
        <v>85.0</v>
      </c>
      <c r="Q499" s="849">
        <v>85.0</v>
      </c>
      <c r="R499" s="849">
        <v>85.0</v>
      </c>
      <c r="S499" s="849">
        <v>0.0</v>
      </c>
      <c r="T499" s="849">
        <v>0.0</v>
      </c>
      <c r="U499" s="849">
        <v>0.0</v>
      </c>
      <c r="V499" s="849">
        <v>0.0</v>
      </c>
      <c r="W499" s="849">
        <v>0.0</v>
      </c>
      <c r="X499" s="849">
        <v>0.0</v>
      </c>
      <c r="Y499" s="849">
        <v>0.0</v>
      </c>
      <c r="Z499" s="849">
        <v>0.0</v>
      </c>
      <c r="AA499" s="849">
        <v>0.0</v>
      </c>
      <c r="AB499" s="849">
        <v>0.0</v>
      </c>
      <c r="AC499" s="849">
        <v>0.0</v>
      </c>
      <c r="AD499" s="849">
        <v>0.0</v>
      </c>
      <c r="AE499" s="849">
        <v>0.0</v>
      </c>
      <c r="AF499" s="849">
        <v>0.0</v>
      </c>
      <c r="AG499" s="849">
        <v>0.0</v>
      </c>
      <c r="AH499" s="849">
        <v>0.0</v>
      </c>
      <c r="AI499" s="849">
        <v>0.0</v>
      </c>
      <c r="AJ499" s="794" t="str">
        <f t="shared" ref="AJ499:AK499" si="995">C499</f>
        <v>G36003</v>
      </c>
      <c r="AK499" s="794" t="str">
        <f t="shared" si="995"/>
        <v>ACTIONS C</v>
      </c>
      <c r="AL499" s="794">
        <f t="array" ref="AL499">IFERROR(INDEX(G499:R499,1,MATCH(Parametres!$B$3,G$1:R$1,0)-1)*IF(OR(F499="L",F499="S",F499="I"),-1,1),"")</f>
        <v>-85</v>
      </c>
      <c r="AM499" s="794">
        <f t="shared" si="4"/>
        <v>0</v>
      </c>
      <c r="AN499" s="794">
        <f t="array" ref="AN499">INDEX(G499:R499,1,MATCH(Parametres!$B$3,G$1:R$1,0))*IF(OR(F499="L",F499="S",F499="I"),-1,1)</f>
        <v>-85</v>
      </c>
      <c r="AO499" s="853" t="str">
        <f>+VLOOKUP($AJ499,Data_Validation!$A:$D,1,0)</f>
        <v>G36003</v>
      </c>
      <c r="AP499" s="853" t="str">
        <f>+VLOOKUP($AJ499,Data_Validation!$A:$D,3,0)</f>
        <v>Bilan</v>
      </c>
      <c r="AQ499" s="853" t="str">
        <f>+VLOOKUP($AJ499,Data_Validation!$A:$D,4,0)</f>
        <v>Capital Actions</v>
      </c>
      <c r="AR499" s="853" t="s">
        <v>728</v>
      </c>
      <c r="AS499" s="853" t="str">
        <f>+VLOOKUP($AJ499,Data_Validation!$A:$E,5,0)</f>
        <v/>
      </c>
      <c r="AT499" s="794" t="str">
        <f t="shared" ref="AT499:AU499" si="996">C499</f>
        <v>G36003</v>
      </c>
      <c r="AU499" s="854" t="str">
        <f t="shared" si="996"/>
        <v>ACTIONS C</v>
      </c>
      <c r="AV499" s="794">
        <f t="array" ref="AV499">IFERROR(INDEX(V499:AG499,1,MATCH(Parametres!$B$3,V$1:AG$1,0)-1)*IF(OR(C499="L",C499="S",C499="I"),-1,1),"")</f>
        <v>0</v>
      </c>
      <c r="AW499" s="794">
        <f t="shared" si="6"/>
        <v>0</v>
      </c>
      <c r="AX499" s="794">
        <f t="array" ref="AX499">INDEX(V499:AG499,1,MATCH(Parametres!$B$3,V$1:AG$1,0))*IF(OR(C499="L",C499="S",C499="I"),-1,1)</f>
        <v>0</v>
      </c>
      <c r="AY499" s="853" t="s">
        <v>772</v>
      </c>
      <c r="AZ499" s="853" t="str">
        <f>+VLOOKUP($AJ499,Data_Validation!$A:$E,5,0)</f>
        <v/>
      </c>
    </row>
    <row r="500" ht="15.0" customHeight="1">
      <c r="A500" s="849" t="s">
        <v>1239</v>
      </c>
      <c r="B500" s="849">
        <v>2025.0</v>
      </c>
      <c r="C500" s="849" t="s">
        <v>2408</v>
      </c>
      <c r="D500" s="849" t="s">
        <v>2409</v>
      </c>
      <c r="E500" s="849" t="s">
        <v>768</v>
      </c>
      <c r="F500" s="849" t="s">
        <v>2057</v>
      </c>
      <c r="G500" s="849">
        <v>51.0</v>
      </c>
      <c r="H500" s="849">
        <v>51.0</v>
      </c>
      <c r="I500" s="849">
        <v>51.0</v>
      </c>
      <c r="J500" s="849">
        <v>51.0</v>
      </c>
      <c r="K500" s="849">
        <v>51.0</v>
      </c>
      <c r="L500" s="849">
        <v>51.0</v>
      </c>
      <c r="M500" s="849">
        <v>51.0</v>
      </c>
      <c r="N500" s="849">
        <v>51.0</v>
      </c>
      <c r="O500" s="849">
        <v>51.0</v>
      </c>
      <c r="P500" s="849">
        <v>51.0</v>
      </c>
      <c r="Q500" s="849">
        <v>51.0</v>
      </c>
      <c r="R500" s="849">
        <v>51.0</v>
      </c>
      <c r="S500" s="849">
        <v>0.0</v>
      </c>
      <c r="T500" s="849">
        <v>0.0</v>
      </c>
      <c r="U500" s="849">
        <v>0.0</v>
      </c>
      <c r="V500" s="849">
        <v>0.0</v>
      </c>
      <c r="W500" s="849">
        <v>0.0</v>
      </c>
      <c r="X500" s="849">
        <v>0.0</v>
      </c>
      <c r="Y500" s="849">
        <v>0.0</v>
      </c>
      <c r="Z500" s="849">
        <v>0.0</v>
      </c>
      <c r="AA500" s="849">
        <v>0.0</v>
      </c>
      <c r="AB500" s="849">
        <v>0.0</v>
      </c>
      <c r="AC500" s="849">
        <v>0.0</v>
      </c>
      <c r="AD500" s="849">
        <v>0.0</v>
      </c>
      <c r="AE500" s="849">
        <v>0.0</v>
      </c>
      <c r="AF500" s="849">
        <v>0.0</v>
      </c>
      <c r="AG500" s="849">
        <v>0.0</v>
      </c>
      <c r="AH500" s="849">
        <v>0.0</v>
      </c>
      <c r="AI500" s="849">
        <v>0.0</v>
      </c>
      <c r="AJ500" s="794" t="str">
        <f t="shared" ref="AJ500:AK500" si="997">C500</f>
        <v>G36004</v>
      </c>
      <c r="AK500" s="794" t="str">
        <f t="shared" si="997"/>
        <v>ACTIONS E</v>
      </c>
      <c r="AL500" s="794">
        <f t="array" ref="AL500">IFERROR(INDEX(G500:R500,1,MATCH(Parametres!$B$3,G$1:R$1,0)-1)*IF(OR(F500="L",F500="S",F500="I"),-1,1),"")</f>
        <v>-51</v>
      </c>
      <c r="AM500" s="794">
        <f t="shared" si="4"/>
        <v>0</v>
      </c>
      <c r="AN500" s="794">
        <f t="array" ref="AN500">INDEX(G500:R500,1,MATCH(Parametres!$B$3,G$1:R$1,0))*IF(OR(F500="L",F500="S",F500="I"),-1,1)</f>
        <v>-51</v>
      </c>
      <c r="AO500" s="853" t="str">
        <f>+VLOOKUP($AJ500,Data_Validation!$A:$D,1,0)</f>
        <v>G36004</v>
      </c>
      <c r="AP500" s="853" t="str">
        <f>+VLOOKUP($AJ500,Data_Validation!$A:$D,3,0)</f>
        <v>Bilan</v>
      </c>
      <c r="AQ500" s="853" t="str">
        <f>+VLOOKUP($AJ500,Data_Validation!$A:$D,4,0)</f>
        <v>Capital Actions</v>
      </c>
      <c r="AR500" s="853" t="s">
        <v>728</v>
      </c>
      <c r="AS500" s="853" t="str">
        <f>+VLOOKUP($AJ500,Data_Validation!$A:$E,5,0)</f>
        <v/>
      </c>
      <c r="AT500" s="794" t="str">
        <f t="shared" ref="AT500:AU500" si="998">C500</f>
        <v>G36004</v>
      </c>
      <c r="AU500" s="854" t="str">
        <f t="shared" si="998"/>
        <v>ACTIONS E</v>
      </c>
      <c r="AV500" s="794">
        <f t="array" ref="AV500">IFERROR(INDEX(V500:AG500,1,MATCH(Parametres!$B$3,V$1:AG$1,0)-1)*IF(OR(C500="L",C500="S",C500="I"),-1,1),"")</f>
        <v>0</v>
      </c>
      <c r="AW500" s="794">
        <f t="shared" si="6"/>
        <v>0</v>
      </c>
      <c r="AX500" s="794">
        <f t="array" ref="AX500">INDEX(V500:AG500,1,MATCH(Parametres!$B$3,V$1:AG$1,0))*IF(OR(C500="L",C500="S",C500="I"),-1,1)</f>
        <v>0</v>
      </c>
      <c r="AY500" s="853" t="s">
        <v>772</v>
      </c>
      <c r="AZ500" s="853" t="str">
        <f>+VLOOKUP($AJ500,Data_Validation!$A:$E,5,0)</f>
        <v/>
      </c>
    </row>
    <row r="501" ht="15.0" customHeight="1">
      <c r="A501" s="849" t="s">
        <v>1239</v>
      </c>
      <c r="B501" s="849">
        <v>2025.0</v>
      </c>
      <c r="C501" s="849" t="s">
        <v>2410</v>
      </c>
      <c r="D501" s="849" t="s">
        <v>2411</v>
      </c>
      <c r="E501" s="849" t="s">
        <v>768</v>
      </c>
      <c r="F501" s="849" t="s">
        <v>2057</v>
      </c>
      <c r="G501" s="849">
        <v>3790100.0</v>
      </c>
      <c r="H501" s="849">
        <v>3790100.0</v>
      </c>
      <c r="I501" s="849">
        <v>3790100.0</v>
      </c>
      <c r="J501" s="849">
        <v>3790100.0</v>
      </c>
      <c r="K501" s="849">
        <v>3790100.0</v>
      </c>
      <c r="L501" s="849">
        <v>3790100.0</v>
      </c>
      <c r="M501" s="849">
        <v>0.0</v>
      </c>
      <c r="N501" s="849">
        <v>0.0</v>
      </c>
      <c r="O501" s="849">
        <v>0.0</v>
      </c>
      <c r="P501" s="849">
        <v>0.0</v>
      </c>
      <c r="Q501" s="849">
        <v>0.0</v>
      </c>
      <c r="R501" s="849">
        <v>0.0</v>
      </c>
      <c r="S501" s="849">
        <v>0.0</v>
      </c>
      <c r="T501" s="849">
        <v>0.0</v>
      </c>
      <c r="U501" s="849">
        <v>0.0</v>
      </c>
      <c r="V501" s="849">
        <v>0.0</v>
      </c>
      <c r="W501" s="849">
        <v>0.0</v>
      </c>
      <c r="X501" s="849">
        <v>0.0</v>
      </c>
      <c r="Y501" s="849">
        <v>0.0</v>
      </c>
      <c r="Z501" s="849">
        <v>0.0</v>
      </c>
      <c r="AA501" s="849">
        <v>0.0</v>
      </c>
      <c r="AB501" s="849">
        <v>0.0</v>
      </c>
      <c r="AC501" s="849">
        <v>0.0</v>
      </c>
      <c r="AD501" s="849">
        <v>0.0</v>
      </c>
      <c r="AE501" s="849">
        <v>0.0</v>
      </c>
      <c r="AF501" s="849">
        <v>0.0</v>
      </c>
      <c r="AG501" s="849">
        <v>0.0</v>
      </c>
      <c r="AH501" s="849">
        <v>0.0</v>
      </c>
      <c r="AI501" s="849">
        <v>0.0</v>
      </c>
      <c r="AJ501" s="794" t="str">
        <f t="shared" ref="AJ501:AK501" si="999">C501</f>
        <v>G36005</v>
      </c>
      <c r="AK501" s="794" t="str">
        <f t="shared" si="999"/>
        <v>VALEUR RACHETABLE ACT E</v>
      </c>
      <c r="AL501" s="794">
        <f t="array" ref="AL501">IFERROR(INDEX(G501:R501,1,MATCH(Parametres!$B$3,G$1:R$1,0)-1)*IF(OR(F501="L",F501="S",F501="I"),-1,1),"")</f>
        <v>0</v>
      </c>
      <c r="AM501" s="794">
        <f t="shared" si="4"/>
        <v>0</v>
      </c>
      <c r="AN501" s="794">
        <f t="array" ref="AN501">INDEX(G501:R501,1,MATCH(Parametres!$B$3,G$1:R$1,0))*IF(OR(F501="L",F501="S",F501="I"),-1,1)</f>
        <v>0</v>
      </c>
      <c r="AO501" s="853" t="str">
        <f>+VLOOKUP($AJ501,Data_Validation!$A:$D,1,0)</f>
        <v>G36005</v>
      </c>
      <c r="AP501" s="853" t="str">
        <f>+VLOOKUP($AJ501,Data_Validation!$A:$D,3,0)</f>
        <v>Bilan</v>
      </c>
      <c r="AQ501" s="853" t="str">
        <f>+VLOOKUP($AJ501,Data_Validation!$A:$D,4,0)</f>
        <v>Capital Actions</v>
      </c>
      <c r="AR501" s="853" t="s">
        <v>728</v>
      </c>
      <c r="AS501" s="853" t="str">
        <f>+VLOOKUP($AJ501,Data_Validation!$A:$E,5,0)</f>
        <v/>
      </c>
      <c r="AT501" s="794" t="str">
        <f t="shared" ref="AT501:AU501" si="1000">C501</f>
        <v>G36005</v>
      </c>
      <c r="AU501" s="854" t="str">
        <f t="shared" si="1000"/>
        <v>VALEUR RACHETABLE ACT E</v>
      </c>
      <c r="AV501" s="794">
        <f t="array" ref="AV501">IFERROR(INDEX(V501:AG501,1,MATCH(Parametres!$B$3,V$1:AG$1,0)-1)*IF(OR(C501="L",C501="S",C501="I"),-1,1),"")</f>
        <v>0</v>
      </c>
      <c r="AW501" s="794">
        <f t="shared" si="6"/>
        <v>0</v>
      </c>
      <c r="AX501" s="794">
        <f t="array" ref="AX501">INDEX(V501:AG501,1,MATCH(Parametres!$B$3,V$1:AG$1,0))*IF(OR(C501="L",C501="S",C501="I"),-1,1)</f>
        <v>0</v>
      </c>
      <c r="AY501" s="853" t="s">
        <v>772</v>
      </c>
      <c r="AZ501" s="853" t="str">
        <f>+VLOOKUP($AJ501,Data_Validation!$A:$E,5,0)</f>
        <v/>
      </c>
    </row>
    <row r="502" ht="15.0" customHeight="1">
      <c r="A502" s="849" t="s">
        <v>1239</v>
      </c>
      <c r="B502" s="849">
        <v>2025.0</v>
      </c>
      <c r="C502" s="849" t="s">
        <v>2414</v>
      </c>
      <c r="D502" s="849" t="s">
        <v>2415</v>
      </c>
      <c r="E502" s="849" t="s">
        <v>768</v>
      </c>
      <c r="F502" s="849" t="s">
        <v>2057</v>
      </c>
      <c r="G502" s="849">
        <v>-3790051.0</v>
      </c>
      <c r="H502" s="849">
        <v>-3790051.0</v>
      </c>
      <c r="I502" s="849">
        <v>-3790051.0</v>
      </c>
      <c r="J502" s="849">
        <v>-3790051.0</v>
      </c>
      <c r="K502" s="849">
        <v>-3790051.0</v>
      </c>
      <c r="L502" s="849">
        <v>-3790051.0</v>
      </c>
      <c r="M502" s="849">
        <v>0.0</v>
      </c>
      <c r="N502" s="849">
        <v>0.0</v>
      </c>
      <c r="O502" s="849">
        <v>0.0</v>
      </c>
      <c r="P502" s="849">
        <v>0.0</v>
      </c>
      <c r="Q502" s="849">
        <v>0.0</v>
      </c>
      <c r="R502" s="849">
        <v>0.0</v>
      </c>
      <c r="S502" s="849">
        <v>0.0</v>
      </c>
      <c r="T502" s="849">
        <v>0.0</v>
      </c>
      <c r="U502" s="849">
        <v>0.0</v>
      </c>
      <c r="V502" s="849">
        <v>0.0</v>
      </c>
      <c r="W502" s="849">
        <v>0.0</v>
      </c>
      <c r="X502" s="849">
        <v>0.0</v>
      </c>
      <c r="Y502" s="849">
        <v>0.0</v>
      </c>
      <c r="Z502" s="849">
        <v>0.0</v>
      </c>
      <c r="AA502" s="849">
        <v>0.0</v>
      </c>
      <c r="AB502" s="849">
        <v>0.0</v>
      </c>
      <c r="AC502" s="849">
        <v>0.0</v>
      </c>
      <c r="AD502" s="849">
        <v>0.0</v>
      </c>
      <c r="AE502" s="849">
        <v>0.0</v>
      </c>
      <c r="AF502" s="849">
        <v>0.0</v>
      </c>
      <c r="AG502" s="849">
        <v>0.0</v>
      </c>
      <c r="AH502" s="849">
        <v>0.0</v>
      </c>
      <c r="AI502" s="849">
        <v>0.0</v>
      </c>
      <c r="AJ502" s="794" t="str">
        <f t="shared" ref="AJ502:AK502" si="1001">C502</f>
        <v>G36009</v>
      </c>
      <c r="AK502" s="794" t="str">
        <f t="shared" si="1001"/>
        <v>AJUST CAPITAL-ACTIONS</v>
      </c>
      <c r="AL502" s="794">
        <f t="array" ref="AL502">IFERROR(INDEX(G502:R502,1,MATCH(Parametres!$B$3,G$1:R$1,0)-1)*IF(OR(F502="L",F502="S",F502="I"),-1,1),"")</f>
        <v>0</v>
      </c>
      <c r="AM502" s="794">
        <f t="shared" si="4"/>
        <v>0</v>
      </c>
      <c r="AN502" s="794">
        <f t="array" ref="AN502">INDEX(G502:R502,1,MATCH(Parametres!$B$3,G$1:R$1,0))*IF(OR(F502="L",F502="S",F502="I"),-1,1)</f>
        <v>0</v>
      </c>
      <c r="AO502" s="853" t="str">
        <f>+VLOOKUP($AJ502,Data_Validation!$A:$D,1,0)</f>
        <v>G36009</v>
      </c>
      <c r="AP502" s="853" t="str">
        <f>+VLOOKUP($AJ502,Data_Validation!$A:$D,3,0)</f>
        <v>Bilan</v>
      </c>
      <c r="AQ502" s="853" t="str">
        <f>+VLOOKUP($AJ502,Data_Validation!$A:$D,4,0)</f>
        <v>Capital Actions</v>
      </c>
      <c r="AR502" s="853" t="s">
        <v>728</v>
      </c>
      <c r="AS502" s="853" t="str">
        <f>+VLOOKUP($AJ502,Data_Validation!$A:$E,5,0)</f>
        <v/>
      </c>
      <c r="AT502" s="794" t="str">
        <f t="shared" ref="AT502:AU502" si="1002">C502</f>
        <v>G36009</v>
      </c>
      <c r="AU502" s="854" t="str">
        <f t="shared" si="1002"/>
        <v>AJUST CAPITAL-ACTIONS</v>
      </c>
      <c r="AV502" s="794">
        <f t="array" ref="AV502">IFERROR(INDEX(V502:AG502,1,MATCH(Parametres!$B$3,V$1:AG$1,0)-1)*IF(OR(C502="L",C502="S",C502="I"),-1,1),"")</f>
        <v>0</v>
      </c>
      <c r="AW502" s="794">
        <f t="shared" si="6"/>
        <v>0</v>
      </c>
      <c r="AX502" s="794">
        <f t="array" ref="AX502">INDEX(V502:AG502,1,MATCH(Parametres!$B$3,V$1:AG$1,0))*IF(OR(C502="L",C502="S",C502="I"),-1,1)</f>
        <v>0</v>
      </c>
      <c r="AY502" s="853" t="s">
        <v>772</v>
      </c>
      <c r="AZ502" s="853" t="str">
        <f>+VLOOKUP($AJ502,Data_Validation!$A:$E,5,0)</f>
        <v/>
      </c>
    </row>
    <row r="503" ht="15.0" customHeight="1">
      <c r="A503" s="849" t="s">
        <v>1239</v>
      </c>
      <c r="B503" s="849">
        <v>2025.0</v>
      </c>
      <c r="C503" s="849" t="s">
        <v>2418</v>
      </c>
      <c r="D503" s="849" t="s">
        <v>2419</v>
      </c>
      <c r="E503" s="849" t="s">
        <v>768</v>
      </c>
      <c r="F503" s="849" t="s">
        <v>2057</v>
      </c>
      <c r="G503" s="849">
        <v>1.011367768E7</v>
      </c>
      <c r="H503" s="849">
        <v>1.011367768E7</v>
      </c>
      <c r="I503" s="849">
        <v>1.011367768E7</v>
      </c>
      <c r="J503" s="849">
        <v>1.011367768E7</v>
      </c>
      <c r="K503" s="849">
        <v>1.011367768E7</v>
      </c>
      <c r="L503" s="849">
        <v>8733945.0</v>
      </c>
      <c r="M503" s="849">
        <v>4943894.0</v>
      </c>
      <c r="N503" s="849">
        <v>4943894.0</v>
      </c>
      <c r="O503" s="849">
        <v>4943894.0</v>
      </c>
      <c r="P503" s="849">
        <v>4943894.0</v>
      </c>
      <c r="Q503" s="849">
        <v>4943894.0</v>
      </c>
      <c r="R503" s="849">
        <v>4943894.0</v>
      </c>
      <c r="S503" s="849">
        <v>0.0</v>
      </c>
      <c r="T503" s="849">
        <v>0.0</v>
      </c>
      <c r="U503" s="849">
        <v>0.0</v>
      </c>
      <c r="V503" s="849">
        <v>0.0</v>
      </c>
      <c r="W503" s="849">
        <v>0.0</v>
      </c>
      <c r="X503" s="849">
        <v>0.0</v>
      </c>
      <c r="Y503" s="849">
        <v>0.0</v>
      </c>
      <c r="Z503" s="849">
        <v>0.0</v>
      </c>
      <c r="AA503" s="849">
        <v>0.0</v>
      </c>
      <c r="AB503" s="849">
        <v>0.0</v>
      </c>
      <c r="AC503" s="849">
        <v>0.0</v>
      </c>
      <c r="AD503" s="849">
        <v>0.0</v>
      </c>
      <c r="AE503" s="849">
        <v>0.0</v>
      </c>
      <c r="AF503" s="849">
        <v>0.0</v>
      </c>
      <c r="AG503" s="849">
        <v>0.0</v>
      </c>
      <c r="AH503" s="849">
        <v>0.0</v>
      </c>
      <c r="AI503" s="849">
        <v>0.0</v>
      </c>
      <c r="AJ503" s="794" t="str">
        <f t="shared" ref="AJ503:AK503" si="1003">C503</f>
        <v>G37000</v>
      </c>
      <c r="AK503" s="794" t="str">
        <f t="shared" si="1003"/>
        <v>BENEFICES NON REPARTIS</v>
      </c>
      <c r="AL503" s="794">
        <f t="array" ref="AL503">IFERROR(INDEX(G503:R503,1,MATCH(Parametres!$B$3,G$1:R$1,0)-1)*IF(OR(F503="L",F503="S",F503="I"),-1,1),"")</f>
        <v>-4943894</v>
      </c>
      <c r="AM503" s="794">
        <f t="shared" si="4"/>
        <v>0</v>
      </c>
      <c r="AN503" s="794">
        <f t="array" ref="AN503">INDEX(G503:R503,1,MATCH(Parametres!$B$3,G$1:R$1,0))*IF(OR(F503="L",F503="S",F503="I"),-1,1)</f>
        <v>-4943894</v>
      </c>
      <c r="AO503" s="853" t="str">
        <f>+VLOOKUP($AJ503,Data_Validation!$A:$D,1,0)</f>
        <v>G37000</v>
      </c>
      <c r="AP503" s="853" t="str">
        <f>+VLOOKUP($AJ503,Data_Validation!$A:$D,3,0)</f>
        <v>Bilan</v>
      </c>
      <c r="AQ503" s="853" t="str">
        <f>+VLOOKUP($AJ503,Data_Validation!$A:$D,4,0)</f>
        <v>Bénéfices non répartis</v>
      </c>
      <c r="AR503" s="853" t="s">
        <v>728</v>
      </c>
      <c r="AS503" s="853" t="str">
        <f>+VLOOKUP($AJ503,Data_Validation!$A:$E,5,0)</f>
        <v/>
      </c>
      <c r="AT503" s="794" t="str">
        <f t="shared" ref="AT503:AU503" si="1004">C503</f>
        <v>G37000</v>
      </c>
      <c r="AU503" s="854" t="str">
        <f t="shared" si="1004"/>
        <v>BENEFICES NON REPARTIS</v>
      </c>
      <c r="AV503" s="794">
        <f t="array" ref="AV503">IFERROR(INDEX(V503:AG503,1,MATCH(Parametres!$B$3,V$1:AG$1,0)-1)*IF(OR(C503="L",C503="S",C503="I"),-1,1),"")</f>
        <v>0</v>
      </c>
      <c r="AW503" s="794">
        <f t="shared" si="6"/>
        <v>0</v>
      </c>
      <c r="AX503" s="794">
        <f t="array" ref="AX503">INDEX(V503:AG503,1,MATCH(Parametres!$B$3,V$1:AG$1,0))*IF(OR(C503="L",C503="S",C503="I"),-1,1)</f>
        <v>0</v>
      </c>
      <c r="AY503" s="853" t="s">
        <v>772</v>
      </c>
      <c r="AZ503" s="853" t="str">
        <f>+VLOOKUP($AJ503,Data_Validation!$A:$E,5,0)</f>
        <v/>
      </c>
    </row>
    <row r="504" ht="15.0" customHeight="1">
      <c r="A504" s="849" t="s">
        <v>1239</v>
      </c>
      <c r="B504" s="849">
        <v>2025.0</v>
      </c>
      <c r="C504" s="849" t="s">
        <v>2420</v>
      </c>
      <c r="D504" s="849" t="s">
        <v>2421</v>
      </c>
      <c r="E504" s="849" t="s">
        <v>768</v>
      </c>
      <c r="F504" s="849" t="s">
        <v>2057</v>
      </c>
      <c r="G504" s="849">
        <v>0.0</v>
      </c>
      <c r="H504" s="849">
        <v>0.0</v>
      </c>
      <c r="I504" s="849">
        <v>0.0</v>
      </c>
      <c r="J504" s="849">
        <v>0.0</v>
      </c>
      <c r="K504" s="849">
        <v>0.0</v>
      </c>
      <c r="L504" s="849">
        <v>0.0</v>
      </c>
      <c r="M504" s="849">
        <v>0.0</v>
      </c>
      <c r="N504" s="849">
        <v>0.0</v>
      </c>
      <c r="O504" s="849">
        <v>0.0</v>
      </c>
      <c r="P504" s="849">
        <v>0.0</v>
      </c>
      <c r="Q504" s="849">
        <v>0.0</v>
      </c>
      <c r="R504" s="849">
        <v>0.0</v>
      </c>
      <c r="S504" s="849">
        <v>0.0</v>
      </c>
      <c r="T504" s="849">
        <v>0.0</v>
      </c>
      <c r="U504" s="849">
        <v>0.0</v>
      </c>
      <c r="V504" s="849">
        <v>0.0</v>
      </c>
      <c r="W504" s="849">
        <v>0.0</v>
      </c>
      <c r="X504" s="849">
        <v>0.0</v>
      </c>
      <c r="Y504" s="849">
        <v>0.0</v>
      </c>
      <c r="Z504" s="849">
        <v>0.0</v>
      </c>
      <c r="AA504" s="849">
        <v>0.0</v>
      </c>
      <c r="AB504" s="849">
        <v>0.0</v>
      </c>
      <c r="AC504" s="849">
        <v>0.0</v>
      </c>
      <c r="AD504" s="849">
        <v>0.0</v>
      </c>
      <c r="AE504" s="849">
        <v>0.0</v>
      </c>
      <c r="AF504" s="849">
        <v>0.0</v>
      </c>
      <c r="AG504" s="849">
        <v>0.0</v>
      </c>
      <c r="AH504" s="849">
        <v>0.0</v>
      </c>
      <c r="AI504" s="849">
        <v>0.0</v>
      </c>
      <c r="AJ504" s="794" t="str">
        <f t="shared" ref="AJ504:AK504" si="1005">C504</f>
        <v>G37500</v>
      </c>
      <c r="AK504" s="794" t="str">
        <f t="shared" si="1005"/>
        <v>DIVIDENDES RECUS</v>
      </c>
      <c r="AL504" s="794">
        <f t="array" ref="AL504">IFERROR(INDEX(G504:R504,1,MATCH(Parametres!$B$3,G$1:R$1,0)-1)*IF(OR(F504="L",F504="S",F504="I"),-1,1),"")</f>
        <v>0</v>
      </c>
      <c r="AM504" s="794">
        <f t="shared" si="4"/>
        <v>0</v>
      </c>
      <c r="AN504" s="794">
        <f t="array" ref="AN504">INDEX(G504:R504,1,MATCH(Parametres!$B$3,G$1:R$1,0))*IF(OR(F504="L",F504="S",F504="I"),-1,1)</f>
        <v>0</v>
      </c>
      <c r="AO504" s="853" t="str">
        <f>+VLOOKUP($AJ504,Data_Validation!$A:$D,1,0)</f>
        <v>G37500</v>
      </c>
      <c r="AP504" s="853" t="str">
        <f>+VLOOKUP($AJ504,Data_Validation!$A:$D,3,0)</f>
        <v/>
      </c>
      <c r="AQ504" s="853" t="str">
        <f>+VLOOKUP($AJ504,Data_Validation!$A:$D,4,0)</f>
        <v/>
      </c>
      <c r="AR504" s="853" t="s">
        <v>728</v>
      </c>
      <c r="AS504" s="853" t="str">
        <f>+VLOOKUP($AJ504,Data_Validation!$A:$E,5,0)</f>
        <v/>
      </c>
      <c r="AT504" s="794" t="str">
        <f t="shared" ref="AT504:AU504" si="1006">C504</f>
        <v>G37500</v>
      </c>
      <c r="AU504" s="854" t="str">
        <f t="shared" si="1006"/>
        <v>DIVIDENDES RECUS</v>
      </c>
      <c r="AV504" s="794">
        <f t="array" ref="AV504">IFERROR(INDEX(V504:AG504,1,MATCH(Parametres!$B$3,V$1:AG$1,0)-1)*IF(OR(C504="L",C504="S",C504="I"),-1,1),"")</f>
        <v>0</v>
      </c>
      <c r="AW504" s="794">
        <f t="shared" si="6"/>
        <v>0</v>
      </c>
      <c r="AX504" s="794">
        <f t="array" ref="AX504">INDEX(V504:AG504,1,MATCH(Parametres!$B$3,V$1:AG$1,0))*IF(OR(C504="L",C504="S",C504="I"),-1,1)</f>
        <v>0</v>
      </c>
      <c r="AY504" s="853" t="s">
        <v>772</v>
      </c>
      <c r="AZ504" s="853" t="str">
        <f>+VLOOKUP($AJ504,Data_Validation!$A:$E,5,0)</f>
        <v/>
      </c>
    </row>
    <row r="505" ht="15.0" customHeight="1">
      <c r="A505" s="849" t="s">
        <v>1239</v>
      </c>
      <c r="B505" s="849">
        <v>2025.0</v>
      </c>
      <c r="C505" s="849" t="s">
        <v>2422</v>
      </c>
      <c r="D505" s="849" t="s">
        <v>2423</v>
      </c>
      <c r="E505" s="849" t="s">
        <v>768</v>
      </c>
      <c r="F505" s="849" t="s">
        <v>2057</v>
      </c>
      <c r="G505" s="849">
        <v>0.0</v>
      </c>
      <c r="H505" s="849">
        <v>0.0</v>
      </c>
      <c r="I505" s="849">
        <v>0.0</v>
      </c>
      <c r="J505" s="849">
        <v>0.0</v>
      </c>
      <c r="K505" s="849">
        <v>0.0</v>
      </c>
      <c r="L505" s="849">
        <v>0.0</v>
      </c>
      <c r="M505" s="849">
        <v>0.0</v>
      </c>
      <c r="N505" s="849">
        <v>0.0</v>
      </c>
      <c r="O505" s="849">
        <v>0.0</v>
      </c>
      <c r="P505" s="849">
        <v>0.0</v>
      </c>
      <c r="Q505" s="849">
        <v>0.0</v>
      </c>
      <c r="R505" s="849">
        <v>0.0</v>
      </c>
      <c r="S505" s="849">
        <v>0.0</v>
      </c>
      <c r="T505" s="849">
        <v>0.0</v>
      </c>
      <c r="U505" s="849">
        <v>0.0</v>
      </c>
      <c r="V505" s="849">
        <v>0.0</v>
      </c>
      <c r="W505" s="849">
        <v>0.0</v>
      </c>
      <c r="X505" s="849">
        <v>0.0</v>
      </c>
      <c r="Y505" s="849">
        <v>0.0</v>
      </c>
      <c r="Z505" s="849">
        <v>0.0</v>
      </c>
      <c r="AA505" s="849">
        <v>0.0</v>
      </c>
      <c r="AB505" s="849">
        <v>0.0</v>
      </c>
      <c r="AC505" s="849">
        <v>0.0</v>
      </c>
      <c r="AD505" s="849">
        <v>0.0</v>
      </c>
      <c r="AE505" s="849">
        <v>0.0</v>
      </c>
      <c r="AF505" s="849">
        <v>0.0</v>
      </c>
      <c r="AG505" s="849">
        <v>0.0</v>
      </c>
      <c r="AH505" s="849">
        <v>0.0</v>
      </c>
      <c r="AI505" s="849">
        <v>0.0</v>
      </c>
      <c r="AJ505" s="794" t="str">
        <f t="shared" ref="AJ505:AK505" si="1007">C505</f>
        <v>G38000</v>
      </c>
      <c r="AK505" s="794" t="str">
        <f t="shared" si="1007"/>
        <v>PLACEMENTS</v>
      </c>
      <c r="AL505" s="794">
        <f t="array" ref="AL505">IFERROR(INDEX(G505:R505,1,MATCH(Parametres!$B$3,G$1:R$1,0)-1)*IF(OR(F505="L",F505="S",F505="I"),-1,1),"")</f>
        <v>0</v>
      </c>
      <c r="AM505" s="794">
        <f t="shared" si="4"/>
        <v>0</v>
      </c>
      <c r="AN505" s="794">
        <f t="array" ref="AN505">INDEX(G505:R505,1,MATCH(Parametres!$B$3,G$1:R$1,0))*IF(OR(F505="L",F505="S",F505="I"),-1,1)</f>
        <v>0</v>
      </c>
      <c r="AO505" s="853" t="str">
        <f>+VLOOKUP($AJ505,Data_Validation!$A:$D,1,0)</f>
        <v>#N/A</v>
      </c>
      <c r="AP505" s="853" t="str">
        <f>+VLOOKUP($AJ505,Data_Validation!$A:$D,3,0)</f>
        <v>#N/A</v>
      </c>
      <c r="AQ505" s="853" t="str">
        <f>+VLOOKUP($AJ505,Data_Validation!$A:$D,4,0)</f>
        <v>#N/A</v>
      </c>
      <c r="AR505" s="853" t="s">
        <v>728</v>
      </c>
      <c r="AS505" s="853" t="str">
        <f>+VLOOKUP($AJ505,Data_Validation!$A:$E,5,0)</f>
        <v>#N/A</v>
      </c>
      <c r="AT505" s="794" t="str">
        <f t="shared" ref="AT505:AU505" si="1008">C505</f>
        <v>G38000</v>
      </c>
      <c r="AU505" s="854" t="str">
        <f t="shared" si="1008"/>
        <v>PLACEMENTS</v>
      </c>
      <c r="AV505" s="794">
        <f t="array" ref="AV505">IFERROR(INDEX(V505:AG505,1,MATCH(Parametres!$B$3,V$1:AG$1,0)-1)*IF(OR(C505="L",C505="S",C505="I"),-1,1),"")</f>
        <v>0</v>
      </c>
      <c r="AW505" s="794">
        <f t="shared" si="6"/>
        <v>0</v>
      </c>
      <c r="AX505" s="794">
        <f t="array" ref="AX505">INDEX(V505:AG505,1,MATCH(Parametres!$B$3,V$1:AG$1,0))*IF(OR(C505="L",C505="S",C505="I"),-1,1)</f>
        <v>0</v>
      </c>
      <c r="AY505" s="853" t="s">
        <v>772</v>
      </c>
      <c r="AZ505" s="853" t="str">
        <f>+VLOOKUP($AJ505,Data_Validation!$A:$E,5,0)</f>
        <v>#N/A</v>
      </c>
    </row>
    <row r="506" ht="15.0" customHeight="1">
      <c r="A506" s="849" t="s">
        <v>1239</v>
      </c>
      <c r="B506" s="849">
        <v>2025.0</v>
      </c>
      <c r="C506" s="849" t="s">
        <v>2424</v>
      </c>
      <c r="D506" s="849" t="s">
        <v>2425</v>
      </c>
      <c r="E506" s="849" t="s">
        <v>2426</v>
      </c>
      <c r="F506" s="849" t="s">
        <v>2426</v>
      </c>
      <c r="G506" s="849">
        <v>0.0</v>
      </c>
      <c r="H506" s="849">
        <v>0.0</v>
      </c>
      <c r="I506" s="849">
        <v>0.0</v>
      </c>
      <c r="J506" s="849">
        <v>0.0</v>
      </c>
      <c r="K506" s="849">
        <v>0.0</v>
      </c>
      <c r="L506" s="849">
        <v>0.0</v>
      </c>
      <c r="M506" s="849">
        <v>0.0</v>
      </c>
      <c r="N506" s="849">
        <v>0.0</v>
      </c>
      <c r="O506" s="849">
        <v>0.0</v>
      </c>
      <c r="P506" s="849">
        <v>0.0</v>
      </c>
      <c r="Q506" s="849">
        <v>0.0</v>
      </c>
      <c r="R506" s="849">
        <v>0.0</v>
      </c>
      <c r="S506" s="849">
        <v>0.0</v>
      </c>
      <c r="T506" s="849">
        <v>0.0</v>
      </c>
      <c r="U506" s="849">
        <v>0.0</v>
      </c>
      <c r="V506" s="849">
        <v>0.0</v>
      </c>
      <c r="W506" s="849">
        <v>0.0</v>
      </c>
      <c r="X506" s="849">
        <v>0.0</v>
      </c>
      <c r="Y506" s="849">
        <v>0.0</v>
      </c>
      <c r="Z506" s="849">
        <v>0.0</v>
      </c>
      <c r="AA506" s="849">
        <v>0.0</v>
      </c>
      <c r="AB506" s="849">
        <v>0.0</v>
      </c>
      <c r="AC506" s="849">
        <v>0.0</v>
      </c>
      <c r="AD506" s="849">
        <v>0.0</v>
      </c>
      <c r="AE506" s="849">
        <v>0.0</v>
      </c>
      <c r="AF506" s="849">
        <v>0.0</v>
      </c>
      <c r="AG506" s="849">
        <v>0.0</v>
      </c>
      <c r="AH506" s="849">
        <v>0.0</v>
      </c>
      <c r="AI506" s="849">
        <v>0.0</v>
      </c>
      <c r="AJ506" s="794" t="str">
        <f t="shared" ref="AJ506:AK506" si="1009">C506</f>
        <v>G40000</v>
      </c>
      <c r="AK506" s="794" t="str">
        <f t="shared" si="1009"/>
        <v>VENTE VOLT</v>
      </c>
      <c r="AL506" s="794">
        <f t="array" ref="AL506">IFERROR(INDEX(G506:R506,1,MATCH(Parametres!$B$3,G$1:R$1,0)-1)*IF(OR(F506="L",F506="S",F506="I"),-1,1),"")</f>
        <v>0</v>
      </c>
      <c r="AM506" s="794">
        <f t="shared" si="4"/>
        <v>0</v>
      </c>
      <c r="AN506" s="794">
        <f t="array" ref="AN506">INDEX(G506:R506,1,MATCH(Parametres!$B$3,G$1:R$1,0))*IF(OR(F506="L",F506="S",F506="I"),-1,1)</f>
        <v>0</v>
      </c>
      <c r="AO506" s="853" t="str">
        <f>+VLOOKUP($AJ506,Data_Validation!$A:$D,1,0)</f>
        <v>G40000</v>
      </c>
      <c r="AP506" s="853" t="str">
        <f>+VLOOKUP($AJ506,Data_Validation!$A:$D,3,0)</f>
        <v>Véhicules neufs</v>
      </c>
      <c r="AQ506" s="853" t="str">
        <f>+VLOOKUP($AJ506,Data_Validation!$A:$D,4,0)</f>
        <v>Autos détail</v>
      </c>
      <c r="AR506" s="853" t="s">
        <v>728</v>
      </c>
      <c r="AS506" s="853" t="str">
        <f>+VLOOKUP($AJ506,Data_Validation!$A:$E,5,0)</f>
        <v>Oui</v>
      </c>
      <c r="AT506" s="794" t="str">
        <f t="shared" ref="AT506:AU506" si="1010">C506</f>
        <v>G40000</v>
      </c>
      <c r="AU506" s="854" t="str">
        <f t="shared" si="1010"/>
        <v>VENTE VOLT</v>
      </c>
      <c r="AV506" s="794">
        <f t="array" ref="AV506">IFERROR(INDEX(V506:AG506,1,MATCH(Parametres!$B$3,V$1:AG$1,0)-1)*IF(OR(C506="L",C506="S",C506="I"),-1,1),"")</f>
        <v>0</v>
      </c>
      <c r="AW506" s="794">
        <f t="shared" si="6"/>
        <v>0</v>
      </c>
      <c r="AX506" s="794">
        <f t="array" ref="AX506">INDEX(V506:AG506,1,MATCH(Parametres!$B$3,V$1:AG$1,0))*IF(OR(C506="L",C506="S",C506="I"),-1,1)</f>
        <v>0</v>
      </c>
      <c r="AY506" s="853" t="s">
        <v>772</v>
      </c>
      <c r="AZ506" s="853" t="str">
        <f>+VLOOKUP($AJ506,Data_Validation!$A:$E,5,0)</f>
        <v>Oui</v>
      </c>
    </row>
    <row r="507" ht="15.0" customHeight="1">
      <c r="A507" s="849" t="s">
        <v>1239</v>
      </c>
      <c r="B507" s="849">
        <v>2025.0</v>
      </c>
      <c r="C507" s="849" t="s">
        <v>2427</v>
      </c>
      <c r="D507" s="849" t="s">
        <v>2428</v>
      </c>
      <c r="E507" s="849" t="s">
        <v>2426</v>
      </c>
      <c r="F507" s="849" t="s">
        <v>2426</v>
      </c>
      <c r="G507" s="849">
        <v>0.0</v>
      </c>
      <c r="H507" s="849">
        <v>0.0</v>
      </c>
      <c r="I507" s="849">
        <v>0.0</v>
      </c>
      <c r="J507" s="849">
        <v>0.0</v>
      </c>
      <c r="K507" s="849">
        <v>0.0</v>
      </c>
      <c r="L507" s="849">
        <v>0.0</v>
      </c>
      <c r="M507" s="849">
        <v>0.0</v>
      </c>
      <c r="N507" s="849">
        <v>0.0</v>
      </c>
      <c r="O507" s="849">
        <v>0.0</v>
      </c>
      <c r="P507" s="849">
        <v>0.0</v>
      </c>
      <c r="Q507" s="849">
        <v>0.0</v>
      </c>
      <c r="R507" s="849">
        <v>0.0</v>
      </c>
      <c r="S507" s="849">
        <v>0.0</v>
      </c>
      <c r="T507" s="849">
        <v>0.0</v>
      </c>
      <c r="U507" s="849">
        <v>0.0</v>
      </c>
      <c r="V507" s="849">
        <v>0.0</v>
      </c>
      <c r="W507" s="849">
        <v>0.0</v>
      </c>
      <c r="X507" s="849">
        <v>0.0</v>
      </c>
      <c r="Y507" s="849">
        <v>0.0</v>
      </c>
      <c r="Z507" s="849">
        <v>0.0</v>
      </c>
      <c r="AA507" s="849">
        <v>0.0</v>
      </c>
      <c r="AB507" s="849">
        <v>0.0</v>
      </c>
      <c r="AC507" s="849">
        <v>0.0</v>
      </c>
      <c r="AD507" s="849">
        <v>0.0</v>
      </c>
      <c r="AE507" s="849">
        <v>0.0</v>
      </c>
      <c r="AF507" s="849">
        <v>0.0</v>
      </c>
      <c r="AG507" s="849">
        <v>0.0</v>
      </c>
      <c r="AH507" s="849">
        <v>0.0</v>
      </c>
      <c r="AI507" s="849">
        <v>0.0</v>
      </c>
      <c r="AJ507" s="794" t="str">
        <f t="shared" ref="AJ507:AK507" si="1011">C507</f>
        <v>G40004</v>
      </c>
      <c r="AK507" s="794" t="str">
        <f t="shared" si="1011"/>
        <v>VENTE BUICK REGAL</v>
      </c>
      <c r="AL507" s="794">
        <f t="array" ref="AL507">IFERROR(INDEX(G507:R507,1,MATCH(Parametres!$B$3,G$1:R$1,0)-1)*IF(OR(F507="L",F507="S",F507="I"),-1,1),"")</f>
        <v>0</v>
      </c>
      <c r="AM507" s="794">
        <f t="shared" si="4"/>
        <v>0</v>
      </c>
      <c r="AN507" s="794">
        <f t="array" ref="AN507">INDEX(G507:R507,1,MATCH(Parametres!$B$3,G$1:R$1,0))*IF(OR(F507="L",F507="S",F507="I"),-1,1)</f>
        <v>0</v>
      </c>
      <c r="AO507" s="853" t="str">
        <f>+VLOOKUP($AJ507,Data_Validation!$A:$D,1,0)</f>
        <v>G40004</v>
      </c>
      <c r="AP507" s="853" t="str">
        <f>+VLOOKUP($AJ507,Data_Validation!$A:$D,3,0)</f>
        <v>Véhicules neufs</v>
      </c>
      <c r="AQ507" s="853" t="str">
        <f>+VLOOKUP($AJ507,Data_Validation!$A:$D,4,0)</f>
        <v>Autos détail</v>
      </c>
      <c r="AR507" s="853" t="s">
        <v>728</v>
      </c>
      <c r="AS507" s="853" t="str">
        <f>+VLOOKUP($AJ507,Data_Validation!$A:$E,5,0)</f>
        <v>Oui</v>
      </c>
      <c r="AT507" s="794" t="str">
        <f t="shared" ref="AT507:AU507" si="1012">C507</f>
        <v>G40004</v>
      </c>
      <c r="AU507" s="854" t="str">
        <f t="shared" si="1012"/>
        <v>VENTE BUICK REGAL</v>
      </c>
      <c r="AV507" s="794">
        <f t="array" ref="AV507">IFERROR(INDEX(V507:AG507,1,MATCH(Parametres!$B$3,V$1:AG$1,0)-1)*IF(OR(C507="L",C507="S",C507="I"),-1,1),"")</f>
        <v>0</v>
      </c>
      <c r="AW507" s="794">
        <f t="shared" si="6"/>
        <v>0</v>
      </c>
      <c r="AX507" s="794">
        <f t="array" ref="AX507">INDEX(V507:AG507,1,MATCH(Parametres!$B$3,V$1:AG$1,0))*IF(OR(C507="L",C507="S",C507="I"),-1,1)</f>
        <v>0</v>
      </c>
      <c r="AY507" s="853" t="s">
        <v>772</v>
      </c>
      <c r="AZ507" s="853" t="str">
        <f>+VLOOKUP($AJ507,Data_Validation!$A:$E,5,0)</f>
        <v>Oui</v>
      </c>
    </row>
    <row r="508" ht="15.0" customHeight="1">
      <c r="A508" s="849" t="s">
        <v>1239</v>
      </c>
      <c r="B508" s="849">
        <v>2025.0</v>
      </c>
      <c r="C508" s="849" t="s">
        <v>2429</v>
      </c>
      <c r="D508" s="849" t="s">
        <v>2430</v>
      </c>
      <c r="E508" s="849" t="s">
        <v>2426</v>
      </c>
      <c r="F508" s="849" t="s">
        <v>2426</v>
      </c>
      <c r="G508" s="849">
        <v>0.0</v>
      </c>
      <c r="H508" s="849">
        <v>0.0</v>
      </c>
      <c r="I508" s="849">
        <v>0.0</v>
      </c>
      <c r="J508" s="849">
        <v>0.0</v>
      </c>
      <c r="K508" s="849">
        <v>29694.0</v>
      </c>
      <c r="L508" s="849">
        <v>29694.0</v>
      </c>
      <c r="M508" s="849">
        <v>29694.0</v>
      </c>
      <c r="N508" s="849">
        <v>29694.0</v>
      </c>
      <c r="O508" s="849">
        <v>29694.0</v>
      </c>
      <c r="P508" s="849">
        <v>29694.0</v>
      </c>
      <c r="Q508" s="849">
        <v>29694.0</v>
      </c>
      <c r="R508" s="849">
        <v>29694.0</v>
      </c>
      <c r="S508" s="849">
        <v>2699.45</v>
      </c>
      <c r="T508" s="849">
        <v>2699.45</v>
      </c>
      <c r="U508" s="849">
        <v>0.0</v>
      </c>
      <c r="V508" s="849">
        <v>0.0</v>
      </c>
      <c r="W508" s="849">
        <v>0.0</v>
      </c>
      <c r="X508" s="849">
        <v>0.0</v>
      </c>
      <c r="Y508" s="849">
        <v>0.0</v>
      </c>
      <c r="Z508" s="849">
        <v>1.0</v>
      </c>
      <c r="AA508" s="849">
        <v>1.0</v>
      </c>
      <c r="AB508" s="849">
        <v>1.0</v>
      </c>
      <c r="AC508" s="849">
        <v>1.0</v>
      </c>
      <c r="AD508" s="849">
        <v>1.0</v>
      </c>
      <c r="AE508" s="849">
        <v>1.0</v>
      </c>
      <c r="AF508" s="849">
        <v>1.0</v>
      </c>
      <c r="AG508" s="849">
        <v>1.0</v>
      </c>
      <c r="AH508" s="849">
        <v>0.0</v>
      </c>
      <c r="AI508" s="849">
        <v>0.0</v>
      </c>
      <c r="AJ508" s="794" t="str">
        <f t="shared" ref="AJ508:AK508" si="1013">C508</f>
        <v>G40100</v>
      </c>
      <c r="AK508" s="794" t="str">
        <f t="shared" si="1013"/>
        <v>VTES-MALIBU</v>
      </c>
      <c r="AL508" s="794">
        <f t="array" ref="AL508">IFERROR(INDEX(G508:R508,1,MATCH(Parametres!$B$3,G$1:R$1,0)-1)*IF(OR(F508="L",F508="S",F508="I"),-1,1),"")</f>
        <v>-29694</v>
      </c>
      <c r="AM508" s="794">
        <f t="shared" si="4"/>
        <v>0</v>
      </c>
      <c r="AN508" s="794">
        <f t="array" ref="AN508">INDEX(G508:R508,1,MATCH(Parametres!$B$3,G$1:R$1,0))*IF(OR(F508="L",F508="S",F508="I"),-1,1)</f>
        <v>-29694</v>
      </c>
      <c r="AO508" s="853" t="str">
        <f>+VLOOKUP($AJ508,Data_Validation!$A:$D,1,0)</f>
        <v>G40100</v>
      </c>
      <c r="AP508" s="853" t="str">
        <f>+VLOOKUP($AJ508,Data_Validation!$A:$D,3,0)</f>
        <v>Véhicules neufs</v>
      </c>
      <c r="AQ508" s="853" t="str">
        <f>+VLOOKUP($AJ508,Data_Validation!$A:$D,4,0)</f>
        <v>Autos détail</v>
      </c>
      <c r="AR508" s="853" t="s">
        <v>728</v>
      </c>
      <c r="AS508" s="853" t="str">
        <f>+VLOOKUP($AJ508,Data_Validation!$A:$E,5,0)</f>
        <v>Oui</v>
      </c>
      <c r="AT508" s="794" t="str">
        <f t="shared" ref="AT508:AU508" si="1014">C508</f>
        <v>G40100</v>
      </c>
      <c r="AU508" s="854" t="str">
        <f t="shared" si="1014"/>
        <v>VTES-MALIBU</v>
      </c>
      <c r="AV508" s="794">
        <f t="array" ref="AV508">IFERROR(INDEX(V508:AG508,1,MATCH(Parametres!$B$3,V$1:AG$1,0)-1)*IF(OR(C508="L",C508="S",C508="I"),-1,1),"")</f>
        <v>1</v>
      </c>
      <c r="AW508" s="794">
        <f t="shared" si="6"/>
        <v>0</v>
      </c>
      <c r="AX508" s="794">
        <f t="array" ref="AX508">INDEX(V508:AG508,1,MATCH(Parametres!$B$3,V$1:AG$1,0))*IF(OR(C508="L",C508="S",C508="I"),-1,1)</f>
        <v>1</v>
      </c>
      <c r="AY508" s="853" t="s">
        <v>772</v>
      </c>
      <c r="AZ508" s="853" t="str">
        <f>+VLOOKUP($AJ508,Data_Validation!$A:$E,5,0)</f>
        <v>Oui</v>
      </c>
    </row>
    <row r="509" ht="15.0" customHeight="1">
      <c r="A509" s="849" t="s">
        <v>1239</v>
      </c>
      <c r="B509" s="849">
        <v>2025.0</v>
      </c>
      <c r="C509" s="849" t="s">
        <v>2431</v>
      </c>
      <c r="D509" s="849" t="s">
        <v>2432</v>
      </c>
      <c r="E509" s="849" t="s">
        <v>2426</v>
      </c>
      <c r="F509" s="849" t="s">
        <v>2426</v>
      </c>
      <c r="G509" s="849">
        <v>0.0</v>
      </c>
      <c r="H509" s="849">
        <v>0.0</v>
      </c>
      <c r="I509" s="849">
        <v>0.0</v>
      </c>
      <c r="J509" s="849">
        <v>0.0</v>
      </c>
      <c r="K509" s="849">
        <v>0.0</v>
      </c>
      <c r="L509" s="849">
        <v>0.0</v>
      </c>
      <c r="M509" s="849">
        <v>0.0</v>
      </c>
      <c r="N509" s="849">
        <v>0.0</v>
      </c>
      <c r="O509" s="849">
        <v>0.0</v>
      </c>
      <c r="P509" s="849">
        <v>0.0</v>
      </c>
      <c r="Q509" s="849">
        <v>0.0</v>
      </c>
      <c r="R509" s="849">
        <v>0.0</v>
      </c>
      <c r="S509" s="849">
        <v>0.0</v>
      </c>
      <c r="T509" s="849">
        <v>0.0</v>
      </c>
      <c r="U509" s="849">
        <v>0.0</v>
      </c>
      <c r="V509" s="849">
        <v>0.0</v>
      </c>
      <c r="W509" s="849">
        <v>0.0</v>
      </c>
      <c r="X509" s="849">
        <v>0.0</v>
      </c>
      <c r="Y509" s="849">
        <v>0.0</v>
      </c>
      <c r="Z509" s="849">
        <v>0.0</v>
      </c>
      <c r="AA509" s="849">
        <v>0.0</v>
      </c>
      <c r="AB509" s="849">
        <v>0.0</v>
      </c>
      <c r="AC509" s="849">
        <v>0.0</v>
      </c>
      <c r="AD509" s="849">
        <v>0.0</v>
      </c>
      <c r="AE509" s="849">
        <v>0.0</v>
      </c>
      <c r="AF509" s="849">
        <v>0.0</v>
      </c>
      <c r="AG509" s="849">
        <v>0.0</v>
      </c>
      <c r="AH509" s="849">
        <v>0.0</v>
      </c>
      <c r="AI509" s="849">
        <v>0.0</v>
      </c>
      <c r="AJ509" s="794" t="str">
        <f t="shared" ref="AJ509:AK509" si="1015">C509</f>
        <v>G40101</v>
      </c>
      <c r="AK509" s="794" t="str">
        <f t="shared" si="1015"/>
        <v>VENTE BUICK LACROSSE</v>
      </c>
      <c r="AL509" s="794">
        <f t="array" ref="AL509">IFERROR(INDEX(G509:R509,1,MATCH(Parametres!$B$3,G$1:R$1,0)-1)*IF(OR(F509="L",F509="S",F509="I"),-1,1),"")</f>
        <v>0</v>
      </c>
      <c r="AM509" s="794">
        <f t="shared" si="4"/>
        <v>0</v>
      </c>
      <c r="AN509" s="794">
        <f t="array" ref="AN509">INDEX(G509:R509,1,MATCH(Parametres!$B$3,G$1:R$1,0))*IF(OR(F509="L",F509="S",F509="I"),-1,1)</f>
        <v>0</v>
      </c>
      <c r="AO509" s="853" t="str">
        <f>+VLOOKUP($AJ509,Data_Validation!$A:$D,1,0)</f>
        <v>G40101</v>
      </c>
      <c r="AP509" s="853" t="str">
        <f>+VLOOKUP($AJ509,Data_Validation!$A:$D,3,0)</f>
        <v>Véhicules neufs</v>
      </c>
      <c r="AQ509" s="853" t="str">
        <f>+VLOOKUP($AJ509,Data_Validation!$A:$D,4,0)</f>
        <v>Autos détail</v>
      </c>
      <c r="AR509" s="853" t="s">
        <v>728</v>
      </c>
      <c r="AS509" s="853" t="str">
        <f>+VLOOKUP($AJ509,Data_Validation!$A:$E,5,0)</f>
        <v>Oui</v>
      </c>
      <c r="AT509" s="794" t="str">
        <f t="shared" ref="AT509:AU509" si="1016">C509</f>
        <v>G40101</v>
      </c>
      <c r="AU509" s="854" t="str">
        <f t="shared" si="1016"/>
        <v>VENTE BUICK LACROSSE</v>
      </c>
      <c r="AV509" s="794">
        <f t="array" ref="AV509">IFERROR(INDEX(V509:AG509,1,MATCH(Parametres!$B$3,V$1:AG$1,0)-1)*IF(OR(C509="L",C509="S",C509="I"),-1,1),"")</f>
        <v>0</v>
      </c>
      <c r="AW509" s="794">
        <f t="shared" si="6"/>
        <v>0</v>
      </c>
      <c r="AX509" s="794">
        <f t="array" ref="AX509">INDEX(V509:AG509,1,MATCH(Parametres!$B$3,V$1:AG$1,0))*IF(OR(C509="L",C509="S",C509="I"),-1,1)</f>
        <v>0</v>
      </c>
      <c r="AY509" s="853" t="s">
        <v>772</v>
      </c>
      <c r="AZ509" s="853" t="str">
        <f>+VLOOKUP($AJ509,Data_Validation!$A:$E,5,0)</f>
        <v>Oui</v>
      </c>
    </row>
    <row r="510" ht="15.0" customHeight="1">
      <c r="A510" s="849" t="s">
        <v>1239</v>
      </c>
      <c r="B510" s="849">
        <v>2025.0</v>
      </c>
      <c r="C510" s="849" t="s">
        <v>2433</v>
      </c>
      <c r="D510" s="849" t="s">
        <v>2434</v>
      </c>
      <c r="E510" s="849" t="s">
        <v>2426</v>
      </c>
      <c r="F510" s="849" t="s">
        <v>2426</v>
      </c>
      <c r="G510" s="849">
        <v>0.0</v>
      </c>
      <c r="H510" s="849">
        <v>0.0</v>
      </c>
      <c r="I510" s="849">
        <v>0.0</v>
      </c>
      <c r="J510" s="849">
        <v>0.0</v>
      </c>
      <c r="K510" s="849">
        <v>0.0</v>
      </c>
      <c r="L510" s="849">
        <v>0.0</v>
      </c>
      <c r="M510" s="849">
        <v>0.0</v>
      </c>
      <c r="N510" s="849">
        <v>0.0</v>
      </c>
      <c r="O510" s="849">
        <v>0.0</v>
      </c>
      <c r="P510" s="849">
        <v>0.0</v>
      </c>
      <c r="Q510" s="849">
        <v>0.0</v>
      </c>
      <c r="R510" s="849">
        <v>0.0</v>
      </c>
      <c r="S510" s="849">
        <v>0.0</v>
      </c>
      <c r="T510" s="849">
        <v>0.0</v>
      </c>
      <c r="U510" s="849">
        <v>0.0</v>
      </c>
      <c r="V510" s="849">
        <v>0.0</v>
      </c>
      <c r="W510" s="849">
        <v>0.0</v>
      </c>
      <c r="X510" s="849">
        <v>0.0</v>
      </c>
      <c r="Y510" s="849">
        <v>0.0</v>
      </c>
      <c r="Z510" s="849">
        <v>0.0</v>
      </c>
      <c r="AA510" s="849">
        <v>0.0</v>
      </c>
      <c r="AB510" s="849">
        <v>0.0</v>
      </c>
      <c r="AC510" s="849">
        <v>0.0</v>
      </c>
      <c r="AD510" s="849">
        <v>0.0</v>
      </c>
      <c r="AE510" s="849">
        <v>0.0</v>
      </c>
      <c r="AF510" s="849">
        <v>0.0</v>
      </c>
      <c r="AG510" s="849">
        <v>0.0</v>
      </c>
      <c r="AH510" s="849">
        <v>0.0</v>
      </c>
      <c r="AI510" s="849">
        <v>0.0</v>
      </c>
      <c r="AJ510" s="794" t="str">
        <f t="shared" ref="AJ510:AK510" si="1017">C510</f>
        <v>G40120</v>
      </c>
      <c r="AK510" s="794" t="str">
        <f t="shared" si="1017"/>
        <v>VTES-MALIBU          -LOC</v>
      </c>
      <c r="AL510" s="794">
        <f t="array" ref="AL510">IFERROR(INDEX(G510:R510,1,MATCH(Parametres!$B$3,G$1:R$1,0)-1)*IF(OR(F510="L",F510="S",F510="I"),-1,1),"")</f>
        <v>0</v>
      </c>
      <c r="AM510" s="794">
        <f t="shared" si="4"/>
        <v>0</v>
      </c>
      <c r="AN510" s="794">
        <f t="array" ref="AN510">INDEX(G510:R510,1,MATCH(Parametres!$B$3,G$1:R$1,0))*IF(OR(F510="L",F510="S",F510="I"),-1,1)</f>
        <v>0</v>
      </c>
      <c r="AO510" s="853" t="str">
        <f>+VLOOKUP($AJ510,Data_Validation!$A:$D,1,0)</f>
        <v>#N/A</v>
      </c>
      <c r="AP510" s="853" t="str">
        <f>+VLOOKUP($AJ510,Data_Validation!$A:$D,3,0)</f>
        <v>#N/A</v>
      </c>
      <c r="AQ510" s="853" t="str">
        <f>+VLOOKUP($AJ510,Data_Validation!$A:$D,4,0)</f>
        <v>#N/A</v>
      </c>
      <c r="AR510" s="853" t="s">
        <v>728</v>
      </c>
      <c r="AS510" s="853" t="str">
        <f>+VLOOKUP($AJ510,Data_Validation!$A:$E,5,0)</f>
        <v>#N/A</v>
      </c>
      <c r="AT510" s="794" t="str">
        <f t="shared" ref="AT510:AU510" si="1018">C510</f>
        <v>G40120</v>
      </c>
      <c r="AU510" s="854" t="str">
        <f t="shared" si="1018"/>
        <v>VTES-MALIBU          -LOC</v>
      </c>
      <c r="AV510" s="794">
        <f t="array" ref="AV510">IFERROR(INDEX(V510:AG510,1,MATCH(Parametres!$B$3,V$1:AG$1,0)-1)*IF(OR(C510="L",C510="S",C510="I"),-1,1),"")</f>
        <v>0</v>
      </c>
      <c r="AW510" s="794">
        <f t="shared" si="6"/>
        <v>0</v>
      </c>
      <c r="AX510" s="794">
        <f t="array" ref="AX510">INDEX(V510:AG510,1,MATCH(Parametres!$B$3,V$1:AG$1,0))*IF(OR(C510="L",C510="S",C510="I"),-1,1)</f>
        <v>0</v>
      </c>
      <c r="AY510" s="853" t="s">
        <v>772</v>
      </c>
      <c r="AZ510" s="853" t="str">
        <f>+VLOOKUP($AJ510,Data_Validation!$A:$E,5,0)</f>
        <v>#N/A</v>
      </c>
    </row>
    <row r="511" ht="15.0" customHeight="1">
      <c r="A511" s="849" t="s">
        <v>1239</v>
      </c>
      <c r="B511" s="849">
        <v>2025.0</v>
      </c>
      <c r="C511" s="849" t="s">
        <v>2435</v>
      </c>
      <c r="D511" s="849" t="s">
        <v>2436</v>
      </c>
      <c r="E511" s="849" t="s">
        <v>2426</v>
      </c>
      <c r="F511" s="849" t="s">
        <v>2426</v>
      </c>
      <c r="G511" s="849">
        <v>0.0</v>
      </c>
      <c r="H511" s="849">
        <v>0.0</v>
      </c>
      <c r="I511" s="849">
        <v>0.0</v>
      </c>
      <c r="J511" s="849">
        <v>0.0</v>
      </c>
      <c r="K511" s="849">
        <v>0.0</v>
      </c>
      <c r="L511" s="849">
        <v>0.0</v>
      </c>
      <c r="M511" s="849">
        <v>0.0</v>
      </c>
      <c r="N511" s="849">
        <v>0.0</v>
      </c>
      <c r="O511" s="849">
        <v>0.0</v>
      </c>
      <c r="P511" s="849">
        <v>0.0</v>
      </c>
      <c r="Q511" s="849">
        <v>0.0</v>
      </c>
      <c r="R511" s="849">
        <v>0.0</v>
      </c>
      <c r="S511" s="849">
        <v>0.0</v>
      </c>
      <c r="T511" s="849">
        <v>0.0</v>
      </c>
      <c r="U511" s="849">
        <v>0.0</v>
      </c>
      <c r="V511" s="849">
        <v>0.0</v>
      </c>
      <c r="W511" s="849">
        <v>0.0</v>
      </c>
      <c r="X511" s="849">
        <v>0.0</v>
      </c>
      <c r="Y511" s="849">
        <v>0.0</v>
      </c>
      <c r="Z511" s="849">
        <v>0.0</v>
      </c>
      <c r="AA511" s="849">
        <v>0.0</v>
      </c>
      <c r="AB511" s="849">
        <v>0.0</v>
      </c>
      <c r="AC511" s="849">
        <v>0.0</v>
      </c>
      <c r="AD511" s="849">
        <v>0.0</v>
      </c>
      <c r="AE511" s="849">
        <v>0.0</v>
      </c>
      <c r="AF511" s="849">
        <v>0.0</v>
      </c>
      <c r="AG511" s="849">
        <v>0.0</v>
      </c>
      <c r="AH511" s="849">
        <v>0.0</v>
      </c>
      <c r="AI511" s="849">
        <v>0.0</v>
      </c>
      <c r="AJ511" s="794" t="str">
        <f t="shared" ref="AJ511:AK511" si="1019">C511</f>
        <v>G40200</v>
      </c>
      <c r="AK511" s="794" t="str">
        <f t="shared" si="1019"/>
        <v>VTES-MALIBU MAXX</v>
      </c>
      <c r="AL511" s="794">
        <f t="array" ref="AL511">IFERROR(INDEX(G511:R511,1,MATCH(Parametres!$B$3,G$1:R$1,0)-1)*IF(OR(F511="L",F511="S",F511="I"),-1,1),"")</f>
        <v>0</v>
      </c>
      <c r="AM511" s="794">
        <f t="shared" si="4"/>
        <v>0</v>
      </c>
      <c r="AN511" s="794">
        <f t="array" ref="AN511">INDEX(G511:R511,1,MATCH(Parametres!$B$3,G$1:R$1,0))*IF(OR(F511="L",F511="S",F511="I"),-1,1)</f>
        <v>0</v>
      </c>
      <c r="AO511" s="853" t="str">
        <f>+VLOOKUP($AJ511,Data_Validation!$A:$D,1,0)</f>
        <v>#N/A</v>
      </c>
      <c r="AP511" s="853" t="str">
        <f>+VLOOKUP($AJ511,Data_Validation!$A:$D,3,0)</f>
        <v>#N/A</v>
      </c>
      <c r="AQ511" s="853" t="str">
        <f>+VLOOKUP($AJ511,Data_Validation!$A:$D,4,0)</f>
        <v>#N/A</v>
      </c>
      <c r="AR511" s="853" t="s">
        <v>728</v>
      </c>
      <c r="AS511" s="853" t="str">
        <f>+VLOOKUP($AJ511,Data_Validation!$A:$E,5,0)</f>
        <v>#N/A</v>
      </c>
      <c r="AT511" s="794" t="str">
        <f t="shared" ref="AT511:AU511" si="1020">C511</f>
        <v>G40200</v>
      </c>
      <c r="AU511" s="854" t="str">
        <f t="shared" si="1020"/>
        <v>VTES-MALIBU MAXX</v>
      </c>
      <c r="AV511" s="794">
        <f t="array" ref="AV511">IFERROR(INDEX(V511:AG511,1,MATCH(Parametres!$B$3,V$1:AG$1,0)-1)*IF(OR(C511="L",C511="S",C511="I"),-1,1),"")</f>
        <v>0</v>
      </c>
      <c r="AW511" s="794">
        <f t="shared" si="6"/>
        <v>0</v>
      </c>
      <c r="AX511" s="794">
        <f t="array" ref="AX511">INDEX(V511:AG511,1,MATCH(Parametres!$B$3,V$1:AG$1,0))*IF(OR(C511="L",C511="S",C511="I"),-1,1)</f>
        <v>0</v>
      </c>
      <c r="AY511" s="853" t="s">
        <v>772</v>
      </c>
      <c r="AZ511" s="853" t="str">
        <f>+VLOOKUP($AJ511,Data_Validation!$A:$E,5,0)</f>
        <v>#N/A</v>
      </c>
    </row>
    <row r="512" ht="15.0" customHeight="1">
      <c r="A512" s="849" t="s">
        <v>1239</v>
      </c>
      <c r="B512" s="849">
        <v>2025.0</v>
      </c>
      <c r="C512" s="849" t="s">
        <v>2437</v>
      </c>
      <c r="D512" s="849" t="s">
        <v>2438</v>
      </c>
      <c r="E512" s="849" t="s">
        <v>2426</v>
      </c>
      <c r="F512" s="849" t="s">
        <v>2426</v>
      </c>
      <c r="G512" s="849">
        <v>0.0</v>
      </c>
      <c r="H512" s="849">
        <v>0.0</v>
      </c>
      <c r="I512" s="849">
        <v>0.0</v>
      </c>
      <c r="J512" s="849">
        <v>0.0</v>
      </c>
      <c r="K512" s="849">
        <v>0.0</v>
      </c>
      <c r="L512" s="849">
        <v>0.0</v>
      </c>
      <c r="M512" s="849">
        <v>0.0</v>
      </c>
      <c r="N512" s="849">
        <v>0.0</v>
      </c>
      <c r="O512" s="849">
        <v>0.0</v>
      </c>
      <c r="P512" s="849">
        <v>0.0</v>
      </c>
      <c r="Q512" s="849">
        <v>0.0</v>
      </c>
      <c r="R512" s="849">
        <v>0.0</v>
      </c>
      <c r="S512" s="849">
        <v>0.0</v>
      </c>
      <c r="T512" s="849">
        <v>0.0</v>
      </c>
      <c r="U512" s="849">
        <v>0.0</v>
      </c>
      <c r="V512" s="849">
        <v>0.0</v>
      </c>
      <c r="W512" s="849">
        <v>0.0</v>
      </c>
      <c r="X512" s="849">
        <v>0.0</v>
      </c>
      <c r="Y512" s="849">
        <v>0.0</v>
      </c>
      <c r="Z512" s="849">
        <v>0.0</v>
      </c>
      <c r="AA512" s="849">
        <v>0.0</v>
      </c>
      <c r="AB512" s="849">
        <v>0.0</v>
      </c>
      <c r="AC512" s="849">
        <v>0.0</v>
      </c>
      <c r="AD512" s="849">
        <v>0.0</v>
      </c>
      <c r="AE512" s="849">
        <v>0.0</v>
      </c>
      <c r="AF512" s="849">
        <v>0.0</v>
      </c>
      <c r="AG512" s="849">
        <v>0.0</v>
      </c>
      <c r="AH512" s="849">
        <v>0.0</v>
      </c>
      <c r="AI512" s="849">
        <v>0.0</v>
      </c>
      <c r="AJ512" s="794" t="str">
        <f t="shared" ref="AJ512:AK512" si="1021">C512</f>
        <v>G40201</v>
      </c>
      <c r="AK512" s="794" t="str">
        <f t="shared" si="1021"/>
        <v>VENTES - SONIC</v>
      </c>
      <c r="AL512" s="794">
        <f t="array" ref="AL512">IFERROR(INDEX(G512:R512,1,MATCH(Parametres!$B$3,G$1:R$1,0)-1)*IF(OR(F512="L",F512="S",F512="I"),-1,1),"")</f>
        <v>0</v>
      </c>
      <c r="AM512" s="794">
        <f t="shared" si="4"/>
        <v>0</v>
      </c>
      <c r="AN512" s="794">
        <f t="array" ref="AN512">INDEX(G512:R512,1,MATCH(Parametres!$B$3,G$1:R$1,0))*IF(OR(F512="L",F512="S",F512="I"),-1,1)</f>
        <v>0</v>
      </c>
      <c r="AO512" s="853" t="str">
        <f>+VLOOKUP($AJ512,Data_Validation!$A:$D,1,0)</f>
        <v>#N/A</v>
      </c>
      <c r="AP512" s="853" t="str">
        <f>+VLOOKUP($AJ512,Data_Validation!$A:$D,3,0)</f>
        <v>#N/A</v>
      </c>
      <c r="AQ512" s="853" t="str">
        <f>+VLOOKUP($AJ512,Data_Validation!$A:$D,4,0)</f>
        <v>#N/A</v>
      </c>
      <c r="AR512" s="853" t="s">
        <v>728</v>
      </c>
      <c r="AS512" s="853" t="str">
        <f>+VLOOKUP($AJ512,Data_Validation!$A:$E,5,0)</f>
        <v>#N/A</v>
      </c>
      <c r="AT512" s="794" t="str">
        <f t="shared" ref="AT512:AU512" si="1022">C512</f>
        <v>G40201</v>
      </c>
      <c r="AU512" s="854" t="str">
        <f t="shared" si="1022"/>
        <v>VENTES - SONIC</v>
      </c>
      <c r="AV512" s="794">
        <f t="array" ref="AV512">IFERROR(INDEX(V512:AG512,1,MATCH(Parametres!$B$3,V$1:AG$1,0)-1)*IF(OR(C512="L",C512="S",C512="I"),-1,1),"")</f>
        <v>0</v>
      </c>
      <c r="AW512" s="794">
        <f t="shared" si="6"/>
        <v>0</v>
      </c>
      <c r="AX512" s="794">
        <f t="array" ref="AX512">INDEX(V512:AG512,1,MATCH(Parametres!$B$3,V$1:AG$1,0))*IF(OR(C512="L",C512="S",C512="I"),-1,1)</f>
        <v>0</v>
      </c>
      <c r="AY512" s="853" t="s">
        <v>772</v>
      </c>
      <c r="AZ512" s="853" t="str">
        <f>+VLOOKUP($AJ512,Data_Validation!$A:$E,5,0)</f>
        <v>#N/A</v>
      </c>
    </row>
    <row r="513" ht="15.0" customHeight="1">
      <c r="A513" s="849" t="s">
        <v>1239</v>
      </c>
      <c r="B513" s="849">
        <v>2025.0</v>
      </c>
      <c r="C513" s="849" t="s">
        <v>2439</v>
      </c>
      <c r="D513" s="849" t="s">
        <v>2440</v>
      </c>
      <c r="E513" s="849" t="s">
        <v>2426</v>
      </c>
      <c r="F513" s="849" t="s">
        <v>2426</v>
      </c>
      <c r="G513" s="849">
        <v>0.0</v>
      </c>
      <c r="H513" s="849">
        <v>0.0</v>
      </c>
      <c r="I513" s="849">
        <v>0.0</v>
      </c>
      <c r="J513" s="849">
        <v>0.0</v>
      </c>
      <c r="K513" s="849">
        <v>0.0</v>
      </c>
      <c r="L513" s="849">
        <v>0.0</v>
      </c>
      <c r="M513" s="849">
        <v>0.0</v>
      </c>
      <c r="N513" s="849">
        <v>0.0</v>
      </c>
      <c r="O513" s="849">
        <v>0.0</v>
      </c>
      <c r="P513" s="849">
        <v>0.0</v>
      </c>
      <c r="Q513" s="849">
        <v>0.0</v>
      </c>
      <c r="R513" s="849">
        <v>0.0</v>
      </c>
      <c r="S513" s="849">
        <v>0.0</v>
      </c>
      <c r="T513" s="849">
        <v>0.0</v>
      </c>
      <c r="U513" s="849">
        <v>0.0</v>
      </c>
      <c r="V513" s="849">
        <v>0.0</v>
      </c>
      <c r="W513" s="849">
        <v>0.0</v>
      </c>
      <c r="X513" s="849">
        <v>0.0</v>
      </c>
      <c r="Y513" s="849">
        <v>0.0</v>
      </c>
      <c r="Z513" s="849">
        <v>0.0</v>
      </c>
      <c r="AA513" s="849">
        <v>0.0</v>
      </c>
      <c r="AB513" s="849">
        <v>0.0</v>
      </c>
      <c r="AC513" s="849">
        <v>0.0</v>
      </c>
      <c r="AD513" s="849">
        <v>0.0</v>
      </c>
      <c r="AE513" s="849">
        <v>0.0</v>
      </c>
      <c r="AF513" s="849">
        <v>0.0</v>
      </c>
      <c r="AG513" s="849">
        <v>0.0</v>
      </c>
      <c r="AH513" s="849">
        <v>0.0</v>
      </c>
      <c r="AI513" s="849">
        <v>0.0</v>
      </c>
      <c r="AJ513" s="794" t="str">
        <f t="shared" ref="AJ513:AK513" si="1023">C513</f>
        <v>G40204</v>
      </c>
      <c r="AK513" s="794" t="str">
        <f t="shared" si="1023"/>
        <v>VENTES - VERANO</v>
      </c>
      <c r="AL513" s="794">
        <f t="array" ref="AL513">IFERROR(INDEX(G513:R513,1,MATCH(Parametres!$B$3,G$1:R$1,0)-1)*IF(OR(F513="L",F513="S",F513="I"),-1,1),"")</f>
        <v>0</v>
      </c>
      <c r="AM513" s="794">
        <f t="shared" si="4"/>
        <v>0</v>
      </c>
      <c r="AN513" s="794">
        <f t="array" ref="AN513">INDEX(G513:R513,1,MATCH(Parametres!$B$3,G$1:R$1,0))*IF(OR(F513="L",F513="S",F513="I"),-1,1)</f>
        <v>0</v>
      </c>
      <c r="AO513" s="853" t="str">
        <f>+VLOOKUP($AJ513,Data_Validation!$A:$D,1,0)</f>
        <v>G40204</v>
      </c>
      <c r="AP513" s="853" t="str">
        <f>+VLOOKUP($AJ513,Data_Validation!$A:$D,3,0)</f>
        <v>Véhicules neufs</v>
      </c>
      <c r="AQ513" s="853" t="str">
        <f>+VLOOKUP($AJ513,Data_Validation!$A:$D,4,0)</f>
        <v>Autos détail</v>
      </c>
      <c r="AR513" s="853" t="s">
        <v>728</v>
      </c>
      <c r="AS513" s="853" t="str">
        <f>+VLOOKUP($AJ513,Data_Validation!$A:$E,5,0)</f>
        <v>Oui</v>
      </c>
      <c r="AT513" s="794" t="str">
        <f t="shared" ref="AT513:AU513" si="1024">C513</f>
        <v>G40204</v>
      </c>
      <c r="AU513" s="854" t="str">
        <f t="shared" si="1024"/>
        <v>VENTES - VERANO</v>
      </c>
      <c r="AV513" s="794">
        <f t="array" ref="AV513">IFERROR(INDEX(V513:AG513,1,MATCH(Parametres!$B$3,V$1:AG$1,0)-1)*IF(OR(C513="L",C513="S",C513="I"),-1,1),"")</f>
        <v>0</v>
      </c>
      <c r="AW513" s="794">
        <f t="shared" si="6"/>
        <v>0</v>
      </c>
      <c r="AX513" s="794">
        <f t="array" ref="AX513">INDEX(V513:AG513,1,MATCH(Parametres!$B$3,V$1:AG$1,0))*IF(OR(C513="L",C513="S",C513="I"),-1,1)</f>
        <v>0</v>
      </c>
      <c r="AY513" s="853" t="s">
        <v>772</v>
      </c>
      <c r="AZ513" s="853" t="str">
        <f>+VLOOKUP($AJ513,Data_Validation!$A:$E,5,0)</f>
        <v>Oui</v>
      </c>
    </row>
    <row r="514" ht="15.0" customHeight="1">
      <c r="A514" s="849" t="s">
        <v>1239</v>
      </c>
      <c r="B514" s="849">
        <v>2025.0</v>
      </c>
      <c r="C514" s="849" t="s">
        <v>2441</v>
      </c>
      <c r="D514" s="849" t="s">
        <v>2442</v>
      </c>
      <c r="E514" s="849" t="s">
        <v>2426</v>
      </c>
      <c r="F514" s="849" t="s">
        <v>2426</v>
      </c>
      <c r="G514" s="849">
        <v>0.0</v>
      </c>
      <c r="H514" s="849">
        <v>0.0</v>
      </c>
      <c r="I514" s="849">
        <v>0.0</v>
      </c>
      <c r="J514" s="849">
        <v>0.0</v>
      </c>
      <c r="K514" s="849">
        <v>0.0</v>
      </c>
      <c r="L514" s="849">
        <v>0.0</v>
      </c>
      <c r="M514" s="849">
        <v>0.0</v>
      </c>
      <c r="N514" s="849">
        <v>0.0</v>
      </c>
      <c r="O514" s="849">
        <v>0.0</v>
      </c>
      <c r="P514" s="849">
        <v>0.0</v>
      </c>
      <c r="Q514" s="849">
        <v>0.0</v>
      </c>
      <c r="R514" s="849">
        <v>0.0</v>
      </c>
      <c r="S514" s="849">
        <v>0.0</v>
      </c>
      <c r="T514" s="849">
        <v>0.0</v>
      </c>
      <c r="U514" s="849">
        <v>0.0</v>
      </c>
      <c r="V514" s="849">
        <v>0.0</v>
      </c>
      <c r="W514" s="849">
        <v>0.0</v>
      </c>
      <c r="X514" s="849">
        <v>0.0</v>
      </c>
      <c r="Y514" s="849">
        <v>0.0</v>
      </c>
      <c r="Z514" s="849">
        <v>0.0</v>
      </c>
      <c r="AA514" s="849">
        <v>0.0</v>
      </c>
      <c r="AB514" s="849">
        <v>0.0</v>
      </c>
      <c r="AC514" s="849">
        <v>0.0</v>
      </c>
      <c r="AD514" s="849">
        <v>0.0</v>
      </c>
      <c r="AE514" s="849">
        <v>0.0</v>
      </c>
      <c r="AF514" s="849">
        <v>0.0</v>
      </c>
      <c r="AG514" s="849">
        <v>0.0</v>
      </c>
      <c r="AH514" s="849">
        <v>0.0</v>
      </c>
      <c r="AI514" s="849">
        <v>0.0</v>
      </c>
      <c r="AJ514" s="794" t="str">
        <f t="shared" ref="AJ514:AK514" si="1025">C514</f>
        <v>G40300</v>
      </c>
      <c r="AK514" s="794" t="str">
        <f t="shared" si="1025"/>
        <v>VTES-IMPALA</v>
      </c>
      <c r="AL514" s="794">
        <f t="array" ref="AL514">IFERROR(INDEX(G514:R514,1,MATCH(Parametres!$B$3,G$1:R$1,0)-1)*IF(OR(F514="L",F514="S",F514="I"),-1,1),"")</f>
        <v>0</v>
      </c>
      <c r="AM514" s="794">
        <f t="shared" si="4"/>
        <v>0</v>
      </c>
      <c r="AN514" s="794">
        <f t="array" ref="AN514">INDEX(G514:R514,1,MATCH(Parametres!$B$3,G$1:R$1,0))*IF(OR(F514="L",F514="S",F514="I"),-1,1)</f>
        <v>0</v>
      </c>
      <c r="AO514" s="853" t="str">
        <f>+VLOOKUP($AJ514,Data_Validation!$A:$D,1,0)</f>
        <v>G40300</v>
      </c>
      <c r="AP514" s="853" t="str">
        <f>+VLOOKUP($AJ514,Data_Validation!$A:$D,3,0)</f>
        <v>Véhicules neufs</v>
      </c>
      <c r="AQ514" s="853" t="str">
        <f>+VLOOKUP($AJ514,Data_Validation!$A:$D,4,0)</f>
        <v>Autos détail</v>
      </c>
      <c r="AR514" s="853" t="s">
        <v>728</v>
      </c>
      <c r="AS514" s="853" t="str">
        <f>+VLOOKUP($AJ514,Data_Validation!$A:$E,5,0)</f>
        <v>Oui</v>
      </c>
      <c r="AT514" s="794" t="str">
        <f t="shared" ref="AT514:AU514" si="1026">C514</f>
        <v>G40300</v>
      </c>
      <c r="AU514" s="854" t="str">
        <f t="shared" si="1026"/>
        <v>VTES-IMPALA</v>
      </c>
      <c r="AV514" s="794">
        <f t="array" ref="AV514">IFERROR(INDEX(V514:AG514,1,MATCH(Parametres!$B$3,V$1:AG$1,0)-1)*IF(OR(C514="L",C514="S",C514="I"),-1,1),"")</f>
        <v>0</v>
      </c>
      <c r="AW514" s="794">
        <f t="shared" si="6"/>
        <v>0</v>
      </c>
      <c r="AX514" s="794">
        <f t="array" ref="AX514">INDEX(V514:AG514,1,MATCH(Parametres!$B$3,V$1:AG$1,0))*IF(OR(C514="L",C514="S",C514="I"),-1,1)</f>
        <v>0</v>
      </c>
      <c r="AY514" s="853" t="s">
        <v>772</v>
      </c>
      <c r="AZ514" s="853" t="str">
        <f>+VLOOKUP($AJ514,Data_Validation!$A:$E,5,0)</f>
        <v>Oui</v>
      </c>
    </row>
    <row r="515" ht="15.0" customHeight="1">
      <c r="A515" s="849" t="s">
        <v>1239</v>
      </c>
      <c r="B515" s="849">
        <v>2025.0</v>
      </c>
      <c r="C515" s="849" t="s">
        <v>2443</v>
      </c>
      <c r="D515" s="849" t="s">
        <v>2444</v>
      </c>
      <c r="E515" s="849" t="s">
        <v>2426</v>
      </c>
      <c r="F515" s="849" t="s">
        <v>2426</v>
      </c>
      <c r="G515" s="849">
        <v>0.0</v>
      </c>
      <c r="H515" s="849">
        <v>0.0</v>
      </c>
      <c r="I515" s="849">
        <v>0.0</v>
      </c>
      <c r="J515" s="849">
        <v>0.0</v>
      </c>
      <c r="K515" s="849">
        <v>0.0</v>
      </c>
      <c r="L515" s="849">
        <v>0.0</v>
      </c>
      <c r="M515" s="849">
        <v>0.0</v>
      </c>
      <c r="N515" s="849">
        <v>0.0</v>
      </c>
      <c r="O515" s="849">
        <v>0.0</v>
      </c>
      <c r="P515" s="849">
        <v>0.0</v>
      </c>
      <c r="Q515" s="849">
        <v>0.0</v>
      </c>
      <c r="R515" s="849">
        <v>0.0</v>
      </c>
      <c r="S515" s="849">
        <v>0.0</v>
      </c>
      <c r="T515" s="849">
        <v>0.0</v>
      </c>
      <c r="U515" s="849">
        <v>0.0</v>
      </c>
      <c r="V515" s="849">
        <v>0.0</v>
      </c>
      <c r="W515" s="849">
        <v>0.0</v>
      </c>
      <c r="X515" s="849">
        <v>0.0</v>
      </c>
      <c r="Y515" s="849">
        <v>0.0</v>
      </c>
      <c r="Z515" s="849">
        <v>0.0</v>
      </c>
      <c r="AA515" s="849">
        <v>0.0</v>
      </c>
      <c r="AB515" s="849">
        <v>0.0</v>
      </c>
      <c r="AC515" s="849">
        <v>0.0</v>
      </c>
      <c r="AD515" s="849">
        <v>0.0</v>
      </c>
      <c r="AE515" s="849">
        <v>0.0</v>
      </c>
      <c r="AF515" s="849">
        <v>0.0</v>
      </c>
      <c r="AG515" s="849">
        <v>0.0</v>
      </c>
      <c r="AH515" s="849">
        <v>0.0</v>
      </c>
      <c r="AI515" s="849">
        <v>0.0</v>
      </c>
      <c r="AJ515" s="794" t="str">
        <f t="shared" ref="AJ515:AK515" si="1027">C515</f>
        <v>G40320</v>
      </c>
      <c r="AK515" s="794" t="str">
        <f t="shared" si="1027"/>
        <v>VTES-IMPALA          -LOC</v>
      </c>
      <c r="AL515" s="794">
        <f t="array" ref="AL515">IFERROR(INDEX(G515:R515,1,MATCH(Parametres!$B$3,G$1:R$1,0)-1)*IF(OR(F515="L",F515="S",F515="I"),-1,1),"")</f>
        <v>0</v>
      </c>
      <c r="AM515" s="794">
        <f t="shared" si="4"/>
        <v>0</v>
      </c>
      <c r="AN515" s="794">
        <f t="array" ref="AN515">INDEX(G515:R515,1,MATCH(Parametres!$B$3,G$1:R$1,0))*IF(OR(F515="L",F515="S",F515="I"),-1,1)</f>
        <v>0</v>
      </c>
      <c r="AO515" s="853" t="str">
        <f>+VLOOKUP($AJ515,Data_Validation!$A:$D,1,0)</f>
        <v>#N/A</v>
      </c>
      <c r="AP515" s="853" t="str">
        <f>+VLOOKUP($AJ515,Data_Validation!$A:$D,3,0)</f>
        <v>#N/A</v>
      </c>
      <c r="AQ515" s="853" t="str">
        <f>+VLOOKUP($AJ515,Data_Validation!$A:$D,4,0)</f>
        <v>#N/A</v>
      </c>
      <c r="AR515" s="853" t="s">
        <v>728</v>
      </c>
      <c r="AS515" s="853" t="str">
        <f>+VLOOKUP($AJ515,Data_Validation!$A:$E,5,0)</f>
        <v>#N/A</v>
      </c>
      <c r="AT515" s="794" t="str">
        <f t="shared" ref="AT515:AU515" si="1028">C515</f>
        <v>G40320</v>
      </c>
      <c r="AU515" s="854" t="str">
        <f t="shared" si="1028"/>
        <v>VTES-IMPALA          -LOC</v>
      </c>
      <c r="AV515" s="794">
        <f t="array" ref="AV515">IFERROR(INDEX(V515:AG515,1,MATCH(Parametres!$B$3,V$1:AG$1,0)-1)*IF(OR(C515="L",C515="S",C515="I"),-1,1),"")</f>
        <v>0</v>
      </c>
      <c r="AW515" s="794">
        <f t="shared" si="6"/>
        <v>0</v>
      </c>
      <c r="AX515" s="794">
        <f t="array" ref="AX515">INDEX(V515:AG515,1,MATCH(Parametres!$B$3,V$1:AG$1,0))*IF(OR(C515="L",C515="S",C515="I"),-1,1)</f>
        <v>0</v>
      </c>
      <c r="AY515" s="853" t="s">
        <v>772</v>
      </c>
      <c r="AZ515" s="853" t="str">
        <f>+VLOOKUP($AJ515,Data_Validation!$A:$E,5,0)</f>
        <v>#N/A</v>
      </c>
    </row>
    <row r="516" ht="15.0" customHeight="1">
      <c r="A516" s="849" t="s">
        <v>1239</v>
      </c>
      <c r="B516" s="849">
        <v>2025.0</v>
      </c>
      <c r="C516" s="849" t="s">
        <v>2445</v>
      </c>
      <c r="D516" s="849" t="s">
        <v>2446</v>
      </c>
      <c r="E516" s="849" t="s">
        <v>2426</v>
      </c>
      <c r="F516" s="849" t="s">
        <v>2426</v>
      </c>
      <c r="G516" s="849">
        <v>0.0</v>
      </c>
      <c r="H516" s="849">
        <v>0.0</v>
      </c>
      <c r="I516" s="849">
        <v>0.0</v>
      </c>
      <c r="J516" s="849">
        <v>0.0</v>
      </c>
      <c r="K516" s="849">
        <v>0.0</v>
      </c>
      <c r="L516" s="849">
        <v>0.0</v>
      </c>
      <c r="M516" s="849">
        <v>0.0</v>
      </c>
      <c r="N516" s="849">
        <v>0.0</v>
      </c>
      <c r="O516" s="849">
        <v>0.0</v>
      </c>
      <c r="P516" s="849">
        <v>0.0</v>
      </c>
      <c r="Q516" s="849">
        <v>0.0</v>
      </c>
      <c r="R516" s="849">
        <v>0.0</v>
      </c>
      <c r="S516" s="849">
        <v>0.0</v>
      </c>
      <c r="T516" s="849">
        <v>0.0</v>
      </c>
      <c r="U516" s="849">
        <v>0.0</v>
      </c>
      <c r="V516" s="849">
        <v>0.0</v>
      </c>
      <c r="W516" s="849">
        <v>0.0</v>
      </c>
      <c r="X516" s="849">
        <v>0.0</v>
      </c>
      <c r="Y516" s="849">
        <v>0.0</v>
      </c>
      <c r="Z516" s="849">
        <v>0.0</v>
      </c>
      <c r="AA516" s="849">
        <v>0.0</v>
      </c>
      <c r="AB516" s="849">
        <v>0.0</v>
      </c>
      <c r="AC516" s="849">
        <v>0.0</v>
      </c>
      <c r="AD516" s="849">
        <v>0.0</v>
      </c>
      <c r="AE516" s="849">
        <v>0.0</v>
      </c>
      <c r="AF516" s="849">
        <v>0.0</v>
      </c>
      <c r="AG516" s="849">
        <v>0.0</v>
      </c>
      <c r="AH516" s="849">
        <v>0.0</v>
      </c>
      <c r="AI516" s="849">
        <v>0.0</v>
      </c>
      <c r="AJ516" s="794" t="str">
        <f t="shared" ref="AJ516:AK516" si="1029">C516</f>
        <v>G40400</v>
      </c>
      <c r="AK516" s="794" t="str">
        <f t="shared" si="1029"/>
        <v>VENTES / SPARK</v>
      </c>
      <c r="AL516" s="794">
        <f t="array" ref="AL516">IFERROR(INDEX(G516:R516,1,MATCH(Parametres!$B$3,G$1:R$1,0)-1)*IF(OR(F516="L",F516="S",F516="I"),-1,1),"")</f>
        <v>0</v>
      </c>
      <c r="AM516" s="794">
        <f t="shared" si="4"/>
        <v>0</v>
      </c>
      <c r="AN516" s="794">
        <f t="array" ref="AN516">INDEX(G516:R516,1,MATCH(Parametres!$B$3,G$1:R$1,0))*IF(OR(F516="L",F516="S",F516="I"),-1,1)</f>
        <v>0</v>
      </c>
      <c r="AO516" s="853" t="str">
        <f>+VLOOKUP($AJ516,Data_Validation!$A:$D,1,0)</f>
        <v>G40400</v>
      </c>
      <c r="AP516" s="853" t="str">
        <f>+VLOOKUP($AJ516,Data_Validation!$A:$D,3,0)</f>
        <v>Véhicules neufs</v>
      </c>
      <c r="AQ516" s="853" t="str">
        <f>+VLOOKUP($AJ516,Data_Validation!$A:$D,4,0)</f>
        <v>Autos détail</v>
      </c>
      <c r="AR516" s="853" t="s">
        <v>728</v>
      </c>
      <c r="AS516" s="853" t="str">
        <f>+VLOOKUP($AJ516,Data_Validation!$A:$E,5,0)</f>
        <v>Oui</v>
      </c>
      <c r="AT516" s="794" t="str">
        <f t="shared" ref="AT516:AU516" si="1030">C516</f>
        <v>G40400</v>
      </c>
      <c r="AU516" s="854" t="str">
        <f t="shared" si="1030"/>
        <v>VENTES / SPARK</v>
      </c>
      <c r="AV516" s="794">
        <f t="array" ref="AV516">IFERROR(INDEX(V516:AG516,1,MATCH(Parametres!$B$3,V$1:AG$1,0)-1)*IF(OR(C516="L",C516="S",C516="I"),-1,1),"")</f>
        <v>0</v>
      </c>
      <c r="AW516" s="794">
        <f t="shared" si="6"/>
        <v>0</v>
      </c>
      <c r="AX516" s="794">
        <f t="array" ref="AX516">INDEX(V516:AG516,1,MATCH(Parametres!$B$3,V$1:AG$1,0))*IF(OR(C516="L",C516="S",C516="I"),-1,1)</f>
        <v>0</v>
      </c>
      <c r="AY516" s="853" t="s">
        <v>772</v>
      </c>
      <c r="AZ516" s="853" t="str">
        <f>+VLOOKUP($AJ516,Data_Validation!$A:$E,5,0)</f>
        <v>Oui</v>
      </c>
    </row>
    <row r="517" ht="15.0" customHeight="1">
      <c r="A517" s="849" t="s">
        <v>1239</v>
      </c>
      <c r="B517" s="849">
        <v>2025.0</v>
      </c>
      <c r="C517" s="849" t="s">
        <v>2447</v>
      </c>
      <c r="D517" s="849" t="s">
        <v>2448</v>
      </c>
      <c r="E517" s="849" t="s">
        <v>2426</v>
      </c>
      <c r="F517" s="849" t="s">
        <v>2426</v>
      </c>
      <c r="G517" s="849">
        <v>0.0</v>
      </c>
      <c r="H517" s="849">
        <v>91238.0</v>
      </c>
      <c r="I517" s="849">
        <v>91238.0</v>
      </c>
      <c r="J517" s="849">
        <v>249031.0</v>
      </c>
      <c r="K517" s="849">
        <v>353031.0</v>
      </c>
      <c r="L517" s="849">
        <v>456564.0</v>
      </c>
      <c r="M517" s="849">
        <v>456564.0</v>
      </c>
      <c r="N517" s="849">
        <v>658465.0</v>
      </c>
      <c r="O517" s="849">
        <v>658465.0</v>
      </c>
      <c r="P517" s="849">
        <v>943086.0</v>
      </c>
      <c r="Q517" s="849">
        <v>943086.0</v>
      </c>
      <c r="R517" s="849">
        <v>943086.0</v>
      </c>
      <c r="S517" s="849">
        <v>85735.09</v>
      </c>
      <c r="T517" s="849">
        <v>85735.09</v>
      </c>
      <c r="U517" s="849">
        <v>0.0</v>
      </c>
      <c r="V517" s="849">
        <v>0.0</v>
      </c>
      <c r="W517" s="849">
        <v>1.0</v>
      </c>
      <c r="X517" s="849">
        <v>1.0</v>
      </c>
      <c r="Y517" s="849">
        <v>2.0</v>
      </c>
      <c r="Z517" s="849">
        <v>3.0</v>
      </c>
      <c r="AA517" s="849">
        <v>4.0</v>
      </c>
      <c r="AB517" s="849">
        <v>4.0</v>
      </c>
      <c r="AC517" s="849">
        <v>6.0</v>
      </c>
      <c r="AD517" s="849">
        <v>6.0</v>
      </c>
      <c r="AE517" s="849">
        <v>8.0</v>
      </c>
      <c r="AF517" s="849">
        <v>8.0</v>
      </c>
      <c r="AG517" s="849">
        <v>8.0</v>
      </c>
      <c r="AH517" s="849">
        <v>1.0</v>
      </c>
      <c r="AI517" s="849">
        <v>1.0</v>
      </c>
      <c r="AJ517" s="794" t="str">
        <f t="shared" ref="AJ517:AK517" si="1031">C517</f>
        <v>G40500</v>
      </c>
      <c r="AK517" s="794" t="str">
        <f t="shared" si="1031"/>
        <v>VTES-CORVETTE</v>
      </c>
      <c r="AL517" s="794">
        <f t="array" ref="AL517">IFERROR(INDEX(G517:R517,1,MATCH(Parametres!$B$3,G$1:R$1,0)-1)*IF(OR(F517="L",F517="S",F517="I"),-1,1),"")</f>
        <v>-658465</v>
      </c>
      <c r="AM517" s="794">
        <f t="shared" si="4"/>
        <v>0</v>
      </c>
      <c r="AN517" s="794">
        <f t="array" ref="AN517">INDEX(G517:R517,1,MATCH(Parametres!$B$3,G$1:R$1,0))*IF(OR(F517="L",F517="S",F517="I"),-1,1)</f>
        <v>-658465</v>
      </c>
      <c r="AO517" s="853" t="str">
        <f>+VLOOKUP($AJ517,Data_Validation!$A:$D,1,0)</f>
        <v>G40500</v>
      </c>
      <c r="AP517" s="853" t="str">
        <f>+VLOOKUP($AJ517,Data_Validation!$A:$D,3,0)</f>
        <v>Véhicules neufs</v>
      </c>
      <c r="AQ517" s="853" t="str">
        <f>+VLOOKUP($AJ517,Data_Validation!$A:$D,4,0)</f>
        <v>Autos détail</v>
      </c>
      <c r="AR517" s="853" t="s">
        <v>728</v>
      </c>
      <c r="AS517" s="853" t="str">
        <f>+VLOOKUP($AJ517,Data_Validation!$A:$E,5,0)</f>
        <v>Oui</v>
      </c>
      <c r="AT517" s="794" t="str">
        <f t="shared" ref="AT517:AU517" si="1032">C517</f>
        <v>G40500</v>
      </c>
      <c r="AU517" s="854" t="str">
        <f t="shared" si="1032"/>
        <v>VTES-CORVETTE</v>
      </c>
      <c r="AV517" s="794">
        <f t="array" ref="AV517">IFERROR(INDEX(V517:AG517,1,MATCH(Parametres!$B$3,V$1:AG$1,0)-1)*IF(OR(C517="L",C517="S",C517="I"),-1,1),"")</f>
        <v>6</v>
      </c>
      <c r="AW517" s="794">
        <f t="shared" si="6"/>
        <v>0</v>
      </c>
      <c r="AX517" s="794">
        <f t="array" ref="AX517">INDEX(V517:AG517,1,MATCH(Parametres!$B$3,V$1:AG$1,0))*IF(OR(C517="L",C517="S",C517="I"),-1,1)</f>
        <v>6</v>
      </c>
      <c r="AY517" s="853" t="s">
        <v>772</v>
      </c>
      <c r="AZ517" s="853" t="str">
        <f>+VLOOKUP($AJ517,Data_Validation!$A:$E,5,0)</f>
        <v>Oui</v>
      </c>
    </row>
    <row r="518" ht="15.0" customHeight="1">
      <c r="A518" s="849" t="s">
        <v>1239</v>
      </c>
      <c r="B518" s="849">
        <v>2025.0</v>
      </c>
      <c r="C518" s="849" t="s">
        <v>2449</v>
      </c>
      <c r="D518" s="849" t="s">
        <v>2450</v>
      </c>
      <c r="E518" s="849" t="s">
        <v>2426</v>
      </c>
      <c r="F518" s="849" t="s">
        <v>2426</v>
      </c>
      <c r="G518" s="849">
        <v>0.0</v>
      </c>
      <c r="H518" s="849">
        <v>0.0</v>
      </c>
      <c r="I518" s="849">
        <v>0.0</v>
      </c>
      <c r="J518" s="849">
        <v>0.0</v>
      </c>
      <c r="K518" s="849">
        <v>0.0</v>
      </c>
      <c r="L518" s="849">
        <v>0.0</v>
      </c>
      <c r="M518" s="849">
        <v>0.0</v>
      </c>
      <c r="N518" s="849">
        <v>0.0</v>
      </c>
      <c r="O518" s="849">
        <v>0.0</v>
      </c>
      <c r="P518" s="849">
        <v>0.0</v>
      </c>
      <c r="Q518" s="849">
        <v>0.0</v>
      </c>
      <c r="R518" s="849">
        <v>0.0</v>
      </c>
      <c r="S518" s="849">
        <v>0.0</v>
      </c>
      <c r="T518" s="849">
        <v>0.0</v>
      </c>
      <c r="U518" s="849">
        <v>0.0</v>
      </c>
      <c r="V518" s="849">
        <v>0.0</v>
      </c>
      <c r="W518" s="849">
        <v>0.0</v>
      </c>
      <c r="X518" s="849">
        <v>0.0</v>
      </c>
      <c r="Y518" s="849">
        <v>0.0</v>
      </c>
      <c r="Z518" s="849">
        <v>0.0</v>
      </c>
      <c r="AA518" s="849">
        <v>0.0</v>
      </c>
      <c r="AB518" s="849">
        <v>0.0</v>
      </c>
      <c r="AC518" s="849">
        <v>0.0</v>
      </c>
      <c r="AD518" s="849">
        <v>0.0</v>
      </c>
      <c r="AE518" s="849">
        <v>0.0</v>
      </c>
      <c r="AF518" s="849">
        <v>0.0</v>
      </c>
      <c r="AG518" s="849">
        <v>0.0</v>
      </c>
      <c r="AH518" s="849">
        <v>0.0</v>
      </c>
      <c r="AI518" s="849">
        <v>0.0</v>
      </c>
      <c r="AJ518" s="794" t="str">
        <f t="shared" ref="AJ518:AK518" si="1033">C518</f>
        <v>G40600</v>
      </c>
      <c r="AK518" s="794" t="str">
        <f t="shared" si="1033"/>
        <v>VTES-AVEO</v>
      </c>
      <c r="AL518" s="794">
        <f t="array" ref="AL518">IFERROR(INDEX(G518:R518,1,MATCH(Parametres!$B$3,G$1:R$1,0)-1)*IF(OR(F518="L",F518="S",F518="I"),-1,1),"")</f>
        <v>0</v>
      </c>
      <c r="AM518" s="794">
        <f t="shared" si="4"/>
        <v>0</v>
      </c>
      <c r="AN518" s="794">
        <f t="array" ref="AN518">INDEX(G518:R518,1,MATCH(Parametres!$B$3,G$1:R$1,0))*IF(OR(F518="L",F518="S",F518="I"),-1,1)</f>
        <v>0</v>
      </c>
      <c r="AO518" s="853" t="str">
        <f>+VLOOKUP($AJ518,Data_Validation!$A:$D,1,0)</f>
        <v>#N/A</v>
      </c>
      <c r="AP518" s="853" t="str">
        <f>+VLOOKUP($AJ518,Data_Validation!$A:$D,3,0)</f>
        <v>#N/A</v>
      </c>
      <c r="AQ518" s="853" t="str">
        <f>+VLOOKUP($AJ518,Data_Validation!$A:$D,4,0)</f>
        <v>#N/A</v>
      </c>
      <c r="AR518" s="853" t="s">
        <v>728</v>
      </c>
      <c r="AS518" s="853" t="str">
        <f>+VLOOKUP($AJ518,Data_Validation!$A:$E,5,0)</f>
        <v>#N/A</v>
      </c>
      <c r="AT518" s="794" t="str">
        <f t="shared" ref="AT518:AU518" si="1034">C518</f>
        <v>G40600</v>
      </c>
      <c r="AU518" s="854" t="str">
        <f t="shared" si="1034"/>
        <v>VTES-AVEO</v>
      </c>
      <c r="AV518" s="794">
        <f t="array" ref="AV518">IFERROR(INDEX(V518:AG518,1,MATCH(Parametres!$B$3,V$1:AG$1,0)-1)*IF(OR(C518="L",C518="S",C518="I"),-1,1),"")</f>
        <v>0</v>
      </c>
      <c r="AW518" s="794">
        <f t="shared" si="6"/>
        <v>0</v>
      </c>
      <c r="AX518" s="794">
        <f t="array" ref="AX518">INDEX(V518:AG518,1,MATCH(Parametres!$B$3,V$1:AG$1,0))*IF(OR(C518="L",C518="S",C518="I"),-1,1)</f>
        <v>0</v>
      </c>
      <c r="AY518" s="853" t="s">
        <v>772</v>
      </c>
      <c r="AZ518" s="853" t="str">
        <f>+VLOOKUP($AJ518,Data_Validation!$A:$E,5,0)</f>
        <v>#N/A</v>
      </c>
    </row>
    <row r="519" ht="15.0" customHeight="1">
      <c r="A519" s="849" t="s">
        <v>1239</v>
      </c>
      <c r="B519" s="849">
        <v>2025.0</v>
      </c>
      <c r="C519" s="849" t="s">
        <v>2451</v>
      </c>
      <c r="D519" s="849" t="s">
        <v>2452</v>
      </c>
      <c r="E519" s="849" t="s">
        <v>2426</v>
      </c>
      <c r="F519" s="849" t="s">
        <v>2426</v>
      </c>
      <c r="G519" s="849">
        <v>0.0</v>
      </c>
      <c r="H519" s="849">
        <v>0.0</v>
      </c>
      <c r="I519" s="849">
        <v>0.0</v>
      </c>
      <c r="J519" s="849">
        <v>0.0</v>
      </c>
      <c r="K519" s="849">
        <v>0.0</v>
      </c>
      <c r="L519" s="849">
        <v>0.0</v>
      </c>
      <c r="M519" s="849">
        <v>0.0</v>
      </c>
      <c r="N519" s="849">
        <v>0.0</v>
      </c>
      <c r="O519" s="849">
        <v>0.0</v>
      </c>
      <c r="P519" s="849">
        <v>0.0</v>
      </c>
      <c r="Q519" s="849">
        <v>0.0</v>
      </c>
      <c r="R519" s="849">
        <v>0.0</v>
      </c>
      <c r="S519" s="849">
        <v>0.0</v>
      </c>
      <c r="T519" s="849">
        <v>0.0</v>
      </c>
      <c r="U519" s="849">
        <v>0.0</v>
      </c>
      <c r="V519" s="849">
        <v>0.0</v>
      </c>
      <c r="W519" s="849">
        <v>0.0</v>
      </c>
      <c r="X519" s="849">
        <v>0.0</v>
      </c>
      <c r="Y519" s="849">
        <v>0.0</v>
      </c>
      <c r="Z519" s="849">
        <v>0.0</v>
      </c>
      <c r="AA519" s="849">
        <v>0.0</v>
      </c>
      <c r="AB519" s="849">
        <v>0.0</v>
      </c>
      <c r="AC519" s="849">
        <v>0.0</v>
      </c>
      <c r="AD519" s="849">
        <v>0.0</v>
      </c>
      <c r="AE519" s="849">
        <v>0.0</v>
      </c>
      <c r="AF519" s="849">
        <v>0.0</v>
      </c>
      <c r="AG519" s="849">
        <v>0.0</v>
      </c>
      <c r="AH519" s="849">
        <v>0.0</v>
      </c>
      <c r="AI519" s="849">
        <v>0.0</v>
      </c>
      <c r="AJ519" s="794" t="str">
        <f t="shared" ref="AJ519:AK519" si="1035">C519</f>
        <v>G40620</v>
      </c>
      <c r="AK519" s="794" t="str">
        <f t="shared" si="1035"/>
        <v>VTES-AVEO            -LOC</v>
      </c>
      <c r="AL519" s="794">
        <f t="array" ref="AL519">IFERROR(INDEX(G519:R519,1,MATCH(Parametres!$B$3,G$1:R$1,0)-1)*IF(OR(F519="L",F519="S",F519="I"),-1,1),"")</f>
        <v>0</v>
      </c>
      <c r="AM519" s="794">
        <f t="shared" si="4"/>
        <v>0</v>
      </c>
      <c r="AN519" s="794">
        <f t="array" ref="AN519">INDEX(G519:R519,1,MATCH(Parametres!$B$3,G$1:R$1,0))*IF(OR(F519="L",F519="S",F519="I"),-1,1)</f>
        <v>0</v>
      </c>
      <c r="AO519" s="853" t="str">
        <f>+VLOOKUP($AJ519,Data_Validation!$A:$D,1,0)</f>
        <v>#N/A</v>
      </c>
      <c r="AP519" s="853" t="str">
        <f>+VLOOKUP($AJ519,Data_Validation!$A:$D,3,0)</f>
        <v>#N/A</v>
      </c>
      <c r="AQ519" s="853" t="str">
        <f>+VLOOKUP($AJ519,Data_Validation!$A:$D,4,0)</f>
        <v>#N/A</v>
      </c>
      <c r="AR519" s="853" t="s">
        <v>728</v>
      </c>
      <c r="AS519" s="853" t="str">
        <f>+VLOOKUP($AJ519,Data_Validation!$A:$E,5,0)</f>
        <v>#N/A</v>
      </c>
      <c r="AT519" s="794" t="str">
        <f t="shared" ref="AT519:AU519" si="1036">C519</f>
        <v>G40620</v>
      </c>
      <c r="AU519" s="854" t="str">
        <f t="shared" si="1036"/>
        <v>VTES-AVEO            -LOC</v>
      </c>
      <c r="AV519" s="794">
        <f t="array" ref="AV519">IFERROR(INDEX(V519:AG519,1,MATCH(Parametres!$B$3,V$1:AG$1,0)-1)*IF(OR(C519="L",C519="S",C519="I"),-1,1),"")</f>
        <v>0</v>
      </c>
      <c r="AW519" s="794">
        <f t="shared" si="6"/>
        <v>0</v>
      </c>
      <c r="AX519" s="794">
        <f t="array" ref="AX519">INDEX(V519:AG519,1,MATCH(Parametres!$B$3,V$1:AG$1,0))*IF(OR(C519="L",C519="S",C519="I"),-1,1)</f>
        <v>0</v>
      </c>
      <c r="AY519" s="853" t="s">
        <v>772</v>
      </c>
      <c r="AZ519" s="853" t="str">
        <f>+VLOOKUP($AJ519,Data_Validation!$A:$E,5,0)</f>
        <v>#N/A</v>
      </c>
    </row>
    <row r="520" ht="15.0" customHeight="1">
      <c r="A520" s="849" t="s">
        <v>1239</v>
      </c>
      <c r="B520" s="849">
        <v>2025.0</v>
      </c>
      <c r="C520" s="849" t="s">
        <v>2453</v>
      </c>
      <c r="D520" s="849" t="s">
        <v>2454</v>
      </c>
      <c r="E520" s="849" t="s">
        <v>2426</v>
      </c>
      <c r="F520" s="849" t="s">
        <v>2426</v>
      </c>
      <c r="G520" s="849">
        <v>0.0</v>
      </c>
      <c r="H520" s="849">
        <v>0.0</v>
      </c>
      <c r="I520" s="849">
        <v>0.0</v>
      </c>
      <c r="J520" s="849">
        <v>0.0</v>
      </c>
      <c r="K520" s="849">
        <v>0.0</v>
      </c>
      <c r="L520" s="849">
        <v>0.0</v>
      </c>
      <c r="M520" s="849">
        <v>0.0</v>
      </c>
      <c r="N520" s="849">
        <v>0.0</v>
      </c>
      <c r="O520" s="849">
        <v>0.0</v>
      </c>
      <c r="P520" s="849">
        <v>0.0</v>
      </c>
      <c r="Q520" s="849">
        <v>0.0</v>
      </c>
      <c r="R520" s="849">
        <v>0.0</v>
      </c>
      <c r="S520" s="849">
        <v>0.0</v>
      </c>
      <c r="T520" s="849">
        <v>0.0</v>
      </c>
      <c r="U520" s="849">
        <v>0.0</v>
      </c>
      <c r="V520" s="849">
        <v>0.0</v>
      </c>
      <c r="W520" s="849">
        <v>0.0</v>
      </c>
      <c r="X520" s="849">
        <v>0.0</v>
      </c>
      <c r="Y520" s="849">
        <v>0.0</v>
      </c>
      <c r="Z520" s="849">
        <v>0.0</v>
      </c>
      <c r="AA520" s="849">
        <v>0.0</v>
      </c>
      <c r="AB520" s="849">
        <v>0.0</v>
      </c>
      <c r="AC520" s="849">
        <v>0.0</v>
      </c>
      <c r="AD520" s="849">
        <v>0.0</v>
      </c>
      <c r="AE520" s="849">
        <v>0.0</v>
      </c>
      <c r="AF520" s="849">
        <v>0.0</v>
      </c>
      <c r="AG520" s="849">
        <v>0.0</v>
      </c>
      <c r="AH520" s="849">
        <v>0.0</v>
      </c>
      <c r="AI520" s="849">
        <v>0.0</v>
      </c>
      <c r="AJ520" s="794" t="str">
        <f t="shared" ref="AJ520:AK520" si="1037">C520</f>
        <v>G40700</v>
      </c>
      <c r="AK520" s="794" t="str">
        <f t="shared" si="1037"/>
        <v>VENTES BOLT - EV</v>
      </c>
      <c r="AL520" s="794">
        <f t="array" ref="AL520">IFERROR(INDEX(G520:R520,1,MATCH(Parametres!$B$3,G$1:R$1,0)-1)*IF(OR(F520="L",F520="S",F520="I"),-1,1),"")</f>
        <v>0</v>
      </c>
      <c r="AM520" s="794">
        <f t="shared" si="4"/>
        <v>0</v>
      </c>
      <c r="AN520" s="794">
        <f t="array" ref="AN520">INDEX(G520:R520,1,MATCH(Parametres!$B$3,G$1:R$1,0))*IF(OR(F520="L",F520="S",F520="I"),-1,1)</f>
        <v>0</v>
      </c>
      <c r="AO520" s="853" t="str">
        <f>+VLOOKUP($AJ520,Data_Validation!$A:$D,1,0)</f>
        <v>G40700</v>
      </c>
      <c r="AP520" s="853" t="str">
        <f>+VLOOKUP($AJ520,Data_Validation!$A:$D,3,0)</f>
        <v>Véhicules neufs</v>
      </c>
      <c r="AQ520" s="853" t="str">
        <f>+VLOOKUP($AJ520,Data_Validation!$A:$D,4,0)</f>
        <v>Camions electriques</v>
      </c>
      <c r="AR520" s="853" t="s">
        <v>728</v>
      </c>
      <c r="AS520" s="853" t="str">
        <f>+VLOOKUP($AJ520,Data_Validation!$A:$E,5,0)</f>
        <v>Oui</v>
      </c>
      <c r="AT520" s="794" t="str">
        <f t="shared" ref="AT520:AU520" si="1038">C520</f>
        <v>G40700</v>
      </c>
      <c r="AU520" s="854" t="str">
        <f t="shared" si="1038"/>
        <v>VENTES BOLT - EV</v>
      </c>
      <c r="AV520" s="794">
        <f t="array" ref="AV520">IFERROR(INDEX(V520:AG520,1,MATCH(Parametres!$B$3,V$1:AG$1,0)-1)*IF(OR(C520="L",C520="S",C520="I"),-1,1),"")</f>
        <v>0</v>
      </c>
      <c r="AW520" s="794">
        <f t="shared" si="6"/>
        <v>0</v>
      </c>
      <c r="AX520" s="794">
        <f t="array" ref="AX520">INDEX(V520:AG520,1,MATCH(Parametres!$B$3,V$1:AG$1,0))*IF(OR(C520="L",C520="S",C520="I"),-1,1)</f>
        <v>0</v>
      </c>
      <c r="AY520" s="853" t="s">
        <v>772</v>
      </c>
      <c r="AZ520" s="853" t="str">
        <f>+VLOOKUP($AJ520,Data_Validation!$A:$E,5,0)</f>
        <v>Oui</v>
      </c>
    </row>
    <row r="521" ht="15.0" customHeight="1">
      <c r="A521" s="849" t="s">
        <v>1239</v>
      </c>
      <c r="B521" s="849">
        <v>2025.0</v>
      </c>
      <c r="C521" s="849" t="s">
        <v>2455</v>
      </c>
      <c r="D521" s="849" t="s">
        <v>2456</v>
      </c>
      <c r="E521" s="849" t="s">
        <v>2426</v>
      </c>
      <c r="F521" s="849" t="s">
        <v>2426</v>
      </c>
      <c r="G521" s="849">
        <v>0.0</v>
      </c>
      <c r="H521" s="849">
        <v>0.0</v>
      </c>
      <c r="I521" s="849">
        <v>0.0</v>
      </c>
      <c r="J521" s="849">
        <v>0.0</v>
      </c>
      <c r="K521" s="849">
        <v>0.0</v>
      </c>
      <c r="L521" s="849">
        <v>0.0</v>
      </c>
      <c r="M521" s="849">
        <v>0.0</v>
      </c>
      <c r="N521" s="849">
        <v>0.0</v>
      </c>
      <c r="O521" s="849">
        <v>0.0</v>
      </c>
      <c r="P521" s="849">
        <v>0.0</v>
      </c>
      <c r="Q521" s="849">
        <v>0.0</v>
      </c>
      <c r="R521" s="849">
        <v>0.0</v>
      </c>
      <c r="S521" s="849">
        <v>0.0</v>
      </c>
      <c r="T521" s="849">
        <v>0.0</v>
      </c>
      <c r="U521" s="849">
        <v>0.0</v>
      </c>
      <c r="V521" s="849">
        <v>0.0</v>
      </c>
      <c r="W521" s="849">
        <v>0.0</v>
      </c>
      <c r="X521" s="849">
        <v>0.0</v>
      </c>
      <c r="Y521" s="849">
        <v>0.0</v>
      </c>
      <c r="Z521" s="849">
        <v>0.0</v>
      </c>
      <c r="AA521" s="849">
        <v>0.0</v>
      </c>
      <c r="AB521" s="849">
        <v>0.0</v>
      </c>
      <c r="AC521" s="849">
        <v>0.0</v>
      </c>
      <c r="AD521" s="849">
        <v>0.0</v>
      </c>
      <c r="AE521" s="849">
        <v>0.0</v>
      </c>
      <c r="AF521" s="849">
        <v>0.0</v>
      </c>
      <c r="AG521" s="849">
        <v>0.0</v>
      </c>
      <c r="AH521" s="849">
        <v>0.0</v>
      </c>
      <c r="AI521" s="849">
        <v>0.0</v>
      </c>
      <c r="AJ521" s="794" t="str">
        <f t="shared" ref="AJ521:AK521" si="1039">C521</f>
        <v>G40720</v>
      </c>
      <c r="AK521" s="794" t="str">
        <f t="shared" si="1039"/>
        <v>VTES-OPTRA           -LOC</v>
      </c>
      <c r="AL521" s="794">
        <f t="array" ref="AL521">IFERROR(INDEX(G521:R521,1,MATCH(Parametres!$B$3,G$1:R$1,0)-1)*IF(OR(F521="L",F521="S",F521="I"),-1,1),"")</f>
        <v>0</v>
      </c>
      <c r="AM521" s="794">
        <f t="shared" si="4"/>
        <v>0</v>
      </c>
      <c r="AN521" s="794">
        <f t="array" ref="AN521">INDEX(G521:R521,1,MATCH(Parametres!$B$3,G$1:R$1,0))*IF(OR(F521="L",F521="S",F521="I"),-1,1)</f>
        <v>0</v>
      </c>
      <c r="AO521" s="853" t="str">
        <f>+VLOOKUP($AJ521,Data_Validation!$A:$D,1,0)</f>
        <v>#N/A</v>
      </c>
      <c r="AP521" s="853" t="str">
        <f>+VLOOKUP($AJ521,Data_Validation!$A:$D,3,0)</f>
        <v>#N/A</v>
      </c>
      <c r="AQ521" s="853" t="str">
        <f>+VLOOKUP($AJ521,Data_Validation!$A:$D,4,0)</f>
        <v>#N/A</v>
      </c>
      <c r="AR521" s="853" t="s">
        <v>728</v>
      </c>
      <c r="AS521" s="853" t="str">
        <f>+VLOOKUP($AJ521,Data_Validation!$A:$E,5,0)</f>
        <v>#N/A</v>
      </c>
      <c r="AT521" s="794" t="str">
        <f t="shared" ref="AT521:AU521" si="1040">C521</f>
        <v>G40720</v>
      </c>
      <c r="AU521" s="854" t="str">
        <f t="shared" si="1040"/>
        <v>VTES-OPTRA           -LOC</v>
      </c>
      <c r="AV521" s="794">
        <f t="array" ref="AV521">IFERROR(INDEX(V521:AG521,1,MATCH(Parametres!$B$3,V$1:AG$1,0)-1)*IF(OR(C521="L",C521="S",C521="I"),-1,1),"")</f>
        <v>0</v>
      </c>
      <c r="AW521" s="794">
        <f t="shared" si="6"/>
        <v>0</v>
      </c>
      <c r="AX521" s="794">
        <f t="array" ref="AX521">INDEX(V521:AG521,1,MATCH(Parametres!$B$3,V$1:AG$1,0))*IF(OR(C521="L",C521="S",C521="I"),-1,1)</f>
        <v>0</v>
      </c>
      <c r="AY521" s="853" t="s">
        <v>772</v>
      </c>
      <c r="AZ521" s="853" t="str">
        <f>+VLOOKUP($AJ521,Data_Validation!$A:$E,5,0)</f>
        <v>#N/A</v>
      </c>
    </row>
    <row r="522" ht="15.0" customHeight="1">
      <c r="A522" s="849" t="s">
        <v>1239</v>
      </c>
      <c r="B522" s="849">
        <v>2025.0</v>
      </c>
      <c r="C522" s="849" t="s">
        <v>2457</v>
      </c>
      <c r="D522" s="849" t="s">
        <v>2458</v>
      </c>
      <c r="E522" s="849" t="s">
        <v>2426</v>
      </c>
      <c r="F522" s="849" t="s">
        <v>2426</v>
      </c>
      <c r="G522" s="849">
        <v>0.0</v>
      </c>
      <c r="H522" s="849">
        <v>0.0</v>
      </c>
      <c r="I522" s="849">
        <v>0.0</v>
      </c>
      <c r="J522" s="849">
        <v>0.0</v>
      </c>
      <c r="K522" s="849">
        <v>0.0</v>
      </c>
      <c r="L522" s="849">
        <v>0.0</v>
      </c>
      <c r="M522" s="849">
        <v>0.0</v>
      </c>
      <c r="N522" s="849">
        <v>0.0</v>
      </c>
      <c r="O522" s="849">
        <v>0.0</v>
      </c>
      <c r="P522" s="849">
        <v>0.0</v>
      </c>
      <c r="Q522" s="849">
        <v>0.0</v>
      </c>
      <c r="R522" s="849">
        <v>0.0</v>
      </c>
      <c r="S522" s="849">
        <v>0.0</v>
      </c>
      <c r="T522" s="849">
        <v>0.0</v>
      </c>
      <c r="U522" s="849">
        <v>0.0</v>
      </c>
      <c r="V522" s="849">
        <v>0.0</v>
      </c>
      <c r="W522" s="849">
        <v>0.0</v>
      </c>
      <c r="X522" s="849">
        <v>0.0</v>
      </c>
      <c r="Y522" s="849">
        <v>0.0</v>
      </c>
      <c r="Z522" s="849">
        <v>0.0</v>
      </c>
      <c r="AA522" s="849">
        <v>0.0</v>
      </c>
      <c r="AB522" s="849">
        <v>0.0</v>
      </c>
      <c r="AC522" s="849">
        <v>0.0</v>
      </c>
      <c r="AD522" s="849">
        <v>0.0</v>
      </c>
      <c r="AE522" s="849">
        <v>0.0</v>
      </c>
      <c r="AF522" s="849">
        <v>0.0</v>
      </c>
      <c r="AG522" s="849">
        <v>0.0</v>
      </c>
      <c r="AH522" s="849">
        <v>0.0</v>
      </c>
      <c r="AI522" s="849">
        <v>0.0</v>
      </c>
      <c r="AJ522" s="794" t="str">
        <f t="shared" ref="AJ522:AK522" si="1041">C522</f>
        <v>G40800</v>
      </c>
      <c r="AK522" s="794" t="str">
        <f t="shared" si="1041"/>
        <v>VTES-EPICA</v>
      </c>
      <c r="AL522" s="794">
        <f t="array" ref="AL522">IFERROR(INDEX(G522:R522,1,MATCH(Parametres!$B$3,G$1:R$1,0)-1)*IF(OR(F522="L",F522="S",F522="I"),-1,1),"")</f>
        <v>0</v>
      </c>
      <c r="AM522" s="794">
        <f t="shared" si="4"/>
        <v>0</v>
      </c>
      <c r="AN522" s="794">
        <f t="array" ref="AN522">INDEX(G522:R522,1,MATCH(Parametres!$B$3,G$1:R$1,0))*IF(OR(F522="L",F522="S",F522="I"),-1,1)</f>
        <v>0</v>
      </c>
      <c r="AO522" s="853" t="str">
        <f>+VLOOKUP($AJ522,Data_Validation!$A:$D,1,0)</f>
        <v>#N/A</v>
      </c>
      <c r="AP522" s="853" t="str">
        <f>+VLOOKUP($AJ522,Data_Validation!$A:$D,3,0)</f>
        <v>#N/A</v>
      </c>
      <c r="AQ522" s="853" t="str">
        <f>+VLOOKUP($AJ522,Data_Validation!$A:$D,4,0)</f>
        <v>#N/A</v>
      </c>
      <c r="AR522" s="853" t="s">
        <v>728</v>
      </c>
      <c r="AS522" s="853" t="str">
        <f>+VLOOKUP($AJ522,Data_Validation!$A:$E,5,0)</f>
        <v>#N/A</v>
      </c>
      <c r="AT522" s="794" t="str">
        <f t="shared" ref="AT522:AU522" si="1042">C522</f>
        <v>G40800</v>
      </c>
      <c r="AU522" s="854" t="str">
        <f t="shared" si="1042"/>
        <v>VTES-EPICA</v>
      </c>
      <c r="AV522" s="794">
        <f t="array" ref="AV522">IFERROR(INDEX(V522:AG522,1,MATCH(Parametres!$B$3,V$1:AG$1,0)-1)*IF(OR(C522="L",C522="S",C522="I"),-1,1),"")</f>
        <v>0</v>
      </c>
      <c r="AW522" s="794">
        <f t="shared" si="6"/>
        <v>0</v>
      </c>
      <c r="AX522" s="794">
        <f t="array" ref="AX522">INDEX(V522:AG522,1,MATCH(Parametres!$B$3,V$1:AG$1,0))*IF(OR(C522="L",C522="S",C522="I"),-1,1)</f>
        <v>0</v>
      </c>
      <c r="AY522" s="853" t="s">
        <v>772</v>
      </c>
      <c r="AZ522" s="853" t="str">
        <f>+VLOOKUP($AJ522,Data_Validation!$A:$E,5,0)</f>
        <v>#N/A</v>
      </c>
    </row>
    <row r="523" ht="15.0" customHeight="1">
      <c r="A523" s="849" t="s">
        <v>1239</v>
      </c>
      <c r="B523" s="849">
        <v>2025.0</v>
      </c>
      <c r="C523" s="849" t="s">
        <v>2459</v>
      </c>
      <c r="D523" s="849" t="s">
        <v>2460</v>
      </c>
      <c r="E523" s="849" t="s">
        <v>2426</v>
      </c>
      <c r="F523" s="849" t="s">
        <v>2426</v>
      </c>
      <c r="G523" s="849">
        <v>0.0</v>
      </c>
      <c r="H523" s="849">
        <v>0.0</v>
      </c>
      <c r="I523" s="849">
        <v>0.0</v>
      </c>
      <c r="J523" s="849">
        <v>0.0</v>
      </c>
      <c r="K523" s="849">
        <v>0.0</v>
      </c>
      <c r="L523" s="849">
        <v>0.0</v>
      </c>
      <c r="M523" s="849">
        <v>0.0</v>
      </c>
      <c r="N523" s="849">
        <v>0.0</v>
      </c>
      <c r="O523" s="849">
        <v>0.0</v>
      </c>
      <c r="P523" s="849">
        <v>0.0</v>
      </c>
      <c r="Q523" s="849">
        <v>0.0</v>
      </c>
      <c r="R523" s="849">
        <v>0.0</v>
      </c>
      <c r="S523" s="849">
        <v>0.0</v>
      </c>
      <c r="T523" s="849">
        <v>0.0</v>
      </c>
      <c r="U523" s="849">
        <v>0.0</v>
      </c>
      <c r="V523" s="849">
        <v>0.0</v>
      </c>
      <c r="W523" s="849">
        <v>0.0</v>
      </c>
      <c r="X523" s="849">
        <v>0.0</v>
      </c>
      <c r="Y523" s="849">
        <v>0.0</v>
      </c>
      <c r="Z523" s="849">
        <v>0.0</v>
      </c>
      <c r="AA523" s="849">
        <v>0.0</v>
      </c>
      <c r="AB523" s="849">
        <v>0.0</v>
      </c>
      <c r="AC523" s="849">
        <v>0.0</v>
      </c>
      <c r="AD523" s="849">
        <v>0.0</v>
      </c>
      <c r="AE523" s="849">
        <v>0.0</v>
      </c>
      <c r="AF523" s="849">
        <v>0.0</v>
      </c>
      <c r="AG523" s="849">
        <v>0.0</v>
      </c>
      <c r="AH523" s="849">
        <v>0.0</v>
      </c>
      <c r="AI523" s="849">
        <v>0.0</v>
      </c>
      <c r="AJ523" s="794" t="str">
        <f t="shared" ref="AJ523:AK523" si="1043">C523</f>
        <v>G40820</v>
      </c>
      <c r="AK523" s="794" t="str">
        <f t="shared" si="1043"/>
        <v>VTES-EPICA           -LOC</v>
      </c>
      <c r="AL523" s="794">
        <f t="array" ref="AL523">IFERROR(INDEX(G523:R523,1,MATCH(Parametres!$B$3,G$1:R$1,0)-1)*IF(OR(F523="L",F523="S",F523="I"),-1,1),"")</f>
        <v>0</v>
      </c>
      <c r="AM523" s="794">
        <f t="shared" si="4"/>
        <v>0</v>
      </c>
      <c r="AN523" s="794">
        <f t="array" ref="AN523">INDEX(G523:R523,1,MATCH(Parametres!$B$3,G$1:R$1,0))*IF(OR(F523="L",F523="S",F523="I"),-1,1)</f>
        <v>0</v>
      </c>
      <c r="AO523" s="853" t="str">
        <f>+VLOOKUP($AJ523,Data_Validation!$A:$D,1,0)</f>
        <v>#N/A</v>
      </c>
      <c r="AP523" s="853" t="str">
        <f>+VLOOKUP($AJ523,Data_Validation!$A:$D,3,0)</f>
        <v>#N/A</v>
      </c>
      <c r="AQ523" s="853" t="str">
        <f>+VLOOKUP($AJ523,Data_Validation!$A:$D,4,0)</f>
        <v>#N/A</v>
      </c>
      <c r="AR523" s="853" t="s">
        <v>728</v>
      </c>
      <c r="AS523" s="853" t="str">
        <f>+VLOOKUP($AJ523,Data_Validation!$A:$E,5,0)</f>
        <v>#N/A</v>
      </c>
      <c r="AT523" s="794" t="str">
        <f t="shared" ref="AT523:AU523" si="1044">C523</f>
        <v>G40820</v>
      </c>
      <c r="AU523" s="854" t="str">
        <f t="shared" si="1044"/>
        <v>VTES-EPICA           -LOC</v>
      </c>
      <c r="AV523" s="794">
        <f t="array" ref="AV523">IFERROR(INDEX(V523:AG523,1,MATCH(Parametres!$B$3,V$1:AG$1,0)-1)*IF(OR(C523="L",C523="S",C523="I"),-1,1),"")</f>
        <v>0</v>
      </c>
      <c r="AW523" s="794">
        <f t="shared" si="6"/>
        <v>0</v>
      </c>
      <c r="AX523" s="794">
        <f t="array" ref="AX523">INDEX(V523:AG523,1,MATCH(Parametres!$B$3,V$1:AG$1,0))*IF(OR(C523="L",C523="S",C523="I"),-1,1)</f>
        <v>0</v>
      </c>
      <c r="AY523" s="853" t="s">
        <v>772</v>
      </c>
      <c r="AZ523" s="853" t="str">
        <f>+VLOOKUP($AJ523,Data_Validation!$A:$E,5,0)</f>
        <v>#N/A</v>
      </c>
    </row>
    <row r="524" ht="15.0" customHeight="1">
      <c r="A524" s="849" t="s">
        <v>1239</v>
      </c>
      <c r="B524" s="849">
        <v>2025.0</v>
      </c>
      <c r="C524" s="849" t="s">
        <v>2461</v>
      </c>
      <c r="D524" s="849" t="s">
        <v>2462</v>
      </c>
      <c r="E524" s="849" t="s">
        <v>2426</v>
      </c>
      <c r="F524" s="849" t="s">
        <v>2426</v>
      </c>
      <c r="G524" s="849">
        <v>0.0</v>
      </c>
      <c r="H524" s="849">
        <v>0.0</v>
      </c>
      <c r="I524" s="849">
        <v>0.0</v>
      </c>
      <c r="J524" s="849">
        <v>0.0</v>
      </c>
      <c r="K524" s="849">
        <v>0.0</v>
      </c>
      <c r="L524" s="849">
        <v>0.0</v>
      </c>
      <c r="M524" s="849">
        <v>0.0</v>
      </c>
      <c r="N524" s="849">
        <v>0.0</v>
      </c>
      <c r="O524" s="849">
        <v>0.0</v>
      </c>
      <c r="P524" s="849">
        <v>0.0</v>
      </c>
      <c r="Q524" s="849">
        <v>0.0</v>
      </c>
      <c r="R524" s="849">
        <v>0.0</v>
      </c>
      <c r="S524" s="849">
        <v>0.0</v>
      </c>
      <c r="T524" s="849">
        <v>0.0</v>
      </c>
      <c r="U524" s="849">
        <v>0.0</v>
      </c>
      <c r="V524" s="849">
        <v>0.0</v>
      </c>
      <c r="W524" s="849">
        <v>0.0</v>
      </c>
      <c r="X524" s="849">
        <v>0.0</v>
      </c>
      <c r="Y524" s="849">
        <v>0.0</v>
      </c>
      <c r="Z524" s="849">
        <v>0.0</v>
      </c>
      <c r="AA524" s="849">
        <v>0.0</v>
      </c>
      <c r="AB524" s="849">
        <v>0.0</v>
      </c>
      <c r="AC524" s="849">
        <v>0.0</v>
      </c>
      <c r="AD524" s="849">
        <v>0.0</v>
      </c>
      <c r="AE524" s="849">
        <v>0.0</v>
      </c>
      <c r="AF524" s="849">
        <v>0.0</v>
      </c>
      <c r="AG524" s="849">
        <v>0.0</v>
      </c>
      <c r="AH524" s="849">
        <v>0.0</v>
      </c>
      <c r="AI524" s="849">
        <v>0.0</v>
      </c>
      <c r="AJ524" s="794" t="str">
        <f t="shared" ref="AJ524:AK524" si="1045">C524</f>
        <v>G40900</v>
      </c>
      <c r="AK524" s="794" t="str">
        <f t="shared" si="1045"/>
        <v>VTES-COBALT</v>
      </c>
      <c r="AL524" s="794">
        <f t="array" ref="AL524">IFERROR(INDEX(G524:R524,1,MATCH(Parametres!$B$3,G$1:R$1,0)-1)*IF(OR(F524="L",F524="S",F524="I"),-1,1),"")</f>
        <v>0</v>
      </c>
      <c r="AM524" s="794">
        <f t="shared" si="4"/>
        <v>0</v>
      </c>
      <c r="AN524" s="794">
        <f t="array" ref="AN524">INDEX(G524:R524,1,MATCH(Parametres!$B$3,G$1:R$1,0))*IF(OR(F524="L",F524="S",F524="I"),-1,1)</f>
        <v>0</v>
      </c>
      <c r="AO524" s="853" t="str">
        <f>+VLOOKUP($AJ524,Data_Validation!$A:$D,1,0)</f>
        <v>G40900</v>
      </c>
      <c r="AP524" s="853" t="str">
        <f>+VLOOKUP($AJ524,Data_Validation!$A:$D,3,0)</f>
        <v>Véhicules neufs</v>
      </c>
      <c r="AQ524" s="853" t="str">
        <f>+VLOOKUP($AJ524,Data_Validation!$A:$D,4,0)</f>
        <v>Autos détail</v>
      </c>
      <c r="AR524" s="853" t="s">
        <v>728</v>
      </c>
      <c r="AS524" s="853" t="str">
        <f>+VLOOKUP($AJ524,Data_Validation!$A:$E,5,0)</f>
        <v>Oui</v>
      </c>
      <c r="AT524" s="794" t="str">
        <f t="shared" ref="AT524:AU524" si="1046">C524</f>
        <v>G40900</v>
      </c>
      <c r="AU524" s="854" t="str">
        <f t="shared" si="1046"/>
        <v>VTES-COBALT</v>
      </c>
      <c r="AV524" s="794">
        <f t="array" ref="AV524">IFERROR(INDEX(V524:AG524,1,MATCH(Parametres!$B$3,V$1:AG$1,0)-1)*IF(OR(C524="L",C524="S",C524="I"),-1,1),"")</f>
        <v>0</v>
      </c>
      <c r="AW524" s="794">
        <f t="shared" si="6"/>
        <v>0</v>
      </c>
      <c r="AX524" s="794">
        <f t="array" ref="AX524">INDEX(V524:AG524,1,MATCH(Parametres!$B$3,V$1:AG$1,0))*IF(OR(C524="L",C524="S",C524="I"),-1,1)</f>
        <v>0</v>
      </c>
      <c r="AY524" s="853" t="s">
        <v>772</v>
      </c>
      <c r="AZ524" s="853" t="str">
        <f>+VLOOKUP($AJ524,Data_Validation!$A:$E,5,0)</f>
        <v>Oui</v>
      </c>
    </row>
    <row r="525" ht="15.0" customHeight="1">
      <c r="A525" s="849" t="s">
        <v>1239</v>
      </c>
      <c r="B525" s="849">
        <v>2025.0</v>
      </c>
      <c r="C525" s="849" t="s">
        <v>2463</v>
      </c>
      <c r="D525" s="849" t="s">
        <v>2464</v>
      </c>
      <c r="E525" s="849" t="s">
        <v>2426</v>
      </c>
      <c r="F525" s="849" t="s">
        <v>2426</v>
      </c>
      <c r="G525" s="849">
        <v>0.0</v>
      </c>
      <c r="H525" s="849">
        <v>0.0</v>
      </c>
      <c r="I525" s="849">
        <v>0.0</v>
      </c>
      <c r="J525" s="849">
        <v>0.0</v>
      </c>
      <c r="K525" s="849">
        <v>0.0</v>
      </c>
      <c r="L525" s="849">
        <v>0.0</v>
      </c>
      <c r="M525" s="849">
        <v>0.0</v>
      </c>
      <c r="N525" s="849">
        <v>0.0</v>
      </c>
      <c r="O525" s="849">
        <v>0.0</v>
      </c>
      <c r="P525" s="849">
        <v>0.0</v>
      </c>
      <c r="Q525" s="849">
        <v>0.0</v>
      </c>
      <c r="R525" s="849">
        <v>0.0</v>
      </c>
      <c r="S525" s="849">
        <v>0.0</v>
      </c>
      <c r="T525" s="849">
        <v>0.0</v>
      </c>
      <c r="U525" s="849">
        <v>0.0</v>
      </c>
      <c r="V525" s="849">
        <v>0.0</v>
      </c>
      <c r="W525" s="849">
        <v>0.0</v>
      </c>
      <c r="X525" s="849">
        <v>0.0</v>
      </c>
      <c r="Y525" s="849">
        <v>0.0</v>
      </c>
      <c r="Z525" s="849">
        <v>0.0</v>
      </c>
      <c r="AA525" s="849">
        <v>0.0</v>
      </c>
      <c r="AB525" s="849">
        <v>0.0</v>
      </c>
      <c r="AC525" s="849">
        <v>0.0</v>
      </c>
      <c r="AD525" s="849">
        <v>0.0</v>
      </c>
      <c r="AE525" s="849">
        <v>0.0</v>
      </c>
      <c r="AF525" s="849">
        <v>0.0</v>
      </c>
      <c r="AG525" s="849">
        <v>0.0</v>
      </c>
      <c r="AH525" s="849">
        <v>0.0</v>
      </c>
      <c r="AI525" s="849">
        <v>0.0</v>
      </c>
      <c r="AJ525" s="794" t="str">
        <f t="shared" ref="AJ525:AK525" si="1047">C525</f>
        <v>G40920</v>
      </c>
      <c r="AK525" s="794" t="str">
        <f t="shared" si="1047"/>
        <v>VTES-COBALT          -LOC</v>
      </c>
      <c r="AL525" s="794">
        <f t="array" ref="AL525">IFERROR(INDEX(G525:R525,1,MATCH(Parametres!$B$3,G$1:R$1,0)-1)*IF(OR(F525="L",F525="S",F525="I"),-1,1),"")</f>
        <v>0</v>
      </c>
      <c r="AM525" s="794">
        <f t="shared" si="4"/>
        <v>0</v>
      </c>
      <c r="AN525" s="794">
        <f t="array" ref="AN525">INDEX(G525:R525,1,MATCH(Parametres!$B$3,G$1:R$1,0))*IF(OR(F525="L",F525="S",F525="I"),-1,1)</f>
        <v>0</v>
      </c>
      <c r="AO525" s="853" t="str">
        <f>+VLOOKUP($AJ525,Data_Validation!$A:$D,1,0)</f>
        <v>#N/A</v>
      </c>
      <c r="AP525" s="853" t="str">
        <f>+VLOOKUP($AJ525,Data_Validation!$A:$D,3,0)</f>
        <v>#N/A</v>
      </c>
      <c r="AQ525" s="853" t="str">
        <f>+VLOOKUP($AJ525,Data_Validation!$A:$D,4,0)</f>
        <v>#N/A</v>
      </c>
      <c r="AR525" s="853" t="s">
        <v>728</v>
      </c>
      <c r="AS525" s="853" t="str">
        <f>+VLOOKUP($AJ525,Data_Validation!$A:$E,5,0)</f>
        <v>#N/A</v>
      </c>
      <c r="AT525" s="794" t="str">
        <f t="shared" ref="AT525:AU525" si="1048">C525</f>
        <v>G40920</v>
      </c>
      <c r="AU525" s="854" t="str">
        <f t="shared" si="1048"/>
        <v>VTES-COBALT          -LOC</v>
      </c>
      <c r="AV525" s="794">
        <f t="array" ref="AV525">IFERROR(INDEX(V525:AG525,1,MATCH(Parametres!$B$3,V$1:AG$1,0)-1)*IF(OR(C525="L",C525="S",C525="I"),-1,1),"")</f>
        <v>0</v>
      </c>
      <c r="AW525" s="794">
        <f t="shared" si="6"/>
        <v>0</v>
      </c>
      <c r="AX525" s="794">
        <f t="array" ref="AX525">INDEX(V525:AG525,1,MATCH(Parametres!$B$3,V$1:AG$1,0))*IF(OR(C525="L",C525="S",C525="I"),-1,1)</f>
        <v>0</v>
      </c>
      <c r="AY525" s="853" t="s">
        <v>772</v>
      </c>
      <c r="AZ525" s="853" t="str">
        <f>+VLOOKUP($AJ525,Data_Validation!$A:$E,5,0)</f>
        <v>#N/A</v>
      </c>
    </row>
    <row r="526" ht="15.0" customHeight="1">
      <c r="A526" s="849" t="s">
        <v>1239</v>
      </c>
      <c r="B526" s="849">
        <v>2025.0</v>
      </c>
      <c r="C526" s="849" t="s">
        <v>2465</v>
      </c>
      <c r="D526" s="849" t="s">
        <v>2466</v>
      </c>
      <c r="E526" s="849" t="s">
        <v>2426</v>
      </c>
      <c r="F526" s="849" t="s">
        <v>2426</v>
      </c>
      <c r="G526" s="849">
        <v>0.0</v>
      </c>
      <c r="H526" s="849">
        <v>0.0</v>
      </c>
      <c r="I526" s="849">
        <v>0.0</v>
      </c>
      <c r="J526" s="849">
        <v>0.0</v>
      </c>
      <c r="K526" s="849">
        <v>0.0</v>
      </c>
      <c r="L526" s="849">
        <v>0.0</v>
      </c>
      <c r="M526" s="849">
        <v>0.0</v>
      </c>
      <c r="N526" s="849">
        <v>0.0</v>
      </c>
      <c r="O526" s="849">
        <v>0.0</v>
      </c>
      <c r="P526" s="849">
        <v>0.0</v>
      </c>
      <c r="Q526" s="849">
        <v>0.0</v>
      </c>
      <c r="R526" s="849">
        <v>0.0</v>
      </c>
      <c r="S526" s="849">
        <v>0.0</v>
      </c>
      <c r="T526" s="849">
        <v>0.0</v>
      </c>
      <c r="U526" s="849">
        <v>0.0</v>
      </c>
      <c r="V526" s="849">
        <v>0.0</v>
      </c>
      <c r="W526" s="849">
        <v>0.0</v>
      </c>
      <c r="X526" s="849">
        <v>0.0</v>
      </c>
      <c r="Y526" s="849">
        <v>0.0</v>
      </c>
      <c r="Z526" s="849">
        <v>0.0</v>
      </c>
      <c r="AA526" s="849">
        <v>0.0</v>
      </c>
      <c r="AB526" s="849">
        <v>0.0</v>
      </c>
      <c r="AC526" s="849">
        <v>0.0</v>
      </c>
      <c r="AD526" s="849">
        <v>0.0</v>
      </c>
      <c r="AE526" s="849">
        <v>0.0</v>
      </c>
      <c r="AF526" s="849">
        <v>0.0</v>
      </c>
      <c r="AG526" s="849">
        <v>0.0</v>
      </c>
      <c r="AH526" s="849">
        <v>0.0</v>
      </c>
      <c r="AI526" s="849">
        <v>0.0</v>
      </c>
      <c r="AJ526" s="794" t="str">
        <f t="shared" ref="AJ526:AK526" si="1049">C526</f>
        <v>G41000</v>
      </c>
      <c r="AK526" s="794" t="str">
        <f t="shared" si="1049"/>
        <v>VENTES CAMARO</v>
      </c>
      <c r="AL526" s="794">
        <f t="array" ref="AL526">IFERROR(INDEX(G526:R526,1,MATCH(Parametres!$B$3,G$1:R$1,0)-1)*IF(OR(F526="L",F526="S",F526="I"),-1,1),"")</f>
        <v>0</v>
      </c>
      <c r="AM526" s="794">
        <f t="shared" si="4"/>
        <v>0</v>
      </c>
      <c r="AN526" s="794">
        <f t="array" ref="AN526">INDEX(G526:R526,1,MATCH(Parametres!$B$3,G$1:R$1,0))*IF(OR(F526="L",F526="S",F526="I"),-1,1)</f>
        <v>0</v>
      </c>
      <c r="AO526" s="853" t="str">
        <f>+VLOOKUP($AJ526,Data_Validation!$A:$D,1,0)</f>
        <v>G41000</v>
      </c>
      <c r="AP526" s="853" t="str">
        <f>+VLOOKUP($AJ526,Data_Validation!$A:$D,3,0)</f>
        <v>Véhicules neufs</v>
      </c>
      <c r="AQ526" s="853" t="str">
        <f>+VLOOKUP($AJ526,Data_Validation!$A:$D,4,0)</f>
        <v>Autos détail</v>
      </c>
      <c r="AR526" s="853" t="s">
        <v>728</v>
      </c>
      <c r="AS526" s="853" t="str">
        <f>+VLOOKUP($AJ526,Data_Validation!$A:$E,5,0)</f>
        <v>Oui</v>
      </c>
      <c r="AT526" s="794" t="str">
        <f t="shared" ref="AT526:AU526" si="1050">C526</f>
        <v>G41000</v>
      </c>
      <c r="AU526" s="854" t="str">
        <f t="shared" si="1050"/>
        <v>VENTES CAMARO</v>
      </c>
      <c r="AV526" s="794">
        <f t="array" ref="AV526">IFERROR(INDEX(V526:AG526,1,MATCH(Parametres!$B$3,V$1:AG$1,0)-1)*IF(OR(C526="L",C526="S",C526="I"),-1,1),"")</f>
        <v>0</v>
      </c>
      <c r="AW526" s="794">
        <f t="shared" si="6"/>
        <v>0</v>
      </c>
      <c r="AX526" s="794">
        <f t="array" ref="AX526">INDEX(V526:AG526,1,MATCH(Parametres!$B$3,V$1:AG$1,0))*IF(OR(C526="L",C526="S",C526="I"),-1,1)</f>
        <v>0</v>
      </c>
      <c r="AY526" s="853" t="s">
        <v>772</v>
      </c>
      <c r="AZ526" s="853" t="str">
        <f>+VLOOKUP($AJ526,Data_Validation!$A:$E,5,0)</f>
        <v>Oui</v>
      </c>
    </row>
    <row r="527" ht="15.0" customHeight="1">
      <c r="A527" s="849" t="s">
        <v>1239</v>
      </c>
      <c r="B527" s="849">
        <v>2025.0</v>
      </c>
      <c r="C527" s="849" t="s">
        <v>2467</v>
      </c>
      <c r="D527" s="849" t="s">
        <v>2468</v>
      </c>
      <c r="E527" s="849" t="s">
        <v>2426</v>
      </c>
      <c r="F527" s="849" t="s">
        <v>2426</v>
      </c>
      <c r="G527" s="849">
        <v>0.0</v>
      </c>
      <c r="H527" s="849">
        <v>0.0</v>
      </c>
      <c r="I527" s="849">
        <v>0.0</v>
      </c>
      <c r="J527" s="849">
        <v>0.0</v>
      </c>
      <c r="K527" s="849">
        <v>0.0</v>
      </c>
      <c r="L527" s="849">
        <v>0.0</v>
      </c>
      <c r="M527" s="849">
        <v>0.0</v>
      </c>
      <c r="N527" s="849">
        <v>0.0</v>
      </c>
      <c r="O527" s="849">
        <v>0.0</v>
      </c>
      <c r="P527" s="849">
        <v>0.0</v>
      </c>
      <c r="Q527" s="849">
        <v>0.0</v>
      </c>
      <c r="R527" s="849">
        <v>0.0</v>
      </c>
      <c r="S527" s="849">
        <v>0.0</v>
      </c>
      <c r="T527" s="849">
        <v>0.0</v>
      </c>
      <c r="U527" s="849">
        <v>0.0</v>
      </c>
      <c r="V527" s="849">
        <v>0.0</v>
      </c>
      <c r="W527" s="849">
        <v>0.0</v>
      </c>
      <c r="X527" s="849">
        <v>0.0</v>
      </c>
      <c r="Y527" s="849">
        <v>0.0</v>
      </c>
      <c r="Z527" s="849">
        <v>0.0</v>
      </c>
      <c r="AA527" s="849">
        <v>0.0</v>
      </c>
      <c r="AB527" s="849">
        <v>0.0</v>
      </c>
      <c r="AC527" s="849">
        <v>0.0</v>
      </c>
      <c r="AD527" s="849">
        <v>0.0</v>
      </c>
      <c r="AE527" s="849">
        <v>0.0</v>
      </c>
      <c r="AF527" s="849">
        <v>0.0</v>
      </c>
      <c r="AG527" s="849">
        <v>0.0</v>
      </c>
      <c r="AH527" s="849">
        <v>0.0</v>
      </c>
      <c r="AI527" s="849">
        <v>0.0</v>
      </c>
      <c r="AJ527" s="794" t="str">
        <f t="shared" ref="AJ527:AK527" si="1051">C527</f>
        <v>G41100</v>
      </c>
      <c r="AK527" s="794" t="str">
        <f t="shared" si="1051"/>
        <v>VENTES CRUZE</v>
      </c>
      <c r="AL527" s="794">
        <f t="array" ref="AL527">IFERROR(INDEX(G527:R527,1,MATCH(Parametres!$B$3,G$1:R$1,0)-1)*IF(OR(F527="L",F527="S",F527="I"),-1,1),"")</f>
        <v>0</v>
      </c>
      <c r="AM527" s="794">
        <f t="shared" si="4"/>
        <v>0</v>
      </c>
      <c r="AN527" s="794">
        <f t="array" ref="AN527">INDEX(G527:R527,1,MATCH(Parametres!$B$3,G$1:R$1,0))*IF(OR(F527="L",F527="S",F527="I"),-1,1)</f>
        <v>0</v>
      </c>
      <c r="AO527" s="853" t="str">
        <f>+VLOOKUP($AJ527,Data_Validation!$A:$D,1,0)</f>
        <v>G41100</v>
      </c>
      <c r="AP527" s="853" t="str">
        <f>+VLOOKUP($AJ527,Data_Validation!$A:$D,3,0)</f>
        <v>Véhicules neufs</v>
      </c>
      <c r="AQ527" s="853" t="str">
        <f>+VLOOKUP($AJ527,Data_Validation!$A:$D,4,0)</f>
        <v>Autos détail</v>
      </c>
      <c r="AR527" s="853" t="s">
        <v>728</v>
      </c>
      <c r="AS527" s="853" t="str">
        <f>+VLOOKUP($AJ527,Data_Validation!$A:$E,5,0)</f>
        <v>Oui</v>
      </c>
      <c r="AT527" s="794" t="str">
        <f t="shared" ref="AT527:AU527" si="1052">C527</f>
        <v>G41100</v>
      </c>
      <c r="AU527" s="854" t="str">
        <f t="shared" si="1052"/>
        <v>VENTES CRUZE</v>
      </c>
      <c r="AV527" s="794">
        <f t="array" ref="AV527">IFERROR(INDEX(V527:AG527,1,MATCH(Parametres!$B$3,V$1:AG$1,0)-1)*IF(OR(C527="L",C527="S",C527="I"),-1,1),"")</f>
        <v>0</v>
      </c>
      <c r="AW527" s="794">
        <f t="shared" si="6"/>
        <v>0</v>
      </c>
      <c r="AX527" s="794">
        <f t="array" ref="AX527">INDEX(V527:AG527,1,MATCH(Parametres!$B$3,V$1:AG$1,0))*IF(OR(C527="L",C527="S",C527="I"),-1,1)</f>
        <v>0</v>
      </c>
      <c r="AY527" s="853" t="s">
        <v>772</v>
      </c>
      <c r="AZ527" s="853" t="str">
        <f>+VLOOKUP($AJ527,Data_Validation!$A:$E,5,0)</f>
        <v>Oui</v>
      </c>
    </row>
    <row r="528" ht="15.0" customHeight="1">
      <c r="A528" s="849" t="s">
        <v>1239</v>
      </c>
      <c r="B528" s="849">
        <v>2025.0</v>
      </c>
      <c r="C528" s="849" t="s">
        <v>2469</v>
      </c>
      <c r="D528" s="849" t="s">
        <v>2470</v>
      </c>
      <c r="E528" s="849" t="s">
        <v>768</v>
      </c>
      <c r="F528" s="849" t="s">
        <v>2426</v>
      </c>
      <c r="G528" s="849">
        <v>0.0</v>
      </c>
      <c r="H528" s="849">
        <v>0.0</v>
      </c>
      <c r="I528" s="849">
        <v>0.0</v>
      </c>
      <c r="J528" s="849">
        <v>0.0</v>
      </c>
      <c r="K528" s="849">
        <v>0.0</v>
      </c>
      <c r="L528" s="849">
        <v>0.0</v>
      </c>
      <c r="M528" s="849">
        <v>0.0</v>
      </c>
      <c r="N528" s="849">
        <v>0.0</v>
      </c>
      <c r="O528" s="849">
        <v>0.0</v>
      </c>
      <c r="P528" s="849">
        <v>0.0</v>
      </c>
      <c r="Q528" s="849">
        <v>0.0</v>
      </c>
      <c r="R528" s="849">
        <v>0.0</v>
      </c>
      <c r="S528" s="849">
        <v>0.0</v>
      </c>
      <c r="T528" s="849">
        <v>0.0</v>
      </c>
      <c r="U528" s="849">
        <v>0.0</v>
      </c>
      <c r="V528" s="849">
        <v>0.0</v>
      </c>
      <c r="W528" s="849">
        <v>0.0</v>
      </c>
      <c r="X528" s="849">
        <v>0.0</v>
      </c>
      <c r="Y528" s="849">
        <v>0.0</v>
      </c>
      <c r="Z528" s="849">
        <v>0.0</v>
      </c>
      <c r="AA528" s="849">
        <v>0.0</v>
      </c>
      <c r="AB528" s="849">
        <v>0.0</v>
      </c>
      <c r="AC528" s="849">
        <v>0.0</v>
      </c>
      <c r="AD528" s="849">
        <v>0.0</v>
      </c>
      <c r="AE528" s="849">
        <v>0.0</v>
      </c>
      <c r="AF528" s="849">
        <v>0.0</v>
      </c>
      <c r="AG528" s="849">
        <v>0.0</v>
      </c>
      <c r="AH528" s="849">
        <v>0.0</v>
      </c>
      <c r="AI528" s="849">
        <v>0.0</v>
      </c>
      <c r="AJ528" s="794" t="str">
        <f t="shared" ref="AJ528:AK528" si="1053">C528</f>
        <v>G41600</v>
      </c>
      <c r="AK528" s="794" t="str">
        <f t="shared" si="1053"/>
        <v>*PROGRAMME GENERAL MOTORS</v>
      </c>
      <c r="AL528" s="794">
        <f t="array" ref="AL528">IFERROR(INDEX(G528:R528,1,MATCH(Parametres!$B$3,G$1:R$1,0)-1)*IF(OR(F528="L",F528="S",F528="I"),-1,1),"")</f>
        <v>0</v>
      </c>
      <c r="AM528" s="794">
        <f t="shared" si="4"/>
        <v>0</v>
      </c>
      <c r="AN528" s="794">
        <f t="array" ref="AN528">INDEX(G528:R528,1,MATCH(Parametres!$B$3,G$1:R$1,0))*IF(OR(F528="L",F528="S",F528="I"),-1,1)</f>
        <v>0</v>
      </c>
      <c r="AO528" s="853" t="str">
        <f>+VLOOKUP($AJ528,Data_Validation!$A:$D,1,0)</f>
        <v>G41600</v>
      </c>
      <c r="AP528" s="853" t="str">
        <f>+VLOOKUP($AJ528,Data_Validation!$A:$D,3,0)</f>
        <v/>
      </c>
      <c r="AQ528" s="853" t="str">
        <f>+VLOOKUP($AJ528,Data_Validation!$A:$D,4,0)</f>
        <v/>
      </c>
      <c r="AR528" s="853" t="s">
        <v>728</v>
      </c>
      <c r="AS528" s="853" t="str">
        <f>+VLOOKUP($AJ528,Data_Validation!$A:$E,5,0)</f>
        <v/>
      </c>
      <c r="AT528" s="794" t="str">
        <f t="shared" ref="AT528:AU528" si="1054">C528</f>
        <v>G41600</v>
      </c>
      <c r="AU528" s="854" t="str">
        <f t="shared" si="1054"/>
        <v>*PROGRAMME GENERAL MOTORS</v>
      </c>
      <c r="AV528" s="794">
        <f t="array" ref="AV528">IFERROR(INDEX(V528:AG528,1,MATCH(Parametres!$B$3,V$1:AG$1,0)-1)*IF(OR(C528="L",C528="S",C528="I"),-1,1),"")</f>
        <v>0</v>
      </c>
      <c r="AW528" s="794">
        <f t="shared" si="6"/>
        <v>0</v>
      </c>
      <c r="AX528" s="794">
        <f t="array" ref="AX528">INDEX(V528:AG528,1,MATCH(Parametres!$B$3,V$1:AG$1,0))*IF(OR(C528="L",C528="S",C528="I"),-1,1)</f>
        <v>0</v>
      </c>
      <c r="AY528" s="853" t="s">
        <v>772</v>
      </c>
      <c r="AZ528" s="853" t="str">
        <f>+VLOOKUP($AJ528,Data_Validation!$A:$E,5,0)</f>
        <v/>
      </c>
    </row>
    <row r="529" ht="15.0" customHeight="1">
      <c r="A529" s="849" t="s">
        <v>1239</v>
      </c>
      <c r="B529" s="849">
        <v>2025.0</v>
      </c>
      <c r="C529" s="849" t="s">
        <v>2471</v>
      </c>
      <c r="D529" s="849" t="s">
        <v>2472</v>
      </c>
      <c r="E529" s="849" t="s">
        <v>2426</v>
      </c>
      <c r="F529" s="849" t="s">
        <v>2426</v>
      </c>
      <c r="G529" s="849">
        <v>0.0</v>
      </c>
      <c r="H529" s="849">
        <v>0.0</v>
      </c>
      <c r="I529" s="849">
        <v>0.0</v>
      </c>
      <c r="J529" s="849">
        <v>0.0</v>
      </c>
      <c r="K529" s="849">
        <v>0.0</v>
      </c>
      <c r="L529" s="849">
        <v>0.0</v>
      </c>
      <c r="M529" s="849">
        <v>0.0</v>
      </c>
      <c r="N529" s="849">
        <v>0.0</v>
      </c>
      <c r="O529" s="849">
        <v>0.0</v>
      </c>
      <c r="P529" s="849">
        <v>0.0</v>
      </c>
      <c r="Q529" s="849">
        <v>0.0</v>
      </c>
      <c r="R529" s="849">
        <v>0.0</v>
      </c>
      <c r="S529" s="849">
        <v>0.0</v>
      </c>
      <c r="T529" s="849">
        <v>0.0</v>
      </c>
      <c r="U529" s="849">
        <v>0.0</v>
      </c>
      <c r="V529" s="849">
        <v>0.0</v>
      </c>
      <c r="W529" s="849">
        <v>0.0</v>
      </c>
      <c r="X529" s="849">
        <v>0.0</v>
      </c>
      <c r="Y529" s="849">
        <v>0.0</v>
      </c>
      <c r="Z529" s="849">
        <v>0.0</v>
      </c>
      <c r="AA529" s="849">
        <v>0.0</v>
      </c>
      <c r="AB529" s="849">
        <v>0.0</v>
      </c>
      <c r="AC529" s="849">
        <v>0.0</v>
      </c>
      <c r="AD529" s="849">
        <v>0.0</v>
      </c>
      <c r="AE529" s="849">
        <v>0.0</v>
      </c>
      <c r="AF529" s="849">
        <v>0.0</v>
      </c>
      <c r="AG529" s="849">
        <v>0.0</v>
      </c>
      <c r="AH529" s="849">
        <v>0.0</v>
      </c>
      <c r="AI529" s="849">
        <v>0.0</v>
      </c>
      <c r="AJ529" s="794" t="str">
        <f t="shared" ref="AJ529:AK529" si="1055">C529</f>
        <v>G41700</v>
      </c>
      <c r="AK529" s="794" t="str">
        <f t="shared" si="1055"/>
        <v>VTES-CHEV AUTOS AUTRES</v>
      </c>
      <c r="AL529" s="794">
        <f t="array" ref="AL529">IFERROR(INDEX(G529:R529,1,MATCH(Parametres!$B$3,G$1:R$1,0)-1)*IF(OR(F529="L",F529="S",F529="I"),-1,1),"")</f>
        <v>0</v>
      </c>
      <c r="AM529" s="794">
        <f t="shared" si="4"/>
        <v>0</v>
      </c>
      <c r="AN529" s="794">
        <f t="array" ref="AN529">INDEX(G529:R529,1,MATCH(Parametres!$B$3,G$1:R$1,0))*IF(OR(F529="L",F529="S",F529="I"),-1,1)</f>
        <v>0</v>
      </c>
      <c r="AO529" s="853" t="str">
        <f>+VLOOKUP($AJ529,Data_Validation!$A:$D,1,0)</f>
        <v>#N/A</v>
      </c>
      <c r="AP529" s="853" t="str">
        <f>+VLOOKUP($AJ529,Data_Validation!$A:$D,3,0)</f>
        <v>#N/A</v>
      </c>
      <c r="AQ529" s="853" t="str">
        <f>+VLOOKUP($AJ529,Data_Validation!$A:$D,4,0)</f>
        <v>#N/A</v>
      </c>
      <c r="AR529" s="853" t="s">
        <v>728</v>
      </c>
      <c r="AS529" s="853" t="str">
        <f>+VLOOKUP($AJ529,Data_Validation!$A:$E,5,0)</f>
        <v>#N/A</v>
      </c>
      <c r="AT529" s="794" t="str">
        <f t="shared" ref="AT529:AU529" si="1056">C529</f>
        <v>G41700</v>
      </c>
      <c r="AU529" s="854" t="str">
        <f t="shared" si="1056"/>
        <v>VTES-CHEV AUTOS AUTRES</v>
      </c>
      <c r="AV529" s="794">
        <f t="array" ref="AV529">IFERROR(INDEX(V529:AG529,1,MATCH(Parametres!$B$3,V$1:AG$1,0)-1)*IF(OR(C529="L",C529="S",C529="I"),-1,1),"")</f>
        <v>0</v>
      </c>
      <c r="AW529" s="794">
        <f t="shared" si="6"/>
        <v>0</v>
      </c>
      <c r="AX529" s="794">
        <f t="array" ref="AX529">INDEX(V529:AG529,1,MATCH(Parametres!$B$3,V$1:AG$1,0))*IF(OR(C529="L",C529="S",C529="I"),-1,1)</f>
        <v>0</v>
      </c>
      <c r="AY529" s="853" t="s">
        <v>772</v>
      </c>
      <c r="AZ529" s="853" t="str">
        <f>+VLOOKUP($AJ529,Data_Validation!$A:$E,5,0)</f>
        <v>#N/A</v>
      </c>
    </row>
    <row r="530" ht="15.0" customHeight="1">
      <c r="A530" s="849" t="s">
        <v>1239</v>
      </c>
      <c r="B530" s="849">
        <v>2025.0</v>
      </c>
      <c r="C530" s="849" t="s">
        <v>2473</v>
      </c>
      <c r="D530" s="849" t="s">
        <v>2474</v>
      </c>
      <c r="E530" s="849" t="s">
        <v>2426</v>
      </c>
      <c r="F530" s="849" t="s">
        <v>2426</v>
      </c>
      <c r="G530" s="849">
        <v>0.0</v>
      </c>
      <c r="H530" s="849">
        <v>0.0</v>
      </c>
      <c r="I530" s="849">
        <v>0.0</v>
      </c>
      <c r="J530" s="849">
        <v>0.0</v>
      </c>
      <c r="K530" s="849">
        <v>0.0</v>
      </c>
      <c r="L530" s="849">
        <v>0.0</v>
      </c>
      <c r="M530" s="849">
        <v>0.0</v>
      </c>
      <c r="N530" s="849">
        <v>0.0</v>
      </c>
      <c r="O530" s="849">
        <v>0.0</v>
      </c>
      <c r="P530" s="849">
        <v>0.0</v>
      </c>
      <c r="Q530" s="849">
        <v>0.0</v>
      </c>
      <c r="R530" s="849">
        <v>0.0</v>
      </c>
      <c r="S530" s="849">
        <v>0.0</v>
      </c>
      <c r="T530" s="849">
        <v>0.0</v>
      </c>
      <c r="U530" s="849">
        <v>0.0</v>
      </c>
      <c r="V530" s="849">
        <v>0.0</v>
      </c>
      <c r="W530" s="849">
        <v>0.0</v>
      </c>
      <c r="X530" s="849">
        <v>0.0</v>
      </c>
      <c r="Y530" s="849">
        <v>0.0</v>
      </c>
      <c r="Z530" s="849">
        <v>0.0</v>
      </c>
      <c r="AA530" s="849">
        <v>0.0</v>
      </c>
      <c r="AB530" s="849">
        <v>0.0</v>
      </c>
      <c r="AC530" s="849">
        <v>0.0</v>
      </c>
      <c r="AD530" s="849">
        <v>0.0</v>
      </c>
      <c r="AE530" s="849">
        <v>0.0</v>
      </c>
      <c r="AF530" s="849">
        <v>0.0</v>
      </c>
      <c r="AG530" s="849">
        <v>0.0</v>
      </c>
      <c r="AH530" s="849">
        <v>0.0</v>
      </c>
      <c r="AI530" s="849">
        <v>0.0</v>
      </c>
      <c r="AJ530" s="794" t="str">
        <f t="shared" ref="AJ530:AK530" si="1057">C530</f>
        <v>G41720</v>
      </c>
      <c r="AK530" s="794" t="str">
        <f t="shared" si="1057"/>
        <v>VTES-CHEV AUTOS AUTRE-LOC</v>
      </c>
      <c r="AL530" s="794">
        <f t="array" ref="AL530">IFERROR(INDEX(G530:R530,1,MATCH(Parametres!$B$3,G$1:R$1,0)-1)*IF(OR(F530="L",F530="S",F530="I"),-1,1),"")</f>
        <v>0</v>
      </c>
      <c r="AM530" s="794">
        <f t="shared" si="4"/>
        <v>0</v>
      </c>
      <c r="AN530" s="794">
        <f t="array" ref="AN530">INDEX(G530:R530,1,MATCH(Parametres!$B$3,G$1:R$1,0))*IF(OR(F530="L",F530="S",F530="I"),-1,1)</f>
        <v>0</v>
      </c>
      <c r="AO530" s="853" t="str">
        <f>+VLOOKUP($AJ530,Data_Validation!$A:$D,1,0)</f>
        <v>#N/A</v>
      </c>
      <c r="AP530" s="853" t="str">
        <f>+VLOOKUP($AJ530,Data_Validation!$A:$D,3,0)</f>
        <v>#N/A</v>
      </c>
      <c r="AQ530" s="853" t="str">
        <f>+VLOOKUP($AJ530,Data_Validation!$A:$D,4,0)</f>
        <v>#N/A</v>
      </c>
      <c r="AR530" s="853" t="s">
        <v>728</v>
      </c>
      <c r="AS530" s="853" t="str">
        <f>+VLOOKUP($AJ530,Data_Validation!$A:$E,5,0)</f>
        <v>#N/A</v>
      </c>
      <c r="AT530" s="794" t="str">
        <f t="shared" ref="AT530:AU530" si="1058">C530</f>
        <v>G41720</v>
      </c>
      <c r="AU530" s="854" t="str">
        <f t="shared" si="1058"/>
        <v>VTES-CHEV AUTOS AUTRE-LOC</v>
      </c>
      <c r="AV530" s="794">
        <f t="array" ref="AV530">IFERROR(INDEX(V530:AG530,1,MATCH(Parametres!$B$3,V$1:AG$1,0)-1)*IF(OR(C530="L",C530="S",C530="I"),-1,1),"")</f>
        <v>0</v>
      </c>
      <c r="AW530" s="794">
        <f t="shared" si="6"/>
        <v>0</v>
      </c>
      <c r="AX530" s="794">
        <f t="array" ref="AX530">INDEX(V530:AG530,1,MATCH(Parametres!$B$3,V$1:AG$1,0))*IF(OR(C530="L",C530="S",C530="I"),-1,1)</f>
        <v>0</v>
      </c>
      <c r="AY530" s="853" t="s">
        <v>772</v>
      </c>
      <c r="AZ530" s="853" t="str">
        <f>+VLOOKUP($AJ530,Data_Validation!$A:$E,5,0)</f>
        <v>#N/A</v>
      </c>
    </row>
    <row r="531" ht="15.0" customHeight="1">
      <c r="A531" s="849" t="s">
        <v>1239</v>
      </c>
      <c r="B531" s="849">
        <v>2025.0</v>
      </c>
      <c r="C531" s="849" t="s">
        <v>2475</v>
      </c>
      <c r="D531" s="849" t="s">
        <v>2476</v>
      </c>
      <c r="E531" s="849" t="s">
        <v>2426</v>
      </c>
      <c r="F531" s="849" t="s">
        <v>2426</v>
      </c>
      <c r="G531" s="849">
        <v>0.0</v>
      </c>
      <c r="H531" s="849">
        <v>0.0</v>
      </c>
      <c r="I531" s="849">
        <v>0.0</v>
      </c>
      <c r="J531" s="849">
        <v>0.0</v>
      </c>
      <c r="K531" s="849">
        <v>0.0</v>
      </c>
      <c r="L531" s="849">
        <v>0.0</v>
      </c>
      <c r="M531" s="849">
        <v>0.0</v>
      </c>
      <c r="N531" s="849">
        <v>0.0</v>
      </c>
      <c r="O531" s="849">
        <v>0.0</v>
      </c>
      <c r="P531" s="849">
        <v>0.0</v>
      </c>
      <c r="Q531" s="849">
        <v>0.0</v>
      </c>
      <c r="R531" s="849">
        <v>0.0</v>
      </c>
      <c r="S531" s="849">
        <v>0.0</v>
      </c>
      <c r="T531" s="849">
        <v>0.0</v>
      </c>
      <c r="U531" s="849">
        <v>0.0</v>
      </c>
      <c r="V531" s="849">
        <v>19.0</v>
      </c>
      <c r="W531" s="849">
        <v>47.0</v>
      </c>
      <c r="X531" s="849">
        <v>85.0</v>
      </c>
      <c r="Y531" s="849">
        <v>112.0</v>
      </c>
      <c r="Z531" s="849">
        <v>137.0</v>
      </c>
      <c r="AA531" s="849">
        <v>161.0</v>
      </c>
      <c r="AB531" s="849">
        <v>195.0</v>
      </c>
      <c r="AC531" s="849">
        <v>242.0</v>
      </c>
      <c r="AD531" s="849">
        <v>315.0</v>
      </c>
      <c r="AE531" s="849">
        <v>344.0</v>
      </c>
      <c r="AF531" s="849">
        <v>373.0</v>
      </c>
      <c r="AG531" s="849">
        <v>404.0</v>
      </c>
      <c r="AH531" s="849">
        <v>34.0</v>
      </c>
      <c r="AI531" s="849">
        <v>34.0</v>
      </c>
      <c r="AJ531" s="794" t="str">
        <f t="shared" ref="AJ531:AK531" si="1059">C531</f>
        <v>G41799</v>
      </c>
      <c r="AK531" s="794" t="str">
        <f t="shared" si="1059"/>
        <v>VTES-ECHANGE CONCESSIONN.</v>
      </c>
      <c r="AL531" s="794">
        <f t="array" ref="AL531">IFERROR(INDEX(G531:R531,1,MATCH(Parametres!$B$3,G$1:R$1,0)-1)*IF(OR(F531="L",F531="S",F531="I"),-1,1),"")</f>
        <v>0</v>
      </c>
      <c r="AM531" s="794">
        <f t="shared" si="4"/>
        <v>0</v>
      </c>
      <c r="AN531" s="794">
        <f t="array" ref="AN531">INDEX(G531:R531,1,MATCH(Parametres!$B$3,G$1:R$1,0))*IF(OR(F531="L",F531="S",F531="I"),-1,1)</f>
        <v>0</v>
      </c>
      <c r="AO531" s="853" t="str">
        <f>+VLOOKUP($AJ531,Data_Validation!$A:$D,1,0)</f>
        <v>G41799</v>
      </c>
      <c r="AP531" s="853" t="str">
        <f>+VLOOKUP($AJ531,Data_Validation!$A:$D,3,0)</f>
        <v/>
      </c>
      <c r="AQ531" s="853" t="str">
        <f>+VLOOKUP($AJ531,Data_Validation!$A:$D,4,0)</f>
        <v/>
      </c>
      <c r="AR531" s="853" t="s">
        <v>728</v>
      </c>
      <c r="AS531" s="853" t="str">
        <f>+VLOOKUP($AJ531,Data_Validation!$A:$E,5,0)</f>
        <v/>
      </c>
      <c r="AT531" s="794" t="str">
        <f t="shared" ref="AT531:AU531" si="1060">C531</f>
        <v>G41799</v>
      </c>
      <c r="AU531" s="854" t="str">
        <f t="shared" si="1060"/>
        <v>VTES-ECHANGE CONCESSIONN.</v>
      </c>
      <c r="AV531" s="794">
        <f t="array" ref="AV531">IFERROR(INDEX(V531:AG531,1,MATCH(Parametres!$B$3,V$1:AG$1,0)-1)*IF(OR(C531="L",C531="S",C531="I"),-1,1),"")</f>
        <v>242</v>
      </c>
      <c r="AW531" s="794">
        <f t="shared" si="6"/>
        <v>73</v>
      </c>
      <c r="AX531" s="794">
        <f t="array" ref="AX531">INDEX(V531:AG531,1,MATCH(Parametres!$B$3,V$1:AG$1,0))*IF(OR(C531="L",C531="S",C531="I"),-1,1)</f>
        <v>315</v>
      </c>
      <c r="AY531" s="853" t="s">
        <v>772</v>
      </c>
      <c r="AZ531" s="853" t="str">
        <f>+VLOOKUP($AJ531,Data_Validation!$A:$E,5,0)</f>
        <v/>
      </c>
    </row>
    <row r="532" ht="15.0" customHeight="1">
      <c r="A532" s="849" t="s">
        <v>1239</v>
      </c>
      <c r="B532" s="849">
        <v>2025.0</v>
      </c>
      <c r="C532" s="849" t="s">
        <v>2477</v>
      </c>
      <c r="D532" s="849" t="s">
        <v>2478</v>
      </c>
      <c r="E532" s="849" t="s">
        <v>2426</v>
      </c>
      <c r="F532" s="849" t="s">
        <v>2426</v>
      </c>
      <c r="G532" s="849">
        <v>0.0</v>
      </c>
      <c r="H532" s="849">
        <v>0.0</v>
      </c>
      <c r="I532" s="849">
        <v>0.0</v>
      </c>
      <c r="J532" s="849">
        <v>0.0</v>
      </c>
      <c r="K532" s="849">
        <v>0.0</v>
      </c>
      <c r="L532" s="849">
        <v>0.0</v>
      </c>
      <c r="M532" s="849">
        <v>0.0</v>
      </c>
      <c r="N532" s="849">
        <v>0.0</v>
      </c>
      <c r="O532" s="849">
        <v>0.0</v>
      </c>
      <c r="P532" s="849">
        <v>0.0</v>
      </c>
      <c r="Q532" s="849">
        <v>0.0</v>
      </c>
      <c r="R532" s="849">
        <v>0.0</v>
      </c>
      <c r="S532" s="849">
        <v>0.0</v>
      </c>
      <c r="T532" s="849">
        <v>0.0</v>
      </c>
      <c r="U532" s="849">
        <v>0.0</v>
      </c>
      <c r="V532" s="849">
        <v>0.0</v>
      </c>
      <c r="W532" s="849">
        <v>0.0</v>
      </c>
      <c r="X532" s="849">
        <v>0.0</v>
      </c>
      <c r="Y532" s="849">
        <v>0.0</v>
      </c>
      <c r="Z532" s="849">
        <v>0.0</v>
      </c>
      <c r="AA532" s="849">
        <v>0.0</v>
      </c>
      <c r="AB532" s="849">
        <v>0.0</v>
      </c>
      <c r="AC532" s="849">
        <v>0.0</v>
      </c>
      <c r="AD532" s="849">
        <v>0.0</v>
      </c>
      <c r="AE532" s="849">
        <v>0.0</v>
      </c>
      <c r="AF532" s="849">
        <v>0.0</v>
      </c>
      <c r="AG532" s="849">
        <v>0.0</v>
      </c>
      <c r="AH532" s="849">
        <v>0.0</v>
      </c>
      <c r="AI532" s="849">
        <v>0.0</v>
      </c>
      <c r="AJ532" s="794" t="str">
        <f t="shared" ref="AJ532:AK532" si="1061">C532</f>
        <v>G41800</v>
      </c>
      <c r="AK532" s="794" t="str">
        <f t="shared" si="1061"/>
        <v>AUTRES CHEVROLET</v>
      </c>
      <c r="AL532" s="794">
        <f t="array" ref="AL532">IFERROR(INDEX(G532:R532,1,MATCH(Parametres!$B$3,G$1:R$1,0)-1)*IF(OR(F532="L",F532="S",F532="I"),-1,1),"")</f>
        <v>0</v>
      </c>
      <c r="AM532" s="794">
        <f t="shared" si="4"/>
        <v>0</v>
      </c>
      <c r="AN532" s="794">
        <f t="array" ref="AN532">INDEX(G532:R532,1,MATCH(Parametres!$B$3,G$1:R$1,0))*IF(OR(F532="L",F532="S",F532="I"),-1,1)</f>
        <v>0</v>
      </c>
      <c r="AO532" s="853" t="str">
        <f>+VLOOKUP($AJ532,Data_Validation!$A:$D,1,0)</f>
        <v>#N/A</v>
      </c>
      <c r="AP532" s="853" t="str">
        <f>+VLOOKUP($AJ532,Data_Validation!$A:$D,3,0)</f>
        <v>#N/A</v>
      </c>
      <c r="AQ532" s="853" t="str">
        <f>+VLOOKUP($AJ532,Data_Validation!$A:$D,4,0)</f>
        <v>#N/A</v>
      </c>
      <c r="AR532" s="853" t="s">
        <v>728</v>
      </c>
      <c r="AS532" s="853" t="str">
        <f>+VLOOKUP($AJ532,Data_Validation!$A:$E,5,0)</f>
        <v>#N/A</v>
      </c>
      <c r="AT532" s="794" t="str">
        <f t="shared" ref="AT532:AU532" si="1062">C532</f>
        <v>G41800</v>
      </c>
      <c r="AU532" s="854" t="str">
        <f t="shared" si="1062"/>
        <v>AUTRES CHEVROLET</v>
      </c>
      <c r="AV532" s="794">
        <f t="array" ref="AV532">IFERROR(INDEX(V532:AG532,1,MATCH(Parametres!$B$3,V$1:AG$1,0)-1)*IF(OR(C532="L",C532="S",C532="I"),-1,1),"")</f>
        <v>0</v>
      </c>
      <c r="AW532" s="794">
        <f t="shared" si="6"/>
        <v>0</v>
      </c>
      <c r="AX532" s="794">
        <f t="array" ref="AX532">INDEX(V532:AG532,1,MATCH(Parametres!$B$3,V$1:AG$1,0))*IF(OR(C532="L",C532="S",C532="I"),-1,1)</f>
        <v>0</v>
      </c>
      <c r="AY532" s="853" t="s">
        <v>772</v>
      </c>
      <c r="AZ532" s="853" t="str">
        <f>+VLOOKUP($AJ532,Data_Validation!$A:$E,5,0)</f>
        <v>#N/A</v>
      </c>
    </row>
    <row r="533" ht="15.0" customHeight="1">
      <c r="A533" s="849" t="s">
        <v>1239</v>
      </c>
      <c r="B533" s="849">
        <v>2025.0</v>
      </c>
      <c r="C533" s="849" t="s">
        <v>2479</v>
      </c>
      <c r="D533" s="849" t="s">
        <v>2480</v>
      </c>
      <c r="E533" s="849" t="s">
        <v>2426</v>
      </c>
      <c r="F533" s="849" t="s">
        <v>2426</v>
      </c>
      <c r="G533" s="849">
        <v>0.0</v>
      </c>
      <c r="H533" s="849">
        <v>0.0</v>
      </c>
      <c r="I533" s="849">
        <v>0.0</v>
      </c>
      <c r="J533" s="849">
        <v>0.0</v>
      </c>
      <c r="K533" s="849">
        <v>0.0</v>
      </c>
      <c r="L533" s="849">
        <v>0.0</v>
      </c>
      <c r="M533" s="849">
        <v>0.0</v>
      </c>
      <c r="N533" s="849">
        <v>0.0</v>
      </c>
      <c r="O533" s="849">
        <v>0.0</v>
      </c>
      <c r="P533" s="849">
        <v>0.0</v>
      </c>
      <c r="Q533" s="849">
        <v>0.0</v>
      </c>
      <c r="R533" s="849">
        <v>0.0</v>
      </c>
      <c r="S533" s="849">
        <v>0.0</v>
      </c>
      <c r="T533" s="849">
        <v>0.0</v>
      </c>
      <c r="U533" s="849">
        <v>0.0</v>
      </c>
      <c r="V533" s="849">
        <v>0.0</v>
      </c>
      <c r="W533" s="849">
        <v>0.0</v>
      </c>
      <c r="X533" s="849">
        <v>0.0</v>
      </c>
      <c r="Y533" s="849">
        <v>0.0</v>
      </c>
      <c r="Z533" s="849">
        <v>0.0</v>
      </c>
      <c r="AA533" s="849">
        <v>0.0</v>
      </c>
      <c r="AB533" s="849">
        <v>0.0</v>
      </c>
      <c r="AC533" s="849">
        <v>0.0</v>
      </c>
      <c r="AD533" s="849">
        <v>0.0</v>
      </c>
      <c r="AE533" s="849">
        <v>0.0</v>
      </c>
      <c r="AF533" s="849">
        <v>0.0</v>
      </c>
      <c r="AG533" s="849">
        <v>0.0</v>
      </c>
      <c r="AH533" s="849">
        <v>0.0</v>
      </c>
      <c r="AI533" s="849">
        <v>0.0</v>
      </c>
      <c r="AJ533" s="794" t="str">
        <f t="shared" ref="AJ533:AK533" si="1063">C533</f>
        <v>G42000</v>
      </c>
      <c r="AK533" s="794" t="str">
        <f t="shared" si="1063"/>
        <v>VTES-PARCS VOITURES</v>
      </c>
      <c r="AL533" s="794">
        <f t="array" ref="AL533">IFERROR(INDEX(G533:R533,1,MATCH(Parametres!$B$3,G$1:R$1,0)-1)*IF(OR(F533="L",F533="S",F533="I"),-1,1),"")</f>
        <v>0</v>
      </c>
      <c r="AM533" s="794">
        <f t="shared" si="4"/>
        <v>0</v>
      </c>
      <c r="AN533" s="794">
        <f t="array" ref="AN533">INDEX(G533:R533,1,MATCH(Parametres!$B$3,G$1:R$1,0))*IF(OR(F533="L",F533="S",F533="I"),-1,1)</f>
        <v>0</v>
      </c>
      <c r="AO533" s="853" t="str">
        <f>+VLOOKUP($AJ533,Data_Validation!$A:$D,1,0)</f>
        <v>#N/A</v>
      </c>
      <c r="AP533" s="853" t="str">
        <f>+VLOOKUP($AJ533,Data_Validation!$A:$D,3,0)</f>
        <v>#N/A</v>
      </c>
      <c r="AQ533" s="853" t="str">
        <f>+VLOOKUP($AJ533,Data_Validation!$A:$D,4,0)</f>
        <v>#N/A</v>
      </c>
      <c r="AR533" s="853" t="s">
        <v>728</v>
      </c>
      <c r="AS533" s="853" t="str">
        <f>+VLOOKUP($AJ533,Data_Validation!$A:$E,5,0)</f>
        <v>#N/A</v>
      </c>
      <c r="AT533" s="794" t="str">
        <f t="shared" ref="AT533:AU533" si="1064">C533</f>
        <v>G42000</v>
      </c>
      <c r="AU533" s="854" t="str">
        <f t="shared" si="1064"/>
        <v>VTES-PARCS VOITURES</v>
      </c>
      <c r="AV533" s="794">
        <f t="array" ref="AV533">IFERROR(INDEX(V533:AG533,1,MATCH(Parametres!$B$3,V$1:AG$1,0)-1)*IF(OR(C533="L",C533="S",C533="I"),-1,1),"")</f>
        <v>0</v>
      </c>
      <c r="AW533" s="794">
        <f t="shared" si="6"/>
        <v>0</v>
      </c>
      <c r="AX533" s="794">
        <f t="array" ref="AX533">INDEX(V533:AG533,1,MATCH(Parametres!$B$3,V$1:AG$1,0))*IF(OR(C533="L",C533="S",C533="I"),-1,1)</f>
        <v>0</v>
      </c>
      <c r="AY533" s="853" t="s">
        <v>772</v>
      </c>
      <c r="AZ533" s="853" t="str">
        <f>+VLOOKUP($AJ533,Data_Validation!$A:$E,5,0)</f>
        <v>#N/A</v>
      </c>
    </row>
    <row r="534" ht="15.0" customHeight="1">
      <c r="A534" s="849" t="s">
        <v>1239</v>
      </c>
      <c r="B534" s="849">
        <v>2025.0</v>
      </c>
      <c r="C534" s="849" t="s">
        <v>2481</v>
      </c>
      <c r="D534" s="849" t="s">
        <v>2482</v>
      </c>
      <c r="E534" s="849" t="s">
        <v>2426</v>
      </c>
      <c r="F534" s="849" t="s">
        <v>2426</v>
      </c>
      <c r="G534" s="849">
        <v>0.0</v>
      </c>
      <c r="H534" s="849">
        <v>0.0</v>
      </c>
      <c r="I534" s="849">
        <v>0.0</v>
      </c>
      <c r="J534" s="849">
        <v>0.0</v>
      </c>
      <c r="K534" s="849">
        <v>0.0</v>
      </c>
      <c r="L534" s="849">
        <v>0.0</v>
      </c>
      <c r="M534" s="849">
        <v>0.0</v>
      </c>
      <c r="N534" s="849">
        <v>0.0</v>
      </c>
      <c r="O534" s="849">
        <v>0.0</v>
      </c>
      <c r="P534" s="849">
        <v>0.0</v>
      </c>
      <c r="Q534" s="849">
        <v>0.0</v>
      </c>
      <c r="R534" s="849">
        <v>0.0</v>
      </c>
      <c r="S534" s="849">
        <v>0.0</v>
      </c>
      <c r="T534" s="849">
        <v>0.0</v>
      </c>
      <c r="U534" s="849">
        <v>0.0</v>
      </c>
      <c r="V534" s="849">
        <v>0.0</v>
      </c>
      <c r="W534" s="849">
        <v>0.0</v>
      </c>
      <c r="X534" s="849">
        <v>0.0</v>
      </c>
      <c r="Y534" s="849">
        <v>0.0</v>
      </c>
      <c r="Z534" s="849">
        <v>0.0</v>
      </c>
      <c r="AA534" s="849">
        <v>0.0</v>
      </c>
      <c r="AB534" s="849">
        <v>0.0</v>
      </c>
      <c r="AC534" s="849">
        <v>0.0</v>
      </c>
      <c r="AD534" s="849">
        <v>0.0</v>
      </c>
      <c r="AE534" s="849">
        <v>0.0</v>
      </c>
      <c r="AF534" s="849">
        <v>0.0</v>
      </c>
      <c r="AG534" s="849">
        <v>0.0</v>
      </c>
      <c r="AH534" s="849">
        <v>0.0</v>
      </c>
      <c r="AI534" s="849">
        <v>0.0</v>
      </c>
      <c r="AJ534" s="794" t="str">
        <f t="shared" ref="AJ534:AK534" si="1065">C534</f>
        <v>G42100</v>
      </c>
      <c r="AK534" s="794" t="str">
        <f t="shared" si="1065"/>
        <v>VTES-VOITURES INTERNE</v>
      </c>
      <c r="AL534" s="794">
        <f t="array" ref="AL534">IFERROR(INDEX(G534:R534,1,MATCH(Parametres!$B$3,G$1:R$1,0)-1)*IF(OR(F534="L",F534="S",F534="I"),-1,1),"")</f>
        <v>0</v>
      </c>
      <c r="AM534" s="794">
        <f t="shared" si="4"/>
        <v>0</v>
      </c>
      <c r="AN534" s="794">
        <f t="array" ref="AN534">INDEX(G534:R534,1,MATCH(Parametres!$B$3,G$1:R$1,0))*IF(OR(F534="L",F534="S",F534="I"),-1,1)</f>
        <v>0</v>
      </c>
      <c r="AO534" s="853" t="str">
        <f>+VLOOKUP($AJ534,Data_Validation!$A:$D,1,0)</f>
        <v>#N/A</v>
      </c>
      <c r="AP534" s="853" t="str">
        <f>+VLOOKUP($AJ534,Data_Validation!$A:$D,3,0)</f>
        <v>#N/A</v>
      </c>
      <c r="AQ534" s="853" t="str">
        <f>+VLOOKUP($AJ534,Data_Validation!$A:$D,4,0)</f>
        <v>#N/A</v>
      </c>
      <c r="AR534" s="853" t="s">
        <v>728</v>
      </c>
      <c r="AS534" s="853" t="str">
        <f>+VLOOKUP($AJ534,Data_Validation!$A:$E,5,0)</f>
        <v>#N/A</v>
      </c>
      <c r="AT534" s="794" t="str">
        <f t="shared" ref="AT534:AU534" si="1066">C534</f>
        <v>G42100</v>
      </c>
      <c r="AU534" s="854" t="str">
        <f t="shared" si="1066"/>
        <v>VTES-VOITURES INTERNE</v>
      </c>
      <c r="AV534" s="794">
        <f t="array" ref="AV534">IFERROR(INDEX(V534:AG534,1,MATCH(Parametres!$B$3,V$1:AG$1,0)-1)*IF(OR(C534="L",C534="S",C534="I"),-1,1),"")</f>
        <v>0</v>
      </c>
      <c r="AW534" s="794">
        <f t="shared" si="6"/>
        <v>0</v>
      </c>
      <c r="AX534" s="794">
        <f t="array" ref="AX534">INDEX(V534:AG534,1,MATCH(Parametres!$B$3,V$1:AG$1,0))*IF(OR(C534="L",C534="S",C534="I"),-1,1)</f>
        <v>0</v>
      </c>
      <c r="AY534" s="853" t="s">
        <v>772</v>
      </c>
      <c r="AZ534" s="853" t="str">
        <f>+VLOOKUP($AJ534,Data_Validation!$A:$E,5,0)</f>
        <v>#N/A</v>
      </c>
    </row>
    <row r="535" ht="15.0" customHeight="1">
      <c r="A535" s="849" t="s">
        <v>1239</v>
      </c>
      <c r="B535" s="849">
        <v>2025.0</v>
      </c>
      <c r="C535" s="849" t="s">
        <v>2483</v>
      </c>
      <c r="D535" s="849" t="s">
        <v>2484</v>
      </c>
      <c r="E535" s="849" t="s">
        <v>2426</v>
      </c>
      <c r="F535" s="849" t="s">
        <v>2426</v>
      </c>
      <c r="G535" s="849">
        <v>0.0</v>
      </c>
      <c r="H535" s="849">
        <v>0.0</v>
      </c>
      <c r="I535" s="849">
        <v>0.0</v>
      </c>
      <c r="J535" s="849">
        <v>0.0</v>
      </c>
      <c r="K535" s="849">
        <v>0.0</v>
      </c>
      <c r="L535" s="849">
        <v>0.0</v>
      </c>
      <c r="M535" s="849">
        <v>0.0</v>
      </c>
      <c r="N535" s="849">
        <v>0.0</v>
      </c>
      <c r="O535" s="849">
        <v>0.0</v>
      </c>
      <c r="P535" s="849">
        <v>0.0</v>
      </c>
      <c r="Q535" s="849">
        <v>0.0</v>
      </c>
      <c r="R535" s="849">
        <v>0.0</v>
      </c>
      <c r="S535" s="849">
        <v>0.0</v>
      </c>
      <c r="T535" s="849">
        <v>0.0</v>
      </c>
      <c r="U535" s="849">
        <v>0.0</v>
      </c>
      <c r="V535" s="849">
        <v>0.0</v>
      </c>
      <c r="W535" s="849">
        <v>0.0</v>
      </c>
      <c r="X535" s="849">
        <v>0.0</v>
      </c>
      <c r="Y535" s="849">
        <v>0.0</v>
      </c>
      <c r="Z535" s="849">
        <v>0.0</v>
      </c>
      <c r="AA535" s="849">
        <v>0.0</v>
      </c>
      <c r="AB535" s="849">
        <v>0.0</v>
      </c>
      <c r="AC535" s="849">
        <v>0.0</v>
      </c>
      <c r="AD535" s="849">
        <v>0.0</v>
      </c>
      <c r="AE535" s="849">
        <v>0.0</v>
      </c>
      <c r="AF535" s="849">
        <v>0.0</v>
      </c>
      <c r="AG535" s="849">
        <v>0.0</v>
      </c>
      <c r="AH535" s="849">
        <v>0.0</v>
      </c>
      <c r="AI535" s="849">
        <v>0.0</v>
      </c>
      <c r="AJ535" s="794" t="str">
        <f t="shared" ref="AJ535:AK535" si="1067">C535</f>
        <v>G42300</v>
      </c>
      <c r="AK535" s="794" t="str">
        <f t="shared" si="1067"/>
        <v>VTES-VENTURES-UPLAND VAN</v>
      </c>
      <c r="AL535" s="794">
        <f t="array" ref="AL535">IFERROR(INDEX(G535:R535,1,MATCH(Parametres!$B$3,G$1:R$1,0)-1)*IF(OR(F535="L",F535="S",F535="I"),-1,1),"")</f>
        <v>0</v>
      </c>
      <c r="AM535" s="794">
        <f t="shared" si="4"/>
        <v>0</v>
      </c>
      <c r="AN535" s="794">
        <f t="array" ref="AN535">INDEX(G535:R535,1,MATCH(Parametres!$B$3,G$1:R$1,0))*IF(OR(F535="L",F535="S",F535="I"),-1,1)</f>
        <v>0</v>
      </c>
      <c r="AO535" s="853" t="str">
        <f>+VLOOKUP($AJ535,Data_Validation!$A:$D,1,0)</f>
        <v>#N/A</v>
      </c>
      <c r="AP535" s="853" t="str">
        <f>+VLOOKUP($AJ535,Data_Validation!$A:$D,3,0)</f>
        <v>#N/A</v>
      </c>
      <c r="AQ535" s="853" t="str">
        <f>+VLOOKUP($AJ535,Data_Validation!$A:$D,4,0)</f>
        <v>#N/A</v>
      </c>
      <c r="AR535" s="853" t="s">
        <v>728</v>
      </c>
      <c r="AS535" s="853" t="str">
        <f>+VLOOKUP($AJ535,Data_Validation!$A:$E,5,0)</f>
        <v>#N/A</v>
      </c>
      <c r="AT535" s="794" t="str">
        <f t="shared" ref="AT535:AU535" si="1068">C535</f>
        <v>G42300</v>
      </c>
      <c r="AU535" s="854" t="str">
        <f t="shared" si="1068"/>
        <v>VTES-VENTURES-UPLAND VAN</v>
      </c>
      <c r="AV535" s="794">
        <f t="array" ref="AV535">IFERROR(INDEX(V535:AG535,1,MATCH(Parametres!$B$3,V$1:AG$1,0)-1)*IF(OR(C535="L",C535="S",C535="I"),-1,1),"")</f>
        <v>0</v>
      </c>
      <c r="AW535" s="794">
        <f t="shared" si="6"/>
        <v>0</v>
      </c>
      <c r="AX535" s="794">
        <f t="array" ref="AX535">INDEX(V535:AG535,1,MATCH(Parametres!$B$3,V$1:AG$1,0))*IF(OR(C535="L",C535="S",C535="I"),-1,1)</f>
        <v>0</v>
      </c>
      <c r="AY535" s="853" t="s">
        <v>772</v>
      </c>
      <c r="AZ535" s="853" t="str">
        <f>+VLOOKUP($AJ535,Data_Validation!$A:$E,5,0)</f>
        <v>#N/A</v>
      </c>
    </row>
    <row r="536" ht="15.0" customHeight="1">
      <c r="A536" s="849" t="s">
        <v>1239</v>
      </c>
      <c r="B536" s="849">
        <v>2025.0</v>
      </c>
      <c r="C536" s="849" t="s">
        <v>2485</v>
      </c>
      <c r="D536" s="849" t="s">
        <v>2486</v>
      </c>
      <c r="E536" s="849" t="s">
        <v>2426</v>
      </c>
      <c r="F536" s="849" t="s">
        <v>2426</v>
      </c>
      <c r="G536" s="849">
        <v>0.0</v>
      </c>
      <c r="H536" s="849">
        <v>0.0</v>
      </c>
      <c r="I536" s="849">
        <v>0.0</v>
      </c>
      <c r="J536" s="849">
        <v>0.0</v>
      </c>
      <c r="K536" s="849">
        <v>0.0</v>
      </c>
      <c r="L536" s="849">
        <v>0.0</v>
      </c>
      <c r="M536" s="849">
        <v>0.0</v>
      </c>
      <c r="N536" s="849">
        <v>0.0</v>
      </c>
      <c r="O536" s="849">
        <v>0.0</v>
      </c>
      <c r="P536" s="849">
        <v>0.0</v>
      </c>
      <c r="Q536" s="849">
        <v>0.0</v>
      </c>
      <c r="R536" s="849">
        <v>0.0</v>
      </c>
      <c r="S536" s="849">
        <v>0.0</v>
      </c>
      <c r="T536" s="849">
        <v>0.0</v>
      </c>
      <c r="U536" s="849">
        <v>0.0</v>
      </c>
      <c r="V536" s="849">
        <v>0.0</v>
      </c>
      <c r="W536" s="849">
        <v>0.0</v>
      </c>
      <c r="X536" s="849">
        <v>0.0</v>
      </c>
      <c r="Y536" s="849">
        <v>0.0</v>
      </c>
      <c r="Z536" s="849">
        <v>0.0</v>
      </c>
      <c r="AA536" s="849">
        <v>0.0</v>
      </c>
      <c r="AB536" s="849">
        <v>0.0</v>
      </c>
      <c r="AC536" s="849">
        <v>0.0</v>
      </c>
      <c r="AD536" s="849">
        <v>0.0</v>
      </c>
      <c r="AE536" s="849">
        <v>0.0</v>
      </c>
      <c r="AF536" s="849">
        <v>0.0</v>
      </c>
      <c r="AG536" s="849">
        <v>0.0</v>
      </c>
      <c r="AH536" s="849">
        <v>0.0</v>
      </c>
      <c r="AI536" s="849">
        <v>0.0</v>
      </c>
      <c r="AJ536" s="794" t="str">
        <f t="shared" ref="AJ536:AK536" si="1069">C536</f>
        <v>G42312</v>
      </c>
      <c r="AK536" s="794" t="str">
        <f t="shared" si="1069"/>
        <v>VTES-KODIAK/TOPKICK 4/5</v>
      </c>
      <c r="AL536" s="794">
        <f t="array" ref="AL536">IFERROR(INDEX(G536:R536,1,MATCH(Parametres!$B$3,G$1:R$1,0)-1)*IF(OR(F536="L",F536="S",F536="I"),-1,1),"")</f>
        <v>0</v>
      </c>
      <c r="AM536" s="794">
        <f t="shared" si="4"/>
        <v>0</v>
      </c>
      <c r="AN536" s="794">
        <f t="array" ref="AN536">INDEX(G536:R536,1,MATCH(Parametres!$B$3,G$1:R$1,0))*IF(OR(F536="L",F536="S",F536="I"),-1,1)</f>
        <v>0</v>
      </c>
      <c r="AO536" s="853" t="str">
        <f>+VLOOKUP($AJ536,Data_Validation!$A:$D,1,0)</f>
        <v>#N/A</v>
      </c>
      <c r="AP536" s="853" t="str">
        <f>+VLOOKUP($AJ536,Data_Validation!$A:$D,3,0)</f>
        <v>#N/A</v>
      </c>
      <c r="AQ536" s="853" t="str">
        <f>+VLOOKUP($AJ536,Data_Validation!$A:$D,4,0)</f>
        <v>#N/A</v>
      </c>
      <c r="AR536" s="853" t="s">
        <v>728</v>
      </c>
      <c r="AS536" s="853" t="str">
        <f>+VLOOKUP($AJ536,Data_Validation!$A:$E,5,0)</f>
        <v>#N/A</v>
      </c>
      <c r="AT536" s="794" t="str">
        <f t="shared" ref="AT536:AU536" si="1070">C536</f>
        <v>G42312</v>
      </c>
      <c r="AU536" s="854" t="str">
        <f t="shared" si="1070"/>
        <v>VTES-KODIAK/TOPKICK 4/5</v>
      </c>
      <c r="AV536" s="794">
        <f t="array" ref="AV536">IFERROR(INDEX(V536:AG536,1,MATCH(Parametres!$B$3,V$1:AG$1,0)-1)*IF(OR(C536="L",C536="S",C536="I"),-1,1),"")</f>
        <v>0</v>
      </c>
      <c r="AW536" s="794">
        <f t="shared" si="6"/>
        <v>0</v>
      </c>
      <c r="AX536" s="794">
        <f t="array" ref="AX536">INDEX(V536:AG536,1,MATCH(Parametres!$B$3,V$1:AG$1,0))*IF(OR(C536="L",C536="S",C536="I"),-1,1)</f>
        <v>0</v>
      </c>
      <c r="AY536" s="853" t="s">
        <v>772</v>
      </c>
      <c r="AZ536" s="853" t="str">
        <f>+VLOOKUP($AJ536,Data_Validation!$A:$E,5,0)</f>
        <v>#N/A</v>
      </c>
    </row>
    <row r="537" ht="15.0" customHeight="1">
      <c r="A537" s="849" t="s">
        <v>1239</v>
      </c>
      <c r="B537" s="849">
        <v>2025.0</v>
      </c>
      <c r="C537" s="849" t="s">
        <v>2487</v>
      </c>
      <c r="D537" s="849" t="s">
        <v>2488</v>
      </c>
      <c r="E537" s="849" t="s">
        <v>2426</v>
      </c>
      <c r="F537" s="849" t="s">
        <v>2426</v>
      </c>
      <c r="G537" s="849">
        <v>0.0</v>
      </c>
      <c r="H537" s="849">
        <v>0.0</v>
      </c>
      <c r="I537" s="849">
        <v>0.0</v>
      </c>
      <c r="J537" s="849">
        <v>0.0</v>
      </c>
      <c r="K537" s="849">
        <v>0.0</v>
      </c>
      <c r="L537" s="849">
        <v>0.0</v>
      </c>
      <c r="M537" s="849">
        <v>0.0</v>
      </c>
      <c r="N537" s="849">
        <v>0.0</v>
      </c>
      <c r="O537" s="849">
        <v>0.0</v>
      </c>
      <c r="P537" s="849">
        <v>0.0</v>
      </c>
      <c r="Q537" s="849">
        <v>0.0</v>
      </c>
      <c r="R537" s="849">
        <v>0.0</v>
      </c>
      <c r="S537" s="849">
        <v>0.0</v>
      </c>
      <c r="T537" s="849">
        <v>0.0</v>
      </c>
      <c r="U537" s="849">
        <v>0.0</v>
      </c>
      <c r="V537" s="849">
        <v>0.0</v>
      </c>
      <c r="W537" s="849">
        <v>0.0</v>
      </c>
      <c r="X537" s="849">
        <v>0.0</v>
      </c>
      <c r="Y537" s="849">
        <v>0.0</v>
      </c>
      <c r="Z537" s="849">
        <v>0.0</v>
      </c>
      <c r="AA537" s="849">
        <v>0.0</v>
      </c>
      <c r="AB537" s="849">
        <v>0.0</v>
      </c>
      <c r="AC537" s="849">
        <v>0.0</v>
      </c>
      <c r="AD537" s="849">
        <v>0.0</v>
      </c>
      <c r="AE537" s="849">
        <v>0.0</v>
      </c>
      <c r="AF537" s="849">
        <v>0.0</v>
      </c>
      <c r="AG537" s="849">
        <v>0.0</v>
      </c>
      <c r="AH537" s="849">
        <v>0.0</v>
      </c>
      <c r="AI537" s="849">
        <v>0.0</v>
      </c>
      <c r="AJ537" s="794" t="str">
        <f t="shared" ref="AJ537:AK537" si="1071">C537</f>
        <v>G42320</v>
      </c>
      <c r="AK537" s="794" t="str">
        <f t="shared" si="1071"/>
        <v>VTES-VENTURE-UPLANDER-LOC</v>
      </c>
      <c r="AL537" s="794">
        <f t="array" ref="AL537">IFERROR(INDEX(G537:R537,1,MATCH(Parametres!$B$3,G$1:R$1,0)-1)*IF(OR(F537="L",F537="S",F537="I"),-1,1),"")</f>
        <v>0</v>
      </c>
      <c r="AM537" s="794">
        <f t="shared" si="4"/>
        <v>0</v>
      </c>
      <c r="AN537" s="794">
        <f t="array" ref="AN537">INDEX(G537:R537,1,MATCH(Parametres!$B$3,G$1:R$1,0))*IF(OR(F537="L",F537="S",F537="I"),-1,1)</f>
        <v>0</v>
      </c>
      <c r="AO537" s="853" t="str">
        <f>+VLOOKUP($AJ537,Data_Validation!$A:$D,1,0)</f>
        <v>#N/A</v>
      </c>
      <c r="AP537" s="853" t="str">
        <f>+VLOOKUP($AJ537,Data_Validation!$A:$D,3,0)</f>
        <v>#N/A</v>
      </c>
      <c r="AQ537" s="853" t="str">
        <f>+VLOOKUP($AJ537,Data_Validation!$A:$D,4,0)</f>
        <v>#N/A</v>
      </c>
      <c r="AR537" s="853" t="s">
        <v>728</v>
      </c>
      <c r="AS537" s="853" t="str">
        <f>+VLOOKUP($AJ537,Data_Validation!$A:$E,5,0)</f>
        <v>#N/A</v>
      </c>
      <c r="AT537" s="794" t="str">
        <f t="shared" ref="AT537:AU537" si="1072">C537</f>
        <v>G42320</v>
      </c>
      <c r="AU537" s="854" t="str">
        <f t="shared" si="1072"/>
        <v>VTES-VENTURE-UPLANDER-LOC</v>
      </c>
      <c r="AV537" s="794">
        <f t="array" ref="AV537">IFERROR(INDEX(V537:AG537,1,MATCH(Parametres!$B$3,V$1:AG$1,0)-1)*IF(OR(C537="L",C537="S",C537="I"),-1,1),"")</f>
        <v>0</v>
      </c>
      <c r="AW537" s="794">
        <f t="shared" si="6"/>
        <v>0</v>
      </c>
      <c r="AX537" s="794">
        <f t="array" ref="AX537">INDEX(V537:AG537,1,MATCH(Parametres!$B$3,V$1:AG$1,0))*IF(OR(C537="L",C537="S",C537="I"),-1,1)</f>
        <v>0</v>
      </c>
      <c r="AY537" s="853" t="s">
        <v>772</v>
      </c>
      <c r="AZ537" s="853" t="str">
        <f>+VLOOKUP($AJ537,Data_Validation!$A:$E,5,0)</f>
        <v>#N/A</v>
      </c>
    </row>
    <row r="538" ht="15.0" customHeight="1">
      <c r="A538" s="849" t="s">
        <v>1239</v>
      </c>
      <c r="B538" s="849">
        <v>2025.0</v>
      </c>
      <c r="C538" s="849" t="s">
        <v>2489</v>
      </c>
      <c r="D538" s="849" t="s">
        <v>2490</v>
      </c>
      <c r="E538" s="849" t="s">
        <v>2426</v>
      </c>
      <c r="F538" s="849" t="s">
        <v>2426</v>
      </c>
      <c r="G538" s="849">
        <v>80250.9</v>
      </c>
      <c r="H538" s="849">
        <v>161560.9</v>
      </c>
      <c r="I538" s="849">
        <v>288037.98</v>
      </c>
      <c r="J538" s="849">
        <v>288037.98</v>
      </c>
      <c r="K538" s="849">
        <v>288037.98</v>
      </c>
      <c r="L538" s="849">
        <v>475419.98</v>
      </c>
      <c r="M538" s="849">
        <v>527155.48</v>
      </c>
      <c r="N538" s="849">
        <v>576909.82</v>
      </c>
      <c r="O538" s="849">
        <v>668578.91</v>
      </c>
      <c r="P538" s="849">
        <v>668578.91</v>
      </c>
      <c r="Q538" s="849">
        <v>752886.81</v>
      </c>
      <c r="R538" s="849">
        <v>752886.81</v>
      </c>
      <c r="S538" s="849">
        <v>68444.26</v>
      </c>
      <c r="T538" s="849">
        <v>68444.26</v>
      </c>
      <c r="U538" s="849">
        <v>0.0</v>
      </c>
      <c r="V538" s="849">
        <v>2.0</v>
      </c>
      <c r="W538" s="849">
        <v>4.0</v>
      </c>
      <c r="X538" s="849">
        <v>7.0</v>
      </c>
      <c r="Y538" s="849">
        <v>7.0</v>
      </c>
      <c r="Z538" s="849">
        <v>7.0</v>
      </c>
      <c r="AA538" s="849">
        <v>11.0</v>
      </c>
      <c r="AB538" s="849">
        <v>12.0</v>
      </c>
      <c r="AC538" s="849">
        <v>13.0</v>
      </c>
      <c r="AD538" s="849">
        <v>15.0</v>
      </c>
      <c r="AE538" s="849">
        <v>15.0</v>
      </c>
      <c r="AF538" s="849">
        <v>17.0</v>
      </c>
      <c r="AG538" s="849">
        <v>17.0</v>
      </c>
      <c r="AH538" s="849">
        <v>2.0</v>
      </c>
      <c r="AI538" s="849">
        <v>2.0</v>
      </c>
      <c r="AJ538" s="794" t="str">
        <f t="shared" ref="AJ538:AK538" si="1073">C538</f>
        <v>G42400</v>
      </c>
      <c r="AK538" s="794" t="str">
        <f t="shared" si="1073"/>
        <v>VTES-TERRAIN</v>
      </c>
      <c r="AL538" s="794">
        <f t="array" ref="AL538">IFERROR(INDEX(G538:R538,1,MATCH(Parametres!$B$3,G$1:R$1,0)-1)*IF(OR(F538="L",F538="S",F538="I"),-1,1),"")</f>
        <v>-576909.82</v>
      </c>
      <c r="AM538" s="794">
        <f t="shared" si="4"/>
        <v>-91669.09</v>
      </c>
      <c r="AN538" s="794">
        <f t="array" ref="AN538">INDEX(G538:R538,1,MATCH(Parametres!$B$3,G$1:R$1,0))*IF(OR(F538="L",F538="S",F538="I"),-1,1)</f>
        <v>-668578.91</v>
      </c>
      <c r="AO538" s="853" t="str">
        <f>+VLOOKUP($AJ538,Data_Validation!$A:$D,1,0)</f>
        <v>G42400</v>
      </c>
      <c r="AP538" s="853" t="str">
        <f>+VLOOKUP($AJ538,Data_Validation!$A:$D,3,0)</f>
        <v>Véhicules neufs</v>
      </c>
      <c r="AQ538" s="853" t="str">
        <f>+VLOOKUP($AJ538,Data_Validation!$A:$D,4,0)</f>
        <v>Camions détail</v>
      </c>
      <c r="AR538" s="853" t="s">
        <v>728</v>
      </c>
      <c r="AS538" s="853" t="str">
        <f>+VLOOKUP($AJ538,Data_Validation!$A:$E,5,0)</f>
        <v>Oui</v>
      </c>
      <c r="AT538" s="794" t="str">
        <f t="shared" ref="AT538:AU538" si="1074">C538</f>
        <v>G42400</v>
      </c>
      <c r="AU538" s="854" t="str">
        <f t="shared" si="1074"/>
        <v>VTES-TERRAIN</v>
      </c>
      <c r="AV538" s="794">
        <f t="array" ref="AV538">IFERROR(INDEX(V538:AG538,1,MATCH(Parametres!$B$3,V$1:AG$1,0)-1)*IF(OR(C538="L",C538="S",C538="I"),-1,1),"")</f>
        <v>13</v>
      </c>
      <c r="AW538" s="794">
        <f t="shared" si="6"/>
        <v>2</v>
      </c>
      <c r="AX538" s="794">
        <f t="array" ref="AX538">INDEX(V538:AG538,1,MATCH(Parametres!$B$3,V$1:AG$1,0))*IF(OR(C538="L",C538="S",C538="I"),-1,1)</f>
        <v>15</v>
      </c>
      <c r="AY538" s="853" t="s">
        <v>772</v>
      </c>
      <c r="AZ538" s="853" t="str">
        <f>+VLOOKUP($AJ538,Data_Validation!$A:$E,5,0)</f>
        <v>Oui</v>
      </c>
    </row>
    <row r="539" ht="15.0" customHeight="1">
      <c r="A539" s="849" t="s">
        <v>1239</v>
      </c>
      <c r="B539" s="849">
        <v>2025.0</v>
      </c>
      <c r="C539" s="849" t="s">
        <v>2491</v>
      </c>
      <c r="D539" s="849" t="s">
        <v>2492</v>
      </c>
      <c r="E539" s="849" t="s">
        <v>2426</v>
      </c>
      <c r="F539" s="849" t="s">
        <v>2426</v>
      </c>
      <c r="G539" s="849">
        <v>0.0</v>
      </c>
      <c r="H539" s="849">
        <v>0.0</v>
      </c>
      <c r="I539" s="849">
        <v>0.0</v>
      </c>
      <c r="J539" s="849">
        <v>0.0</v>
      </c>
      <c r="K539" s="849">
        <v>0.0</v>
      </c>
      <c r="L539" s="849">
        <v>0.0</v>
      </c>
      <c r="M539" s="849">
        <v>0.0</v>
      </c>
      <c r="N539" s="849">
        <v>0.0</v>
      </c>
      <c r="O539" s="849">
        <v>0.0</v>
      </c>
      <c r="P539" s="849">
        <v>0.0</v>
      </c>
      <c r="Q539" s="849">
        <v>0.0</v>
      </c>
      <c r="R539" s="849">
        <v>0.0</v>
      </c>
      <c r="S539" s="849">
        <v>0.0</v>
      </c>
      <c r="T539" s="849">
        <v>0.0</v>
      </c>
      <c r="U539" s="849">
        <v>0.0</v>
      </c>
      <c r="V539" s="849">
        <v>0.0</v>
      </c>
      <c r="W539" s="849">
        <v>0.0</v>
      </c>
      <c r="X539" s="849">
        <v>0.0</v>
      </c>
      <c r="Y539" s="849">
        <v>0.0</v>
      </c>
      <c r="Z539" s="849">
        <v>0.0</v>
      </c>
      <c r="AA539" s="849">
        <v>0.0</v>
      </c>
      <c r="AB539" s="849">
        <v>0.0</v>
      </c>
      <c r="AC539" s="849">
        <v>0.0</v>
      </c>
      <c r="AD539" s="849">
        <v>0.0</v>
      </c>
      <c r="AE539" s="849">
        <v>0.0</v>
      </c>
      <c r="AF539" s="849">
        <v>0.0</v>
      </c>
      <c r="AG539" s="849">
        <v>0.0</v>
      </c>
      <c r="AH539" s="849">
        <v>0.0</v>
      </c>
      <c r="AI539" s="849">
        <v>0.0</v>
      </c>
      <c r="AJ539" s="794" t="str">
        <f t="shared" ref="AJ539:AK539" si="1075">C539</f>
        <v>G42401</v>
      </c>
      <c r="AK539" s="794" t="str">
        <f t="shared" si="1075"/>
        <v>VENTES - BOLT EUV</v>
      </c>
      <c r="AL539" s="794">
        <f t="array" ref="AL539">IFERROR(INDEX(G539:R539,1,MATCH(Parametres!$B$3,G$1:R$1,0)-1)*IF(OR(F539="L",F539="S",F539="I"),-1,1),"")</f>
        <v>0</v>
      </c>
      <c r="AM539" s="794">
        <f t="shared" si="4"/>
        <v>0</v>
      </c>
      <c r="AN539" s="794">
        <f t="array" ref="AN539">INDEX(G539:R539,1,MATCH(Parametres!$B$3,G$1:R$1,0))*IF(OR(F539="L",F539="S",F539="I"),-1,1)</f>
        <v>0</v>
      </c>
      <c r="AO539" s="853" t="str">
        <f>+VLOOKUP($AJ539,Data_Validation!$A:$D,1,0)</f>
        <v>G42401</v>
      </c>
      <c r="AP539" s="853" t="str">
        <f>+VLOOKUP($AJ539,Data_Validation!$A:$D,3,0)</f>
        <v>Véhicules neufs</v>
      </c>
      <c r="AQ539" s="853" t="str">
        <f>+VLOOKUP($AJ539,Data_Validation!$A:$D,4,0)</f>
        <v>Camions electriques</v>
      </c>
      <c r="AR539" s="853" t="s">
        <v>728</v>
      </c>
      <c r="AS539" s="853" t="str">
        <f>+VLOOKUP($AJ539,Data_Validation!$A:$E,5,0)</f>
        <v>Oui</v>
      </c>
      <c r="AT539" s="794" t="str">
        <f t="shared" ref="AT539:AU539" si="1076">C539</f>
        <v>G42401</v>
      </c>
      <c r="AU539" s="854" t="str">
        <f t="shared" si="1076"/>
        <v>VENTES - BOLT EUV</v>
      </c>
      <c r="AV539" s="794">
        <f t="array" ref="AV539">IFERROR(INDEX(V539:AG539,1,MATCH(Parametres!$B$3,V$1:AG$1,0)-1)*IF(OR(C539="L",C539="S",C539="I"),-1,1),"")</f>
        <v>0</v>
      </c>
      <c r="AW539" s="794">
        <f t="shared" si="6"/>
        <v>0</v>
      </c>
      <c r="AX539" s="794">
        <f t="array" ref="AX539">INDEX(V539:AG539,1,MATCH(Parametres!$B$3,V$1:AG$1,0))*IF(OR(C539="L",C539="S",C539="I"),-1,1)</f>
        <v>0</v>
      </c>
      <c r="AY539" s="853" t="s">
        <v>772</v>
      </c>
      <c r="AZ539" s="853" t="str">
        <f>+VLOOKUP($AJ539,Data_Validation!$A:$E,5,0)</f>
        <v>Oui</v>
      </c>
    </row>
    <row r="540" ht="15.0" customHeight="1">
      <c r="A540" s="849" t="s">
        <v>1239</v>
      </c>
      <c r="B540" s="849">
        <v>2025.0</v>
      </c>
      <c r="C540" s="849" t="s">
        <v>2493</v>
      </c>
      <c r="D540" s="849" t="s">
        <v>2494</v>
      </c>
      <c r="E540" s="849" t="s">
        <v>2426</v>
      </c>
      <c r="F540" s="849" t="s">
        <v>2426</v>
      </c>
      <c r="G540" s="849">
        <v>0.0</v>
      </c>
      <c r="H540" s="849">
        <v>0.0</v>
      </c>
      <c r="I540" s="849">
        <v>0.0</v>
      </c>
      <c r="J540" s="849">
        <v>0.0</v>
      </c>
      <c r="K540" s="849">
        <v>0.0</v>
      </c>
      <c r="L540" s="849">
        <v>0.0</v>
      </c>
      <c r="M540" s="849">
        <v>0.0</v>
      </c>
      <c r="N540" s="849">
        <v>0.0</v>
      </c>
      <c r="O540" s="849">
        <v>0.0</v>
      </c>
      <c r="P540" s="849">
        <v>0.0</v>
      </c>
      <c r="Q540" s="849">
        <v>0.0</v>
      </c>
      <c r="R540" s="849">
        <v>0.0</v>
      </c>
      <c r="S540" s="849">
        <v>0.0</v>
      </c>
      <c r="T540" s="849">
        <v>0.0</v>
      </c>
      <c r="U540" s="849">
        <v>0.0</v>
      </c>
      <c r="V540" s="849">
        <v>0.0</v>
      </c>
      <c r="W540" s="849">
        <v>0.0</v>
      </c>
      <c r="X540" s="849">
        <v>0.0</v>
      </c>
      <c r="Y540" s="849">
        <v>0.0</v>
      </c>
      <c r="Z540" s="849">
        <v>0.0</v>
      </c>
      <c r="AA540" s="849">
        <v>0.0</v>
      </c>
      <c r="AB540" s="849">
        <v>0.0</v>
      </c>
      <c r="AC540" s="849">
        <v>0.0</v>
      </c>
      <c r="AD540" s="849">
        <v>0.0</v>
      </c>
      <c r="AE540" s="849">
        <v>0.0</v>
      </c>
      <c r="AF540" s="849">
        <v>0.0</v>
      </c>
      <c r="AG540" s="849">
        <v>0.0</v>
      </c>
      <c r="AH540" s="849">
        <v>0.0</v>
      </c>
      <c r="AI540" s="849">
        <v>0.0</v>
      </c>
      <c r="AJ540" s="794" t="str">
        <f t="shared" ref="AJ540:AK540" si="1077">C540</f>
        <v>G42412</v>
      </c>
      <c r="AK540" s="794" t="str">
        <f t="shared" si="1077"/>
        <v>VTES-TOPKICK 6/7/8 C</v>
      </c>
      <c r="AL540" s="794">
        <f t="array" ref="AL540">IFERROR(INDEX(G540:R540,1,MATCH(Parametres!$B$3,G$1:R$1,0)-1)*IF(OR(F540="L",F540="S",F540="I"),-1,1),"")</f>
        <v>0</v>
      </c>
      <c r="AM540" s="794">
        <f t="shared" si="4"/>
        <v>0</v>
      </c>
      <c r="AN540" s="794">
        <f t="array" ref="AN540">INDEX(G540:R540,1,MATCH(Parametres!$B$3,G$1:R$1,0))*IF(OR(F540="L",F540="S",F540="I"),-1,1)</f>
        <v>0</v>
      </c>
      <c r="AO540" s="853" t="str">
        <f>+VLOOKUP($AJ540,Data_Validation!$A:$D,1,0)</f>
        <v>#N/A</v>
      </c>
      <c r="AP540" s="853" t="str">
        <f>+VLOOKUP($AJ540,Data_Validation!$A:$D,3,0)</f>
        <v>#N/A</v>
      </c>
      <c r="AQ540" s="853" t="str">
        <f>+VLOOKUP($AJ540,Data_Validation!$A:$D,4,0)</f>
        <v>#N/A</v>
      </c>
      <c r="AR540" s="853" t="s">
        <v>728</v>
      </c>
      <c r="AS540" s="853" t="str">
        <f>+VLOOKUP($AJ540,Data_Validation!$A:$E,5,0)</f>
        <v>#N/A</v>
      </c>
      <c r="AT540" s="794" t="str">
        <f t="shared" ref="AT540:AU540" si="1078">C540</f>
        <v>G42412</v>
      </c>
      <c r="AU540" s="854" t="str">
        <f t="shared" si="1078"/>
        <v>VTES-TOPKICK 6/7/8 C</v>
      </c>
      <c r="AV540" s="794">
        <f t="array" ref="AV540">IFERROR(INDEX(V540:AG540,1,MATCH(Parametres!$B$3,V$1:AG$1,0)-1)*IF(OR(C540="L",C540="S",C540="I"),-1,1),"")</f>
        <v>0</v>
      </c>
      <c r="AW540" s="794">
        <f t="shared" si="6"/>
        <v>0</v>
      </c>
      <c r="AX540" s="794">
        <f t="array" ref="AX540">INDEX(V540:AG540,1,MATCH(Parametres!$B$3,V$1:AG$1,0))*IF(OR(C540="L",C540="S",C540="I"),-1,1)</f>
        <v>0</v>
      </c>
      <c r="AY540" s="853" t="s">
        <v>772</v>
      </c>
      <c r="AZ540" s="853" t="str">
        <f>+VLOOKUP($AJ540,Data_Validation!$A:$E,5,0)</f>
        <v>#N/A</v>
      </c>
    </row>
    <row r="541" ht="15.0" customHeight="1">
      <c r="A541" s="849" t="s">
        <v>1239</v>
      </c>
      <c r="B541" s="849">
        <v>2025.0</v>
      </c>
      <c r="C541" s="849" t="s">
        <v>2495</v>
      </c>
      <c r="D541" s="849" t="s">
        <v>2496</v>
      </c>
      <c r="E541" s="849" t="s">
        <v>2426</v>
      </c>
      <c r="F541" s="849" t="s">
        <v>2426</v>
      </c>
      <c r="G541" s="849">
        <v>0.0</v>
      </c>
      <c r="H541" s="849">
        <v>0.0</v>
      </c>
      <c r="I541" s="849">
        <v>0.0</v>
      </c>
      <c r="J541" s="849">
        <v>0.0</v>
      </c>
      <c r="K541" s="849">
        <v>0.0</v>
      </c>
      <c r="L541" s="849">
        <v>0.0</v>
      </c>
      <c r="M541" s="849">
        <v>0.0</v>
      </c>
      <c r="N541" s="849">
        <v>0.0</v>
      </c>
      <c r="O541" s="849">
        <v>0.0</v>
      </c>
      <c r="P541" s="849">
        <v>0.0</v>
      </c>
      <c r="Q541" s="849">
        <v>0.0</v>
      </c>
      <c r="R541" s="849">
        <v>0.0</v>
      </c>
      <c r="S541" s="849">
        <v>0.0</v>
      </c>
      <c r="T541" s="849">
        <v>0.0</v>
      </c>
      <c r="U541" s="849">
        <v>0.0</v>
      </c>
      <c r="V541" s="849">
        <v>0.0</v>
      </c>
      <c r="W541" s="849">
        <v>0.0</v>
      </c>
      <c r="X541" s="849">
        <v>0.0</v>
      </c>
      <c r="Y541" s="849">
        <v>0.0</v>
      </c>
      <c r="Z541" s="849">
        <v>0.0</v>
      </c>
      <c r="AA541" s="849">
        <v>0.0</v>
      </c>
      <c r="AB541" s="849">
        <v>0.0</v>
      </c>
      <c r="AC541" s="849">
        <v>0.0</v>
      </c>
      <c r="AD541" s="849">
        <v>0.0</v>
      </c>
      <c r="AE541" s="849">
        <v>0.0</v>
      </c>
      <c r="AF541" s="849">
        <v>0.0</v>
      </c>
      <c r="AG541" s="849">
        <v>0.0</v>
      </c>
      <c r="AH541" s="849">
        <v>0.0</v>
      </c>
      <c r="AI541" s="849">
        <v>0.0</v>
      </c>
      <c r="AJ541" s="794" t="str">
        <f t="shared" ref="AJ541:AK541" si="1079">C541</f>
        <v>G42500</v>
      </c>
      <c r="AK541" s="794" t="str">
        <f t="shared" si="1079"/>
        <v>VTES-G EXPRESS</v>
      </c>
      <c r="AL541" s="794">
        <f t="array" ref="AL541">IFERROR(INDEX(G541:R541,1,MATCH(Parametres!$B$3,G$1:R$1,0)-1)*IF(OR(F541="L",F541="S",F541="I"),-1,1),"")</f>
        <v>0</v>
      </c>
      <c r="AM541" s="794">
        <f t="shared" si="4"/>
        <v>0</v>
      </c>
      <c r="AN541" s="794">
        <f t="array" ref="AN541">INDEX(G541:R541,1,MATCH(Parametres!$B$3,G$1:R$1,0))*IF(OR(F541="L",F541="S",F541="I"),-1,1)</f>
        <v>0</v>
      </c>
      <c r="AO541" s="853" t="str">
        <f>+VLOOKUP($AJ541,Data_Validation!$A:$D,1,0)</f>
        <v>G42500</v>
      </c>
      <c r="AP541" s="853" t="str">
        <f>+VLOOKUP($AJ541,Data_Validation!$A:$D,3,0)</f>
        <v>Véhicules neufs</v>
      </c>
      <c r="AQ541" s="853" t="str">
        <f>+VLOOKUP($AJ541,Data_Validation!$A:$D,4,0)</f>
        <v>Camions détail</v>
      </c>
      <c r="AR541" s="853" t="s">
        <v>728</v>
      </c>
      <c r="AS541" s="853" t="str">
        <f>+VLOOKUP($AJ541,Data_Validation!$A:$E,5,0)</f>
        <v>Oui</v>
      </c>
      <c r="AT541" s="794" t="str">
        <f t="shared" ref="AT541:AU541" si="1080">C541</f>
        <v>G42500</v>
      </c>
      <c r="AU541" s="854" t="str">
        <f t="shared" si="1080"/>
        <v>VTES-G EXPRESS</v>
      </c>
      <c r="AV541" s="794">
        <f t="array" ref="AV541">IFERROR(INDEX(V541:AG541,1,MATCH(Parametres!$B$3,V$1:AG$1,0)-1)*IF(OR(C541="L",C541="S",C541="I"),-1,1),"")</f>
        <v>0</v>
      </c>
      <c r="AW541" s="794">
        <f t="shared" si="6"/>
        <v>0</v>
      </c>
      <c r="AX541" s="794">
        <f t="array" ref="AX541">INDEX(V541:AG541,1,MATCH(Parametres!$B$3,V$1:AG$1,0))*IF(OR(C541="L",C541="S",C541="I"),-1,1)</f>
        <v>0</v>
      </c>
      <c r="AY541" s="853" t="s">
        <v>772</v>
      </c>
      <c r="AZ541" s="853" t="str">
        <f>+VLOOKUP($AJ541,Data_Validation!$A:$E,5,0)</f>
        <v>Oui</v>
      </c>
    </row>
    <row r="542" ht="15.0" customHeight="1">
      <c r="A542" s="849" t="s">
        <v>1239</v>
      </c>
      <c r="B542" s="849">
        <v>2025.0</v>
      </c>
      <c r="C542" s="849" t="s">
        <v>2497</v>
      </c>
      <c r="D542" s="849" t="s">
        <v>2498</v>
      </c>
      <c r="E542" s="849" t="s">
        <v>2426</v>
      </c>
      <c r="F542" s="849" t="s">
        <v>2426</v>
      </c>
      <c r="G542" s="849">
        <v>0.0</v>
      </c>
      <c r="H542" s="849">
        <v>0.0</v>
      </c>
      <c r="I542" s="849">
        <v>0.0</v>
      </c>
      <c r="J542" s="849">
        <v>0.0</v>
      </c>
      <c r="K542" s="849">
        <v>0.0</v>
      </c>
      <c r="L542" s="849">
        <v>0.0</v>
      </c>
      <c r="M542" s="849">
        <v>0.0</v>
      </c>
      <c r="N542" s="849">
        <v>0.0</v>
      </c>
      <c r="O542" s="849">
        <v>0.0</v>
      </c>
      <c r="P542" s="849">
        <v>0.0</v>
      </c>
      <c r="Q542" s="849">
        <v>69053.2</v>
      </c>
      <c r="R542" s="849">
        <v>69053.2</v>
      </c>
      <c r="S542" s="849">
        <v>6277.56</v>
      </c>
      <c r="T542" s="849">
        <v>6277.56</v>
      </c>
      <c r="U542" s="849">
        <v>0.0</v>
      </c>
      <c r="V542" s="849">
        <v>0.0</v>
      </c>
      <c r="W542" s="849">
        <v>0.0</v>
      </c>
      <c r="X542" s="849">
        <v>0.0</v>
      </c>
      <c r="Y542" s="849">
        <v>0.0</v>
      </c>
      <c r="Z542" s="849">
        <v>0.0</v>
      </c>
      <c r="AA542" s="849">
        <v>0.0</v>
      </c>
      <c r="AB542" s="849">
        <v>0.0</v>
      </c>
      <c r="AC542" s="849">
        <v>0.0</v>
      </c>
      <c r="AD542" s="849">
        <v>0.0</v>
      </c>
      <c r="AE542" s="849">
        <v>0.0</v>
      </c>
      <c r="AF542" s="849">
        <v>1.0</v>
      </c>
      <c r="AG542" s="849">
        <v>1.0</v>
      </c>
      <c r="AH542" s="849">
        <v>0.0</v>
      </c>
      <c r="AI542" s="849">
        <v>0.0</v>
      </c>
      <c r="AJ542" s="794" t="str">
        <f t="shared" ref="AJ542:AK542" si="1081">C542</f>
        <v>G42502</v>
      </c>
      <c r="AK542" s="794" t="str">
        <f t="shared" si="1081"/>
        <v>VENTES SAVANA</v>
      </c>
      <c r="AL542" s="794">
        <f t="array" ref="AL542">IFERROR(INDEX(G542:R542,1,MATCH(Parametres!$B$3,G$1:R$1,0)-1)*IF(OR(F542="L",F542="S",F542="I"),-1,1),"")</f>
        <v>0</v>
      </c>
      <c r="AM542" s="794">
        <f t="shared" si="4"/>
        <v>0</v>
      </c>
      <c r="AN542" s="794">
        <f t="array" ref="AN542">INDEX(G542:R542,1,MATCH(Parametres!$B$3,G$1:R$1,0))*IF(OR(F542="L",F542="S",F542="I"),-1,1)</f>
        <v>0</v>
      </c>
      <c r="AO542" s="853" t="str">
        <f>+VLOOKUP($AJ542,Data_Validation!$A:$D,1,0)</f>
        <v>G42502</v>
      </c>
      <c r="AP542" s="853" t="str">
        <f>+VLOOKUP($AJ542,Data_Validation!$A:$D,3,0)</f>
        <v>Véhicules neufs</v>
      </c>
      <c r="AQ542" s="853" t="str">
        <f>+VLOOKUP($AJ542,Data_Validation!$A:$D,4,0)</f>
        <v>Camions electriques</v>
      </c>
      <c r="AR542" s="853" t="s">
        <v>728</v>
      </c>
      <c r="AS542" s="853" t="str">
        <f>+VLOOKUP($AJ542,Data_Validation!$A:$E,5,0)</f>
        <v>Oui</v>
      </c>
      <c r="AT542" s="794" t="str">
        <f t="shared" ref="AT542:AU542" si="1082">C542</f>
        <v>G42502</v>
      </c>
      <c r="AU542" s="854" t="str">
        <f t="shared" si="1082"/>
        <v>VENTES SAVANA</v>
      </c>
      <c r="AV542" s="794">
        <f t="array" ref="AV542">IFERROR(INDEX(V542:AG542,1,MATCH(Parametres!$B$3,V$1:AG$1,0)-1)*IF(OR(C542="L",C542="S",C542="I"),-1,1),"")</f>
        <v>0</v>
      </c>
      <c r="AW542" s="794">
        <f t="shared" si="6"/>
        <v>0</v>
      </c>
      <c r="AX542" s="794">
        <f t="array" ref="AX542">INDEX(V542:AG542,1,MATCH(Parametres!$B$3,V$1:AG$1,0))*IF(OR(C542="L",C542="S",C542="I"),-1,1)</f>
        <v>0</v>
      </c>
      <c r="AY542" s="853" t="s">
        <v>772</v>
      </c>
      <c r="AZ542" s="853" t="str">
        <f>+VLOOKUP($AJ542,Data_Validation!$A:$E,5,0)</f>
        <v>Oui</v>
      </c>
    </row>
    <row r="543" ht="15.0" customHeight="1">
      <c r="A543" s="849" t="s">
        <v>1239</v>
      </c>
      <c r="B543" s="849">
        <v>2025.0</v>
      </c>
      <c r="C543" s="849" t="s">
        <v>2499</v>
      </c>
      <c r="D543" s="849" t="s">
        <v>2500</v>
      </c>
      <c r="E543" s="849" t="s">
        <v>2426</v>
      </c>
      <c r="F543" s="849" t="s">
        <v>2426</v>
      </c>
      <c r="G543" s="849">
        <v>0.0</v>
      </c>
      <c r="H543" s="849">
        <v>0.0</v>
      </c>
      <c r="I543" s="849">
        <v>0.0</v>
      </c>
      <c r="J543" s="849">
        <v>0.0</v>
      </c>
      <c r="K543" s="849">
        <v>0.0</v>
      </c>
      <c r="L543" s="849">
        <v>0.0</v>
      </c>
      <c r="M543" s="849">
        <v>0.0</v>
      </c>
      <c r="N543" s="849">
        <v>0.0</v>
      </c>
      <c r="O543" s="849">
        <v>0.0</v>
      </c>
      <c r="P543" s="849">
        <v>0.0</v>
      </c>
      <c r="Q543" s="849">
        <v>0.0</v>
      </c>
      <c r="R543" s="849">
        <v>0.0</v>
      </c>
      <c r="S543" s="849">
        <v>0.0</v>
      </c>
      <c r="T543" s="849">
        <v>0.0</v>
      </c>
      <c r="U543" s="849">
        <v>0.0</v>
      </c>
      <c r="V543" s="849">
        <v>0.0</v>
      </c>
      <c r="W543" s="849">
        <v>0.0</v>
      </c>
      <c r="X543" s="849">
        <v>0.0</v>
      </c>
      <c r="Y543" s="849">
        <v>0.0</v>
      </c>
      <c r="Z543" s="849">
        <v>0.0</v>
      </c>
      <c r="AA543" s="849">
        <v>0.0</v>
      </c>
      <c r="AB543" s="849">
        <v>0.0</v>
      </c>
      <c r="AC543" s="849">
        <v>0.0</v>
      </c>
      <c r="AD543" s="849">
        <v>0.0</v>
      </c>
      <c r="AE543" s="849">
        <v>0.0</v>
      </c>
      <c r="AF543" s="849">
        <v>0.0</v>
      </c>
      <c r="AG543" s="849">
        <v>0.0</v>
      </c>
      <c r="AH543" s="849">
        <v>0.0</v>
      </c>
      <c r="AI543" s="849">
        <v>0.0</v>
      </c>
      <c r="AJ543" s="794" t="str">
        <f t="shared" ref="AJ543:AK543" si="1083">C543</f>
        <v>G42512</v>
      </c>
      <c r="AK543" s="794" t="str">
        <f t="shared" si="1083"/>
        <v>VTES-TOPKICK 6/7/8 T</v>
      </c>
      <c r="AL543" s="794">
        <f t="array" ref="AL543">IFERROR(INDEX(G543:R543,1,MATCH(Parametres!$B$3,G$1:R$1,0)-1)*IF(OR(F543="L",F543="S",F543="I"),-1,1),"")</f>
        <v>0</v>
      </c>
      <c r="AM543" s="794">
        <f t="shared" si="4"/>
        <v>0</v>
      </c>
      <c r="AN543" s="794">
        <f t="array" ref="AN543">INDEX(G543:R543,1,MATCH(Parametres!$B$3,G$1:R$1,0))*IF(OR(F543="L",F543="S",F543="I"),-1,1)</f>
        <v>0</v>
      </c>
      <c r="AO543" s="853" t="str">
        <f>+VLOOKUP($AJ543,Data_Validation!$A:$D,1,0)</f>
        <v>#N/A</v>
      </c>
      <c r="AP543" s="853" t="str">
        <f>+VLOOKUP($AJ543,Data_Validation!$A:$D,3,0)</f>
        <v>#N/A</v>
      </c>
      <c r="AQ543" s="853" t="str">
        <f>+VLOOKUP($AJ543,Data_Validation!$A:$D,4,0)</f>
        <v>#N/A</v>
      </c>
      <c r="AR543" s="853" t="s">
        <v>728</v>
      </c>
      <c r="AS543" s="853" t="str">
        <f>+VLOOKUP($AJ543,Data_Validation!$A:$E,5,0)</f>
        <v>#N/A</v>
      </c>
      <c r="AT543" s="794" t="str">
        <f t="shared" ref="AT543:AU543" si="1084">C543</f>
        <v>G42512</v>
      </c>
      <c r="AU543" s="854" t="str">
        <f t="shared" si="1084"/>
        <v>VTES-TOPKICK 6/7/8 T</v>
      </c>
      <c r="AV543" s="794">
        <f t="array" ref="AV543">IFERROR(INDEX(V543:AG543,1,MATCH(Parametres!$B$3,V$1:AG$1,0)-1)*IF(OR(C543="L",C543="S",C543="I"),-1,1),"")</f>
        <v>0</v>
      </c>
      <c r="AW543" s="794">
        <f t="shared" si="6"/>
        <v>0</v>
      </c>
      <c r="AX543" s="794">
        <f t="array" ref="AX543">INDEX(V543:AG543,1,MATCH(Parametres!$B$3,V$1:AG$1,0))*IF(OR(C543="L",C543="S",C543="I"),-1,1)</f>
        <v>0</v>
      </c>
      <c r="AY543" s="853" t="s">
        <v>772</v>
      </c>
      <c r="AZ543" s="853" t="str">
        <f>+VLOOKUP($AJ543,Data_Validation!$A:$E,5,0)</f>
        <v>#N/A</v>
      </c>
    </row>
    <row r="544" ht="15.0" customHeight="1">
      <c r="A544" s="849" t="s">
        <v>1239</v>
      </c>
      <c r="B544" s="849">
        <v>2025.0</v>
      </c>
      <c r="C544" s="849" t="s">
        <v>2501</v>
      </c>
      <c r="D544" s="849" t="s">
        <v>2502</v>
      </c>
      <c r="E544" s="849" t="s">
        <v>2426</v>
      </c>
      <c r="F544" s="849" t="s">
        <v>2426</v>
      </c>
      <c r="G544" s="849">
        <v>0.0</v>
      </c>
      <c r="H544" s="849">
        <v>0.0</v>
      </c>
      <c r="I544" s="849">
        <v>0.0</v>
      </c>
      <c r="J544" s="849">
        <v>0.0</v>
      </c>
      <c r="K544" s="849">
        <v>0.0</v>
      </c>
      <c r="L544" s="849">
        <v>0.0</v>
      </c>
      <c r="M544" s="849">
        <v>0.0</v>
      </c>
      <c r="N544" s="849">
        <v>0.0</v>
      </c>
      <c r="O544" s="849">
        <v>0.0</v>
      </c>
      <c r="P544" s="849">
        <v>0.0</v>
      </c>
      <c r="Q544" s="849">
        <v>0.0</v>
      </c>
      <c r="R544" s="849">
        <v>0.0</v>
      </c>
      <c r="S544" s="849">
        <v>0.0</v>
      </c>
      <c r="T544" s="849">
        <v>0.0</v>
      </c>
      <c r="U544" s="849">
        <v>0.0</v>
      </c>
      <c r="V544" s="849">
        <v>0.0</v>
      </c>
      <c r="W544" s="849">
        <v>0.0</v>
      </c>
      <c r="X544" s="849">
        <v>0.0</v>
      </c>
      <c r="Y544" s="849">
        <v>0.0</v>
      </c>
      <c r="Z544" s="849">
        <v>0.0</v>
      </c>
      <c r="AA544" s="849">
        <v>0.0</v>
      </c>
      <c r="AB544" s="849">
        <v>0.0</v>
      </c>
      <c r="AC544" s="849">
        <v>0.0</v>
      </c>
      <c r="AD544" s="849">
        <v>0.0</v>
      </c>
      <c r="AE544" s="849">
        <v>0.0</v>
      </c>
      <c r="AF544" s="849">
        <v>0.0</v>
      </c>
      <c r="AG544" s="849">
        <v>0.0</v>
      </c>
      <c r="AH544" s="849">
        <v>0.0</v>
      </c>
      <c r="AI544" s="849">
        <v>0.0</v>
      </c>
      <c r="AJ544" s="794" t="str">
        <f t="shared" ref="AJ544:AK544" si="1085">C544</f>
        <v>G42520</v>
      </c>
      <c r="AK544" s="794" t="str">
        <f t="shared" si="1085"/>
        <v>VTES-G EXPRESS       -LOC</v>
      </c>
      <c r="AL544" s="794">
        <f t="array" ref="AL544">IFERROR(INDEX(G544:R544,1,MATCH(Parametres!$B$3,G$1:R$1,0)-1)*IF(OR(F544="L",F544="S",F544="I"),-1,1),"")</f>
        <v>0</v>
      </c>
      <c r="AM544" s="794">
        <f t="shared" si="4"/>
        <v>0</v>
      </c>
      <c r="AN544" s="794">
        <f t="array" ref="AN544">INDEX(G544:R544,1,MATCH(Parametres!$B$3,G$1:R$1,0))*IF(OR(F544="L",F544="S",F544="I"),-1,1)</f>
        <v>0</v>
      </c>
      <c r="AO544" s="853" t="str">
        <f>+VLOOKUP($AJ544,Data_Validation!$A:$D,1,0)</f>
        <v>#N/A</v>
      </c>
      <c r="AP544" s="853" t="str">
        <f>+VLOOKUP($AJ544,Data_Validation!$A:$D,3,0)</f>
        <v>#N/A</v>
      </c>
      <c r="AQ544" s="853" t="str">
        <f>+VLOOKUP($AJ544,Data_Validation!$A:$D,4,0)</f>
        <v>#N/A</v>
      </c>
      <c r="AR544" s="853" t="s">
        <v>728</v>
      </c>
      <c r="AS544" s="853" t="str">
        <f>+VLOOKUP($AJ544,Data_Validation!$A:$E,5,0)</f>
        <v>#N/A</v>
      </c>
      <c r="AT544" s="794" t="str">
        <f t="shared" ref="AT544:AU544" si="1086">C544</f>
        <v>G42520</v>
      </c>
      <c r="AU544" s="854" t="str">
        <f t="shared" si="1086"/>
        <v>VTES-G EXPRESS       -LOC</v>
      </c>
      <c r="AV544" s="794">
        <f t="array" ref="AV544">IFERROR(INDEX(V544:AG544,1,MATCH(Parametres!$B$3,V$1:AG$1,0)-1)*IF(OR(C544="L",C544="S",C544="I"),-1,1),"")</f>
        <v>0</v>
      </c>
      <c r="AW544" s="794">
        <f t="shared" si="6"/>
        <v>0</v>
      </c>
      <c r="AX544" s="794">
        <f t="array" ref="AX544">INDEX(V544:AG544,1,MATCH(Parametres!$B$3,V$1:AG$1,0))*IF(OR(C544="L",C544="S",C544="I"),-1,1)</f>
        <v>0</v>
      </c>
      <c r="AY544" s="853" t="s">
        <v>772</v>
      </c>
      <c r="AZ544" s="853" t="str">
        <f>+VLOOKUP($AJ544,Data_Validation!$A:$E,5,0)</f>
        <v>#N/A</v>
      </c>
    </row>
    <row r="545" ht="15.0" customHeight="1">
      <c r="A545" s="849" t="s">
        <v>1239</v>
      </c>
      <c r="B545" s="849">
        <v>2025.0</v>
      </c>
      <c r="C545" s="849" t="s">
        <v>2503</v>
      </c>
      <c r="D545" s="849" t="s">
        <v>2504</v>
      </c>
      <c r="E545" s="849" t="s">
        <v>2426</v>
      </c>
      <c r="F545" s="849" t="s">
        <v>2426</v>
      </c>
      <c r="G545" s="849">
        <v>0.0</v>
      </c>
      <c r="H545" s="849">
        <v>0.0</v>
      </c>
      <c r="I545" s="849">
        <v>130623.63</v>
      </c>
      <c r="J545" s="849">
        <v>186221.63</v>
      </c>
      <c r="K545" s="849">
        <v>247600.31</v>
      </c>
      <c r="L545" s="849">
        <v>434445.97</v>
      </c>
      <c r="M545" s="849">
        <v>492122.63</v>
      </c>
      <c r="N545" s="849">
        <v>543450.13</v>
      </c>
      <c r="O545" s="849">
        <v>598847.13</v>
      </c>
      <c r="P545" s="849">
        <v>672862.63</v>
      </c>
      <c r="Q545" s="849">
        <v>734298.8</v>
      </c>
      <c r="R545" s="849">
        <v>734298.8</v>
      </c>
      <c r="S545" s="849">
        <v>66754.44</v>
      </c>
      <c r="T545" s="849">
        <v>66754.44</v>
      </c>
      <c r="U545" s="849">
        <v>0.0</v>
      </c>
      <c r="V545" s="849">
        <v>0.0</v>
      </c>
      <c r="W545" s="849">
        <v>0.0</v>
      </c>
      <c r="X545" s="849">
        <v>2.0</v>
      </c>
      <c r="Y545" s="849">
        <v>3.0</v>
      </c>
      <c r="Z545" s="849">
        <v>4.0</v>
      </c>
      <c r="AA545" s="849">
        <v>7.0</v>
      </c>
      <c r="AB545" s="849">
        <v>8.0</v>
      </c>
      <c r="AC545" s="849">
        <v>9.0</v>
      </c>
      <c r="AD545" s="849">
        <v>10.0</v>
      </c>
      <c r="AE545" s="849">
        <v>11.0</v>
      </c>
      <c r="AF545" s="849">
        <v>12.0</v>
      </c>
      <c r="AG545" s="849">
        <v>12.0</v>
      </c>
      <c r="AH545" s="849">
        <v>1.0</v>
      </c>
      <c r="AI545" s="849">
        <v>1.0</v>
      </c>
      <c r="AJ545" s="794" t="str">
        <f t="shared" ref="AJ545:AK545" si="1087">C545</f>
        <v>G42600</v>
      </c>
      <c r="AK545" s="794" t="str">
        <f t="shared" si="1087"/>
        <v>VTES-S-PICKUP/COLORADO</v>
      </c>
      <c r="AL545" s="794">
        <f t="array" ref="AL545">IFERROR(INDEX(G545:R545,1,MATCH(Parametres!$B$3,G$1:R$1,0)-1)*IF(OR(F545="L",F545="S",F545="I"),-1,1),"")</f>
        <v>-543450.13</v>
      </c>
      <c r="AM545" s="794">
        <f t="shared" si="4"/>
        <v>-55397</v>
      </c>
      <c r="AN545" s="794">
        <f t="array" ref="AN545">INDEX(G545:R545,1,MATCH(Parametres!$B$3,G$1:R$1,0))*IF(OR(F545="L",F545="S",F545="I"),-1,1)</f>
        <v>-598847.13</v>
      </c>
      <c r="AO545" s="853" t="str">
        <f>+VLOOKUP($AJ545,Data_Validation!$A:$D,1,0)</f>
        <v>G42600</v>
      </c>
      <c r="AP545" s="853" t="str">
        <f>+VLOOKUP($AJ545,Data_Validation!$A:$D,3,0)</f>
        <v>Véhicules neufs</v>
      </c>
      <c r="AQ545" s="853" t="str">
        <f>+VLOOKUP($AJ545,Data_Validation!$A:$D,4,0)</f>
        <v>Camions détail</v>
      </c>
      <c r="AR545" s="853" t="s">
        <v>728</v>
      </c>
      <c r="AS545" s="853" t="str">
        <f>+VLOOKUP($AJ545,Data_Validation!$A:$E,5,0)</f>
        <v>Oui</v>
      </c>
      <c r="AT545" s="794" t="str">
        <f t="shared" ref="AT545:AU545" si="1088">C545</f>
        <v>G42600</v>
      </c>
      <c r="AU545" s="854" t="str">
        <f t="shared" si="1088"/>
        <v>VTES-S-PICKUP/COLORADO</v>
      </c>
      <c r="AV545" s="794">
        <f t="array" ref="AV545">IFERROR(INDEX(V545:AG545,1,MATCH(Parametres!$B$3,V$1:AG$1,0)-1)*IF(OR(C545="L",C545="S",C545="I"),-1,1),"")</f>
        <v>9</v>
      </c>
      <c r="AW545" s="794">
        <f t="shared" si="6"/>
        <v>1</v>
      </c>
      <c r="AX545" s="794">
        <f t="array" ref="AX545">INDEX(V545:AG545,1,MATCH(Parametres!$B$3,V$1:AG$1,0))*IF(OR(C545="L",C545="S",C545="I"),-1,1)</f>
        <v>10</v>
      </c>
      <c r="AY545" s="853" t="s">
        <v>772</v>
      </c>
      <c r="AZ545" s="853" t="str">
        <f>+VLOOKUP($AJ545,Data_Validation!$A:$E,5,0)</f>
        <v>Oui</v>
      </c>
    </row>
    <row r="546" ht="15.0" customHeight="1">
      <c r="A546" s="849" t="s">
        <v>1239</v>
      </c>
      <c r="B546" s="849">
        <v>2025.0</v>
      </c>
      <c r="C546" s="849" t="s">
        <v>2505</v>
      </c>
      <c r="D546" s="849" t="s">
        <v>2506</v>
      </c>
      <c r="E546" s="849" t="s">
        <v>2426</v>
      </c>
      <c r="F546" s="849" t="s">
        <v>2426</v>
      </c>
      <c r="G546" s="849">
        <v>113349.32</v>
      </c>
      <c r="H546" s="849">
        <v>113349.32</v>
      </c>
      <c r="I546" s="849">
        <v>169201.82</v>
      </c>
      <c r="J546" s="849">
        <v>169201.82</v>
      </c>
      <c r="K546" s="849">
        <v>224412.32</v>
      </c>
      <c r="L546" s="849">
        <v>279895.32</v>
      </c>
      <c r="M546" s="849">
        <v>394812.82</v>
      </c>
      <c r="N546" s="849">
        <v>453520.56</v>
      </c>
      <c r="O546" s="849">
        <v>519228.71</v>
      </c>
      <c r="P546" s="849">
        <v>519228.71</v>
      </c>
      <c r="Q546" s="849">
        <v>587902.77</v>
      </c>
      <c r="R546" s="849">
        <v>587902.77</v>
      </c>
      <c r="S546" s="849">
        <v>53445.71</v>
      </c>
      <c r="T546" s="849">
        <v>53445.71</v>
      </c>
      <c r="U546" s="849">
        <v>0.0</v>
      </c>
      <c r="V546" s="849">
        <v>2.0</v>
      </c>
      <c r="W546" s="849">
        <v>2.0</v>
      </c>
      <c r="X546" s="849">
        <v>3.0</v>
      </c>
      <c r="Y546" s="849">
        <v>3.0</v>
      </c>
      <c r="Z546" s="849">
        <v>4.0</v>
      </c>
      <c r="AA546" s="849">
        <v>5.0</v>
      </c>
      <c r="AB546" s="849">
        <v>7.0</v>
      </c>
      <c r="AC546" s="849">
        <v>8.0</v>
      </c>
      <c r="AD546" s="849">
        <v>9.0</v>
      </c>
      <c r="AE546" s="849">
        <v>9.0</v>
      </c>
      <c r="AF546" s="849">
        <v>10.0</v>
      </c>
      <c r="AG546" s="849">
        <v>10.0</v>
      </c>
      <c r="AH546" s="849">
        <v>1.0</v>
      </c>
      <c r="AI546" s="849">
        <v>1.0</v>
      </c>
      <c r="AJ546" s="794" t="str">
        <f t="shared" ref="AJ546:AK546" si="1089">C546</f>
        <v>G42602</v>
      </c>
      <c r="AK546" s="794" t="str">
        <f t="shared" si="1089"/>
        <v>VENTES GMC CANYON</v>
      </c>
      <c r="AL546" s="794">
        <f t="array" ref="AL546">IFERROR(INDEX(G546:R546,1,MATCH(Parametres!$B$3,G$1:R$1,0)-1)*IF(OR(F546="L",F546="S",F546="I"),-1,1),"")</f>
        <v>-453520.56</v>
      </c>
      <c r="AM546" s="794">
        <f t="shared" si="4"/>
        <v>-65708.15</v>
      </c>
      <c r="AN546" s="794">
        <f t="array" ref="AN546">INDEX(G546:R546,1,MATCH(Parametres!$B$3,G$1:R$1,0))*IF(OR(F546="L",F546="S",F546="I"),-1,1)</f>
        <v>-519228.71</v>
      </c>
      <c r="AO546" s="853" t="str">
        <f>+VLOOKUP($AJ546,Data_Validation!$A:$D,1,0)</f>
        <v>G42602</v>
      </c>
      <c r="AP546" s="853" t="str">
        <f>+VLOOKUP($AJ546,Data_Validation!$A:$D,3,0)</f>
        <v>Véhicules neufs</v>
      </c>
      <c r="AQ546" s="853" t="str">
        <f>+VLOOKUP($AJ546,Data_Validation!$A:$D,4,0)</f>
        <v>Camions détail</v>
      </c>
      <c r="AR546" s="853" t="s">
        <v>728</v>
      </c>
      <c r="AS546" s="853" t="str">
        <f>+VLOOKUP($AJ546,Data_Validation!$A:$E,5,0)</f>
        <v>Oui</v>
      </c>
      <c r="AT546" s="794" t="str">
        <f t="shared" ref="AT546:AU546" si="1090">C546</f>
        <v>G42602</v>
      </c>
      <c r="AU546" s="854" t="str">
        <f t="shared" si="1090"/>
        <v>VENTES GMC CANYON</v>
      </c>
      <c r="AV546" s="794">
        <f t="array" ref="AV546">IFERROR(INDEX(V546:AG546,1,MATCH(Parametres!$B$3,V$1:AG$1,0)-1)*IF(OR(C546="L",C546="S",C546="I"),-1,1),"")</f>
        <v>8</v>
      </c>
      <c r="AW546" s="794">
        <f t="shared" si="6"/>
        <v>1</v>
      </c>
      <c r="AX546" s="794">
        <f t="array" ref="AX546">INDEX(V546:AG546,1,MATCH(Parametres!$B$3,V$1:AG$1,0))*IF(OR(C546="L",C546="S",C546="I"),-1,1)</f>
        <v>9</v>
      </c>
      <c r="AY546" s="853" t="s">
        <v>772</v>
      </c>
      <c r="AZ546" s="853" t="str">
        <f>+VLOOKUP($AJ546,Data_Validation!$A:$E,5,0)</f>
        <v>Oui</v>
      </c>
    </row>
    <row r="547" ht="15.0" customHeight="1">
      <c r="A547" s="849" t="s">
        <v>1239</v>
      </c>
      <c r="B547" s="849">
        <v>2025.0</v>
      </c>
      <c r="C547" s="849" t="s">
        <v>2507</v>
      </c>
      <c r="D547" s="849" t="s">
        <v>2508</v>
      </c>
      <c r="E547" s="849" t="s">
        <v>2426</v>
      </c>
      <c r="F547" s="849" t="s">
        <v>2426</v>
      </c>
      <c r="G547" s="849">
        <v>0.0</v>
      </c>
      <c r="H547" s="849">
        <v>0.0</v>
      </c>
      <c r="I547" s="849">
        <v>174141.02</v>
      </c>
      <c r="J547" s="849">
        <v>220855.96</v>
      </c>
      <c r="K547" s="849">
        <v>315660.46</v>
      </c>
      <c r="L547" s="849">
        <v>315660.46</v>
      </c>
      <c r="M547" s="849">
        <v>315660.46</v>
      </c>
      <c r="N547" s="849">
        <v>368149.42</v>
      </c>
      <c r="O547" s="849">
        <v>419864.92</v>
      </c>
      <c r="P547" s="849">
        <v>474342.42</v>
      </c>
      <c r="Q547" s="849">
        <v>524969.48</v>
      </c>
      <c r="R547" s="849">
        <v>634679.48</v>
      </c>
      <c r="S547" s="849">
        <v>47724.5</v>
      </c>
      <c r="T547" s="849">
        <v>47724.5</v>
      </c>
      <c r="U547" s="849">
        <v>0.0</v>
      </c>
      <c r="V547" s="849">
        <v>0.0</v>
      </c>
      <c r="W547" s="849">
        <v>0.0</v>
      </c>
      <c r="X547" s="849">
        <v>4.0</v>
      </c>
      <c r="Y547" s="849">
        <v>5.0</v>
      </c>
      <c r="Z547" s="849">
        <v>7.0</v>
      </c>
      <c r="AA547" s="849">
        <v>7.0</v>
      </c>
      <c r="AB547" s="849">
        <v>7.0</v>
      </c>
      <c r="AC547" s="849">
        <v>8.0</v>
      </c>
      <c r="AD547" s="849">
        <v>9.0</v>
      </c>
      <c r="AE547" s="849">
        <v>10.0</v>
      </c>
      <c r="AF547" s="849">
        <v>11.0</v>
      </c>
      <c r="AG547" s="849">
        <v>13.0</v>
      </c>
      <c r="AH547" s="849">
        <v>1.0</v>
      </c>
      <c r="AI547" s="849">
        <v>1.0</v>
      </c>
      <c r="AJ547" s="794" t="str">
        <f t="shared" ref="AJ547:AK547" si="1091">C547</f>
        <v>G42612</v>
      </c>
      <c r="AK547" s="794" t="str">
        <f t="shared" si="1091"/>
        <v>VTES-BUICK ENVISION</v>
      </c>
      <c r="AL547" s="794">
        <f t="array" ref="AL547">IFERROR(INDEX(G547:R547,1,MATCH(Parametres!$B$3,G$1:R$1,0)-1)*IF(OR(F547="L",F547="S",F547="I"),-1,1),"")</f>
        <v>-368149.42</v>
      </c>
      <c r="AM547" s="794">
        <f t="shared" si="4"/>
        <v>-51715.5</v>
      </c>
      <c r="AN547" s="794">
        <f t="array" ref="AN547">INDEX(G547:R547,1,MATCH(Parametres!$B$3,G$1:R$1,0))*IF(OR(F547="L",F547="S",F547="I"),-1,1)</f>
        <v>-419864.92</v>
      </c>
      <c r="AO547" s="853" t="str">
        <f>+VLOOKUP($AJ547,Data_Validation!$A:$D,1,0)</f>
        <v>G42612</v>
      </c>
      <c r="AP547" s="853" t="str">
        <f>+VLOOKUP($AJ547,Data_Validation!$A:$D,3,0)</f>
        <v>Véhicules neufs</v>
      </c>
      <c r="AQ547" s="853" t="str">
        <f>+VLOOKUP($AJ547,Data_Validation!$A:$D,4,0)</f>
        <v>Camions détail</v>
      </c>
      <c r="AR547" s="853" t="s">
        <v>728</v>
      </c>
      <c r="AS547" s="853" t="str">
        <f>+VLOOKUP($AJ547,Data_Validation!$A:$E,5,0)</f>
        <v>Oui</v>
      </c>
      <c r="AT547" s="794" t="str">
        <f t="shared" ref="AT547:AU547" si="1092">C547</f>
        <v>G42612</v>
      </c>
      <c r="AU547" s="854" t="str">
        <f t="shared" si="1092"/>
        <v>VTES-BUICK ENVISION</v>
      </c>
      <c r="AV547" s="794">
        <f t="array" ref="AV547">IFERROR(INDEX(V547:AG547,1,MATCH(Parametres!$B$3,V$1:AG$1,0)-1)*IF(OR(C547="L",C547="S",C547="I"),-1,1),"")</f>
        <v>8</v>
      </c>
      <c r="AW547" s="794">
        <f t="shared" si="6"/>
        <v>1</v>
      </c>
      <c r="AX547" s="794">
        <f t="array" ref="AX547">INDEX(V547:AG547,1,MATCH(Parametres!$B$3,V$1:AG$1,0))*IF(OR(C547="L",C547="S",C547="I"),-1,1)</f>
        <v>9</v>
      </c>
      <c r="AY547" s="853" t="s">
        <v>772</v>
      </c>
      <c r="AZ547" s="853" t="str">
        <f>+VLOOKUP($AJ547,Data_Validation!$A:$E,5,0)</f>
        <v>Oui</v>
      </c>
    </row>
    <row r="548" ht="15.0" customHeight="1">
      <c r="A548" s="849" t="s">
        <v>1239</v>
      </c>
      <c r="B548" s="849">
        <v>2025.0</v>
      </c>
      <c r="C548" s="849" t="s">
        <v>2509</v>
      </c>
      <c r="D548" s="849" t="s">
        <v>2510</v>
      </c>
      <c r="E548" s="849" t="s">
        <v>2426</v>
      </c>
      <c r="F548" s="849" t="s">
        <v>2426</v>
      </c>
      <c r="G548" s="849">
        <v>32613.36</v>
      </c>
      <c r="H548" s="849">
        <v>66006.36</v>
      </c>
      <c r="I548" s="849">
        <v>98901.86</v>
      </c>
      <c r="J548" s="849">
        <v>168492.53</v>
      </c>
      <c r="K548" s="849">
        <v>338212.93</v>
      </c>
      <c r="L548" s="849">
        <v>338212.93</v>
      </c>
      <c r="M548" s="849">
        <v>435477.19</v>
      </c>
      <c r="N548" s="849">
        <v>499895.69</v>
      </c>
      <c r="O548" s="849">
        <v>531094.69</v>
      </c>
      <c r="P548" s="849">
        <v>634569.69</v>
      </c>
      <c r="Q548" s="849">
        <v>737725.19</v>
      </c>
      <c r="R548" s="849">
        <v>807777.02</v>
      </c>
      <c r="S548" s="849">
        <v>67065.93</v>
      </c>
      <c r="T548" s="849">
        <v>67065.93</v>
      </c>
      <c r="U548" s="849">
        <v>0.0</v>
      </c>
      <c r="V548" s="849">
        <v>1.0</v>
      </c>
      <c r="W548" s="849">
        <v>2.0</v>
      </c>
      <c r="X548" s="849">
        <v>3.0</v>
      </c>
      <c r="Y548" s="849">
        <v>5.0</v>
      </c>
      <c r="Z548" s="849">
        <v>10.0</v>
      </c>
      <c r="AA548" s="849">
        <v>10.0</v>
      </c>
      <c r="AB548" s="849">
        <v>13.0</v>
      </c>
      <c r="AC548" s="849">
        <v>15.0</v>
      </c>
      <c r="AD548" s="849">
        <v>16.0</v>
      </c>
      <c r="AE548" s="849">
        <v>19.0</v>
      </c>
      <c r="AF548" s="849">
        <v>22.0</v>
      </c>
      <c r="AG548" s="849">
        <v>24.0</v>
      </c>
      <c r="AH548" s="849">
        <v>2.0</v>
      </c>
      <c r="AI548" s="849">
        <v>2.0</v>
      </c>
      <c r="AJ548" s="794" t="str">
        <f t="shared" ref="AJ548:AK548" si="1093">C548</f>
        <v>G42613</v>
      </c>
      <c r="AK548" s="794" t="str">
        <f t="shared" si="1093"/>
        <v>VTES-BUICK ENVISTA</v>
      </c>
      <c r="AL548" s="794">
        <f t="array" ref="AL548">IFERROR(INDEX(G548:R548,1,MATCH(Parametres!$B$3,G$1:R$1,0)-1)*IF(OR(F548="L",F548="S",F548="I"),-1,1),"")</f>
        <v>-499895.69</v>
      </c>
      <c r="AM548" s="794">
        <f t="shared" si="4"/>
        <v>-31199</v>
      </c>
      <c r="AN548" s="794">
        <f t="array" ref="AN548">INDEX(G548:R548,1,MATCH(Parametres!$B$3,G$1:R$1,0))*IF(OR(F548="L",F548="S",F548="I"),-1,1)</f>
        <v>-531094.69</v>
      </c>
      <c r="AO548" s="853" t="str">
        <f>+VLOOKUP($AJ548,Data_Validation!$A:$D,1,0)</f>
        <v>G42613</v>
      </c>
      <c r="AP548" s="853" t="str">
        <f>+VLOOKUP($AJ548,Data_Validation!$A:$D,3,0)</f>
        <v>Véhicules neufs</v>
      </c>
      <c r="AQ548" s="853" t="str">
        <f>+VLOOKUP($AJ548,Data_Validation!$A:$D,4,0)</f>
        <v>Camions détail</v>
      </c>
      <c r="AR548" s="853" t="s">
        <v>728</v>
      </c>
      <c r="AS548" s="853" t="str">
        <f>+VLOOKUP($AJ548,Data_Validation!$A:$E,5,0)</f>
        <v>Oui</v>
      </c>
      <c r="AT548" s="794" t="str">
        <f t="shared" ref="AT548:AU548" si="1094">C548</f>
        <v>G42613</v>
      </c>
      <c r="AU548" s="854" t="str">
        <f t="shared" si="1094"/>
        <v>VTES-BUICK ENVISTA</v>
      </c>
      <c r="AV548" s="794">
        <f t="array" ref="AV548">IFERROR(INDEX(V548:AG548,1,MATCH(Parametres!$B$3,V$1:AG$1,0)-1)*IF(OR(C548="L",C548="S",C548="I"),-1,1),"")</f>
        <v>15</v>
      </c>
      <c r="AW548" s="794">
        <f t="shared" si="6"/>
        <v>1</v>
      </c>
      <c r="AX548" s="794">
        <f t="array" ref="AX548">INDEX(V548:AG548,1,MATCH(Parametres!$B$3,V$1:AG$1,0))*IF(OR(C548="L",C548="S",C548="I"),-1,1)</f>
        <v>16</v>
      </c>
      <c r="AY548" s="853" t="s">
        <v>772</v>
      </c>
      <c r="AZ548" s="853" t="str">
        <f>+VLOOKUP($AJ548,Data_Validation!$A:$E,5,0)</f>
        <v>Oui</v>
      </c>
    </row>
    <row r="549" ht="15.0" customHeight="1">
      <c r="A549" s="849" t="s">
        <v>1239</v>
      </c>
      <c r="B549" s="849">
        <v>2025.0</v>
      </c>
      <c r="C549" s="849" t="s">
        <v>2511</v>
      </c>
      <c r="D549" s="849" t="s">
        <v>2512</v>
      </c>
      <c r="E549" s="849" t="s">
        <v>2426</v>
      </c>
      <c r="F549" s="849" t="s">
        <v>2426</v>
      </c>
      <c r="G549" s="849">
        <v>0.0</v>
      </c>
      <c r="H549" s="849">
        <v>0.0</v>
      </c>
      <c r="I549" s="849">
        <v>0.0</v>
      </c>
      <c r="J549" s="849">
        <v>0.0</v>
      </c>
      <c r="K549" s="849">
        <v>0.0</v>
      </c>
      <c r="L549" s="849">
        <v>0.0</v>
      </c>
      <c r="M549" s="849">
        <v>0.0</v>
      </c>
      <c r="N549" s="849">
        <v>0.0</v>
      </c>
      <c r="O549" s="849">
        <v>0.0</v>
      </c>
      <c r="P549" s="849">
        <v>0.0</v>
      </c>
      <c r="Q549" s="849">
        <v>0.0</v>
      </c>
      <c r="R549" s="849">
        <v>0.0</v>
      </c>
      <c r="S549" s="849">
        <v>0.0</v>
      </c>
      <c r="T549" s="849">
        <v>0.0</v>
      </c>
      <c r="U549" s="849">
        <v>0.0</v>
      </c>
      <c r="V549" s="849">
        <v>0.0</v>
      </c>
      <c r="W549" s="849">
        <v>0.0</v>
      </c>
      <c r="X549" s="849">
        <v>0.0</v>
      </c>
      <c r="Y549" s="849">
        <v>0.0</v>
      </c>
      <c r="Z549" s="849">
        <v>0.0</v>
      </c>
      <c r="AA549" s="849">
        <v>0.0</v>
      </c>
      <c r="AB549" s="849">
        <v>0.0</v>
      </c>
      <c r="AC549" s="849">
        <v>0.0</v>
      </c>
      <c r="AD549" s="849">
        <v>0.0</v>
      </c>
      <c r="AE549" s="849">
        <v>0.0</v>
      </c>
      <c r="AF549" s="849">
        <v>0.0</v>
      </c>
      <c r="AG549" s="849">
        <v>0.0</v>
      </c>
      <c r="AH549" s="849">
        <v>0.0</v>
      </c>
      <c r="AI549" s="849">
        <v>0.0</v>
      </c>
      <c r="AJ549" s="794" t="str">
        <f t="shared" ref="AJ549:AK549" si="1095">C549</f>
        <v>G42620</v>
      </c>
      <c r="AK549" s="794" t="str">
        <f t="shared" si="1095"/>
        <v>VTES-SPICK/COLORDO   -LOC</v>
      </c>
      <c r="AL549" s="794">
        <f t="array" ref="AL549">IFERROR(INDEX(G549:R549,1,MATCH(Parametres!$B$3,G$1:R$1,0)-1)*IF(OR(F549="L",F549="S",F549="I"),-1,1),"")</f>
        <v>0</v>
      </c>
      <c r="AM549" s="794">
        <f t="shared" si="4"/>
        <v>0</v>
      </c>
      <c r="AN549" s="794">
        <f t="array" ref="AN549">INDEX(G549:R549,1,MATCH(Parametres!$B$3,G$1:R$1,0))*IF(OR(F549="L",F549="S",F549="I"),-1,1)</f>
        <v>0</v>
      </c>
      <c r="AO549" s="853" t="str">
        <f>+VLOOKUP($AJ549,Data_Validation!$A:$D,1,0)</f>
        <v>#N/A</v>
      </c>
      <c r="AP549" s="853" t="str">
        <f>+VLOOKUP($AJ549,Data_Validation!$A:$D,3,0)</f>
        <v>#N/A</v>
      </c>
      <c r="AQ549" s="853" t="str">
        <f>+VLOOKUP($AJ549,Data_Validation!$A:$D,4,0)</f>
        <v>#N/A</v>
      </c>
      <c r="AR549" s="853" t="s">
        <v>728</v>
      </c>
      <c r="AS549" s="853" t="str">
        <f>+VLOOKUP($AJ549,Data_Validation!$A:$E,5,0)</f>
        <v>#N/A</v>
      </c>
      <c r="AT549" s="794" t="str">
        <f t="shared" ref="AT549:AU549" si="1096">C549</f>
        <v>G42620</v>
      </c>
      <c r="AU549" s="854" t="str">
        <f t="shared" si="1096"/>
        <v>VTES-SPICK/COLORDO   -LOC</v>
      </c>
      <c r="AV549" s="794">
        <f t="array" ref="AV549">IFERROR(INDEX(V549:AG549,1,MATCH(Parametres!$B$3,V$1:AG$1,0)-1)*IF(OR(C549="L",C549="S",C549="I"),-1,1),"")</f>
        <v>0</v>
      </c>
      <c r="AW549" s="794">
        <f t="shared" si="6"/>
        <v>0</v>
      </c>
      <c r="AX549" s="794">
        <f t="array" ref="AX549">INDEX(V549:AG549,1,MATCH(Parametres!$B$3,V$1:AG$1,0))*IF(OR(C549="L",C549="S",C549="I"),-1,1)</f>
        <v>0</v>
      </c>
      <c r="AY549" s="853" t="s">
        <v>772</v>
      </c>
      <c r="AZ549" s="853" t="str">
        <f>+VLOOKUP($AJ549,Data_Validation!$A:$E,5,0)</f>
        <v>#N/A</v>
      </c>
    </row>
    <row r="550" ht="15.0" customHeight="1">
      <c r="A550" s="849" t="s">
        <v>1239</v>
      </c>
      <c r="B550" s="849">
        <v>2025.0</v>
      </c>
      <c r="C550" s="849" t="s">
        <v>2513</v>
      </c>
      <c r="D550" s="849" t="s">
        <v>2514</v>
      </c>
      <c r="E550" s="849" t="s">
        <v>2426</v>
      </c>
      <c r="F550" s="849" t="s">
        <v>2426</v>
      </c>
      <c r="G550" s="849">
        <v>0.0</v>
      </c>
      <c r="H550" s="849">
        <v>61569.44</v>
      </c>
      <c r="I550" s="849">
        <v>119374.41</v>
      </c>
      <c r="J550" s="849">
        <v>119374.41</v>
      </c>
      <c r="K550" s="849">
        <v>119374.41</v>
      </c>
      <c r="L550" s="849">
        <v>119374.41</v>
      </c>
      <c r="M550" s="849">
        <v>182913.41</v>
      </c>
      <c r="N550" s="849">
        <v>237347.41</v>
      </c>
      <c r="O550" s="849">
        <v>299290.41</v>
      </c>
      <c r="P550" s="849">
        <v>299290.41</v>
      </c>
      <c r="Q550" s="849">
        <v>369733.41</v>
      </c>
      <c r="R550" s="849">
        <v>564607.91</v>
      </c>
      <c r="S550" s="849">
        <v>33612.13</v>
      </c>
      <c r="T550" s="849">
        <v>33612.13</v>
      </c>
      <c r="U550" s="849">
        <v>0.0</v>
      </c>
      <c r="V550" s="849">
        <v>0.0</v>
      </c>
      <c r="W550" s="849">
        <v>1.0</v>
      </c>
      <c r="X550" s="849">
        <v>2.0</v>
      </c>
      <c r="Y550" s="849">
        <v>2.0</v>
      </c>
      <c r="Z550" s="849">
        <v>2.0</v>
      </c>
      <c r="AA550" s="849">
        <v>2.0</v>
      </c>
      <c r="AB550" s="849">
        <v>3.0</v>
      </c>
      <c r="AC550" s="849">
        <v>4.0</v>
      </c>
      <c r="AD550" s="849">
        <v>5.0</v>
      </c>
      <c r="AE550" s="849">
        <v>5.0</v>
      </c>
      <c r="AF550" s="849">
        <v>6.0</v>
      </c>
      <c r="AG550" s="849">
        <v>9.0</v>
      </c>
      <c r="AH550" s="849">
        <v>1.0</v>
      </c>
      <c r="AI550" s="849">
        <v>1.0</v>
      </c>
      <c r="AJ550" s="794" t="str">
        <f t="shared" ref="AJ550:AK550" si="1097">C550</f>
        <v>G42700</v>
      </c>
      <c r="AK550" s="794" t="str">
        <f t="shared" si="1097"/>
        <v>VTES-TRAVERSE</v>
      </c>
      <c r="AL550" s="794">
        <f t="array" ref="AL550">IFERROR(INDEX(G550:R550,1,MATCH(Parametres!$B$3,G$1:R$1,0)-1)*IF(OR(F550="L",F550="S",F550="I"),-1,1),"")</f>
        <v>-237347.41</v>
      </c>
      <c r="AM550" s="794">
        <f t="shared" si="4"/>
        <v>-61943</v>
      </c>
      <c r="AN550" s="794">
        <f t="array" ref="AN550">INDEX(G550:R550,1,MATCH(Parametres!$B$3,G$1:R$1,0))*IF(OR(F550="L",F550="S",F550="I"),-1,1)</f>
        <v>-299290.41</v>
      </c>
      <c r="AO550" s="853" t="str">
        <f>+VLOOKUP($AJ550,Data_Validation!$A:$D,1,0)</f>
        <v>G42700</v>
      </c>
      <c r="AP550" s="853" t="str">
        <f>+VLOOKUP($AJ550,Data_Validation!$A:$D,3,0)</f>
        <v>Véhicules neufs</v>
      </c>
      <c r="AQ550" s="853" t="str">
        <f>+VLOOKUP($AJ550,Data_Validation!$A:$D,4,0)</f>
        <v>Camions détail</v>
      </c>
      <c r="AR550" s="853" t="s">
        <v>728</v>
      </c>
      <c r="AS550" s="853" t="str">
        <f>+VLOOKUP($AJ550,Data_Validation!$A:$E,5,0)</f>
        <v>Oui</v>
      </c>
      <c r="AT550" s="794" t="str">
        <f t="shared" ref="AT550:AU550" si="1098">C550</f>
        <v>G42700</v>
      </c>
      <c r="AU550" s="854" t="str">
        <f t="shared" si="1098"/>
        <v>VTES-TRAVERSE</v>
      </c>
      <c r="AV550" s="794">
        <f t="array" ref="AV550">IFERROR(INDEX(V550:AG550,1,MATCH(Parametres!$B$3,V$1:AG$1,0)-1)*IF(OR(C550="L",C550="S",C550="I"),-1,1),"")</f>
        <v>4</v>
      </c>
      <c r="AW550" s="794">
        <f t="shared" si="6"/>
        <v>1</v>
      </c>
      <c r="AX550" s="794">
        <f t="array" ref="AX550">INDEX(V550:AG550,1,MATCH(Parametres!$B$3,V$1:AG$1,0))*IF(OR(C550="L",C550="S",C550="I"),-1,1)</f>
        <v>5</v>
      </c>
      <c r="AY550" s="853" t="s">
        <v>772</v>
      </c>
      <c r="AZ550" s="853" t="str">
        <f>+VLOOKUP($AJ550,Data_Validation!$A:$E,5,0)</f>
        <v>Oui</v>
      </c>
    </row>
    <row r="551" ht="15.0" customHeight="1">
      <c r="A551" s="849" t="s">
        <v>1239</v>
      </c>
      <c r="B551" s="849">
        <v>2025.0</v>
      </c>
      <c r="C551" s="849" t="s">
        <v>2515</v>
      </c>
      <c r="D551" s="849" t="s">
        <v>2516</v>
      </c>
      <c r="E551" s="849" t="s">
        <v>2426</v>
      </c>
      <c r="F551" s="849" t="s">
        <v>2426</v>
      </c>
      <c r="G551" s="849">
        <v>0.0</v>
      </c>
      <c r="H551" s="849">
        <v>0.0</v>
      </c>
      <c r="I551" s="849">
        <v>0.0</v>
      </c>
      <c r="J551" s="849">
        <v>66639.8</v>
      </c>
      <c r="K551" s="849">
        <v>66639.8</v>
      </c>
      <c r="L551" s="849">
        <v>66639.8</v>
      </c>
      <c r="M551" s="849">
        <v>66639.8</v>
      </c>
      <c r="N551" s="849">
        <v>131017.3</v>
      </c>
      <c r="O551" s="849">
        <v>131017.3</v>
      </c>
      <c r="P551" s="849">
        <v>207541.8</v>
      </c>
      <c r="Q551" s="849">
        <v>267636.8</v>
      </c>
      <c r="R551" s="849">
        <v>267636.8</v>
      </c>
      <c r="S551" s="849">
        <v>24330.62</v>
      </c>
      <c r="T551" s="849">
        <v>24330.62</v>
      </c>
      <c r="U551" s="849">
        <v>0.0</v>
      </c>
      <c r="V551" s="849">
        <v>0.0</v>
      </c>
      <c r="W551" s="849">
        <v>0.0</v>
      </c>
      <c r="X551" s="849">
        <v>0.0</v>
      </c>
      <c r="Y551" s="849">
        <v>1.0</v>
      </c>
      <c r="Z551" s="849">
        <v>1.0</v>
      </c>
      <c r="AA551" s="849">
        <v>1.0</v>
      </c>
      <c r="AB551" s="849">
        <v>1.0</v>
      </c>
      <c r="AC551" s="849">
        <v>2.0</v>
      </c>
      <c r="AD551" s="849">
        <v>2.0</v>
      </c>
      <c r="AE551" s="849">
        <v>3.0</v>
      </c>
      <c r="AF551" s="849">
        <v>4.0</v>
      </c>
      <c r="AG551" s="849">
        <v>4.0</v>
      </c>
      <c r="AH551" s="849">
        <v>0.0</v>
      </c>
      <c r="AI551" s="849">
        <v>0.0</v>
      </c>
      <c r="AJ551" s="794" t="str">
        <f t="shared" ref="AJ551:AK551" si="1099">C551</f>
        <v>G42800</v>
      </c>
      <c r="AK551" s="794" t="str">
        <f t="shared" si="1099"/>
        <v>VENTES BUICK ENCLAVE</v>
      </c>
      <c r="AL551" s="794">
        <f t="array" ref="AL551">IFERROR(INDEX(G551:R551,1,MATCH(Parametres!$B$3,G$1:R$1,0)-1)*IF(OR(F551="L",F551="S",F551="I"),-1,1),"")</f>
        <v>-131017.3</v>
      </c>
      <c r="AM551" s="794">
        <f t="shared" si="4"/>
        <v>0</v>
      </c>
      <c r="AN551" s="794">
        <f t="array" ref="AN551">INDEX(G551:R551,1,MATCH(Parametres!$B$3,G$1:R$1,0))*IF(OR(F551="L",F551="S",F551="I"),-1,1)</f>
        <v>-131017.3</v>
      </c>
      <c r="AO551" s="853" t="str">
        <f>+VLOOKUP($AJ551,Data_Validation!$A:$D,1,0)</f>
        <v>G42800</v>
      </c>
      <c r="AP551" s="853" t="str">
        <f>+VLOOKUP($AJ551,Data_Validation!$A:$D,3,0)</f>
        <v>Véhicules neufs</v>
      </c>
      <c r="AQ551" s="853" t="str">
        <f>+VLOOKUP($AJ551,Data_Validation!$A:$D,4,0)</f>
        <v>Camions détail</v>
      </c>
      <c r="AR551" s="853" t="s">
        <v>728</v>
      </c>
      <c r="AS551" s="853" t="str">
        <f>+VLOOKUP($AJ551,Data_Validation!$A:$E,5,0)</f>
        <v>Oui</v>
      </c>
      <c r="AT551" s="794" t="str">
        <f t="shared" ref="AT551:AU551" si="1100">C551</f>
        <v>G42800</v>
      </c>
      <c r="AU551" s="854" t="str">
        <f t="shared" si="1100"/>
        <v>VENTES BUICK ENCLAVE</v>
      </c>
      <c r="AV551" s="794">
        <f t="array" ref="AV551">IFERROR(INDEX(V551:AG551,1,MATCH(Parametres!$B$3,V$1:AG$1,0)-1)*IF(OR(C551="L",C551="S",C551="I"),-1,1),"")</f>
        <v>2</v>
      </c>
      <c r="AW551" s="794">
        <f t="shared" si="6"/>
        <v>0</v>
      </c>
      <c r="AX551" s="794">
        <f t="array" ref="AX551">INDEX(V551:AG551,1,MATCH(Parametres!$B$3,V$1:AG$1,0))*IF(OR(C551="L",C551="S",C551="I"),-1,1)</f>
        <v>2</v>
      </c>
      <c r="AY551" s="853" t="s">
        <v>772</v>
      </c>
      <c r="AZ551" s="853" t="str">
        <f>+VLOOKUP($AJ551,Data_Validation!$A:$E,5,0)</f>
        <v>Oui</v>
      </c>
    </row>
    <row r="552" ht="15.0" customHeight="1">
      <c r="A552" s="849" t="s">
        <v>1239</v>
      </c>
      <c r="B552" s="849">
        <v>2025.0</v>
      </c>
      <c r="C552" s="849" t="s">
        <v>2517</v>
      </c>
      <c r="D552" s="849" t="s">
        <v>2518</v>
      </c>
      <c r="E552" s="849" t="s">
        <v>2426</v>
      </c>
      <c r="F552" s="849" t="s">
        <v>2426</v>
      </c>
      <c r="G552" s="849">
        <v>41701.18</v>
      </c>
      <c r="H552" s="849">
        <v>41701.18</v>
      </c>
      <c r="I552" s="849">
        <v>115080.99</v>
      </c>
      <c r="J552" s="849">
        <v>115080.99</v>
      </c>
      <c r="K552" s="849">
        <v>147501.49</v>
      </c>
      <c r="L552" s="849">
        <v>147501.49</v>
      </c>
      <c r="M552" s="849">
        <v>183042.16</v>
      </c>
      <c r="N552" s="849">
        <v>220724.27</v>
      </c>
      <c r="O552" s="849">
        <v>220724.27</v>
      </c>
      <c r="P552" s="849">
        <v>220724.27</v>
      </c>
      <c r="Q552" s="849">
        <v>261162.27</v>
      </c>
      <c r="R552" s="849">
        <v>375154.45</v>
      </c>
      <c r="S552" s="849">
        <v>23742.02</v>
      </c>
      <c r="T552" s="849">
        <v>23742.02</v>
      </c>
      <c r="U552" s="849">
        <v>0.0</v>
      </c>
      <c r="V552" s="849">
        <v>1.0</v>
      </c>
      <c r="W552" s="849">
        <v>1.0</v>
      </c>
      <c r="X552" s="849">
        <v>3.0</v>
      </c>
      <c r="Y552" s="849">
        <v>3.0</v>
      </c>
      <c r="Z552" s="849">
        <v>4.0</v>
      </c>
      <c r="AA552" s="849">
        <v>4.0</v>
      </c>
      <c r="AB552" s="849">
        <v>5.0</v>
      </c>
      <c r="AC552" s="849">
        <v>6.0</v>
      </c>
      <c r="AD552" s="849">
        <v>6.0</v>
      </c>
      <c r="AE552" s="849">
        <v>6.0</v>
      </c>
      <c r="AF552" s="849">
        <v>7.0</v>
      </c>
      <c r="AG552" s="849">
        <v>10.0</v>
      </c>
      <c r="AH552" s="849">
        <v>1.0</v>
      </c>
      <c r="AI552" s="849">
        <v>1.0</v>
      </c>
      <c r="AJ552" s="794" t="str">
        <f t="shared" ref="AJ552:AK552" si="1101">C552</f>
        <v>G42804</v>
      </c>
      <c r="AK552" s="794" t="str">
        <f t="shared" si="1101"/>
        <v>VENTE BUICK ENCORE</v>
      </c>
      <c r="AL552" s="794">
        <f t="array" ref="AL552">IFERROR(INDEX(G552:R552,1,MATCH(Parametres!$B$3,G$1:R$1,0)-1)*IF(OR(F552="L",F552="S",F552="I"),-1,1),"")</f>
        <v>-220724.27</v>
      </c>
      <c r="AM552" s="794">
        <f t="shared" si="4"/>
        <v>0</v>
      </c>
      <c r="AN552" s="794">
        <f t="array" ref="AN552">INDEX(G552:R552,1,MATCH(Parametres!$B$3,G$1:R$1,0))*IF(OR(F552="L",F552="S",F552="I"),-1,1)</f>
        <v>-220724.27</v>
      </c>
      <c r="AO552" s="853" t="str">
        <f>+VLOOKUP($AJ552,Data_Validation!$A:$D,1,0)</f>
        <v>G42804</v>
      </c>
      <c r="AP552" s="853" t="str">
        <f>+VLOOKUP($AJ552,Data_Validation!$A:$D,3,0)</f>
        <v>Véhicules neufs</v>
      </c>
      <c r="AQ552" s="853" t="str">
        <f>+VLOOKUP($AJ552,Data_Validation!$A:$D,4,0)</f>
        <v>Camions détail</v>
      </c>
      <c r="AR552" s="853" t="s">
        <v>728</v>
      </c>
      <c r="AS552" s="853" t="str">
        <f>+VLOOKUP($AJ552,Data_Validation!$A:$E,5,0)</f>
        <v>Oui</v>
      </c>
      <c r="AT552" s="794" t="str">
        <f t="shared" ref="AT552:AU552" si="1102">C552</f>
        <v>G42804</v>
      </c>
      <c r="AU552" s="854" t="str">
        <f t="shared" si="1102"/>
        <v>VENTE BUICK ENCORE</v>
      </c>
      <c r="AV552" s="794">
        <f t="array" ref="AV552">IFERROR(INDEX(V552:AG552,1,MATCH(Parametres!$B$3,V$1:AG$1,0)-1)*IF(OR(C552="L",C552="S",C552="I"),-1,1),"")</f>
        <v>6</v>
      </c>
      <c r="AW552" s="794">
        <f t="shared" si="6"/>
        <v>0</v>
      </c>
      <c r="AX552" s="794">
        <f t="array" ref="AX552">INDEX(V552:AG552,1,MATCH(Parametres!$B$3,V$1:AG$1,0))*IF(OR(C552="L",C552="S",C552="I"),-1,1)</f>
        <v>6</v>
      </c>
      <c r="AY552" s="853" t="s">
        <v>772</v>
      </c>
      <c r="AZ552" s="853" t="str">
        <f>+VLOOKUP($AJ552,Data_Validation!$A:$E,5,0)</f>
        <v>Oui</v>
      </c>
    </row>
    <row r="553" ht="15.0" customHeight="1">
      <c r="A553" s="849" t="s">
        <v>1239</v>
      </c>
      <c r="B553" s="849">
        <v>2025.0</v>
      </c>
      <c r="C553" s="849" t="s">
        <v>2519</v>
      </c>
      <c r="D553" s="849" t="s">
        <v>2520</v>
      </c>
      <c r="E553" s="849" t="s">
        <v>2426</v>
      </c>
      <c r="F553" s="849" t="s">
        <v>2426</v>
      </c>
      <c r="G553" s="849">
        <v>0.0</v>
      </c>
      <c r="H553" s="849">
        <v>0.0</v>
      </c>
      <c r="I553" s="849">
        <v>0.0</v>
      </c>
      <c r="J553" s="849">
        <v>0.0</v>
      </c>
      <c r="K553" s="849">
        <v>0.0</v>
      </c>
      <c r="L553" s="849">
        <v>0.0</v>
      </c>
      <c r="M553" s="849">
        <v>0.0</v>
      </c>
      <c r="N553" s="849">
        <v>0.0</v>
      </c>
      <c r="O553" s="849">
        <v>0.0</v>
      </c>
      <c r="P553" s="849">
        <v>0.0</v>
      </c>
      <c r="Q553" s="849">
        <v>0.0</v>
      </c>
      <c r="R553" s="849">
        <v>0.0</v>
      </c>
      <c r="S553" s="849">
        <v>0.0</v>
      </c>
      <c r="T553" s="849">
        <v>0.0</v>
      </c>
      <c r="U553" s="849">
        <v>0.0</v>
      </c>
      <c r="V553" s="849">
        <v>0.0</v>
      </c>
      <c r="W553" s="849">
        <v>0.0</v>
      </c>
      <c r="X553" s="849">
        <v>0.0</v>
      </c>
      <c r="Y553" s="849">
        <v>0.0</v>
      </c>
      <c r="Z553" s="849">
        <v>0.0</v>
      </c>
      <c r="AA553" s="849">
        <v>0.0</v>
      </c>
      <c r="AB553" s="849">
        <v>0.0</v>
      </c>
      <c r="AC553" s="849">
        <v>0.0</v>
      </c>
      <c r="AD553" s="849">
        <v>0.0</v>
      </c>
      <c r="AE553" s="849">
        <v>0.0</v>
      </c>
      <c r="AF553" s="849">
        <v>0.0</v>
      </c>
      <c r="AG553" s="849">
        <v>0.0</v>
      </c>
      <c r="AH553" s="849">
        <v>0.0</v>
      </c>
      <c r="AI553" s="849">
        <v>0.0</v>
      </c>
      <c r="AJ553" s="794" t="str">
        <f t="shared" ref="AJ553:AK553" si="1103">C553</f>
        <v>G42820</v>
      </c>
      <c r="AK553" s="794" t="str">
        <f t="shared" si="1103"/>
        <v>VTES-TRAIL BALSER/EXT-LOC</v>
      </c>
      <c r="AL553" s="794">
        <f t="array" ref="AL553">IFERROR(INDEX(G553:R553,1,MATCH(Parametres!$B$3,G$1:R$1,0)-1)*IF(OR(F553="L",F553="S",F553="I"),-1,1),"")</f>
        <v>0</v>
      </c>
      <c r="AM553" s="794">
        <f t="shared" si="4"/>
        <v>0</v>
      </c>
      <c r="AN553" s="794">
        <f t="array" ref="AN553">INDEX(G553:R553,1,MATCH(Parametres!$B$3,G$1:R$1,0))*IF(OR(F553="L",F553="S",F553="I"),-1,1)</f>
        <v>0</v>
      </c>
      <c r="AO553" s="853" t="str">
        <f>+VLOOKUP($AJ553,Data_Validation!$A:$D,1,0)</f>
        <v>#N/A</v>
      </c>
      <c r="AP553" s="853" t="str">
        <f>+VLOOKUP($AJ553,Data_Validation!$A:$D,3,0)</f>
        <v>#N/A</v>
      </c>
      <c r="AQ553" s="853" t="str">
        <f>+VLOOKUP($AJ553,Data_Validation!$A:$D,4,0)</f>
        <v>#N/A</v>
      </c>
      <c r="AR553" s="853" t="s">
        <v>728</v>
      </c>
      <c r="AS553" s="853" t="str">
        <f>+VLOOKUP($AJ553,Data_Validation!$A:$E,5,0)</f>
        <v>#N/A</v>
      </c>
      <c r="AT553" s="794" t="str">
        <f t="shared" ref="AT553:AU553" si="1104">C553</f>
        <v>G42820</v>
      </c>
      <c r="AU553" s="854" t="str">
        <f t="shared" si="1104"/>
        <v>VTES-TRAIL BALSER/EXT-LOC</v>
      </c>
      <c r="AV553" s="794">
        <f t="array" ref="AV553">IFERROR(INDEX(V553:AG553,1,MATCH(Parametres!$B$3,V$1:AG$1,0)-1)*IF(OR(C553="L",C553="S",C553="I"),-1,1),"")</f>
        <v>0</v>
      </c>
      <c r="AW553" s="794">
        <f t="shared" si="6"/>
        <v>0</v>
      </c>
      <c r="AX553" s="794">
        <f t="array" ref="AX553">INDEX(V553:AG553,1,MATCH(Parametres!$B$3,V$1:AG$1,0))*IF(OR(C553="L",C553="S",C553="I"),-1,1)</f>
        <v>0</v>
      </c>
      <c r="AY553" s="853" t="s">
        <v>772</v>
      </c>
      <c r="AZ553" s="853" t="str">
        <f>+VLOOKUP($AJ553,Data_Validation!$A:$E,5,0)</f>
        <v>#N/A</v>
      </c>
    </row>
    <row r="554" ht="15.0" customHeight="1">
      <c r="A554" s="849" t="s">
        <v>1239</v>
      </c>
      <c r="B554" s="849">
        <v>2025.0</v>
      </c>
      <c r="C554" s="849" t="s">
        <v>2521</v>
      </c>
      <c r="D554" s="849" t="s">
        <v>2522</v>
      </c>
      <c r="E554" s="849" t="s">
        <v>2426</v>
      </c>
      <c r="F554" s="849" t="s">
        <v>2426</v>
      </c>
      <c r="G554" s="849">
        <v>121394.52</v>
      </c>
      <c r="H554" s="849">
        <v>121394.52</v>
      </c>
      <c r="I554" s="849">
        <v>185474.52</v>
      </c>
      <c r="J554" s="849">
        <v>310424.52</v>
      </c>
      <c r="K554" s="849">
        <v>465524.99</v>
      </c>
      <c r="L554" s="849">
        <v>527071.99</v>
      </c>
      <c r="M554" s="849">
        <v>652127.14</v>
      </c>
      <c r="N554" s="849">
        <v>1013743.22</v>
      </c>
      <c r="O554" s="849">
        <v>1268871.22</v>
      </c>
      <c r="P554" s="849">
        <v>1562336.82</v>
      </c>
      <c r="Q554" s="849">
        <v>1799155.64</v>
      </c>
      <c r="R554" s="849">
        <v>1960283.23</v>
      </c>
      <c r="S554" s="849">
        <v>163559.6</v>
      </c>
      <c r="T554" s="849">
        <v>163559.6</v>
      </c>
      <c r="U554" s="849">
        <v>0.0</v>
      </c>
      <c r="V554" s="849">
        <v>4.0</v>
      </c>
      <c r="W554" s="849">
        <v>4.0</v>
      </c>
      <c r="X554" s="849">
        <v>6.0</v>
      </c>
      <c r="Y554" s="849">
        <v>10.0</v>
      </c>
      <c r="Z554" s="849">
        <v>15.0</v>
      </c>
      <c r="AA554" s="849">
        <v>17.0</v>
      </c>
      <c r="AB554" s="849">
        <v>21.0</v>
      </c>
      <c r="AC554" s="849">
        <v>33.0</v>
      </c>
      <c r="AD554" s="849">
        <v>41.0</v>
      </c>
      <c r="AE554" s="849">
        <v>50.0</v>
      </c>
      <c r="AF554" s="849">
        <v>57.0</v>
      </c>
      <c r="AG554" s="849">
        <v>62.0</v>
      </c>
      <c r="AH554" s="849">
        <v>5.0</v>
      </c>
      <c r="AI554" s="849">
        <v>5.0</v>
      </c>
      <c r="AJ554" s="794" t="str">
        <f t="shared" ref="AJ554:AK554" si="1105">C554</f>
        <v>G42850</v>
      </c>
      <c r="AK554" s="794" t="str">
        <f t="shared" si="1105"/>
        <v>VENTES CHEVROLET TRAX</v>
      </c>
      <c r="AL554" s="794">
        <f t="array" ref="AL554">IFERROR(INDEX(G554:R554,1,MATCH(Parametres!$B$3,G$1:R$1,0)-1)*IF(OR(F554="L",F554="S",F554="I"),-1,1),"")</f>
        <v>-1013743.22</v>
      </c>
      <c r="AM554" s="794">
        <f t="shared" si="4"/>
        <v>-255128</v>
      </c>
      <c r="AN554" s="794">
        <f t="array" ref="AN554">INDEX(G554:R554,1,MATCH(Parametres!$B$3,G$1:R$1,0))*IF(OR(F554="L",F554="S",F554="I"),-1,1)</f>
        <v>-1268871.22</v>
      </c>
      <c r="AO554" s="853" t="str">
        <f>+VLOOKUP($AJ554,Data_Validation!$A:$D,1,0)</f>
        <v>G42850</v>
      </c>
      <c r="AP554" s="853" t="str">
        <f>+VLOOKUP($AJ554,Data_Validation!$A:$D,3,0)</f>
        <v>Véhicules neufs</v>
      </c>
      <c r="AQ554" s="853" t="str">
        <f>+VLOOKUP($AJ554,Data_Validation!$A:$D,4,0)</f>
        <v>Camions détail</v>
      </c>
      <c r="AR554" s="853" t="s">
        <v>728</v>
      </c>
      <c r="AS554" s="853" t="str">
        <f>+VLOOKUP($AJ554,Data_Validation!$A:$E,5,0)</f>
        <v>Oui</v>
      </c>
      <c r="AT554" s="794" t="str">
        <f t="shared" ref="AT554:AU554" si="1106">C554</f>
        <v>G42850</v>
      </c>
      <c r="AU554" s="854" t="str">
        <f t="shared" si="1106"/>
        <v>VENTES CHEVROLET TRAX</v>
      </c>
      <c r="AV554" s="794">
        <f t="array" ref="AV554">IFERROR(INDEX(V554:AG554,1,MATCH(Parametres!$B$3,V$1:AG$1,0)-1)*IF(OR(C554="L",C554="S",C554="I"),-1,1),"")</f>
        <v>33</v>
      </c>
      <c r="AW554" s="794">
        <f t="shared" si="6"/>
        <v>8</v>
      </c>
      <c r="AX554" s="794">
        <f t="array" ref="AX554">INDEX(V554:AG554,1,MATCH(Parametres!$B$3,V$1:AG$1,0))*IF(OR(C554="L",C554="S",C554="I"),-1,1)</f>
        <v>41</v>
      </c>
      <c r="AY554" s="853" t="s">
        <v>772</v>
      </c>
      <c r="AZ554" s="853" t="str">
        <f>+VLOOKUP($AJ554,Data_Validation!$A:$E,5,0)</f>
        <v>Oui</v>
      </c>
    </row>
    <row r="555" ht="15.0" customHeight="1">
      <c r="A555" s="849" t="s">
        <v>1239</v>
      </c>
      <c r="B555" s="849">
        <v>2025.0</v>
      </c>
      <c r="C555" s="849" t="s">
        <v>2523</v>
      </c>
      <c r="D555" s="849" t="s">
        <v>2524</v>
      </c>
      <c r="E555" s="849" t="s">
        <v>2426</v>
      </c>
      <c r="F555" s="849" t="s">
        <v>2426</v>
      </c>
      <c r="G555" s="849">
        <v>94299.5</v>
      </c>
      <c r="H555" s="849">
        <v>467506.34</v>
      </c>
      <c r="I555" s="849">
        <v>600482.34</v>
      </c>
      <c r="J555" s="849">
        <v>600482.34</v>
      </c>
      <c r="K555" s="849">
        <v>981031.34</v>
      </c>
      <c r="L555" s="849">
        <v>1245642.34</v>
      </c>
      <c r="M555" s="849">
        <v>1434047.34</v>
      </c>
      <c r="N555" s="849">
        <v>1525610.34</v>
      </c>
      <c r="O555" s="849">
        <v>1607095.84</v>
      </c>
      <c r="P555" s="849">
        <v>1895564.85</v>
      </c>
      <c r="Q555" s="849">
        <v>2179624.35</v>
      </c>
      <c r="R555" s="849">
        <v>2279011.35</v>
      </c>
      <c r="S555" s="849">
        <v>198147.67</v>
      </c>
      <c r="T555" s="849">
        <v>198147.67</v>
      </c>
      <c r="U555" s="849">
        <v>0.0</v>
      </c>
      <c r="V555" s="849">
        <v>1.0</v>
      </c>
      <c r="W555" s="849">
        <v>5.0</v>
      </c>
      <c r="X555" s="849">
        <v>7.0</v>
      </c>
      <c r="Y555" s="849">
        <v>7.0</v>
      </c>
      <c r="Z555" s="849">
        <v>11.0</v>
      </c>
      <c r="AA555" s="849">
        <v>14.0</v>
      </c>
      <c r="AB555" s="849">
        <v>16.0</v>
      </c>
      <c r="AC555" s="849">
        <v>17.0</v>
      </c>
      <c r="AD555" s="849">
        <v>18.0</v>
      </c>
      <c r="AE555" s="849">
        <v>21.0</v>
      </c>
      <c r="AF555" s="849">
        <v>24.0</v>
      </c>
      <c r="AG555" s="849">
        <v>25.0</v>
      </c>
      <c r="AH555" s="849">
        <v>2.0</v>
      </c>
      <c r="AI555" s="849">
        <v>2.0</v>
      </c>
      <c r="AJ555" s="794" t="str">
        <f t="shared" ref="AJ555:AK555" si="1107">C555</f>
        <v>G42900</v>
      </c>
      <c r="AK555" s="794" t="str">
        <f t="shared" si="1107"/>
        <v>VTES-TAHOE/SUBURBAN</v>
      </c>
      <c r="AL555" s="794">
        <f t="array" ref="AL555">IFERROR(INDEX(G555:R555,1,MATCH(Parametres!$B$3,G$1:R$1,0)-1)*IF(OR(F555="L",F555="S",F555="I"),-1,1),"")</f>
        <v>-1525610.34</v>
      </c>
      <c r="AM555" s="794">
        <f t="shared" si="4"/>
        <v>-81485.5</v>
      </c>
      <c r="AN555" s="794">
        <f t="array" ref="AN555">INDEX(G555:R555,1,MATCH(Parametres!$B$3,G$1:R$1,0))*IF(OR(F555="L",F555="S",F555="I"),-1,1)</f>
        <v>-1607095.84</v>
      </c>
      <c r="AO555" s="853" t="str">
        <f>+VLOOKUP($AJ555,Data_Validation!$A:$D,1,0)</f>
        <v>G42900</v>
      </c>
      <c r="AP555" s="853" t="str">
        <f>+VLOOKUP($AJ555,Data_Validation!$A:$D,3,0)</f>
        <v>Véhicules neufs</v>
      </c>
      <c r="AQ555" s="853" t="str">
        <f>+VLOOKUP($AJ555,Data_Validation!$A:$D,4,0)</f>
        <v>Camions détail</v>
      </c>
      <c r="AR555" s="853" t="s">
        <v>728</v>
      </c>
      <c r="AS555" s="853" t="str">
        <f>+VLOOKUP($AJ555,Data_Validation!$A:$E,5,0)</f>
        <v>Oui</v>
      </c>
      <c r="AT555" s="794" t="str">
        <f t="shared" ref="AT555:AU555" si="1108">C555</f>
        <v>G42900</v>
      </c>
      <c r="AU555" s="854" t="str">
        <f t="shared" si="1108"/>
        <v>VTES-TAHOE/SUBURBAN</v>
      </c>
      <c r="AV555" s="794">
        <f t="array" ref="AV555">IFERROR(INDEX(V555:AG555,1,MATCH(Parametres!$B$3,V$1:AG$1,0)-1)*IF(OR(C555="L",C555="S",C555="I"),-1,1),"")</f>
        <v>17</v>
      </c>
      <c r="AW555" s="794">
        <f t="shared" si="6"/>
        <v>1</v>
      </c>
      <c r="AX555" s="794">
        <f t="array" ref="AX555">INDEX(V555:AG555,1,MATCH(Parametres!$B$3,V$1:AG$1,0))*IF(OR(C555="L",C555="S",C555="I"),-1,1)</f>
        <v>18</v>
      </c>
      <c r="AY555" s="853" t="s">
        <v>772</v>
      </c>
      <c r="AZ555" s="853" t="str">
        <f>+VLOOKUP($AJ555,Data_Validation!$A:$E,5,0)</f>
        <v>Oui</v>
      </c>
    </row>
    <row r="556" ht="15.0" customHeight="1">
      <c r="A556" s="849" t="s">
        <v>1239</v>
      </c>
      <c r="B556" s="849">
        <v>2025.0</v>
      </c>
      <c r="C556" s="849" t="s">
        <v>2525</v>
      </c>
      <c r="D556" s="849" t="s">
        <v>2526</v>
      </c>
      <c r="E556" s="849" t="s">
        <v>2426</v>
      </c>
      <c r="F556" s="849" t="s">
        <v>2426</v>
      </c>
      <c r="G556" s="849">
        <v>289698.73</v>
      </c>
      <c r="H556" s="849">
        <v>1154558.78</v>
      </c>
      <c r="I556" s="849">
        <v>1808982.4</v>
      </c>
      <c r="J556" s="849">
        <v>2695615.13</v>
      </c>
      <c r="K556" s="849">
        <v>3294811.35</v>
      </c>
      <c r="L556" s="849">
        <v>4326348.25</v>
      </c>
      <c r="M556" s="849">
        <v>5342557.46</v>
      </c>
      <c r="N556" s="849">
        <v>6693337.61</v>
      </c>
      <c r="O556" s="849">
        <v>7209560.65</v>
      </c>
      <c r="P556" s="849">
        <v>7582811.21</v>
      </c>
      <c r="Q556" s="849">
        <v>7822515.58</v>
      </c>
      <c r="R556" s="849">
        <v>8556411.94</v>
      </c>
      <c r="S556" s="849">
        <v>711137.78</v>
      </c>
      <c r="T556" s="849">
        <v>711137.78</v>
      </c>
      <c r="U556" s="849">
        <v>0.0</v>
      </c>
      <c r="V556" s="849">
        <v>4.0</v>
      </c>
      <c r="W556" s="849">
        <v>16.0</v>
      </c>
      <c r="X556" s="849">
        <v>25.0</v>
      </c>
      <c r="Y556" s="849">
        <v>37.0</v>
      </c>
      <c r="Z556" s="849">
        <v>45.0</v>
      </c>
      <c r="AA556" s="849">
        <v>59.0</v>
      </c>
      <c r="AB556" s="849">
        <v>74.0</v>
      </c>
      <c r="AC556" s="849">
        <v>94.0</v>
      </c>
      <c r="AD556" s="849">
        <v>101.0</v>
      </c>
      <c r="AE556" s="849">
        <v>106.0</v>
      </c>
      <c r="AF556" s="849">
        <v>109.0</v>
      </c>
      <c r="AG556" s="849">
        <v>119.0</v>
      </c>
      <c r="AH556" s="849">
        <v>10.0</v>
      </c>
      <c r="AI556" s="849">
        <v>10.0</v>
      </c>
      <c r="AJ556" s="794" t="str">
        <f t="shared" ref="AJ556:AK556" si="1109">C556</f>
        <v>G43000</v>
      </c>
      <c r="AK556" s="794" t="str">
        <f t="shared" si="1109"/>
        <v>VTES-CL 1500 SILVERADO</v>
      </c>
      <c r="AL556" s="794">
        <f t="array" ref="AL556">IFERROR(INDEX(G556:R556,1,MATCH(Parametres!$B$3,G$1:R$1,0)-1)*IF(OR(F556="L",F556="S",F556="I"),-1,1),"")</f>
        <v>-6693337.61</v>
      </c>
      <c r="AM556" s="794">
        <f t="shared" si="4"/>
        <v>-516223.04</v>
      </c>
      <c r="AN556" s="794">
        <f t="array" ref="AN556">INDEX(G556:R556,1,MATCH(Parametres!$B$3,G$1:R$1,0))*IF(OR(F556="L",F556="S",F556="I"),-1,1)</f>
        <v>-7209560.65</v>
      </c>
      <c r="AO556" s="853" t="str">
        <f>+VLOOKUP($AJ556,Data_Validation!$A:$D,1,0)</f>
        <v>G43000</v>
      </c>
      <c r="AP556" s="853" t="str">
        <f>+VLOOKUP($AJ556,Data_Validation!$A:$D,3,0)</f>
        <v>Véhicules neufs</v>
      </c>
      <c r="AQ556" s="853" t="str">
        <f>+VLOOKUP($AJ556,Data_Validation!$A:$D,4,0)</f>
        <v>Camions détail</v>
      </c>
      <c r="AR556" s="853" t="s">
        <v>728</v>
      </c>
      <c r="AS556" s="853" t="str">
        <f>+VLOOKUP($AJ556,Data_Validation!$A:$E,5,0)</f>
        <v>Oui</v>
      </c>
      <c r="AT556" s="794" t="str">
        <f t="shared" ref="AT556:AU556" si="1110">C556</f>
        <v>G43000</v>
      </c>
      <c r="AU556" s="854" t="str">
        <f t="shared" si="1110"/>
        <v>VTES-CL 1500 SILVERADO</v>
      </c>
      <c r="AV556" s="794">
        <f t="array" ref="AV556">IFERROR(INDEX(V556:AG556,1,MATCH(Parametres!$B$3,V$1:AG$1,0)-1)*IF(OR(C556="L",C556="S",C556="I"),-1,1),"")</f>
        <v>94</v>
      </c>
      <c r="AW556" s="794">
        <f t="shared" si="6"/>
        <v>7</v>
      </c>
      <c r="AX556" s="794">
        <f t="array" ref="AX556">INDEX(V556:AG556,1,MATCH(Parametres!$B$3,V$1:AG$1,0))*IF(OR(C556="L",C556="S",C556="I"),-1,1)</f>
        <v>101</v>
      </c>
      <c r="AY556" s="853" t="s">
        <v>772</v>
      </c>
      <c r="AZ556" s="853" t="str">
        <f>+VLOOKUP($AJ556,Data_Validation!$A:$E,5,0)</f>
        <v>Oui</v>
      </c>
    </row>
    <row r="557" ht="15.0" customHeight="1">
      <c r="A557" s="849" t="s">
        <v>1239</v>
      </c>
      <c r="B557" s="849">
        <v>2025.0</v>
      </c>
      <c r="C557" s="849" t="s">
        <v>2527</v>
      </c>
      <c r="D557" s="849" t="s">
        <v>2528</v>
      </c>
      <c r="E557" s="849" t="s">
        <v>2426</v>
      </c>
      <c r="F557" s="849" t="s">
        <v>2426</v>
      </c>
      <c r="G557" s="849">
        <v>115225.0</v>
      </c>
      <c r="H557" s="849">
        <v>115225.0</v>
      </c>
      <c r="I557" s="849">
        <v>115225.0</v>
      </c>
      <c r="J557" s="849">
        <v>202751.01</v>
      </c>
      <c r="K557" s="849">
        <v>314062.01</v>
      </c>
      <c r="L557" s="849">
        <v>314062.01</v>
      </c>
      <c r="M557" s="849">
        <v>314062.01</v>
      </c>
      <c r="N557" s="849">
        <v>314062.01</v>
      </c>
      <c r="O557" s="849">
        <v>532509.01</v>
      </c>
      <c r="P557" s="849">
        <v>758751.01</v>
      </c>
      <c r="Q557" s="849">
        <v>869145.01</v>
      </c>
      <c r="R557" s="849">
        <v>869145.01</v>
      </c>
      <c r="S557" s="849">
        <v>79013.18</v>
      </c>
      <c r="T557" s="849">
        <v>79013.18</v>
      </c>
      <c r="U557" s="849">
        <v>0.0</v>
      </c>
      <c r="V557" s="849">
        <v>1.0</v>
      </c>
      <c r="W557" s="849">
        <v>1.0</v>
      </c>
      <c r="X557" s="849">
        <v>1.0</v>
      </c>
      <c r="Y557" s="849">
        <v>2.0</v>
      </c>
      <c r="Z557" s="849">
        <v>3.0</v>
      </c>
      <c r="AA557" s="849">
        <v>3.0</v>
      </c>
      <c r="AB557" s="849">
        <v>3.0</v>
      </c>
      <c r="AC557" s="849">
        <v>3.0</v>
      </c>
      <c r="AD557" s="849">
        <v>5.0</v>
      </c>
      <c r="AE557" s="849">
        <v>7.0</v>
      </c>
      <c r="AF557" s="849">
        <v>8.0</v>
      </c>
      <c r="AG557" s="849">
        <v>8.0</v>
      </c>
      <c r="AH557" s="849">
        <v>1.0</v>
      </c>
      <c r="AI557" s="849">
        <v>1.0</v>
      </c>
      <c r="AJ557" s="794" t="str">
        <f t="shared" ref="AJ557:AK557" si="1111">C557</f>
        <v>G43001</v>
      </c>
      <c r="AK557" s="794" t="str">
        <f t="shared" si="1111"/>
        <v>VTES - SILVERADO EV</v>
      </c>
      <c r="AL557" s="794">
        <f t="array" ref="AL557">IFERROR(INDEX(G557:R557,1,MATCH(Parametres!$B$3,G$1:R$1,0)-1)*IF(OR(F557="L",F557="S",F557="I"),-1,1),"")</f>
        <v>-314062.01</v>
      </c>
      <c r="AM557" s="794">
        <f t="shared" si="4"/>
        <v>-218447</v>
      </c>
      <c r="AN557" s="794">
        <f t="array" ref="AN557">INDEX(G557:R557,1,MATCH(Parametres!$B$3,G$1:R$1,0))*IF(OR(F557="L",F557="S",F557="I"),-1,1)</f>
        <v>-532509.01</v>
      </c>
      <c r="AO557" s="853" t="str">
        <f>+VLOOKUP($AJ557,Data_Validation!$A:$D,1,0)</f>
        <v>G43001</v>
      </c>
      <c r="AP557" s="853" t="str">
        <f>+VLOOKUP($AJ557,Data_Validation!$A:$D,3,0)</f>
        <v>Véhicules neufs</v>
      </c>
      <c r="AQ557" s="853" t="str">
        <f>+VLOOKUP($AJ557,Data_Validation!$A:$D,4,0)</f>
        <v>Camions electriques</v>
      </c>
      <c r="AR557" s="853" t="s">
        <v>728</v>
      </c>
      <c r="AS557" s="853" t="str">
        <f>+VLOOKUP($AJ557,Data_Validation!$A:$E,5,0)</f>
        <v>Oui</v>
      </c>
      <c r="AT557" s="794" t="str">
        <f t="shared" ref="AT557:AU557" si="1112">C557</f>
        <v>G43001</v>
      </c>
      <c r="AU557" s="854" t="str">
        <f t="shared" si="1112"/>
        <v>VTES - SILVERADO EV</v>
      </c>
      <c r="AV557" s="794">
        <f t="array" ref="AV557">IFERROR(INDEX(V557:AG557,1,MATCH(Parametres!$B$3,V$1:AG$1,0)-1)*IF(OR(C557="L",C557="S",C557="I"),-1,1),"")</f>
        <v>3</v>
      </c>
      <c r="AW557" s="794">
        <f t="shared" si="6"/>
        <v>2</v>
      </c>
      <c r="AX557" s="794">
        <f t="array" ref="AX557">INDEX(V557:AG557,1,MATCH(Parametres!$B$3,V$1:AG$1,0))*IF(OR(C557="L",C557="S",C557="I"),-1,1)</f>
        <v>5</v>
      </c>
      <c r="AY557" s="853" t="s">
        <v>772</v>
      </c>
      <c r="AZ557" s="853" t="str">
        <f>+VLOOKUP($AJ557,Data_Validation!$A:$E,5,0)</f>
        <v>Oui</v>
      </c>
    </row>
    <row r="558" ht="15.0" customHeight="1">
      <c r="A558" s="849" t="s">
        <v>1239</v>
      </c>
      <c r="B558" s="849">
        <v>2025.0</v>
      </c>
      <c r="C558" s="849" t="s">
        <v>2529</v>
      </c>
      <c r="D558" s="849" t="s">
        <v>2530</v>
      </c>
      <c r="E558" s="849" t="s">
        <v>2426</v>
      </c>
      <c r="F558" s="849" t="s">
        <v>2426</v>
      </c>
      <c r="G558" s="849">
        <v>0.0</v>
      </c>
      <c r="H558" s="849">
        <v>284745.54</v>
      </c>
      <c r="I558" s="849">
        <v>710539.54</v>
      </c>
      <c r="J558" s="849">
        <v>1023599.54</v>
      </c>
      <c r="K558" s="849">
        <v>1023599.54</v>
      </c>
      <c r="L558" s="849">
        <v>1133321.04</v>
      </c>
      <c r="M558" s="849">
        <v>1336388.04</v>
      </c>
      <c r="N558" s="849">
        <v>1653380.98</v>
      </c>
      <c r="O558" s="849">
        <v>1876617.82</v>
      </c>
      <c r="P558" s="849">
        <v>2289980.92</v>
      </c>
      <c r="Q558" s="849">
        <v>2412383.92</v>
      </c>
      <c r="R558" s="849">
        <v>2670354.12</v>
      </c>
      <c r="S558" s="849">
        <v>219307.63</v>
      </c>
      <c r="T558" s="849">
        <v>219307.63</v>
      </c>
      <c r="U558" s="849">
        <v>0.0</v>
      </c>
      <c r="V558" s="849">
        <v>0.0</v>
      </c>
      <c r="W558" s="849">
        <v>3.0</v>
      </c>
      <c r="X558" s="849">
        <v>7.0</v>
      </c>
      <c r="Y558" s="849">
        <v>10.0</v>
      </c>
      <c r="Z558" s="849">
        <v>10.0</v>
      </c>
      <c r="AA558" s="849">
        <v>11.0</v>
      </c>
      <c r="AB558" s="849">
        <v>13.0</v>
      </c>
      <c r="AC558" s="849">
        <v>16.0</v>
      </c>
      <c r="AD558" s="849">
        <v>18.0</v>
      </c>
      <c r="AE558" s="849">
        <v>22.0</v>
      </c>
      <c r="AF558" s="849">
        <v>23.0</v>
      </c>
      <c r="AG558" s="849">
        <v>25.0</v>
      </c>
      <c r="AH558" s="849">
        <v>2.0</v>
      </c>
      <c r="AI558" s="849">
        <v>2.0</v>
      </c>
      <c r="AJ558" s="794" t="str">
        <f t="shared" ref="AJ558:AK558" si="1113">C558</f>
        <v>G43002</v>
      </c>
      <c r="AK558" s="794" t="str">
        <f t="shared" si="1113"/>
        <v>VENTES - YUKON</v>
      </c>
      <c r="AL558" s="794">
        <f t="array" ref="AL558">IFERROR(INDEX(G558:R558,1,MATCH(Parametres!$B$3,G$1:R$1,0)-1)*IF(OR(F558="L",F558="S",F558="I"),-1,1),"")</f>
        <v>-1653380.98</v>
      </c>
      <c r="AM558" s="794">
        <f t="shared" si="4"/>
        <v>-223236.84</v>
      </c>
      <c r="AN558" s="794">
        <f t="array" ref="AN558">INDEX(G558:R558,1,MATCH(Parametres!$B$3,G$1:R$1,0))*IF(OR(F558="L",F558="S",F558="I"),-1,1)</f>
        <v>-1876617.82</v>
      </c>
      <c r="AO558" s="853" t="str">
        <f>+VLOOKUP($AJ558,Data_Validation!$A:$D,1,0)</f>
        <v>G43002</v>
      </c>
      <c r="AP558" s="853" t="str">
        <f>+VLOOKUP($AJ558,Data_Validation!$A:$D,3,0)</f>
        <v>Véhicules neufs</v>
      </c>
      <c r="AQ558" s="853" t="str">
        <f>+VLOOKUP($AJ558,Data_Validation!$A:$D,4,0)</f>
        <v>Camions détail</v>
      </c>
      <c r="AR558" s="853" t="s">
        <v>728</v>
      </c>
      <c r="AS558" s="853" t="str">
        <f>+VLOOKUP($AJ558,Data_Validation!$A:$E,5,0)</f>
        <v>Oui</v>
      </c>
      <c r="AT558" s="794" t="str">
        <f t="shared" ref="AT558:AU558" si="1114">C558</f>
        <v>G43002</v>
      </c>
      <c r="AU558" s="854" t="str">
        <f t="shared" si="1114"/>
        <v>VENTES - YUKON</v>
      </c>
      <c r="AV558" s="794">
        <f t="array" ref="AV558">IFERROR(INDEX(V558:AG558,1,MATCH(Parametres!$B$3,V$1:AG$1,0)-1)*IF(OR(C558="L",C558="S",C558="I"),-1,1),"")</f>
        <v>16</v>
      </c>
      <c r="AW558" s="794">
        <f t="shared" si="6"/>
        <v>2</v>
      </c>
      <c r="AX558" s="794">
        <f t="array" ref="AX558">INDEX(V558:AG558,1,MATCH(Parametres!$B$3,V$1:AG$1,0))*IF(OR(C558="L",C558="S",C558="I"),-1,1)</f>
        <v>18</v>
      </c>
      <c r="AY558" s="853" t="s">
        <v>772</v>
      </c>
      <c r="AZ558" s="853" t="str">
        <f>+VLOOKUP($AJ558,Data_Validation!$A:$E,5,0)</f>
        <v>Oui</v>
      </c>
    </row>
    <row r="559" ht="15.0" customHeight="1">
      <c r="A559" s="849" t="s">
        <v>1239</v>
      </c>
      <c r="B559" s="849">
        <v>2025.0</v>
      </c>
      <c r="C559" s="849" t="s">
        <v>2531</v>
      </c>
      <c r="D559" s="849" t="s">
        <v>2532</v>
      </c>
      <c r="E559" s="849" t="s">
        <v>2426</v>
      </c>
      <c r="F559" s="849" t="s">
        <v>2426</v>
      </c>
      <c r="G559" s="849">
        <v>0.0</v>
      </c>
      <c r="H559" s="849">
        <v>0.0</v>
      </c>
      <c r="I559" s="849">
        <v>0.0</v>
      </c>
      <c r="J559" s="849">
        <v>0.0</v>
      </c>
      <c r="K559" s="849">
        <v>0.0</v>
      </c>
      <c r="L559" s="849">
        <v>0.0</v>
      </c>
      <c r="M559" s="849">
        <v>0.0</v>
      </c>
      <c r="N559" s="849">
        <v>0.0</v>
      </c>
      <c r="O559" s="849">
        <v>0.0</v>
      </c>
      <c r="P559" s="849">
        <v>0.0</v>
      </c>
      <c r="Q559" s="849">
        <v>0.0</v>
      </c>
      <c r="R559" s="849">
        <v>0.0</v>
      </c>
      <c r="S559" s="849">
        <v>0.0</v>
      </c>
      <c r="T559" s="849">
        <v>0.0</v>
      </c>
      <c r="U559" s="849">
        <v>0.0</v>
      </c>
      <c r="V559" s="849">
        <v>0.0</v>
      </c>
      <c r="W559" s="849">
        <v>0.0</v>
      </c>
      <c r="X559" s="849">
        <v>0.0</v>
      </c>
      <c r="Y559" s="849">
        <v>0.0</v>
      </c>
      <c r="Z559" s="849">
        <v>0.0</v>
      </c>
      <c r="AA559" s="849">
        <v>0.0</v>
      </c>
      <c r="AB559" s="849">
        <v>0.0</v>
      </c>
      <c r="AC559" s="849">
        <v>0.0</v>
      </c>
      <c r="AD559" s="849">
        <v>0.0</v>
      </c>
      <c r="AE559" s="849">
        <v>0.0</v>
      </c>
      <c r="AF559" s="849">
        <v>0.0</v>
      </c>
      <c r="AG559" s="849">
        <v>0.0</v>
      </c>
      <c r="AH559" s="849">
        <v>0.0</v>
      </c>
      <c r="AI559" s="849">
        <v>0.0</v>
      </c>
      <c r="AJ559" s="794" t="str">
        <f t="shared" ref="AJ559:AK559" si="1115">C559</f>
        <v>G43020</v>
      </c>
      <c r="AK559" s="794" t="str">
        <f t="shared" si="1115"/>
        <v>CL 1500 SILVERADO    -LOC</v>
      </c>
      <c r="AL559" s="794">
        <f t="array" ref="AL559">IFERROR(INDEX(G559:R559,1,MATCH(Parametres!$B$3,G$1:R$1,0)-1)*IF(OR(F559="L",F559="S",F559="I"),-1,1),"")</f>
        <v>0</v>
      </c>
      <c r="AM559" s="794">
        <f t="shared" si="4"/>
        <v>0</v>
      </c>
      <c r="AN559" s="794">
        <f t="array" ref="AN559">INDEX(G559:R559,1,MATCH(Parametres!$B$3,G$1:R$1,0))*IF(OR(F559="L",F559="S",F559="I"),-1,1)</f>
        <v>0</v>
      </c>
      <c r="AO559" s="853" t="str">
        <f>+VLOOKUP($AJ559,Data_Validation!$A:$D,1,0)</f>
        <v>#N/A</v>
      </c>
      <c r="AP559" s="853" t="str">
        <f>+VLOOKUP($AJ559,Data_Validation!$A:$D,3,0)</f>
        <v>#N/A</v>
      </c>
      <c r="AQ559" s="853" t="str">
        <f>+VLOOKUP($AJ559,Data_Validation!$A:$D,4,0)</f>
        <v>#N/A</v>
      </c>
      <c r="AR559" s="853" t="s">
        <v>728</v>
      </c>
      <c r="AS559" s="853" t="str">
        <f>+VLOOKUP($AJ559,Data_Validation!$A:$E,5,0)</f>
        <v>#N/A</v>
      </c>
      <c r="AT559" s="794" t="str">
        <f t="shared" ref="AT559:AU559" si="1116">C559</f>
        <v>G43020</v>
      </c>
      <c r="AU559" s="854" t="str">
        <f t="shared" si="1116"/>
        <v>CL 1500 SILVERADO    -LOC</v>
      </c>
      <c r="AV559" s="794">
        <f t="array" ref="AV559">IFERROR(INDEX(V559:AG559,1,MATCH(Parametres!$B$3,V$1:AG$1,0)-1)*IF(OR(C559="L",C559="S",C559="I"),-1,1),"")</f>
        <v>0</v>
      </c>
      <c r="AW559" s="794">
        <f t="shared" si="6"/>
        <v>0</v>
      </c>
      <c r="AX559" s="794">
        <f t="array" ref="AX559">INDEX(V559:AG559,1,MATCH(Parametres!$B$3,V$1:AG$1,0))*IF(OR(C559="L",C559="S",C559="I"),-1,1)</f>
        <v>0</v>
      </c>
      <c r="AY559" s="853" t="s">
        <v>772</v>
      </c>
      <c r="AZ559" s="853" t="str">
        <f>+VLOOKUP($AJ559,Data_Validation!$A:$E,5,0)</f>
        <v>#N/A</v>
      </c>
    </row>
    <row r="560" ht="15.0" customHeight="1">
      <c r="A560" s="849" t="s">
        <v>1239</v>
      </c>
      <c r="B560" s="849">
        <v>2025.0</v>
      </c>
      <c r="C560" s="849" t="s">
        <v>2533</v>
      </c>
      <c r="D560" s="849" t="s">
        <v>2534</v>
      </c>
      <c r="E560" s="849" t="s">
        <v>2426</v>
      </c>
      <c r="F560" s="849" t="s">
        <v>2426</v>
      </c>
      <c r="G560" s="849">
        <v>310608.32</v>
      </c>
      <c r="H560" s="849">
        <v>616920.73</v>
      </c>
      <c r="I560" s="849">
        <v>937052.23</v>
      </c>
      <c r="J560" s="849">
        <v>1206106.01</v>
      </c>
      <c r="K560" s="849">
        <v>1560491.01</v>
      </c>
      <c r="L560" s="849">
        <v>1665443.21</v>
      </c>
      <c r="M560" s="849">
        <v>2335917.68</v>
      </c>
      <c r="N560" s="849">
        <v>2824032.92</v>
      </c>
      <c r="O560" s="849">
        <v>2824032.92</v>
      </c>
      <c r="P560" s="849">
        <v>2921771.92</v>
      </c>
      <c r="Q560" s="849">
        <v>3221960.74</v>
      </c>
      <c r="R560" s="849">
        <v>3418838.53</v>
      </c>
      <c r="S560" s="849">
        <v>292905.52</v>
      </c>
      <c r="T560" s="849">
        <v>292905.52</v>
      </c>
      <c r="U560" s="849">
        <v>0.0</v>
      </c>
      <c r="V560" s="849">
        <v>3.0</v>
      </c>
      <c r="W560" s="849">
        <v>6.0</v>
      </c>
      <c r="X560" s="849">
        <v>9.0</v>
      </c>
      <c r="Y560" s="849">
        <v>12.0</v>
      </c>
      <c r="Z560" s="849">
        <v>16.0</v>
      </c>
      <c r="AA560" s="849">
        <v>17.0</v>
      </c>
      <c r="AB560" s="849">
        <v>24.0</v>
      </c>
      <c r="AC560" s="849">
        <v>29.0</v>
      </c>
      <c r="AD560" s="849">
        <v>29.0</v>
      </c>
      <c r="AE560" s="849">
        <v>30.0</v>
      </c>
      <c r="AF560" s="849">
        <v>33.0</v>
      </c>
      <c r="AG560" s="849">
        <v>35.0</v>
      </c>
      <c r="AH560" s="849">
        <v>3.0</v>
      </c>
      <c r="AI560" s="849">
        <v>3.0</v>
      </c>
      <c r="AJ560" s="794" t="str">
        <f t="shared" ref="AJ560:AK560" si="1117">C560</f>
        <v>G43100</v>
      </c>
      <c r="AK560" s="794" t="str">
        <f t="shared" si="1117"/>
        <v>VTES-CL 2500 SILVERADO</v>
      </c>
      <c r="AL560" s="794">
        <f t="array" ref="AL560">IFERROR(INDEX(G560:R560,1,MATCH(Parametres!$B$3,G$1:R$1,0)-1)*IF(OR(F560="L",F560="S",F560="I"),-1,1),"")</f>
        <v>-2824032.92</v>
      </c>
      <c r="AM560" s="794">
        <f t="shared" si="4"/>
        <v>0</v>
      </c>
      <c r="AN560" s="794">
        <f t="array" ref="AN560">INDEX(G560:R560,1,MATCH(Parametres!$B$3,G$1:R$1,0))*IF(OR(F560="L",F560="S",F560="I"),-1,1)</f>
        <v>-2824032.92</v>
      </c>
      <c r="AO560" s="853" t="str">
        <f>+VLOOKUP($AJ560,Data_Validation!$A:$D,1,0)</f>
        <v>G43100</v>
      </c>
      <c r="AP560" s="853" t="str">
        <f>+VLOOKUP($AJ560,Data_Validation!$A:$D,3,0)</f>
        <v>Véhicules neufs</v>
      </c>
      <c r="AQ560" s="853" t="str">
        <f>+VLOOKUP($AJ560,Data_Validation!$A:$D,4,0)</f>
        <v>Camions détail</v>
      </c>
      <c r="AR560" s="853" t="s">
        <v>728</v>
      </c>
      <c r="AS560" s="853" t="str">
        <f>+VLOOKUP($AJ560,Data_Validation!$A:$E,5,0)</f>
        <v>Oui</v>
      </c>
      <c r="AT560" s="794" t="str">
        <f t="shared" ref="AT560:AU560" si="1118">C560</f>
        <v>G43100</v>
      </c>
      <c r="AU560" s="854" t="str">
        <f t="shared" si="1118"/>
        <v>VTES-CL 2500 SILVERADO</v>
      </c>
      <c r="AV560" s="794">
        <f t="array" ref="AV560">IFERROR(INDEX(V560:AG560,1,MATCH(Parametres!$B$3,V$1:AG$1,0)-1)*IF(OR(C560="L",C560="S",C560="I"),-1,1),"")</f>
        <v>29</v>
      </c>
      <c r="AW560" s="794">
        <f t="shared" si="6"/>
        <v>0</v>
      </c>
      <c r="AX560" s="794">
        <f t="array" ref="AX560">INDEX(V560:AG560,1,MATCH(Parametres!$B$3,V$1:AG$1,0))*IF(OR(C560="L",C560="S",C560="I"),-1,1)</f>
        <v>29</v>
      </c>
      <c r="AY560" s="853" t="s">
        <v>772</v>
      </c>
      <c r="AZ560" s="853" t="str">
        <f>+VLOOKUP($AJ560,Data_Validation!$A:$E,5,0)</f>
        <v>Oui</v>
      </c>
    </row>
    <row r="561" ht="15.0" customHeight="1">
      <c r="A561" s="849" t="s">
        <v>1239</v>
      </c>
      <c r="B561" s="849">
        <v>2025.0</v>
      </c>
      <c r="C561" s="849" t="s">
        <v>2535</v>
      </c>
      <c r="D561" s="849" t="s">
        <v>2536</v>
      </c>
      <c r="E561" s="849" t="s">
        <v>2426</v>
      </c>
      <c r="F561" s="849" t="s">
        <v>2426</v>
      </c>
      <c r="G561" s="849">
        <v>634804.61</v>
      </c>
      <c r="H561" s="849">
        <v>1394615.75</v>
      </c>
      <c r="I561" s="849">
        <v>2212545.91</v>
      </c>
      <c r="J561" s="849">
        <v>3214189.16</v>
      </c>
      <c r="K561" s="849">
        <v>3641867.79</v>
      </c>
      <c r="L561" s="849">
        <v>4440369.91</v>
      </c>
      <c r="M561" s="849">
        <v>5193500.75</v>
      </c>
      <c r="N561" s="849">
        <v>5798727.66</v>
      </c>
      <c r="O561" s="849">
        <v>6136788.99</v>
      </c>
      <c r="P561" s="849">
        <v>6799026.88</v>
      </c>
      <c r="Q561" s="849">
        <v>7147079.04</v>
      </c>
      <c r="R561" s="849">
        <v>7407591.76</v>
      </c>
      <c r="S561" s="849">
        <v>649734.46</v>
      </c>
      <c r="T561" s="849">
        <v>649734.46</v>
      </c>
      <c r="U561" s="849">
        <v>0.0</v>
      </c>
      <c r="V561" s="849">
        <v>9.0</v>
      </c>
      <c r="W561" s="849">
        <v>19.0</v>
      </c>
      <c r="X561" s="849">
        <v>29.0</v>
      </c>
      <c r="Y561" s="849">
        <v>42.0</v>
      </c>
      <c r="Z561" s="849">
        <v>48.0</v>
      </c>
      <c r="AA561" s="849">
        <v>58.0</v>
      </c>
      <c r="AB561" s="849">
        <v>68.0</v>
      </c>
      <c r="AC561" s="849">
        <v>76.0</v>
      </c>
      <c r="AD561" s="849">
        <v>80.0</v>
      </c>
      <c r="AE561" s="849">
        <v>88.0</v>
      </c>
      <c r="AF561" s="849">
        <v>92.0</v>
      </c>
      <c r="AG561" s="849">
        <v>95.0</v>
      </c>
      <c r="AH561" s="849">
        <v>8.0</v>
      </c>
      <c r="AI561" s="849">
        <v>8.0</v>
      </c>
      <c r="AJ561" s="794" t="str">
        <f t="shared" ref="AJ561:AK561" si="1119">C561</f>
        <v>G43102</v>
      </c>
      <c r="AK561" s="794" t="str">
        <f t="shared" si="1119"/>
        <v>VENTE CL 1500 SIERRA</v>
      </c>
      <c r="AL561" s="794">
        <f t="array" ref="AL561">IFERROR(INDEX(G561:R561,1,MATCH(Parametres!$B$3,G$1:R$1,0)-1)*IF(OR(F561="L",F561="S",F561="I"),-1,1),"")</f>
        <v>-5798727.66</v>
      </c>
      <c r="AM561" s="794">
        <f t="shared" si="4"/>
        <v>-338061.33</v>
      </c>
      <c r="AN561" s="794">
        <f t="array" ref="AN561">INDEX(G561:R561,1,MATCH(Parametres!$B$3,G$1:R$1,0))*IF(OR(F561="L",F561="S",F561="I"),-1,1)</f>
        <v>-6136788.99</v>
      </c>
      <c r="AO561" s="853" t="str">
        <f>+VLOOKUP($AJ561,Data_Validation!$A:$D,1,0)</f>
        <v>G43102</v>
      </c>
      <c r="AP561" s="853" t="str">
        <f>+VLOOKUP($AJ561,Data_Validation!$A:$D,3,0)</f>
        <v>Véhicules neufs</v>
      </c>
      <c r="AQ561" s="853" t="str">
        <f>+VLOOKUP($AJ561,Data_Validation!$A:$D,4,0)</f>
        <v>Camions détail</v>
      </c>
      <c r="AR561" s="853" t="s">
        <v>728</v>
      </c>
      <c r="AS561" s="853" t="str">
        <f>+VLOOKUP($AJ561,Data_Validation!$A:$E,5,0)</f>
        <v>Oui</v>
      </c>
      <c r="AT561" s="794" t="str">
        <f t="shared" ref="AT561:AU561" si="1120">C561</f>
        <v>G43102</v>
      </c>
      <c r="AU561" s="854" t="str">
        <f t="shared" si="1120"/>
        <v>VENTE CL 1500 SIERRA</v>
      </c>
      <c r="AV561" s="794">
        <f t="array" ref="AV561">IFERROR(INDEX(V561:AG561,1,MATCH(Parametres!$B$3,V$1:AG$1,0)-1)*IF(OR(C561="L",C561="S",C561="I"),-1,1),"")</f>
        <v>76</v>
      </c>
      <c r="AW561" s="794">
        <f t="shared" si="6"/>
        <v>4</v>
      </c>
      <c r="AX561" s="794">
        <f t="array" ref="AX561">INDEX(V561:AG561,1,MATCH(Parametres!$B$3,V$1:AG$1,0))*IF(OR(C561="L",C561="S",C561="I"),-1,1)</f>
        <v>80</v>
      </c>
      <c r="AY561" s="853" t="s">
        <v>772</v>
      </c>
      <c r="AZ561" s="853" t="str">
        <f>+VLOOKUP($AJ561,Data_Validation!$A:$E,5,0)</f>
        <v>Oui</v>
      </c>
    </row>
    <row r="562" ht="15.0" customHeight="1">
      <c r="A562" s="849" t="s">
        <v>1239</v>
      </c>
      <c r="B562" s="849">
        <v>2025.0</v>
      </c>
      <c r="C562" s="849" t="s">
        <v>2537</v>
      </c>
      <c r="D562" s="849" t="s">
        <v>2538</v>
      </c>
      <c r="E562" s="849" t="s">
        <v>2426</v>
      </c>
      <c r="F562" s="849" t="s">
        <v>2426</v>
      </c>
      <c r="G562" s="849">
        <v>124484.19</v>
      </c>
      <c r="H562" s="849">
        <v>124484.19</v>
      </c>
      <c r="I562" s="849">
        <v>245850.81</v>
      </c>
      <c r="J562" s="849">
        <v>360003.81</v>
      </c>
      <c r="K562" s="849">
        <v>589814.81</v>
      </c>
      <c r="L562" s="849">
        <v>811527.81</v>
      </c>
      <c r="M562" s="849">
        <v>1130739.81</v>
      </c>
      <c r="N562" s="849">
        <v>1130739.81</v>
      </c>
      <c r="O562" s="849">
        <v>1230858.81</v>
      </c>
      <c r="P562" s="849">
        <v>1342036.31</v>
      </c>
      <c r="Q562" s="849">
        <v>1342036.31</v>
      </c>
      <c r="R562" s="849">
        <v>1342036.31</v>
      </c>
      <c r="S562" s="849">
        <v>122003.3</v>
      </c>
      <c r="T562" s="849">
        <v>122003.3</v>
      </c>
      <c r="U562" s="849">
        <v>0.0</v>
      </c>
      <c r="V562" s="849">
        <v>1.0</v>
      </c>
      <c r="W562" s="849">
        <v>1.0</v>
      </c>
      <c r="X562" s="849">
        <v>2.0</v>
      </c>
      <c r="Y562" s="849">
        <v>3.0</v>
      </c>
      <c r="Z562" s="849">
        <v>5.0</v>
      </c>
      <c r="AA562" s="849">
        <v>7.0</v>
      </c>
      <c r="AB562" s="849">
        <v>10.0</v>
      </c>
      <c r="AC562" s="849">
        <v>10.0</v>
      </c>
      <c r="AD562" s="849">
        <v>11.0</v>
      </c>
      <c r="AE562" s="849">
        <v>12.0</v>
      </c>
      <c r="AF562" s="849">
        <v>12.0</v>
      </c>
      <c r="AG562" s="849">
        <v>12.0</v>
      </c>
      <c r="AH562" s="849">
        <v>1.0</v>
      </c>
      <c r="AI562" s="849">
        <v>1.0</v>
      </c>
      <c r="AJ562" s="794" t="str">
        <f t="shared" ref="AJ562:AK562" si="1121">C562</f>
        <v>G43103</v>
      </c>
      <c r="AK562" s="794" t="str">
        <f t="shared" si="1121"/>
        <v>VENTE - SIERRA EV</v>
      </c>
      <c r="AL562" s="794">
        <f t="array" ref="AL562">IFERROR(INDEX(G562:R562,1,MATCH(Parametres!$B$3,G$1:R$1,0)-1)*IF(OR(F562="L",F562="S",F562="I"),-1,1),"")</f>
        <v>-1130739.81</v>
      </c>
      <c r="AM562" s="794">
        <f t="shared" si="4"/>
        <v>-100119</v>
      </c>
      <c r="AN562" s="794">
        <f t="array" ref="AN562">INDEX(G562:R562,1,MATCH(Parametres!$B$3,G$1:R$1,0))*IF(OR(F562="L",F562="S",F562="I"),-1,1)</f>
        <v>-1230858.81</v>
      </c>
      <c r="AO562" s="853" t="str">
        <f>+VLOOKUP($AJ562,Data_Validation!$A:$D,1,0)</f>
        <v>G43103</v>
      </c>
      <c r="AP562" s="853" t="str">
        <f>+VLOOKUP($AJ562,Data_Validation!$A:$D,3,0)</f>
        <v>Véhicules neufs</v>
      </c>
      <c r="AQ562" s="853" t="str">
        <f>+VLOOKUP($AJ562,Data_Validation!$A:$D,4,0)</f>
        <v>Camions electriques</v>
      </c>
      <c r="AR562" s="853" t="s">
        <v>728</v>
      </c>
      <c r="AS562" s="853" t="str">
        <f>+VLOOKUP($AJ562,Data_Validation!$A:$E,5,0)</f>
        <v>Oui</v>
      </c>
      <c r="AT562" s="794" t="str">
        <f t="shared" ref="AT562:AU562" si="1122">C562</f>
        <v>G43103</v>
      </c>
      <c r="AU562" s="854" t="str">
        <f t="shared" si="1122"/>
        <v>VENTE - SIERRA EV</v>
      </c>
      <c r="AV562" s="794">
        <f t="array" ref="AV562">IFERROR(INDEX(V562:AG562,1,MATCH(Parametres!$B$3,V$1:AG$1,0)-1)*IF(OR(C562="L",C562="S",C562="I"),-1,1),"")</f>
        <v>10</v>
      </c>
      <c r="AW562" s="794">
        <f t="shared" si="6"/>
        <v>1</v>
      </c>
      <c r="AX562" s="794">
        <f t="array" ref="AX562">INDEX(V562:AG562,1,MATCH(Parametres!$B$3,V$1:AG$1,0))*IF(OR(C562="L",C562="S",C562="I"),-1,1)</f>
        <v>11</v>
      </c>
      <c r="AY562" s="853" t="s">
        <v>772</v>
      </c>
      <c r="AZ562" s="853" t="str">
        <f>+VLOOKUP($AJ562,Data_Validation!$A:$E,5,0)</f>
        <v>Oui</v>
      </c>
    </row>
    <row r="563" ht="15.0" customHeight="1">
      <c r="A563" s="849" t="s">
        <v>1239</v>
      </c>
      <c r="B563" s="849">
        <v>2025.0</v>
      </c>
      <c r="C563" s="849" t="s">
        <v>2539</v>
      </c>
      <c r="D563" s="849" t="s">
        <v>2540</v>
      </c>
      <c r="E563" s="849" t="s">
        <v>2426</v>
      </c>
      <c r="F563" s="849" t="s">
        <v>2426</v>
      </c>
      <c r="G563" s="849">
        <v>0.0</v>
      </c>
      <c r="H563" s="849">
        <v>0.0</v>
      </c>
      <c r="I563" s="849">
        <v>0.0</v>
      </c>
      <c r="J563" s="849">
        <v>0.0</v>
      </c>
      <c r="K563" s="849">
        <v>0.0</v>
      </c>
      <c r="L563" s="849">
        <v>0.0</v>
      </c>
      <c r="M563" s="849">
        <v>0.0</v>
      </c>
      <c r="N563" s="849">
        <v>0.0</v>
      </c>
      <c r="O563" s="849">
        <v>0.0</v>
      </c>
      <c r="P563" s="849">
        <v>0.0</v>
      </c>
      <c r="Q563" s="849">
        <v>0.0</v>
      </c>
      <c r="R563" s="849">
        <v>0.0</v>
      </c>
      <c r="S563" s="849">
        <v>0.0</v>
      </c>
      <c r="T563" s="849">
        <v>0.0</v>
      </c>
      <c r="U563" s="849">
        <v>0.0</v>
      </c>
      <c r="V563" s="849">
        <v>0.0</v>
      </c>
      <c r="W563" s="849">
        <v>0.0</v>
      </c>
      <c r="X563" s="849">
        <v>0.0</v>
      </c>
      <c r="Y563" s="849">
        <v>0.0</v>
      </c>
      <c r="Z563" s="849">
        <v>0.0</v>
      </c>
      <c r="AA563" s="849">
        <v>0.0</v>
      </c>
      <c r="AB563" s="849">
        <v>0.0</v>
      </c>
      <c r="AC563" s="849">
        <v>0.0</v>
      </c>
      <c r="AD563" s="849">
        <v>0.0</v>
      </c>
      <c r="AE563" s="849">
        <v>0.0</v>
      </c>
      <c r="AF563" s="849">
        <v>0.0</v>
      </c>
      <c r="AG563" s="849">
        <v>0.0</v>
      </c>
      <c r="AH563" s="849">
        <v>0.0</v>
      </c>
      <c r="AI563" s="849">
        <v>0.0</v>
      </c>
      <c r="AJ563" s="794" t="str">
        <f t="shared" ref="AJ563:AK563" si="1123">C563</f>
        <v>G43120</v>
      </c>
      <c r="AK563" s="794" t="str">
        <f t="shared" si="1123"/>
        <v>VTES-CL 2500 SILVERAD-LOC</v>
      </c>
      <c r="AL563" s="794">
        <f t="array" ref="AL563">IFERROR(INDEX(G563:R563,1,MATCH(Parametres!$B$3,G$1:R$1,0)-1)*IF(OR(F563="L",F563="S",F563="I"),-1,1),"")</f>
        <v>0</v>
      </c>
      <c r="AM563" s="794">
        <f t="shared" si="4"/>
        <v>0</v>
      </c>
      <c r="AN563" s="794">
        <f t="array" ref="AN563">INDEX(G563:R563,1,MATCH(Parametres!$B$3,G$1:R$1,0))*IF(OR(F563="L",F563="S",F563="I"),-1,1)</f>
        <v>0</v>
      </c>
      <c r="AO563" s="853" t="str">
        <f>+VLOOKUP($AJ563,Data_Validation!$A:$D,1,0)</f>
        <v>#N/A</v>
      </c>
      <c r="AP563" s="853" t="str">
        <f>+VLOOKUP($AJ563,Data_Validation!$A:$D,3,0)</f>
        <v>#N/A</v>
      </c>
      <c r="AQ563" s="853" t="str">
        <f>+VLOOKUP($AJ563,Data_Validation!$A:$D,4,0)</f>
        <v>#N/A</v>
      </c>
      <c r="AR563" s="853" t="s">
        <v>728</v>
      </c>
      <c r="AS563" s="853" t="str">
        <f>+VLOOKUP($AJ563,Data_Validation!$A:$E,5,0)</f>
        <v>#N/A</v>
      </c>
      <c r="AT563" s="794" t="str">
        <f t="shared" ref="AT563:AU563" si="1124">C563</f>
        <v>G43120</v>
      </c>
      <c r="AU563" s="854" t="str">
        <f t="shared" si="1124"/>
        <v>VTES-CL 2500 SILVERAD-LOC</v>
      </c>
      <c r="AV563" s="794">
        <f t="array" ref="AV563">IFERROR(INDEX(V563:AG563,1,MATCH(Parametres!$B$3,V$1:AG$1,0)-1)*IF(OR(C563="L",C563="S",C563="I"),-1,1),"")</f>
        <v>0</v>
      </c>
      <c r="AW563" s="794">
        <f t="shared" si="6"/>
        <v>0</v>
      </c>
      <c r="AX563" s="794">
        <f t="array" ref="AX563">INDEX(V563:AG563,1,MATCH(Parametres!$B$3,V$1:AG$1,0))*IF(OR(C563="L",C563="S",C563="I"),-1,1)</f>
        <v>0</v>
      </c>
      <c r="AY563" s="853" t="s">
        <v>772</v>
      </c>
      <c r="AZ563" s="853" t="str">
        <f>+VLOOKUP($AJ563,Data_Validation!$A:$E,5,0)</f>
        <v>#N/A</v>
      </c>
    </row>
    <row r="564" ht="15.0" customHeight="1">
      <c r="A564" s="849" t="s">
        <v>1239</v>
      </c>
      <c r="B564" s="849">
        <v>2025.0</v>
      </c>
      <c r="C564" s="849" t="s">
        <v>2541</v>
      </c>
      <c r="D564" s="849" t="s">
        <v>2542</v>
      </c>
      <c r="E564" s="849" t="s">
        <v>2426</v>
      </c>
      <c r="F564" s="849" t="s">
        <v>2426</v>
      </c>
      <c r="G564" s="849">
        <v>0.0</v>
      </c>
      <c r="H564" s="849">
        <v>0.0</v>
      </c>
      <c r="I564" s="849">
        <v>0.0</v>
      </c>
      <c r="J564" s="849">
        <v>0.0</v>
      </c>
      <c r="K564" s="849">
        <v>0.0</v>
      </c>
      <c r="L564" s="849">
        <v>92577.91</v>
      </c>
      <c r="M564" s="849">
        <v>92577.91</v>
      </c>
      <c r="N564" s="849">
        <v>92577.91</v>
      </c>
      <c r="O564" s="849">
        <v>92577.91</v>
      </c>
      <c r="P564" s="849">
        <v>92577.91</v>
      </c>
      <c r="Q564" s="849">
        <v>92577.91</v>
      </c>
      <c r="R564" s="849">
        <v>92577.91</v>
      </c>
      <c r="S564" s="849">
        <v>8416.17</v>
      </c>
      <c r="T564" s="849">
        <v>8416.17</v>
      </c>
      <c r="U564" s="849">
        <v>0.0</v>
      </c>
      <c r="V564" s="849">
        <v>0.0</v>
      </c>
      <c r="W564" s="849">
        <v>0.0</v>
      </c>
      <c r="X564" s="849">
        <v>0.0</v>
      </c>
      <c r="Y564" s="849">
        <v>0.0</v>
      </c>
      <c r="Z564" s="849">
        <v>0.0</v>
      </c>
      <c r="AA564" s="849">
        <v>1.0</v>
      </c>
      <c r="AB564" s="849">
        <v>1.0</v>
      </c>
      <c r="AC564" s="849">
        <v>1.0</v>
      </c>
      <c r="AD564" s="849">
        <v>1.0</v>
      </c>
      <c r="AE564" s="849">
        <v>1.0</v>
      </c>
      <c r="AF564" s="849">
        <v>1.0</v>
      </c>
      <c r="AG564" s="849">
        <v>1.0</v>
      </c>
      <c r="AH564" s="849">
        <v>0.0</v>
      </c>
      <c r="AI564" s="849">
        <v>0.0</v>
      </c>
      <c r="AJ564" s="794" t="str">
        <f t="shared" ref="AJ564:AK564" si="1125">C564</f>
        <v>G43200</v>
      </c>
      <c r="AK564" s="794" t="str">
        <f t="shared" si="1125"/>
        <v>VTES-CL 3500 SILVERADO</v>
      </c>
      <c r="AL564" s="794">
        <f t="array" ref="AL564">IFERROR(INDEX(G564:R564,1,MATCH(Parametres!$B$3,G$1:R$1,0)-1)*IF(OR(F564="L",F564="S",F564="I"),-1,1),"")</f>
        <v>-92577.91</v>
      </c>
      <c r="AM564" s="794">
        <f t="shared" si="4"/>
        <v>0</v>
      </c>
      <c r="AN564" s="794">
        <f t="array" ref="AN564">INDEX(G564:R564,1,MATCH(Parametres!$B$3,G$1:R$1,0))*IF(OR(F564="L",F564="S",F564="I"),-1,1)</f>
        <v>-92577.91</v>
      </c>
      <c r="AO564" s="853" t="str">
        <f>+VLOOKUP($AJ564,Data_Validation!$A:$D,1,0)</f>
        <v>G43200</v>
      </c>
      <c r="AP564" s="853" t="str">
        <f>+VLOOKUP($AJ564,Data_Validation!$A:$D,3,0)</f>
        <v>Véhicules neufs</v>
      </c>
      <c r="AQ564" s="853" t="str">
        <f>+VLOOKUP($AJ564,Data_Validation!$A:$D,4,0)</f>
        <v>Camions détail</v>
      </c>
      <c r="AR564" s="853" t="s">
        <v>728</v>
      </c>
      <c r="AS564" s="853" t="str">
        <f>+VLOOKUP($AJ564,Data_Validation!$A:$E,5,0)</f>
        <v>Oui</v>
      </c>
      <c r="AT564" s="794" t="str">
        <f t="shared" ref="AT564:AU564" si="1126">C564</f>
        <v>G43200</v>
      </c>
      <c r="AU564" s="854" t="str">
        <f t="shared" si="1126"/>
        <v>VTES-CL 3500 SILVERADO</v>
      </c>
      <c r="AV564" s="794">
        <f t="array" ref="AV564">IFERROR(INDEX(V564:AG564,1,MATCH(Parametres!$B$3,V$1:AG$1,0)-1)*IF(OR(C564="L",C564="S",C564="I"),-1,1),"")</f>
        <v>1</v>
      </c>
      <c r="AW564" s="794">
        <f t="shared" si="6"/>
        <v>0</v>
      </c>
      <c r="AX564" s="794">
        <f t="array" ref="AX564">INDEX(V564:AG564,1,MATCH(Parametres!$B$3,V$1:AG$1,0))*IF(OR(C564="L",C564="S",C564="I"),-1,1)</f>
        <v>1</v>
      </c>
      <c r="AY564" s="853" t="s">
        <v>772</v>
      </c>
      <c r="AZ564" s="853" t="str">
        <f>+VLOOKUP($AJ564,Data_Validation!$A:$E,5,0)</f>
        <v>Oui</v>
      </c>
    </row>
    <row r="565" ht="15.0" customHeight="1">
      <c r="A565" s="849" t="s">
        <v>1239</v>
      </c>
      <c r="B565" s="849">
        <v>2025.0</v>
      </c>
      <c r="C565" s="849" t="s">
        <v>2543</v>
      </c>
      <c r="D565" s="849" t="s">
        <v>2544</v>
      </c>
      <c r="E565" s="849" t="s">
        <v>2426</v>
      </c>
      <c r="F565" s="849" t="s">
        <v>2426</v>
      </c>
      <c r="G565" s="849">
        <v>469505.58</v>
      </c>
      <c r="H565" s="849">
        <v>798220.64</v>
      </c>
      <c r="I565" s="849">
        <v>1009228.77</v>
      </c>
      <c r="J565" s="849">
        <v>1252723.84</v>
      </c>
      <c r="K565" s="849">
        <v>1837337.96</v>
      </c>
      <c r="L565" s="849">
        <v>2461777.61</v>
      </c>
      <c r="M565" s="849">
        <v>3087450.81</v>
      </c>
      <c r="N565" s="849">
        <v>3400516.52</v>
      </c>
      <c r="O565" s="849">
        <v>3858902.61</v>
      </c>
      <c r="P565" s="849">
        <v>4321236.61</v>
      </c>
      <c r="Q565" s="849">
        <v>4646459.18</v>
      </c>
      <c r="R565" s="849">
        <v>4878734.86</v>
      </c>
      <c r="S565" s="849">
        <v>422405.38</v>
      </c>
      <c r="T565" s="849">
        <v>422405.38</v>
      </c>
      <c r="U565" s="849">
        <v>0.0</v>
      </c>
      <c r="V565" s="849">
        <v>4.0</v>
      </c>
      <c r="W565" s="849">
        <v>7.0</v>
      </c>
      <c r="X565" s="849">
        <v>9.0</v>
      </c>
      <c r="Y565" s="849">
        <v>11.0</v>
      </c>
      <c r="Z565" s="849">
        <v>16.0</v>
      </c>
      <c r="AA565" s="849">
        <v>22.0</v>
      </c>
      <c r="AB565" s="849">
        <v>28.0</v>
      </c>
      <c r="AC565" s="849">
        <v>31.0</v>
      </c>
      <c r="AD565" s="849">
        <v>35.0</v>
      </c>
      <c r="AE565" s="849">
        <v>39.0</v>
      </c>
      <c r="AF565" s="849">
        <v>42.0</v>
      </c>
      <c r="AG565" s="849">
        <v>44.0</v>
      </c>
      <c r="AH565" s="849">
        <v>4.0</v>
      </c>
      <c r="AI565" s="849">
        <v>4.0</v>
      </c>
      <c r="AJ565" s="794" t="str">
        <f t="shared" ref="AJ565:AK565" si="1127">C565</f>
        <v>G43202</v>
      </c>
      <c r="AK565" s="794" t="str">
        <f t="shared" si="1127"/>
        <v>VENTES - CL2500 SIERRA</v>
      </c>
      <c r="AL565" s="794">
        <f t="array" ref="AL565">IFERROR(INDEX(G565:R565,1,MATCH(Parametres!$B$3,G$1:R$1,0)-1)*IF(OR(F565="L",F565="S",F565="I"),-1,1),"")</f>
        <v>-3400516.52</v>
      </c>
      <c r="AM565" s="794">
        <f t="shared" si="4"/>
        <v>-458386.09</v>
      </c>
      <c r="AN565" s="794">
        <f t="array" ref="AN565">INDEX(G565:R565,1,MATCH(Parametres!$B$3,G$1:R$1,0))*IF(OR(F565="L",F565="S",F565="I"),-1,1)</f>
        <v>-3858902.61</v>
      </c>
      <c r="AO565" s="853" t="str">
        <f>+VLOOKUP($AJ565,Data_Validation!$A:$D,1,0)</f>
        <v>G43202</v>
      </c>
      <c r="AP565" s="853" t="str">
        <f>+VLOOKUP($AJ565,Data_Validation!$A:$D,3,0)</f>
        <v>Véhicules neufs</v>
      </c>
      <c r="AQ565" s="853" t="str">
        <f>+VLOOKUP($AJ565,Data_Validation!$A:$D,4,0)</f>
        <v>Camions détail</v>
      </c>
      <c r="AR565" s="853" t="s">
        <v>728</v>
      </c>
      <c r="AS565" s="853" t="str">
        <f>+VLOOKUP($AJ565,Data_Validation!$A:$E,5,0)</f>
        <v>Oui</v>
      </c>
      <c r="AT565" s="794" t="str">
        <f t="shared" ref="AT565:AU565" si="1128">C565</f>
        <v>G43202</v>
      </c>
      <c r="AU565" s="854" t="str">
        <f t="shared" si="1128"/>
        <v>VENTES - CL2500 SIERRA</v>
      </c>
      <c r="AV565" s="794">
        <f t="array" ref="AV565">IFERROR(INDEX(V565:AG565,1,MATCH(Parametres!$B$3,V$1:AG$1,0)-1)*IF(OR(C565="L",C565="S",C565="I"),-1,1),"")</f>
        <v>31</v>
      </c>
      <c r="AW565" s="794">
        <f t="shared" si="6"/>
        <v>4</v>
      </c>
      <c r="AX565" s="794">
        <f t="array" ref="AX565">INDEX(V565:AG565,1,MATCH(Parametres!$B$3,V$1:AG$1,0))*IF(OR(C565="L",C565="S",C565="I"),-1,1)</f>
        <v>35</v>
      </c>
      <c r="AY565" s="853" t="s">
        <v>772</v>
      </c>
      <c r="AZ565" s="853" t="str">
        <f>+VLOOKUP($AJ565,Data_Validation!$A:$E,5,0)</f>
        <v>Oui</v>
      </c>
    </row>
    <row r="566" ht="15.0" customHeight="1">
      <c r="A566" s="849" t="s">
        <v>1239</v>
      </c>
      <c r="B566" s="849">
        <v>2025.0</v>
      </c>
      <c r="C566" s="849" t="s">
        <v>2545</v>
      </c>
      <c r="D566" s="849" t="s">
        <v>2546</v>
      </c>
      <c r="E566" s="849" t="s">
        <v>2426</v>
      </c>
      <c r="F566" s="849" t="s">
        <v>2426</v>
      </c>
      <c r="G566" s="849">
        <v>0.0</v>
      </c>
      <c r="H566" s="849">
        <v>0.0</v>
      </c>
      <c r="I566" s="849">
        <v>0.0</v>
      </c>
      <c r="J566" s="849">
        <v>0.0</v>
      </c>
      <c r="K566" s="849">
        <v>0.0</v>
      </c>
      <c r="L566" s="849">
        <v>0.0</v>
      </c>
      <c r="M566" s="849">
        <v>0.0</v>
      </c>
      <c r="N566" s="849">
        <v>0.0</v>
      </c>
      <c r="O566" s="849">
        <v>0.0</v>
      </c>
      <c r="P566" s="849">
        <v>0.0</v>
      </c>
      <c r="Q566" s="849">
        <v>0.0</v>
      </c>
      <c r="R566" s="849">
        <v>0.0</v>
      </c>
      <c r="S566" s="849">
        <v>0.0</v>
      </c>
      <c r="T566" s="849">
        <v>0.0</v>
      </c>
      <c r="U566" s="849">
        <v>0.0</v>
      </c>
      <c r="V566" s="849">
        <v>0.0</v>
      </c>
      <c r="W566" s="849">
        <v>0.0</v>
      </c>
      <c r="X566" s="849">
        <v>0.0</v>
      </c>
      <c r="Y566" s="849">
        <v>0.0</v>
      </c>
      <c r="Z566" s="849">
        <v>0.0</v>
      </c>
      <c r="AA566" s="849">
        <v>0.0</v>
      </c>
      <c r="AB566" s="849">
        <v>0.0</v>
      </c>
      <c r="AC566" s="849">
        <v>0.0</v>
      </c>
      <c r="AD566" s="849">
        <v>0.0</v>
      </c>
      <c r="AE566" s="849">
        <v>0.0</v>
      </c>
      <c r="AF566" s="849">
        <v>0.0</v>
      </c>
      <c r="AG566" s="849">
        <v>0.0</v>
      </c>
      <c r="AH566" s="849">
        <v>0.0</v>
      </c>
      <c r="AI566" s="849">
        <v>0.0</v>
      </c>
      <c r="AJ566" s="794" t="str">
        <f t="shared" ref="AJ566:AK566" si="1129">C566</f>
        <v>G43203</v>
      </c>
      <c r="AK566" s="794" t="str">
        <f t="shared" si="1129"/>
        <v>VENTES - SIERRA 3500</v>
      </c>
      <c r="AL566" s="794">
        <f t="array" ref="AL566">IFERROR(INDEX(G566:R566,1,MATCH(Parametres!$B$3,G$1:R$1,0)-1)*IF(OR(F566="L",F566="S",F566="I"),-1,1),"")</f>
        <v>0</v>
      </c>
      <c r="AM566" s="794">
        <f t="shared" si="4"/>
        <v>0</v>
      </c>
      <c r="AN566" s="794">
        <f t="array" ref="AN566">INDEX(G566:R566,1,MATCH(Parametres!$B$3,G$1:R$1,0))*IF(OR(F566="L",F566="S",F566="I"),-1,1)</f>
        <v>0</v>
      </c>
      <c r="AO566" s="853" t="str">
        <f>+VLOOKUP($AJ566,Data_Validation!$A:$D,1,0)</f>
        <v>G43203</v>
      </c>
      <c r="AP566" s="853" t="str">
        <f>+VLOOKUP($AJ566,Data_Validation!$A:$D,3,0)</f>
        <v>Véhicules neufs</v>
      </c>
      <c r="AQ566" s="853" t="str">
        <f>+VLOOKUP($AJ566,Data_Validation!$A:$D,4,0)</f>
        <v>Camions détail</v>
      </c>
      <c r="AR566" s="853" t="s">
        <v>728</v>
      </c>
      <c r="AS566" s="853" t="str">
        <f>+VLOOKUP($AJ566,Data_Validation!$A:$E,5,0)</f>
        <v>Oui</v>
      </c>
      <c r="AT566" s="794" t="str">
        <f t="shared" ref="AT566:AU566" si="1130">C566</f>
        <v>G43203</v>
      </c>
      <c r="AU566" s="854" t="str">
        <f t="shared" si="1130"/>
        <v>VENTES - SIERRA 3500</v>
      </c>
      <c r="AV566" s="794">
        <f t="array" ref="AV566">IFERROR(INDEX(V566:AG566,1,MATCH(Parametres!$B$3,V$1:AG$1,0)-1)*IF(OR(C566="L",C566="S",C566="I"),-1,1),"")</f>
        <v>0</v>
      </c>
      <c r="AW566" s="794">
        <f t="shared" si="6"/>
        <v>0</v>
      </c>
      <c r="AX566" s="794">
        <f t="array" ref="AX566">INDEX(V566:AG566,1,MATCH(Parametres!$B$3,V$1:AG$1,0))*IF(OR(C566="L",C566="S",C566="I"),-1,1)</f>
        <v>0</v>
      </c>
      <c r="AY566" s="853" t="s">
        <v>772</v>
      </c>
      <c r="AZ566" s="853" t="str">
        <f>+VLOOKUP($AJ566,Data_Validation!$A:$E,5,0)</f>
        <v>Oui</v>
      </c>
    </row>
    <row r="567" ht="15.0" customHeight="1">
      <c r="A567" s="849" t="s">
        <v>1239</v>
      </c>
      <c r="B567" s="849">
        <v>2025.0</v>
      </c>
      <c r="C567" s="849" t="s">
        <v>2547</v>
      </c>
      <c r="D567" s="849" t="s">
        <v>2548</v>
      </c>
      <c r="E567" s="849" t="s">
        <v>2426</v>
      </c>
      <c r="F567" s="849" t="s">
        <v>2426</v>
      </c>
      <c r="G567" s="849">
        <v>0.0</v>
      </c>
      <c r="H567" s="849">
        <v>0.0</v>
      </c>
      <c r="I567" s="849">
        <v>0.0</v>
      </c>
      <c r="J567" s="849">
        <v>0.0</v>
      </c>
      <c r="K567" s="849">
        <v>0.0</v>
      </c>
      <c r="L567" s="849">
        <v>0.0</v>
      </c>
      <c r="M567" s="849">
        <v>0.0</v>
      </c>
      <c r="N567" s="849">
        <v>0.0</v>
      </c>
      <c r="O567" s="849">
        <v>0.0</v>
      </c>
      <c r="P567" s="849">
        <v>0.0</v>
      </c>
      <c r="Q567" s="849">
        <v>0.0</v>
      </c>
      <c r="R567" s="849">
        <v>0.0</v>
      </c>
      <c r="S567" s="849">
        <v>0.0</v>
      </c>
      <c r="T567" s="849">
        <v>0.0</v>
      </c>
      <c r="U567" s="849">
        <v>0.0</v>
      </c>
      <c r="V567" s="849">
        <v>0.0</v>
      </c>
      <c r="W567" s="849">
        <v>0.0</v>
      </c>
      <c r="X567" s="849">
        <v>0.0</v>
      </c>
      <c r="Y567" s="849">
        <v>0.0</v>
      </c>
      <c r="Z567" s="849">
        <v>0.0</v>
      </c>
      <c r="AA567" s="849">
        <v>0.0</v>
      </c>
      <c r="AB567" s="849">
        <v>0.0</v>
      </c>
      <c r="AC567" s="849">
        <v>0.0</v>
      </c>
      <c r="AD567" s="849">
        <v>0.0</v>
      </c>
      <c r="AE567" s="849">
        <v>0.0</v>
      </c>
      <c r="AF567" s="849">
        <v>0.0</v>
      </c>
      <c r="AG567" s="849">
        <v>0.0</v>
      </c>
      <c r="AH567" s="849">
        <v>0.0</v>
      </c>
      <c r="AI567" s="849">
        <v>0.0</v>
      </c>
      <c r="AJ567" s="794" t="str">
        <f t="shared" ref="AJ567:AK567" si="1131">C567</f>
        <v>G43300</v>
      </c>
      <c r="AK567" s="794" t="str">
        <f t="shared" si="1131"/>
        <v>VENTES BLAZER</v>
      </c>
      <c r="AL567" s="794">
        <f t="array" ref="AL567">IFERROR(INDEX(G567:R567,1,MATCH(Parametres!$B$3,G$1:R$1,0)-1)*IF(OR(F567="L",F567="S",F567="I"),-1,1),"")</f>
        <v>0</v>
      </c>
      <c r="AM567" s="794">
        <f t="shared" si="4"/>
        <v>0</v>
      </c>
      <c r="AN567" s="794">
        <f t="array" ref="AN567">INDEX(G567:R567,1,MATCH(Parametres!$B$3,G$1:R$1,0))*IF(OR(F567="L",F567="S",F567="I"),-1,1)</f>
        <v>0</v>
      </c>
      <c r="AO567" s="853" t="str">
        <f>+VLOOKUP($AJ567,Data_Validation!$A:$D,1,0)</f>
        <v>G43300</v>
      </c>
      <c r="AP567" s="853" t="str">
        <f>+VLOOKUP($AJ567,Data_Validation!$A:$D,3,0)</f>
        <v>Véhicules neufs</v>
      </c>
      <c r="AQ567" s="853" t="str">
        <f>+VLOOKUP($AJ567,Data_Validation!$A:$D,4,0)</f>
        <v>Camions détail</v>
      </c>
      <c r="AR567" s="853" t="s">
        <v>728</v>
      </c>
      <c r="AS567" s="853" t="str">
        <f>+VLOOKUP($AJ567,Data_Validation!$A:$E,5,0)</f>
        <v>Oui</v>
      </c>
      <c r="AT567" s="794" t="str">
        <f t="shared" ref="AT567:AU567" si="1132">C567</f>
        <v>G43300</v>
      </c>
      <c r="AU567" s="854" t="str">
        <f t="shared" si="1132"/>
        <v>VENTES BLAZER</v>
      </c>
      <c r="AV567" s="794">
        <f t="array" ref="AV567">IFERROR(INDEX(V567:AG567,1,MATCH(Parametres!$B$3,V$1:AG$1,0)-1)*IF(OR(C567="L",C567="S",C567="I"),-1,1),"")</f>
        <v>0</v>
      </c>
      <c r="AW567" s="794">
        <f t="shared" si="6"/>
        <v>0</v>
      </c>
      <c r="AX567" s="794">
        <f t="array" ref="AX567">INDEX(V567:AG567,1,MATCH(Parametres!$B$3,V$1:AG$1,0))*IF(OR(C567="L",C567="S",C567="I"),-1,1)</f>
        <v>0</v>
      </c>
      <c r="AY567" s="853" t="s">
        <v>772</v>
      </c>
      <c r="AZ567" s="853" t="str">
        <f>+VLOOKUP($AJ567,Data_Validation!$A:$E,5,0)</f>
        <v>Oui</v>
      </c>
    </row>
    <row r="568" ht="15.0" customHeight="1">
      <c r="A568" s="849" t="s">
        <v>1239</v>
      </c>
      <c r="B568" s="849">
        <v>2025.0</v>
      </c>
      <c r="C568" s="849" t="s">
        <v>2549</v>
      </c>
      <c r="D568" s="849" t="s">
        <v>2550</v>
      </c>
      <c r="E568" s="849" t="s">
        <v>2426</v>
      </c>
      <c r="F568" s="849" t="s">
        <v>2426</v>
      </c>
      <c r="G568" s="849">
        <v>0.0</v>
      </c>
      <c r="H568" s="849">
        <v>0.0</v>
      </c>
      <c r="I568" s="849">
        <v>76428.15</v>
      </c>
      <c r="J568" s="849">
        <v>203473.38</v>
      </c>
      <c r="K568" s="849">
        <v>203473.38</v>
      </c>
      <c r="L568" s="849">
        <v>331610.38</v>
      </c>
      <c r="M568" s="849">
        <v>394566.38</v>
      </c>
      <c r="N568" s="849">
        <v>522568.06</v>
      </c>
      <c r="O568" s="849">
        <v>584186.08</v>
      </c>
      <c r="P568" s="849">
        <v>643961.58</v>
      </c>
      <c r="Q568" s="849">
        <v>706728.08</v>
      </c>
      <c r="R568" s="849">
        <v>1103552.49</v>
      </c>
      <c r="S568" s="849">
        <v>64248.01</v>
      </c>
      <c r="T568" s="849">
        <v>64248.01</v>
      </c>
      <c r="U568" s="849">
        <v>0.0</v>
      </c>
      <c r="V568" s="849">
        <v>0.0</v>
      </c>
      <c r="W568" s="849">
        <v>0.0</v>
      </c>
      <c r="X568" s="849">
        <v>1.0</v>
      </c>
      <c r="Y568" s="849">
        <v>3.0</v>
      </c>
      <c r="Z568" s="849">
        <v>3.0</v>
      </c>
      <c r="AA568" s="849">
        <v>5.0</v>
      </c>
      <c r="AB568" s="849">
        <v>6.0</v>
      </c>
      <c r="AC568" s="849">
        <v>8.0</v>
      </c>
      <c r="AD568" s="849">
        <v>9.0</v>
      </c>
      <c r="AE568" s="849">
        <v>10.0</v>
      </c>
      <c r="AF568" s="849">
        <v>11.0</v>
      </c>
      <c r="AG568" s="849">
        <v>17.0</v>
      </c>
      <c r="AH568" s="849">
        <v>1.0</v>
      </c>
      <c r="AI568" s="849">
        <v>1.0</v>
      </c>
      <c r="AJ568" s="794" t="str">
        <f t="shared" ref="AJ568:AK568" si="1133">C568</f>
        <v>G43301</v>
      </c>
      <c r="AK568" s="794" t="str">
        <f t="shared" si="1133"/>
        <v>VENTES BLAZER EV</v>
      </c>
      <c r="AL568" s="794">
        <f t="array" ref="AL568">IFERROR(INDEX(G568:R568,1,MATCH(Parametres!$B$3,G$1:R$1,0)-1)*IF(OR(F568="L",F568="S",F568="I"),-1,1),"")</f>
        <v>-522568.06</v>
      </c>
      <c r="AM568" s="794">
        <f t="shared" si="4"/>
        <v>-61618.02</v>
      </c>
      <c r="AN568" s="794">
        <f t="array" ref="AN568">INDEX(G568:R568,1,MATCH(Parametres!$B$3,G$1:R$1,0))*IF(OR(F568="L",F568="S",F568="I"),-1,1)</f>
        <v>-584186.08</v>
      </c>
      <c r="AO568" s="853" t="str">
        <f>+VLOOKUP($AJ568,Data_Validation!$A:$D,1,0)</f>
        <v>G43301</v>
      </c>
      <c r="AP568" s="853" t="str">
        <f>+VLOOKUP($AJ568,Data_Validation!$A:$D,3,0)</f>
        <v>Véhicules neufs</v>
      </c>
      <c r="AQ568" s="853" t="str">
        <f>+VLOOKUP($AJ568,Data_Validation!$A:$D,4,0)</f>
        <v>Camions electriques</v>
      </c>
      <c r="AR568" s="853" t="s">
        <v>728</v>
      </c>
      <c r="AS568" s="853" t="str">
        <f>+VLOOKUP($AJ568,Data_Validation!$A:$E,5,0)</f>
        <v>Oui</v>
      </c>
      <c r="AT568" s="794" t="str">
        <f t="shared" ref="AT568:AU568" si="1134">C568</f>
        <v>G43301</v>
      </c>
      <c r="AU568" s="854" t="str">
        <f t="shared" si="1134"/>
        <v>VENTES BLAZER EV</v>
      </c>
      <c r="AV568" s="794">
        <f t="array" ref="AV568">IFERROR(INDEX(V568:AG568,1,MATCH(Parametres!$B$3,V$1:AG$1,0)-1)*IF(OR(C568="L",C568="S",C568="I"),-1,1),"")</f>
        <v>8</v>
      </c>
      <c r="AW568" s="794">
        <f t="shared" si="6"/>
        <v>1</v>
      </c>
      <c r="AX568" s="794">
        <f t="array" ref="AX568">INDEX(V568:AG568,1,MATCH(Parametres!$B$3,V$1:AG$1,0))*IF(OR(C568="L",C568="S",C568="I"),-1,1)</f>
        <v>9</v>
      </c>
      <c r="AY568" s="853" t="s">
        <v>772</v>
      </c>
      <c r="AZ568" s="853" t="str">
        <f>+VLOOKUP($AJ568,Data_Validation!$A:$E,5,0)</f>
        <v>Oui</v>
      </c>
    </row>
    <row r="569" ht="15.0" customHeight="1">
      <c r="A569" s="849" t="s">
        <v>1239</v>
      </c>
      <c r="B569" s="849">
        <v>2025.0</v>
      </c>
      <c r="C569" s="849" t="s">
        <v>2551</v>
      </c>
      <c r="D569" s="849" t="s">
        <v>2552</v>
      </c>
      <c r="E569" s="849" t="s">
        <v>2426</v>
      </c>
      <c r="F569" s="849" t="s">
        <v>2426</v>
      </c>
      <c r="G569" s="849">
        <v>0.0</v>
      </c>
      <c r="H569" s="849">
        <v>0.0</v>
      </c>
      <c r="I569" s="849">
        <v>0.0</v>
      </c>
      <c r="J569" s="849">
        <v>0.0</v>
      </c>
      <c r="K569" s="849">
        <v>0.0</v>
      </c>
      <c r="L569" s="849">
        <v>0.0</v>
      </c>
      <c r="M569" s="849">
        <v>0.0</v>
      </c>
      <c r="N569" s="849">
        <v>0.0</v>
      </c>
      <c r="O569" s="849">
        <v>0.0</v>
      </c>
      <c r="P569" s="849">
        <v>0.0</v>
      </c>
      <c r="Q569" s="849">
        <v>0.0</v>
      </c>
      <c r="R569" s="849">
        <v>0.0</v>
      </c>
      <c r="S569" s="849">
        <v>0.0</v>
      </c>
      <c r="T569" s="849">
        <v>0.0</v>
      </c>
      <c r="U569" s="849">
        <v>0.0</v>
      </c>
      <c r="V569" s="849">
        <v>0.0</v>
      </c>
      <c r="W569" s="849">
        <v>0.0</v>
      </c>
      <c r="X569" s="849">
        <v>0.0</v>
      </c>
      <c r="Y569" s="849">
        <v>0.0</v>
      </c>
      <c r="Z569" s="849">
        <v>0.0</v>
      </c>
      <c r="AA569" s="849">
        <v>0.0</v>
      </c>
      <c r="AB569" s="849">
        <v>0.0</v>
      </c>
      <c r="AC569" s="849">
        <v>0.0</v>
      </c>
      <c r="AD569" s="849">
        <v>0.0</v>
      </c>
      <c r="AE569" s="849">
        <v>0.0</v>
      </c>
      <c r="AF569" s="849">
        <v>0.0</v>
      </c>
      <c r="AG569" s="849">
        <v>0.0</v>
      </c>
      <c r="AH569" s="849">
        <v>0.0</v>
      </c>
      <c r="AI569" s="849">
        <v>0.0</v>
      </c>
      <c r="AJ569" s="794" t="str">
        <f t="shared" ref="AJ569:AK569" si="1135">C569</f>
        <v>G43320</v>
      </c>
      <c r="AK569" s="794" t="str">
        <f t="shared" si="1135"/>
        <v>VTES-AVALANCHE       -LOC</v>
      </c>
      <c r="AL569" s="794">
        <f t="array" ref="AL569">IFERROR(INDEX(G569:R569,1,MATCH(Parametres!$B$3,G$1:R$1,0)-1)*IF(OR(F569="L",F569="S",F569="I"),-1,1),"")</f>
        <v>0</v>
      </c>
      <c r="AM569" s="794">
        <f t="shared" si="4"/>
        <v>0</v>
      </c>
      <c r="AN569" s="794">
        <f t="array" ref="AN569">INDEX(G569:R569,1,MATCH(Parametres!$B$3,G$1:R$1,0))*IF(OR(F569="L",F569="S",F569="I"),-1,1)</f>
        <v>0</v>
      </c>
      <c r="AO569" s="853" t="str">
        <f>+VLOOKUP($AJ569,Data_Validation!$A:$D,1,0)</f>
        <v>#N/A</v>
      </c>
      <c r="AP569" s="853" t="str">
        <f>+VLOOKUP($AJ569,Data_Validation!$A:$D,3,0)</f>
        <v>#N/A</v>
      </c>
      <c r="AQ569" s="853" t="str">
        <f>+VLOOKUP($AJ569,Data_Validation!$A:$D,4,0)</f>
        <v>#N/A</v>
      </c>
      <c r="AR569" s="853" t="s">
        <v>728</v>
      </c>
      <c r="AS569" s="853" t="str">
        <f>+VLOOKUP($AJ569,Data_Validation!$A:$E,5,0)</f>
        <v>#N/A</v>
      </c>
      <c r="AT569" s="794" t="str">
        <f t="shared" ref="AT569:AU569" si="1136">C569</f>
        <v>G43320</v>
      </c>
      <c r="AU569" s="854" t="str">
        <f t="shared" si="1136"/>
        <v>VTES-AVALANCHE       -LOC</v>
      </c>
      <c r="AV569" s="794">
        <f t="array" ref="AV569">IFERROR(INDEX(V569:AG569,1,MATCH(Parametres!$B$3,V$1:AG$1,0)-1)*IF(OR(C569="L",C569="S",C569="I"),-1,1),"")</f>
        <v>0</v>
      </c>
      <c r="AW569" s="794">
        <f t="shared" si="6"/>
        <v>0</v>
      </c>
      <c r="AX569" s="794">
        <f t="array" ref="AX569">INDEX(V569:AG569,1,MATCH(Parametres!$B$3,V$1:AG$1,0))*IF(OR(C569="L",C569="S",C569="I"),-1,1)</f>
        <v>0</v>
      </c>
      <c r="AY569" s="853" t="s">
        <v>772</v>
      </c>
      <c r="AZ569" s="853" t="str">
        <f>+VLOOKUP($AJ569,Data_Validation!$A:$E,5,0)</f>
        <v>#N/A</v>
      </c>
    </row>
    <row r="570" ht="15.0" customHeight="1">
      <c r="A570" s="849" t="s">
        <v>1239</v>
      </c>
      <c r="B570" s="849">
        <v>2025.0</v>
      </c>
      <c r="C570" s="849" t="s">
        <v>2553</v>
      </c>
      <c r="D570" s="849" t="s">
        <v>2554</v>
      </c>
      <c r="E570" s="849" t="s">
        <v>2426</v>
      </c>
      <c r="F570" s="849" t="s">
        <v>2426</v>
      </c>
      <c r="G570" s="849">
        <v>0.0</v>
      </c>
      <c r="H570" s="849">
        <v>0.0</v>
      </c>
      <c r="I570" s="849">
        <v>75888.0</v>
      </c>
      <c r="J570" s="849">
        <v>118827.89</v>
      </c>
      <c r="K570" s="849">
        <v>199139.49</v>
      </c>
      <c r="L570" s="849">
        <v>282014.99</v>
      </c>
      <c r="M570" s="849">
        <v>354005.99</v>
      </c>
      <c r="N570" s="849">
        <v>476991.96</v>
      </c>
      <c r="O570" s="849">
        <v>658852.3</v>
      </c>
      <c r="P570" s="849">
        <v>1011903.77</v>
      </c>
      <c r="Q570" s="849">
        <v>1095325.27</v>
      </c>
      <c r="R570" s="849">
        <v>1095325.27</v>
      </c>
      <c r="S570" s="849">
        <v>99575.02</v>
      </c>
      <c r="T570" s="849">
        <v>99575.02</v>
      </c>
      <c r="U570" s="849">
        <v>0.0</v>
      </c>
      <c r="V570" s="849">
        <v>0.0</v>
      </c>
      <c r="W570" s="849">
        <v>0.0</v>
      </c>
      <c r="X570" s="849">
        <v>2.0</v>
      </c>
      <c r="Y570" s="849">
        <v>3.0</v>
      </c>
      <c r="Z570" s="849">
        <v>5.0</v>
      </c>
      <c r="AA570" s="849">
        <v>7.0</v>
      </c>
      <c r="AB570" s="849">
        <v>9.0</v>
      </c>
      <c r="AC570" s="849">
        <v>12.0</v>
      </c>
      <c r="AD570" s="849">
        <v>16.0</v>
      </c>
      <c r="AE570" s="849">
        <v>24.0</v>
      </c>
      <c r="AF570" s="849">
        <v>26.0</v>
      </c>
      <c r="AG570" s="849">
        <v>26.0</v>
      </c>
      <c r="AH570" s="849">
        <v>2.0</v>
      </c>
      <c r="AI570" s="849">
        <v>2.0</v>
      </c>
      <c r="AJ570" s="794" t="str">
        <f t="shared" ref="AJ570:AK570" si="1137">C570</f>
        <v>G43400</v>
      </c>
      <c r="AK570" s="794" t="str">
        <f t="shared" si="1137"/>
        <v>VENTES EQUINOX</v>
      </c>
      <c r="AL570" s="794">
        <f t="array" ref="AL570">IFERROR(INDEX(G570:R570,1,MATCH(Parametres!$B$3,G$1:R$1,0)-1)*IF(OR(F570="L",F570="S",F570="I"),-1,1),"")</f>
        <v>-476991.96</v>
      </c>
      <c r="AM570" s="794">
        <f t="shared" si="4"/>
        <v>-181860.34</v>
      </c>
      <c r="AN570" s="794">
        <f t="array" ref="AN570">INDEX(G570:R570,1,MATCH(Parametres!$B$3,G$1:R$1,0))*IF(OR(F570="L",F570="S",F570="I"),-1,1)</f>
        <v>-658852.3</v>
      </c>
      <c r="AO570" s="853" t="str">
        <f>+VLOOKUP($AJ570,Data_Validation!$A:$D,1,0)</f>
        <v>G43400</v>
      </c>
      <c r="AP570" s="853" t="str">
        <f>+VLOOKUP($AJ570,Data_Validation!$A:$D,3,0)</f>
        <v>Véhicules neufs</v>
      </c>
      <c r="AQ570" s="853" t="str">
        <f>+VLOOKUP($AJ570,Data_Validation!$A:$D,4,0)</f>
        <v>Camions détail</v>
      </c>
      <c r="AR570" s="853" t="s">
        <v>728</v>
      </c>
      <c r="AS570" s="853" t="str">
        <f>+VLOOKUP($AJ570,Data_Validation!$A:$E,5,0)</f>
        <v>Oui</v>
      </c>
      <c r="AT570" s="794" t="str">
        <f t="shared" ref="AT570:AU570" si="1138">C570</f>
        <v>G43400</v>
      </c>
      <c r="AU570" s="854" t="str">
        <f t="shared" si="1138"/>
        <v>VENTES EQUINOX</v>
      </c>
      <c r="AV570" s="794">
        <f t="array" ref="AV570">IFERROR(INDEX(V570:AG570,1,MATCH(Parametres!$B$3,V$1:AG$1,0)-1)*IF(OR(C570="L",C570="S",C570="I"),-1,1),"")</f>
        <v>12</v>
      </c>
      <c r="AW570" s="794">
        <f t="shared" si="6"/>
        <v>4</v>
      </c>
      <c r="AX570" s="794">
        <f t="array" ref="AX570">INDEX(V570:AG570,1,MATCH(Parametres!$B$3,V$1:AG$1,0))*IF(OR(C570="L",C570="S",C570="I"),-1,1)</f>
        <v>16</v>
      </c>
      <c r="AY570" s="853" t="s">
        <v>772</v>
      </c>
      <c r="AZ570" s="853" t="str">
        <f>+VLOOKUP($AJ570,Data_Validation!$A:$E,5,0)</f>
        <v>Oui</v>
      </c>
    </row>
    <row r="571" ht="15.0" customHeight="1">
      <c r="A571" s="849" t="s">
        <v>1239</v>
      </c>
      <c r="B571" s="849">
        <v>2025.0</v>
      </c>
      <c r="C571" s="849" t="s">
        <v>2555</v>
      </c>
      <c r="D571" s="849" t="s">
        <v>2556</v>
      </c>
      <c r="E571" s="849" t="s">
        <v>2426</v>
      </c>
      <c r="F571" s="849" t="s">
        <v>2426</v>
      </c>
      <c r="G571" s="849">
        <v>705970.12</v>
      </c>
      <c r="H571" s="849">
        <v>829375.24</v>
      </c>
      <c r="I571" s="849">
        <v>884925.74</v>
      </c>
      <c r="J571" s="849">
        <v>1358020.46</v>
      </c>
      <c r="K571" s="849">
        <v>3206445.36</v>
      </c>
      <c r="L571" s="849">
        <v>4234043.87</v>
      </c>
      <c r="M571" s="849">
        <v>4969783.76</v>
      </c>
      <c r="N571" s="849">
        <v>5449525.03</v>
      </c>
      <c r="O571" s="849">
        <v>6547112.71</v>
      </c>
      <c r="P571" s="849">
        <v>6948799.59</v>
      </c>
      <c r="Q571" s="849">
        <v>7446841.1</v>
      </c>
      <c r="R571" s="849">
        <v>8058604.04</v>
      </c>
      <c r="S571" s="849">
        <v>676985.55</v>
      </c>
      <c r="T571" s="849">
        <v>676985.55</v>
      </c>
      <c r="U571" s="849">
        <v>0.0</v>
      </c>
      <c r="V571" s="849">
        <v>14.0</v>
      </c>
      <c r="W571" s="849">
        <v>16.0</v>
      </c>
      <c r="X571" s="849">
        <v>17.0</v>
      </c>
      <c r="Y571" s="849">
        <v>26.0</v>
      </c>
      <c r="Z571" s="849">
        <v>61.0</v>
      </c>
      <c r="AA571" s="849">
        <v>81.0</v>
      </c>
      <c r="AB571" s="849">
        <v>95.0</v>
      </c>
      <c r="AC571" s="849">
        <v>104.0</v>
      </c>
      <c r="AD571" s="849">
        <v>124.0</v>
      </c>
      <c r="AE571" s="849">
        <v>131.0</v>
      </c>
      <c r="AF571" s="849">
        <v>140.0</v>
      </c>
      <c r="AG571" s="849">
        <v>151.0</v>
      </c>
      <c r="AH571" s="849">
        <v>13.0</v>
      </c>
      <c r="AI571" s="849">
        <v>13.0</v>
      </c>
      <c r="AJ571" s="794" t="str">
        <f t="shared" ref="AJ571:AK571" si="1139">C571</f>
        <v>G43401</v>
      </c>
      <c r="AK571" s="794" t="str">
        <f t="shared" si="1139"/>
        <v>VTES - EQUINOX EV</v>
      </c>
      <c r="AL571" s="794">
        <f t="array" ref="AL571">IFERROR(INDEX(G571:R571,1,MATCH(Parametres!$B$3,G$1:R$1,0)-1)*IF(OR(F571="L",F571="S",F571="I"),-1,1),"")</f>
        <v>-5449525.03</v>
      </c>
      <c r="AM571" s="794">
        <f t="shared" si="4"/>
        <v>-1097587.68</v>
      </c>
      <c r="AN571" s="794">
        <f t="array" ref="AN571">INDEX(G571:R571,1,MATCH(Parametres!$B$3,G$1:R$1,0))*IF(OR(F571="L",F571="S",F571="I"),-1,1)</f>
        <v>-6547112.71</v>
      </c>
      <c r="AO571" s="853" t="str">
        <f>+VLOOKUP($AJ571,Data_Validation!$A:$D,1,0)</f>
        <v>G43401</v>
      </c>
      <c r="AP571" s="853" t="str">
        <f>+VLOOKUP($AJ571,Data_Validation!$A:$D,3,0)</f>
        <v>Véhicules neufs</v>
      </c>
      <c r="AQ571" s="853" t="str">
        <f>+VLOOKUP($AJ571,Data_Validation!$A:$D,4,0)</f>
        <v>Camions electriques</v>
      </c>
      <c r="AR571" s="853" t="s">
        <v>728</v>
      </c>
      <c r="AS571" s="853" t="str">
        <f>+VLOOKUP($AJ571,Data_Validation!$A:$E,5,0)</f>
        <v>Oui</v>
      </c>
      <c r="AT571" s="794" t="str">
        <f t="shared" ref="AT571:AU571" si="1140">C571</f>
        <v>G43401</v>
      </c>
      <c r="AU571" s="854" t="str">
        <f t="shared" si="1140"/>
        <v>VTES - EQUINOX EV</v>
      </c>
      <c r="AV571" s="794">
        <f t="array" ref="AV571">IFERROR(INDEX(V571:AG571,1,MATCH(Parametres!$B$3,V$1:AG$1,0)-1)*IF(OR(C571="L",C571="S",C571="I"),-1,1),"")</f>
        <v>104</v>
      </c>
      <c r="AW571" s="794">
        <f t="shared" si="6"/>
        <v>20</v>
      </c>
      <c r="AX571" s="794">
        <f t="array" ref="AX571">INDEX(V571:AG571,1,MATCH(Parametres!$B$3,V$1:AG$1,0))*IF(OR(C571="L",C571="S",C571="I"),-1,1)</f>
        <v>124</v>
      </c>
      <c r="AY571" s="853" t="s">
        <v>772</v>
      </c>
      <c r="AZ571" s="853" t="str">
        <f>+VLOOKUP($AJ571,Data_Validation!$A:$E,5,0)</f>
        <v>Oui</v>
      </c>
    </row>
    <row r="572" ht="15.0" customHeight="1">
      <c r="A572" s="849" t="s">
        <v>1239</v>
      </c>
      <c r="B572" s="849">
        <v>2025.0</v>
      </c>
      <c r="C572" s="849" t="s">
        <v>2557</v>
      </c>
      <c r="D572" s="849" t="s">
        <v>2558</v>
      </c>
      <c r="E572" s="849" t="s">
        <v>2426</v>
      </c>
      <c r="F572" s="849" t="s">
        <v>2426</v>
      </c>
      <c r="G572" s="849">
        <v>0.0</v>
      </c>
      <c r="H572" s="849">
        <v>0.0</v>
      </c>
      <c r="I572" s="849">
        <v>0.0</v>
      </c>
      <c r="J572" s="849">
        <v>0.0</v>
      </c>
      <c r="K572" s="849">
        <v>0.0</v>
      </c>
      <c r="L572" s="849">
        <v>0.0</v>
      </c>
      <c r="M572" s="849">
        <v>0.0</v>
      </c>
      <c r="N572" s="849">
        <v>0.0</v>
      </c>
      <c r="O572" s="849">
        <v>0.0</v>
      </c>
      <c r="P572" s="849">
        <v>0.0</v>
      </c>
      <c r="Q572" s="849">
        <v>0.0</v>
      </c>
      <c r="R572" s="849">
        <v>0.0</v>
      </c>
      <c r="S572" s="849">
        <v>0.0</v>
      </c>
      <c r="T572" s="849">
        <v>0.0</v>
      </c>
      <c r="U572" s="849">
        <v>0.0</v>
      </c>
      <c r="V572" s="849">
        <v>0.0</v>
      </c>
      <c r="W572" s="849">
        <v>0.0</v>
      </c>
      <c r="X572" s="849">
        <v>0.0</v>
      </c>
      <c r="Y572" s="849">
        <v>0.0</v>
      </c>
      <c r="Z572" s="849">
        <v>0.0</v>
      </c>
      <c r="AA572" s="849">
        <v>0.0</v>
      </c>
      <c r="AB572" s="849">
        <v>0.0</v>
      </c>
      <c r="AC572" s="849">
        <v>0.0</v>
      </c>
      <c r="AD572" s="849">
        <v>0.0</v>
      </c>
      <c r="AE572" s="849">
        <v>0.0</v>
      </c>
      <c r="AF572" s="849">
        <v>0.0</v>
      </c>
      <c r="AG572" s="849">
        <v>0.0</v>
      </c>
      <c r="AH572" s="849">
        <v>0.0</v>
      </c>
      <c r="AI572" s="849">
        <v>0.0</v>
      </c>
      <c r="AJ572" s="794" t="str">
        <f t="shared" ref="AJ572:AK572" si="1141">C572</f>
        <v>G43420</v>
      </c>
      <c r="AK572" s="794" t="str">
        <f t="shared" si="1141"/>
        <v>VTES-TRACKER         -LOC</v>
      </c>
      <c r="AL572" s="794">
        <f t="array" ref="AL572">IFERROR(INDEX(G572:R572,1,MATCH(Parametres!$B$3,G$1:R$1,0)-1)*IF(OR(F572="L",F572="S",F572="I"),-1,1),"")</f>
        <v>0</v>
      </c>
      <c r="AM572" s="794">
        <f t="shared" si="4"/>
        <v>0</v>
      </c>
      <c r="AN572" s="794">
        <f t="array" ref="AN572">INDEX(G572:R572,1,MATCH(Parametres!$B$3,G$1:R$1,0))*IF(OR(F572="L",F572="S",F572="I"),-1,1)</f>
        <v>0</v>
      </c>
      <c r="AO572" s="853" t="str">
        <f>+VLOOKUP($AJ572,Data_Validation!$A:$D,1,0)</f>
        <v>#N/A</v>
      </c>
      <c r="AP572" s="853" t="str">
        <f>+VLOOKUP($AJ572,Data_Validation!$A:$D,3,0)</f>
        <v>#N/A</v>
      </c>
      <c r="AQ572" s="853" t="str">
        <f>+VLOOKUP($AJ572,Data_Validation!$A:$D,4,0)</f>
        <v>#N/A</v>
      </c>
      <c r="AR572" s="853" t="s">
        <v>728</v>
      </c>
      <c r="AS572" s="853" t="str">
        <f>+VLOOKUP($AJ572,Data_Validation!$A:$E,5,0)</f>
        <v>#N/A</v>
      </c>
      <c r="AT572" s="794" t="str">
        <f t="shared" ref="AT572:AU572" si="1142">C572</f>
        <v>G43420</v>
      </c>
      <c r="AU572" s="854" t="str">
        <f t="shared" si="1142"/>
        <v>VTES-TRACKER         -LOC</v>
      </c>
      <c r="AV572" s="794">
        <f t="array" ref="AV572">IFERROR(INDEX(V572:AG572,1,MATCH(Parametres!$B$3,V$1:AG$1,0)-1)*IF(OR(C572="L",C572="S",C572="I"),-1,1),"")</f>
        <v>0</v>
      </c>
      <c r="AW572" s="794">
        <f t="shared" si="6"/>
        <v>0</v>
      </c>
      <c r="AX572" s="794">
        <f t="array" ref="AX572">INDEX(V572:AG572,1,MATCH(Parametres!$B$3,V$1:AG$1,0))*IF(OR(C572="L",C572="S",C572="I"),-1,1)</f>
        <v>0</v>
      </c>
      <c r="AY572" s="853" t="s">
        <v>772</v>
      </c>
      <c r="AZ572" s="853" t="str">
        <f>+VLOOKUP($AJ572,Data_Validation!$A:$E,5,0)</f>
        <v>#N/A</v>
      </c>
    </row>
    <row r="573" ht="15.0" customHeight="1">
      <c r="A573" s="849" t="s">
        <v>1239</v>
      </c>
      <c r="B573" s="849">
        <v>2025.0</v>
      </c>
      <c r="C573" s="849" t="s">
        <v>2559</v>
      </c>
      <c r="D573" s="849" t="s">
        <v>2560</v>
      </c>
      <c r="E573" s="849" t="s">
        <v>2426</v>
      </c>
      <c r="F573" s="849" t="s">
        <v>2426</v>
      </c>
      <c r="G573" s="849">
        <v>0.0</v>
      </c>
      <c r="H573" s="849">
        <v>0.0</v>
      </c>
      <c r="I573" s="849">
        <v>0.0</v>
      </c>
      <c r="J573" s="849">
        <v>0.0</v>
      </c>
      <c r="K573" s="849">
        <v>0.0</v>
      </c>
      <c r="L573" s="849">
        <v>0.0</v>
      </c>
      <c r="M573" s="849">
        <v>0.0</v>
      </c>
      <c r="N573" s="849">
        <v>0.0</v>
      </c>
      <c r="O573" s="849">
        <v>0.0</v>
      </c>
      <c r="P573" s="849">
        <v>0.0</v>
      </c>
      <c r="Q573" s="849">
        <v>0.0</v>
      </c>
      <c r="R573" s="849">
        <v>0.0</v>
      </c>
      <c r="S573" s="849">
        <v>0.0</v>
      </c>
      <c r="T573" s="849">
        <v>0.0</v>
      </c>
      <c r="U573" s="849">
        <v>0.0</v>
      </c>
      <c r="V573" s="849">
        <v>0.0</v>
      </c>
      <c r="W573" s="849">
        <v>0.0</v>
      </c>
      <c r="X573" s="849">
        <v>0.0</v>
      </c>
      <c r="Y573" s="849">
        <v>0.0</v>
      </c>
      <c r="Z573" s="849">
        <v>0.0</v>
      </c>
      <c r="AA573" s="849">
        <v>0.0</v>
      </c>
      <c r="AB573" s="849">
        <v>0.0</v>
      </c>
      <c r="AC573" s="849">
        <v>0.0</v>
      </c>
      <c r="AD573" s="849">
        <v>0.0</v>
      </c>
      <c r="AE573" s="849">
        <v>0.0</v>
      </c>
      <c r="AF573" s="849">
        <v>0.0</v>
      </c>
      <c r="AG573" s="849">
        <v>0.0</v>
      </c>
      <c r="AH573" s="849">
        <v>0.0</v>
      </c>
      <c r="AI573" s="849">
        <v>0.0</v>
      </c>
      <c r="AJ573" s="794" t="str">
        <f t="shared" ref="AJ573:AK573" si="1143">C573</f>
        <v>G43500</v>
      </c>
      <c r="AK573" s="794" t="str">
        <f t="shared" si="1143"/>
        <v>VENTES CHEV CITY</v>
      </c>
      <c r="AL573" s="794">
        <f t="array" ref="AL573">IFERROR(INDEX(G573:R573,1,MATCH(Parametres!$B$3,G$1:R$1,0)-1)*IF(OR(F573="L",F573="S",F573="I"),-1,1),"")</f>
        <v>0</v>
      </c>
      <c r="AM573" s="794">
        <f t="shared" si="4"/>
        <v>0</v>
      </c>
      <c r="AN573" s="794">
        <f t="array" ref="AN573">INDEX(G573:R573,1,MATCH(Parametres!$B$3,G$1:R$1,0))*IF(OR(F573="L",F573="S",F573="I"),-1,1)</f>
        <v>0</v>
      </c>
      <c r="AO573" s="853" t="str">
        <f>+VLOOKUP($AJ573,Data_Validation!$A:$D,1,0)</f>
        <v>G43500</v>
      </c>
      <c r="AP573" s="853" t="str">
        <f>+VLOOKUP($AJ573,Data_Validation!$A:$D,3,0)</f>
        <v>Véhicules neufs</v>
      </c>
      <c r="AQ573" s="853" t="str">
        <f>+VLOOKUP($AJ573,Data_Validation!$A:$D,4,0)</f>
        <v>Camions détail</v>
      </c>
      <c r="AR573" s="853" t="s">
        <v>728</v>
      </c>
      <c r="AS573" s="853" t="str">
        <f>+VLOOKUP($AJ573,Data_Validation!$A:$E,5,0)</f>
        <v>Oui</v>
      </c>
      <c r="AT573" s="794" t="str">
        <f t="shared" ref="AT573:AU573" si="1144">C573</f>
        <v>G43500</v>
      </c>
      <c r="AU573" s="854" t="str">
        <f t="shared" si="1144"/>
        <v>VENTES CHEV CITY</v>
      </c>
      <c r="AV573" s="794">
        <f t="array" ref="AV573">IFERROR(INDEX(V573:AG573,1,MATCH(Parametres!$B$3,V$1:AG$1,0)-1)*IF(OR(C573="L",C573="S",C573="I"),-1,1),"")</f>
        <v>0</v>
      </c>
      <c r="AW573" s="794">
        <f t="shared" si="6"/>
        <v>0</v>
      </c>
      <c r="AX573" s="794">
        <f t="array" ref="AX573">INDEX(V573:AG573,1,MATCH(Parametres!$B$3,V$1:AG$1,0))*IF(OR(C573="L",C573="S",C573="I"),-1,1)</f>
        <v>0</v>
      </c>
      <c r="AY573" s="853" t="s">
        <v>772</v>
      </c>
      <c r="AZ573" s="853" t="str">
        <f>+VLOOKUP($AJ573,Data_Validation!$A:$E,5,0)</f>
        <v>Oui</v>
      </c>
    </row>
    <row r="574" ht="15.0" customHeight="1">
      <c r="A574" s="849" t="s">
        <v>1239</v>
      </c>
      <c r="B574" s="849">
        <v>2025.0</v>
      </c>
      <c r="C574" s="849" t="s">
        <v>2561</v>
      </c>
      <c r="D574" s="849" t="s">
        <v>2562</v>
      </c>
      <c r="E574" s="849" t="s">
        <v>2426</v>
      </c>
      <c r="F574" s="849" t="s">
        <v>2426</v>
      </c>
      <c r="G574" s="849">
        <v>224186.66</v>
      </c>
      <c r="H574" s="849">
        <v>343851.69</v>
      </c>
      <c r="I574" s="849">
        <v>463259.55</v>
      </c>
      <c r="J574" s="849">
        <v>463259.55</v>
      </c>
      <c r="K574" s="849">
        <v>583324.05</v>
      </c>
      <c r="L574" s="849">
        <v>722544.55</v>
      </c>
      <c r="M574" s="849">
        <v>722544.55</v>
      </c>
      <c r="N574" s="849">
        <v>722544.55</v>
      </c>
      <c r="O574" s="849">
        <v>722544.55</v>
      </c>
      <c r="P574" s="849">
        <v>722544.55</v>
      </c>
      <c r="Q574" s="849">
        <v>722544.55</v>
      </c>
      <c r="R574" s="849">
        <v>722544.55</v>
      </c>
      <c r="S574" s="849">
        <v>65685.87</v>
      </c>
      <c r="T574" s="849">
        <v>65685.87</v>
      </c>
      <c r="U574" s="849">
        <v>0.0</v>
      </c>
      <c r="V574" s="849">
        <v>2.0</v>
      </c>
      <c r="W574" s="849">
        <v>3.0</v>
      </c>
      <c r="X574" s="849">
        <v>4.0</v>
      </c>
      <c r="Y574" s="849">
        <v>4.0</v>
      </c>
      <c r="Z574" s="849">
        <v>5.0</v>
      </c>
      <c r="AA574" s="849">
        <v>6.0</v>
      </c>
      <c r="AB574" s="849">
        <v>6.0</v>
      </c>
      <c r="AC574" s="849">
        <v>6.0</v>
      </c>
      <c r="AD574" s="849">
        <v>6.0</v>
      </c>
      <c r="AE574" s="849">
        <v>6.0</v>
      </c>
      <c r="AF574" s="849">
        <v>6.0</v>
      </c>
      <c r="AG574" s="849">
        <v>6.0</v>
      </c>
      <c r="AH574" s="849">
        <v>1.0</v>
      </c>
      <c r="AI574" s="849">
        <v>1.0</v>
      </c>
      <c r="AJ574" s="794" t="str">
        <f t="shared" ref="AJ574:AK574" si="1145">C574</f>
        <v>G43501</v>
      </c>
      <c r="AK574" s="794" t="str">
        <f t="shared" si="1145"/>
        <v>VTES - HUMMER EV SUV</v>
      </c>
      <c r="AL574" s="794">
        <f t="array" ref="AL574">IFERROR(INDEX(G574:R574,1,MATCH(Parametres!$B$3,G$1:R$1,0)-1)*IF(OR(F574="L",F574="S",F574="I"),-1,1),"")</f>
        <v>-722544.55</v>
      </c>
      <c r="AM574" s="794">
        <f t="shared" si="4"/>
        <v>0</v>
      </c>
      <c r="AN574" s="794">
        <f t="array" ref="AN574">INDEX(G574:R574,1,MATCH(Parametres!$B$3,G$1:R$1,0))*IF(OR(F574="L",F574="S",F574="I"),-1,1)</f>
        <v>-722544.55</v>
      </c>
      <c r="AO574" s="853" t="str">
        <f>+VLOOKUP($AJ574,Data_Validation!$A:$D,1,0)</f>
        <v>G43501</v>
      </c>
      <c r="AP574" s="853" t="str">
        <f>+VLOOKUP($AJ574,Data_Validation!$A:$D,3,0)</f>
        <v>Véhicules neufs</v>
      </c>
      <c r="AQ574" s="853" t="str">
        <f>+VLOOKUP($AJ574,Data_Validation!$A:$D,4,0)</f>
        <v>Camions electriques</v>
      </c>
      <c r="AR574" s="853" t="s">
        <v>728</v>
      </c>
      <c r="AS574" s="853" t="str">
        <f>+VLOOKUP($AJ574,Data_Validation!$A:$E,5,0)</f>
        <v>Oui</v>
      </c>
      <c r="AT574" s="794" t="str">
        <f t="shared" ref="AT574:AU574" si="1146">C574</f>
        <v>G43501</v>
      </c>
      <c r="AU574" s="854" t="str">
        <f t="shared" si="1146"/>
        <v>VTES - HUMMER EV SUV</v>
      </c>
      <c r="AV574" s="794">
        <f t="array" ref="AV574">IFERROR(INDEX(V574:AG574,1,MATCH(Parametres!$B$3,V$1:AG$1,0)-1)*IF(OR(C574="L",C574="S",C574="I"),-1,1),"")</f>
        <v>6</v>
      </c>
      <c r="AW574" s="794">
        <f t="shared" si="6"/>
        <v>0</v>
      </c>
      <c r="AX574" s="794">
        <f t="array" ref="AX574">INDEX(V574:AG574,1,MATCH(Parametres!$B$3,V$1:AG$1,0))*IF(OR(C574="L",C574="S",C574="I"),-1,1)</f>
        <v>6</v>
      </c>
      <c r="AY574" s="853" t="s">
        <v>772</v>
      </c>
      <c r="AZ574" s="853" t="str">
        <f>+VLOOKUP($AJ574,Data_Validation!$A:$E,5,0)</f>
        <v>Oui</v>
      </c>
    </row>
    <row r="575" ht="15.0" customHeight="1">
      <c r="A575" s="849" t="s">
        <v>1239</v>
      </c>
      <c r="B575" s="849">
        <v>2025.0</v>
      </c>
      <c r="C575" s="849" t="s">
        <v>2563</v>
      </c>
      <c r="D575" s="849" t="s">
        <v>2564</v>
      </c>
      <c r="E575" s="849" t="s">
        <v>2426</v>
      </c>
      <c r="F575" s="849" t="s">
        <v>2426</v>
      </c>
      <c r="G575" s="849">
        <v>0.0</v>
      </c>
      <c r="H575" s="849">
        <v>0.0</v>
      </c>
      <c r="I575" s="849">
        <v>0.0</v>
      </c>
      <c r="J575" s="849">
        <v>0.0</v>
      </c>
      <c r="K575" s="849">
        <v>0.0</v>
      </c>
      <c r="L575" s="849">
        <v>0.0</v>
      </c>
      <c r="M575" s="849">
        <v>0.0</v>
      </c>
      <c r="N575" s="849">
        <v>0.0</v>
      </c>
      <c r="O575" s="849">
        <v>0.0</v>
      </c>
      <c r="P575" s="849">
        <v>0.0</v>
      </c>
      <c r="Q575" s="849">
        <v>0.0</v>
      </c>
      <c r="R575" s="849">
        <v>0.0</v>
      </c>
      <c r="S575" s="849">
        <v>0.0</v>
      </c>
      <c r="T575" s="849">
        <v>0.0</v>
      </c>
      <c r="U575" s="849">
        <v>0.0</v>
      </c>
      <c r="V575" s="849">
        <v>0.0</v>
      </c>
      <c r="W575" s="849">
        <v>0.0</v>
      </c>
      <c r="X575" s="849">
        <v>0.0</v>
      </c>
      <c r="Y575" s="849">
        <v>0.0</v>
      </c>
      <c r="Z575" s="849">
        <v>0.0</v>
      </c>
      <c r="AA575" s="849">
        <v>0.0</v>
      </c>
      <c r="AB575" s="849">
        <v>0.0</v>
      </c>
      <c r="AC575" s="849">
        <v>0.0</v>
      </c>
      <c r="AD575" s="849">
        <v>0.0</v>
      </c>
      <c r="AE575" s="849">
        <v>0.0</v>
      </c>
      <c r="AF575" s="849">
        <v>0.0</v>
      </c>
      <c r="AG575" s="849">
        <v>0.0</v>
      </c>
      <c r="AH575" s="849">
        <v>0.0</v>
      </c>
      <c r="AI575" s="849">
        <v>0.0</v>
      </c>
      <c r="AJ575" s="794" t="str">
        <f t="shared" ref="AJ575:AK575" si="1147">C575</f>
        <v>G43520</v>
      </c>
      <c r="AK575" s="794" t="str">
        <f t="shared" si="1147"/>
        <v>VTES-SSR             -LOC</v>
      </c>
      <c r="AL575" s="794">
        <f t="array" ref="AL575">IFERROR(INDEX(G575:R575,1,MATCH(Parametres!$B$3,G$1:R$1,0)-1)*IF(OR(F575="L",F575="S",F575="I"),-1,1),"")</f>
        <v>0</v>
      </c>
      <c r="AM575" s="794">
        <f t="shared" si="4"/>
        <v>0</v>
      </c>
      <c r="AN575" s="794">
        <f t="array" ref="AN575">INDEX(G575:R575,1,MATCH(Parametres!$B$3,G$1:R$1,0))*IF(OR(F575="L",F575="S",F575="I"),-1,1)</f>
        <v>0</v>
      </c>
      <c r="AO575" s="853" t="str">
        <f>+VLOOKUP($AJ575,Data_Validation!$A:$D,1,0)</f>
        <v>#N/A</v>
      </c>
      <c r="AP575" s="853" t="str">
        <f>+VLOOKUP($AJ575,Data_Validation!$A:$D,3,0)</f>
        <v>#N/A</v>
      </c>
      <c r="AQ575" s="853" t="str">
        <f>+VLOOKUP($AJ575,Data_Validation!$A:$D,4,0)</f>
        <v>#N/A</v>
      </c>
      <c r="AR575" s="853" t="s">
        <v>728</v>
      </c>
      <c r="AS575" s="853" t="str">
        <f>+VLOOKUP($AJ575,Data_Validation!$A:$E,5,0)</f>
        <v>#N/A</v>
      </c>
      <c r="AT575" s="794" t="str">
        <f t="shared" ref="AT575:AU575" si="1148">C575</f>
        <v>G43520</v>
      </c>
      <c r="AU575" s="854" t="str">
        <f t="shared" si="1148"/>
        <v>VTES-SSR             -LOC</v>
      </c>
      <c r="AV575" s="794">
        <f t="array" ref="AV575">IFERROR(INDEX(V575:AG575,1,MATCH(Parametres!$B$3,V$1:AG$1,0)-1)*IF(OR(C575="L",C575="S",C575="I"),-1,1),"")</f>
        <v>0</v>
      </c>
      <c r="AW575" s="794">
        <f t="shared" si="6"/>
        <v>0</v>
      </c>
      <c r="AX575" s="794">
        <f t="array" ref="AX575">INDEX(V575:AG575,1,MATCH(Parametres!$B$3,V$1:AG$1,0))*IF(OR(C575="L",C575="S",C575="I"),-1,1)</f>
        <v>0</v>
      </c>
      <c r="AY575" s="853" t="s">
        <v>772</v>
      </c>
      <c r="AZ575" s="853" t="str">
        <f>+VLOOKUP($AJ575,Data_Validation!$A:$E,5,0)</f>
        <v>#N/A</v>
      </c>
    </row>
    <row r="576" ht="15.0" customHeight="1">
      <c r="A576" s="849" t="s">
        <v>1239</v>
      </c>
      <c r="B576" s="849">
        <v>2025.0</v>
      </c>
      <c r="C576" s="849" t="s">
        <v>2565</v>
      </c>
      <c r="D576" s="849" t="s">
        <v>2566</v>
      </c>
      <c r="E576" s="849" t="s">
        <v>2426</v>
      </c>
      <c r="F576" s="849" t="s">
        <v>2426</v>
      </c>
      <c r="G576" s="849">
        <v>97735.18</v>
      </c>
      <c r="H576" s="849">
        <v>97735.18</v>
      </c>
      <c r="I576" s="849">
        <v>132400.68</v>
      </c>
      <c r="J576" s="849">
        <v>166398.68</v>
      </c>
      <c r="K576" s="849">
        <v>166398.68</v>
      </c>
      <c r="L576" s="849">
        <v>240589.26</v>
      </c>
      <c r="M576" s="849">
        <v>240589.26</v>
      </c>
      <c r="N576" s="849">
        <v>359341.77</v>
      </c>
      <c r="O576" s="849">
        <v>398819.27</v>
      </c>
      <c r="P576" s="849">
        <v>469475.94</v>
      </c>
      <c r="Q576" s="849">
        <v>501145.44</v>
      </c>
      <c r="R576" s="849">
        <v>501145.44</v>
      </c>
      <c r="S576" s="849">
        <v>45558.68</v>
      </c>
      <c r="T576" s="849">
        <v>45558.68</v>
      </c>
      <c r="U576" s="849">
        <v>0.0</v>
      </c>
      <c r="V576" s="849">
        <v>3.0</v>
      </c>
      <c r="W576" s="849">
        <v>3.0</v>
      </c>
      <c r="X576" s="849">
        <v>4.0</v>
      </c>
      <c r="Y576" s="849">
        <v>5.0</v>
      </c>
      <c r="Z576" s="849">
        <v>5.0</v>
      </c>
      <c r="AA576" s="849">
        <v>7.0</v>
      </c>
      <c r="AB576" s="849">
        <v>7.0</v>
      </c>
      <c r="AC576" s="849">
        <v>10.0</v>
      </c>
      <c r="AD576" s="849">
        <v>11.0</v>
      </c>
      <c r="AE576" s="849">
        <v>13.0</v>
      </c>
      <c r="AF576" s="849">
        <v>14.0</v>
      </c>
      <c r="AG576" s="849">
        <v>14.0</v>
      </c>
      <c r="AH576" s="849">
        <v>1.0</v>
      </c>
      <c r="AI576" s="849">
        <v>1.0</v>
      </c>
      <c r="AJ576" s="794" t="str">
        <f t="shared" ref="AJ576:AK576" si="1149">C576</f>
        <v>G43600</v>
      </c>
      <c r="AK576" s="794" t="str">
        <f t="shared" si="1149"/>
        <v>VTES-TRAIL BLAZER</v>
      </c>
      <c r="AL576" s="794">
        <f t="array" ref="AL576">IFERROR(INDEX(G576:R576,1,MATCH(Parametres!$B$3,G$1:R$1,0)-1)*IF(OR(F576="L",F576="S",F576="I"),-1,1),"")</f>
        <v>-359341.77</v>
      </c>
      <c r="AM576" s="794">
        <f t="shared" si="4"/>
        <v>-39477.5</v>
      </c>
      <c r="AN576" s="794">
        <f t="array" ref="AN576">INDEX(G576:R576,1,MATCH(Parametres!$B$3,G$1:R$1,0))*IF(OR(F576="L",F576="S",F576="I"),-1,1)</f>
        <v>-398819.27</v>
      </c>
      <c r="AO576" s="853" t="str">
        <f>+VLOOKUP($AJ576,Data_Validation!$A:$D,1,0)</f>
        <v>G43600</v>
      </c>
      <c r="AP576" s="853" t="str">
        <f>+VLOOKUP($AJ576,Data_Validation!$A:$D,3,0)</f>
        <v>Véhicules neufs</v>
      </c>
      <c r="AQ576" s="853" t="str">
        <f>+VLOOKUP($AJ576,Data_Validation!$A:$D,4,0)</f>
        <v>Camions détail</v>
      </c>
      <c r="AR576" s="853" t="s">
        <v>728</v>
      </c>
      <c r="AS576" s="853" t="str">
        <f>+VLOOKUP($AJ576,Data_Validation!$A:$E,5,0)</f>
        <v>Oui</v>
      </c>
      <c r="AT576" s="794" t="str">
        <f t="shared" ref="AT576:AU576" si="1150">C576</f>
        <v>G43600</v>
      </c>
      <c r="AU576" s="854" t="str">
        <f t="shared" si="1150"/>
        <v>VTES-TRAIL BLAZER</v>
      </c>
      <c r="AV576" s="794">
        <f t="array" ref="AV576">IFERROR(INDEX(V576:AG576,1,MATCH(Parametres!$B$3,V$1:AG$1,0)-1)*IF(OR(C576="L",C576="S",C576="I"),-1,1),"")</f>
        <v>10</v>
      </c>
      <c r="AW576" s="794">
        <f t="shared" si="6"/>
        <v>1</v>
      </c>
      <c r="AX576" s="794">
        <f t="array" ref="AX576">INDEX(V576:AG576,1,MATCH(Parametres!$B$3,V$1:AG$1,0))*IF(OR(C576="L",C576="S",C576="I"),-1,1)</f>
        <v>11</v>
      </c>
      <c r="AY576" s="853" t="s">
        <v>772</v>
      </c>
      <c r="AZ576" s="853" t="str">
        <f>+VLOOKUP($AJ576,Data_Validation!$A:$E,5,0)</f>
        <v>Oui</v>
      </c>
    </row>
    <row r="577" ht="15.0" customHeight="1">
      <c r="A577" s="849" t="s">
        <v>1239</v>
      </c>
      <c r="B577" s="849">
        <v>2025.0</v>
      </c>
      <c r="C577" s="849" t="s">
        <v>2567</v>
      </c>
      <c r="D577" s="849" t="s">
        <v>2568</v>
      </c>
      <c r="E577" s="849" t="s">
        <v>2426</v>
      </c>
      <c r="F577" s="849" t="s">
        <v>2426</v>
      </c>
      <c r="G577" s="849">
        <v>0.0</v>
      </c>
      <c r="H577" s="849">
        <v>0.0</v>
      </c>
      <c r="I577" s="849">
        <v>67238.0</v>
      </c>
      <c r="J577" s="849">
        <v>133871.0</v>
      </c>
      <c r="K577" s="849">
        <v>133871.0</v>
      </c>
      <c r="L577" s="849">
        <v>197760.0</v>
      </c>
      <c r="M577" s="849">
        <v>315241.0</v>
      </c>
      <c r="N577" s="849">
        <v>315241.0</v>
      </c>
      <c r="O577" s="849">
        <v>315241.0</v>
      </c>
      <c r="P577" s="849">
        <v>315241.0</v>
      </c>
      <c r="Q577" s="849">
        <v>315241.0</v>
      </c>
      <c r="R577" s="849">
        <v>442532.72</v>
      </c>
      <c r="S577" s="849">
        <v>28658.27</v>
      </c>
      <c r="T577" s="849">
        <v>28658.27</v>
      </c>
      <c r="U577" s="849">
        <v>0.0</v>
      </c>
      <c r="V577" s="849">
        <v>0.0</v>
      </c>
      <c r="W577" s="849">
        <v>0.0</v>
      </c>
      <c r="X577" s="849">
        <v>1.0</v>
      </c>
      <c r="Y577" s="849">
        <v>2.0</v>
      </c>
      <c r="Z577" s="849">
        <v>2.0</v>
      </c>
      <c r="AA577" s="849">
        <v>3.0</v>
      </c>
      <c r="AB577" s="849">
        <v>5.0</v>
      </c>
      <c r="AC577" s="849">
        <v>5.0</v>
      </c>
      <c r="AD577" s="849">
        <v>5.0</v>
      </c>
      <c r="AE577" s="849">
        <v>5.0</v>
      </c>
      <c r="AF577" s="849">
        <v>5.0</v>
      </c>
      <c r="AG577" s="849">
        <v>7.0</v>
      </c>
      <c r="AH577" s="849">
        <v>0.0</v>
      </c>
      <c r="AI577" s="849">
        <v>0.0</v>
      </c>
      <c r="AJ577" s="794" t="str">
        <f t="shared" ref="AJ577:AK577" si="1151">C577</f>
        <v>G43602</v>
      </c>
      <c r="AK577" s="794" t="str">
        <f t="shared" si="1151"/>
        <v>VENTES GMC ACADIA</v>
      </c>
      <c r="AL577" s="794">
        <f t="array" ref="AL577">IFERROR(INDEX(G577:R577,1,MATCH(Parametres!$B$3,G$1:R$1,0)-1)*IF(OR(F577="L",F577="S",F577="I"),-1,1),"")</f>
        <v>-315241</v>
      </c>
      <c r="AM577" s="794">
        <f t="shared" si="4"/>
        <v>0</v>
      </c>
      <c r="AN577" s="794">
        <f t="array" ref="AN577">INDEX(G577:R577,1,MATCH(Parametres!$B$3,G$1:R$1,0))*IF(OR(F577="L",F577="S",F577="I"),-1,1)</f>
        <v>-315241</v>
      </c>
      <c r="AO577" s="853" t="str">
        <f>+VLOOKUP($AJ577,Data_Validation!$A:$D,1,0)</f>
        <v>G43602</v>
      </c>
      <c r="AP577" s="853" t="str">
        <f>+VLOOKUP($AJ577,Data_Validation!$A:$D,3,0)</f>
        <v>Véhicules neufs</v>
      </c>
      <c r="AQ577" s="853" t="str">
        <f>+VLOOKUP($AJ577,Data_Validation!$A:$D,4,0)</f>
        <v>Camions détail</v>
      </c>
      <c r="AR577" s="853" t="s">
        <v>728</v>
      </c>
      <c r="AS577" s="853" t="str">
        <f>+VLOOKUP($AJ577,Data_Validation!$A:$E,5,0)</f>
        <v>Oui</v>
      </c>
      <c r="AT577" s="794" t="str">
        <f t="shared" ref="AT577:AU577" si="1152">C577</f>
        <v>G43602</v>
      </c>
      <c r="AU577" s="854" t="str">
        <f t="shared" si="1152"/>
        <v>VENTES GMC ACADIA</v>
      </c>
      <c r="AV577" s="794">
        <f t="array" ref="AV577">IFERROR(INDEX(V577:AG577,1,MATCH(Parametres!$B$3,V$1:AG$1,0)-1)*IF(OR(C577="L",C577="S",C577="I"),-1,1),"")</f>
        <v>5</v>
      </c>
      <c r="AW577" s="794">
        <f t="shared" si="6"/>
        <v>0</v>
      </c>
      <c r="AX577" s="794">
        <f t="array" ref="AX577">INDEX(V577:AG577,1,MATCH(Parametres!$B$3,V$1:AG$1,0))*IF(OR(C577="L",C577="S",C577="I"),-1,1)</f>
        <v>5</v>
      </c>
      <c r="AY577" s="853" t="s">
        <v>772</v>
      </c>
      <c r="AZ577" s="853" t="str">
        <f>+VLOOKUP($AJ577,Data_Validation!$A:$E,5,0)</f>
        <v>Oui</v>
      </c>
    </row>
    <row r="578" ht="15.0" customHeight="1">
      <c r="A578" s="849" t="s">
        <v>1239</v>
      </c>
      <c r="B578" s="849">
        <v>2025.0</v>
      </c>
      <c r="C578" s="849" t="s">
        <v>2569</v>
      </c>
      <c r="D578" s="849" t="s">
        <v>2570</v>
      </c>
      <c r="E578" s="849" t="s">
        <v>2426</v>
      </c>
      <c r="F578" s="849" t="s">
        <v>2426</v>
      </c>
      <c r="G578" s="849">
        <v>0.0</v>
      </c>
      <c r="H578" s="849">
        <v>0.0</v>
      </c>
      <c r="I578" s="849">
        <v>0.0</v>
      </c>
      <c r="J578" s="849">
        <v>0.0</v>
      </c>
      <c r="K578" s="849">
        <v>0.0</v>
      </c>
      <c r="L578" s="849">
        <v>0.0</v>
      </c>
      <c r="M578" s="849">
        <v>0.0</v>
      </c>
      <c r="N578" s="849">
        <v>0.0</v>
      </c>
      <c r="O578" s="849">
        <v>0.0</v>
      </c>
      <c r="P578" s="849">
        <v>0.0</v>
      </c>
      <c r="Q578" s="849">
        <v>0.0</v>
      </c>
      <c r="R578" s="849">
        <v>0.0</v>
      </c>
      <c r="S578" s="849">
        <v>0.0</v>
      </c>
      <c r="T578" s="849">
        <v>0.0</v>
      </c>
      <c r="U578" s="849">
        <v>0.0</v>
      </c>
      <c r="V578" s="849">
        <v>0.0</v>
      </c>
      <c r="W578" s="849">
        <v>0.0</v>
      </c>
      <c r="X578" s="849">
        <v>0.0</v>
      </c>
      <c r="Y578" s="849">
        <v>0.0</v>
      </c>
      <c r="Z578" s="849">
        <v>0.0</v>
      </c>
      <c r="AA578" s="849">
        <v>0.0</v>
      </c>
      <c r="AB578" s="849">
        <v>0.0</v>
      </c>
      <c r="AC578" s="849">
        <v>0.0</v>
      </c>
      <c r="AD578" s="849">
        <v>0.0</v>
      </c>
      <c r="AE578" s="849">
        <v>0.0</v>
      </c>
      <c r="AF578" s="849">
        <v>0.0</v>
      </c>
      <c r="AG578" s="849">
        <v>0.0</v>
      </c>
      <c r="AH578" s="849">
        <v>0.0</v>
      </c>
      <c r="AI578" s="849">
        <v>0.0</v>
      </c>
      <c r="AJ578" s="794" t="str">
        <f t="shared" ref="AJ578:AK578" si="1153">C578</f>
        <v>G43800</v>
      </c>
      <c r="AK578" s="794" t="str">
        <f t="shared" si="1153"/>
        <v>VTES-CHEV CAMION AUTRES</v>
      </c>
      <c r="AL578" s="794">
        <f t="array" ref="AL578">IFERROR(INDEX(G578:R578,1,MATCH(Parametres!$B$3,G$1:R$1,0)-1)*IF(OR(F578="L",F578="S",F578="I"),-1,1),"")</f>
        <v>0</v>
      </c>
      <c r="AM578" s="794">
        <f t="shared" si="4"/>
        <v>0</v>
      </c>
      <c r="AN578" s="794">
        <f t="array" ref="AN578">INDEX(G578:R578,1,MATCH(Parametres!$B$3,G$1:R$1,0))*IF(OR(F578="L",F578="S",F578="I"),-1,1)</f>
        <v>0</v>
      </c>
      <c r="AO578" s="853" t="str">
        <f>+VLOOKUP($AJ578,Data_Validation!$A:$D,1,0)</f>
        <v>#N/A</v>
      </c>
      <c r="AP578" s="853" t="str">
        <f>+VLOOKUP($AJ578,Data_Validation!$A:$D,3,0)</f>
        <v>#N/A</v>
      </c>
      <c r="AQ578" s="853" t="str">
        <f>+VLOOKUP($AJ578,Data_Validation!$A:$D,4,0)</f>
        <v>#N/A</v>
      </c>
      <c r="AR578" s="853" t="s">
        <v>728</v>
      </c>
      <c r="AS578" s="853" t="str">
        <f>+VLOOKUP($AJ578,Data_Validation!$A:$E,5,0)</f>
        <v>#N/A</v>
      </c>
      <c r="AT578" s="794" t="str">
        <f t="shared" ref="AT578:AU578" si="1154">C578</f>
        <v>G43800</v>
      </c>
      <c r="AU578" s="854" t="str">
        <f t="shared" si="1154"/>
        <v>VTES-CHEV CAMION AUTRES</v>
      </c>
      <c r="AV578" s="794">
        <f t="array" ref="AV578">IFERROR(INDEX(V578:AG578,1,MATCH(Parametres!$B$3,V$1:AG$1,0)-1)*IF(OR(C578="L",C578="S",C578="I"),-1,1),"")</f>
        <v>0</v>
      </c>
      <c r="AW578" s="794">
        <f t="shared" si="6"/>
        <v>0</v>
      </c>
      <c r="AX578" s="794">
        <f t="array" ref="AX578">INDEX(V578:AG578,1,MATCH(Parametres!$B$3,V$1:AG$1,0))*IF(OR(C578="L",C578="S",C578="I"),-1,1)</f>
        <v>0</v>
      </c>
      <c r="AY578" s="853" t="s">
        <v>772</v>
      </c>
      <c r="AZ578" s="853" t="str">
        <f>+VLOOKUP($AJ578,Data_Validation!$A:$E,5,0)</f>
        <v>#N/A</v>
      </c>
    </row>
    <row r="579" ht="15.0" customHeight="1">
      <c r="A579" s="849" t="s">
        <v>1239</v>
      </c>
      <c r="B579" s="849">
        <v>2025.0</v>
      </c>
      <c r="C579" s="849" t="s">
        <v>2571</v>
      </c>
      <c r="D579" s="849" t="s">
        <v>2572</v>
      </c>
      <c r="E579" s="849" t="s">
        <v>2426</v>
      </c>
      <c r="F579" s="849" t="s">
        <v>2426</v>
      </c>
      <c r="G579" s="849">
        <v>0.0</v>
      </c>
      <c r="H579" s="849">
        <v>0.0</v>
      </c>
      <c r="I579" s="849">
        <v>0.0</v>
      </c>
      <c r="J579" s="849">
        <v>0.0</v>
      </c>
      <c r="K579" s="849">
        <v>0.0</v>
      </c>
      <c r="L579" s="849">
        <v>0.0</v>
      </c>
      <c r="M579" s="849">
        <v>0.0</v>
      </c>
      <c r="N579" s="849">
        <v>0.0</v>
      </c>
      <c r="O579" s="849">
        <v>0.0</v>
      </c>
      <c r="P579" s="849">
        <v>0.0</v>
      </c>
      <c r="Q579" s="849">
        <v>0.0</v>
      </c>
      <c r="R579" s="849">
        <v>0.0</v>
      </c>
      <c r="S579" s="849">
        <v>0.0</v>
      </c>
      <c r="T579" s="849">
        <v>0.0</v>
      </c>
      <c r="U579" s="849">
        <v>0.0</v>
      </c>
      <c r="V579" s="849">
        <v>0.0</v>
      </c>
      <c r="W579" s="849">
        <v>0.0</v>
      </c>
      <c r="X579" s="849">
        <v>0.0</v>
      </c>
      <c r="Y579" s="849">
        <v>0.0</v>
      </c>
      <c r="Z579" s="849">
        <v>0.0</v>
      </c>
      <c r="AA579" s="849">
        <v>0.0</v>
      </c>
      <c r="AB579" s="849">
        <v>0.0</v>
      </c>
      <c r="AC579" s="849">
        <v>0.0</v>
      </c>
      <c r="AD579" s="849">
        <v>0.0</v>
      </c>
      <c r="AE579" s="849">
        <v>0.0</v>
      </c>
      <c r="AF579" s="849">
        <v>0.0</v>
      </c>
      <c r="AG579" s="849">
        <v>0.0</v>
      </c>
      <c r="AH579" s="849">
        <v>0.0</v>
      </c>
      <c r="AI579" s="849">
        <v>0.0</v>
      </c>
      <c r="AJ579" s="794" t="str">
        <f t="shared" ref="AJ579:AK579" si="1155">C579</f>
        <v>G43820</v>
      </c>
      <c r="AK579" s="794" t="str">
        <f t="shared" si="1155"/>
        <v>VTES-CHEV CAM AUTRE  -LOC</v>
      </c>
      <c r="AL579" s="794">
        <f t="array" ref="AL579">IFERROR(INDEX(G579:R579,1,MATCH(Parametres!$B$3,G$1:R$1,0)-1)*IF(OR(F579="L",F579="S",F579="I"),-1,1),"")</f>
        <v>0</v>
      </c>
      <c r="AM579" s="794">
        <f t="shared" si="4"/>
        <v>0</v>
      </c>
      <c r="AN579" s="794">
        <f t="array" ref="AN579">INDEX(G579:R579,1,MATCH(Parametres!$B$3,G$1:R$1,0))*IF(OR(F579="L",F579="S",F579="I"),-1,1)</f>
        <v>0</v>
      </c>
      <c r="AO579" s="853" t="str">
        <f>+VLOOKUP($AJ579,Data_Validation!$A:$D,1,0)</f>
        <v>#N/A</v>
      </c>
      <c r="AP579" s="853" t="str">
        <f>+VLOOKUP($AJ579,Data_Validation!$A:$D,3,0)</f>
        <v>#N/A</v>
      </c>
      <c r="AQ579" s="853" t="str">
        <f>+VLOOKUP($AJ579,Data_Validation!$A:$D,4,0)</f>
        <v>#N/A</v>
      </c>
      <c r="AR579" s="853" t="s">
        <v>728</v>
      </c>
      <c r="AS579" s="853" t="str">
        <f>+VLOOKUP($AJ579,Data_Validation!$A:$E,5,0)</f>
        <v>#N/A</v>
      </c>
      <c r="AT579" s="794" t="str">
        <f t="shared" ref="AT579:AU579" si="1156">C579</f>
        <v>G43820</v>
      </c>
      <c r="AU579" s="854" t="str">
        <f t="shared" si="1156"/>
        <v>VTES-CHEV CAM AUTRE  -LOC</v>
      </c>
      <c r="AV579" s="794">
        <f t="array" ref="AV579">IFERROR(INDEX(V579:AG579,1,MATCH(Parametres!$B$3,V$1:AG$1,0)-1)*IF(OR(C579="L",C579="S",C579="I"),-1,1),"")</f>
        <v>0</v>
      </c>
      <c r="AW579" s="794">
        <f t="shared" si="6"/>
        <v>0</v>
      </c>
      <c r="AX579" s="794">
        <f t="array" ref="AX579">INDEX(V579:AG579,1,MATCH(Parametres!$B$3,V$1:AG$1,0))*IF(OR(C579="L",C579="S",C579="I"),-1,1)</f>
        <v>0</v>
      </c>
      <c r="AY579" s="853" t="s">
        <v>772</v>
      </c>
      <c r="AZ579" s="853" t="str">
        <f>+VLOOKUP($AJ579,Data_Validation!$A:$E,5,0)</f>
        <v>#N/A</v>
      </c>
    </row>
    <row r="580" ht="15.0" customHeight="1">
      <c r="A580" s="849" t="s">
        <v>1239</v>
      </c>
      <c r="B580" s="849">
        <v>2025.0</v>
      </c>
      <c r="C580" s="849" t="s">
        <v>2573</v>
      </c>
      <c r="D580" s="849" t="s">
        <v>2574</v>
      </c>
      <c r="E580" s="849" t="s">
        <v>2426</v>
      </c>
      <c r="F580" s="849" t="s">
        <v>2426</v>
      </c>
      <c r="G580" s="849">
        <v>5031510.09</v>
      </c>
      <c r="H580" s="849">
        <v>8926571.25</v>
      </c>
      <c r="I580" s="849">
        <v>1.983861243E7</v>
      </c>
      <c r="J580" s="849">
        <v>3.321112906E7</v>
      </c>
      <c r="K580" s="849">
        <v>4.51284018E7</v>
      </c>
      <c r="L580" s="849">
        <v>5.840262915E7</v>
      </c>
      <c r="M580" s="849">
        <v>6.435578413E7</v>
      </c>
      <c r="N580" s="849">
        <v>6.724326613E7</v>
      </c>
      <c r="O580" s="849">
        <v>7.212516251E7</v>
      </c>
      <c r="P580" s="849">
        <v>8.164769667E7</v>
      </c>
      <c r="Q580" s="849">
        <v>9.182470657E7</v>
      </c>
      <c r="R580" s="849">
        <v>9.593130775E7</v>
      </c>
      <c r="S580" s="849">
        <v>8347700.6</v>
      </c>
      <c r="T580" s="849">
        <v>8347700.6</v>
      </c>
      <c r="U580" s="849">
        <v>0.0</v>
      </c>
      <c r="V580" s="849">
        <v>107.0</v>
      </c>
      <c r="W580" s="849">
        <v>177.0</v>
      </c>
      <c r="X580" s="849">
        <v>358.0</v>
      </c>
      <c r="Y580" s="849">
        <v>585.0</v>
      </c>
      <c r="Z580" s="849">
        <v>793.0</v>
      </c>
      <c r="AA580" s="849">
        <v>1023.0</v>
      </c>
      <c r="AB580" s="849">
        <v>1116.0</v>
      </c>
      <c r="AC580" s="849">
        <v>1170.0</v>
      </c>
      <c r="AD580" s="849">
        <v>1252.0</v>
      </c>
      <c r="AE580" s="849">
        <v>1402.0</v>
      </c>
      <c r="AF580" s="849">
        <v>1544.0</v>
      </c>
      <c r="AG580" s="849">
        <v>1607.0</v>
      </c>
      <c r="AH580" s="849">
        <v>140.0</v>
      </c>
      <c r="AI580" s="849">
        <v>140.0</v>
      </c>
      <c r="AJ580" s="794" t="str">
        <f t="shared" ref="AJ580:AK580" si="1157">C580</f>
        <v>G44000</v>
      </c>
      <c r="AK580" s="794" t="str">
        <f t="shared" si="1157"/>
        <v>VENTES PARCS CAMIONS</v>
      </c>
      <c r="AL580" s="794">
        <f t="array" ref="AL580">IFERROR(INDEX(G580:R580,1,MATCH(Parametres!$B$3,G$1:R$1,0)-1)*IF(OR(F580="L",F580="S",F580="I"),-1,1),"")</f>
        <v>-67243266.13</v>
      </c>
      <c r="AM580" s="794">
        <f t="shared" si="4"/>
        <v>-4881896.38</v>
      </c>
      <c r="AN580" s="794">
        <f t="array" ref="AN580">INDEX(G580:R580,1,MATCH(Parametres!$B$3,G$1:R$1,0))*IF(OR(F580="L",F580="S",F580="I"),-1,1)</f>
        <v>-72125162.51</v>
      </c>
      <c r="AO580" s="853" t="str">
        <f>+VLOOKUP($AJ580,Data_Validation!$A:$D,1,0)</f>
        <v>G44000</v>
      </c>
      <c r="AP580" s="853" t="str">
        <f>+VLOOKUP($AJ580,Data_Validation!$A:$D,3,0)</f>
        <v>Véhicules neufs</v>
      </c>
      <c r="AQ580" s="853" t="str">
        <f>+VLOOKUP($AJ580,Data_Validation!$A:$D,4,0)</f>
        <v>Flottes</v>
      </c>
      <c r="AR580" s="853" t="s">
        <v>728</v>
      </c>
      <c r="AS580" s="853" t="str">
        <f>+VLOOKUP($AJ580,Data_Validation!$A:$E,5,0)</f>
        <v>Oui</v>
      </c>
      <c r="AT580" s="794" t="str">
        <f t="shared" ref="AT580:AU580" si="1158">C580</f>
        <v>G44000</v>
      </c>
      <c r="AU580" s="854" t="str">
        <f t="shared" si="1158"/>
        <v>VENTES PARCS CAMIONS</v>
      </c>
      <c r="AV580" s="794">
        <f t="array" ref="AV580">IFERROR(INDEX(V580:AG580,1,MATCH(Parametres!$B$3,V$1:AG$1,0)-1)*IF(OR(C580="L",C580="S",C580="I"),-1,1),"")</f>
        <v>1170</v>
      </c>
      <c r="AW580" s="794">
        <f t="shared" si="6"/>
        <v>82</v>
      </c>
      <c r="AX580" s="794">
        <f t="array" ref="AX580">INDEX(V580:AG580,1,MATCH(Parametres!$B$3,V$1:AG$1,0))*IF(OR(C580="L",C580="S",C580="I"),-1,1)</f>
        <v>1252</v>
      </c>
      <c r="AY580" s="853" t="s">
        <v>772</v>
      </c>
      <c r="AZ580" s="853" t="str">
        <f>+VLOOKUP($AJ580,Data_Validation!$A:$E,5,0)</f>
        <v>Oui</v>
      </c>
    </row>
    <row r="581" ht="15.0" customHeight="1">
      <c r="A581" s="849" t="s">
        <v>1239</v>
      </c>
      <c r="B581" s="849">
        <v>2025.0</v>
      </c>
      <c r="C581" s="849" t="s">
        <v>2575</v>
      </c>
      <c r="D581" s="849" t="s">
        <v>2576</v>
      </c>
      <c r="E581" s="849" t="s">
        <v>2426</v>
      </c>
      <c r="F581" s="849" t="s">
        <v>2426</v>
      </c>
      <c r="G581" s="849">
        <v>0.0</v>
      </c>
      <c r="H581" s="849">
        <v>0.0</v>
      </c>
      <c r="I581" s="849">
        <v>0.0</v>
      </c>
      <c r="J581" s="849">
        <v>0.0</v>
      </c>
      <c r="K581" s="849">
        <v>0.0</v>
      </c>
      <c r="L581" s="849">
        <v>0.0</v>
      </c>
      <c r="M581" s="849">
        <v>0.0</v>
      </c>
      <c r="N581" s="849">
        <v>0.0</v>
      </c>
      <c r="O581" s="849">
        <v>0.0</v>
      </c>
      <c r="P581" s="849">
        <v>0.0</v>
      </c>
      <c r="Q581" s="849">
        <v>0.0</v>
      </c>
      <c r="R581" s="849">
        <v>0.0</v>
      </c>
      <c r="S581" s="849">
        <v>0.0</v>
      </c>
      <c r="T581" s="849">
        <v>0.0</v>
      </c>
      <c r="U581" s="849">
        <v>0.0</v>
      </c>
      <c r="V581" s="849">
        <v>0.0</v>
      </c>
      <c r="W581" s="849">
        <v>0.0</v>
      </c>
      <c r="X581" s="849">
        <v>0.0</v>
      </c>
      <c r="Y581" s="849">
        <v>0.0</v>
      </c>
      <c r="Z581" s="849">
        <v>0.0</v>
      </c>
      <c r="AA581" s="849">
        <v>0.0</v>
      </c>
      <c r="AB581" s="849">
        <v>0.0</v>
      </c>
      <c r="AC581" s="849">
        <v>0.0</v>
      </c>
      <c r="AD581" s="849">
        <v>0.0</v>
      </c>
      <c r="AE581" s="849">
        <v>0.0</v>
      </c>
      <c r="AF581" s="849">
        <v>0.0</v>
      </c>
      <c r="AG581" s="849">
        <v>0.0</v>
      </c>
      <c r="AH581" s="849">
        <v>0.0</v>
      </c>
      <c r="AI581" s="849">
        <v>0.0</v>
      </c>
      <c r="AJ581" s="794" t="str">
        <f t="shared" ref="AJ581:AK581" si="1159">C581</f>
        <v>G44100</v>
      </c>
      <c r="AK581" s="794" t="str">
        <f t="shared" si="1159"/>
        <v>VTES-INTERNE CAMIONS</v>
      </c>
      <c r="AL581" s="794">
        <f t="array" ref="AL581">IFERROR(INDEX(G581:R581,1,MATCH(Parametres!$B$3,G$1:R$1,0)-1)*IF(OR(F581="L",F581="S",F581="I"),-1,1),"")</f>
        <v>0</v>
      </c>
      <c r="AM581" s="794">
        <f t="shared" si="4"/>
        <v>0</v>
      </c>
      <c r="AN581" s="794">
        <f t="array" ref="AN581">INDEX(G581:R581,1,MATCH(Parametres!$B$3,G$1:R$1,0))*IF(OR(F581="L",F581="S",F581="I"),-1,1)</f>
        <v>0</v>
      </c>
      <c r="AO581" s="853" t="str">
        <f>+VLOOKUP($AJ581,Data_Validation!$A:$D,1,0)</f>
        <v>G44100</v>
      </c>
      <c r="AP581" s="853" t="str">
        <f>+VLOOKUP($AJ581,Data_Validation!$A:$D,3,0)</f>
        <v>Véhicules neufs</v>
      </c>
      <c r="AQ581" s="853" t="str">
        <f>+VLOOKUP($AJ581,Data_Validation!$A:$D,4,0)</f>
        <v>Flottes</v>
      </c>
      <c r="AR581" s="853" t="s">
        <v>728</v>
      </c>
      <c r="AS581" s="853" t="str">
        <f>+VLOOKUP($AJ581,Data_Validation!$A:$E,5,0)</f>
        <v>Oui</v>
      </c>
      <c r="AT581" s="794" t="str">
        <f t="shared" ref="AT581:AU581" si="1160">C581</f>
        <v>G44100</v>
      </c>
      <c r="AU581" s="854" t="str">
        <f t="shared" si="1160"/>
        <v>VTES-INTERNE CAMIONS</v>
      </c>
      <c r="AV581" s="794">
        <f t="array" ref="AV581">IFERROR(INDEX(V581:AG581,1,MATCH(Parametres!$B$3,V$1:AG$1,0)-1)*IF(OR(C581="L",C581="S",C581="I"),-1,1),"")</f>
        <v>0</v>
      </c>
      <c r="AW581" s="794">
        <f t="shared" si="6"/>
        <v>0</v>
      </c>
      <c r="AX581" s="794">
        <f t="array" ref="AX581">INDEX(V581:AG581,1,MATCH(Parametres!$B$3,V$1:AG$1,0))*IF(OR(C581="L",C581="S",C581="I"),-1,1)</f>
        <v>0</v>
      </c>
      <c r="AY581" s="853" t="s">
        <v>772</v>
      </c>
      <c r="AZ581" s="853" t="str">
        <f>+VLOOKUP($AJ581,Data_Validation!$A:$E,5,0)</f>
        <v>Oui</v>
      </c>
    </row>
    <row r="582" ht="15.0" customHeight="1">
      <c r="A582" s="849" t="s">
        <v>1239</v>
      </c>
      <c r="B582" s="849">
        <v>2025.0</v>
      </c>
      <c r="C582" s="849" t="s">
        <v>2577</v>
      </c>
      <c r="D582" s="849" t="s">
        <v>3460</v>
      </c>
      <c r="E582" s="849" t="s">
        <v>768</v>
      </c>
      <c r="F582" s="849" t="s">
        <v>2426</v>
      </c>
      <c r="G582" s="849">
        <v>85348.86</v>
      </c>
      <c r="H582" s="849">
        <v>158557.86</v>
      </c>
      <c r="I582" s="849">
        <v>250323.86</v>
      </c>
      <c r="J582" s="849">
        <v>309561.86</v>
      </c>
      <c r="K582" s="849">
        <v>377401.86</v>
      </c>
      <c r="L582" s="849">
        <v>474717.86</v>
      </c>
      <c r="M582" s="849">
        <v>549891.38</v>
      </c>
      <c r="N582" s="849">
        <v>650789.38</v>
      </c>
      <c r="O582" s="849">
        <v>733781.38</v>
      </c>
      <c r="P582" s="849">
        <v>810551.93</v>
      </c>
      <c r="Q582" s="849">
        <v>870816.93</v>
      </c>
      <c r="R582" s="849">
        <v>940380.94</v>
      </c>
      <c r="S582" s="849">
        <v>79165.18</v>
      </c>
      <c r="T582" s="849">
        <v>79165.18</v>
      </c>
      <c r="U582" s="849">
        <v>0.0</v>
      </c>
      <c r="V582" s="849">
        <v>28.0</v>
      </c>
      <c r="W582" s="849">
        <v>47.0</v>
      </c>
      <c r="X582" s="849">
        <v>74.0</v>
      </c>
      <c r="Y582" s="849">
        <v>92.0</v>
      </c>
      <c r="Z582" s="849">
        <v>116.0</v>
      </c>
      <c r="AA582" s="849">
        <v>143.0</v>
      </c>
      <c r="AB582" s="849">
        <v>164.0</v>
      </c>
      <c r="AC582" s="849">
        <v>199.0</v>
      </c>
      <c r="AD582" s="849">
        <v>229.0</v>
      </c>
      <c r="AE582" s="849">
        <v>250.0</v>
      </c>
      <c r="AF582" s="849">
        <v>265.0</v>
      </c>
      <c r="AG582" s="849">
        <v>287.0</v>
      </c>
      <c r="AH582" s="849">
        <v>24.0</v>
      </c>
      <c r="AI582" s="849">
        <v>24.0</v>
      </c>
      <c r="AJ582" s="794" t="str">
        <f t="shared" ref="AJ582:AK582" si="1161">C582</f>
        <v>G44300</v>
      </c>
      <c r="AK582" s="794" t="str">
        <f t="shared" si="1161"/>
        <v>VTES-PLAN PROTECTION</v>
      </c>
      <c r="AL582" s="794">
        <f t="array" ref="AL582">IFERROR(INDEX(G582:R582,1,MATCH(Parametres!$B$3,G$1:R$1,0)-1)*IF(OR(F582="L",F582="S",F582="I"),-1,1),"")</f>
        <v>-650789.38</v>
      </c>
      <c r="AM582" s="794">
        <f t="shared" si="4"/>
        <v>-82992</v>
      </c>
      <c r="AN582" s="794">
        <f t="array" ref="AN582">INDEX(G582:R582,1,MATCH(Parametres!$B$3,G$1:R$1,0))*IF(OR(F582="L",F582="S",F582="I"),-1,1)</f>
        <v>-733781.38</v>
      </c>
      <c r="AO582" s="853" t="str">
        <f>+VLOOKUP($AJ582,Data_Validation!$A:$D,1,0)</f>
        <v>G44300</v>
      </c>
      <c r="AP582" s="853" t="str">
        <f>+VLOOKUP($AJ582,Data_Validation!$A:$D,3,0)</f>
        <v>Véhicules neufs</v>
      </c>
      <c r="AQ582" s="853" t="str">
        <f>+VLOOKUP($AJ582,Data_Validation!$A:$D,4,0)</f>
        <v>Rev. Protections</v>
      </c>
      <c r="AR582" s="853" t="s">
        <v>728</v>
      </c>
      <c r="AS582" s="853" t="str">
        <f>+VLOOKUP($AJ582,Data_Validation!$A:$E,5,0)</f>
        <v>Oui</v>
      </c>
      <c r="AT582" s="794" t="str">
        <f t="shared" ref="AT582:AU582" si="1162">C582</f>
        <v>G44300</v>
      </c>
      <c r="AU582" s="854" t="str">
        <f t="shared" si="1162"/>
        <v>VTES-PLAN PROTECTION</v>
      </c>
      <c r="AV582" s="794">
        <f t="array" ref="AV582">IFERROR(INDEX(V582:AG582,1,MATCH(Parametres!$B$3,V$1:AG$1,0)-1)*IF(OR(C582="L",C582="S",C582="I"),-1,1),"")</f>
        <v>199</v>
      </c>
      <c r="AW582" s="794">
        <f t="shared" si="6"/>
        <v>30</v>
      </c>
      <c r="AX582" s="794">
        <f t="array" ref="AX582">INDEX(V582:AG582,1,MATCH(Parametres!$B$3,V$1:AG$1,0))*IF(OR(C582="L",C582="S",C582="I"),-1,1)</f>
        <v>229</v>
      </c>
      <c r="AY582" s="853" t="s">
        <v>772</v>
      </c>
      <c r="AZ582" s="853" t="str">
        <f>+VLOOKUP($AJ582,Data_Validation!$A:$E,5,0)</f>
        <v>Oui</v>
      </c>
    </row>
    <row r="583" ht="15.0" customHeight="1">
      <c r="A583" s="849" t="s">
        <v>1239</v>
      </c>
      <c r="B583" s="849">
        <v>2025.0</v>
      </c>
      <c r="C583" s="849" t="s">
        <v>2591</v>
      </c>
      <c r="D583" s="849" t="s">
        <v>2592</v>
      </c>
      <c r="E583" s="849" t="s">
        <v>768</v>
      </c>
      <c r="F583" s="849" t="s">
        <v>2426</v>
      </c>
      <c r="G583" s="849">
        <v>0.0</v>
      </c>
      <c r="H583" s="849">
        <v>0.0</v>
      </c>
      <c r="I583" s="849">
        <v>0.0</v>
      </c>
      <c r="J583" s="849">
        <v>0.0</v>
      </c>
      <c r="K583" s="849">
        <v>0.0</v>
      </c>
      <c r="L583" s="849">
        <v>0.0</v>
      </c>
      <c r="M583" s="849">
        <v>0.0</v>
      </c>
      <c r="N583" s="849">
        <v>0.0</v>
      </c>
      <c r="O583" s="849">
        <v>0.0</v>
      </c>
      <c r="P583" s="849">
        <v>0.0</v>
      </c>
      <c r="Q583" s="849">
        <v>0.0</v>
      </c>
      <c r="R583" s="849">
        <v>0.0</v>
      </c>
      <c r="S583" s="849">
        <v>0.0</v>
      </c>
      <c r="T583" s="849">
        <v>0.0</v>
      </c>
      <c r="U583" s="849">
        <v>0.0</v>
      </c>
      <c r="V583" s="849">
        <v>0.0</v>
      </c>
      <c r="W583" s="849">
        <v>0.0</v>
      </c>
      <c r="X583" s="849">
        <v>0.0</v>
      </c>
      <c r="Y583" s="849">
        <v>0.0</v>
      </c>
      <c r="Z583" s="849">
        <v>0.0</v>
      </c>
      <c r="AA583" s="849">
        <v>0.0</v>
      </c>
      <c r="AB583" s="849">
        <v>0.0</v>
      </c>
      <c r="AC583" s="849">
        <v>0.0</v>
      </c>
      <c r="AD583" s="849">
        <v>0.0</v>
      </c>
      <c r="AE583" s="849">
        <v>0.0</v>
      </c>
      <c r="AF583" s="849">
        <v>0.0</v>
      </c>
      <c r="AG583" s="849">
        <v>0.0</v>
      </c>
      <c r="AH583" s="849">
        <v>0.0</v>
      </c>
      <c r="AI583" s="849">
        <v>0.0</v>
      </c>
      <c r="AJ583" s="794" t="str">
        <f t="shared" ref="AJ583:AK583" si="1163">C583</f>
        <v>G44400</v>
      </c>
      <c r="AK583" s="794" t="str">
        <f t="shared" si="1163"/>
        <v>VENTE PROTECTION PLUS</v>
      </c>
      <c r="AL583" s="794">
        <f t="array" ref="AL583">IFERROR(INDEX(G583:R583,1,MATCH(Parametres!$B$3,G$1:R$1,0)-1)*IF(OR(F583="L",F583="S",F583="I"),-1,1),"")</f>
        <v>0</v>
      </c>
      <c r="AM583" s="794">
        <f t="shared" si="4"/>
        <v>0</v>
      </c>
      <c r="AN583" s="794">
        <f t="array" ref="AN583">INDEX(G583:R583,1,MATCH(Parametres!$B$3,G$1:R$1,0))*IF(OR(F583="L",F583="S",F583="I"),-1,1)</f>
        <v>0</v>
      </c>
      <c r="AO583" s="853" t="str">
        <f>+VLOOKUP($AJ583,Data_Validation!$A:$D,1,0)</f>
        <v>G44400</v>
      </c>
      <c r="AP583" s="853" t="str">
        <f>+VLOOKUP($AJ583,Data_Validation!$A:$D,3,0)</f>
        <v>Véhicules neufs</v>
      </c>
      <c r="AQ583" s="853" t="str">
        <f>+VLOOKUP($AJ583,Data_Validation!$A:$D,4,0)</f>
        <v>Rev. Protections</v>
      </c>
      <c r="AR583" s="853" t="s">
        <v>728</v>
      </c>
      <c r="AS583" s="853" t="str">
        <f>+VLOOKUP($AJ583,Data_Validation!$A:$E,5,0)</f>
        <v>Oui</v>
      </c>
      <c r="AT583" s="794" t="str">
        <f t="shared" ref="AT583:AU583" si="1164">C583</f>
        <v>G44400</v>
      </c>
      <c r="AU583" s="854" t="str">
        <f t="shared" si="1164"/>
        <v>VENTE PROTECTION PLUS</v>
      </c>
      <c r="AV583" s="794">
        <f t="array" ref="AV583">IFERROR(INDEX(V583:AG583,1,MATCH(Parametres!$B$3,V$1:AG$1,0)-1)*IF(OR(C583="L",C583="S",C583="I"),-1,1),"")</f>
        <v>0</v>
      </c>
      <c r="AW583" s="794">
        <f t="shared" si="6"/>
        <v>0</v>
      </c>
      <c r="AX583" s="794">
        <f t="array" ref="AX583">INDEX(V583:AG583,1,MATCH(Parametres!$B$3,V$1:AG$1,0))*IF(OR(C583="L",C583="S",C583="I"),-1,1)</f>
        <v>0</v>
      </c>
      <c r="AY583" s="853" t="s">
        <v>772</v>
      </c>
      <c r="AZ583" s="853" t="str">
        <f>+VLOOKUP($AJ583,Data_Validation!$A:$E,5,0)</f>
        <v>Oui</v>
      </c>
    </row>
    <row r="584" ht="15.0" customHeight="1">
      <c r="A584" s="849" t="s">
        <v>1239</v>
      </c>
      <c r="B584" s="849">
        <v>2025.0</v>
      </c>
      <c r="C584" s="849" t="s">
        <v>2603</v>
      </c>
      <c r="D584" s="849" t="s">
        <v>2604</v>
      </c>
      <c r="E584" s="849" t="s">
        <v>768</v>
      </c>
      <c r="F584" s="849" t="s">
        <v>2426</v>
      </c>
      <c r="G584" s="849">
        <v>0.0</v>
      </c>
      <c r="H584" s="849">
        <v>0.0</v>
      </c>
      <c r="I584" s="849">
        <v>0.0</v>
      </c>
      <c r="J584" s="849">
        <v>1598.0</v>
      </c>
      <c r="K584" s="849">
        <v>1598.0</v>
      </c>
      <c r="L584" s="849">
        <v>2497.0</v>
      </c>
      <c r="M584" s="849">
        <v>2497.0</v>
      </c>
      <c r="N584" s="849">
        <v>4495.0</v>
      </c>
      <c r="O584" s="849">
        <v>4495.0</v>
      </c>
      <c r="P584" s="849">
        <v>5394.0</v>
      </c>
      <c r="Q584" s="849">
        <v>6193.0</v>
      </c>
      <c r="R584" s="849">
        <v>8491.0</v>
      </c>
      <c r="S584" s="849">
        <v>563.0</v>
      </c>
      <c r="T584" s="849">
        <v>563.0</v>
      </c>
      <c r="U584" s="849">
        <v>0.0</v>
      </c>
      <c r="V584" s="849">
        <v>0.0</v>
      </c>
      <c r="W584" s="849">
        <v>0.0</v>
      </c>
      <c r="X584" s="849">
        <v>0.0</v>
      </c>
      <c r="Y584" s="849">
        <v>2.0</v>
      </c>
      <c r="Z584" s="849">
        <v>2.0</v>
      </c>
      <c r="AA584" s="849">
        <v>3.0</v>
      </c>
      <c r="AB584" s="849">
        <v>3.0</v>
      </c>
      <c r="AC584" s="849">
        <v>6.0</v>
      </c>
      <c r="AD584" s="849">
        <v>6.0</v>
      </c>
      <c r="AE584" s="849">
        <v>7.0</v>
      </c>
      <c r="AF584" s="849">
        <v>8.0</v>
      </c>
      <c r="AG584" s="849">
        <v>10.0</v>
      </c>
      <c r="AH584" s="849">
        <v>1.0</v>
      </c>
      <c r="AI584" s="849">
        <v>1.0</v>
      </c>
      <c r="AJ584" s="794" t="str">
        <f t="shared" ref="AJ584:AK584" si="1165">C584</f>
        <v>G44501</v>
      </c>
      <c r="AK584" s="794" t="str">
        <f t="shared" si="1165"/>
        <v>VTES-ANTIROUILLE</v>
      </c>
      <c r="AL584" s="794">
        <f t="array" ref="AL584">IFERROR(INDEX(G584:R584,1,MATCH(Parametres!$B$3,G$1:R$1,0)-1)*IF(OR(F584="L",F584="S",F584="I"),-1,1),"")</f>
        <v>-4495</v>
      </c>
      <c r="AM584" s="794">
        <f t="shared" si="4"/>
        <v>0</v>
      </c>
      <c r="AN584" s="794">
        <f t="array" ref="AN584">INDEX(G584:R584,1,MATCH(Parametres!$B$3,G$1:R$1,0))*IF(OR(F584="L",F584="S",F584="I"),-1,1)</f>
        <v>-4495</v>
      </c>
      <c r="AO584" s="853" t="str">
        <f>+VLOOKUP($AJ584,Data_Validation!$A:$D,1,0)</f>
        <v>G44501</v>
      </c>
      <c r="AP584" s="853" t="str">
        <f>+VLOOKUP($AJ584,Data_Validation!$A:$D,3,0)</f>
        <v>Véhicules neufs</v>
      </c>
      <c r="AQ584" s="853" t="str">
        <f>+VLOOKUP($AJ584,Data_Validation!$A:$D,4,0)</f>
        <v>Rev. Autres</v>
      </c>
      <c r="AR584" s="853" t="s">
        <v>728</v>
      </c>
      <c r="AS584" s="853" t="str">
        <f>+VLOOKUP($AJ584,Data_Validation!$A:$E,5,0)</f>
        <v>Oui</v>
      </c>
      <c r="AT584" s="794" t="str">
        <f t="shared" ref="AT584:AU584" si="1166">C584</f>
        <v>G44501</v>
      </c>
      <c r="AU584" s="854" t="str">
        <f t="shared" si="1166"/>
        <v>VTES-ANTIROUILLE</v>
      </c>
      <c r="AV584" s="794">
        <f t="array" ref="AV584">IFERROR(INDEX(V584:AG584,1,MATCH(Parametres!$B$3,V$1:AG$1,0)-1)*IF(OR(C584="L",C584="S",C584="I"),-1,1),"")</f>
        <v>6</v>
      </c>
      <c r="AW584" s="794">
        <f t="shared" si="6"/>
        <v>0</v>
      </c>
      <c r="AX584" s="794">
        <f t="array" ref="AX584">INDEX(V584:AG584,1,MATCH(Parametres!$B$3,V$1:AG$1,0))*IF(OR(C584="L",C584="S",C584="I"),-1,1)</f>
        <v>6</v>
      </c>
      <c r="AY584" s="853" t="s">
        <v>772</v>
      </c>
      <c r="AZ584" s="853" t="str">
        <f>+VLOOKUP($AJ584,Data_Validation!$A:$E,5,0)</f>
        <v>Oui</v>
      </c>
    </row>
    <row r="585" ht="15.0" customHeight="1">
      <c r="A585" s="849" t="s">
        <v>1239</v>
      </c>
      <c r="B585" s="849">
        <v>2025.0</v>
      </c>
      <c r="C585" s="849" t="s">
        <v>2605</v>
      </c>
      <c r="D585" s="849" t="s">
        <v>2606</v>
      </c>
      <c r="E585" s="849" t="s">
        <v>768</v>
      </c>
      <c r="F585" s="849" t="s">
        <v>2426</v>
      </c>
      <c r="G585" s="849">
        <v>3354.0</v>
      </c>
      <c r="H585" s="849">
        <v>6054.0</v>
      </c>
      <c r="I585" s="849">
        <v>9054.0</v>
      </c>
      <c r="J585" s="849">
        <v>10254.0</v>
      </c>
      <c r="K585" s="849">
        <v>13226.0</v>
      </c>
      <c r="L585" s="849">
        <v>22240.0</v>
      </c>
      <c r="M585" s="849">
        <v>28590.0</v>
      </c>
      <c r="N585" s="849">
        <v>46554.0</v>
      </c>
      <c r="O585" s="849">
        <v>54484.0</v>
      </c>
      <c r="P585" s="849">
        <v>56877.0</v>
      </c>
      <c r="Q585" s="849">
        <v>59132.9</v>
      </c>
      <c r="R585" s="849">
        <v>60185.9</v>
      </c>
      <c r="S585" s="849">
        <v>5375.72</v>
      </c>
      <c r="T585" s="849">
        <v>5375.72</v>
      </c>
      <c r="U585" s="849">
        <v>0.0</v>
      </c>
      <c r="V585" s="849">
        <v>2.0</v>
      </c>
      <c r="W585" s="849">
        <v>4.0</v>
      </c>
      <c r="X585" s="849">
        <v>9.0</v>
      </c>
      <c r="Y585" s="849">
        <v>12.0</v>
      </c>
      <c r="Z585" s="849">
        <v>17.0</v>
      </c>
      <c r="AA585" s="849">
        <v>33.0</v>
      </c>
      <c r="AB585" s="849">
        <v>45.0</v>
      </c>
      <c r="AC585" s="849">
        <v>67.0</v>
      </c>
      <c r="AD585" s="849">
        <v>74.0</v>
      </c>
      <c r="AE585" s="849">
        <v>78.0</v>
      </c>
      <c r="AF585" s="849">
        <v>83.0</v>
      </c>
      <c r="AG585" s="849">
        <v>86.0</v>
      </c>
      <c r="AH585" s="849">
        <v>8.0</v>
      </c>
      <c r="AI585" s="849">
        <v>8.0</v>
      </c>
      <c r="AJ585" s="794" t="str">
        <f t="shared" ref="AJ585:AK585" si="1167">C585</f>
        <v>G44503</v>
      </c>
      <c r="AK585" s="794" t="str">
        <f t="shared" si="1167"/>
        <v>V.TEINTÉE-PEINTURE-TISSUS</v>
      </c>
      <c r="AL585" s="794">
        <f t="array" ref="AL585">IFERROR(INDEX(G585:R585,1,MATCH(Parametres!$B$3,G$1:R$1,0)-1)*IF(OR(F585="L",F585="S",F585="I"),-1,1),"")</f>
        <v>-46554</v>
      </c>
      <c r="AM585" s="794">
        <f t="shared" si="4"/>
        <v>-7930</v>
      </c>
      <c r="AN585" s="794">
        <f t="array" ref="AN585">INDEX(G585:R585,1,MATCH(Parametres!$B$3,G$1:R$1,0))*IF(OR(F585="L",F585="S",F585="I"),-1,1)</f>
        <v>-54484</v>
      </c>
      <c r="AO585" s="853" t="str">
        <f>+VLOOKUP($AJ585,Data_Validation!$A:$D,1,0)</f>
        <v>G44503</v>
      </c>
      <c r="AP585" s="853" t="str">
        <f>+VLOOKUP($AJ585,Data_Validation!$A:$D,3,0)</f>
        <v>Véhicules neufs</v>
      </c>
      <c r="AQ585" s="853" t="str">
        <f>+VLOOKUP($AJ585,Data_Validation!$A:$D,4,0)</f>
        <v>Rev. Autres</v>
      </c>
      <c r="AR585" s="853" t="s">
        <v>728</v>
      </c>
      <c r="AS585" s="853" t="str">
        <f>+VLOOKUP($AJ585,Data_Validation!$A:$E,5,0)</f>
        <v>Oui</v>
      </c>
      <c r="AT585" s="794" t="str">
        <f t="shared" ref="AT585:AU585" si="1168">C585</f>
        <v>G44503</v>
      </c>
      <c r="AU585" s="854" t="str">
        <f t="shared" si="1168"/>
        <v>V.TEINTÉE-PEINTURE-TISSUS</v>
      </c>
      <c r="AV585" s="794">
        <f t="array" ref="AV585">IFERROR(INDEX(V585:AG585,1,MATCH(Parametres!$B$3,V$1:AG$1,0)-1)*IF(OR(C585="L",C585="S",C585="I"),-1,1),"")</f>
        <v>67</v>
      </c>
      <c r="AW585" s="794">
        <f t="shared" si="6"/>
        <v>7</v>
      </c>
      <c r="AX585" s="794">
        <f t="array" ref="AX585">INDEX(V585:AG585,1,MATCH(Parametres!$B$3,V$1:AG$1,0))*IF(OR(C585="L",C585="S",C585="I"),-1,1)</f>
        <v>74</v>
      </c>
      <c r="AY585" s="853" t="s">
        <v>772</v>
      </c>
      <c r="AZ585" s="853" t="str">
        <f>+VLOOKUP($AJ585,Data_Validation!$A:$E,5,0)</f>
        <v>Oui</v>
      </c>
    </row>
    <row r="586" ht="15.0" customHeight="1">
      <c r="A586" s="849" t="s">
        <v>1239</v>
      </c>
      <c r="B586" s="849">
        <v>2025.0</v>
      </c>
      <c r="C586" s="849" t="s">
        <v>2607</v>
      </c>
      <c r="D586" s="849" t="s">
        <v>2608</v>
      </c>
      <c r="E586" s="849" t="s">
        <v>768</v>
      </c>
      <c r="F586" s="849" t="s">
        <v>2426</v>
      </c>
      <c r="G586" s="849">
        <v>14885.0</v>
      </c>
      <c r="H586" s="849">
        <v>21274.0</v>
      </c>
      <c r="I586" s="849">
        <v>27277.0</v>
      </c>
      <c r="J586" s="849">
        <v>31454.0</v>
      </c>
      <c r="K586" s="849">
        <v>39828.0</v>
      </c>
      <c r="L586" s="849">
        <v>46616.0</v>
      </c>
      <c r="M586" s="849">
        <v>51000.0</v>
      </c>
      <c r="N586" s="849">
        <v>61317.0</v>
      </c>
      <c r="O586" s="849">
        <v>75973.0</v>
      </c>
      <c r="P586" s="849">
        <v>97586.0</v>
      </c>
      <c r="Q586" s="849">
        <v>113953.0</v>
      </c>
      <c r="R586" s="849">
        <v>129472.0</v>
      </c>
      <c r="S586" s="849">
        <v>10359.36</v>
      </c>
      <c r="T586" s="849">
        <v>10359.36</v>
      </c>
      <c r="U586" s="849">
        <v>0.0</v>
      </c>
      <c r="V586" s="849">
        <v>6.0</v>
      </c>
      <c r="W586" s="849">
        <v>8.0</v>
      </c>
      <c r="X586" s="849">
        <v>10.0</v>
      </c>
      <c r="Y586" s="849">
        <v>12.0</v>
      </c>
      <c r="Z586" s="849">
        <v>14.0</v>
      </c>
      <c r="AA586" s="849">
        <v>16.0</v>
      </c>
      <c r="AB586" s="849">
        <v>18.0</v>
      </c>
      <c r="AC586" s="849">
        <v>20.0</v>
      </c>
      <c r="AD586" s="849">
        <v>25.0</v>
      </c>
      <c r="AE586" s="849">
        <v>31.0</v>
      </c>
      <c r="AF586" s="849">
        <v>36.0</v>
      </c>
      <c r="AG586" s="849">
        <v>42.0</v>
      </c>
      <c r="AH586" s="849">
        <v>3.0</v>
      </c>
      <c r="AI586" s="849">
        <v>3.0</v>
      </c>
      <c r="AJ586" s="794" t="str">
        <f t="shared" ref="AJ586:AK586" si="1169">C586</f>
        <v>G44504</v>
      </c>
      <c r="AK586" s="794" t="str">
        <f t="shared" si="1169"/>
        <v>VTES-ASS. VALEUR REMPL</v>
      </c>
      <c r="AL586" s="794">
        <f t="array" ref="AL586">IFERROR(INDEX(G586:R586,1,MATCH(Parametres!$B$3,G$1:R$1,0)-1)*IF(OR(F586="L",F586="S",F586="I"),-1,1),"")</f>
        <v>-61317</v>
      </c>
      <c r="AM586" s="794">
        <f t="shared" si="4"/>
        <v>-14656</v>
      </c>
      <c r="AN586" s="794">
        <f t="array" ref="AN586">INDEX(G586:R586,1,MATCH(Parametres!$B$3,G$1:R$1,0))*IF(OR(F586="L",F586="S",F586="I"),-1,1)</f>
        <v>-75973</v>
      </c>
      <c r="AO586" s="853" t="str">
        <f>+VLOOKUP($AJ586,Data_Validation!$A:$D,1,0)</f>
        <v>G44504</v>
      </c>
      <c r="AP586" s="853" t="str">
        <f>+VLOOKUP($AJ586,Data_Validation!$A:$D,3,0)</f>
        <v>Véhicules neufs</v>
      </c>
      <c r="AQ586" s="853" t="str">
        <f>+VLOOKUP($AJ586,Data_Validation!$A:$D,4,0)</f>
        <v>Rev. Protections</v>
      </c>
      <c r="AR586" s="853" t="s">
        <v>728</v>
      </c>
      <c r="AS586" s="853" t="str">
        <f>+VLOOKUP($AJ586,Data_Validation!$A:$E,5,0)</f>
        <v>Oui</v>
      </c>
      <c r="AT586" s="794" t="str">
        <f t="shared" ref="AT586:AU586" si="1170">C586</f>
        <v>G44504</v>
      </c>
      <c r="AU586" s="854" t="str">
        <f t="shared" si="1170"/>
        <v>VTES-ASS. VALEUR REMPL</v>
      </c>
      <c r="AV586" s="794">
        <f t="array" ref="AV586">IFERROR(INDEX(V586:AG586,1,MATCH(Parametres!$B$3,V$1:AG$1,0)-1)*IF(OR(C586="L",C586="S",C586="I"),-1,1),"")</f>
        <v>20</v>
      </c>
      <c r="AW586" s="794">
        <f t="shared" si="6"/>
        <v>5</v>
      </c>
      <c r="AX586" s="794">
        <f t="array" ref="AX586">INDEX(V586:AG586,1,MATCH(Parametres!$B$3,V$1:AG$1,0))*IF(OR(C586="L",C586="S",C586="I"),-1,1)</f>
        <v>25</v>
      </c>
      <c r="AY586" s="853" t="s">
        <v>772</v>
      </c>
      <c r="AZ586" s="853" t="str">
        <f>+VLOOKUP($AJ586,Data_Validation!$A:$E,5,0)</f>
        <v>Oui</v>
      </c>
    </row>
    <row r="587" ht="15.0" customHeight="1">
      <c r="A587" s="849" t="s">
        <v>1239</v>
      </c>
      <c r="B587" s="849">
        <v>2025.0</v>
      </c>
      <c r="C587" s="849" t="s">
        <v>2609</v>
      </c>
      <c r="D587" s="849" t="s">
        <v>2610</v>
      </c>
      <c r="E587" s="849" t="s">
        <v>768</v>
      </c>
      <c r="F587" s="849" t="s">
        <v>2426</v>
      </c>
      <c r="G587" s="849">
        <v>4660.0</v>
      </c>
      <c r="H587" s="849">
        <v>9473.0</v>
      </c>
      <c r="I587" s="849">
        <v>12190.0</v>
      </c>
      <c r="J587" s="849">
        <v>13903.0</v>
      </c>
      <c r="K587" s="849">
        <v>18953.0</v>
      </c>
      <c r="L587" s="849">
        <v>22699.0</v>
      </c>
      <c r="M587" s="849">
        <v>32896.0</v>
      </c>
      <c r="N587" s="849">
        <v>39472.0</v>
      </c>
      <c r="O587" s="849">
        <v>42229.0</v>
      </c>
      <c r="P587" s="849">
        <v>44494.0</v>
      </c>
      <c r="Q587" s="849">
        <v>44777.93</v>
      </c>
      <c r="R587" s="849">
        <v>47833.93</v>
      </c>
      <c r="S587" s="849">
        <v>4070.72</v>
      </c>
      <c r="T587" s="849">
        <v>4070.72</v>
      </c>
      <c r="U587" s="849">
        <v>0.0</v>
      </c>
      <c r="V587" s="849">
        <v>9.0</v>
      </c>
      <c r="W587" s="849">
        <v>20.0</v>
      </c>
      <c r="X587" s="849">
        <v>27.0</v>
      </c>
      <c r="Y587" s="849">
        <v>32.0</v>
      </c>
      <c r="Z587" s="849">
        <v>43.0</v>
      </c>
      <c r="AA587" s="849">
        <v>52.0</v>
      </c>
      <c r="AB587" s="849">
        <v>74.0</v>
      </c>
      <c r="AC587" s="849">
        <v>88.0</v>
      </c>
      <c r="AD587" s="849">
        <v>94.0</v>
      </c>
      <c r="AE587" s="849">
        <v>98.0</v>
      </c>
      <c r="AF587" s="849">
        <v>99.0</v>
      </c>
      <c r="AG587" s="849">
        <v>106.0</v>
      </c>
      <c r="AH587" s="849">
        <v>9.0</v>
      </c>
      <c r="AI587" s="849">
        <v>9.0</v>
      </c>
      <c r="AJ587" s="794" t="str">
        <f t="shared" ref="AJ587:AK587" si="1171">C587</f>
        <v>G44505</v>
      </c>
      <c r="AK587" s="794" t="str">
        <f t="shared" si="1171"/>
        <v>VENTES-ANTIVOL &amp; TAG</v>
      </c>
      <c r="AL587" s="794">
        <f t="array" ref="AL587">IFERROR(INDEX(G587:R587,1,MATCH(Parametres!$B$3,G$1:R$1,0)-1)*IF(OR(F587="L",F587="S",F587="I"),-1,1),"")</f>
        <v>-39472</v>
      </c>
      <c r="AM587" s="794">
        <f t="shared" si="4"/>
        <v>-2757</v>
      </c>
      <c r="AN587" s="794">
        <f t="array" ref="AN587">INDEX(G587:R587,1,MATCH(Parametres!$B$3,G$1:R$1,0))*IF(OR(F587="L",F587="S",F587="I"),-1,1)</f>
        <v>-42229</v>
      </c>
      <c r="AO587" s="853" t="str">
        <f>+VLOOKUP($AJ587,Data_Validation!$A:$D,1,0)</f>
        <v>G44505</v>
      </c>
      <c r="AP587" s="853" t="str">
        <f>+VLOOKUP($AJ587,Data_Validation!$A:$D,3,0)</f>
        <v>Véhicules neufs</v>
      </c>
      <c r="AQ587" s="853" t="str">
        <f>+VLOOKUP($AJ587,Data_Validation!$A:$D,4,0)</f>
        <v>Rev. Autres</v>
      </c>
      <c r="AR587" s="853" t="s">
        <v>728</v>
      </c>
      <c r="AS587" s="853" t="str">
        <f>+VLOOKUP($AJ587,Data_Validation!$A:$E,5,0)</f>
        <v>Oui</v>
      </c>
      <c r="AT587" s="794" t="str">
        <f t="shared" ref="AT587:AU587" si="1172">C587</f>
        <v>G44505</v>
      </c>
      <c r="AU587" s="854" t="str">
        <f t="shared" si="1172"/>
        <v>VENTES-ANTIVOL &amp; TAG</v>
      </c>
      <c r="AV587" s="794">
        <f t="array" ref="AV587">IFERROR(INDEX(V587:AG587,1,MATCH(Parametres!$B$3,V$1:AG$1,0)-1)*IF(OR(C587="L",C587="S",C587="I"),-1,1),"")</f>
        <v>88</v>
      </c>
      <c r="AW587" s="794">
        <f t="shared" si="6"/>
        <v>6</v>
      </c>
      <c r="AX587" s="794">
        <f t="array" ref="AX587">INDEX(V587:AG587,1,MATCH(Parametres!$B$3,V$1:AG$1,0))*IF(OR(C587="L",C587="S",C587="I"),-1,1)</f>
        <v>94</v>
      </c>
      <c r="AY587" s="853" t="s">
        <v>772</v>
      </c>
      <c r="AZ587" s="853" t="str">
        <f>+VLOOKUP($AJ587,Data_Validation!$A:$E,5,0)</f>
        <v>Oui</v>
      </c>
    </row>
    <row r="588" ht="15.0" customHeight="1">
      <c r="A588" s="849" t="s">
        <v>1239</v>
      </c>
      <c r="B588" s="849">
        <v>2025.0</v>
      </c>
      <c r="C588" s="849" t="s">
        <v>2611</v>
      </c>
      <c r="D588" s="849" t="s">
        <v>2612</v>
      </c>
      <c r="E588" s="849" t="s">
        <v>2426</v>
      </c>
      <c r="F588" s="849" t="s">
        <v>2426</v>
      </c>
      <c r="G588" s="849">
        <v>0.0</v>
      </c>
      <c r="H588" s="849">
        <v>0.0</v>
      </c>
      <c r="I588" s="849">
        <v>0.0</v>
      </c>
      <c r="J588" s="849">
        <v>0.0</v>
      </c>
      <c r="K588" s="849">
        <v>0.0</v>
      </c>
      <c r="L588" s="849">
        <v>0.0</v>
      </c>
      <c r="M588" s="849">
        <v>0.0</v>
      </c>
      <c r="N588" s="849">
        <v>0.0</v>
      </c>
      <c r="O588" s="849">
        <v>0.0</v>
      </c>
      <c r="P588" s="849">
        <v>0.0</v>
      </c>
      <c r="Q588" s="849">
        <v>0.0</v>
      </c>
      <c r="R588" s="849">
        <v>0.0</v>
      </c>
      <c r="S588" s="849">
        <v>0.0</v>
      </c>
      <c r="T588" s="849">
        <v>0.0</v>
      </c>
      <c r="U588" s="849">
        <v>0.0</v>
      </c>
      <c r="V588" s="849">
        <v>0.0</v>
      </c>
      <c r="W588" s="849">
        <v>0.0</v>
      </c>
      <c r="X588" s="849">
        <v>0.0</v>
      </c>
      <c r="Y588" s="849">
        <v>0.0</v>
      </c>
      <c r="Z588" s="849">
        <v>0.0</v>
      </c>
      <c r="AA588" s="849">
        <v>0.0</v>
      </c>
      <c r="AB588" s="849">
        <v>0.0</v>
      </c>
      <c r="AC588" s="849">
        <v>0.0</v>
      </c>
      <c r="AD588" s="849">
        <v>0.0</v>
      </c>
      <c r="AE588" s="849">
        <v>0.0</v>
      </c>
      <c r="AF588" s="849">
        <v>0.0</v>
      </c>
      <c r="AG588" s="849">
        <v>0.0</v>
      </c>
      <c r="AH588" s="849">
        <v>0.0</v>
      </c>
      <c r="AI588" s="849">
        <v>0.0</v>
      </c>
      <c r="AJ588" s="794" t="str">
        <f t="shared" ref="AJ588:AK588" si="1173">C588</f>
        <v>G44600</v>
      </c>
      <c r="AK588" s="794" t="str">
        <f t="shared" si="1173"/>
        <v>VTES-AUTOS OCC. DET.OPT.</v>
      </c>
      <c r="AL588" s="794">
        <f t="array" ref="AL588">IFERROR(INDEX(G588:R588,1,MATCH(Parametres!$B$3,G$1:R$1,0)-1)*IF(OR(F588="L",F588="S",F588="I"),-1,1),"")</f>
        <v>0</v>
      </c>
      <c r="AM588" s="794">
        <f t="shared" si="4"/>
        <v>0</v>
      </c>
      <c r="AN588" s="794">
        <f t="array" ref="AN588">INDEX(G588:R588,1,MATCH(Parametres!$B$3,G$1:R$1,0))*IF(OR(F588="L",F588="S",F588="I"),-1,1)</f>
        <v>0</v>
      </c>
      <c r="AO588" s="853" t="str">
        <f>+VLOOKUP($AJ588,Data_Validation!$A:$D,1,0)</f>
        <v>G44600</v>
      </c>
      <c r="AP588" s="853" t="str">
        <f>+VLOOKUP($AJ588,Data_Validation!$A:$D,3,0)</f>
        <v>Véhicules usagés</v>
      </c>
      <c r="AQ588" s="853" t="str">
        <f>+VLOOKUP($AJ588,Data_Validation!$A:$D,4,0)</f>
        <v>Certifié</v>
      </c>
      <c r="AR588" s="853" t="s">
        <v>728</v>
      </c>
      <c r="AS588" s="853" t="str">
        <f>+VLOOKUP($AJ588,Data_Validation!$A:$E,5,0)</f>
        <v>Oui</v>
      </c>
      <c r="AT588" s="794" t="str">
        <f t="shared" ref="AT588:AU588" si="1174">C588</f>
        <v>G44600</v>
      </c>
      <c r="AU588" s="854" t="str">
        <f t="shared" si="1174"/>
        <v>VTES-AUTOS OCC. DET.OPT.</v>
      </c>
      <c r="AV588" s="794">
        <f t="array" ref="AV588">IFERROR(INDEX(V588:AG588,1,MATCH(Parametres!$B$3,V$1:AG$1,0)-1)*IF(OR(C588="L",C588="S",C588="I"),-1,1),"")</f>
        <v>0</v>
      </c>
      <c r="AW588" s="794">
        <f t="shared" si="6"/>
        <v>0</v>
      </c>
      <c r="AX588" s="794">
        <f t="array" ref="AX588">INDEX(V588:AG588,1,MATCH(Parametres!$B$3,V$1:AG$1,0))*IF(OR(C588="L",C588="S",C588="I"),-1,1)</f>
        <v>0</v>
      </c>
      <c r="AY588" s="853" t="s">
        <v>772</v>
      </c>
      <c r="AZ588" s="853" t="str">
        <f>+VLOOKUP($AJ588,Data_Validation!$A:$E,5,0)</f>
        <v>Oui</v>
      </c>
    </row>
    <row r="589" ht="15.0" customHeight="1">
      <c r="A589" s="849" t="s">
        <v>1239</v>
      </c>
      <c r="B589" s="849">
        <v>2025.0</v>
      </c>
      <c r="C589" s="849" t="s">
        <v>2613</v>
      </c>
      <c r="D589" s="849" t="s">
        <v>3461</v>
      </c>
      <c r="E589" s="849" t="s">
        <v>2426</v>
      </c>
      <c r="F589" s="849" t="s">
        <v>2426</v>
      </c>
      <c r="G589" s="849">
        <v>55333.0</v>
      </c>
      <c r="H589" s="849">
        <v>275623.0</v>
      </c>
      <c r="I589" s="849">
        <v>388858.0</v>
      </c>
      <c r="J589" s="849">
        <v>521280.56</v>
      </c>
      <c r="K589" s="849">
        <v>561025.56</v>
      </c>
      <c r="L589" s="849">
        <v>627980.51</v>
      </c>
      <c r="M589" s="849">
        <v>706072.51</v>
      </c>
      <c r="N589" s="849">
        <v>751570.51</v>
      </c>
      <c r="O589" s="849">
        <v>828568.51</v>
      </c>
      <c r="P589" s="849">
        <v>882403.92</v>
      </c>
      <c r="Q589" s="849">
        <v>882403.92</v>
      </c>
      <c r="R589" s="849">
        <v>882403.92</v>
      </c>
      <c r="S589" s="849">
        <v>80218.54</v>
      </c>
      <c r="T589" s="849">
        <v>80218.54</v>
      </c>
      <c r="U589" s="849">
        <v>0.0</v>
      </c>
      <c r="V589" s="849">
        <v>1.0</v>
      </c>
      <c r="W589" s="849">
        <v>4.0</v>
      </c>
      <c r="X589" s="849">
        <v>9.0</v>
      </c>
      <c r="Y589" s="849">
        <v>15.0</v>
      </c>
      <c r="Z589" s="849">
        <v>17.0</v>
      </c>
      <c r="AA589" s="849">
        <v>20.0</v>
      </c>
      <c r="AB589" s="849">
        <v>23.0</v>
      </c>
      <c r="AC589" s="849">
        <v>25.0</v>
      </c>
      <c r="AD589" s="849">
        <v>27.0</v>
      </c>
      <c r="AE589" s="849">
        <v>30.0</v>
      </c>
      <c r="AF589" s="849">
        <v>30.0</v>
      </c>
      <c r="AG589" s="849">
        <v>30.0</v>
      </c>
      <c r="AH589" s="849">
        <v>3.0</v>
      </c>
      <c r="AI589" s="849">
        <v>3.0</v>
      </c>
      <c r="AJ589" s="794" t="str">
        <f t="shared" ref="AJ589:AK589" si="1175">C589</f>
        <v>G44601</v>
      </c>
      <c r="AK589" s="794" t="str">
        <f t="shared" si="1175"/>
        <v>VTES-VOIT.OCC.DET.AUTRE</v>
      </c>
      <c r="AL589" s="794">
        <f t="array" ref="AL589">IFERROR(INDEX(G589:R589,1,MATCH(Parametres!$B$3,G$1:R$1,0)-1)*IF(OR(F589="L",F589="S",F589="I"),-1,1),"")</f>
        <v>-751570.51</v>
      </c>
      <c r="AM589" s="794">
        <f t="shared" si="4"/>
        <v>-76998</v>
      </c>
      <c r="AN589" s="794">
        <f t="array" ref="AN589">INDEX(G589:R589,1,MATCH(Parametres!$B$3,G$1:R$1,0))*IF(OR(F589="L",F589="S",F589="I"),-1,1)</f>
        <v>-828568.51</v>
      </c>
      <c r="AO589" s="853" t="str">
        <f>+VLOOKUP($AJ589,Data_Validation!$A:$D,1,0)</f>
        <v>G44601</v>
      </c>
      <c r="AP589" s="853" t="str">
        <f>+VLOOKUP($AJ589,Data_Validation!$A:$D,3,0)</f>
        <v>Véhicules usagés</v>
      </c>
      <c r="AQ589" s="853" t="str">
        <f>+VLOOKUP($AJ589,Data_Validation!$A:$D,4,0)</f>
        <v>Non Certifié</v>
      </c>
      <c r="AR589" s="853" t="s">
        <v>728</v>
      </c>
      <c r="AS589" s="853" t="str">
        <f>+VLOOKUP($AJ589,Data_Validation!$A:$E,5,0)</f>
        <v>Oui</v>
      </c>
      <c r="AT589" s="794" t="str">
        <f t="shared" ref="AT589:AU589" si="1176">C589</f>
        <v>G44601</v>
      </c>
      <c r="AU589" s="854" t="str">
        <f t="shared" si="1176"/>
        <v>VTES-VOIT.OCC.DET.AUTRE</v>
      </c>
      <c r="AV589" s="794">
        <f t="array" ref="AV589">IFERROR(INDEX(V589:AG589,1,MATCH(Parametres!$B$3,V$1:AG$1,0)-1)*IF(OR(C589="L",C589="S",C589="I"),-1,1),"")</f>
        <v>25</v>
      </c>
      <c r="AW589" s="794">
        <f t="shared" si="6"/>
        <v>2</v>
      </c>
      <c r="AX589" s="794">
        <f t="array" ref="AX589">INDEX(V589:AG589,1,MATCH(Parametres!$B$3,V$1:AG$1,0))*IF(OR(C589="L",C589="S",C589="I"),-1,1)</f>
        <v>27</v>
      </c>
      <c r="AY589" s="853" t="s">
        <v>772</v>
      </c>
      <c r="AZ589" s="853" t="str">
        <f>+VLOOKUP($AJ589,Data_Validation!$A:$E,5,0)</f>
        <v>Oui</v>
      </c>
    </row>
    <row r="590" ht="15.0" customHeight="1">
      <c r="A590" s="849" t="s">
        <v>1239</v>
      </c>
      <c r="B590" s="849">
        <v>2025.0</v>
      </c>
      <c r="C590" s="849" t="s">
        <v>2619</v>
      </c>
      <c r="D590" s="849" t="s">
        <v>2620</v>
      </c>
      <c r="E590" s="849" t="s">
        <v>2426</v>
      </c>
      <c r="F590" s="849" t="s">
        <v>2426</v>
      </c>
      <c r="G590" s="849">
        <v>0.0</v>
      </c>
      <c r="H590" s="849">
        <v>0.0</v>
      </c>
      <c r="I590" s="849">
        <v>0.0</v>
      </c>
      <c r="J590" s="849">
        <v>0.0</v>
      </c>
      <c r="K590" s="849">
        <v>0.0</v>
      </c>
      <c r="L590" s="849">
        <v>0.0</v>
      </c>
      <c r="M590" s="849">
        <v>0.0</v>
      </c>
      <c r="N590" s="849">
        <v>0.0</v>
      </c>
      <c r="O590" s="849">
        <v>0.0</v>
      </c>
      <c r="P590" s="849">
        <v>0.0</v>
      </c>
      <c r="Q590" s="849">
        <v>0.0</v>
      </c>
      <c r="R590" s="849">
        <v>0.0</v>
      </c>
      <c r="S590" s="849">
        <v>0.0</v>
      </c>
      <c r="T590" s="849">
        <v>0.0</v>
      </c>
      <c r="U590" s="849">
        <v>0.0</v>
      </c>
      <c r="V590" s="849">
        <v>0.0</v>
      </c>
      <c r="W590" s="849">
        <v>0.0</v>
      </c>
      <c r="X590" s="849">
        <v>0.0</v>
      </c>
      <c r="Y590" s="849">
        <v>0.0</v>
      </c>
      <c r="Z590" s="849">
        <v>0.0</v>
      </c>
      <c r="AA590" s="849">
        <v>0.0</v>
      </c>
      <c r="AB590" s="849">
        <v>0.0</v>
      </c>
      <c r="AC590" s="849">
        <v>0.0</v>
      </c>
      <c r="AD590" s="849">
        <v>0.0</v>
      </c>
      <c r="AE590" s="849">
        <v>0.0</v>
      </c>
      <c r="AF590" s="849">
        <v>0.0</v>
      </c>
      <c r="AG590" s="849">
        <v>0.0</v>
      </c>
      <c r="AH590" s="849">
        <v>0.0</v>
      </c>
      <c r="AI590" s="849">
        <v>0.0</v>
      </c>
      <c r="AJ590" s="794" t="str">
        <f t="shared" ref="AJ590:AK590" si="1177">C590</f>
        <v>G44620</v>
      </c>
      <c r="AK590" s="794" t="str">
        <f t="shared" si="1177"/>
        <v>VTES-LOC AUTOS USAGE OPT.</v>
      </c>
      <c r="AL590" s="794">
        <f t="array" ref="AL590">IFERROR(INDEX(G590:R590,1,MATCH(Parametres!$B$3,G$1:R$1,0)-1)*IF(OR(F590="L",F590="S",F590="I"),-1,1),"")</f>
        <v>0</v>
      </c>
      <c r="AM590" s="794">
        <f t="shared" si="4"/>
        <v>0</v>
      </c>
      <c r="AN590" s="794">
        <f t="array" ref="AN590">INDEX(G590:R590,1,MATCH(Parametres!$B$3,G$1:R$1,0))*IF(OR(F590="L",F590="S",F590="I"),-1,1)</f>
        <v>0</v>
      </c>
      <c r="AO590" s="853" t="str">
        <f>+VLOOKUP($AJ590,Data_Validation!$A:$D,1,0)</f>
        <v>#N/A</v>
      </c>
      <c r="AP590" s="853" t="str">
        <f>+VLOOKUP($AJ590,Data_Validation!$A:$D,3,0)</f>
        <v>#N/A</v>
      </c>
      <c r="AQ590" s="853" t="str">
        <f>+VLOOKUP($AJ590,Data_Validation!$A:$D,4,0)</f>
        <v>#N/A</v>
      </c>
      <c r="AR590" s="853" t="s">
        <v>728</v>
      </c>
      <c r="AS590" s="853" t="str">
        <f>+VLOOKUP($AJ590,Data_Validation!$A:$E,5,0)</f>
        <v>#N/A</v>
      </c>
      <c r="AT590" s="794" t="str">
        <f t="shared" ref="AT590:AU590" si="1178">C590</f>
        <v>G44620</v>
      </c>
      <c r="AU590" s="854" t="str">
        <f t="shared" si="1178"/>
        <v>VTES-LOC AUTOS USAGE OPT.</v>
      </c>
      <c r="AV590" s="794">
        <f t="array" ref="AV590">IFERROR(INDEX(V590:AG590,1,MATCH(Parametres!$B$3,V$1:AG$1,0)-1)*IF(OR(C590="L",C590="S",C590="I"),-1,1),"")</f>
        <v>0</v>
      </c>
      <c r="AW590" s="794">
        <f t="shared" si="6"/>
        <v>0</v>
      </c>
      <c r="AX590" s="794">
        <f t="array" ref="AX590">INDEX(V590:AG590,1,MATCH(Parametres!$B$3,V$1:AG$1,0))*IF(OR(C590="L",C590="S",C590="I"),-1,1)</f>
        <v>0</v>
      </c>
      <c r="AY590" s="853" t="s">
        <v>772</v>
      </c>
      <c r="AZ590" s="853" t="str">
        <f>+VLOOKUP($AJ590,Data_Validation!$A:$E,5,0)</f>
        <v>#N/A</v>
      </c>
    </row>
    <row r="591" ht="15.0" customHeight="1">
      <c r="A591" s="849" t="s">
        <v>1239</v>
      </c>
      <c r="B591" s="849">
        <v>2025.0</v>
      </c>
      <c r="C591" s="849" t="s">
        <v>2621</v>
      </c>
      <c r="D591" s="849" t="s">
        <v>2622</v>
      </c>
      <c r="E591" s="849" t="s">
        <v>768</v>
      </c>
      <c r="F591" s="849" t="s">
        <v>2426</v>
      </c>
      <c r="G591" s="849">
        <v>0.0</v>
      </c>
      <c r="H591" s="849">
        <v>0.0</v>
      </c>
      <c r="I591" s="849">
        <v>0.0</v>
      </c>
      <c r="J591" s="849">
        <v>0.0</v>
      </c>
      <c r="K591" s="849">
        <v>0.0</v>
      </c>
      <c r="L591" s="849">
        <v>0.0</v>
      </c>
      <c r="M591" s="849">
        <v>0.0</v>
      </c>
      <c r="N591" s="849">
        <v>0.0</v>
      </c>
      <c r="O591" s="849">
        <v>0.0</v>
      </c>
      <c r="P591" s="849">
        <v>0.0</v>
      </c>
      <c r="Q591" s="849">
        <v>0.0</v>
      </c>
      <c r="R591" s="849">
        <v>0.0</v>
      </c>
      <c r="S591" s="849">
        <v>0.0</v>
      </c>
      <c r="T591" s="849">
        <v>0.0</v>
      </c>
      <c r="U591" s="849">
        <v>0.0</v>
      </c>
      <c r="V591" s="849">
        <v>0.0</v>
      </c>
      <c r="W591" s="849">
        <v>0.0</v>
      </c>
      <c r="X591" s="849">
        <v>0.0</v>
      </c>
      <c r="Y591" s="849">
        <v>0.0</v>
      </c>
      <c r="Z591" s="849">
        <v>0.0</v>
      </c>
      <c r="AA591" s="849">
        <v>0.0</v>
      </c>
      <c r="AB591" s="849">
        <v>0.0</v>
      </c>
      <c r="AC591" s="849">
        <v>0.0</v>
      </c>
      <c r="AD591" s="849">
        <v>0.0</v>
      </c>
      <c r="AE591" s="849">
        <v>0.0</v>
      </c>
      <c r="AF591" s="849">
        <v>0.0</v>
      </c>
      <c r="AG591" s="849">
        <v>0.0</v>
      </c>
      <c r="AH591" s="849">
        <v>0.0</v>
      </c>
      <c r="AI591" s="849">
        <v>0.0</v>
      </c>
      <c r="AJ591" s="794" t="str">
        <f t="shared" ref="AJ591:AK591" si="1179">C591</f>
        <v>G44700</v>
      </c>
      <c r="AK591" s="794" t="str">
        <f t="shared" si="1179"/>
        <v>*REM.NEUF VOITURE DET.OPT</v>
      </c>
      <c r="AL591" s="794">
        <f t="array" ref="AL591">IFERROR(INDEX(G591:R591,1,MATCH(Parametres!$B$3,G$1:R$1,0)-1)*IF(OR(F591="L",F591="S",F591="I"),-1,1),"")</f>
        <v>0</v>
      </c>
      <c r="AM591" s="794">
        <f t="shared" si="4"/>
        <v>0</v>
      </c>
      <c r="AN591" s="794">
        <f t="array" ref="AN591">INDEX(G591:R591,1,MATCH(Parametres!$B$3,G$1:R$1,0))*IF(OR(F591="L",F591="S",F591="I"),-1,1)</f>
        <v>0</v>
      </c>
      <c r="AO591" s="853" t="str">
        <f>+VLOOKUP($AJ591,Data_Validation!$A:$D,1,0)</f>
        <v>G44700</v>
      </c>
      <c r="AP591" s="853" t="str">
        <f>+VLOOKUP($AJ591,Data_Validation!$A:$D,3,0)</f>
        <v/>
      </c>
      <c r="AQ591" s="853" t="str">
        <f>+VLOOKUP($AJ591,Data_Validation!$A:$D,4,0)</f>
        <v/>
      </c>
      <c r="AR591" s="853" t="s">
        <v>728</v>
      </c>
      <c r="AS591" s="853" t="str">
        <f>+VLOOKUP($AJ591,Data_Validation!$A:$E,5,0)</f>
        <v/>
      </c>
      <c r="AT591" s="794" t="str">
        <f t="shared" ref="AT591:AU591" si="1180">C591</f>
        <v>G44700</v>
      </c>
      <c r="AU591" s="854" t="str">
        <f t="shared" si="1180"/>
        <v>*REM.NEUF VOITURE DET.OPT</v>
      </c>
      <c r="AV591" s="794">
        <f t="array" ref="AV591">IFERROR(INDEX(V591:AG591,1,MATCH(Parametres!$B$3,V$1:AG$1,0)-1)*IF(OR(C591="L",C591="S",C591="I"),-1,1),"")</f>
        <v>0</v>
      </c>
      <c r="AW591" s="794">
        <f t="shared" si="6"/>
        <v>0</v>
      </c>
      <c r="AX591" s="794">
        <f t="array" ref="AX591">INDEX(V591:AG591,1,MATCH(Parametres!$B$3,V$1:AG$1,0))*IF(OR(C591="L",C591="S",C591="I"),-1,1)</f>
        <v>0</v>
      </c>
      <c r="AY591" s="853" t="s">
        <v>772</v>
      </c>
      <c r="AZ591" s="853" t="str">
        <f>+VLOOKUP($AJ591,Data_Validation!$A:$E,5,0)</f>
        <v/>
      </c>
    </row>
    <row r="592" ht="15.0" customHeight="1">
      <c r="A592" s="849" t="s">
        <v>1239</v>
      </c>
      <c r="B592" s="849">
        <v>2025.0</v>
      </c>
      <c r="C592" s="849" t="s">
        <v>2623</v>
      </c>
      <c r="D592" s="849" t="s">
        <v>2624</v>
      </c>
      <c r="E592" s="849" t="s">
        <v>768</v>
      </c>
      <c r="F592" s="849" t="s">
        <v>2426</v>
      </c>
      <c r="G592" s="849">
        <v>0.0</v>
      </c>
      <c r="H592" s="849">
        <v>0.0</v>
      </c>
      <c r="I592" s="849">
        <v>0.0</v>
      </c>
      <c r="J592" s="849">
        <v>0.0</v>
      </c>
      <c r="K592" s="849">
        <v>0.0</v>
      </c>
      <c r="L592" s="849">
        <v>0.0</v>
      </c>
      <c r="M592" s="849">
        <v>0.0</v>
      </c>
      <c r="N592" s="849">
        <v>0.0</v>
      </c>
      <c r="O592" s="849">
        <v>0.0</v>
      </c>
      <c r="P592" s="849">
        <v>0.0</v>
      </c>
      <c r="Q592" s="849">
        <v>0.0</v>
      </c>
      <c r="R592" s="849">
        <v>0.0</v>
      </c>
      <c r="S592" s="849">
        <v>0.0</v>
      </c>
      <c r="T592" s="849">
        <v>0.0</v>
      </c>
      <c r="U592" s="849">
        <v>0.0</v>
      </c>
      <c r="V592" s="849">
        <v>0.0</v>
      </c>
      <c r="W592" s="849">
        <v>0.0</v>
      </c>
      <c r="X592" s="849">
        <v>0.0</v>
      </c>
      <c r="Y592" s="849">
        <v>0.0</v>
      </c>
      <c r="Z592" s="849">
        <v>0.0</v>
      </c>
      <c r="AA592" s="849">
        <v>0.0</v>
      </c>
      <c r="AB592" s="849">
        <v>0.0</v>
      </c>
      <c r="AC592" s="849">
        <v>0.0</v>
      </c>
      <c r="AD592" s="849">
        <v>0.0</v>
      </c>
      <c r="AE592" s="849">
        <v>0.0</v>
      </c>
      <c r="AF592" s="849">
        <v>0.0</v>
      </c>
      <c r="AG592" s="849">
        <v>0.0</v>
      </c>
      <c r="AH592" s="849">
        <v>0.0</v>
      </c>
      <c r="AI592" s="849">
        <v>0.0</v>
      </c>
      <c r="AJ592" s="794" t="str">
        <f t="shared" ref="AJ592:AK592" si="1181">C592</f>
        <v>G44701</v>
      </c>
      <c r="AK592" s="794" t="str">
        <f t="shared" si="1181"/>
        <v>*REM.NEUF VOIT.DET.AUTRES</v>
      </c>
      <c r="AL592" s="794">
        <f t="array" ref="AL592">IFERROR(INDEX(G592:R592,1,MATCH(Parametres!$B$3,G$1:R$1,0)-1)*IF(OR(F592="L",F592="S",F592="I"),-1,1),"")</f>
        <v>0</v>
      </c>
      <c r="AM592" s="794">
        <f t="shared" si="4"/>
        <v>0</v>
      </c>
      <c r="AN592" s="794">
        <f t="array" ref="AN592">INDEX(G592:R592,1,MATCH(Parametres!$B$3,G$1:R$1,0))*IF(OR(F592="L",F592="S",F592="I"),-1,1)</f>
        <v>0</v>
      </c>
      <c r="AO592" s="853" t="str">
        <f>+VLOOKUP($AJ592,Data_Validation!$A:$D,1,0)</f>
        <v>G44701</v>
      </c>
      <c r="AP592" s="853" t="str">
        <f>+VLOOKUP($AJ592,Data_Validation!$A:$D,3,0)</f>
        <v/>
      </c>
      <c r="AQ592" s="853" t="str">
        <f>+VLOOKUP($AJ592,Data_Validation!$A:$D,4,0)</f>
        <v/>
      </c>
      <c r="AR592" s="853" t="s">
        <v>728</v>
      </c>
      <c r="AS592" s="853" t="str">
        <f>+VLOOKUP($AJ592,Data_Validation!$A:$E,5,0)</f>
        <v/>
      </c>
      <c r="AT592" s="794" t="str">
        <f t="shared" ref="AT592:AU592" si="1182">C592</f>
        <v>G44701</v>
      </c>
      <c r="AU592" s="854" t="str">
        <f t="shared" si="1182"/>
        <v>*REM.NEUF VOIT.DET.AUTRES</v>
      </c>
      <c r="AV592" s="794">
        <f t="array" ref="AV592">IFERROR(INDEX(V592:AG592,1,MATCH(Parametres!$B$3,V$1:AG$1,0)-1)*IF(OR(C592="L",C592="S",C592="I"),-1,1),"")</f>
        <v>0</v>
      </c>
      <c r="AW592" s="794">
        <f t="shared" si="6"/>
        <v>0</v>
      </c>
      <c r="AX592" s="794">
        <f t="array" ref="AX592">INDEX(V592:AG592,1,MATCH(Parametres!$B$3,V$1:AG$1,0))*IF(OR(C592="L",C592="S",C592="I"),-1,1)</f>
        <v>0</v>
      </c>
      <c r="AY592" s="853" t="s">
        <v>772</v>
      </c>
      <c r="AZ592" s="853" t="str">
        <f>+VLOOKUP($AJ592,Data_Validation!$A:$E,5,0)</f>
        <v/>
      </c>
    </row>
    <row r="593" ht="15.0" customHeight="1">
      <c r="A593" s="849" t="s">
        <v>1239</v>
      </c>
      <c r="B593" s="849">
        <v>2025.0</v>
      </c>
      <c r="C593" s="849" t="s">
        <v>2625</v>
      </c>
      <c r="D593" s="849" t="s">
        <v>2626</v>
      </c>
      <c r="E593" s="849" t="s">
        <v>768</v>
      </c>
      <c r="F593" s="849" t="s">
        <v>2426</v>
      </c>
      <c r="G593" s="849">
        <v>0.0</v>
      </c>
      <c r="H593" s="849">
        <v>0.0</v>
      </c>
      <c r="I593" s="849">
        <v>0.0</v>
      </c>
      <c r="J593" s="849">
        <v>0.0</v>
      </c>
      <c r="K593" s="849">
        <v>0.0</v>
      </c>
      <c r="L593" s="849">
        <v>0.0</v>
      </c>
      <c r="M593" s="849">
        <v>0.0</v>
      </c>
      <c r="N593" s="849">
        <v>0.0</v>
      </c>
      <c r="O593" s="849">
        <v>0.0</v>
      </c>
      <c r="P593" s="849">
        <v>0.0</v>
      </c>
      <c r="Q593" s="849">
        <v>0.0</v>
      </c>
      <c r="R593" s="849">
        <v>0.0</v>
      </c>
      <c r="S593" s="849">
        <v>0.0</v>
      </c>
      <c r="T593" s="849">
        <v>0.0</v>
      </c>
      <c r="U593" s="849">
        <v>0.0</v>
      </c>
      <c r="V593" s="849">
        <v>0.0</v>
      </c>
      <c r="W593" s="849">
        <v>0.0</v>
      </c>
      <c r="X593" s="849">
        <v>0.0</v>
      </c>
      <c r="Y593" s="849">
        <v>0.0</v>
      </c>
      <c r="Z593" s="849">
        <v>0.0</v>
      </c>
      <c r="AA593" s="849">
        <v>0.0</v>
      </c>
      <c r="AB593" s="849">
        <v>0.0</v>
      </c>
      <c r="AC593" s="849">
        <v>0.0</v>
      </c>
      <c r="AD593" s="849">
        <v>0.0</v>
      </c>
      <c r="AE593" s="849">
        <v>0.0</v>
      </c>
      <c r="AF593" s="849">
        <v>0.0</v>
      </c>
      <c r="AG593" s="849">
        <v>0.0</v>
      </c>
      <c r="AH593" s="849">
        <v>0.0</v>
      </c>
      <c r="AI593" s="849">
        <v>0.0</v>
      </c>
      <c r="AJ593" s="794" t="str">
        <f t="shared" ref="AJ593:AK593" si="1183">C593</f>
        <v>G44720</v>
      </c>
      <c r="AK593" s="794" t="str">
        <f t="shared" si="1183"/>
        <v>*REM.NEUF LOC.AUTO DET.OP</v>
      </c>
      <c r="AL593" s="794">
        <f t="array" ref="AL593">IFERROR(INDEX(G593:R593,1,MATCH(Parametres!$B$3,G$1:R$1,0)-1)*IF(OR(F593="L",F593="S",F593="I"),-1,1),"")</f>
        <v>0</v>
      </c>
      <c r="AM593" s="794">
        <f t="shared" si="4"/>
        <v>0</v>
      </c>
      <c r="AN593" s="794">
        <f t="array" ref="AN593">INDEX(G593:R593,1,MATCH(Parametres!$B$3,G$1:R$1,0))*IF(OR(F593="L",F593="S",F593="I"),-1,1)</f>
        <v>0</v>
      </c>
      <c r="AO593" s="853" t="str">
        <f>+VLOOKUP($AJ593,Data_Validation!$A:$D,1,0)</f>
        <v>G44720</v>
      </c>
      <c r="AP593" s="853" t="str">
        <f>+VLOOKUP($AJ593,Data_Validation!$A:$D,3,0)</f>
        <v/>
      </c>
      <c r="AQ593" s="853" t="str">
        <f>+VLOOKUP($AJ593,Data_Validation!$A:$D,4,0)</f>
        <v/>
      </c>
      <c r="AR593" s="853" t="s">
        <v>728</v>
      </c>
      <c r="AS593" s="853" t="str">
        <f>+VLOOKUP($AJ593,Data_Validation!$A:$E,5,0)</f>
        <v/>
      </c>
      <c r="AT593" s="794" t="str">
        <f t="shared" ref="AT593:AU593" si="1184">C593</f>
        <v>G44720</v>
      </c>
      <c r="AU593" s="854" t="str">
        <f t="shared" si="1184"/>
        <v>*REM.NEUF LOC.AUTO DET.OP</v>
      </c>
      <c r="AV593" s="794">
        <f t="array" ref="AV593">IFERROR(INDEX(V593:AG593,1,MATCH(Parametres!$B$3,V$1:AG$1,0)-1)*IF(OR(C593="L",C593="S",C593="I"),-1,1),"")</f>
        <v>0</v>
      </c>
      <c r="AW593" s="794">
        <f t="shared" si="6"/>
        <v>0</v>
      </c>
      <c r="AX593" s="794">
        <f t="array" ref="AX593">INDEX(V593:AG593,1,MATCH(Parametres!$B$3,V$1:AG$1,0))*IF(OR(C593="L",C593="S",C593="I"),-1,1)</f>
        <v>0</v>
      </c>
      <c r="AY593" s="853" t="s">
        <v>772</v>
      </c>
      <c r="AZ593" s="853" t="str">
        <f>+VLOOKUP($AJ593,Data_Validation!$A:$E,5,0)</f>
        <v/>
      </c>
    </row>
    <row r="594" ht="15.0" customHeight="1">
      <c r="A594" s="849" t="s">
        <v>1239</v>
      </c>
      <c r="B594" s="849">
        <v>2025.0</v>
      </c>
      <c r="C594" s="849" t="s">
        <v>2627</v>
      </c>
      <c r="D594" s="849" t="s">
        <v>2628</v>
      </c>
      <c r="E594" s="849" t="s">
        <v>2426</v>
      </c>
      <c r="F594" s="849" t="s">
        <v>2426</v>
      </c>
      <c r="G594" s="849">
        <v>49200.0</v>
      </c>
      <c r="H594" s="849">
        <v>82050.0</v>
      </c>
      <c r="I594" s="849">
        <v>287073.87</v>
      </c>
      <c r="J594" s="849">
        <v>592918.87</v>
      </c>
      <c r="K594" s="849">
        <v>839418.87</v>
      </c>
      <c r="L594" s="849">
        <v>890118.87</v>
      </c>
      <c r="M594" s="849">
        <v>908518.87</v>
      </c>
      <c r="N594" s="849">
        <v>970032.95</v>
      </c>
      <c r="O594" s="849">
        <v>1213708.4</v>
      </c>
      <c r="P594" s="849">
        <v>1310328.4</v>
      </c>
      <c r="Q594" s="849">
        <v>1362578.4</v>
      </c>
      <c r="R594" s="849">
        <v>1595315.9</v>
      </c>
      <c r="S594" s="849">
        <v>123870.76</v>
      </c>
      <c r="T594" s="849">
        <v>123870.76</v>
      </c>
      <c r="U594" s="849">
        <v>0.0</v>
      </c>
      <c r="V594" s="849">
        <v>3.0</v>
      </c>
      <c r="W594" s="849">
        <v>5.0</v>
      </c>
      <c r="X594" s="849">
        <v>11.0</v>
      </c>
      <c r="Y594" s="849">
        <v>24.0</v>
      </c>
      <c r="Z594" s="849">
        <v>39.0</v>
      </c>
      <c r="AA594" s="849">
        <v>45.0</v>
      </c>
      <c r="AB594" s="849">
        <v>47.0</v>
      </c>
      <c r="AC594" s="849">
        <v>50.0</v>
      </c>
      <c r="AD594" s="849">
        <v>68.0</v>
      </c>
      <c r="AE594" s="849">
        <v>78.0</v>
      </c>
      <c r="AF594" s="849">
        <v>82.0</v>
      </c>
      <c r="AG594" s="849">
        <v>90.0</v>
      </c>
      <c r="AH594" s="849">
        <v>7.0</v>
      </c>
      <c r="AI594" s="849">
        <v>7.0</v>
      </c>
      <c r="AJ594" s="794" t="str">
        <f t="shared" ref="AJ594:AK594" si="1185">C594</f>
        <v>G44800</v>
      </c>
      <c r="AK594" s="794" t="str">
        <f t="shared" si="1185"/>
        <v>VTES-VOIT.OCC.EN GROS-DET</v>
      </c>
      <c r="AL594" s="794">
        <f t="array" ref="AL594">IFERROR(INDEX(G594:R594,1,MATCH(Parametres!$B$3,G$1:R$1,0)-1)*IF(OR(F594="L",F594="S",F594="I"),-1,1),"")</f>
        <v>-970032.95</v>
      </c>
      <c r="AM594" s="794">
        <f t="shared" si="4"/>
        <v>-243675.45</v>
      </c>
      <c r="AN594" s="794">
        <f t="array" ref="AN594">INDEX(G594:R594,1,MATCH(Parametres!$B$3,G$1:R$1,0))*IF(OR(F594="L",F594="S",F594="I"),-1,1)</f>
        <v>-1213708.4</v>
      </c>
      <c r="AO594" s="853" t="str">
        <f>+VLOOKUP($AJ594,Data_Validation!$A:$D,1,0)</f>
        <v>G44800</v>
      </c>
      <c r="AP594" s="853" t="str">
        <f>+VLOOKUP($AJ594,Data_Validation!$A:$D,3,0)</f>
        <v>Véhicules usagés</v>
      </c>
      <c r="AQ594" s="853" t="str">
        <f>+VLOOKUP($AJ594,Data_Validation!$A:$D,4,0)</f>
        <v>Ventes au Gros</v>
      </c>
      <c r="AR594" s="853" t="s">
        <v>728</v>
      </c>
      <c r="AS594" s="853" t="str">
        <f>+VLOOKUP($AJ594,Data_Validation!$A:$E,5,0)</f>
        <v>Oui</v>
      </c>
      <c r="AT594" s="794" t="str">
        <f t="shared" ref="AT594:AU594" si="1186">C594</f>
        <v>G44800</v>
      </c>
      <c r="AU594" s="854" t="str">
        <f t="shared" si="1186"/>
        <v>VTES-VOIT.OCC.EN GROS-DET</v>
      </c>
      <c r="AV594" s="794">
        <f t="array" ref="AV594">IFERROR(INDEX(V594:AG594,1,MATCH(Parametres!$B$3,V$1:AG$1,0)-1)*IF(OR(C594="L",C594="S",C594="I"),-1,1),"")</f>
        <v>50</v>
      </c>
      <c r="AW594" s="794">
        <f t="shared" si="6"/>
        <v>18</v>
      </c>
      <c r="AX594" s="794">
        <f t="array" ref="AX594">INDEX(V594:AG594,1,MATCH(Parametres!$B$3,V$1:AG$1,0))*IF(OR(C594="L",C594="S",C594="I"),-1,1)</f>
        <v>68</v>
      </c>
      <c r="AY594" s="853" t="s">
        <v>772</v>
      </c>
      <c r="AZ594" s="853" t="str">
        <f>+VLOOKUP($AJ594,Data_Validation!$A:$E,5,0)</f>
        <v>Oui</v>
      </c>
    </row>
    <row r="595" ht="15.0" customHeight="1">
      <c r="A595" s="849" t="s">
        <v>1239</v>
      </c>
      <c r="B595" s="849">
        <v>2025.0</v>
      </c>
      <c r="C595" s="849" t="s">
        <v>2629</v>
      </c>
      <c r="D595" s="849" t="s">
        <v>2630</v>
      </c>
      <c r="E595" s="849" t="s">
        <v>768</v>
      </c>
      <c r="F595" s="849" t="s">
        <v>2426</v>
      </c>
      <c r="G595" s="849">
        <v>0.0</v>
      </c>
      <c r="H595" s="849">
        <v>0.0</v>
      </c>
      <c r="I595" s="849">
        <v>0.0</v>
      </c>
      <c r="J595" s="849">
        <v>0.0</v>
      </c>
      <c r="K595" s="849">
        <v>0.0</v>
      </c>
      <c r="L595" s="849">
        <v>0.0</v>
      </c>
      <c r="M595" s="849">
        <v>0.0</v>
      </c>
      <c r="N595" s="849">
        <v>0.0</v>
      </c>
      <c r="O595" s="849">
        <v>0.0</v>
      </c>
      <c r="P595" s="849">
        <v>0.0</v>
      </c>
      <c r="Q595" s="849">
        <v>0.0</v>
      </c>
      <c r="R595" s="849">
        <v>0.0</v>
      </c>
      <c r="S595" s="849">
        <v>0.0</v>
      </c>
      <c r="T595" s="849">
        <v>0.0</v>
      </c>
      <c r="U595" s="849">
        <v>0.0</v>
      </c>
      <c r="V595" s="849">
        <v>0.0</v>
      </c>
      <c r="W595" s="849">
        <v>0.0</v>
      </c>
      <c r="X595" s="849">
        <v>0.0</v>
      </c>
      <c r="Y595" s="849">
        <v>0.0</v>
      </c>
      <c r="Z595" s="849">
        <v>0.0</v>
      </c>
      <c r="AA595" s="849">
        <v>0.0</v>
      </c>
      <c r="AB595" s="849">
        <v>0.0</v>
      </c>
      <c r="AC595" s="849">
        <v>0.0</v>
      </c>
      <c r="AD595" s="849">
        <v>0.0</v>
      </c>
      <c r="AE595" s="849">
        <v>0.0</v>
      </c>
      <c r="AF595" s="849">
        <v>0.0</v>
      </c>
      <c r="AG595" s="849">
        <v>0.0</v>
      </c>
      <c r="AH595" s="849">
        <v>0.0</v>
      </c>
      <c r="AI595" s="849">
        <v>0.0</v>
      </c>
      <c r="AJ595" s="794" t="str">
        <f t="shared" ref="AJ595:AK595" si="1187">C595</f>
        <v>G44900</v>
      </c>
      <c r="AK595" s="794" t="str">
        <f t="shared" si="1187"/>
        <v>*RECTIFICATION STOCK AUTO</v>
      </c>
      <c r="AL595" s="794">
        <f t="array" ref="AL595">IFERROR(INDEX(G595:R595,1,MATCH(Parametres!$B$3,G$1:R$1,0)-1)*IF(OR(F595="L",F595="S",F595="I"),-1,1),"")</f>
        <v>0</v>
      </c>
      <c r="AM595" s="794">
        <f t="shared" si="4"/>
        <v>0</v>
      </c>
      <c r="AN595" s="794">
        <f t="array" ref="AN595">INDEX(G595:R595,1,MATCH(Parametres!$B$3,G$1:R$1,0))*IF(OR(F595="L",F595="S",F595="I"),-1,1)</f>
        <v>0</v>
      </c>
      <c r="AO595" s="853" t="str">
        <f>+VLOOKUP($AJ595,Data_Validation!$A:$D,1,0)</f>
        <v>G44900</v>
      </c>
      <c r="AP595" s="853" t="str">
        <f>+VLOOKUP($AJ595,Data_Validation!$A:$D,3,0)</f>
        <v/>
      </c>
      <c r="AQ595" s="853" t="str">
        <f>+VLOOKUP($AJ595,Data_Validation!$A:$D,4,0)</f>
        <v/>
      </c>
      <c r="AR595" s="853" t="s">
        <v>728</v>
      </c>
      <c r="AS595" s="853" t="str">
        <f>+VLOOKUP($AJ595,Data_Validation!$A:$E,5,0)</f>
        <v/>
      </c>
      <c r="AT595" s="794" t="str">
        <f t="shared" ref="AT595:AU595" si="1188">C595</f>
        <v>G44900</v>
      </c>
      <c r="AU595" s="854" t="str">
        <f t="shared" si="1188"/>
        <v>*RECTIFICATION STOCK AUTO</v>
      </c>
      <c r="AV595" s="794">
        <f t="array" ref="AV595">IFERROR(INDEX(V595:AG595,1,MATCH(Parametres!$B$3,V$1:AG$1,0)-1)*IF(OR(C595="L",C595="S",C595="I"),-1,1),"")</f>
        <v>0</v>
      </c>
      <c r="AW595" s="794">
        <f t="shared" si="6"/>
        <v>0</v>
      </c>
      <c r="AX595" s="794">
        <f t="array" ref="AX595">INDEX(V595:AG595,1,MATCH(Parametres!$B$3,V$1:AG$1,0))*IF(OR(C595="L",C595="S",C595="I"),-1,1)</f>
        <v>0</v>
      </c>
      <c r="AY595" s="853" t="s">
        <v>772</v>
      </c>
      <c r="AZ595" s="853" t="str">
        <f>+VLOOKUP($AJ595,Data_Validation!$A:$E,5,0)</f>
        <v/>
      </c>
    </row>
    <row r="596" ht="15.0" customHeight="1">
      <c r="A596" s="849" t="s">
        <v>1239</v>
      </c>
      <c r="B596" s="849">
        <v>2025.0</v>
      </c>
      <c r="C596" s="849" t="s">
        <v>2631</v>
      </c>
      <c r="D596" s="849" t="s">
        <v>3462</v>
      </c>
      <c r="E596" s="849" t="s">
        <v>2426</v>
      </c>
      <c r="F596" s="849" t="s">
        <v>2426</v>
      </c>
      <c r="G596" s="849">
        <v>0.0</v>
      </c>
      <c r="H596" s="849">
        <v>0.0</v>
      </c>
      <c r="I596" s="849">
        <v>0.0</v>
      </c>
      <c r="J596" s="849">
        <v>0.0</v>
      </c>
      <c r="K596" s="849">
        <v>0.0</v>
      </c>
      <c r="L596" s="849">
        <v>0.0</v>
      </c>
      <c r="M596" s="849">
        <v>0.0</v>
      </c>
      <c r="N596" s="849">
        <v>0.0</v>
      </c>
      <c r="O596" s="849">
        <v>0.0</v>
      </c>
      <c r="P596" s="849">
        <v>0.0</v>
      </c>
      <c r="Q596" s="849">
        <v>0.0</v>
      </c>
      <c r="R596" s="849">
        <v>0.0</v>
      </c>
      <c r="S596" s="849">
        <v>0.0</v>
      </c>
      <c r="T596" s="849">
        <v>0.0</v>
      </c>
      <c r="U596" s="849">
        <v>0.0</v>
      </c>
      <c r="V596" s="849">
        <v>0.0</v>
      </c>
      <c r="W596" s="849">
        <v>0.0</v>
      </c>
      <c r="X596" s="849">
        <v>0.0</v>
      </c>
      <c r="Y596" s="849">
        <v>0.0</v>
      </c>
      <c r="Z596" s="849">
        <v>0.0</v>
      </c>
      <c r="AA596" s="849">
        <v>0.0</v>
      </c>
      <c r="AB596" s="849">
        <v>0.0</v>
      </c>
      <c r="AC596" s="849">
        <v>0.0</v>
      </c>
      <c r="AD596" s="849">
        <v>0.0</v>
      </c>
      <c r="AE596" s="849">
        <v>0.0</v>
      </c>
      <c r="AF596" s="849">
        <v>0.0</v>
      </c>
      <c r="AG596" s="849">
        <v>0.0</v>
      </c>
      <c r="AH596" s="849">
        <v>0.0</v>
      </c>
      <c r="AI596" s="849">
        <v>0.0</v>
      </c>
      <c r="AJ596" s="794" t="str">
        <f t="shared" ref="AJ596:AK596" si="1189">C596</f>
        <v>G45000</v>
      </c>
      <c r="AK596" s="794" t="str">
        <f t="shared" si="1189"/>
        <v>VTES-OCC.DETAIL    *WSALE</v>
      </c>
      <c r="AL596" s="794">
        <f t="array" ref="AL596">IFERROR(INDEX(G596:R596,1,MATCH(Parametres!$B$3,G$1:R$1,0)-1)*IF(OR(F596="L",F596="S",F596="I"),-1,1),"")</f>
        <v>0</v>
      </c>
      <c r="AM596" s="794">
        <f t="shared" si="4"/>
        <v>0</v>
      </c>
      <c r="AN596" s="794">
        <f t="array" ref="AN596">INDEX(G596:R596,1,MATCH(Parametres!$B$3,G$1:R$1,0))*IF(OR(F596="L",F596="S",F596="I"),-1,1)</f>
        <v>0</v>
      </c>
      <c r="AO596" s="853" t="str">
        <f>+VLOOKUP($AJ596,Data_Validation!$A:$D,1,0)</f>
        <v>G45000</v>
      </c>
      <c r="AP596" s="853" t="str">
        <f>+VLOOKUP($AJ596,Data_Validation!$A:$D,3,0)</f>
        <v>Véhicules usagés</v>
      </c>
      <c r="AQ596" s="853" t="str">
        <f>+VLOOKUP($AJ596,Data_Validation!$A:$D,4,0)</f>
        <v>Ventes au Gros</v>
      </c>
      <c r="AR596" s="853" t="s">
        <v>728</v>
      </c>
      <c r="AS596" s="853" t="str">
        <f>+VLOOKUP($AJ596,Data_Validation!$A:$E,5,0)</f>
        <v>Oui</v>
      </c>
      <c r="AT596" s="794" t="str">
        <f t="shared" ref="AT596:AU596" si="1190">C596</f>
        <v>G45000</v>
      </c>
      <c r="AU596" s="854" t="str">
        <f t="shared" si="1190"/>
        <v>VTES-OCC.DETAIL    *WSALE</v>
      </c>
      <c r="AV596" s="794">
        <f t="array" ref="AV596">IFERROR(INDEX(V596:AG596,1,MATCH(Parametres!$B$3,V$1:AG$1,0)-1)*IF(OR(C596="L",C596="S",C596="I"),-1,1),"")</f>
        <v>0</v>
      </c>
      <c r="AW596" s="794">
        <f t="shared" si="6"/>
        <v>0</v>
      </c>
      <c r="AX596" s="794">
        <f t="array" ref="AX596">INDEX(V596:AG596,1,MATCH(Parametres!$B$3,V$1:AG$1,0))*IF(OR(C596="L",C596="S",C596="I"),-1,1)</f>
        <v>0</v>
      </c>
      <c r="AY596" s="853" t="s">
        <v>772</v>
      </c>
      <c r="AZ596" s="853" t="str">
        <f>+VLOOKUP($AJ596,Data_Validation!$A:$E,5,0)</f>
        <v>Oui</v>
      </c>
    </row>
    <row r="597" ht="15.0" customHeight="1">
      <c r="A597" s="849" t="s">
        <v>1239</v>
      </c>
      <c r="B597" s="849">
        <v>2025.0</v>
      </c>
      <c r="C597" s="849" t="s">
        <v>2633</v>
      </c>
      <c r="D597" s="849" t="s">
        <v>3464</v>
      </c>
      <c r="E597" s="849" t="s">
        <v>2426</v>
      </c>
      <c r="F597" s="849" t="s">
        <v>2426</v>
      </c>
      <c r="G597" s="849">
        <v>0.0</v>
      </c>
      <c r="H597" s="849">
        <v>25495.0</v>
      </c>
      <c r="I597" s="849">
        <v>207565.0</v>
      </c>
      <c r="J597" s="849">
        <v>286222.71</v>
      </c>
      <c r="K597" s="849">
        <v>509648.11</v>
      </c>
      <c r="L597" s="849">
        <v>577517.33</v>
      </c>
      <c r="M597" s="849">
        <v>862333.33</v>
      </c>
      <c r="N597" s="849">
        <v>1302803.21</v>
      </c>
      <c r="O597" s="849">
        <v>1746372.18</v>
      </c>
      <c r="P597" s="849">
        <v>2620592.94</v>
      </c>
      <c r="Q597" s="849">
        <v>2904450.42</v>
      </c>
      <c r="R597" s="849">
        <v>3458182.71</v>
      </c>
      <c r="S597" s="849">
        <v>264040.95</v>
      </c>
      <c r="T597" s="849">
        <v>264040.95</v>
      </c>
      <c r="U597" s="849">
        <v>0.0</v>
      </c>
      <c r="V597" s="849">
        <v>0.0</v>
      </c>
      <c r="W597" s="849">
        <v>1.0</v>
      </c>
      <c r="X597" s="849">
        <v>7.0</v>
      </c>
      <c r="Y597" s="849">
        <v>10.0</v>
      </c>
      <c r="Z597" s="849">
        <v>19.0</v>
      </c>
      <c r="AA597" s="849">
        <v>21.0</v>
      </c>
      <c r="AB597" s="849">
        <v>30.0</v>
      </c>
      <c r="AC597" s="849">
        <v>44.0</v>
      </c>
      <c r="AD597" s="849">
        <v>56.0</v>
      </c>
      <c r="AE597" s="849">
        <v>79.0</v>
      </c>
      <c r="AF597" s="849">
        <v>85.0</v>
      </c>
      <c r="AG597" s="849">
        <v>100.0</v>
      </c>
      <c r="AH597" s="849">
        <v>8.0</v>
      </c>
      <c r="AI597" s="849">
        <v>8.0</v>
      </c>
      <c r="AJ597" s="794" t="str">
        <f t="shared" ref="AJ597:AK597" si="1191">C597</f>
        <v>G45001</v>
      </c>
      <c r="AK597" s="794" t="str">
        <f t="shared" si="1191"/>
        <v>VTES-CAM OCC. DET. AUTRES</v>
      </c>
      <c r="AL597" s="794">
        <f t="array" ref="AL597">IFERROR(INDEX(G597:R597,1,MATCH(Parametres!$B$3,G$1:R$1,0)-1)*IF(OR(F597="L",F597="S",F597="I"),-1,1),"")</f>
        <v>-1302803.21</v>
      </c>
      <c r="AM597" s="794">
        <f t="shared" si="4"/>
        <v>-443568.97</v>
      </c>
      <c r="AN597" s="794">
        <f t="array" ref="AN597">INDEX(G597:R597,1,MATCH(Parametres!$B$3,G$1:R$1,0))*IF(OR(F597="L",F597="S",F597="I"),-1,1)</f>
        <v>-1746372.18</v>
      </c>
      <c r="AO597" s="853" t="str">
        <f>+VLOOKUP($AJ597,Data_Validation!$A:$D,1,0)</f>
        <v>G45001</v>
      </c>
      <c r="AP597" s="853" t="str">
        <f>+VLOOKUP($AJ597,Data_Validation!$A:$D,3,0)</f>
        <v>Véhicules usagés</v>
      </c>
      <c r="AQ597" s="853" t="str">
        <f>+VLOOKUP($AJ597,Data_Validation!$A:$D,4,0)</f>
        <v>Non Certifié</v>
      </c>
      <c r="AR597" s="853" t="s">
        <v>728</v>
      </c>
      <c r="AS597" s="853" t="str">
        <f>+VLOOKUP($AJ597,Data_Validation!$A:$E,5,0)</f>
        <v>Oui</v>
      </c>
      <c r="AT597" s="794" t="str">
        <f t="shared" ref="AT597:AU597" si="1192">C597</f>
        <v>G45001</v>
      </c>
      <c r="AU597" s="854" t="str">
        <f t="shared" si="1192"/>
        <v>VTES-CAM OCC. DET. AUTRES</v>
      </c>
      <c r="AV597" s="794">
        <f t="array" ref="AV597">IFERROR(INDEX(V597:AG597,1,MATCH(Parametres!$B$3,V$1:AG$1,0)-1)*IF(OR(C597="L",C597="S",C597="I"),-1,1),"")</f>
        <v>44</v>
      </c>
      <c r="AW597" s="794">
        <f t="shared" si="6"/>
        <v>12</v>
      </c>
      <c r="AX597" s="794">
        <f t="array" ref="AX597">INDEX(V597:AG597,1,MATCH(Parametres!$B$3,V$1:AG$1,0))*IF(OR(C597="L",C597="S",C597="I"),-1,1)</f>
        <v>56</v>
      </c>
      <c r="AY597" s="853" t="s">
        <v>772</v>
      </c>
      <c r="AZ597" s="853" t="str">
        <f>+VLOOKUP($AJ597,Data_Validation!$A:$E,5,0)</f>
        <v>Oui</v>
      </c>
    </row>
    <row r="598" ht="15.0" customHeight="1">
      <c r="A598" s="849" t="s">
        <v>1239</v>
      </c>
      <c r="B598" s="849">
        <v>2025.0</v>
      </c>
      <c r="C598" s="849" t="s">
        <v>2639</v>
      </c>
      <c r="D598" s="849" t="s">
        <v>2640</v>
      </c>
      <c r="E598" s="849" t="s">
        <v>2426</v>
      </c>
      <c r="F598" s="849" t="s">
        <v>2426</v>
      </c>
      <c r="G598" s="849">
        <v>0.0</v>
      </c>
      <c r="H598" s="849">
        <v>0.0</v>
      </c>
      <c r="I598" s="849">
        <v>0.0</v>
      </c>
      <c r="J598" s="849">
        <v>0.0</v>
      </c>
      <c r="K598" s="849">
        <v>0.0</v>
      </c>
      <c r="L598" s="849">
        <v>0.0</v>
      </c>
      <c r="M598" s="849">
        <v>0.0</v>
      </c>
      <c r="N598" s="849">
        <v>0.0</v>
      </c>
      <c r="O598" s="849">
        <v>0.0</v>
      </c>
      <c r="P598" s="849">
        <v>0.0</v>
      </c>
      <c r="Q598" s="849">
        <v>0.0</v>
      </c>
      <c r="R598" s="849">
        <v>0.0</v>
      </c>
      <c r="S598" s="849">
        <v>0.0</v>
      </c>
      <c r="T598" s="849">
        <v>0.0</v>
      </c>
      <c r="U598" s="849">
        <v>0.0</v>
      </c>
      <c r="V598" s="849">
        <v>0.0</v>
      </c>
      <c r="W598" s="849">
        <v>0.0</v>
      </c>
      <c r="X598" s="849">
        <v>0.0</v>
      </c>
      <c r="Y598" s="849">
        <v>0.0</v>
      </c>
      <c r="Z598" s="849">
        <v>0.0</v>
      </c>
      <c r="AA598" s="849">
        <v>0.0</v>
      </c>
      <c r="AB598" s="849">
        <v>0.0</v>
      </c>
      <c r="AC598" s="849">
        <v>0.0</v>
      </c>
      <c r="AD598" s="849">
        <v>0.0</v>
      </c>
      <c r="AE598" s="849">
        <v>0.0</v>
      </c>
      <c r="AF598" s="849">
        <v>0.0</v>
      </c>
      <c r="AG598" s="849">
        <v>0.0</v>
      </c>
      <c r="AH598" s="849">
        <v>0.0</v>
      </c>
      <c r="AI598" s="849">
        <v>0.0</v>
      </c>
      <c r="AJ598" s="794" t="str">
        <f t="shared" ref="AJ598:AK598" si="1193">C598</f>
        <v>G45020</v>
      </c>
      <c r="AK598" s="794" t="str">
        <f t="shared" si="1193"/>
        <v>VTES-CAM USAGE OPT. -LOC.</v>
      </c>
      <c r="AL598" s="794">
        <f t="array" ref="AL598">IFERROR(INDEX(G598:R598,1,MATCH(Parametres!$B$3,G$1:R$1,0)-1)*IF(OR(F598="L",F598="S",F598="I"),-1,1),"")</f>
        <v>0</v>
      </c>
      <c r="AM598" s="794">
        <f t="shared" si="4"/>
        <v>0</v>
      </c>
      <c r="AN598" s="794">
        <f t="array" ref="AN598">INDEX(G598:R598,1,MATCH(Parametres!$B$3,G$1:R$1,0))*IF(OR(F598="L",F598="S",F598="I"),-1,1)</f>
        <v>0</v>
      </c>
      <c r="AO598" s="853" t="str">
        <f>+VLOOKUP($AJ598,Data_Validation!$A:$D,1,0)</f>
        <v>#N/A</v>
      </c>
      <c r="AP598" s="853" t="str">
        <f>+VLOOKUP($AJ598,Data_Validation!$A:$D,3,0)</f>
        <v>#N/A</v>
      </c>
      <c r="AQ598" s="853" t="str">
        <f>+VLOOKUP($AJ598,Data_Validation!$A:$D,4,0)</f>
        <v>#N/A</v>
      </c>
      <c r="AR598" s="853" t="s">
        <v>728</v>
      </c>
      <c r="AS598" s="853" t="str">
        <f>+VLOOKUP($AJ598,Data_Validation!$A:$E,5,0)</f>
        <v>#N/A</v>
      </c>
      <c r="AT598" s="794" t="str">
        <f t="shared" ref="AT598:AU598" si="1194">C598</f>
        <v>G45020</v>
      </c>
      <c r="AU598" s="854" t="str">
        <f t="shared" si="1194"/>
        <v>VTES-CAM USAGE OPT. -LOC.</v>
      </c>
      <c r="AV598" s="794">
        <f t="array" ref="AV598">IFERROR(INDEX(V598:AG598,1,MATCH(Parametres!$B$3,V$1:AG$1,0)-1)*IF(OR(C598="L",C598="S",C598="I"),-1,1),"")</f>
        <v>0</v>
      </c>
      <c r="AW598" s="794">
        <f t="shared" si="6"/>
        <v>0</v>
      </c>
      <c r="AX598" s="794">
        <f t="array" ref="AX598">INDEX(V598:AG598,1,MATCH(Parametres!$B$3,V$1:AG$1,0))*IF(OR(C598="L",C598="S",C598="I"),-1,1)</f>
        <v>0</v>
      </c>
      <c r="AY598" s="853" t="s">
        <v>772</v>
      </c>
      <c r="AZ598" s="853" t="str">
        <f>+VLOOKUP($AJ598,Data_Validation!$A:$E,5,0)</f>
        <v>#N/A</v>
      </c>
    </row>
    <row r="599" ht="15.0" customHeight="1">
      <c r="A599" s="849" t="s">
        <v>1239</v>
      </c>
      <c r="B599" s="849">
        <v>2025.0</v>
      </c>
      <c r="C599" s="849" t="s">
        <v>2641</v>
      </c>
      <c r="D599" s="849" t="s">
        <v>2642</v>
      </c>
      <c r="E599" s="849" t="s">
        <v>768</v>
      </c>
      <c r="F599" s="849" t="s">
        <v>2426</v>
      </c>
      <c r="G599" s="849">
        <v>0.0</v>
      </c>
      <c r="H599" s="849">
        <v>0.0</v>
      </c>
      <c r="I599" s="849">
        <v>0.0</v>
      </c>
      <c r="J599" s="849">
        <v>0.0</v>
      </c>
      <c r="K599" s="849">
        <v>0.0</v>
      </c>
      <c r="L599" s="849">
        <v>0.0</v>
      </c>
      <c r="M599" s="849">
        <v>0.0</v>
      </c>
      <c r="N599" s="849">
        <v>0.0</v>
      </c>
      <c r="O599" s="849">
        <v>0.0</v>
      </c>
      <c r="P599" s="849">
        <v>0.0</v>
      </c>
      <c r="Q599" s="849">
        <v>0.0</v>
      </c>
      <c r="R599" s="849">
        <v>0.0</v>
      </c>
      <c r="S599" s="849">
        <v>0.0</v>
      </c>
      <c r="T599" s="849">
        <v>0.0</v>
      </c>
      <c r="U599" s="849">
        <v>0.0</v>
      </c>
      <c r="V599" s="849">
        <v>0.0</v>
      </c>
      <c r="W599" s="849">
        <v>0.0</v>
      </c>
      <c r="X599" s="849">
        <v>0.0</v>
      </c>
      <c r="Y599" s="849">
        <v>0.0</v>
      </c>
      <c r="Z599" s="849">
        <v>0.0</v>
      </c>
      <c r="AA599" s="849">
        <v>0.0</v>
      </c>
      <c r="AB599" s="849">
        <v>0.0</v>
      </c>
      <c r="AC599" s="849">
        <v>0.0</v>
      </c>
      <c r="AD599" s="849">
        <v>0.0</v>
      </c>
      <c r="AE599" s="849">
        <v>0.0</v>
      </c>
      <c r="AF599" s="849">
        <v>0.0</v>
      </c>
      <c r="AG599" s="849">
        <v>0.0</v>
      </c>
      <c r="AH599" s="849">
        <v>0.0</v>
      </c>
      <c r="AI599" s="849">
        <v>0.0</v>
      </c>
      <c r="AJ599" s="794" t="str">
        <f t="shared" ref="AJ599:AK599" si="1195">C599</f>
        <v>G45100</v>
      </c>
      <c r="AK599" s="794" t="str">
        <f t="shared" si="1195"/>
        <v>*REM.NEUF CAM DET. OPT.</v>
      </c>
      <c r="AL599" s="794">
        <f t="array" ref="AL599">IFERROR(INDEX(G599:R599,1,MATCH(Parametres!$B$3,G$1:R$1,0)-1)*IF(OR(F599="L",F599="S",F599="I"),-1,1),"")</f>
        <v>0</v>
      </c>
      <c r="AM599" s="794">
        <f t="shared" si="4"/>
        <v>0</v>
      </c>
      <c r="AN599" s="794">
        <f t="array" ref="AN599">INDEX(G599:R599,1,MATCH(Parametres!$B$3,G$1:R$1,0))*IF(OR(F599="L",F599="S",F599="I"),-1,1)</f>
        <v>0</v>
      </c>
      <c r="AO599" s="853" t="str">
        <f>+VLOOKUP($AJ599,Data_Validation!$A:$D,1,0)</f>
        <v>G45100</v>
      </c>
      <c r="AP599" s="853" t="str">
        <f>+VLOOKUP($AJ599,Data_Validation!$A:$D,3,0)</f>
        <v/>
      </c>
      <c r="AQ599" s="853" t="str">
        <f>+VLOOKUP($AJ599,Data_Validation!$A:$D,4,0)</f>
        <v/>
      </c>
      <c r="AR599" s="853" t="s">
        <v>728</v>
      </c>
      <c r="AS599" s="853" t="str">
        <f>+VLOOKUP($AJ599,Data_Validation!$A:$E,5,0)</f>
        <v/>
      </c>
      <c r="AT599" s="794" t="str">
        <f t="shared" ref="AT599:AU599" si="1196">C599</f>
        <v>G45100</v>
      </c>
      <c r="AU599" s="854" t="str">
        <f t="shared" si="1196"/>
        <v>*REM.NEUF CAM DET. OPT.</v>
      </c>
      <c r="AV599" s="794">
        <f t="array" ref="AV599">IFERROR(INDEX(V599:AG599,1,MATCH(Parametres!$B$3,V$1:AG$1,0)-1)*IF(OR(C599="L",C599="S",C599="I"),-1,1),"")</f>
        <v>0</v>
      </c>
      <c r="AW599" s="794">
        <f t="shared" si="6"/>
        <v>0</v>
      </c>
      <c r="AX599" s="794">
        <f t="array" ref="AX599">INDEX(V599:AG599,1,MATCH(Parametres!$B$3,V$1:AG$1,0))*IF(OR(C599="L",C599="S",C599="I"),-1,1)</f>
        <v>0</v>
      </c>
      <c r="AY599" s="853" t="s">
        <v>772</v>
      </c>
      <c r="AZ599" s="853" t="str">
        <f>+VLOOKUP($AJ599,Data_Validation!$A:$E,5,0)</f>
        <v/>
      </c>
    </row>
    <row r="600" ht="15.0" customHeight="1">
      <c r="A600" s="849" t="s">
        <v>1239</v>
      </c>
      <c r="B600" s="849">
        <v>2025.0</v>
      </c>
      <c r="C600" s="849" t="s">
        <v>2643</v>
      </c>
      <c r="D600" s="849" t="s">
        <v>2644</v>
      </c>
      <c r="E600" s="849" t="s">
        <v>768</v>
      </c>
      <c r="F600" s="849" t="s">
        <v>2426</v>
      </c>
      <c r="G600" s="849">
        <v>0.0</v>
      </c>
      <c r="H600" s="849">
        <v>0.0</v>
      </c>
      <c r="I600" s="849">
        <v>0.0</v>
      </c>
      <c r="J600" s="849">
        <v>0.0</v>
      </c>
      <c r="K600" s="849">
        <v>0.0</v>
      </c>
      <c r="L600" s="849">
        <v>0.0</v>
      </c>
      <c r="M600" s="849">
        <v>0.0</v>
      </c>
      <c r="N600" s="849">
        <v>0.0</v>
      </c>
      <c r="O600" s="849">
        <v>0.0</v>
      </c>
      <c r="P600" s="849">
        <v>0.0</v>
      </c>
      <c r="Q600" s="849">
        <v>0.0</v>
      </c>
      <c r="R600" s="849">
        <v>0.0</v>
      </c>
      <c r="S600" s="849">
        <v>0.0</v>
      </c>
      <c r="T600" s="849">
        <v>0.0</v>
      </c>
      <c r="U600" s="849">
        <v>0.0</v>
      </c>
      <c r="V600" s="849">
        <v>0.0</v>
      </c>
      <c r="W600" s="849">
        <v>0.0</v>
      </c>
      <c r="X600" s="849">
        <v>0.0</v>
      </c>
      <c r="Y600" s="849">
        <v>0.0</v>
      </c>
      <c r="Z600" s="849">
        <v>0.0</v>
      </c>
      <c r="AA600" s="849">
        <v>0.0</v>
      </c>
      <c r="AB600" s="849">
        <v>0.0</v>
      </c>
      <c r="AC600" s="849">
        <v>0.0</v>
      </c>
      <c r="AD600" s="849">
        <v>0.0</v>
      </c>
      <c r="AE600" s="849">
        <v>0.0</v>
      </c>
      <c r="AF600" s="849">
        <v>0.0</v>
      </c>
      <c r="AG600" s="849">
        <v>0.0</v>
      </c>
      <c r="AH600" s="849">
        <v>0.0</v>
      </c>
      <c r="AI600" s="849">
        <v>0.0</v>
      </c>
      <c r="AJ600" s="794" t="str">
        <f t="shared" ref="AJ600:AK600" si="1197">C600</f>
        <v>G45101</v>
      </c>
      <c r="AK600" s="794" t="str">
        <f t="shared" si="1197"/>
        <v>*REM.NEUF CAM DET.AUTRES</v>
      </c>
      <c r="AL600" s="794">
        <f t="array" ref="AL600">IFERROR(INDEX(G600:R600,1,MATCH(Parametres!$B$3,G$1:R$1,0)-1)*IF(OR(F600="L",F600="S",F600="I"),-1,1),"")</f>
        <v>0</v>
      </c>
      <c r="AM600" s="794">
        <f t="shared" si="4"/>
        <v>0</v>
      </c>
      <c r="AN600" s="794">
        <f t="array" ref="AN600">INDEX(G600:R600,1,MATCH(Parametres!$B$3,G$1:R$1,0))*IF(OR(F600="L",F600="S",F600="I"),-1,1)</f>
        <v>0</v>
      </c>
      <c r="AO600" s="853" t="str">
        <f>+VLOOKUP($AJ600,Data_Validation!$A:$D,1,0)</f>
        <v>G45101</v>
      </c>
      <c r="AP600" s="853" t="str">
        <f>+VLOOKUP($AJ600,Data_Validation!$A:$D,3,0)</f>
        <v/>
      </c>
      <c r="AQ600" s="853" t="str">
        <f>+VLOOKUP($AJ600,Data_Validation!$A:$D,4,0)</f>
        <v/>
      </c>
      <c r="AR600" s="853" t="s">
        <v>728</v>
      </c>
      <c r="AS600" s="853" t="str">
        <f>+VLOOKUP($AJ600,Data_Validation!$A:$E,5,0)</f>
        <v/>
      </c>
      <c r="AT600" s="794" t="str">
        <f t="shared" ref="AT600:AU600" si="1198">C600</f>
        <v>G45101</v>
      </c>
      <c r="AU600" s="854" t="str">
        <f t="shared" si="1198"/>
        <v>*REM.NEUF CAM DET.AUTRES</v>
      </c>
      <c r="AV600" s="794">
        <f t="array" ref="AV600">IFERROR(INDEX(V600:AG600,1,MATCH(Parametres!$B$3,V$1:AG$1,0)-1)*IF(OR(C600="L",C600="S",C600="I"),-1,1),"")</f>
        <v>0</v>
      </c>
      <c r="AW600" s="794">
        <f t="shared" si="6"/>
        <v>0</v>
      </c>
      <c r="AX600" s="794">
        <f t="array" ref="AX600">INDEX(V600:AG600,1,MATCH(Parametres!$B$3,V$1:AG$1,0))*IF(OR(C600="L",C600="S",C600="I"),-1,1)</f>
        <v>0</v>
      </c>
      <c r="AY600" s="853" t="s">
        <v>772</v>
      </c>
      <c r="AZ600" s="853" t="str">
        <f>+VLOOKUP($AJ600,Data_Validation!$A:$E,5,0)</f>
        <v/>
      </c>
    </row>
    <row r="601" ht="15.0" customHeight="1">
      <c r="A601" s="849" t="s">
        <v>1239</v>
      </c>
      <c r="B601" s="849">
        <v>2025.0</v>
      </c>
      <c r="C601" s="849" t="s">
        <v>2645</v>
      </c>
      <c r="D601" s="849" t="s">
        <v>2646</v>
      </c>
      <c r="E601" s="849" t="s">
        <v>768</v>
      </c>
      <c r="F601" s="849" t="s">
        <v>2426</v>
      </c>
      <c r="G601" s="849">
        <v>0.0</v>
      </c>
      <c r="H601" s="849">
        <v>0.0</v>
      </c>
      <c r="I601" s="849">
        <v>0.0</v>
      </c>
      <c r="J601" s="849">
        <v>0.0</v>
      </c>
      <c r="K601" s="849">
        <v>0.0</v>
      </c>
      <c r="L601" s="849">
        <v>0.0</v>
      </c>
      <c r="M601" s="849">
        <v>0.0</v>
      </c>
      <c r="N601" s="849">
        <v>0.0</v>
      </c>
      <c r="O601" s="849">
        <v>0.0</v>
      </c>
      <c r="P601" s="849">
        <v>0.0</v>
      </c>
      <c r="Q601" s="849">
        <v>0.0</v>
      </c>
      <c r="R601" s="849">
        <v>0.0</v>
      </c>
      <c r="S601" s="849">
        <v>0.0</v>
      </c>
      <c r="T601" s="849">
        <v>0.0</v>
      </c>
      <c r="U601" s="849">
        <v>0.0</v>
      </c>
      <c r="V601" s="849">
        <v>0.0</v>
      </c>
      <c r="W601" s="849">
        <v>0.0</v>
      </c>
      <c r="X601" s="849">
        <v>0.0</v>
      </c>
      <c r="Y601" s="849">
        <v>0.0</v>
      </c>
      <c r="Z601" s="849">
        <v>0.0</v>
      </c>
      <c r="AA601" s="849">
        <v>0.0</v>
      </c>
      <c r="AB601" s="849">
        <v>0.0</v>
      </c>
      <c r="AC601" s="849">
        <v>0.0</v>
      </c>
      <c r="AD601" s="849">
        <v>0.0</v>
      </c>
      <c r="AE601" s="849">
        <v>0.0</v>
      </c>
      <c r="AF601" s="849">
        <v>0.0</v>
      </c>
      <c r="AG601" s="849">
        <v>0.0</v>
      </c>
      <c r="AH601" s="849">
        <v>0.0</v>
      </c>
      <c r="AI601" s="849">
        <v>0.0</v>
      </c>
      <c r="AJ601" s="794" t="str">
        <f t="shared" ref="AJ601:AK601" si="1199">C601</f>
        <v>G45120</v>
      </c>
      <c r="AK601" s="794" t="str">
        <f t="shared" si="1199"/>
        <v>*REM.NEUF LOC.CAM.DET.OPT</v>
      </c>
      <c r="AL601" s="794">
        <f t="array" ref="AL601">IFERROR(INDEX(G601:R601,1,MATCH(Parametres!$B$3,G$1:R$1,0)-1)*IF(OR(F601="L",F601="S",F601="I"),-1,1),"")</f>
        <v>0</v>
      </c>
      <c r="AM601" s="794">
        <f t="shared" si="4"/>
        <v>0</v>
      </c>
      <c r="AN601" s="794">
        <f t="array" ref="AN601">INDEX(G601:R601,1,MATCH(Parametres!$B$3,G$1:R$1,0))*IF(OR(F601="L",F601="S",F601="I"),-1,1)</f>
        <v>0</v>
      </c>
      <c r="AO601" s="853" t="str">
        <f>+VLOOKUP($AJ601,Data_Validation!$A:$D,1,0)</f>
        <v>G45120</v>
      </c>
      <c r="AP601" s="853" t="str">
        <f>+VLOOKUP($AJ601,Data_Validation!$A:$D,3,0)</f>
        <v/>
      </c>
      <c r="AQ601" s="853" t="str">
        <f>+VLOOKUP($AJ601,Data_Validation!$A:$D,4,0)</f>
        <v/>
      </c>
      <c r="AR601" s="853" t="s">
        <v>728</v>
      </c>
      <c r="AS601" s="853" t="str">
        <f>+VLOOKUP($AJ601,Data_Validation!$A:$E,5,0)</f>
        <v/>
      </c>
      <c r="AT601" s="794" t="str">
        <f t="shared" ref="AT601:AU601" si="1200">C601</f>
        <v>G45120</v>
      </c>
      <c r="AU601" s="854" t="str">
        <f t="shared" si="1200"/>
        <v>*REM.NEUF LOC.CAM.DET.OPT</v>
      </c>
      <c r="AV601" s="794">
        <f t="array" ref="AV601">IFERROR(INDEX(V601:AG601,1,MATCH(Parametres!$B$3,V$1:AG$1,0)-1)*IF(OR(C601="L",C601="S",C601="I"),-1,1),"")</f>
        <v>0</v>
      </c>
      <c r="AW601" s="794">
        <f t="shared" si="6"/>
        <v>0</v>
      </c>
      <c r="AX601" s="794">
        <f t="array" ref="AX601">INDEX(V601:AG601,1,MATCH(Parametres!$B$3,V$1:AG$1,0))*IF(OR(C601="L",C601="S",C601="I"),-1,1)</f>
        <v>0</v>
      </c>
      <c r="AY601" s="853" t="s">
        <v>772</v>
      </c>
      <c r="AZ601" s="853" t="str">
        <f>+VLOOKUP($AJ601,Data_Validation!$A:$E,5,0)</f>
        <v/>
      </c>
    </row>
    <row r="602" ht="15.0" customHeight="1">
      <c r="A602" s="849" t="s">
        <v>1239</v>
      </c>
      <c r="B602" s="849">
        <v>2025.0</v>
      </c>
      <c r="C602" s="849" t="s">
        <v>2647</v>
      </c>
      <c r="D602" s="849" t="s">
        <v>2648</v>
      </c>
      <c r="E602" s="849" t="s">
        <v>2426</v>
      </c>
      <c r="F602" s="849" t="s">
        <v>2426</v>
      </c>
      <c r="G602" s="849">
        <v>731165.38</v>
      </c>
      <c r="H602" s="849">
        <v>1912853.59</v>
      </c>
      <c r="I602" s="849">
        <v>3545992.0</v>
      </c>
      <c r="J602" s="849">
        <v>5532448.55</v>
      </c>
      <c r="K602" s="849">
        <v>8521104.55</v>
      </c>
      <c r="L602" s="849">
        <v>1.217335807E7</v>
      </c>
      <c r="M602" s="849">
        <v>1.382934283E7</v>
      </c>
      <c r="N602" s="849">
        <v>1.683515283E7</v>
      </c>
      <c r="O602" s="849">
        <v>1.884234416E7</v>
      </c>
      <c r="P602" s="849">
        <v>1.989875917E7</v>
      </c>
      <c r="Q602" s="849">
        <v>2.115248255E7</v>
      </c>
      <c r="R602" s="849">
        <v>2.196074895E7</v>
      </c>
      <c r="S602" s="849">
        <v>1922952.96</v>
      </c>
      <c r="T602" s="849">
        <v>1922952.96</v>
      </c>
      <c r="U602" s="849">
        <v>0.0</v>
      </c>
      <c r="V602" s="849">
        <v>18.0</v>
      </c>
      <c r="W602" s="849">
        <v>55.0</v>
      </c>
      <c r="X602" s="849">
        <v>97.0</v>
      </c>
      <c r="Y602" s="849">
        <v>160.0</v>
      </c>
      <c r="Z602" s="849">
        <v>232.0</v>
      </c>
      <c r="AA602" s="849">
        <v>305.0</v>
      </c>
      <c r="AB602" s="849">
        <v>350.0</v>
      </c>
      <c r="AC602" s="849">
        <v>429.0</v>
      </c>
      <c r="AD602" s="849">
        <v>476.0</v>
      </c>
      <c r="AE602" s="849">
        <v>510.0</v>
      </c>
      <c r="AF602" s="849">
        <v>543.0</v>
      </c>
      <c r="AG602" s="849">
        <v>564.0</v>
      </c>
      <c r="AH602" s="849">
        <v>49.0</v>
      </c>
      <c r="AI602" s="849">
        <v>49.0</v>
      </c>
      <c r="AJ602" s="794" t="str">
        <f t="shared" ref="AJ602:AK602" si="1201">C602</f>
        <v>G45200</v>
      </c>
      <c r="AK602" s="794" t="str">
        <f t="shared" si="1201"/>
        <v>VTES-CAMIONS OCC EN GROS</v>
      </c>
      <c r="AL602" s="794">
        <f t="array" ref="AL602">IFERROR(INDEX(G602:R602,1,MATCH(Parametres!$B$3,G$1:R$1,0)-1)*IF(OR(F602="L",F602="S",F602="I"),-1,1),"")</f>
        <v>-16835152.83</v>
      </c>
      <c r="AM602" s="794">
        <f t="shared" si="4"/>
        <v>-2007191.33</v>
      </c>
      <c r="AN602" s="794">
        <f t="array" ref="AN602">INDEX(G602:R602,1,MATCH(Parametres!$B$3,G$1:R$1,0))*IF(OR(F602="L",F602="S",F602="I"),-1,1)</f>
        <v>-18842344.16</v>
      </c>
      <c r="AO602" s="853" t="str">
        <f>+VLOOKUP($AJ602,Data_Validation!$A:$D,1,0)</f>
        <v>G45200</v>
      </c>
      <c r="AP602" s="853" t="str">
        <f>+VLOOKUP($AJ602,Data_Validation!$A:$D,3,0)</f>
        <v>Véhicules usagés</v>
      </c>
      <c r="AQ602" s="853" t="str">
        <f>+VLOOKUP($AJ602,Data_Validation!$A:$D,4,0)</f>
        <v>Ventes au Gros</v>
      </c>
      <c r="AR602" s="853" t="s">
        <v>728</v>
      </c>
      <c r="AS602" s="853" t="str">
        <f>+VLOOKUP($AJ602,Data_Validation!$A:$E,5,0)</f>
        <v>Oui</v>
      </c>
      <c r="AT602" s="794" t="str">
        <f t="shared" ref="AT602:AU602" si="1202">C602</f>
        <v>G45200</v>
      </c>
      <c r="AU602" s="854" t="str">
        <f t="shared" si="1202"/>
        <v>VTES-CAMIONS OCC EN GROS</v>
      </c>
      <c r="AV602" s="794">
        <f t="array" ref="AV602">IFERROR(INDEX(V602:AG602,1,MATCH(Parametres!$B$3,V$1:AG$1,0)-1)*IF(OR(C602="L",C602="S",C602="I"),-1,1),"")</f>
        <v>429</v>
      </c>
      <c r="AW602" s="794">
        <f t="shared" si="6"/>
        <v>47</v>
      </c>
      <c r="AX602" s="794">
        <f t="array" ref="AX602">INDEX(V602:AG602,1,MATCH(Parametres!$B$3,V$1:AG$1,0))*IF(OR(C602="L",C602="S",C602="I"),-1,1)</f>
        <v>476</v>
      </c>
      <c r="AY602" s="853" t="s">
        <v>772</v>
      </c>
      <c r="AZ602" s="853" t="str">
        <f>+VLOOKUP($AJ602,Data_Validation!$A:$E,5,0)</f>
        <v>Oui</v>
      </c>
    </row>
    <row r="603" ht="15.0" customHeight="1">
      <c r="A603" s="849" t="s">
        <v>1239</v>
      </c>
      <c r="B603" s="849">
        <v>2025.0</v>
      </c>
      <c r="C603" s="849" t="s">
        <v>2649</v>
      </c>
      <c r="D603" s="849" t="s">
        <v>2650</v>
      </c>
      <c r="E603" s="849" t="s">
        <v>2426</v>
      </c>
      <c r="F603" s="849" t="s">
        <v>2426</v>
      </c>
      <c r="G603" s="849">
        <v>1849650.0</v>
      </c>
      <c r="H603" s="849">
        <v>4653500.0</v>
      </c>
      <c r="I603" s="849">
        <v>8791900.0</v>
      </c>
      <c r="J603" s="849">
        <v>1.186087E7</v>
      </c>
      <c r="K603" s="849">
        <v>1.281577E7</v>
      </c>
      <c r="L603" s="849">
        <v>1.424117E7</v>
      </c>
      <c r="M603" s="849">
        <v>1.637687E7</v>
      </c>
      <c r="N603" s="849">
        <v>2.037677E7</v>
      </c>
      <c r="O603" s="849">
        <v>2.367377E7</v>
      </c>
      <c r="P603" s="849">
        <v>2.720287E7</v>
      </c>
      <c r="Q603" s="849">
        <v>3.681672E7</v>
      </c>
      <c r="R603" s="849">
        <v>4.487752E7</v>
      </c>
      <c r="S603" s="849">
        <v>3346974.55</v>
      </c>
      <c r="T603" s="849">
        <v>3346974.55</v>
      </c>
      <c r="U603" s="849">
        <v>0.0</v>
      </c>
      <c r="V603" s="849">
        <v>20.0</v>
      </c>
      <c r="W603" s="849">
        <v>47.0</v>
      </c>
      <c r="X603" s="849">
        <v>83.0</v>
      </c>
      <c r="Y603" s="849">
        <v>106.0</v>
      </c>
      <c r="Z603" s="849">
        <v>113.0</v>
      </c>
      <c r="AA603" s="849">
        <v>122.0</v>
      </c>
      <c r="AB603" s="849">
        <v>133.0</v>
      </c>
      <c r="AC603" s="849">
        <v>154.0</v>
      </c>
      <c r="AD603" s="849">
        <v>175.0</v>
      </c>
      <c r="AE603" s="849">
        <v>191.0</v>
      </c>
      <c r="AF603" s="849">
        <v>246.0</v>
      </c>
      <c r="AG603" s="849">
        <v>312.0</v>
      </c>
      <c r="AH603" s="849">
        <v>22.0</v>
      </c>
      <c r="AI603" s="849">
        <v>22.0</v>
      </c>
      <c r="AJ603" s="794" t="str">
        <f t="shared" ref="AJ603:AK603" si="1203">C603</f>
        <v>G45201</v>
      </c>
      <c r="AK603" s="794" t="str">
        <f t="shared" si="1203"/>
        <v>VTES - WHOLESALE W</v>
      </c>
      <c r="AL603" s="794">
        <f t="array" ref="AL603">IFERROR(INDEX(G603:R603,1,MATCH(Parametres!$B$3,G$1:R$1,0)-1)*IF(OR(F603="L",F603="S",F603="I"),-1,1),"")</f>
        <v>-20376770</v>
      </c>
      <c r="AM603" s="794">
        <f t="shared" si="4"/>
        <v>-3297000</v>
      </c>
      <c r="AN603" s="794">
        <f t="array" ref="AN603">INDEX(G603:R603,1,MATCH(Parametres!$B$3,G$1:R$1,0))*IF(OR(F603="L",F603="S",F603="I"),-1,1)</f>
        <v>-23673770</v>
      </c>
      <c r="AO603" s="853" t="str">
        <f>+VLOOKUP($AJ603,Data_Validation!$A:$D,1,0)</f>
        <v>G45201</v>
      </c>
      <c r="AP603" s="853" t="str">
        <f>+VLOOKUP($AJ603,Data_Validation!$A:$D,3,0)</f>
        <v>Wholesale autres</v>
      </c>
      <c r="AQ603" s="853" t="str">
        <f>+VLOOKUP($AJ603,Data_Validation!$A:$D,4,0)</f>
        <v>Wholesale Luxueux</v>
      </c>
      <c r="AR603" s="853" t="s">
        <v>728</v>
      </c>
      <c r="AS603" s="853" t="str">
        <f>+VLOOKUP($AJ603,Data_Validation!$A:$E,5,0)</f>
        <v>Oui</v>
      </c>
      <c r="AT603" s="794" t="str">
        <f t="shared" ref="AT603:AU603" si="1204">C603</f>
        <v>G45201</v>
      </c>
      <c r="AU603" s="854" t="str">
        <f t="shared" si="1204"/>
        <v>VTES - WHOLESALE W</v>
      </c>
      <c r="AV603" s="794">
        <f t="array" ref="AV603">IFERROR(INDEX(V603:AG603,1,MATCH(Parametres!$B$3,V$1:AG$1,0)-1)*IF(OR(C603="L",C603="S",C603="I"),-1,1),"")</f>
        <v>154</v>
      </c>
      <c r="AW603" s="794">
        <f t="shared" si="6"/>
        <v>21</v>
      </c>
      <c r="AX603" s="794">
        <f t="array" ref="AX603">INDEX(V603:AG603,1,MATCH(Parametres!$B$3,V$1:AG$1,0))*IF(OR(C603="L",C603="S",C603="I"),-1,1)</f>
        <v>175</v>
      </c>
      <c r="AY603" s="853" t="s">
        <v>772</v>
      </c>
      <c r="AZ603" s="853" t="str">
        <f>+VLOOKUP($AJ603,Data_Validation!$A:$E,5,0)</f>
        <v>Oui</v>
      </c>
    </row>
    <row r="604" ht="15.0" customHeight="1">
      <c r="A604" s="849" t="s">
        <v>1239</v>
      </c>
      <c r="B604" s="849">
        <v>2025.0</v>
      </c>
      <c r="C604" s="849" t="s">
        <v>2653</v>
      </c>
      <c r="D604" s="849" t="s">
        <v>2654</v>
      </c>
      <c r="E604" s="849" t="s">
        <v>768</v>
      </c>
      <c r="F604" s="849" t="s">
        <v>2426</v>
      </c>
      <c r="G604" s="849">
        <v>0.0</v>
      </c>
      <c r="H604" s="849">
        <v>0.0</v>
      </c>
      <c r="I604" s="849">
        <v>0.0</v>
      </c>
      <c r="J604" s="849">
        <v>0.0</v>
      </c>
      <c r="K604" s="849">
        <v>0.0</v>
      </c>
      <c r="L604" s="849">
        <v>0.0</v>
      </c>
      <c r="M604" s="849">
        <v>0.0</v>
      </c>
      <c r="N604" s="849">
        <v>0.0</v>
      </c>
      <c r="O604" s="849">
        <v>0.0</v>
      </c>
      <c r="P604" s="849">
        <v>0.0</v>
      </c>
      <c r="Q604" s="849">
        <v>0.0</v>
      </c>
      <c r="R604" s="849">
        <v>0.0</v>
      </c>
      <c r="S604" s="849">
        <v>0.0</v>
      </c>
      <c r="T604" s="849">
        <v>0.0</v>
      </c>
      <c r="U604" s="849">
        <v>0.0</v>
      </c>
      <c r="V604" s="849">
        <v>0.0</v>
      </c>
      <c r="W604" s="849">
        <v>0.0</v>
      </c>
      <c r="X604" s="849">
        <v>0.0</v>
      </c>
      <c r="Y604" s="849">
        <v>0.0</v>
      </c>
      <c r="Z604" s="849">
        <v>0.0</v>
      </c>
      <c r="AA604" s="849">
        <v>0.0</v>
      </c>
      <c r="AB604" s="849">
        <v>0.0</v>
      </c>
      <c r="AC604" s="849">
        <v>0.0</v>
      </c>
      <c r="AD604" s="849">
        <v>0.0</v>
      </c>
      <c r="AE604" s="849">
        <v>0.0</v>
      </c>
      <c r="AF604" s="849">
        <v>0.0</v>
      </c>
      <c r="AG604" s="849">
        <v>0.0</v>
      </c>
      <c r="AH604" s="849">
        <v>0.0</v>
      </c>
      <c r="AI604" s="849">
        <v>0.0</v>
      </c>
      <c r="AJ604" s="794" t="str">
        <f t="shared" ref="AJ604:AK604" si="1205">C604</f>
        <v>G45300</v>
      </c>
      <c r="AK604" s="794" t="str">
        <f t="shared" si="1205"/>
        <v>*RECTIFICATION/STOK/TRUCK</v>
      </c>
      <c r="AL604" s="794">
        <f t="array" ref="AL604">IFERROR(INDEX(G604:R604,1,MATCH(Parametres!$B$3,G$1:R$1,0)-1)*IF(OR(F604="L",F604="S",F604="I"),-1,1),"")</f>
        <v>0</v>
      </c>
      <c r="AM604" s="794">
        <f t="shared" si="4"/>
        <v>0</v>
      </c>
      <c r="AN604" s="794">
        <f t="array" ref="AN604">INDEX(G604:R604,1,MATCH(Parametres!$B$3,G$1:R$1,0))*IF(OR(F604="L",F604="S",F604="I"),-1,1)</f>
        <v>0</v>
      </c>
      <c r="AO604" s="853" t="str">
        <f>+VLOOKUP($AJ604,Data_Validation!$A:$D,1,0)</f>
        <v>G45300</v>
      </c>
      <c r="AP604" s="853" t="str">
        <f>+VLOOKUP($AJ604,Data_Validation!$A:$D,3,0)</f>
        <v/>
      </c>
      <c r="AQ604" s="853" t="str">
        <f>+VLOOKUP($AJ604,Data_Validation!$A:$D,4,0)</f>
        <v/>
      </c>
      <c r="AR604" s="853" t="s">
        <v>728</v>
      </c>
      <c r="AS604" s="853" t="str">
        <f>+VLOOKUP($AJ604,Data_Validation!$A:$E,5,0)</f>
        <v/>
      </c>
      <c r="AT604" s="794" t="str">
        <f t="shared" ref="AT604:AU604" si="1206">C604</f>
        <v>G45300</v>
      </c>
      <c r="AU604" s="854" t="str">
        <f t="shared" si="1206"/>
        <v>*RECTIFICATION/STOK/TRUCK</v>
      </c>
      <c r="AV604" s="794">
        <f t="array" ref="AV604">IFERROR(INDEX(V604:AG604,1,MATCH(Parametres!$B$3,V$1:AG$1,0)-1)*IF(OR(C604="L",C604="S",C604="I"),-1,1),"")</f>
        <v>0</v>
      </c>
      <c r="AW604" s="794">
        <f t="shared" si="6"/>
        <v>0</v>
      </c>
      <c r="AX604" s="794">
        <f t="array" ref="AX604">INDEX(V604:AG604,1,MATCH(Parametres!$B$3,V$1:AG$1,0))*IF(OR(C604="L",C604="S",C604="I"),-1,1)</f>
        <v>0</v>
      </c>
      <c r="AY604" s="853" t="s">
        <v>772</v>
      </c>
      <c r="AZ604" s="853" t="str">
        <f>+VLOOKUP($AJ604,Data_Validation!$A:$E,5,0)</f>
        <v/>
      </c>
    </row>
    <row r="605" ht="15.0" customHeight="1">
      <c r="A605" s="849" t="s">
        <v>1239</v>
      </c>
      <c r="B605" s="849">
        <v>2025.0</v>
      </c>
      <c r="C605" s="849" t="s">
        <v>2659</v>
      </c>
      <c r="D605" s="849" t="s">
        <v>2660</v>
      </c>
      <c r="E605" s="849" t="s">
        <v>768</v>
      </c>
      <c r="F605" s="849" t="s">
        <v>2426</v>
      </c>
      <c r="G605" s="849">
        <v>13098.0</v>
      </c>
      <c r="H605" s="849">
        <v>22501.0</v>
      </c>
      <c r="I605" s="849">
        <v>45421.0</v>
      </c>
      <c r="J605" s="849">
        <v>59471.0</v>
      </c>
      <c r="K605" s="849">
        <v>72371.0</v>
      </c>
      <c r="L605" s="849">
        <v>72371.0</v>
      </c>
      <c r="M605" s="849">
        <v>78956.0</v>
      </c>
      <c r="N605" s="849">
        <v>89171.0</v>
      </c>
      <c r="O605" s="849">
        <v>111174.0</v>
      </c>
      <c r="P605" s="849">
        <v>135622.0</v>
      </c>
      <c r="Q605" s="849">
        <v>141962.0</v>
      </c>
      <c r="R605" s="849">
        <v>169987.0</v>
      </c>
      <c r="S605" s="849">
        <v>12905.64</v>
      </c>
      <c r="T605" s="849">
        <v>12905.64</v>
      </c>
      <c r="U605" s="849">
        <v>0.0</v>
      </c>
      <c r="V605" s="849">
        <v>4.0</v>
      </c>
      <c r="W605" s="849">
        <v>7.0</v>
      </c>
      <c r="X605" s="849">
        <v>14.0</v>
      </c>
      <c r="Y605" s="849">
        <v>18.0</v>
      </c>
      <c r="Z605" s="849">
        <v>22.0</v>
      </c>
      <c r="AA605" s="849">
        <v>22.0</v>
      </c>
      <c r="AB605" s="849">
        <v>24.0</v>
      </c>
      <c r="AC605" s="849">
        <v>27.0</v>
      </c>
      <c r="AD605" s="849">
        <v>34.0</v>
      </c>
      <c r="AE605" s="849">
        <v>41.0</v>
      </c>
      <c r="AF605" s="849">
        <v>43.0</v>
      </c>
      <c r="AG605" s="849">
        <v>50.0</v>
      </c>
      <c r="AH605" s="849">
        <v>4.0</v>
      </c>
      <c r="AI605" s="849">
        <v>4.0</v>
      </c>
      <c r="AJ605" s="794" t="str">
        <f t="shared" ref="AJ605:AK605" si="1207">C605</f>
        <v>G45400</v>
      </c>
      <c r="AK605" s="794" t="str">
        <f t="shared" si="1207"/>
        <v>VTES-PLAN PROTECTION USAG</v>
      </c>
      <c r="AL605" s="794">
        <f t="array" ref="AL605">IFERROR(INDEX(G605:R605,1,MATCH(Parametres!$B$3,G$1:R$1,0)-1)*IF(OR(F605="L",F605="S",F605="I"),-1,1),"")</f>
        <v>-89171</v>
      </c>
      <c r="AM605" s="794">
        <f t="shared" si="4"/>
        <v>-22003</v>
      </c>
      <c r="AN605" s="794">
        <f t="array" ref="AN605">INDEX(G605:R605,1,MATCH(Parametres!$B$3,G$1:R$1,0))*IF(OR(F605="L",F605="S",F605="I"),-1,1)</f>
        <v>-111174</v>
      </c>
      <c r="AO605" s="853" t="str">
        <f>+VLOOKUP($AJ605,Data_Validation!$A:$D,1,0)</f>
        <v>G45400</v>
      </c>
      <c r="AP605" s="853" t="str">
        <f>+VLOOKUP($AJ605,Data_Validation!$A:$D,3,0)</f>
        <v>Véhicules usagés</v>
      </c>
      <c r="AQ605" s="853" t="str">
        <f>+VLOOKUP($AJ605,Data_Validation!$A:$D,4,0)</f>
        <v>Rev. Protections</v>
      </c>
      <c r="AR605" s="853" t="s">
        <v>728</v>
      </c>
      <c r="AS605" s="853" t="str">
        <f>+VLOOKUP($AJ605,Data_Validation!$A:$E,5,0)</f>
        <v>Oui</v>
      </c>
      <c r="AT605" s="794" t="str">
        <f t="shared" ref="AT605:AU605" si="1208">C605</f>
        <v>G45400</v>
      </c>
      <c r="AU605" s="854" t="str">
        <f t="shared" si="1208"/>
        <v>VTES-PLAN PROTECTION USAG</v>
      </c>
      <c r="AV605" s="794">
        <f t="array" ref="AV605">IFERROR(INDEX(V605:AG605,1,MATCH(Parametres!$B$3,V$1:AG$1,0)-1)*IF(OR(C605="L",C605="S",C605="I"),-1,1),"")</f>
        <v>27</v>
      </c>
      <c r="AW605" s="794">
        <f t="shared" si="6"/>
        <v>7</v>
      </c>
      <c r="AX605" s="794">
        <f t="array" ref="AX605">INDEX(V605:AG605,1,MATCH(Parametres!$B$3,V$1:AG$1,0))*IF(OR(C605="L",C605="S",C605="I"),-1,1)</f>
        <v>34</v>
      </c>
      <c r="AY605" s="853" t="s">
        <v>772</v>
      </c>
      <c r="AZ605" s="853" t="str">
        <f>+VLOOKUP($AJ605,Data_Validation!$A:$E,5,0)</f>
        <v>Oui</v>
      </c>
    </row>
    <row r="606" ht="15.0" customHeight="1">
      <c r="A606" s="849" t="s">
        <v>1239</v>
      </c>
      <c r="B606" s="849">
        <v>2025.0</v>
      </c>
      <c r="C606" s="849" t="s">
        <v>2677</v>
      </c>
      <c r="D606" s="849" t="s">
        <v>2678</v>
      </c>
      <c r="E606" s="849" t="s">
        <v>2426</v>
      </c>
      <c r="F606" s="849" t="s">
        <v>2426</v>
      </c>
      <c r="G606" s="849">
        <v>0.0</v>
      </c>
      <c r="H606" s="849">
        <v>0.0</v>
      </c>
      <c r="I606" s="849">
        <v>0.0</v>
      </c>
      <c r="J606" s="849">
        <v>0.0</v>
      </c>
      <c r="K606" s="849">
        <v>0.0</v>
      </c>
      <c r="L606" s="849">
        <v>0.0</v>
      </c>
      <c r="M606" s="849">
        <v>0.0</v>
      </c>
      <c r="N606" s="849">
        <v>0.0</v>
      </c>
      <c r="O606" s="849">
        <v>0.0</v>
      </c>
      <c r="P606" s="849">
        <v>0.0</v>
      </c>
      <c r="Q606" s="849">
        <v>0.0</v>
      </c>
      <c r="R606" s="849">
        <v>0.0</v>
      </c>
      <c r="S606" s="849">
        <v>0.0</v>
      </c>
      <c r="T606" s="849">
        <v>0.0</v>
      </c>
      <c r="U606" s="849">
        <v>0.0</v>
      </c>
      <c r="V606" s="849">
        <v>0.0</v>
      </c>
      <c r="W606" s="849">
        <v>0.0</v>
      </c>
      <c r="X606" s="849">
        <v>0.0</v>
      </c>
      <c r="Y606" s="849">
        <v>0.0</v>
      </c>
      <c r="Z606" s="849">
        <v>0.0</v>
      </c>
      <c r="AA606" s="849">
        <v>0.0</v>
      </c>
      <c r="AB606" s="849">
        <v>0.0</v>
      </c>
      <c r="AC606" s="849">
        <v>0.0</v>
      </c>
      <c r="AD606" s="849">
        <v>0.0</v>
      </c>
      <c r="AE606" s="849">
        <v>0.0</v>
      </c>
      <c r="AF606" s="849">
        <v>0.0</v>
      </c>
      <c r="AG606" s="849">
        <v>0.0</v>
      </c>
      <c r="AH606" s="849">
        <v>0.0</v>
      </c>
      <c r="AI606" s="849">
        <v>0.0</v>
      </c>
      <c r="AJ606" s="794" t="str">
        <f t="shared" ref="AJ606:AK606" si="1209">C606</f>
        <v>G45500</v>
      </c>
      <c r="AK606" s="794" t="str">
        <f t="shared" si="1209"/>
        <v>RETOUR DE LOCATION-VENTE</v>
      </c>
      <c r="AL606" s="794">
        <f t="array" ref="AL606">IFERROR(INDEX(G606:R606,1,MATCH(Parametres!$B$3,G$1:R$1,0)-1)*IF(OR(F606="L",F606="S",F606="I"),-1,1),"")</f>
        <v>0</v>
      </c>
      <c r="AM606" s="794">
        <f t="shared" si="4"/>
        <v>0</v>
      </c>
      <c r="AN606" s="794">
        <f t="array" ref="AN606">INDEX(G606:R606,1,MATCH(Parametres!$B$3,G$1:R$1,0))*IF(OR(F606="L",F606="S",F606="I"),-1,1)</f>
        <v>0</v>
      </c>
      <c r="AO606" s="853" t="str">
        <f>+VLOOKUP($AJ606,Data_Validation!$A:$D,1,0)</f>
        <v>G45500</v>
      </c>
      <c r="AP606" s="853" t="str">
        <f>+VLOOKUP($AJ606,Data_Validation!$A:$D,3,0)</f>
        <v>Véhicules usagés</v>
      </c>
      <c r="AQ606" s="853" t="str">
        <f>+VLOOKUP($AJ606,Data_Validation!$A:$D,4,0)</f>
        <v>Rev. Protections</v>
      </c>
      <c r="AR606" s="853" t="s">
        <v>728</v>
      </c>
      <c r="AS606" s="853" t="str">
        <f>+VLOOKUP($AJ606,Data_Validation!$A:$E,5,0)</f>
        <v>Oui</v>
      </c>
      <c r="AT606" s="794" t="str">
        <f t="shared" ref="AT606:AU606" si="1210">C606</f>
        <v>G45500</v>
      </c>
      <c r="AU606" s="854" t="str">
        <f t="shared" si="1210"/>
        <v>RETOUR DE LOCATION-VENTE</v>
      </c>
      <c r="AV606" s="794">
        <f t="array" ref="AV606">IFERROR(INDEX(V606:AG606,1,MATCH(Parametres!$B$3,V$1:AG$1,0)-1)*IF(OR(C606="L",C606="S",C606="I"),-1,1),"")</f>
        <v>0</v>
      </c>
      <c r="AW606" s="794">
        <f t="shared" si="6"/>
        <v>0</v>
      </c>
      <c r="AX606" s="794">
        <f t="array" ref="AX606">INDEX(V606:AG606,1,MATCH(Parametres!$B$3,V$1:AG$1,0))*IF(OR(C606="L",C606="S",C606="I"),-1,1)</f>
        <v>0</v>
      </c>
      <c r="AY606" s="853" t="s">
        <v>772</v>
      </c>
      <c r="AZ606" s="853" t="str">
        <f>+VLOOKUP($AJ606,Data_Validation!$A:$E,5,0)</f>
        <v>Oui</v>
      </c>
    </row>
    <row r="607" ht="15.0" customHeight="1">
      <c r="A607" s="849" t="s">
        <v>1239</v>
      </c>
      <c r="B607" s="849">
        <v>2025.0</v>
      </c>
      <c r="C607" s="849" t="s">
        <v>2687</v>
      </c>
      <c r="D607" s="849" t="s">
        <v>2688</v>
      </c>
      <c r="E607" s="849" t="s">
        <v>768</v>
      </c>
      <c r="F607" s="849" t="s">
        <v>2426</v>
      </c>
      <c r="G607" s="849">
        <v>1346.0</v>
      </c>
      <c r="H607" s="849">
        <v>1346.0</v>
      </c>
      <c r="I607" s="849">
        <v>4849.0</v>
      </c>
      <c r="J607" s="849">
        <v>4849.0</v>
      </c>
      <c r="K607" s="849">
        <v>4849.0</v>
      </c>
      <c r="L607" s="849">
        <v>4849.0</v>
      </c>
      <c r="M607" s="849">
        <v>5871.0</v>
      </c>
      <c r="N607" s="849">
        <v>9449.0</v>
      </c>
      <c r="O607" s="849">
        <v>9449.0</v>
      </c>
      <c r="P607" s="849">
        <v>12671.0</v>
      </c>
      <c r="Q607" s="849">
        <v>14257.0</v>
      </c>
      <c r="R607" s="849">
        <v>14257.0</v>
      </c>
      <c r="S607" s="849">
        <v>1296.09</v>
      </c>
      <c r="T607" s="849">
        <v>1296.09</v>
      </c>
      <c r="U607" s="849">
        <v>0.0</v>
      </c>
      <c r="V607" s="849">
        <v>1.0</v>
      </c>
      <c r="W607" s="849">
        <v>1.0</v>
      </c>
      <c r="X607" s="849">
        <v>3.0</v>
      </c>
      <c r="Y607" s="849">
        <v>3.0</v>
      </c>
      <c r="Z607" s="849">
        <v>3.0</v>
      </c>
      <c r="AA607" s="849">
        <v>3.0</v>
      </c>
      <c r="AB607" s="849">
        <v>4.0</v>
      </c>
      <c r="AC607" s="849">
        <v>6.0</v>
      </c>
      <c r="AD607" s="849">
        <v>6.0</v>
      </c>
      <c r="AE607" s="849">
        <v>8.0</v>
      </c>
      <c r="AF607" s="849">
        <v>9.0</v>
      </c>
      <c r="AG607" s="849">
        <v>9.0</v>
      </c>
      <c r="AH607" s="849">
        <v>1.0</v>
      </c>
      <c r="AI607" s="849">
        <v>1.0</v>
      </c>
      <c r="AJ607" s="794" t="str">
        <f t="shared" ref="AJ607:AK607" si="1211">C607</f>
        <v>G45600</v>
      </c>
      <c r="AK607" s="794" t="str">
        <f t="shared" si="1211"/>
        <v>VALEUR REMPL. USAGES</v>
      </c>
      <c r="AL607" s="794">
        <f t="array" ref="AL607">IFERROR(INDEX(G607:R607,1,MATCH(Parametres!$B$3,G$1:R$1,0)-1)*IF(OR(F607="L",F607="S",F607="I"),-1,1),"")</f>
        <v>-9449</v>
      </c>
      <c r="AM607" s="794">
        <f t="shared" si="4"/>
        <v>0</v>
      </c>
      <c r="AN607" s="794">
        <f t="array" ref="AN607">INDEX(G607:R607,1,MATCH(Parametres!$B$3,G$1:R$1,0))*IF(OR(F607="L",F607="S",F607="I"),-1,1)</f>
        <v>-9449</v>
      </c>
      <c r="AO607" s="853" t="str">
        <f>+VLOOKUP($AJ607,Data_Validation!$A:$D,1,0)</f>
        <v>G45600</v>
      </c>
      <c r="AP607" s="853" t="str">
        <f>+VLOOKUP($AJ607,Data_Validation!$A:$D,3,0)</f>
        <v>Véhicules usagés</v>
      </c>
      <c r="AQ607" s="853" t="str">
        <f>+VLOOKUP($AJ607,Data_Validation!$A:$D,4,0)</f>
        <v>Rev. Protections</v>
      </c>
      <c r="AR607" s="853" t="s">
        <v>728</v>
      </c>
      <c r="AS607" s="853" t="str">
        <f>+VLOOKUP($AJ607,Data_Validation!$A:$E,5,0)</f>
        <v>Oui</v>
      </c>
      <c r="AT607" s="794" t="str">
        <f t="shared" ref="AT607:AU607" si="1212">C607</f>
        <v>G45600</v>
      </c>
      <c r="AU607" s="854" t="str">
        <f t="shared" si="1212"/>
        <v>VALEUR REMPL. USAGES</v>
      </c>
      <c r="AV607" s="794">
        <f t="array" ref="AV607">IFERROR(INDEX(V607:AG607,1,MATCH(Parametres!$B$3,V$1:AG$1,0)-1)*IF(OR(C607="L",C607="S",C607="I"),-1,1),"")</f>
        <v>6</v>
      </c>
      <c r="AW607" s="794">
        <f t="shared" si="6"/>
        <v>0</v>
      </c>
      <c r="AX607" s="794">
        <f t="array" ref="AX607">INDEX(V607:AG607,1,MATCH(Parametres!$B$3,V$1:AG$1,0))*IF(OR(C607="L",C607="S",C607="I"),-1,1)</f>
        <v>6</v>
      </c>
      <c r="AY607" s="853" t="s">
        <v>772</v>
      </c>
      <c r="AZ607" s="853" t="str">
        <f>+VLOOKUP($AJ607,Data_Validation!$A:$E,5,0)</f>
        <v>Oui</v>
      </c>
    </row>
    <row r="608" ht="15.0" customHeight="1">
      <c r="A608" s="849" t="s">
        <v>1239</v>
      </c>
      <c r="B608" s="849">
        <v>2025.0</v>
      </c>
      <c r="C608" s="849" t="s">
        <v>2689</v>
      </c>
      <c r="D608" s="849" t="s">
        <v>2690</v>
      </c>
      <c r="E608" s="849" t="s">
        <v>2426</v>
      </c>
      <c r="F608" s="849" t="s">
        <v>2426</v>
      </c>
      <c r="G608" s="849">
        <v>0.0</v>
      </c>
      <c r="H608" s="849">
        <v>0.0</v>
      </c>
      <c r="I608" s="849">
        <v>314896.32</v>
      </c>
      <c r="J608" s="849">
        <v>603770.98</v>
      </c>
      <c r="K608" s="849">
        <v>603770.98</v>
      </c>
      <c r="L608" s="849">
        <v>603770.98</v>
      </c>
      <c r="M608" s="849">
        <v>603770.98</v>
      </c>
      <c r="N608" s="849">
        <v>603770.98</v>
      </c>
      <c r="O608" s="849">
        <v>603770.98</v>
      </c>
      <c r="P608" s="849">
        <v>603770.98</v>
      </c>
      <c r="Q608" s="849">
        <v>603770.98</v>
      </c>
      <c r="R608" s="849">
        <v>603770.98</v>
      </c>
      <c r="S608" s="849">
        <v>54888.27</v>
      </c>
      <c r="T608" s="849">
        <v>54888.27</v>
      </c>
      <c r="U608" s="849">
        <v>0.0</v>
      </c>
      <c r="V608" s="849">
        <v>0.0</v>
      </c>
      <c r="W608" s="849">
        <v>0.0</v>
      </c>
      <c r="X608" s="849">
        <v>10.0</v>
      </c>
      <c r="Y608" s="849">
        <v>17.0</v>
      </c>
      <c r="Z608" s="849">
        <v>17.0</v>
      </c>
      <c r="AA608" s="849">
        <v>17.0</v>
      </c>
      <c r="AB608" s="849">
        <v>17.0</v>
      </c>
      <c r="AC608" s="849">
        <v>17.0</v>
      </c>
      <c r="AD608" s="849">
        <v>17.0</v>
      </c>
      <c r="AE608" s="849">
        <v>17.0</v>
      </c>
      <c r="AF608" s="849">
        <v>17.0</v>
      </c>
      <c r="AG608" s="849">
        <v>17.0</v>
      </c>
      <c r="AH608" s="849">
        <v>2.0</v>
      </c>
      <c r="AI608" s="849">
        <v>2.0</v>
      </c>
      <c r="AJ608" s="794" t="str">
        <f t="shared" ref="AJ608:AK608" si="1213">C608</f>
        <v>G45601</v>
      </c>
      <c r="AK608" s="794" t="str">
        <f t="shared" si="1213"/>
        <v>REV VEHICULES U.S.A</v>
      </c>
      <c r="AL608" s="794">
        <f t="array" ref="AL608">IFERROR(INDEX(G608:R608,1,MATCH(Parametres!$B$3,G$1:R$1,0)-1)*IF(OR(F608="L",F608="S",F608="I"),-1,1),"")</f>
        <v>-603770.98</v>
      </c>
      <c r="AM608" s="794">
        <f t="shared" si="4"/>
        <v>0</v>
      </c>
      <c r="AN608" s="794">
        <f t="array" ref="AN608">INDEX(G608:R608,1,MATCH(Parametres!$B$3,G$1:R$1,0))*IF(OR(F608="L",F608="S",F608="I"),-1,1)</f>
        <v>-603770.98</v>
      </c>
      <c r="AO608" s="853" t="str">
        <f>+VLOOKUP($AJ608,Data_Validation!$A:$D,1,0)</f>
        <v>G45601</v>
      </c>
      <c r="AP608" s="853" t="str">
        <f>+VLOOKUP($AJ608,Data_Validation!$A:$D,3,0)</f>
        <v>Wholesale autres</v>
      </c>
      <c r="AQ608" s="853" t="str">
        <f>+VLOOKUP($AJ608,Data_Validation!$A:$D,4,0)</f>
        <v>Wholesale USA</v>
      </c>
      <c r="AR608" s="853" t="s">
        <v>728</v>
      </c>
      <c r="AS608" s="853" t="str">
        <f>+VLOOKUP($AJ608,Data_Validation!$A:$E,5,0)</f>
        <v>Oui</v>
      </c>
      <c r="AT608" s="794" t="str">
        <f t="shared" ref="AT608:AU608" si="1214">C608</f>
        <v>G45601</v>
      </c>
      <c r="AU608" s="854" t="str">
        <f t="shared" si="1214"/>
        <v>REV VEHICULES U.S.A</v>
      </c>
      <c r="AV608" s="794">
        <f t="array" ref="AV608">IFERROR(INDEX(V608:AG608,1,MATCH(Parametres!$B$3,V$1:AG$1,0)-1)*IF(OR(C608="L",C608="S",C608="I"),-1,1),"")</f>
        <v>17</v>
      </c>
      <c r="AW608" s="794">
        <f t="shared" si="6"/>
        <v>0</v>
      </c>
      <c r="AX608" s="794">
        <f t="array" ref="AX608">INDEX(V608:AG608,1,MATCH(Parametres!$B$3,V$1:AG$1,0))*IF(OR(C608="L",C608="S",C608="I"),-1,1)</f>
        <v>17</v>
      </c>
      <c r="AY608" s="853" t="s">
        <v>772</v>
      </c>
      <c r="AZ608" s="853" t="str">
        <f>+VLOOKUP($AJ608,Data_Validation!$A:$E,5,0)</f>
        <v>Oui</v>
      </c>
    </row>
    <row r="609" ht="15.0" customHeight="1">
      <c r="A609" s="849" t="s">
        <v>1239</v>
      </c>
      <c r="B609" s="849">
        <v>2025.0</v>
      </c>
      <c r="C609" s="849" t="s">
        <v>2691</v>
      </c>
      <c r="D609" s="849" t="s">
        <v>2692</v>
      </c>
      <c r="E609" s="849" t="s">
        <v>768</v>
      </c>
      <c r="F609" s="849" t="s">
        <v>2426</v>
      </c>
      <c r="G609" s="849">
        <v>0.0</v>
      </c>
      <c r="H609" s="849">
        <v>0.0</v>
      </c>
      <c r="I609" s="849">
        <v>0.0</v>
      </c>
      <c r="J609" s="849">
        <v>0.0</v>
      </c>
      <c r="K609" s="849">
        <v>0.0</v>
      </c>
      <c r="L609" s="849">
        <v>0.0</v>
      </c>
      <c r="M609" s="849">
        <v>0.0</v>
      </c>
      <c r="N609" s="849">
        <v>0.0</v>
      </c>
      <c r="O609" s="849">
        <v>0.0</v>
      </c>
      <c r="P609" s="849">
        <v>0.0</v>
      </c>
      <c r="Q609" s="849">
        <v>0.0</v>
      </c>
      <c r="R609" s="849">
        <v>0.0</v>
      </c>
      <c r="S609" s="849">
        <v>0.0</v>
      </c>
      <c r="T609" s="849">
        <v>0.0</v>
      </c>
      <c r="U609" s="849">
        <v>0.0</v>
      </c>
      <c r="V609" s="849">
        <v>0.0</v>
      </c>
      <c r="W609" s="849">
        <v>0.0</v>
      </c>
      <c r="X609" s="849">
        <v>0.0</v>
      </c>
      <c r="Y609" s="849">
        <v>0.0</v>
      </c>
      <c r="Z609" s="849">
        <v>0.0</v>
      </c>
      <c r="AA609" s="849">
        <v>0.0</v>
      </c>
      <c r="AB609" s="849">
        <v>0.0</v>
      </c>
      <c r="AC609" s="849">
        <v>0.0</v>
      </c>
      <c r="AD609" s="849">
        <v>0.0</v>
      </c>
      <c r="AE609" s="849">
        <v>0.0</v>
      </c>
      <c r="AF609" s="849">
        <v>0.0</v>
      </c>
      <c r="AG609" s="849">
        <v>0.0</v>
      </c>
      <c r="AH609" s="849">
        <v>0.0</v>
      </c>
      <c r="AI609" s="849">
        <v>0.0</v>
      </c>
      <c r="AJ609" s="794" t="str">
        <f t="shared" ref="AJ609:AK609" si="1215">C609</f>
        <v>G45602</v>
      </c>
      <c r="AK609" s="794" t="str">
        <f t="shared" si="1215"/>
        <v>VENTE USA -AJUSTMENT</v>
      </c>
      <c r="AL609" s="794">
        <f t="array" ref="AL609">IFERROR(INDEX(G609:R609,1,MATCH(Parametres!$B$3,G$1:R$1,0)-1)*IF(OR(F609="L",F609="S",F609="I"),-1,1),"")</f>
        <v>0</v>
      </c>
      <c r="AM609" s="794">
        <f t="shared" si="4"/>
        <v>0</v>
      </c>
      <c r="AN609" s="794">
        <f t="array" ref="AN609">INDEX(G609:R609,1,MATCH(Parametres!$B$3,G$1:R$1,0))*IF(OR(F609="L",F609="S",F609="I"),-1,1)</f>
        <v>0</v>
      </c>
      <c r="AO609" s="853" t="str">
        <f>+VLOOKUP($AJ609,Data_Validation!$A:$D,1,0)</f>
        <v>G45602</v>
      </c>
      <c r="AP609" s="853" t="str">
        <f>+VLOOKUP($AJ609,Data_Validation!$A:$D,3,0)</f>
        <v>Wholesale autres</v>
      </c>
      <c r="AQ609" s="853" t="str">
        <f>+VLOOKUP($AJ609,Data_Validation!$A:$D,4,0)</f>
        <v>Wholesale USA</v>
      </c>
      <c r="AR609" s="853" t="s">
        <v>728</v>
      </c>
      <c r="AS609" s="853" t="str">
        <f>+VLOOKUP($AJ609,Data_Validation!$A:$E,5,0)</f>
        <v>Oui</v>
      </c>
      <c r="AT609" s="794" t="str">
        <f t="shared" ref="AT609:AU609" si="1216">C609</f>
        <v>G45602</v>
      </c>
      <c r="AU609" s="854" t="str">
        <f t="shared" si="1216"/>
        <v>VENTE USA -AJUSTMENT</v>
      </c>
      <c r="AV609" s="794">
        <f t="array" ref="AV609">IFERROR(INDEX(V609:AG609,1,MATCH(Parametres!$B$3,V$1:AG$1,0)-1)*IF(OR(C609="L",C609="S",C609="I"),-1,1),"")</f>
        <v>0</v>
      </c>
      <c r="AW609" s="794">
        <f t="shared" si="6"/>
        <v>0</v>
      </c>
      <c r="AX609" s="794">
        <f t="array" ref="AX609">INDEX(V609:AG609,1,MATCH(Parametres!$B$3,V$1:AG$1,0))*IF(OR(C609="L",C609="S",C609="I"),-1,1)</f>
        <v>0</v>
      </c>
      <c r="AY609" s="853" t="s">
        <v>772</v>
      </c>
      <c r="AZ609" s="853" t="str">
        <f>+VLOOKUP($AJ609,Data_Validation!$A:$E,5,0)</f>
        <v>Oui</v>
      </c>
    </row>
    <row r="610" ht="15.0" customHeight="1">
      <c r="A610" s="849" t="s">
        <v>1239</v>
      </c>
      <c r="B610" s="849">
        <v>2025.0</v>
      </c>
      <c r="C610" s="849" t="s">
        <v>2693</v>
      </c>
      <c r="D610" s="849" t="s">
        <v>3465</v>
      </c>
      <c r="E610" s="849" t="s">
        <v>2426</v>
      </c>
      <c r="F610" s="849" t="s">
        <v>2426</v>
      </c>
      <c r="G610" s="849">
        <v>502128.22</v>
      </c>
      <c r="H610" s="849">
        <v>1304423.45</v>
      </c>
      <c r="I610" s="849">
        <v>4044860.47</v>
      </c>
      <c r="J610" s="849">
        <v>8749186.98</v>
      </c>
      <c r="K610" s="849">
        <v>1.560256917E7</v>
      </c>
      <c r="L610" s="849">
        <v>2.118072563E7</v>
      </c>
      <c r="M610" s="849">
        <v>2.31948964E7</v>
      </c>
      <c r="N610" s="849">
        <v>2.552743709E7</v>
      </c>
      <c r="O610" s="849">
        <v>2.607142851E7</v>
      </c>
      <c r="P610" s="849">
        <v>2.624201422E7</v>
      </c>
      <c r="Q610" s="849">
        <v>2.683863642E7</v>
      </c>
      <c r="R610" s="849">
        <v>2.766482247E7</v>
      </c>
      <c r="S610" s="849">
        <v>2439876.04</v>
      </c>
      <c r="T610" s="849">
        <v>2439876.04</v>
      </c>
      <c r="U610" s="849">
        <v>0.0</v>
      </c>
      <c r="V610" s="849">
        <v>12.0</v>
      </c>
      <c r="W610" s="849">
        <v>27.0</v>
      </c>
      <c r="X610" s="849">
        <v>79.0</v>
      </c>
      <c r="Y610" s="849">
        <v>167.0</v>
      </c>
      <c r="Z610" s="849">
        <v>290.0</v>
      </c>
      <c r="AA610" s="849">
        <v>387.0</v>
      </c>
      <c r="AB610" s="849">
        <v>447.0</v>
      </c>
      <c r="AC610" s="849">
        <v>491.0</v>
      </c>
      <c r="AD610" s="849">
        <v>501.0</v>
      </c>
      <c r="AE610" s="849">
        <v>504.0</v>
      </c>
      <c r="AF610" s="849">
        <v>519.0</v>
      </c>
      <c r="AG610" s="849">
        <v>539.0</v>
      </c>
      <c r="AH610" s="849">
        <v>47.0</v>
      </c>
      <c r="AI610" s="849">
        <v>47.0</v>
      </c>
      <c r="AJ610" s="794" t="str">
        <f t="shared" ref="AJ610:AK610" si="1217">C610</f>
        <v>G45603</v>
      </c>
      <c r="AK610" s="794" t="str">
        <f t="shared" si="1217"/>
        <v>COUT VENTES USA</v>
      </c>
      <c r="AL610" s="794">
        <f t="array" ref="AL610">IFERROR(INDEX(G610:R610,1,MATCH(Parametres!$B$3,G$1:R$1,0)-1)*IF(OR(F610="L",F610="S",F610="I"),-1,1),"")</f>
        <v>-25527437.09</v>
      </c>
      <c r="AM610" s="794">
        <f t="shared" si="4"/>
        <v>-543991.42</v>
      </c>
      <c r="AN610" s="794">
        <f t="array" ref="AN610">INDEX(G610:R610,1,MATCH(Parametres!$B$3,G$1:R$1,0))*IF(OR(F610="L",F610="S",F610="I"),-1,1)</f>
        <v>-26071428.51</v>
      </c>
      <c r="AO610" s="853" t="str">
        <f>+VLOOKUP($AJ610,Data_Validation!$A:$D,1,0)</f>
        <v>G45603</v>
      </c>
      <c r="AP610" s="853" t="str">
        <f>+VLOOKUP($AJ610,Data_Validation!$A:$D,3,0)</f>
        <v>Wholesale autres</v>
      </c>
      <c r="AQ610" s="853" t="str">
        <f>+VLOOKUP($AJ610,Data_Validation!$A:$D,4,0)</f>
        <v>Wholesale USA</v>
      </c>
      <c r="AR610" s="853" t="s">
        <v>728</v>
      </c>
      <c r="AS610" s="853" t="str">
        <f>+VLOOKUP($AJ610,Data_Validation!$A:$E,5,0)</f>
        <v>Oui</v>
      </c>
      <c r="AT610" s="794" t="str">
        <f t="shared" ref="AT610:AU610" si="1218">C610</f>
        <v>G45603</v>
      </c>
      <c r="AU610" s="854" t="str">
        <f t="shared" si="1218"/>
        <v>COUT VENTES USA</v>
      </c>
      <c r="AV610" s="794">
        <f t="array" ref="AV610">IFERROR(INDEX(V610:AG610,1,MATCH(Parametres!$B$3,V$1:AG$1,0)-1)*IF(OR(C610="L",C610="S",C610="I"),-1,1),"")</f>
        <v>491</v>
      </c>
      <c r="AW610" s="794">
        <f t="shared" si="6"/>
        <v>10</v>
      </c>
      <c r="AX610" s="794">
        <f t="array" ref="AX610">INDEX(V610:AG610,1,MATCH(Parametres!$B$3,V$1:AG$1,0))*IF(OR(C610="L",C610="S",C610="I"),-1,1)</f>
        <v>501</v>
      </c>
      <c r="AY610" s="853" t="s">
        <v>772</v>
      </c>
      <c r="AZ610" s="853" t="str">
        <f>+VLOOKUP($AJ610,Data_Validation!$A:$E,5,0)</f>
        <v>Oui</v>
      </c>
    </row>
    <row r="611" ht="15.0" customHeight="1">
      <c r="A611" s="849" t="s">
        <v>1239</v>
      </c>
      <c r="B611" s="849">
        <v>2025.0</v>
      </c>
      <c r="C611" s="849" t="s">
        <v>2699</v>
      </c>
      <c r="D611" s="849" t="s">
        <v>2700</v>
      </c>
      <c r="E611" s="849" t="s">
        <v>2701</v>
      </c>
      <c r="F611" s="849" t="s">
        <v>2426</v>
      </c>
      <c r="G611" s="849">
        <v>64113.28</v>
      </c>
      <c r="H611" s="849">
        <v>133817.64</v>
      </c>
      <c r="I611" s="849">
        <v>203100.2</v>
      </c>
      <c r="J611" s="849">
        <v>300212.58</v>
      </c>
      <c r="K611" s="849">
        <v>389766.51</v>
      </c>
      <c r="L611" s="849">
        <v>464052.03</v>
      </c>
      <c r="M611" s="849">
        <v>526981.16</v>
      </c>
      <c r="N611" s="849">
        <v>609123.58</v>
      </c>
      <c r="O611" s="849">
        <v>679595.77</v>
      </c>
      <c r="P611" s="849">
        <v>794191.04</v>
      </c>
      <c r="Q611" s="849">
        <v>901006.96</v>
      </c>
      <c r="R611" s="849">
        <v>978489.37</v>
      </c>
      <c r="S611" s="849">
        <v>81909.72</v>
      </c>
      <c r="T611" s="849">
        <v>81909.72</v>
      </c>
      <c r="U611" s="849">
        <v>0.0</v>
      </c>
      <c r="V611" s="849">
        <v>157.0</v>
      </c>
      <c r="W611" s="849">
        <v>302.0</v>
      </c>
      <c r="X611" s="849">
        <v>491.0</v>
      </c>
      <c r="Y611" s="849">
        <v>784.0</v>
      </c>
      <c r="Z611" s="849">
        <v>1017.0</v>
      </c>
      <c r="AA611" s="849">
        <v>1206.0</v>
      </c>
      <c r="AB611" s="849">
        <v>1375.0</v>
      </c>
      <c r="AC611" s="849">
        <v>1544.0</v>
      </c>
      <c r="AD611" s="849">
        <v>1737.0</v>
      </c>
      <c r="AE611" s="849">
        <v>2015.0</v>
      </c>
      <c r="AF611" s="849">
        <v>2361.0</v>
      </c>
      <c r="AG611" s="849">
        <v>2535.0</v>
      </c>
      <c r="AH611" s="849">
        <v>215.0</v>
      </c>
      <c r="AI611" s="849">
        <v>215.0</v>
      </c>
      <c r="AJ611" s="794" t="str">
        <f t="shared" ref="AJ611:AK611" si="1219">C611</f>
        <v>G46010</v>
      </c>
      <c r="AK611" s="794" t="str">
        <f t="shared" si="1219"/>
        <v>M-D'O CLIENT VOIT-CAM.LEG</v>
      </c>
      <c r="AL611" s="794">
        <f t="array" ref="AL611">IFERROR(INDEX(G611:R611,1,MATCH(Parametres!$B$3,G$1:R$1,0)-1)*IF(OR(F611="L",F611="S",F611="I"),-1,1),"")</f>
        <v>-609123.58</v>
      </c>
      <c r="AM611" s="794">
        <f t="shared" si="4"/>
        <v>-70472.19</v>
      </c>
      <c r="AN611" s="794">
        <f t="array" ref="AN611">INDEX(G611:R611,1,MATCH(Parametres!$B$3,G$1:R$1,0))*IF(OR(F611="L",F611="S",F611="I"),-1,1)</f>
        <v>-679595.77</v>
      </c>
      <c r="AO611" s="853" t="str">
        <f>+VLOOKUP($AJ611,Data_Validation!$A:$D,1,0)</f>
        <v>G46010</v>
      </c>
      <c r="AP611" s="853" t="str">
        <f>+VLOOKUP($AJ611,Data_Validation!$A:$D,3,0)</f>
        <v>Service</v>
      </c>
      <c r="AQ611" s="853" t="str">
        <f>+VLOOKUP($AJ611,Data_Validation!$A:$D,4,0)</f>
        <v>M/O Client</v>
      </c>
      <c r="AR611" s="853" t="s">
        <v>728</v>
      </c>
      <c r="AS611" s="853" t="str">
        <f>+VLOOKUP($AJ611,Data_Validation!$A:$E,5,0)</f>
        <v>Oui</v>
      </c>
      <c r="AT611" s="794" t="str">
        <f t="shared" ref="AT611:AU611" si="1220">C611</f>
        <v>G46010</v>
      </c>
      <c r="AU611" s="854" t="str">
        <f t="shared" si="1220"/>
        <v>M-D'O CLIENT VOIT-CAM.LEG</v>
      </c>
      <c r="AV611" s="794">
        <f t="array" ref="AV611">IFERROR(INDEX(V611:AG611,1,MATCH(Parametres!$B$3,V$1:AG$1,0)-1)*IF(OR(C611="L",C611="S",C611="I"),-1,1),"")</f>
        <v>1544</v>
      </c>
      <c r="AW611" s="794">
        <f t="shared" si="6"/>
        <v>193</v>
      </c>
      <c r="AX611" s="794">
        <f t="array" ref="AX611">INDEX(V611:AG611,1,MATCH(Parametres!$B$3,V$1:AG$1,0))*IF(OR(C611="L",C611="S",C611="I"),-1,1)</f>
        <v>1737</v>
      </c>
      <c r="AY611" s="853" t="s">
        <v>772</v>
      </c>
      <c r="AZ611" s="853" t="str">
        <f>+VLOOKUP($AJ611,Data_Validation!$A:$E,5,0)</f>
        <v>Oui</v>
      </c>
    </row>
    <row r="612" ht="15.0" customHeight="1">
      <c r="A612" s="849" t="s">
        <v>1239</v>
      </c>
      <c r="B612" s="849">
        <v>2025.0</v>
      </c>
      <c r="C612" s="849" t="s">
        <v>2704</v>
      </c>
      <c r="D612" s="849" t="s">
        <v>2705</v>
      </c>
      <c r="E612" s="849" t="s">
        <v>2701</v>
      </c>
      <c r="F612" s="849" t="s">
        <v>2426</v>
      </c>
      <c r="G612" s="849">
        <v>0.0</v>
      </c>
      <c r="H612" s="849">
        <v>0.0</v>
      </c>
      <c r="I612" s="849">
        <v>0.0</v>
      </c>
      <c r="J612" s="849">
        <v>0.0</v>
      </c>
      <c r="K612" s="849">
        <v>0.0</v>
      </c>
      <c r="L612" s="849">
        <v>0.0</v>
      </c>
      <c r="M612" s="849">
        <v>0.0</v>
      </c>
      <c r="N612" s="849">
        <v>0.0</v>
      </c>
      <c r="O612" s="849">
        <v>0.0</v>
      </c>
      <c r="P612" s="849">
        <v>0.0</v>
      </c>
      <c r="Q612" s="849">
        <v>0.0</v>
      </c>
      <c r="R612" s="849">
        <v>0.0</v>
      </c>
      <c r="S612" s="849">
        <v>0.0</v>
      </c>
      <c r="T612" s="849">
        <v>0.0</v>
      </c>
      <c r="U612" s="849">
        <v>0.0</v>
      </c>
      <c r="V612" s="849">
        <v>0.0</v>
      </c>
      <c r="W612" s="849">
        <v>0.0</v>
      </c>
      <c r="X612" s="849">
        <v>0.0</v>
      </c>
      <c r="Y612" s="849">
        <v>0.0</v>
      </c>
      <c r="Z612" s="849">
        <v>0.0</v>
      </c>
      <c r="AA612" s="849">
        <v>0.0</v>
      </c>
      <c r="AB612" s="849">
        <v>0.0</v>
      </c>
      <c r="AC612" s="849">
        <v>0.0</v>
      </c>
      <c r="AD612" s="849">
        <v>0.0</v>
      </c>
      <c r="AE612" s="849">
        <v>0.0</v>
      </c>
      <c r="AF612" s="849">
        <v>0.0</v>
      </c>
      <c r="AG612" s="849">
        <v>0.0</v>
      </c>
      <c r="AH612" s="849">
        <v>0.0</v>
      </c>
      <c r="AI612" s="849">
        <v>0.0</v>
      </c>
      <c r="AJ612" s="794" t="str">
        <f t="shared" ref="AJ612:AK612" si="1221">C612</f>
        <v>G46020</v>
      </c>
      <c r="AK612" s="794" t="str">
        <f t="shared" si="1221"/>
        <v>CONT.SER-VOIT &amp; CAM.LEGER</v>
      </c>
      <c r="AL612" s="794">
        <f t="array" ref="AL612">IFERROR(INDEX(G612:R612,1,MATCH(Parametres!$B$3,G$1:R$1,0)-1)*IF(OR(F612="L",F612="S",F612="I"),-1,1),"")</f>
        <v>0</v>
      </c>
      <c r="AM612" s="794">
        <f t="shared" si="4"/>
        <v>0</v>
      </c>
      <c r="AN612" s="794">
        <f t="array" ref="AN612">INDEX(G612:R612,1,MATCH(Parametres!$B$3,G$1:R$1,0))*IF(OR(F612="L",F612="S",F612="I"),-1,1)</f>
        <v>0</v>
      </c>
      <c r="AO612" s="853" t="str">
        <f>+VLOOKUP($AJ612,Data_Validation!$A:$D,1,0)</f>
        <v>#N/A</v>
      </c>
      <c r="AP612" s="853" t="str">
        <f>+VLOOKUP($AJ612,Data_Validation!$A:$D,3,0)</f>
        <v>#N/A</v>
      </c>
      <c r="AQ612" s="853" t="str">
        <f>+VLOOKUP($AJ612,Data_Validation!$A:$D,4,0)</f>
        <v>#N/A</v>
      </c>
      <c r="AR612" s="853" t="s">
        <v>728</v>
      </c>
      <c r="AS612" s="853" t="str">
        <f>+VLOOKUP($AJ612,Data_Validation!$A:$E,5,0)</f>
        <v>#N/A</v>
      </c>
      <c r="AT612" s="794" t="str">
        <f t="shared" ref="AT612:AU612" si="1222">C612</f>
        <v>G46020</v>
      </c>
      <c r="AU612" s="854" t="str">
        <f t="shared" si="1222"/>
        <v>CONT.SER-VOIT &amp; CAM.LEGER</v>
      </c>
      <c r="AV612" s="794">
        <f t="array" ref="AV612">IFERROR(INDEX(V612:AG612,1,MATCH(Parametres!$B$3,V$1:AG$1,0)-1)*IF(OR(C612="L",C612="S",C612="I"),-1,1),"")</f>
        <v>0</v>
      </c>
      <c r="AW612" s="794">
        <f t="shared" si="6"/>
        <v>0</v>
      </c>
      <c r="AX612" s="794">
        <f t="array" ref="AX612">INDEX(V612:AG612,1,MATCH(Parametres!$B$3,V$1:AG$1,0))*IF(OR(C612="L",C612="S",C612="I"),-1,1)</f>
        <v>0</v>
      </c>
      <c r="AY612" s="853" t="s">
        <v>772</v>
      </c>
      <c r="AZ612" s="853" t="str">
        <f>+VLOOKUP($AJ612,Data_Validation!$A:$E,5,0)</f>
        <v>#N/A</v>
      </c>
    </row>
    <row r="613" ht="15.0" customHeight="1">
      <c r="A613" s="849" t="s">
        <v>1239</v>
      </c>
      <c r="B613" s="849">
        <v>2025.0</v>
      </c>
      <c r="C613" s="849" t="s">
        <v>2706</v>
      </c>
      <c r="D613" s="849" t="s">
        <v>2707</v>
      </c>
      <c r="E613" s="849" t="s">
        <v>2701</v>
      </c>
      <c r="F613" s="849" t="s">
        <v>2426</v>
      </c>
      <c r="G613" s="849">
        <v>0.0</v>
      </c>
      <c r="H613" s="849">
        <v>0.0</v>
      </c>
      <c r="I613" s="849">
        <v>0.0</v>
      </c>
      <c r="J613" s="849">
        <v>0.0</v>
      </c>
      <c r="K613" s="849">
        <v>0.0</v>
      </c>
      <c r="L613" s="849">
        <v>0.0</v>
      </c>
      <c r="M613" s="849">
        <v>0.0</v>
      </c>
      <c r="N613" s="849">
        <v>0.0</v>
      </c>
      <c r="O613" s="849">
        <v>0.0</v>
      </c>
      <c r="P613" s="849">
        <v>0.0</v>
      </c>
      <c r="Q613" s="849">
        <v>0.0</v>
      </c>
      <c r="R613" s="849">
        <v>0.0</v>
      </c>
      <c r="S613" s="849">
        <v>0.0</v>
      </c>
      <c r="T613" s="849">
        <v>0.0</v>
      </c>
      <c r="U613" s="849">
        <v>0.0</v>
      </c>
      <c r="V613" s="849">
        <v>0.0</v>
      </c>
      <c r="W613" s="849">
        <v>0.0</v>
      </c>
      <c r="X613" s="849">
        <v>0.0</v>
      </c>
      <c r="Y613" s="849">
        <v>0.0</v>
      </c>
      <c r="Z613" s="849">
        <v>0.0</v>
      </c>
      <c r="AA613" s="849">
        <v>0.0</v>
      </c>
      <c r="AB613" s="849">
        <v>0.0</v>
      </c>
      <c r="AC613" s="849">
        <v>0.0</v>
      </c>
      <c r="AD613" s="849">
        <v>0.0</v>
      </c>
      <c r="AE613" s="849">
        <v>0.0</v>
      </c>
      <c r="AF613" s="849">
        <v>0.0</v>
      </c>
      <c r="AG613" s="849">
        <v>0.0</v>
      </c>
      <c r="AH613" s="849">
        <v>0.0</v>
      </c>
      <c r="AI613" s="849">
        <v>0.0</v>
      </c>
      <c r="AJ613" s="794" t="str">
        <f t="shared" ref="AJ613:AK613" si="1223">C613</f>
        <v>G46030</v>
      </c>
      <c r="AK613" s="794" t="str">
        <f t="shared" si="1223"/>
        <v>VTES-M.D.PL.PROT.AUT.AUTO</v>
      </c>
      <c r="AL613" s="794">
        <f t="array" ref="AL613">IFERROR(INDEX(G613:R613,1,MATCH(Parametres!$B$3,G$1:R$1,0)-1)*IF(OR(F613="L",F613="S",F613="I"),-1,1),"")</f>
        <v>0</v>
      </c>
      <c r="AM613" s="794">
        <f t="shared" si="4"/>
        <v>0</v>
      </c>
      <c r="AN613" s="794">
        <f t="array" ref="AN613">INDEX(G613:R613,1,MATCH(Parametres!$B$3,G$1:R$1,0))*IF(OR(F613="L",F613="S",F613="I"),-1,1)</f>
        <v>0</v>
      </c>
      <c r="AO613" s="853" t="str">
        <f>+VLOOKUP($AJ613,Data_Validation!$A:$D,1,0)</f>
        <v>#N/A</v>
      </c>
      <c r="AP613" s="853" t="str">
        <f>+VLOOKUP($AJ613,Data_Validation!$A:$D,3,0)</f>
        <v>#N/A</v>
      </c>
      <c r="AQ613" s="853" t="str">
        <f>+VLOOKUP($AJ613,Data_Validation!$A:$D,4,0)</f>
        <v>#N/A</v>
      </c>
      <c r="AR613" s="853" t="s">
        <v>728</v>
      </c>
      <c r="AS613" s="853" t="str">
        <f>+VLOOKUP($AJ613,Data_Validation!$A:$E,5,0)</f>
        <v>#N/A</v>
      </c>
      <c r="AT613" s="794" t="str">
        <f t="shared" ref="AT613:AU613" si="1224">C613</f>
        <v>G46030</v>
      </c>
      <c r="AU613" s="854" t="str">
        <f t="shared" si="1224"/>
        <v>VTES-M.D.PL.PROT.AUT.AUTO</v>
      </c>
      <c r="AV613" s="794">
        <f t="array" ref="AV613">IFERROR(INDEX(V613:AG613,1,MATCH(Parametres!$B$3,V$1:AG$1,0)-1)*IF(OR(C613="L",C613="S",C613="I"),-1,1),"")</f>
        <v>0</v>
      </c>
      <c r="AW613" s="794">
        <f t="shared" si="6"/>
        <v>0</v>
      </c>
      <c r="AX613" s="794">
        <f t="array" ref="AX613">INDEX(V613:AG613,1,MATCH(Parametres!$B$3,V$1:AG$1,0))*IF(OR(C613="L",C613="S",C613="I"),-1,1)</f>
        <v>0</v>
      </c>
      <c r="AY613" s="853" t="s">
        <v>772</v>
      </c>
      <c r="AZ613" s="853" t="str">
        <f>+VLOOKUP($AJ613,Data_Validation!$A:$E,5,0)</f>
        <v>#N/A</v>
      </c>
    </row>
    <row r="614" ht="15.0" customHeight="1">
      <c r="A614" s="849" t="s">
        <v>1239</v>
      </c>
      <c r="B614" s="849">
        <v>2025.0</v>
      </c>
      <c r="C614" s="849" t="s">
        <v>2708</v>
      </c>
      <c r="D614" s="849" t="s">
        <v>2709</v>
      </c>
      <c r="E614" s="849" t="s">
        <v>2701</v>
      </c>
      <c r="F614" s="849" t="s">
        <v>2426</v>
      </c>
      <c r="G614" s="849">
        <v>13726.67</v>
      </c>
      <c r="H614" s="849">
        <v>22056.27</v>
      </c>
      <c r="I614" s="849">
        <v>37963.28</v>
      </c>
      <c r="J614" s="849">
        <v>49342.73</v>
      </c>
      <c r="K614" s="849">
        <v>55263.53</v>
      </c>
      <c r="L614" s="849">
        <v>61351.73</v>
      </c>
      <c r="M614" s="849">
        <v>63860.35</v>
      </c>
      <c r="N614" s="849">
        <v>66644.9</v>
      </c>
      <c r="O614" s="849">
        <v>69727.86</v>
      </c>
      <c r="P614" s="849">
        <v>72981.75</v>
      </c>
      <c r="Q614" s="849">
        <v>73718.26</v>
      </c>
      <c r="R614" s="849">
        <v>74313.76</v>
      </c>
      <c r="S614" s="849">
        <v>6701.66</v>
      </c>
      <c r="T614" s="849">
        <v>6701.66</v>
      </c>
      <c r="U614" s="849">
        <v>0.0</v>
      </c>
      <c r="V614" s="849">
        <v>79.0</v>
      </c>
      <c r="W614" s="849">
        <v>130.0</v>
      </c>
      <c r="X614" s="849">
        <v>194.0</v>
      </c>
      <c r="Y614" s="849">
        <v>257.0</v>
      </c>
      <c r="Z614" s="849">
        <v>289.0</v>
      </c>
      <c r="AA614" s="849">
        <v>310.0</v>
      </c>
      <c r="AB614" s="849">
        <v>324.0</v>
      </c>
      <c r="AC614" s="849">
        <v>337.0</v>
      </c>
      <c r="AD614" s="849">
        <v>353.0</v>
      </c>
      <c r="AE614" s="849">
        <v>370.0</v>
      </c>
      <c r="AF614" s="849">
        <v>379.0</v>
      </c>
      <c r="AG614" s="849">
        <v>385.0</v>
      </c>
      <c r="AH614" s="849">
        <v>34.0</v>
      </c>
      <c r="AI614" s="849">
        <v>34.0</v>
      </c>
      <c r="AJ614" s="794" t="str">
        <f t="shared" ref="AJ614:AK614" si="1225">C614</f>
        <v>G46040</v>
      </c>
      <c r="AK614" s="794" t="str">
        <f t="shared" si="1225"/>
        <v>SERV. RAPIDE VOIT CAM.LEG</v>
      </c>
      <c r="AL614" s="794">
        <f t="array" ref="AL614">IFERROR(INDEX(G614:R614,1,MATCH(Parametres!$B$3,G$1:R$1,0)-1)*IF(OR(F614="L",F614="S",F614="I"),-1,1),"")</f>
        <v>-66644.9</v>
      </c>
      <c r="AM614" s="794">
        <f t="shared" si="4"/>
        <v>-3082.96</v>
      </c>
      <c r="AN614" s="794">
        <f t="array" ref="AN614">INDEX(G614:R614,1,MATCH(Parametres!$B$3,G$1:R$1,0))*IF(OR(F614="L",F614="S",F614="I"),-1,1)</f>
        <v>-69727.86</v>
      </c>
      <c r="AO614" s="853" t="str">
        <f>+VLOOKUP($AJ614,Data_Validation!$A:$D,1,0)</f>
        <v>G46040</v>
      </c>
      <c r="AP614" s="853" t="str">
        <f>+VLOOKUP($AJ614,Data_Validation!$A:$D,3,0)</f>
        <v>Service</v>
      </c>
      <c r="AQ614" s="853" t="str">
        <f>+VLOOKUP($AJ614,Data_Validation!$A:$D,4,0)</f>
        <v>M/O Client</v>
      </c>
      <c r="AR614" s="853" t="s">
        <v>728</v>
      </c>
      <c r="AS614" s="853" t="str">
        <f>+VLOOKUP($AJ614,Data_Validation!$A:$E,5,0)</f>
        <v>Oui</v>
      </c>
      <c r="AT614" s="794" t="str">
        <f t="shared" ref="AT614:AU614" si="1226">C614</f>
        <v>G46040</v>
      </c>
      <c r="AU614" s="854" t="str">
        <f t="shared" si="1226"/>
        <v>SERV. RAPIDE VOIT CAM.LEG</v>
      </c>
      <c r="AV614" s="794">
        <f t="array" ref="AV614">IFERROR(INDEX(V614:AG614,1,MATCH(Parametres!$B$3,V$1:AG$1,0)-1)*IF(OR(C614="L",C614="S",C614="I"),-1,1),"")</f>
        <v>337</v>
      </c>
      <c r="AW614" s="794">
        <f t="shared" si="6"/>
        <v>16</v>
      </c>
      <c r="AX614" s="794">
        <f t="array" ref="AX614">INDEX(V614:AG614,1,MATCH(Parametres!$B$3,V$1:AG$1,0))*IF(OR(C614="L",C614="S",C614="I"),-1,1)</f>
        <v>353</v>
      </c>
      <c r="AY614" s="853" t="s">
        <v>772</v>
      </c>
      <c r="AZ614" s="853" t="str">
        <f>+VLOOKUP($AJ614,Data_Validation!$A:$E,5,0)</f>
        <v>Oui</v>
      </c>
    </row>
    <row r="615" ht="15.0" customHeight="1">
      <c r="A615" s="849" t="s">
        <v>1239</v>
      </c>
      <c r="B615" s="849">
        <v>2025.0</v>
      </c>
      <c r="C615" s="849" t="s">
        <v>2712</v>
      </c>
      <c r="D615" s="849" t="s">
        <v>2713</v>
      </c>
      <c r="E615" s="849" t="s">
        <v>2701</v>
      </c>
      <c r="F615" s="849" t="s">
        <v>2426</v>
      </c>
      <c r="G615" s="849">
        <v>82049.7</v>
      </c>
      <c r="H615" s="849">
        <v>159974.64</v>
      </c>
      <c r="I615" s="849">
        <v>265154.64</v>
      </c>
      <c r="J615" s="849">
        <v>358983.99</v>
      </c>
      <c r="K615" s="849">
        <v>445138.99</v>
      </c>
      <c r="L615" s="849">
        <v>524853.14</v>
      </c>
      <c r="M615" s="849">
        <v>609728.14</v>
      </c>
      <c r="N615" s="849">
        <v>673317.48</v>
      </c>
      <c r="O615" s="849">
        <v>744770.88</v>
      </c>
      <c r="P615" s="849">
        <v>829992.57</v>
      </c>
      <c r="Q615" s="849">
        <v>904632.57</v>
      </c>
      <c r="R615" s="849">
        <v>972085.02</v>
      </c>
      <c r="S615" s="849">
        <v>82239.32</v>
      </c>
      <c r="T615" s="849">
        <v>82239.32</v>
      </c>
      <c r="U615" s="849">
        <v>0.0</v>
      </c>
      <c r="V615" s="849">
        <v>573.0</v>
      </c>
      <c r="W615" s="849">
        <v>1100.0</v>
      </c>
      <c r="X615" s="849">
        <v>1768.0</v>
      </c>
      <c r="Y615" s="849">
        <v>2409.0</v>
      </c>
      <c r="Z615" s="849">
        <v>2985.0</v>
      </c>
      <c r="AA615" s="849">
        <v>3531.0</v>
      </c>
      <c r="AB615" s="849">
        <v>4142.0</v>
      </c>
      <c r="AC615" s="849">
        <v>4592.0</v>
      </c>
      <c r="AD615" s="849">
        <v>5062.0</v>
      </c>
      <c r="AE615" s="849">
        <v>5613.0</v>
      </c>
      <c r="AF615" s="849">
        <v>6085.0</v>
      </c>
      <c r="AG615" s="849">
        <v>6493.0</v>
      </c>
      <c r="AH615" s="849">
        <v>553.0</v>
      </c>
      <c r="AI615" s="849">
        <v>553.0</v>
      </c>
      <c r="AJ615" s="794" t="str">
        <f t="shared" ref="AJ615:AK615" si="1227">C615</f>
        <v>G46110</v>
      </c>
      <c r="AK615" s="794" t="str">
        <f t="shared" si="1227"/>
        <v>M-D'O CLIENT S.A.A.Q</v>
      </c>
      <c r="AL615" s="794">
        <f t="array" ref="AL615">IFERROR(INDEX(G615:R615,1,MATCH(Parametres!$B$3,G$1:R$1,0)-1)*IF(OR(F615="L",F615="S",F615="I"),-1,1),"")</f>
        <v>-673317.48</v>
      </c>
      <c r="AM615" s="794">
        <f t="shared" si="4"/>
        <v>-71453.4</v>
      </c>
      <c r="AN615" s="794">
        <f t="array" ref="AN615">INDEX(G615:R615,1,MATCH(Parametres!$B$3,G$1:R$1,0))*IF(OR(F615="L",F615="S",F615="I"),-1,1)</f>
        <v>-744770.88</v>
      </c>
      <c r="AO615" s="853" t="str">
        <f>+VLOOKUP($AJ615,Data_Validation!$A:$D,1,0)</f>
        <v>G46110</v>
      </c>
      <c r="AP615" s="853" t="str">
        <f>+VLOOKUP($AJ615,Data_Validation!$A:$D,3,0)</f>
        <v>SAAQ</v>
      </c>
      <c r="AQ615" s="853" t="str">
        <f>+VLOOKUP($AJ615,Data_Validation!$A:$D,4,0)</f>
        <v>Inspection - Véhicules Légers</v>
      </c>
      <c r="AR615" s="853" t="s">
        <v>728</v>
      </c>
      <c r="AS615" s="853" t="str">
        <f>+VLOOKUP($AJ615,Data_Validation!$A:$E,5,0)</f>
        <v>Oui</v>
      </c>
      <c r="AT615" s="794" t="str">
        <f t="shared" ref="AT615:AU615" si="1228">C615</f>
        <v>G46110</v>
      </c>
      <c r="AU615" s="854" t="str">
        <f t="shared" si="1228"/>
        <v>M-D'O CLIENT S.A.A.Q</v>
      </c>
      <c r="AV615" s="794">
        <f t="array" ref="AV615">IFERROR(INDEX(V615:AG615,1,MATCH(Parametres!$B$3,V$1:AG$1,0)-1)*IF(OR(C615="L",C615="S",C615="I"),-1,1),"")</f>
        <v>4592</v>
      </c>
      <c r="AW615" s="794">
        <f t="shared" si="6"/>
        <v>470</v>
      </c>
      <c r="AX615" s="794">
        <f t="array" ref="AX615">INDEX(V615:AG615,1,MATCH(Parametres!$B$3,V$1:AG$1,0))*IF(OR(C615="L",C615="S",C615="I"),-1,1)</f>
        <v>5062</v>
      </c>
      <c r="AY615" s="853" t="s">
        <v>772</v>
      </c>
      <c r="AZ615" s="853" t="str">
        <f>+VLOOKUP($AJ615,Data_Validation!$A:$E,5,0)</f>
        <v>Oui</v>
      </c>
    </row>
    <row r="616" ht="15.0" customHeight="1">
      <c r="A616" s="849" t="s">
        <v>1239</v>
      </c>
      <c r="B616" s="849">
        <v>2025.0</v>
      </c>
      <c r="C616" s="849" t="s">
        <v>2716</v>
      </c>
      <c r="D616" s="849" t="s">
        <v>3466</v>
      </c>
      <c r="E616" s="849" t="s">
        <v>2701</v>
      </c>
      <c r="F616" s="849" t="s">
        <v>2426</v>
      </c>
      <c r="G616" s="849">
        <v>0.0</v>
      </c>
      <c r="H616" s="849">
        <v>0.0</v>
      </c>
      <c r="I616" s="849">
        <v>0.0</v>
      </c>
      <c r="J616" s="849">
        <v>0.0</v>
      </c>
      <c r="K616" s="849">
        <v>0.0</v>
      </c>
      <c r="L616" s="849">
        <v>0.0</v>
      </c>
      <c r="M616" s="849">
        <v>0.0</v>
      </c>
      <c r="N616" s="849">
        <v>0.0</v>
      </c>
      <c r="O616" s="849">
        <v>0.0</v>
      </c>
      <c r="P616" s="849">
        <v>0.0</v>
      </c>
      <c r="Q616" s="849">
        <v>0.0</v>
      </c>
      <c r="R616" s="849">
        <v>0.0</v>
      </c>
      <c r="S616" s="849">
        <v>0.0</v>
      </c>
      <c r="T616" s="849">
        <v>0.0</v>
      </c>
      <c r="U616" s="849">
        <v>0.0</v>
      </c>
      <c r="V616" s="849">
        <v>0.0</v>
      </c>
      <c r="W616" s="849">
        <v>0.0</v>
      </c>
      <c r="X616" s="849">
        <v>0.0</v>
      </c>
      <c r="Y616" s="849">
        <v>0.0</v>
      </c>
      <c r="Z616" s="849">
        <v>0.0</v>
      </c>
      <c r="AA616" s="849">
        <v>0.0</v>
      </c>
      <c r="AB616" s="849">
        <v>0.0</v>
      </c>
      <c r="AC616" s="849">
        <v>0.0</v>
      </c>
      <c r="AD616" s="849">
        <v>0.0</v>
      </c>
      <c r="AE616" s="849">
        <v>0.0</v>
      </c>
      <c r="AF616" s="849">
        <v>0.0</v>
      </c>
      <c r="AG616" s="849">
        <v>0.0</v>
      </c>
      <c r="AH616" s="849">
        <v>0.0</v>
      </c>
      <c r="AI616" s="849">
        <v>0.0</v>
      </c>
      <c r="AJ616" s="794" t="str">
        <f t="shared" ref="AJ616:AK616" si="1229">C616</f>
        <v>G46120</v>
      </c>
      <c r="AK616" s="794" t="str">
        <f t="shared" si="1229"/>
        <v>M-D'O.CLAIM POIDS MOYENS</v>
      </c>
      <c r="AL616" s="794">
        <f t="array" ref="AL616">IFERROR(INDEX(G616:R616,1,MATCH(Parametres!$B$3,G$1:R$1,0)-1)*IF(OR(F616="L",F616="S",F616="I"),-1,1),"")</f>
        <v>0</v>
      </c>
      <c r="AM616" s="794">
        <f t="shared" si="4"/>
        <v>0</v>
      </c>
      <c r="AN616" s="794">
        <f t="array" ref="AN616">INDEX(G616:R616,1,MATCH(Parametres!$B$3,G$1:R$1,0))*IF(OR(F616="L",F616="S",F616="I"),-1,1)</f>
        <v>0</v>
      </c>
      <c r="AO616" s="853" t="str">
        <f>+VLOOKUP($AJ616,Data_Validation!$A:$D,1,0)</f>
        <v>G46120</v>
      </c>
      <c r="AP616" s="853" t="str">
        <f>+VLOOKUP($AJ616,Data_Validation!$A:$D,3,0)</f>
        <v>SAAQ</v>
      </c>
      <c r="AQ616" s="853" t="str">
        <f>+VLOOKUP($AJ616,Data_Validation!$A:$D,4,0)</f>
        <v>Inspection - Véhicules Interne</v>
      </c>
      <c r="AR616" s="853" t="s">
        <v>728</v>
      </c>
      <c r="AS616" s="853" t="str">
        <f>+VLOOKUP($AJ616,Data_Validation!$A:$E,5,0)</f>
        <v>Oui</v>
      </c>
      <c r="AT616" s="794" t="str">
        <f t="shared" ref="AT616:AU616" si="1230">C616</f>
        <v>G46120</v>
      </c>
      <c r="AU616" s="854" t="str">
        <f t="shared" si="1230"/>
        <v>M-D'O.CLAIM POIDS MOYENS</v>
      </c>
      <c r="AV616" s="794">
        <f t="array" ref="AV616">IFERROR(INDEX(V616:AG616,1,MATCH(Parametres!$B$3,V$1:AG$1,0)-1)*IF(OR(C616="L",C616="S",C616="I"),-1,1),"")</f>
        <v>0</v>
      </c>
      <c r="AW616" s="794">
        <f t="shared" si="6"/>
        <v>0</v>
      </c>
      <c r="AX616" s="794">
        <f t="array" ref="AX616">INDEX(V616:AG616,1,MATCH(Parametres!$B$3,V$1:AG$1,0))*IF(OR(C616="L",C616="S",C616="I"),-1,1)</f>
        <v>0</v>
      </c>
      <c r="AY616" s="853" t="s">
        <v>772</v>
      </c>
      <c r="AZ616" s="853" t="str">
        <f>+VLOOKUP($AJ616,Data_Validation!$A:$E,5,0)</f>
        <v>Oui</v>
      </c>
    </row>
    <row r="617" ht="15.0" customHeight="1">
      <c r="A617" s="849" t="s">
        <v>1239</v>
      </c>
      <c r="B617" s="849">
        <v>2025.0</v>
      </c>
      <c r="C617" s="849" t="s">
        <v>2718</v>
      </c>
      <c r="D617" s="849" t="s">
        <v>3467</v>
      </c>
      <c r="E617" s="849" t="s">
        <v>2701</v>
      </c>
      <c r="F617" s="849" t="s">
        <v>2426</v>
      </c>
      <c r="G617" s="849">
        <v>0.0</v>
      </c>
      <c r="H617" s="849">
        <v>0.0</v>
      </c>
      <c r="I617" s="849">
        <v>0.0</v>
      </c>
      <c r="J617" s="849">
        <v>0.0</v>
      </c>
      <c r="K617" s="849">
        <v>0.0</v>
      </c>
      <c r="L617" s="849">
        <v>0.0</v>
      </c>
      <c r="M617" s="849">
        <v>0.0</v>
      </c>
      <c r="N617" s="849">
        <v>0.0</v>
      </c>
      <c r="O617" s="849">
        <v>0.0</v>
      </c>
      <c r="P617" s="849">
        <v>0.0</v>
      </c>
      <c r="Q617" s="849">
        <v>0.0</v>
      </c>
      <c r="R617" s="849">
        <v>0.0</v>
      </c>
      <c r="S617" s="849">
        <v>0.0</v>
      </c>
      <c r="T617" s="849">
        <v>0.0</v>
      </c>
      <c r="U617" s="849">
        <v>0.0</v>
      </c>
      <c r="V617" s="849">
        <v>0.0</v>
      </c>
      <c r="W617" s="849">
        <v>0.0</v>
      </c>
      <c r="X617" s="849">
        <v>0.0</v>
      </c>
      <c r="Y617" s="849">
        <v>0.0</v>
      </c>
      <c r="Z617" s="849">
        <v>0.0</v>
      </c>
      <c r="AA617" s="849">
        <v>0.0</v>
      </c>
      <c r="AB617" s="849">
        <v>0.0</v>
      </c>
      <c r="AC617" s="849">
        <v>0.0</v>
      </c>
      <c r="AD617" s="849">
        <v>0.0</v>
      </c>
      <c r="AE617" s="849">
        <v>0.0</v>
      </c>
      <c r="AF617" s="849">
        <v>0.0</v>
      </c>
      <c r="AG617" s="849">
        <v>0.0</v>
      </c>
      <c r="AH617" s="849">
        <v>0.0</v>
      </c>
      <c r="AI617" s="849">
        <v>0.0</v>
      </c>
      <c r="AJ617" s="794" t="str">
        <f t="shared" ref="AJ617:AK617" si="1231">C617</f>
        <v>G46140</v>
      </c>
      <c r="AK617" s="794" t="str">
        <f t="shared" si="1231"/>
        <v>M/O VOLVO BODY</v>
      </c>
      <c r="AL617" s="794">
        <f t="array" ref="AL617">IFERROR(INDEX(G617:R617,1,MATCH(Parametres!$B$3,G$1:R$1,0)-1)*IF(OR(F617="L",F617="S",F617="I"),-1,1),"")</f>
        <v>0</v>
      </c>
      <c r="AM617" s="794">
        <f t="shared" si="4"/>
        <v>0</v>
      </c>
      <c r="AN617" s="794">
        <f t="array" ref="AN617">INDEX(G617:R617,1,MATCH(Parametres!$B$3,G$1:R$1,0))*IF(OR(F617="L",F617="S",F617="I"),-1,1)</f>
        <v>0</v>
      </c>
      <c r="AO617" s="853" t="str">
        <f>+VLOOKUP($AJ617,Data_Validation!$A:$D,1,0)</f>
        <v>G46140</v>
      </c>
      <c r="AP617" s="853" t="str">
        <f>+VLOOKUP($AJ617,Data_Validation!$A:$D,3,0)</f>
        <v>SAAQ</v>
      </c>
      <c r="AQ617" s="853" t="str">
        <f>+VLOOKUP($AJ617,Data_Validation!$A:$D,4,0)</f>
        <v>Inspection - Véhicules Lourds</v>
      </c>
      <c r="AR617" s="853" t="s">
        <v>728</v>
      </c>
      <c r="AS617" s="853" t="str">
        <f>+VLOOKUP($AJ617,Data_Validation!$A:$E,5,0)</f>
        <v>Oui</v>
      </c>
      <c r="AT617" s="794" t="str">
        <f t="shared" ref="AT617:AU617" si="1232">C617</f>
        <v>G46140</v>
      </c>
      <c r="AU617" s="854" t="str">
        <f t="shared" si="1232"/>
        <v>M/O VOLVO BODY</v>
      </c>
      <c r="AV617" s="794">
        <f t="array" ref="AV617">IFERROR(INDEX(V617:AG617,1,MATCH(Parametres!$B$3,V$1:AG$1,0)-1)*IF(OR(C617="L",C617="S",C617="I"),-1,1),"")</f>
        <v>0</v>
      </c>
      <c r="AW617" s="794">
        <f t="shared" si="6"/>
        <v>0</v>
      </c>
      <c r="AX617" s="794">
        <f t="array" ref="AX617">INDEX(V617:AG617,1,MATCH(Parametres!$B$3,V$1:AG$1,0))*IF(OR(C617="L",C617="S",C617="I"),-1,1)</f>
        <v>0</v>
      </c>
      <c r="AY617" s="853" t="s">
        <v>772</v>
      </c>
      <c r="AZ617" s="853" t="str">
        <f>+VLOOKUP($AJ617,Data_Validation!$A:$E,5,0)</f>
        <v>Oui</v>
      </c>
    </row>
    <row r="618" ht="15.0" customHeight="1">
      <c r="A618" s="849" t="s">
        <v>1239</v>
      </c>
      <c r="B618" s="849">
        <v>2025.0</v>
      </c>
      <c r="C618" s="849" t="s">
        <v>2722</v>
      </c>
      <c r="D618" s="849" t="s">
        <v>2723</v>
      </c>
      <c r="E618" s="849" t="s">
        <v>2701</v>
      </c>
      <c r="F618" s="849" t="s">
        <v>2426</v>
      </c>
      <c r="G618" s="849">
        <v>37948.04</v>
      </c>
      <c r="H618" s="849">
        <v>83868.75</v>
      </c>
      <c r="I618" s="849">
        <v>155228.5</v>
      </c>
      <c r="J618" s="849">
        <v>198404.94</v>
      </c>
      <c r="K618" s="849">
        <v>260162.71</v>
      </c>
      <c r="L618" s="849">
        <v>312653.5</v>
      </c>
      <c r="M618" s="849">
        <v>355068.92</v>
      </c>
      <c r="N618" s="849">
        <v>408921.06</v>
      </c>
      <c r="O618" s="849">
        <v>463669.26</v>
      </c>
      <c r="P618" s="849">
        <v>515066.8</v>
      </c>
      <c r="Q618" s="849">
        <v>545478.01</v>
      </c>
      <c r="R618" s="849">
        <v>584241.69</v>
      </c>
      <c r="S618" s="849">
        <v>49588.91</v>
      </c>
      <c r="T618" s="849">
        <v>49588.91</v>
      </c>
      <c r="U618" s="849">
        <v>0.0</v>
      </c>
      <c r="V618" s="849">
        <v>267.0</v>
      </c>
      <c r="W618" s="849">
        <v>531.0</v>
      </c>
      <c r="X618" s="849">
        <v>895.0</v>
      </c>
      <c r="Y618" s="849">
        <v>1248.0</v>
      </c>
      <c r="Z618" s="849">
        <v>1634.0</v>
      </c>
      <c r="AA618" s="849">
        <v>2011.0</v>
      </c>
      <c r="AB618" s="849">
        <v>2298.0</v>
      </c>
      <c r="AC618" s="849">
        <v>2618.0</v>
      </c>
      <c r="AD618" s="849">
        <v>2946.0</v>
      </c>
      <c r="AE618" s="849">
        <v>3306.0</v>
      </c>
      <c r="AF618" s="849">
        <v>3560.0</v>
      </c>
      <c r="AG618" s="849">
        <v>3812.0</v>
      </c>
      <c r="AH618" s="849">
        <v>324.0</v>
      </c>
      <c r="AI618" s="849">
        <v>324.0</v>
      </c>
      <c r="AJ618" s="794" t="str">
        <f t="shared" ref="AJ618:AK618" si="1233">C618</f>
        <v>G46200</v>
      </c>
      <c r="AK618" s="794" t="str">
        <f t="shared" si="1233"/>
        <v>VTES-M.D.RECL.GARANTIE</v>
      </c>
      <c r="AL618" s="794">
        <f t="array" ref="AL618">IFERROR(INDEX(G618:R618,1,MATCH(Parametres!$B$3,G$1:R$1,0)-1)*IF(OR(F618="L",F618="S",F618="I"),-1,1),"")</f>
        <v>-408921.06</v>
      </c>
      <c r="AM618" s="794">
        <f t="shared" si="4"/>
        <v>-54748.2</v>
      </c>
      <c r="AN618" s="794">
        <f t="array" ref="AN618">INDEX(G618:R618,1,MATCH(Parametres!$B$3,G$1:R$1,0))*IF(OR(F618="L",F618="S",F618="I"),-1,1)</f>
        <v>-463669.26</v>
      </c>
      <c r="AO618" s="853" t="str">
        <f>+VLOOKUP($AJ618,Data_Validation!$A:$D,1,0)</f>
        <v>G46200</v>
      </c>
      <c r="AP618" s="853" t="str">
        <f>+VLOOKUP($AJ618,Data_Validation!$A:$D,3,0)</f>
        <v>Service</v>
      </c>
      <c r="AQ618" s="853" t="str">
        <f>+VLOOKUP($AJ618,Data_Validation!$A:$D,4,0)</f>
        <v>M/O Garantie</v>
      </c>
      <c r="AR618" s="853" t="s">
        <v>728</v>
      </c>
      <c r="AS618" s="853" t="str">
        <f>+VLOOKUP($AJ618,Data_Validation!$A:$E,5,0)</f>
        <v>Oui</v>
      </c>
      <c r="AT618" s="794" t="str">
        <f t="shared" ref="AT618:AU618" si="1234">C618</f>
        <v>G46200</v>
      </c>
      <c r="AU618" s="854" t="str">
        <f t="shared" si="1234"/>
        <v>VTES-M.D.RECL.GARANTIE</v>
      </c>
      <c r="AV618" s="794">
        <f t="array" ref="AV618">IFERROR(INDEX(V618:AG618,1,MATCH(Parametres!$B$3,V$1:AG$1,0)-1)*IF(OR(C618="L",C618="S",C618="I"),-1,1),"")</f>
        <v>2618</v>
      </c>
      <c r="AW618" s="794">
        <f t="shared" si="6"/>
        <v>328</v>
      </c>
      <c r="AX618" s="794">
        <f t="array" ref="AX618">INDEX(V618:AG618,1,MATCH(Parametres!$B$3,V$1:AG$1,0))*IF(OR(C618="L",C618="S",C618="I"),-1,1)</f>
        <v>2946</v>
      </c>
      <c r="AY618" s="853" t="s">
        <v>772</v>
      </c>
      <c r="AZ618" s="853" t="str">
        <f>+VLOOKUP($AJ618,Data_Validation!$A:$E,5,0)</f>
        <v>Oui</v>
      </c>
    </row>
    <row r="619" ht="15.0" customHeight="1">
      <c r="A619" s="849" t="s">
        <v>1239</v>
      </c>
      <c r="B619" s="849">
        <v>2025.0</v>
      </c>
      <c r="C619" s="849" t="s">
        <v>2724</v>
      </c>
      <c r="D619" s="849" t="s">
        <v>2725</v>
      </c>
      <c r="E619" s="849" t="s">
        <v>2701</v>
      </c>
      <c r="F619" s="849" t="s">
        <v>2426</v>
      </c>
      <c r="G619" s="849">
        <v>40125.78</v>
      </c>
      <c r="H619" s="849">
        <v>66201.49</v>
      </c>
      <c r="I619" s="849">
        <v>106122.2</v>
      </c>
      <c r="J619" s="849">
        <v>155430.16</v>
      </c>
      <c r="K619" s="849">
        <v>208713.58</v>
      </c>
      <c r="L619" s="849">
        <v>248990.0</v>
      </c>
      <c r="M619" s="849">
        <v>284682.55</v>
      </c>
      <c r="N619" s="849">
        <v>327663.19</v>
      </c>
      <c r="O619" s="849">
        <v>368585.1</v>
      </c>
      <c r="P619" s="849">
        <v>416281.53</v>
      </c>
      <c r="Q619" s="849">
        <v>461543.18</v>
      </c>
      <c r="R619" s="849">
        <v>496403.83</v>
      </c>
      <c r="S619" s="849">
        <v>41958.47</v>
      </c>
      <c r="T619" s="849">
        <v>41958.47</v>
      </c>
      <c r="U619" s="849">
        <v>0.0</v>
      </c>
      <c r="V619" s="849">
        <v>289.0</v>
      </c>
      <c r="W619" s="849">
        <v>485.0</v>
      </c>
      <c r="X619" s="849">
        <v>824.0</v>
      </c>
      <c r="Y619" s="849">
        <v>1231.0</v>
      </c>
      <c r="Z619" s="849">
        <v>1707.0</v>
      </c>
      <c r="AA619" s="849">
        <v>2062.0</v>
      </c>
      <c r="AB619" s="849">
        <v>2332.0</v>
      </c>
      <c r="AC619" s="849">
        <v>2606.0</v>
      </c>
      <c r="AD619" s="849">
        <v>2937.0</v>
      </c>
      <c r="AE619" s="849">
        <v>3304.0</v>
      </c>
      <c r="AF619" s="849">
        <v>3627.0</v>
      </c>
      <c r="AG619" s="849">
        <v>3861.0</v>
      </c>
      <c r="AH619" s="849">
        <v>330.0</v>
      </c>
      <c r="AI619" s="849">
        <v>330.0</v>
      </c>
      <c r="AJ619" s="794" t="str">
        <f t="shared" ref="AJ619:AK619" si="1235">C619</f>
        <v>G46300</v>
      </c>
      <c r="AK619" s="794" t="str">
        <f t="shared" si="1235"/>
        <v>VTES-M.D. INTERNE SERV.</v>
      </c>
      <c r="AL619" s="794">
        <f t="array" ref="AL619">IFERROR(INDEX(G619:R619,1,MATCH(Parametres!$B$3,G$1:R$1,0)-1)*IF(OR(F619="L",F619="S",F619="I"),-1,1),"")</f>
        <v>-327663.19</v>
      </c>
      <c r="AM619" s="794">
        <f t="shared" si="4"/>
        <v>-40921.91</v>
      </c>
      <c r="AN619" s="794">
        <f t="array" ref="AN619">INDEX(G619:R619,1,MATCH(Parametres!$B$3,G$1:R$1,0))*IF(OR(F619="L",F619="S",F619="I"),-1,1)</f>
        <v>-368585.1</v>
      </c>
      <c r="AO619" s="853" t="str">
        <f>+VLOOKUP($AJ619,Data_Validation!$A:$D,1,0)</f>
        <v>G46300</v>
      </c>
      <c r="AP619" s="853" t="str">
        <f>+VLOOKUP($AJ619,Data_Validation!$A:$D,3,0)</f>
        <v>Service</v>
      </c>
      <c r="AQ619" s="853" t="str">
        <f>+VLOOKUP($AJ619,Data_Validation!$A:$D,4,0)</f>
        <v>M/O Interne</v>
      </c>
      <c r="AR619" s="853" t="s">
        <v>728</v>
      </c>
      <c r="AS619" s="853" t="str">
        <f>+VLOOKUP($AJ619,Data_Validation!$A:$E,5,0)</f>
        <v>Oui</v>
      </c>
      <c r="AT619" s="794" t="str">
        <f t="shared" ref="AT619:AU619" si="1236">C619</f>
        <v>G46300</v>
      </c>
      <c r="AU619" s="854" t="str">
        <f t="shared" si="1236"/>
        <v>VTES-M.D. INTERNE SERV.</v>
      </c>
      <c r="AV619" s="794">
        <f t="array" ref="AV619">IFERROR(INDEX(V619:AG619,1,MATCH(Parametres!$B$3,V$1:AG$1,0)-1)*IF(OR(C619="L",C619="S",C619="I"),-1,1),"")</f>
        <v>2606</v>
      </c>
      <c r="AW619" s="794">
        <f t="shared" si="6"/>
        <v>331</v>
      </c>
      <c r="AX619" s="794">
        <f t="array" ref="AX619">INDEX(V619:AG619,1,MATCH(Parametres!$B$3,V$1:AG$1,0))*IF(OR(C619="L",C619="S",C619="I"),-1,1)</f>
        <v>2937</v>
      </c>
      <c r="AY619" s="853" t="s">
        <v>772</v>
      </c>
      <c r="AZ619" s="853" t="str">
        <f>+VLOOKUP($AJ619,Data_Validation!$A:$E,5,0)</f>
        <v>Oui</v>
      </c>
    </row>
    <row r="620" ht="15.0" customHeight="1">
      <c r="A620" s="849" t="s">
        <v>1239</v>
      </c>
      <c r="B620" s="849">
        <v>2025.0</v>
      </c>
      <c r="C620" s="849" t="s">
        <v>2728</v>
      </c>
      <c r="D620" s="849" t="s">
        <v>3468</v>
      </c>
      <c r="E620" s="849" t="s">
        <v>2701</v>
      </c>
      <c r="F620" s="849" t="s">
        <v>2426</v>
      </c>
      <c r="G620" s="849">
        <v>130.0</v>
      </c>
      <c r="H620" s="849">
        <v>130.0</v>
      </c>
      <c r="I620" s="849">
        <v>260.0</v>
      </c>
      <c r="J620" s="849">
        <v>520.0</v>
      </c>
      <c r="K620" s="849">
        <v>1650.0</v>
      </c>
      <c r="L620" s="849">
        <v>3150.0</v>
      </c>
      <c r="M620" s="849">
        <v>6410.0</v>
      </c>
      <c r="N620" s="849">
        <v>8205.0</v>
      </c>
      <c r="O620" s="849">
        <v>9155.0</v>
      </c>
      <c r="P620" s="849">
        <v>11010.0</v>
      </c>
      <c r="Q620" s="849">
        <v>13135.0</v>
      </c>
      <c r="R620" s="849">
        <v>13470.0</v>
      </c>
      <c r="S620" s="849">
        <v>1194.09</v>
      </c>
      <c r="T620" s="849">
        <v>1194.09</v>
      </c>
      <c r="U620" s="849">
        <v>0.0</v>
      </c>
      <c r="V620" s="849">
        <v>1.0</v>
      </c>
      <c r="W620" s="849">
        <v>1.0</v>
      </c>
      <c r="X620" s="849">
        <v>2.0</v>
      </c>
      <c r="Y620" s="849">
        <v>4.0</v>
      </c>
      <c r="Z620" s="849">
        <v>14.0</v>
      </c>
      <c r="AA620" s="849">
        <v>27.0</v>
      </c>
      <c r="AB620" s="849">
        <v>53.0</v>
      </c>
      <c r="AC620" s="849">
        <v>69.0</v>
      </c>
      <c r="AD620" s="849">
        <v>77.0</v>
      </c>
      <c r="AE620" s="849">
        <v>92.0</v>
      </c>
      <c r="AF620" s="849">
        <v>108.0</v>
      </c>
      <c r="AG620" s="849">
        <v>111.0</v>
      </c>
      <c r="AH620" s="849">
        <v>10.0</v>
      </c>
      <c r="AI620" s="849">
        <v>10.0</v>
      </c>
      <c r="AJ620" s="794" t="str">
        <f t="shared" ref="AJ620:AK620" si="1237">C620</f>
        <v>G46320</v>
      </c>
      <c r="AK620" s="794" t="str">
        <f t="shared" si="1237"/>
        <v>VTES-MO INTERN CAM MOYEN</v>
      </c>
      <c r="AL620" s="794">
        <f t="array" ref="AL620">IFERROR(INDEX(G620:R620,1,MATCH(Parametres!$B$3,G$1:R$1,0)-1)*IF(OR(F620="L",F620="S",F620="I"),-1,1),"")</f>
        <v>-8205</v>
      </c>
      <c r="AM620" s="794">
        <f t="shared" si="4"/>
        <v>-950</v>
      </c>
      <c r="AN620" s="794">
        <f t="array" ref="AN620">INDEX(G620:R620,1,MATCH(Parametres!$B$3,G$1:R$1,0))*IF(OR(F620="L",F620="S",F620="I"),-1,1)</f>
        <v>-9155</v>
      </c>
      <c r="AO620" s="853" t="str">
        <f>+VLOOKUP($AJ620,Data_Validation!$A:$D,1,0)</f>
        <v>G46320</v>
      </c>
      <c r="AP620" s="853" t="str">
        <f>+VLOOKUP($AJ620,Data_Validation!$A:$D,3,0)</f>
        <v>SAAQ</v>
      </c>
      <c r="AQ620" s="853" t="str">
        <f>+VLOOKUP($AJ620,Data_Validation!$A:$D,4,0)</f>
        <v>Inspection - Véhicules Interne</v>
      </c>
      <c r="AR620" s="853" t="s">
        <v>728</v>
      </c>
      <c r="AS620" s="853" t="str">
        <f>+VLOOKUP($AJ620,Data_Validation!$A:$E,5,0)</f>
        <v>Oui</v>
      </c>
      <c r="AT620" s="794" t="str">
        <f t="shared" ref="AT620:AU620" si="1238">C620</f>
        <v>G46320</v>
      </c>
      <c r="AU620" s="854" t="str">
        <f t="shared" si="1238"/>
        <v>VTES-MO INTERN CAM MOYEN</v>
      </c>
      <c r="AV620" s="794">
        <f t="array" ref="AV620">IFERROR(INDEX(V620:AG620,1,MATCH(Parametres!$B$3,V$1:AG$1,0)-1)*IF(OR(C620="L",C620="S",C620="I"),-1,1),"")</f>
        <v>69</v>
      </c>
      <c r="AW620" s="794">
        <f t="shared" si="6"/>
        <v>8</v>
      </c>
      <c r="AX620" s="794">
        <f t="array" ref="AX620">INDEX(V620:AG620,1,MATCH(Parametres!$B$3,V$1:AG$1,0))*IF(OR(C620="L",C620="S",C620="I"),-1,1)</f>
        <v>77</v>
      </c>
      <c r="AY620" s="853" t="s">
        <v>772</v>
      </c>
      <c r="AZ620" s="853" t="str">
        <f>+VLOOKUP($AJ620,Data_Validation!$A:$E,5,0)</f>
        <v>Oui</v>
      </c>
    </row>
    <row r="621" ht="15.0" customHeight="1">
      <c r="A621" s="849" t="s">
        <v>1239</v>
      </c>
      <c r="B621" s="849">
        <v>2025.0</v>
      </c>
      <c r="C621" s="849" t="s">
        <v>2730</v>
      </c>
      <c r="D621" s="849" t="s">
        <v>2731</v>
      </c>
      <c r="E621" s="849" t="s">
        <v>2701</v>
      </c>
      <c r="F621" s="849" t="s">
        <v>2426</v>
      </c>
      <c r="G621" s="849">
        <v>27332.73</v>
      </c>
      <c r="H621" s="849">
        <v>49192.88</v>
      </c>
      <c r="I621" s="849">
        <v>86189.69</v>
      </c>
      <c r="J621" s="849">
        <v>123816.61</v>
      </c>
      <c r="K621" s="849">
        <v>166283.57</v>
      </c>
      <c r="L621" s="849">
        <v>216911.51</v>
      </c>
      <c r="M621" s="849">
        <v>244455.63</v>
      </c>
      <c r="N621" s="849">
        <v>250558.5</v>
      </c>
      <c r="O621" s="849">
        <v>278212.81</v>
      </c>
      <c r="P621" s="849">
        <v>311313.93</v>
      </c>
      <c r="Q621" s="849">
        <v>325210.32</v>
      </c>
      <c r="R621" s="849">
        <v>346491.07</v>
      </c>
      <c r="S621" s="849">
        <v>29564.57</v>
      </c>
      <c r="T621" s="849">
        <v>29564.57</v>
      </c>
      <c r="U621" s="849">
        <v>0.0</v>
      </c>
      <c r="V621" s="849">
        <v>183.0</v>
      </c>
      <c r="W621" s="849">
        <v>325.0</v>
      </c>
      <c r="X621" s="849">
        <v>568.0</v>
      </c>
      <c r="Y621" s="849">
        <v>820.0</v>
      </c>
      <c r="Z621" s="849">
        <v>1107.0</v>
      </c>
      <c r="AA621" s="849">
        <v>1443.0</v>
      </c>
      <c r="AB621" s="849">
        <v>1628.0</v>
      </c>
      <c r="AC621" s="849">
        <v>1718.0</v>
      </c>
      <c r="AD621" s="849">
        <v>1904.0</v>
      </c>
      <c r="AE621" s="849">
        <v>2115.0</v>
      </c>
      <c r="AF621" s="849">
        <v>2204.0</v>
      </c>
      <c r="AG621" s="849">
        <v>2345.0</v>
      </c>
      <c r="AH621" s="849">
        <v>200.0</v>
      </c>
      <c r="AI621" s="849">
        <v>200.0</v>
      </c>
      <c r="AJ621" s="794" t="str">
        <f t="shared" ref="AJ621:AK621" si="1239">C621</f>
        <v>G46400</v>
      </c>
      <c r="AK621" s="794" t="str">
        <f t="shared" si="1239"/>
        <v>VTES-M.D. INSPECTION</v>
      </c>
      <c r="AL621" s="794">
        <f t="array" ref="AL621">IFERROR(INDEX(G621:R621,1,MATCH(Parametres!$B$3,G$1:R$1,0)-1)*IF(OR(F621="L",F621="S",F621="I"),-1,1),"")</f>
        <v>-250558.5</v>
      </c>
      <c r="AM621" s="794">
        <f t="shared" si="4"/>
        <v>-27654.31</v>
      </c>
      <c r="AN621" s="794">
        <f t="array" ref="AN621">INDEX(G621:R621,1,MATCH(Parametres!$B$3,G$1:R$1,0))*IF(OR(F621="L",F621="S",F621="I"),-1,1)</f>
        <v>-278212.81</v>
      </c>
      <c r="AO621" s="853" t="str">
        <f>+VLOOKUP($AJ621,Data_Validation!$A:$D,1,0)</f>
        <v>G46400</v>
      </c>
      <c r="AP621" s="853" t="str">
        <f>+VLOOKUP($AJ621,Data_Validation!$A:$D,3,0)</f>
        <v>Service</v>
      </c>
      <c r="AQ621" s="853" t="str">
        <f>+VLOOKUP($AJ621,Data_Validation!$A:$D,4,0)</f>
        <v>M/O Interne</v>
      </c>
      <c r="AR621" s="853" t="s">
        <v>728</v>
      </c>
      <c r="AS621" s="853" t="str">
        <f>+VLOOKUP($AJ621,Data_Validation!$A:$E,5,0)</f>
        <v>Oui</v>
      </c>
      <c r="AT621" s="794" t="str">
        <f t="shared" ref="AT621:AU621" si="1240">C621</f>
        <v>G46400</v>
      </c>
      <c r="AU621" s="854" t="str">
        <f t="shared" si="1240"/>
        <v>VTES-M.D. INSPECTION</v>
      </c>
      <c r="AV621" s="794">
        <f t="array" ref="AV621">IFERROR(INDEX(V621:AG621,1,MATCH(Parametres!$B$3,V$1:AG$1,0)-1)*IF(OR(C621="L",C621="S",C621="I"),-1,1),"")</f>
        <v>1718</v>
      </c>
      <c r="AW621" s="794">
        <f t="shared" si="6"/>
        <v>186</v>
      </c>
      <c r="AX621" s="794">
        <f t="array" ref="AX621">INDEX(V621:AG621,1,MATCH(Parametres!$B$3,V$1:AG$1,0))*IF(OR(C621="L",C621="S",C621="I"),-1,1)</f>
        <v>1904</v>
      </c>
      <c r="AY621" s="853" t="s">
        <v>772</v>
      </c>
      <c r="AZ621" s="853" t="str">
        <f>+VLOOKUP($AJ621,Data_Validation!$A:$E,5,0)</f>
        <v>Oui</v>
      </c>
    </row>
    <row r="622" ht="15.0" customHeight="1">
      <c r="A622" s="849" t="s">
        <v>1239</v>
      </c>
      <c r="B622" s="849">
        <v>2025.0</v>
      </c>
      <c r="C622" s="849" t="s">
        <v>2732</v>
      </c>
      <c r="D622" s="849" t="s">
        <v>2733</v>
      </c>
      <c r="E622" s="849" t="s">
        <v>2701</v>
      </c>
      <c r="F622" s="849" t="s">
        <v>2426</v>
      </c>
      <c r="G622" s="849">
        <v>0.0</v>
      </c>
      <c r="H622" s="849">
        <v>0.0</v>
      </c>
      <c r="I622" s="849">
        <v>0.0</v>
      </c>
      <c r="J622" s="849">
        <v>0.0</v>
      </c>
      <c r="K622" s="849">
        <v>0.0</v>
      </c>
      <c r="L622" s="849">
        <v>0.0</v>
      </c>
      <c r="M622" s="849">
        <v>0.0</v>
      </c>
      <c r="N622" s="849">
        <v>0.0</v>
      </c>
      <c r="O622" s="849">
        <v>0.0</v>
      </c>
      <c r="P622" s="849">
        <v>0.0</v>
      </c>
      <c r="Q622" s="849">
        <v>0.0</v>
      </c>
      <c r="R622" s="849">
        <v>0.0</v>
      </c>
      <c r="S622" s="849">
        <v>0.0</v>
      </c>
      <c r="T622" s="849">
        <v>0.0</v>
      </c>
      <c r="U622" s="849">
        <v>0.0</v>
      </c>
      <c r="V622" s="849">
        <v>0.0</v>
      </c>
      <c r="W622" s="849">
        <v>0.0</v>
      </c>
      <c r="X622" s="849">
        <v>0.0</v>
      </c>
      <c r="Y622" s="849">
        <v>0.0</v>
      </c>
      <c r="Z622" s="849">
        <v>0.0</v>
      </c>
      <c r="AA622" s="849">
        <v>0.0</v>
      </c>
      <c r="AB622" s="849">
        <v>0.0</v>
      </c>
      <c r="AC622" s="849">
        <v>0.0</v>
      </c>
      <c r="AD622" s="849">
        <v>0.0</v>
      </c>
      <c r="AE622" s="849">
        <v>0.0</v>
      </c>
      <c r="AF622" s="849">
        <v>0.0</v>
      </c>
      <c r="AG622" s="849">
        <v>0.0</v>
      </c>
      <c r="AH622" s="849">
        <v>0.0</v>
      </c>
      <c r="AI622" s="849">
        <v>0.0</v>
      </c>
      <c r="AJ622" s="794" t="str">
        <f t="shared" ref="AJ622:AK622" si="1241">C622</f>
        <v>G46420</v>
      </c>
      <c r="AK622" s="794" t="str">
        <f t="shared" si="1241"/>
        <v>VTES-MO PDI CAM MOYEN</v>
      </c>
      <c r="AL622" s="794">
        <f t="array" ref="AL622">IFERROR(INDEX(G622:R622,1,MATCH(Parametres!$B$3,G$1:R$1,0)-1)*IF(OR(F622="L",F622="S",F622="I"),-1,1),"")</f>
        <v>0</v>
      </c>
      <c r="AM622" s="794">
        <f t="shared" si="4"/>
        <v>0</v>
      </c>
      <c r="AN622" s="794">
        <f t="array" ref="AN622">INDEX(G622:R622,1,MATCH(Parametres!$B$3,G$1:R$1,0))*IF(OR(F622="L",F622="S",F622="I"),-1,1)</f>
        <v>0</v>
      </c>
      <c r="AO622" s="853" t="str">
        <f>+VLOOKUP($AJ622,Data_Validation!$A:$D,1,0)</f>
        <v>#N/A</v>
      </c>
      <c r="AP622" s="853" t="str">
        <f>+VLOOKUP($AJ622,Data_Validation!$A:$D,3,0)</f>
        <v>#N/A</v>
      </c>
      <c r="AQ622" s="853" t="str">
        <f>+VLOOKUP($AJ622,Data_Validation!$A:$D,4,0)</f>
        <v>#N/A</v>
      </c>
      <c r="AR622" s="853" t="s">
        <v>728</v>
      </c>
      <c r="AS622" s="853" t="str">
        <f>+VLOOKUP($AJ622,Data_Validation!$A:$E,5,0)</f>
        <v>#N/A</v>
      </c>
      <c r="AT622" s="794" t="str">
        <f t="shared" ref="AT622:AU622" si="1242">C622</f>
        <v>G46420</v>
      </c>
      <c r="AU622" s="854" t="str">
        <f t="shared" si="1242"/>
        <v>VTES-MO PDI CAM MOYEN</v>
      </c>
      <c r="AV622" s="794">
        <f t="array" ref="AV622">IFERROR(INDEX(V622:AG622,1,MATCH(Parametres!$B$3,V$1:AG$1,0)-1)*IF(OR(C622="L",C622="S",C622="I"),-1,1),"")</f>
        <v>0</v>
      </c>
      <c r="AW622" s="794">
        <f t="shared" si="6"/>
        <v>0</v>
      </c>
      <c r="AX622" s="794">
        <f t="array" ref="AX622">INDEX(V622:AG622,1,MATCH(Parametres!$B$3,V$1:AG$1,0))*IF(OR(C622="L",C622="S",C622="I"),-1,1)</f>
        <v>0</v>
      </c>
      <c r="AY622" s="853" t="s">
        <v>772</v>
      </c>
      <c r="AZ622" s="853" t="str">
        <f>+VLOOKUP($AJ622,Data_Validation!$A:$E,5,0)</f>
        <v>#N/A</v>
      </c>
    </row>
    <row r="623" ht="15.0" customHeight="1">
      <c r="A623" s="849" t="s">
        <v>1239</v>
      </c>
      <c r="B623" s="849">
        <v>2025.0</v>
      </c>
      <c r="C623" s="849" t="s">
        <v>2734</v>
      </c>
      <c r="D623" s="849" t="s">
        <v>2735</v>
      </c>
      <c r="E623" s="849" t="s">
        <v>768</v>
      </c>
      <c r="F623" s="849" t="s">
        <v>2426</v>
      </c>
      <c r="G623" s="849">
        <v>0.0</v>
      </c>
      <c r="H623" s="849">
        <v>0.0</v>
      </c>
      <c r="I623" s="849">
        <v>0.0</v>
      </c>
      <c r="J623" s="849">
        <v>0.0</v>
      </c>
      <c r="K623" s="849">
        <v>0.0</v>
      </c>
      <c r="L623" s="849">
        <v>0.0</v>
      </c>
      <c r="M623" s="849">
        <v>0.0</v>
      </c>
      <c r="N623" s="849">
        <v>0.0</v>
      </c>
      <c r="O623" s="849">
        <v>0.0</v>
      </c>
      <c r="P623" s="849">
        <v>0.0</v>
      </c>
      <c r="Q623" s="849">
        <v>0.0</v>
      </c>
      <c r="R623" s="849">
        <v>0.0</v>
      </c>
      <c r="S623" s="849">
        <v>0.0</v>
      </c>
      <c r="T623" s="849">
        <v>0.0</v>
      </c>
      <c r="U623" s="849">
        <v>0.0</v>
      </c>
      <c r="V623" s="849">
        <v>0.0</v>
      </c>
      <c r="W623" s="849">
        <v>0.0</v>
      </c>
      <c r="X623" s="849">
        <v>0.0</v>
      </c>
      <c r="Y623" s="849">
        <v>0.0</v>
      </c>
      <c r="Z623" s="849">
        <v>0.0</v>
      </c>
      <c r="AA623" s="849">
        <v>0.0</v>
      </c>
      <c r="AB623" s="849">
        <v>0.0</v>
      </c>
      <c r="AC623" s="849">
        <v>0.0</v>
      </c>
      <c r="AD623" s="849">
        <v>0.0</v>
      </c>
      <c r="AE623" s="849">
        <v>0.0</v>
      </c>
      <c r="AF623" s="849">
        <v>0.0</v>
      </c>
      <c r="AG623" s="849">
        <v>0.0</v>
      </c>
      <c r="AH623" s="849">
        <v>0.0</v>
      </c>
      <c r="AI623" s="849">
        <v>0.0</v>
      </c>
      <c r="AJ623" s="794" t="str">
        <f t="shared" ref="AJ623:AK623" si="1243">C623</f>
        <v>G46500</v>
      </c>
      <c r="AK623" s="794" t="str">
        <f t="shared" si="1243"/>
        <v>*TEMPS PERDU SERVICE</v>
      </c>
      <c r="AL623" s="794">
        <f t="array" ref="AL623">IFERROR(INDEX(G623:R623,1,MATCH(Parametres!$B$3,G$1:R$1,0)-1)*IF(OR(F623="L",F623="S",F623="I"),-1,1),"")</f>
        <v>0</v>
      </c>
      <c r="AM623" s="794">
        <f t="shared" si="4"/>
        <v>0</v>
      </c>
      <c r="AN623" s="794">
        <f t="array" ref="AN623">INDEX(G623:R623,1,MATCH(Parametres!$B$3,G$1:R$1,0))*IF(OR(F623="L",F623="S",F623="I"),-1,1)</f>
        <v>0</v>
      </c>
      <c r="AO623" s="853" t="str">
        <f>+VLOOKUP($AJ623,Data_Validation!$A:$D,1,0)</f>
        <v>G46500</v>
      </c>
      <c r="AP623" s="853" t="str">
        <f>+VLOOKUP($AJ623,Data_Validation!$A:$D,3,0)</f>
        <v/>
      </c>
      <c r="AQ623" s="853" t="str">
        <f>+VLOOKUP($AJ623,Data_Validation!$A:$D,4,0)</f>
        <v/>
      </c>
      <c r="AR623" s="853" t="s">
        <v>728</v>
      </c>
      <c r="AS623" s="853" t="str">
        <f>+VLOOKUP($AJ623,Data_Validation!$A:$E,5,0)</f>
        <v/>
      </c>
      <c r="AT623" s="794" t="str">
        <f t="shared" ref="AT623:AU623" si="1244">C623</f>
        <v>G46500</v>
      </c>
      <c r="AU623" s="854" t="str">
        <f t="shared" si="1244"/>
        <v>*TEMPS PERDU SERVICE</v>
      </c>
      <c r="AV623" s="794">
        <f t="array" ref="AV623">IFERROR(INDEX(V623:AG623,1,MATCH(Parametres!$B$3,V$1:AG$1,0)-1)*IF(OR(C623="L",C623="S",C623="I"),-1,1),"")</f>
        <v>0</v>
      </c>
      <c r="AW623" s="794">
        <f t="shared" si="6"/>
        <v>0</v>
      </c>
      <c r="AX623" s="794">
        <f t="array" ref="AX623">INDEX(V623:AG623,1,MATCH(Parametres!$B$3,V$1:AG$1,0))*IF(OR(C623="L",C623="S",C623="I"),-1,1)</f>
        <v>0</v>
      </c>
      <c r="AY623" s="853" t="s">
        <v>772</v>
      </c>
      <c r="AZ623" s="853" t="str">
        <f>+VLOOKUP($AJ623,Data_Validation!$A:$E,5,0)</f>
        <v/>
      </c>
    </row>
    <row r="624" ht="15.0" customHeight="1">
      <c r="A624" s="849" t="s">
        <v>1239</v>
      </c>
      <c r="B624" s="849">
        <v>2025.0</v>
      </c>
      <c r="C624" s="849" t="s">
        <v>2738</v>
      </c>
      <c r="D624" s="849" t="s">
        <v>2739</v>
      </c>
      <c r="E624" s="849" t="s">
        <v>2701</v>
      </c>
      <c r="F624" s="849" t="s">
        <v>2426</v>
      </c>
      <c r="G624" s="849">
        <v>15975.15</v>
      </c>
      <c r="H624" s="849">
        <v>28585.81</v>
      </c>
      <c r="I624" s="849">
        <v>40703.51</v>
      </c>
      <c r="J624" s="849">
        <v>73484.88</v>
      </c>
      <c r="K624" s="849">
        <v>93001.79</v>
      </c>
      <c r="L624" s="849">
        <v>124252.97</v>
      </c>
      <c r="M624" s="849">
        <v>144868.96</v>
      </c>
      <c r="N624" s="849">
        <v>169245.39</v>
      </c>
      <c r="O624" s="849">
        <v>186401.84</v>
      </c>
      <c r="P624" s="849">
        <v>211805.63</v>
      </c>
      <c r="Q624" s="849">
        <v>223089.76</v>
      </c>
      <c r="R624" s="849">
        <v>231465.46</v>
      </c>
      <c r="S624" s="849">
        <v>20280.89</v>
      </c>
      <c r="T624" s="849">
        <v>20280.89</v>
      </c>
      <c r="U624" s="849">
        <v>0.0</v>
      </c>
      <c r="V624" s="849">
        <v>37.0</v>
      </c>
      <c r="W624" s="849">
        <v>69.0</v>
      </c>
      <c r="X624" s="849">
        <v>102.0</v>
      </c>
      <c r="Y624" s="849">
        <v>182.0</v>
      </c>
      <c r="Z624" s="849">
        <v>236.0</v>
      </c>
      <c r="AA624" s="849">
        <v>298.0</v>
      </c>
      <c r="AB624" s="849">
        <v>348.0</v>
      </c>
      <c r="AC624" s="849">
        <v>400.0</v>
      </c>
      <c r="AD624" s="849">
        <v>444.0</v>
      </c>
      <c r="AE624" s="849">
        <v>492.0</v>
      </c>
      <c r="AF624" s="849">
        <v>525.0</v>
      </c>
      <c r="AG624" s="849">
        <v>551.0</v>
      </c>
      <c r="AH624" s="849">
        <v>48.0</v>
      </c>
      <c r="AI624" s="849">
        <v>48.0</v>
      </c>
      <c r="AJ624" s="794" t="str">
        <f t="shared" ref="AJ624:AK624" si="1245">C624</f>
        <v>G46600</v>
      </c>
      <c r="AK624" s="794" t="str">
        <f t="shared" si="1245"/>
        <v>VTES-REPARAT.SOUS-TRAITES</v>
      </c>
      <c r="AL624" s="794">
        <f t="array" ref="AL624">IFERROR(INDEX(G624:R624,1,MATCH(Parametres!$B$3,G$1:R$1,0)-1)*IF(OR(F624="L",F624="S",F624="I"),-1,1),"")</f>
        <v>-169245.39</v>
      </c>
      <c r="AM624" s="794">
        <f t="shared" si="4"/>
        <v>-17156.45</v>
      </c>
      <c r="AN624" s="794">
        <f t="array" ref="AN624">INDEX(G624:R624,1,MATCH(Parametres!$B$3,G$1:R$1,0))*IF(OR(F624="L",F624="S",F624="I"),-1,1)</f>
        <v>-186401.84</v>
      </c>
      <c r="AO624" s="853" t="str">
        <f>+VLOOKUP($AJ624,Data_Validation!$A:$D,1,0)</f>
        <v>G46600</v>
      </c>
      <c r="AP624" s="853" t="str">
        <f>+VLOOKUP($AJ624,Data_Validation!$A:$D,3,0)</f>
        <v>Service</v>
      </c>
      <c r="AQ624" s="853" t="str">
        <f>+VLOOKUP($AJ624,Data_Validation!$A:$D,4,0)</f>
        <v>Sous-traitement</v>
      </c>
      <c r="AR624" s="853" t="s">
        <v>728</v>
      </c>
      <c r="AS624" s="853" t="str">
        <f>+VLOOKUP($AJ624,Data_Validation!$A:$E,5,0)</f>
        <v>Oui</v>
      </c>
      <c r="AT624" s="794" t="str">
        <f t="shared" ref="AT624:AU624" si="1246">C624</f>
        <v>G46600</v>
      </c>
      <c r="AU624" s="854" t="str">
        <f t="shared" si="1246"/>
        <v>VTES-REPARAT.SOUS-TRAITES</v>
      </c>
      <c r="AV624" s="794">
        <f t="array" ref="AV624">IFERROR(INDEX(V624:AG624,1,MATCH(Parametres!$B$3,V$1:AG$1,0)-1)*IF(OR(C624="L",C624="S",C624="I"),-1,1),"")</f>
        <v>400</v>
      </c>
      <c r="AW624" s="794">
        <f t="shared" si="6"/>
        <v>44</v>
      </c>
      <c r="AX624" s="794">
        <f t="array" ref="AX624">INDEX(V624:AG624,1,MATCH(Parametres!$B$3,V$1:AG$1,0))*IF(OR(C624="L",C624="S",C624="I"),-1,1)</f>
        <v>444</v>
      </c>
      <c r="AY624" s="853" t="s">
        <v>772</v>
      </c>
      <c r="AZ624" s="853" t="str">
        <f>+VLOOKUP($AJ624,Data_Validation!$A:$E,5,0)</f>
        <v>Oui</v>
      </c>
    </row>
    <row r="625" ht="15.0" customHeight="1">
      <c r="A625" s="849" t="s">
        <v>1239</v>
      </c>
      <c r="B625" s="849">
        <v>2025.0</v>
      </c>
      <c r="C625" s="849" t="s">
        <v>2740</v>
      </c>
      <c r="D625" s="849" t="s">
        <v>3507</v>
      </c>
      <c r="E625" s="849" t="s">
        <v>2701</v>
      </c>
      <c r="F625" s="849" t="s">
        <v>2426</v>
      </c>
      <c r="G625" s="849">
        <v>0.0</v>
      </c>
      <c r="H625" s="849">
        <v>0.0</v>
      </c>
      <c r="I625" s="849">
        <v>0.0</v>
      </c>
      <c r="J625" s="849">
        <v>0.0</v>
      </c>
      <c r="K625" s="849">
        <v>0.0</v>
      </c>
      <c r="L625" s="849">
        <v>0.0</v>
      </c>
      <c r="M625" s="849">
        <v>0.0</v>
      </c>
      <c r="N625" s="849">
        <v>0.0</v>
      </c>
      <c r="O625" s="849">
        <v>0.0</v>
      </c>
      <c r="P625" s="849">
        <v>0.0</v>
      </c>
      <c r="Q625" s="849">
        <v>0.0</v>
      </c>
      <c r="R625" s="849">
        <v>0.0</v>
      </c>
      <c r="S625" s="849">
        <v>0.0</v>
      </c>
      <c r="T625" s="849">
        <v>0.0</v>
      </c>
      <c r="U625" s="849">
        <v>0.0</v>
      </c>
      <c r="V625" s="849">
        <v>0.0</v>
      </c>
      <c r="W625" s="849">
        <v>0.0</v>
      </c>
      <c r="X625" s="849">
        <v>0.0</v>
      </c>
      <c r="Y625" s="849">
        <v>0.0</v>
      </c>
      <c r="Z625" s="849">
        <v>0.0</v>
      </c>
      <c r="AA625" s="849">
        <v>0.0</v>
      </c>
      <c r="AB625" s="849">
        <v>0.0</v>
      </c>
      <c r="AC625" s="849">
        <v>0.0</v>
      </c>
      <c r="AD625" s="849">
        <v>0.0</v>
      </c>
      <c r="AE625" s="849">
        <v>0.0</v>
      </c>
      <c r="AF625" s="849">
        <v>0.0</v>
      </c>
      <c r="AG625" s="849">
        <v>0.0</v>
      </c>
      <c r="AH625" s="849">
        <v>0.0</v>
      </c>
      <c r="AI625" s="849">
        <v>0.0</v>
      </c>
      <c r="AJ625" s="794" t="str">
        <f t="shared" ref="AJ625:AK625" si="1247">C625</f>
        <v>G46610</v>
      </c>
      <c r="AK625" s="794" t="str">
        <f t="shared" si="1247"/>
        <v>VTES-REPARAT.PARE-BRISES</v>
      </c>
      <c r="AL625" s="794">
        <f t="array" ref="AL625">IFERROR(INDEX(G625:R625,1,MATCH(Parametres!$B$3,G$1:R$1,0)-1)*IF(OR(F625="L",F625="S",F625="I"),-1,1),"")</f>
        <v>0</v>
      </c>
      <c r="AM625" s="794">
        <f t="shared" si="4"/>
        <v>0</v>
      </c>
      <c r="AN625" s="794">
        <f t="array" ref="AN625">INDEX(G625:R625,1,MATCH(Parametres!$B$3,G$1:R$1,0))*IF(OR(F625="L",F625="S",F625="I"),-1,1)</f>
        <v>0</v>
      </c>
      <c r="AO625" s="853" t="str">
        <f>+VLOOKUP($AJ625,Data_Validation!$A:$D,1,0)</f>
        <v>G46610</v>
      </c>
      <c r="AP625" s="853" t="str">
        <f>+VLOOKUP($AJ625,Data_Validation!$A:$D,3,0)</f>
        <v>SAAQ</v>
      </c>
      <c r="AQ625" s="853" t="str">
        <f>+VLOOKUP($AJ625,Data_Validation!$A:$D,4,0)</f>
        <v>Inspection - Véhicules Interne</v>
      </c>
      <c r="AR625" s="853" t="s">
        <v>728</v>
      </c>
      <c r="AS625" s="853" t="str">
        <f>+VLOOKUP($AJ625,Data_Validation!$A:$E,5,0)</f>
        <v>Oui</v>
      </c>
      <c r="AT625" s="794" t="str">
        <f t="shared" ref="AT625:AU625" si="1248">C625</f>
        <v>G46610</v>
      </c>
      <c r="AU625" s="854" t="str">
        <f t="shared" si="1248"/>
        <v>VTES-REPARAT.PARE-BRISES</v>
      </c>
      <c r="AV625" s="794">
        <f t="array" ref="AV625">IFERROR(INDEX(V625:AG625,1,MATCH(Parametres!$B$3,V$1:AG$1,0)-1)*IF(OR(C625="L",C625="S",C625="I"),-1,1),"")</f>
        <v>0</v>
      </c>
      <c r="AW625" s="794">
        <f t="shared" si="6"/>
        <v>0</v>
      </c>
      <c r="AX625" s="794">
        <f t="array" ref="AX625">INDEX(V625:AG625,1,MATCH(Parametres!$B$3,V$1:AG$1,0))*IF(OR(C625="L",C625="S",C625="I"),-1,1)</f>
        <v>0</v>
      </c>
      <c r="AY625" s="853" t="s">
        <v>772</v>
      </c>
      <c r="AZ625" s="853" t="str">
        <f>+VLOOKUP($AJ625,Data_Validation!$A:$E,5,0)</f>
        <v>Oui</v>
      </c>
    </row>
    <row r="626" ht="15.0" customHeight="1">
      <c r="A626" s="849" t="s">
        <v>1239</v>
      </c>
      <c r="B626" s="849">
        <v>2025.0</v>
      </c>
      <c r="C626" s="849" t="s">
        <v>2742</v>
      </c>
      <c r="D626" s="849" t="s">
        <v>2743</v>
      </c>
      <c r="E626" s="849" t="s">
        <v>2701</v>
      </c>
      <c r="F626" s="849" t="s">
        <v>2426</v>
      </c>
      <c r="G626" s="849">
        <v>0.0</v>
      </c>
      <c r="H626" s="849">
        <v>0.0</v>
      </c>
      <c r="I626" s="849">
        <v>0.0</v>
      </c>
      <c r="J626" s="849">
        <v>0.0</v>
      </c>
      <c r="K626" s="849">
        <v>0.0</v>
      </c>
      <c r="L626" s="849">
        <v>0.0</v>
      </c>
      <c r="M626" s="849">
        <v>0.0</v>
      </c>
      <c r="N626" s="849">
        <v>0.0</v>
      </c>
      <c r="O626" s="849">
        <v>0.0</v>
      </c>
      <c r="P626" s="849">
        <v>0.0</v>
      </c>
      <c r="Q626" s="849">
        <v>0.0</v>
      </c>
      <c r="R626" s="849">
        <v>0.0</v>
      </c>
      <c r="S626" s="849">
        <v>0.0</v>
      </c>
      <c r="T626" s="849">
        <v>0.0</v>
      </c>
      <c r="U626" s="849">
        <v>0.0</v>
      </c>
      <c r="V626" s="849">
        <v>0.0</v>
      </c>
      <c r="W626" s="849">
        <v>0.0</v>
      </c>
      <c r="X626" s="849">
        <v>0.0</v>
      </c>
      <c r="Y626" s="849">
        <v>0.0</v>
      </c>
      <c r="Z626" s="849">
        <v>0.0</v>
      </c>
      <c r="AA626" s="849">
        <v>0.0</v>
      </c>
      <c r="AB626" s="849">
        <v>0.0</v>
      </c>
      <c r="AC626" s="849">
        <v>0.0</v>
      </c>
      <c r="AD626" s="849">
        <v>0.0</v>
      </c>
      <c r="AE626" s="849">
        <v>0.0</v>
      </c>
      <c r="AF626" s="849">
        <v>0.0</v>
      </c>
      <c r="AG626" s="849">
        <v>0.0</v>
      </c>
      <c r="AH626" s="849">
        <v>0.0</v>
      </c>
      <c r="AI626" s="849">
        <v>0.0</v>
      </c>
      <c r="AJ626" s="794" t="str">
        <f t="shared" ref="AJ626:AK626" si="1249">C626</f>
        <v>G46611</v>
      </c>
      <c r="AK626" s="794" t="str">
        <f t="shared" si="1249"/>
        <v>SUPER VITRE VENTE SUBLET</v>
      </c>
      <c r="AL626" s="794">
        <f t="array" ref="AL626">IFERROR(INDEX(G626:R626,1,MATCH(Parametres!$B$3,G$1:R$1,0)-1)*IF(OR(F626="L",F626="S",F626="I"),-1,1),"")</f>
        <v>0</v>
      </c>
      <c r="AM626" s="794">
        <f t="shared" si="4"/>
        <v>0</v>
      </c>
      <c r="AN626" s="794">
        <f t="array" ref="AN626">INDEX(G626:R626,1,MATCH(Parametres!$B$3,G$1:R$1,0))*IF(OR(F626="L",F626="S",F626="I"),-1,1)</f>
        <v>0</v>
      </c>
      <c r="AO626" s="853" t="str">
        <f>+VLOOKUP($AJ626,Data_Validation!$A:$D,1,0)</f>
        <v>#N/A</v>
      </c>
      <c r="AP626" s="853" t="str">
        <f>+VLOOKUP($AJ626,Data_Validation!$A:$D,3,0)</f>
        <v>#N/A</v>
      </c>
      <c r="AQ626" s="853" t="str">
        <f>+VLOOKUP($AJ626,Data_Validation!$A:$D,4,0)</f>
        <v>#N/A</v>
      </c>
      <c r="AR626" s="853" t="s">
        <v>728</v>
      </c>
      <c r="AS626" s="853" t="str">
        <f>+VLOOKUP($AJ626,Data_Validation!$A:$E,5,0)</f>
        <v>#N/A</v>
      </c>
      <c r="AT626" s="794" t="str">
        <f t="shared" ref="AT626:AU626" si="1250">C626</f>
        <v>G46611</v>
      </c>
      <c r="AU626" s="854" t="str">
        <f t="shared" si="1250"/>
        <v>SUPER VITRE VENTE SUBLET</v>
      </c>
      <c r="AV626" s="794">
        <f t="array" ref="AV626">IFERROR(INDEX(V626:AG626,1,MATCH(Parametres!$B$3,V$1:AG$1,0)-1)*IF(OR(C626="L",C626="S",C626="I"),-1,1),"")</f>
        <v>0</v>
      </c>
      <c r="AW626" s="794">
        <f t="shared" si="6"/>
        <v>0</v>
      </c>
      <c r="AX626" s="794">
        <f t="array" ref="AX626">INDEX(V626:AG626,1,MATCH(Parametres!$B$3,V$1:AG$1,0))*IF(OR(C626="L",C626="S",C626="I"),-1,1)</f>
        <v>0</v>
      </c>
      <c r="AY626" s="853" t="s">
        <v>772</v>
      </c>
      <c r="AZ626" s="853" t="str">
        <f>+VLOOKUP($AJ626,Data_Validation!$A:$E,5,0)</f>
        <v>#N/A</v>
      </c>
    </row>
    <row r="627" ht="15.0" customHeight="1">
      <c r="A627" s="849" t="s">
        <v>1239</v>
      </c>
      <c r="B627" s="849">
        <v>2025.0</v>
      </c>
      <c r="C627" s="849" t="s">
        <v>2744</v>
      </c>
      <c r="D627" s="849" t="s">
        <v>2745</v>
      </c>
      <c r="E627" s="849" t="s">
        <v>2701</v>
      </c>
      <c r="F627" s="849" t="s">
        <v>2426</v>
      </c>
      <c r="G627" s="849">
        <v>60411.33</v>
      </c>
      <c r="H627" s="849">
        <v>113994.13</v>
      </c>
      <c r="I627" s="849">
        <v>167672.7</v>
      </c>
      <c r="J627" s="849">
        <v>232257.05</v>
      </c>
      <c r="K627" s="849">
        <v>307613.48</v>
      </c>
      <c r="L627" s="849">
        <v>358388.27</v>
      </c>
      <c r="M627" s="849">
        <v>414458.15</v>
      </c>
      <c r="N627" s="849">
        <v>463158.49</v>
      </c>
      <c r="O627" s="849">
        <v>517441.14</v>
      </c>
      <c r="P627" s="849">
        <v>593994.91</v>
      </c>
      <c r="Q627" s="849">
        <v>668073.44</v>
      </c>
      <c r="R627" s="849">
        <v>734826.7</v>
      </c>
      <c r="S627" s="849">
        <v>60733.95</v>
      </c>
      <c r="T627" s="849">
        <v>60733.95</v>
      </c>
      <c r="U627" s="849">
        <v>0.0</v>
      </c>
      <c r="V627" s="849">
        <v>162.0</v>
      </c>
      <c r="W627" s="849">
        <v>306.0</v>
      </c>
      <c r="X627" s="849">
        <v>464.0</v>
      </c>
      <c r="Y627" s="849">
        <v>677.0</v>
      </c>
      <c r="Z627" s="849">
        <v>911.0</v>
      </c>
      <c r="AA627" s="849">
        <v>1101.0</v>
      </c>
      <c r="AB627" s="849">
        <v>1289.0</v>
      </c>
      <c r="AC627" s="849">
        <v>1480.0</v>
      </c>
      <c r="AD627" s="849">
        <v>1657.0</v>
      </c>
      <c r="AE627" s="849">
        <v>1893.0</v>
      </c>
      <c r="AF627" s="849">
        <v>2129.0</v>
      </c>
      <c r="AG627" s="849">
        <v>2283.0</v>
      </c>
      <c r="AH627" s="849">
        <v>194.0</v>
      </c>
      <c r="AI627" s="849">
        <v>194.0</v>
      </c>
      <c r="AJ627" s="794" t="str">
        <f t="shared" ref="AJ627:AK627" si="1251">C627</f>
        <v>G46710</v>
      </c>
      <c r="AK627" s="794" t="str">
        <f t="shared" si="1251"/>
        <v>VTES PI SERV.VOIT&amp;CAM LEG</v>
      </c>
      <c r="AL627" s="794">
        <f t="array" ref="AL627">IFERROR(INDEX(G627:R627,1,MATCH(Parametres!$B$3,G$1:R$1,0)-1)*IF(OR(F627="L",F627="S",F627="I"),-1,1),"")</f>
        <v>-463158.49</v>
      </c>
      <c r="AM627" s="794">
        <f t="shared" si="4"/>
        <v>-54282.65</v>
      </c>
      <c r="AN627" s="794">
        <f t="array" ref="AN627">INDEX(G627:R627,1,MATCH(Parametres!$B$3,G$1:R$1,0))*IF(OR(F627="L",F627="S",F627="I"),-1,1)</f>
        <v>-517441.14</v>
      </c>
      <c r="AO627" s="853" t="str">
        <f>+VLOOKUP($AJ627,Data_Validation!$A:$D,1,0)</f>
        <v>G46710</v>
      </c>
      <c r="AP627" s="853" t="str">
        <f>+VLOOKUP($AJ627,Data_Validation!$A:$D,3,0)</f>
        <v>Pièces</v>
      </c>
      <c r="AQ627" s="853" t="str">
        <f>+VLOOKUP($AJ627,Data_Validation!$A:$D,4,0)</f>
        <v>Pièces Ro Clients</v>
      </c>
      <c r="AR627" s="853" t="s">
        <v>728</v>
      </c>
      <c r="AS627" s="853" t="str">
        <f>+VLOOKUP($AJ627,Data_Validation!$A:$E,5,0)</f>
        <v>Oui</v>
      </c>
      <c r="AT627" s="794" t="str">
        <f t="shared" ref="AT627:AU627" si="1252">C627</f>
        <v>G46710</v>
      </c>
      <c r="AU627" s="854" t="str">
        <f t="shared" si="1252"/>
        <v>VTES PI SERV.VOIT&amp;CAM LEG</v>
      </c>
      <c r="AV627" s="794">
        <f t="array" ref="AV627">IFERROR(INDEX(V627:AG627,1,MATCH(Parametres!$B$3,V$1:AG$1,0)-1)*IF(OR(C627="L",C627="S",C627="I"),-1,1),"")</f>
        <v>1480</v>
      </c>
      <c r="AW627" s="794">
        <f t="shared" si="6"/>
        <v>177</v>
      </c>
      <c r="AX627" s="794">
        <f t="array" ref="AX627">INDEX(V627:AG627,1,MATCH(Parametres!$B$3,V$1:AG$1,0))*IF(OR(C627="L",C627="S",C627="I"),-1,1)</f>
        <v>1657</v>
      </c>
      <c r="AY627" s="853" t="s">
        <v>772</v>
      </c>
      <c r="AZ627" s="853" t="str">
        <f>+VLOOKUP($AJ627,Data_Validation!$A:$E,5,0)</f>
        <v>Oui</v>
      </c>
    </row>
    <row r="628" ht="15.0" customHeight="1">
      <c r="A628" s="849" t="s">
        <v>1239</v>
      </c>
      <c r="B628" s="849">
        <v>2025.0</v>
      </c>
      <c r="C628" s="849" t="s">
        <v>2746</v>
      </c>
      <c r="D628" s="849" t="s">
        <v>2747</v>
      </c>
      <c r="E628" s="849" t="s">
        <v>2701</v>
      </c>
      <c r="F628" s="849" t="s">
        <v>2426</v>
      </c>
      <c r="G628" s="849">
        <v>0.0</v>
      </c>
      <c r="H628" s="849">
        <v>0.0</v>
      </c>
      <c r="I628" s="849">
        <v>0.0</v>
      </c>
      <c r="J628" s="849">
        <v>0.0</v>
      </c>
      <c r="K628" s="849">
        <v>0.0</v>
      </c>
      <c r="L628" s="849">
        <v>0.0</v>
      </c>
      <c r="M628" s="849">
        <v>0.0</v>
      </c>
      <c r="N628" s="849">
        <v>0.0</v>
      </c>
      <c r="O628" s="849">
        <v>0.0</v>
      </c>
      <c r="P628" s="849">
        <v>0.0</v>
      </c>
      <c r="Q628" s="849">
        <v>0.0</v>
      </c>
      <c r="R628" s="849">
        <v>0.0</v>
      </c>
      <c r="S628" s="849">
        <v>0.0</v>
      </c>
      <c r="T628" s="849">
        <v>0.0</v>
      </c>
      <c r="U628" s="849">
        <v>0.0</v>
      </c>
      <c r="V628" s="849">
        <v>0.0</v>
      </c>
      <c r="W628" s="849">
        <v>0.0</v>
      </c>
      <c r="X628" s="849">
        <v>0.0</v>
      </c>
      <c r="Y628" s="849">
        <v>0.0</v>
      </c>
      <c r="Z628" s="849">
        <v>0.0</v>
      </c>
      <c r="AA628" s="849">
        <v>0.0</v>
      </c>
      <c r="AB628" s="849">
        <v>0.0</v>
      </c>
      <c r="AC628" s="849">
        <v>0.0</v>
      </c>
      <c r="AD628" s="849">
        <v>0.0</v>
      </c>
      <c r="AE628" s="849">
        <v>0.0</v>
      </c>
      <c r="AF628" s="849">
        <v>0.0</v>
      </c>
      <c r="AG628" s="849">
        <v>0.0</v>
      </c>
      <c r="AH628" s="849">
        <v>0.0</v>
      </c>
      <c r="AI628" s="849">
        <v>0.0</v>
      </c>
      <c r="AJ628" s="794" t="str">
        <f t="shared" ref="AJ628:AK628" si="1253">C628</f>
        <v>G46720</v>
      </c>
      <c r="AK628" s="794" t="str">
        <f t="shared" si="1253"/>
        <v>B.R PPC VOIT &amp; CAM LEG.</v>
      </c>
      <c r="AL628" s="794">
        <f t="array" ref="AL628">IFERROR(INDEX(G628:R628,1,MATCH(Parametres!$B$3,G$1:R$1,0)-1)*IF(OR(F628="L",F628="S",F628="I"),-1,1),"")</f>
        <v>0</v>
      </c>
      <c r="AM628" s="794">
        <f t="shared" si="4"/>
        <v>0</v>
      </c>
      <c r="AN628" s="794">
        <f t="array" ref="AN628">INDEX(G628:R628,1,MATCH(Parametres!$B$3,G$1:R$1,0))*IF(OR(F628="L",F628="S",F628="I"),-1,1)</f>
        <v>0</v>
      </c>
      <c r="AO628" s="853" t="str">
        <f>+VLOOKUP($AJ628,Data_Validation!$A:$D,1,0)</f>
        <v>G46720</v>
      </c>
      <c r="AP628" s="853" t="str">
        <f>+VLOOKUP($AJ628,Data_Validation!$A:$D,3,0)</f>
        <v>Pièces</v>
      </c>
      <c r="AQ628" s="853" t="str">
        <f>+VLOOKUP($AJ628,Data_Validation!$A:$D,4,0)</f>
        <v>Pièces Ro Clients</v>
      </c>
      <c r="AR628" s="853" t="s">
        <v>728</v>
      </c>
      <c r="AS628" s="853" t="str">
        <f>+VLOOKUP($AJ628,Data_Validation!$A:$E,5,0)</f>
        <v>Oui</v>
      </c>
      <c r="AT628" s="794" t="str">
        <f t="shared" ref="AT628:AU628" si="1254">C628</f>
        <v>G46720</v>
      </c>
      <c r="AU628" s="854" t="str">
        <f t="shared" si="1254"/>
        <v>B.R PPC VOIT &amp; CAM LEG.</v>
      </c>
      <c r="AV628" s="794">
        <f t="array" ref="AV628">IFERROR(INDEX(V628:AG628,1,MATCH(Parametres!$B$3,V$1:AG$1,0)-1)*IF(OR(C628="L",C628="S",C628="I"),-1,1),"")</f>
        <v>0</v>
      </c>
      <c r="AW628" s="794">
        <f t="shared" si="6"/>
        <v>0</v>
      </c>
      <c r="AX628" s="794">
        <f t="array" ref="AX628">INDEX(V628:AG628,1,MATCH(Parametres!$B$3,V$1:AG$1,0))*IF(OR(C628="L",C628="S",C628="I"),-1,1)</f>
        <v>0</v>
      </c>
      <c r="AY628" s="853" t="s">
        <v>772</v>
      </c>
      <c r="AZ628" s="853" t="str">
        <f>+VLOOKUP($AJ628,Data_Validation!$A:$E,5,0)</f>
        <v>Oui</v>
      </c>
    </row>
    <row r="629" ht="15.0" customHeight="1">
      <c r="A629" s="849" t="s">
        <v>1239</v>
      </c>
      <c r="B629" s="849">
        <v>2025.0</v>
      </c>
      <c r="C629" s="849" t="s">
        <v>2748</v>
      </c>
      <c r="D629" s="849" t="s">
        <v>2749</v>
      </c>
      <c r="E629" s="849" t="s">
        <v>2701</v>
      </c>
      <c r="F629" s="849" t="s">
        <v>2426</v>
      </c>
      <c r="G629" s="849">
        <v>0.0</v>
      </c>
      <c r="H629" s="849">
        <v>0.0</v>
      </c>
      <c r="I629" s="849">
        <v>0.0</v>
      </c>
      <c r="J629" s="849">
        <v>0.0</v>
      </c>
      <c r="K629" s="849">
        <v>0.0</v>
      </c>
      <c r="L629" s="849">
        <v>0.0</v>
      </c>
      <c r="M629" s="849">
        <v>0.0</v>
      </c>
      <c r="N629" s="849">
        <v>0.0</v>
      </c>
      <c r="O629" s="849">
        <v>0.0</v>
      </c>
      <c r="P629" s="849">
        <v>0.0</v>
      </c>
      <c r="Q629" s="849">
        <v>0.0</v>
      </c>
      <c r="R629" s="849">
        <v>0.0</v>
      </c>
      <c r="S629" s="849">
        <v>0.0</v>
      </c>
      <c r="T629" s="849">
        <v>0.0</v>
      </c>
      <c r="U629" s="849">
        <v>0.0</v>
      </c>
      <c r="V629" s="849">
        <v>0.0</v>
      </c>
      <c r="W629" s="849">
        <v>0.0</v>
      </c>
      <c r="X629" s="849">
        <v>0.0</v>
      </c>
      <c r="Y629" s="849">
        <v>0.0</v>
      </c>
      <c r="Z629" s="849">
        <v>0.0</v>
      </c>
      <c r="AA629" s="849">
        <v>0.0</v>
      </c>
      <c r="AB629" s="849">
        <v>0.0</v>
      </c>
      <c r="AC629" s="849">
        <v>0.0</v>
      </c>
      <c r="AD629" s="849">
        <v>0.0</v>
      </c>
      <c r="AE629" s="849">
        <v>0.0</v>
      </c>
      <c r="AF629" s="849">
        <v>0.0</v>
      </c>
      <c r="AG629" s="849">
        <v>0.0</v>
      </c>
      <c r="AH629" s="849">
        <v>0.0</v>
      </c>
      <c r="AI629" s="849">
        <v>0.0</v>
      </c>
      <c r="AJ629" s="794" t="str">
        <f t="shared" ref="AJ629:AK629" si="1255">C629</f>
        <v>G46740</v>
      </c>
      <c r="AK629" s="794" t="str">
        <f t="shared" si="1255"/>
        <v>SER.RAPIDE VOIT CAM LEG.</v>
      </c>
      <c r="AL629" s="794">
        <f t="array" ref="AL629">IFERROR(INDEX(G629:R629,1,MATCH(Parametres!$B$3,G$1:R$1,0)-1)*IF(OR(F629="L",F629="S",F629="I"),-1,1),"")</f>
        <v>0</v>
      </c>
      <c r="AM629" s="794">
        <f t="shared" si="4"/>
        <v>0</v>
      </c>
      <c r="AN629" s="794">
        <f t="array" ref="AN629">INDEX(G629:R629,1,MATCH(Parametres!$B$3,G$1:R$1,0))*IF(OR(F629="L",F629="S",F629="I"),-1,1)</f>
        <v>0</v>
      </c>
      <c r="AO629" s="853" t="str">
        <f>+VLOOKUP($AJ629,Data_Validation!$A:$D,1,0)</f>
        <v>G46740</v>
      </c>
      <c r="AP629" s="853" t="str">
        <f>+VLOOKUP($AJ629,Data_Validation!$A:$D,3,0)</f>
        <v/>
      </c>
      <c r="AQ629" s="853" t="str">
        <f>+VLOOKUP($AJ629,Data_Validation!$A:$D,4,0)</f>
        <v/>
      </c>
      <c r="AR629" s="853" t="s">
        <v>728</v>
      </c>
      <c r="AS629" s="853" t="str">
        <f>+VLOOKUP($AJ629,Data_Validation!$A:$E,5,0)</f>
        <v/>
      </c>
      <c r="AT629" s="794" t="str">
        <f t="shared" ref="AT629:AU629" si="1256">C629</f>
        <v>G46740</v>
      </c>
      <c r="AU629" s="854" t="str">
        <f t="shared" si="1256"/>
        <v>SER.RAPIDE VOIT CAM LEG.</v>
      </c>
      <c r="AV629" s="794">
        <f t="array" ref="AV629">IFERROR(INDEX(V629:AG629,1,MATCH(Parametres!$B$3,V$1:AG$1,0)-1)*IF(OR(C629="L",C629="S",C629="I"),-1,1),"")</f>
        <v>0</v>
      </c>
      <c r="AW629" s="794">
        <f t="shared" si="6"/>
        <v>0</v>
      </c>
      <c r="AX629" s="794">
        <f t="array" ref="AX629">INDEX(V629:AG629,1,MATCH(Parametres!$B$3,V$1:AG$1,0))*IF(OR(C629="L",C629="S",C629="I"),-1,1)</f>
        <v>0</v>
      </c>
      <c r="AY629" s="853" t="s">
        <v>772</v>
      </c>
      <c r="AZ629" s="853" t="str">
        <f>+VLOOKUP($AJ629,Data_Validation!$A:$E,5,0)</f>
        <v/>
      </c>
    </row>
    <row r="630" ht="15.0" customHeight="1">
      <c r="A630" s="849" t="s">
        <v>1239</v>
      </c>
      <c r="B630" s="849">
        <v>2025.0</v>
      </c>
      <c r="C630" s="849" t="s">
        <v>2750</v>
      </c>
      <c r="D630" s="849" t="s">
        <v>2751</v>
      </c>
      <c r="E630" s="849" t="s">
        <v>2701</v>
      </c>
      <c r="F630" s="849" t="s">
        <v>2426</v>
      </c>
      <c r="G630" s="849">
        <v>0.0</v>
      </c>
      <c r="H630" s="849">
        <v>0.0</v>
      </c>
      <c r="I630" s="849">
        <v>0.0</v>
      </c>
      <c r="J630" s="849">
        <v>0.0</v>
      </c>
      <c r="K630" s="849">
        <v>0.0</v>
      </c>
      <c r="L630" s="849">
        <v>0.0</v>
      </c>
      <c r="M630" s="849">
        <v>0.0</v>
      </c>
      <c r="N630" s="849">
        <v>0.0</v>
      </c>
      <c r="O630" s="849">
        <v>0.0</v>
      </c>
      <c r="P630" s="849">
        <v>0.0</v>
      </c>
      <c r="Q630" s="849">
        <v>0.0</v>
      </c>
      <c r="R630" s="849">
        <v>0.0</v>
      </c>
      <c r="S630" s="849">
        <v>0.0</v>
      </c>
      <c r="T630" s="849">
        <v>0.0</v>
      </c>
      <c r="U630" s="849">
        <v>0.0</v>
      </c>
      <c r="V630" s="849">
        <v>0.0</v>
      </c>
      <c r="W630" s="849">
        <v>0.0</v>
      </c>
      <c r="X630" s="849">
        <v>0.0</v>
      </c>
      <c r="Y630" s="849">
        <v>0.0</v>
      </c>
      <c r="Z630" s="849">
        <v>0.0</v>
      </c>
      <c r="AA630" s="849">
        <v>0.0</v>
      </c>
      <c r="AB630" s="849">
        <v>0.0</v>
      </c>
      <c r="AC630" s="849">
        <v>0.0</v>
      </c>
      <c r="AD630" s="849">
        <v>0.0</v>
      </c>
      <c r="AE630" s="849">
        <v>0.0</v>
      </c>
      <c r="AF630" s="849">
        <v>0.0</v>
      </c>
      <c r="AG630" s="849">
        <v>0.0</v>
      </c>
      <c r="AH630" s="849">
        <v>0.0</v>
      </c>
      <c r="AI630" s="849">
        <v>0.0</v>
      </c>
      <c r="AJ630" s="794" t="str">
        <f t="shared" ref="AJ630:AK630" si="1257">C630</f>
        <v>G46800</v>
      </c>
      <c r="AK630" s="794" t="str">
        <f t="shared" si="1257"/>
        <v>VTES-PCE CLIENT CAM MOYEN</v>
      </c>
      <c r="AL630" s="794">
        <f t="array" ref="AL630">IFERROR(INDEX(G630:R630,1,MATCH(Parametres!$B$3,G$1:R$1,0)-1)*IF(OR(F630="L",F630="S",F630="I"),-1,1),"")</f>
        <v>0</v>
      </c>
      <c r="AM630" s="794">
        <f t="shared" si="4"/>
        <v>0</v>
      </c>
      <c r="AN630" s="794">
        <f t="array" ref="AN630">INDEX(G630:R630,1,MATCH(Parametres!$B$3,G$1:R$1,0))*IF(OR(F630="L",F630="S",F630="I"),-1,1)</f>
        <v>0</v>
      </c>
      <c r="AO630" s="853" t="str">
        <f>+VLOOKUP($AJ630,Data_Validation!$A:$D,1,0)</f>
        <v>G46800</v>
      </c>
      <c r="AP630" s="853" t="str">
        <f>+VLOOKUP($AJ630,Data_Validation!$A:$D,3,0)</f>
        <v/>
      </c>
      <c r="AQ630" s="853" t="str">
        <f>+VLOOKUP($AJ630,Data_Validation!$A:$D,4,0)</f>
        <v/>
      </c>
      <c r="AR630" s="853" t="s">
        <v>728</v>
      </c>
      <c r="AS630" s="853" t="str">
        <f>+VLOOKUP($AJ630,Data_Validation!$A:$E,5,0)</f>
        <v/>
      </c>
      <c r="AT630" s="794" t="str">
        <f t="shared" ref="AT630:AU630" si="1258">C630</f>
        <v>G46800</v>
      </c>
      <c r="AU630" s="854" t="str">
        <f t="shared" si="1258"/>
        <v>VTES-PCE CLIENT CAM MOYEN</v>
      </c>
      <c r="AV630" s="794">
        <f t="array" ref="AV630">IFERROR(INDEX(V630:AG630,1,MATCH(Parametres!$B$3,V$1:AG$1,0)-1)*IF(OR(C630="L",C630="S",C630="I"),-1,1),"")</f>
        <v>0</v>
      </c>
      <c r="AW630" s="794">
        <f t="shared" si="6"/>
        <v>0</v>
      </c>
      <c r="AX630" s="794">
        <f t="array" ref="AX630">INDEX(V630:AG630,1,MATCH(Parametres!$B$3,V$1:AG$1,0))*IF(OR(C630="L",C630="S",C630="I"),-1,1)</f>
        <v>0</v>
      </c>
      <c r="AY630" s="853" t="s">
        <v>772</v>
      </c>
      <c r="AZ630" s="853" t="str">
        <f>+VLOOKUP($AJ630,Data_Validation!$A:$E,5,0)</f>
        <v/>
      </c>
    </row>
    <row r="631" ht="15.0" customHeight="1">
      <c r="A631" s="849" t="s">
        <v>1239</v>
      </c>
      <c r="B631" s="849">
        <v>2025.0</v>
      </c>
      <c r="C631" s="849" t="s">
        <v>2752</v>
      </c>
      <c r="D631" s="849" t="s">
        <v>2753</v>
      </c>
      <c r="E631" s="849" t="s">
        <v>2701</v>
      </c>
      <c r="F631" s="849" t="s">
        <v>2426</v>
      </c>
      <c r="G631" s="849">
        <v>0.0</v>
      </c>
      <c r="H631" s="849">
        <v>0.0</v>
      </c>
      <c r="I631" s="849">
        <v>0.0</v>
      </c>
      <c r="J631" s="849">
        <v>0.0</v>
      </c>
      <c r="K631" s="849">
        <v>0.0</v>
      </c>
      <c r="L631" s="849">
        <v>0.0</v>
      </c>
      <c r="M631" s="849">
        <v>0.0</v>
      </c>
      <c r="N631" s="849">
        <v>0.0</v>
      </c>
      <c r="O631" s="849">
        <v>0.0</v>
      </c>
      <c r="P631" s="849">
        <v>0.0</v>
      </c>
      <c r="Q631" s="849">
        <v>0.0</v>
      </c>
      <c r="R631" s="849">
        <v>0.0</v>
      </c>
      <c r="S631" s="849">
        <v>0.0</v>
      </c>
      <c r="T631" s="849">
        <v>0.0</v>
      </c>
      <c r="U631" s="849">
        <v>0.0</v>
      </c>
      <c r="V631" s="849">
        <v>0.0</v>
      </c>
      <c r="W631" s="849">
        <v>0.0</v>
      </c>
      <c r="X631" s="849">
        <v>0.0</v>
      </c>
      <c r="Y631" s="849">
        <v>0.0</v>
      </c>
      <c r="Z631" s="849">
        <v>0.0</v>
      </c>
      <c r="AA631" s="849">
        <v>0.0</v>
      </c>
      <c r="AB631" s="849">
        <v>0.0</v>
      </c>
      <c r="AC631" s="849">
        <v>0.0</v>
      </c>
      <c r="AD631" s="849">
        <v>0.0</v>
      </c>
      <c r="AE631" s="849">
        <v>0.0</v>
      </c>
      <c r="AF631" s="849">
        <v>0.0</v>
      </c>
      <c r="AG631" s="849">
        <v>0.0</v>
      </c>
      <c r="AH631" s="849">
        <v>0.0</v>
      </c>
      <c r="AI631" s="849">
        <v>0.0</v>
      </c>
      <c r="AJ631" s="794" t="str">
        <f t="shared" ref="AJ631:AK631" si="1259">C631</f>
        <v>G46810</v>
      </c>
      <c r="AK631" s="794" t="str">
        <f t="shared" si="1259"/>
        <v>VTES-PCE SERV.CLIENT CAM.</v>
      </c>
      <c r="AL631" s="794">
        <f t="array" ref="AL631">IFERROR(INDEX(G631:R631,1,MATCH(Parametres!$B$3,G$1:R$1,0)-1)*IF(OR(F631="L",F631="S",F631="I"),-1,1),"")</f>
        <v>0</v>
      </c>
      <c r="AM631" s="794">
        <f t="shared" si="4"/>
        <v>0</v>
      </c>
      <c r="AN631" s="794">
        <f t="array" ref="AN631">INDEX(G631:R631,1,MATCH(Parametres!$B$3,G$1:R$1,0))*IF(OR(F631="L",F631="S",F631="I"),-1,1)</f>
        <v>0</v>
      </c>
      <c r="AO631" s="853" t="str">
        <f>+VLOOKUP($AJ631,Data_Validation!$A:$D,1,0)</f>
        <v>G46810</v>
      </c>
      <c r="AP631" s="853" t="str">
        <f>+VLOOKUP($AJ631,Data_Validation!$A:$D,3,0)</f>
        <v/>
      </c>
      <c r="AQ631" s="853" t="str">
        <f>+VLOOKUP($AJ631,Data_Validation!$A:$D,4,0)</f>
        <v/>
      </c>
      <c r="AR631" s="853" t="s">
        <v>728</v>
      </c>
      <c r="AS631" s="853" t="str">
        <f>+VLOOKUP($AJ631,Data_Validation!$A:$E,5,0)</f>
        <v/>
      </c>
      <c r="AT631" s="794" t="str">
        <f t="shared" ref="AT631:AU631" si="1260">C631</f>
        <v>G46810</v>
      </c>
      <c r="AU631" s="854" t="str">
        <f t="shared" si="1260"/>
        <v>VTES-PCE SERV.CLIENT CAM.</v>
      </c>
      <c r="AV631" s="794">
        <f t="array" ref="AV631">IFERROR(INDEX(V631:AG631,1,MATCH(Parametres!$B$3,V$1:AG$1,0)-1)*IF(OR(C631="L",C631="S",C631="I"),-1,1),"")</f>
        <v>0</v>
      </c>
      <c r="AW631" s="794">
        <f t="shared" si="6"/>
        <v>0</v>
      </c>
      <c r="AX631" s="794">
        <f t="array" ref="AX631">INDEX(V631:AG631,1,MATCH(Parametres!$B$3,V$1:AG$1,0))*IF(OR(C631="L",C631="S",C631="I"),-1,1)</f>
        <v>0</v>
      </c>
      <c r="AY631" s="853" t="s">
        <v>772</v>
      </c>
      <c r="AZ631" s="853" t="str">
        <f>+VLOOKUP($AJ631,Data_Validation!$A:$E,5,0)</f>
        <v/>
      </c>
    </row>
    <row r="632" ht="15.0" customHeight="1">
      <c r="A632" s="849" t="s">
        <v>1239</v>
      </c>
      <c r="B632" s="849">
        <v>2025.0</v>
      </c>
      <c r="C632" s="849" t="s">
        <v>2754</v>
      </c>
      <c r="D632" s="849" t="s">
        <v>2755</v>
      </c>
      <c r="E632" s="849" t="s">
        <v>2701</v>
      </c>
      <c r="F632" s="849" t="s">
        <v>2426</v>
      </c>
      <c r="G632" s="849">
        <v>0.0</v>
      </c>
      <c r="H632" s="849">
        <v>0.0</v>
      </c>
      <c r="I632" s="849">
        <v>0.0</v>
      </c>
      <c r="J632" s="849">
        <v>0.0</v>
      </c>
      <c r="K632" s="849">
        <v>0.0</v>
      </c>
      <c r="L632" s="849">
        <v>0.0</v>
      </c>
      <c r="M632" s="849">
        <v>0.0</v>
      </c>
      <c r="N632" s="849">
        <v>0.0</v>
      </c>
      <c r="O632" s="849">
        <v>0.0</v>
      </c>
      <c r="P632" s="849">
        <v>0.0</v>
      </c>
      <c r="Q632" s="849">
        <v>0.0</v>
      </c>
      <c r="R632" s="849">
        <v>0.0</v>
      </c>
      <c r="S632" s="849">
        <v>0.0</v>
      </c>
      <c r="T632" s="849">
        <v>0.0</v>
      </c>
      <c r="U632" s="849">
        <v>0.0</v>
      </c>
      <c r="V632" s="849">
        <v>0.0</v>
      </c>
      <c r="W632" s="849">
        <v>0.0</v>
      </c>
      <c r="X632" s="849">
        <v>0.0</v>
      </c>
      <c r="Y632" s="849">
        <v>0.0</v>
      </c>
      <c r="Z632" s="849">
        <v>0.0</v>
      </c>
      <c r="AA632" s="849">
        <v>0.0</v>
      </c>
      <c r="AB632" s="849">
        <v>0.0</v>
      </c>
      <c r="AC632" s="849">
        <v>0.0</v>
      </c>
      <c r="AD632" s="849">
        <v>0.0</v>
      </c>
      <c r="AE632" s="849">
        <v>0.0</v>
      </c>
      <c r="AF632" s="849">
        <v>0.0</v>
      </c>
      <c r="AG632" s="849">
        <v>0.0</v>
      </c>
      <c r="AH632" s="849">
        <v>0.0</v>
      </c>
      <c r="AI632" s="849">
        <v>0.0</v>
      </c>
      <c r="AJ632" s="794" t="str">
        <f t="shared" ref="AJ632:AK632" si="1261">C632</f>
        <v>G46840</v>
      </c>
      <c r="AK632" s="794" t="str">
        <f t="shared" si="1261"/>
        <v>VTES-PCE GOODWRENCH CAMIO</v>
      </c>
      <c r="AL632" s="794">
        <f t="array" ref="AL632">IFERROR(INDEX(G632:R632,1,MATCH(Parametres!$B$3,G$1:R$1,0)-1)*IF(OR(F632="L",F632="S",F632="I"),-1,1),"")</f>
        <v>0</v>
      </c>
      <c r="AM632" s="794">
        <f t="shared" si="4"/>
        <v>0</v>
      </c>
      <c r="AN632" s="794">
        <f t="array" ref="AN632">INDEX(G632:R632,1,MATCH(Parametres!$B$3,G$1:R$1,0))*IF(OR(F632="L",F632="S",F632="I"),-1,1)</f>
        <v>0</v>
      </c>
      <c r="AO632" s="853" t="str">
        <f>+VLOOKUP($AJ632,Data_Validation!$A:$D,1,0)</f>
        <v>#N/A</v>
      </c>
      <c r="AP632" s="853" t="str">
        <f>+VLOOKUP($AJ632,Data_Validation!$A:$D,3,0)</f>
        <v>#N/A</v>
      </c>
      <c r="AQ632" s="853" t="str">
        <f>+VLOOKUP($AJ632,Data_Validation!$A:$D,4,0)</f>
        <v>#N/A</v>
      </c>
      <c r="AR632" s="853" t="s">
        <v>728</v>
      </c>
      <c r="AS632" s="853" t="str">
        <f>+VLOOKUP($AJ632,Data_Validation!$A:$E,5,0)</f>
        <v>#N/A</v>
      </c>
      <c r="AT632" s="794" t="str">
        <f t="shared" ref="AT632:AU632" si="1262">C632</f>
        <v>G46840</v>
      </c>
      <c r="AU632" s="854" t="str">
        <f t="shared" si="1262"/>
        <v>VTES-PCE GOODWRENCH CAMIO</v>
      </c>
      <c r="AV632" s="794">
        <f t="array" ref="AV632">IFERROR(INDEX(V632:AG632,1,MATCH(Parametres!$B$3,V$1:AG$1,0)-1)*IF(OR(C632="L",C632="S",C632="I"),-1,1),"")</f>
        <v>0</v>
      </c>
      <c r="AW632" s="794">
        <f t="shared" si="6"/>
        <v>0</v>
      </c>
      <c r="AX632" s="794">
        <f t="array" ref="AX632">INDEX(V632:AG632,1,MATCH(Parametres!$B$3,V$1:AG$1,0))*IF(OR(C632="L",C632="S",C632="I"),-1,1)</f>
        <v>0</v>
      </c>
      <c r="AY632" s="853" t="s">
        <v>772</v>
      </c>
      <c r="AZ632" s="853" t="str">
        <f>+VLOOKUP($AJ632,Data_Validation!$A:$E,5,0)</f>
        <v>#N/A</v>
      </c>
    </row>
    <row r="633" ht="15.0" customHeight="1">
      <c r="A633" s="849" t="s">
        <v>1239</v>
      </c>
      <c r="B633" s="849">
        <v>2025.0</v>
      </c>
      <c r="C633" s="849" t="s">
        <v>2756</v>
      </c>
      <c r="D633" s="849" t="s">
        <v>2757</v>
      </c>
      <c r="E633" s="849" t="s">
        <v>768</v>
      </c>
      <c r="F633" s="849" t="s">
        <v>2426</v>
      </c>
      <c r="G633" s="849">
        <v>0.0</v>
      </c>
      <c r="H633" s="849">
        <v>0.0</v>
      </c>
      <c r="I633" s="849">
        <v>3059.45</v>
      </c>
      <c r="J633" s="849">
        <v>7398.09</v>
      </c>
      <c r="K633" s="849">
        <v>12324.39</v>
      </c>
      <c r="L633" s="849">
        <v>16135.39</v>
      </c>
      <c r="M633" s="849">
        <v>18936.19</v>
      </c>
      <c r="N633" s="849">
        <v>21847.99</v>
      </c>
      <c r="O633" s="849">
        <v>24884.64</v>
      </c>
      <c r="P633" s="849">
        <v>29276.54</v>
      </c>
      <c r="Q633" s="849">
        <v>31619.65</v>
      </c>
      <c r="R633" s="849">
        <v>34869.25</v>
      </c>
      <c r="S633" s="849">
        <v>2874.51</v>
      </c>
      <c r="T633" s="849">
        <v>2874.51</v>
      </c>
      <c r="U633" s="849">
        <v>0.0</v>
      </c>
      <c r="V633" s="849">
        <v>0.0</v>
      </c>
      <c r="W633" s="849">
        <v>0.0</v>
      </c>
      <c r="X633" s="849">
        <v>304.0</v>
      </c>
      <c r="Y633" s="849">
        <v>732.0</v>
      </c>
      <c r="Z633" s="849">
        <v>1187.0</v>
      </c>
      <c r="AA633" s="849">
        <v>1541.0</v>
      </c>
      <c r="AB633" s="849">
        <v>1789.0</v>
      </c>
      <c r="AC633" s="849">
        <v>2037.0</v>
      </c>
      <c r="AD633" s="849">
        <v>2321.0</v>
      </c>
      <c r="AE633" s="849">
        <v>2676.0</v>
      </c>
      <c r="AF633" s="849">
        <v>2958.0</v>
      </c>
      <c r="AG633" s="849">
        <v>3181.0</v>
      </c>
      <c r="AH633" s="849">
        <v>269.0</v>
      </c>
      <c r="AI633" s="849">
        <v>269.0</v>
      </c>
      <c r="AJ633" s="794" t="str">
        <f t="shared" ref="AJ633:AK633" si="1263">C633</f>
        <v>G46900</v>
      </c>
      <c r="AK633" s="794" t="str">
        <f t="shared" si="1263"/>
        <v>VTES FOURNITURE ATELIER</v>
      </c>
      <c r="AL633" s="794">
        <f t="array" ref="AL633">IFERROR(INDEX(G633:R633,1,MATCH(Parametres!$B$3,G$1:R$1,0)-1)*IF(OR(F633="L",F633="S",F633="I"),-1,1),"")</f>
        <v>-21847.99</v>
      </c>
      <c r="AM633" s="794">
        <f t="shared" si="4"/>
        <v>-3036.65</v>
      </c>
      <c r="AN633" s="794">
        <f t="array" ref="AN633">INDEX(G633:R633,1,MATCH(Parametres!$B$3,G$1:R$1,0))*IF(OR(F633="L",F633="S",F633="I"),-1,1)</f>
        <v>-24884.64</v>
      </c>
      <c r="AO633" s="853" t="str">
        <f>+VLOOKUP($AJ633,Data_Validation!$A:$D,1,0)</f>
        <v>G46900</v>
      </c>
      <c r="AP633" s="853" t="str">
        <f>+VLOOKUP($AJ633,Data_Validation!$A:$D,3,0)</f>
        <v>Service</v>
      </c>
      <c r="AQ633" s="853" t="str">
        <f>+VLOOKUP($AJ633,Data_Validation!$A:$D,4,0)</f>
        <v>Sous-traitement</v>
      </c>
      <c r="AR633" s="853" t="s">
        <v>728</v>
      </c>
      <c r="AS633" s="853" t="str">
        <f>+VLOOKUP($AJ633,Data_Validation!$A:$E,5,0)</f>
        <v>Oui</v>
      </c>
      <c r="AT633" s="794" t="str">
        <f t="shared" ref="AT633:AU633" si="1264">C633</f>
        <v>G46900</v>
      </c>
      <c r="AU633" s="854" t="str">
        <f t="shared" si="1264"/>
        <v>VTES FOURNITURE ATELIER</v>
      </c>
      <c r="AV633" s="794">
        <f t="array" ref="AV633">IFERROR(INDEX(V633:AG633,1,MATCH(Parametres!$B$3,V$1:AG$1,0)-1)*IF(OR(C633="L",C633="S",C633="I"),-1,1),"")</f>
        <v>2037</v>
      </c>
      <c r="AW633" s="794">
        <f t="shared" si="6"/>
        <v>284</v>
      </c>
      <c r="AX633" s="794">
        <f t="array" ref="AX633">INDEX(V633:AG633,1,MATCH(Parametres!$B$3,V$1:AG$1,0))*IF(OR(C633="L",C633="S",C633="I"),-1,1)</f>
        <v>2321</v>
      </c>
      <c r="AY633" s="853" t="s">
        <v>772</v>
      </c>
      <c r="AZ633" s="853" t="str">
        <f>+VLOOKUP($AJ633,Data_Validation!$A:$E,5,0)</f>
        <v>Oui</v>
      </c>
    </row>
    <row r="634" ht="15.0" customHeight="1">
      <c r="A634" s="849" t="s">
        <v>1239</v>
      </c>
      <c r="B634" s="849">
        <v>2025.0</v>
      </c>
      <c r="C634" s="849" t="s">
        <v>1124</v>
      </c>
      <c r="D634" s="849" t="s">
        <v>3469</v>
      </c>
      <c r="E634" s="849" t="s">
        <v>2701</v>
      </c>
      <c r="F634" s="849" t="s">
        <v>2426</v>
      </c>
      <c r="G634" s="849">
        <v>0.0</v>
      </c>
      <c r="H634" s="849">
        <v>0.0</v>
      </c>
      <c r="I634" s="849">
        <v>0.0</v>
      </c>
      <c r="J634" s="849">
        <v>0.0</v>
      </c>
      <c r="K634" s="849">
        <v>0.0</v>
      </c>
      <c r="L634" s="849">
        <v>0.0</v>
      </c>
      <c r="M634" s="849">
        <v>0.0</v>
      </c>
      <c r="N634" s="849">
        <v>0.0</v>
      </c>
      <c r="O634" s="849">
        <v>0.0</v>
      </c>
      <c r="P634" s="849">
        <v>0.0</v>
      </c>
      <c r="Q634" s="849">
        <v>0.0</v>
      </c>
      <c r="R634" s="849">
        <v>0.0</v>
      </c>
      <c r="S634" s="849">
        <v>0.0</v>
      </c>
      <c r="T634" s="849">
        <v>0.0</v>
      </c>
      <c r="U634" s="849">
        <v>0.0</v>
      </c>
      <c r="V634" s="849">
        <v>0.0</v>
      </c>
      <c r="W634" s="849">
        <v>0.0</v>
      </c>
      <c r="X634" s="849">
        <v>0.0</v>
      </c>
      <c r="Y634" s="849">
        <v>0.0</v>
      </c>
      <c r="Z634" s="849">
        <v>0.0</v>
      </c>
      <c r="AA634" s="849">
        <v>0.0</v>
      </c>
      <c r="AB634" s="849">
        <v>1.0</v>
      </c>
      <c r="AC634" s="849">
        <v>1.0</v>
      </c>
      <c r="AD634" s="849">
        <v>1.0</v>
      </c>
      <c r="AE634" s="849">
        <v>1.0</v>
      </c>
      <c r="AF634" s="849">
        <v>1.0</v>
      </c>
      <c r="AG634" s="849">
        <v>1.0</v>
      </c>
      <c r="AH634" s="849">
        <v>0.0</v>
      </c>
      <c r="AI634" s="849">
        <v>0.0</v>
      </c>
      <c r="AJ634" s="794" t="str">
        <f t="shared" ref="AJ634:AK634" si="1265">C634</f>
        <v>G47000</v>
      </c>
      <c r="AK634" s="794" t="str">
        <f t="shared" si="1265"/>
        <v>VTES-M.D. CLIENT-PEINTURE</v>
      </c>
      <c r="AL634" s="794">
        <f t="array" ref="AL634">IFERROR(INDEX(G634:R634,1,MATCH(Parametres!$B$3,G$1:R$1,0)-1)*IF(OR(F634="L",F634="S",F634="I"),-1,1),"")</f>
        <v>0</v>
      </c>
      <c r="AM634" s="794">
        <f t="shared" si="4"/>
        <v>0</v>
      </c>
      <c r="AN634" s="794">
        <f t="array" ref="AN634">INDEX(G634:R634,1,MATCH(Parametres!$B$3,G$1:R$1,0))*IF(OR(F634="L",F634="S",F634="I"),-1,1)</f>
        <v>0</v>
      </c>
      <c r="AO634" s="853" t="str">
        <f>+VLOOKUP($AJ634,Data_Validation!$A:$D,1,0)</f>
        <v>G47000</v>
      </c>
      <c r="AP634" s="853" t="str">
        <f>+VLOOKUP($AJ634,Data_Validation!$A:$D,3,0)</f>
        <v>Carrosserie</v>
      </c>
      <c r="AQ634" s="853" t="str">
        <f>+VLOOKUP($AJ634,Data_Validation!$A:$D,4,0)</f>
        <v>Carrosserie Clients</v>
      </c>
      <c r="AR634" s="853" t="s">
        <v>728</v>
      </c>
      <c r="AS634" s="853" t="str">
        <f>+VLOOKUP($AJ634,Data_Validation!$A:$E,5,0)</f>
        <v>Oui</v>
      </c>
      <c r="AT634" s="794" t="str">
        <f t="shared" ref="AT634:AU634" si="1266">C634</f>
        <v>G47000</v>
      </c>
      <c r="AU634" s="854" t="str">
        <f t="shared" si="1266"/>
        <v>VTES-M.D. CLIENT-PEINTURE</v>
      </c>
      <c r="AV634" s="794">
        <f t="array" ref="AV634">IFERROR(INDEX(V634:AG634,1,MATCH(Parametres!$B$3,V$1:AG$1,0)-1)*IF(OR(C634="L",C634="S",C634="I"),-1,1),"")</f>
        <v>1</v>
      </c>
      <c r="AW634" s="794">
        <f t="shared" si="6"/>
        <v>0</v>
      </c>
      <c r="AX634" s="794">
        <f t="array" ref="AX634">INDEX(V634:AG634,1,MATCH(Parametres!$B$3,V$1:AG$1,0))*IF(OR(C634="L",C634="S",C634="I"),-1,1)</f>
        <v>1</v>
      </c>
      <c r="AY634" s="853" t="s">
        <v>772</v>
      </c>
      <c r="AZ634" s="853" t="str">
        <f>+VLOOKUP($AJ634,Data_Validation!$A:$E,5,0)</f>
        <v>Oui</v>
      </c>
    </row>
    <row r="635" ht="15.0" customHeight="1">
      <c r="A635" s="849" t="s">
        <v>1239</v>
      </c>
      <c r="B635" s="849">
        <v>2025.0</v>
      </c>
      <c r="C635" s="849" t="s">
        <v>1121</v>
      </c>
      <c r="D635" s="849" t="s">
        <v>2760</v>
      </c>
      <c r="E635" s="849" t="s">
        <v>2701</v>
      </c>
      <c r="F635" s="849" t="s">
        <v>2426</v>
      </c>
      <c r="G635" s="849">
        <v>41124.07</v>
      </c>
      <c r="H635" s="849">
        <v>88292.45</v>
      </c>
      <c r="I635" s="849">
        <v>143840.69</v>
      </c>
      <c r="J635" s="849">
        <v>178487.7</v>
      </c>
      <c r="K635" s="849">
        <v>231135.67</v>
      </c>
      <c r="L635" s="849">
        <v>273621.57</v>
      </c>
      <c r="M635" s="849">
        <v>331416.02</v>
      </c>
      <c r="N635" s="849">
        <v>379618.53</v>
      </c>
      <c r="O635" s="849">
        <v>434060.93</v>
      </c>
      <c r="P635" s="849">
        <v>481940.11</v>
      </c>
      <c r="Q635" s="849">
        <v>533311.79</v>
      </c>
      <c r="R635" s="849">
        <v>574813.75</v>
      </c>
      <c r="S635" s="849">
        <v>48482.89</v>
      </c>
      <c r="T635" s="849">
        <v>48482.89</v>
      </c>
      <c r="U635" s="849">
        <v>0.0</v>
      </c>
      <c r="V635" s="849">
        <v>26.0</v>
      </c>
      <c r="W635" s="849">
        <v>56.0</v>
      </c>
      <c r="X635" s="849">
        <v>99.0</v>
      </c>
      <c r="Y635" s="849">
        <v>136.0</v>
      </c>
      <c r="Z635" s="849">
        <v>174.0</v>
      </c>
      <c r="AA635" s="849">
        <v>207.0</v>
      </c>
      <c r="AB635" s="849">
        <v>250.0</v>
      </c>
      <c r="AC635" s="849">
        <v>286.0</v>
      </c>
      <c r="AD635" s="849">
        <v>329.0</v>
      </c>
      <c r="AE635" s="849">
        <v>386.0</v>
      </c>
      <c r="AF635" s="849">
        <v>431.0</v>
      </c>
      <c r="AG635" s="849">
        <v>469.0</v>
      </c>
      <c r="AH635" s="849">
        <v>39.0</v>
      </c>
      <c r="AI635" s="849">
        <v>39.0</v>
      </c>
      <c r="AJ635" s="794" t="str">
        <f t="shared" ref="AJ635:AK635" si="1267">C635</f>
        <v>G47100</v>
      </c>
      <c r="AK635" s="794" t="str">
        <f t="shared" si="1267"/>
        <v>VTES-M.D. CLIENT CARROSS.</v>
      </c>
      <c r="AL635" s="794">
        <f t="array" ref="AL635">IFERROR(INDEX(G635:R635,1,MATCH(Parametres!$B$3,G$1:R$1,0)-1)*IF(OR(F635="L",F635="S",F635="I"),-1,1),"")</f>
        <v>-379618.53</v>
      </c>
      <c r="AM635" s="794">
        <f t="shared" si="4"/>
        <v>-54442.4</v>
      </c>
      <c r="AN635" s="794">
        <f t="array" ref="AN635">INDEX(G635:R635,1,MATCH(Parametres!$B$3,G$1:R$1,0))*IF(OR(F635="L",F635="S",F635="I"),-1,1)</f>
        <v>-434060.93</v>
      </c>
      <c r="AO635" s="853" t="str">
        <f>+VLOOKUP($AJ635,Data_Validation!$A:$D,1,0)</f>
        <v>G47100</v>
      </c>
      <c r="AP635" s="853" t="str">
        <f>+VLOOKUP($AJ635,Data_Validation!$A:$D,3,0)</f>
        <v>Carrosserie</v>
      </c>
      <c r="AQ635" s="853" t="str">
        <f>+VLOOKUP($AJ635,Data_Validation!$A:$D,4,0)</f>
        <v>Carrosserie Clients</v>
      </c>
      <c r="AR635" s="853" t="s">
        <v>728</v>
      </c>
      <c r="AS635" s="853" t="str">
        <f>+VLOOKUP($AJ635,Data_Validation!$A:$E,5,0)</f>
        <v>Oui</v>
      </c>
      <c r="AT635" s="794" t="str">
        <f t="shared" ref="AT635:AU635" si="1268">C635</f>
        <v>G47100</v>
      </c>
      <c r="AU635" s="854" t="str">
        <f t="shared" si="1268"/>
        <v>VTES-M.D. CLIENT CARROSS.</v>
      </c>
      <c r="AV635" s="794">
        <f t="array" ref="AV635">IFERROR(INDEX(V635:AG635,1,MATCH(Parametres!$B$3,V$1:AG$1,0)-1)*IF(OR(C635="L",C635="S",C635="I"),-1,1),"")</f>
        <v>286</v>
      </c>
      <c r="AW635" s="794">
        <f t="shared" si="6"/>
        <v>43</v>
      </c>
      <c r="AX635" s="794">
        <f t="array" ref="AX635">INDEX(V635:AG635,1,MATCH(Parametres!$B$3,V$1:AG$1,0))*IF(OR(C635="L",C635="S",C635="I"),-1,1)</f>
        <v>329</v>
      </c>
      <c r="AY635" s="853" t="s">
        <v>772</v>
      </c>
      <c r="AZ635" s="853" t="str">
        <f>+VLOOKUP($AJ635,Data_Validation!$A:$E,5,0)</f>
        <v>Oui</v>
      </c>
    </row>
    <row r="636" ht="15.0" customHeight="1">
      <c r="A636" s="849" t="s">
        <v>1239</v>
      </c>
      <c r="B636" s="849">
        <v>2025.0</v>
      </c>
      <c r="C636" s="849" t="s">
        <v>1166</v>
      </c>
      <c r="D636" s="849" t="s">
        <v>2765</v>
      </c>
      <c r="E636" s="849" t="s">
        <v>2701</v>
      </c>
      <c r="F636" s="849" t="s">
        <v>2426</v>
      </c>
      <c r="G636" s="849">
        <v>0.0</v>
      </c>
      <c r="H636" s="849">
        <v>0.0</v>
      </c>
      <c r="I636" s="849">
        <v>0.0</v>
      </c>
      <c r="J636" s="849">
        <v>301.6</v>
      </c>
      <c r="K636" s="849">
        <v>301.6</v>
      </c>
      <c r="L636" s="849">
        <v>540.8</v>
      </c>
      <c r="M636" s="849">
        <v>540.8</v>
      </c>
      <c r="N636" s="849">
        <v>540.8</v>
      </c>
      <c r="O636" s="849">
        <v>540.8</v>
      </c>
      <c r="P636" s="849">
        <v>540.8</v>
      </c>
      <c r="Q636" s="849">
        <v>540.8</v>
      </c>
      <c r="R636" s="849">
        <v>1808.45</v>
      </c>
      <c r="S636" s="849">
        <v>49.16</v>
      </c>
      <c r="T636" s="849">
        <v>49.16</v>
      </c>
      <c r="U636" s="849">
        <v>0.0</v>
      </c>
      <c r="V636" s="849">
        <v>0.0</v>
      </c>
      <c r="W636" s="849">
        <v>0.0</v>
      </c>
      <c r="X636" s="849">
        <v>0.0</v>
      </c>
      <c r="Y636" s="849">
        <v>1.0</v>
      </c>
      <c r="Z636" s="849">
        <v>1.0</v>
      </c>
      <c r="AA636" s="849">
        <v>2.0</v>
      </c>
      <c r="AB636" s="849">
        <v>2.0</v>
      </c>
      <c r="AC636" s="849">
        <v>2.0</v>
      </c>
      <c r="AD636" s="849">
        <v>2.0</v>
      </c>
      <c r="AE636" s="849">
        <v>2.0</v>
      </c>
      <c r="AF636" s="849">
        <v>2.0</v>
      </c>
      <c r="AG636" s="849">
        <v>4.0</v>
      </c>
      <c r="AH636" s="849">
        <v>0.0</v>
      </c>
      <c r="AI636" s="849">
        <v>0.0</v>
      </c>
      <c r="AJ636" s="794" t="str">
        <f t="shared" ref="AJ636:AK636" si="1269">C636</f>
        <v>G47200</v>
      </c>
      <c r="AK636" s="794" t="str">
        <f t="shared" si="1269"/>
        <v>VTES-M.D. CARROS.GARANTIE</v>
      </c>
      <c r="AL636" s="794">
        <f t="array" ref="AL636">IFERROR(INDEX(G636:R636,1,MATCH(Parametres!$B$3,G$1:R$1,0)-1)*IF(OR(F636="L",F636="S",F636="I"),-1,1),"")</f>
        <v>-540.8</v>
      </c>
      <c r="AM636" s="794">
        <f t="shared" si="4"/>
        <v>0</v>
      </c>
      <c r="AN636" s="794">
        <f t="array" ref="AN636">INDEX(G636:R636,1,MATCH(Parametres!$B$3,G$1:R$1,0))*IF(OR(F636="L",F636="S",F636="I"),-1,1)</f>
        <v>-540.8</v>
      </c>
      <c r="AO636" s="853" t="str">
        <f>+VLOOKUP($AJ636,Data_Validation!$A:$D,1,0)</f>
        <v>G47200</v>
      </c>
      <c r="AP636" s="853" t="str">
        <f>+VLOOKUP($AJ636,Data_Validation!$A:$D,3,0)</f>
        <v>Carrosserie</v>
      </c>
      <c r="AQ636" s="853" t="str">
        <f>+VLOOKUP($AJ636,Data_Validation!$A:$D,4,0)</f>
        <v>Carrosserie Interne</v>
      </c>
      <c r="AR636" s="853" t="s">
        <v>728</v>
      </c>
      <c r="AS636" s="853" t="str">
        <f>+VLOOKUP($AJ636,Data_Validation!$A:$E,5,0)</f>
        <v>Oui</v>
      </c>
      <c r="AT636" s="794" t="str">
        <f t="shared" ref="AT636:AU636" si="1270">C636</f>
        <v>G47200</v>
      </c>
      <c r="AU636" s="854" t="str">
        <f t="shared" si="1270"/>
        <v>VTES-M.D. CARROS.GARANTIE</v>
      </c>
      <c r="AV636" s="794">
        <f t="array" ref="AV636">IFERROR(INDEX(V636:AG636,1,MATCH(Parametres!$B$3,V$1:AG$1,0)-1)*IF(OR(C636="L",C636="S",C636="I"),-1,1),"")</f>
        <v>2</v>
      </c>
      <c r="AW636" s="794">
        <f t="shared" si="6"/>
        <v>0</v>
      </c>
      <c r="AX636" s="794">
        <f t="array" ref="AX636">INDEX(V636:AG636,1,MATCH(Parametres!$B$3,V$1:AG$1,0))*IF(OR(C636="L",C636="S",C636="I"),-1,1)</f>
        <v>2</v>
      </c>
      <c r="AY636" s="853" t="s">
        <v>772</v>
      </c>
      <c r="AZ636" s="853" t="str">
        <f>+VLOOKUP($AJ636,Data_Validation!$A:$E,5,0)</f>
        <v>Oui</v>
      </c>
    </row>
    <row r="637" ht="15.0" customHeight="1">
      <c r="A637" s="849" t="s">
        <v>1239</v>
      </c>
      <c r="B637" s="849">
        <v>2025.0</v>
      </c>
      <c r="C637" s="849" t="s">
        <v>1145</v>
      </c>
      <c r="D637" s="849" t="s">
        <v>3474</v>
      </c>
      <c r="E637" s="849" t="s">
        <v>2701</v>
      </c>
      <c r="F637" s="849" t="s">
        <v>2426</v>
      </c>
      <c r="G637" s="849">
        <v>1577.53</v>
      </c>
      <c r="H637" s="849">
        <v>3259.77</v>
      </c>
      <c r="I637" s="849">
        <v>3259.77</v>
      </c>
      <c r="J637" s="849">
        <v>8541.38</v>
      </c>
      <c r="K637" s="849">
        <v>14166.73</v>
      </c>
      <c r="L637" s="849">
        <v>19405.9</v>
      </c>
      <c r="M637" s="849">
        <v>25723.66</v>
      </c>
      <c r="N637" s="849">
        <v>31866.1</v>
      </c>
      <c r="O637" s="849">
        <v>41630.36</v>
      </c>
      <c r="P637" s="849">
        <v>47646.87</v>
      </c>
      <c r="Q637" s="849">
        <v>53884.2</v>
      </c>
      <c r="R637" s="849">
        <v>57859.83</v>
      </c>
      <c r="S637" s="849">
        <v>4898.56</v>
      </c>
      <c r="T637" s="849">
        <v>4898.56</v>
      </c>
      <c r="U637" s="849">
        <v>0.0</v>
      </c>
      <c r="V637" s="849">
        <v>3.0</v>
      </c>
      <c r="W637" s="849">
        <v>6.0</v>
      </c>
      <c r="X637" s="849">
        <v>6.0</v>
      </c>
      <c r="Y637" s="849">
        <v>13.0</v>
      </c>
      <c r="Z637" s="849">
        <v>21.0</v>
      </c>
      <c r="AA637" s="849">
        <v>29.0</v>
      </c>
      <c r="AB637" s="849">
        <v>40.0</v>
      </c>
      <c r="AC637" s="849">
        <v>54.0</v>
      </c>
      <c r="AD637" s="849">
        <v>67.0</v>
      </c>
      <c r="AE637" s="849">
        <v>81.0</v>
      </c>
      <c r="AF637" s="849">
        <v>89.0</v>
      </c>
      <c r="AG637" s="849">
        <v>92.0</v>
      </c>
      <c r="AH637" s="849">
        <v>8.0</v>
      </c>
      <c r="AI637" s="849">
        <v>8.0</v>
      </c>
      <c r="AJ637" s="794" t="str">
        <f t="shared" ref="AJ637:AK637" si="1271">C637</f>
        <v>G47300</v>
      </c>
      <c r="AK637" s="794" t="str">
        <f t="shared" si="1271"/>
        <v>VTES-M.D. CARROS.INTERNE</v>
      </c>
      <c r="AL637" s="794">
        <f t="array" ref="AL637">IFERROR(INDEX(G637:R637,1,MATCH(Parametres!$B$3,G$1:R$1,0)-1)*IF(OR(F637="L",F637="S",F637="I"),-1,1),"")</f>
        <v>-31866.1</v>
      </c>
      <c r="AM637" s="794">
        <f t="shared" si="4"/>
        <v>-9764.26</v>
      </c>
      <c r="AN637" s="794">
        <f t="array" ref="AN637">INDEX(G637:R637,1,MATCH(Parametres!$B$3,G$1:R$1,0))*IF(OR(F637="L",F637="S",F637="I"),-1,1)</f>
        <v>-41630.36</v>
      </c>
      <c r="AO637" s="853" t="str">
        <f>+VLOOKUP($AJ637,Data_Validation!$A:$D,1,0)</f>
        <v>G47300</v>
      </c>
      <c r="AP637" s="853" t="str">
        <f>+VLOOKUP($AJ637,Data_Validation!$A:$D,3,0)</f>
        <v>Carrosserie</v>
      </c>
      <c r="AQ637" s="853" t="str">
        <f>+VLOOKUP($AJ637,Data_Validation!$A:$D,4,0)</f>
        <v>Carrosserie Interne</v>
      </c>
      <c r="AR637" s="853" t="s">
        <v>728</v>
      </c>
      <c r="AS637" s="853" t="str">
        <f>+VLOOKUP($AJ637,Data_Validation!$A:$E,5,0)</f>
        <v>Oui</v>
      </c>
      <c r="AT637" s="794" t="str">
        <f t="shared" ref="AT637:AU637" si="1272">C637</f>
        <v>G47300</v>
      </c>
      <c r="AU637" s="854" t="str">
        <f t="shared" si="1272"/>
        <v>VTES-M.D. CARROS.INTERNE</v>
      </c>
      <c r="AV637" s="794">
        <f t="array" ref="AV637">IFERROR(INDEX(V637:AG637,1,MATCH(Parametres!$B$3,V$1:AG$1,0)-1)*IF(OR(C637="L",C637="S",C637="I"),-1,1),"")</f>
        <v>54</v>
      </c>
      <c r="AW637" s="794">
        <f t="shared" si="6"/>
        <v>13</v>
      </c>
      <c r="AX637" s="794">
        <f t="array" ref="AX637">INDEX(V637:AG637,1,MATCH(Parametres!$B$3,V$1:AG$1,0))*IF(OR(C637="L",C637="S",C637="I"),-1,1)</f>
        <v>67</v>
      </c>
      <c r="AY637" s="853" t="s">
        <v>772</v>
      </c>
      <c r="AZ637" s="853" t="str">
        <f>+VLOOKUP($AJ637,Data_Validation!$A:$E,5,0)</f>
        <v>Oui</v>
      </c>
    </row>
    <row r="638" ht="15.0" customHeight="1">
      <c r="A638" s="849" t="s">
        <v>1239</v>
      </c>
      <c r="B638" s="849">
        <v>2025.0</v>
      </c>
      <c r="C638" s="849" t="s">
        <v>2769</v>
      </c>
      <c r="D638" s="849" t="s">
        <v>2770</v>
      </c>
      <c r="E638" s="849" t="s">
        <v>768</v>
      </c>
      <c r="F638" s="849" t="s">
        <v>2426</v>
      </c>
      <c r="G638" s="849">
        <v>0.0</v>
      </c>
      <c r="H638" s="849">
        <v>0.0</v>
      </c>
      <c r="I638" s="849">
        <v>0.0</v>
      </c>
      <c r="J638" s="849">
        <v>0.0</v>
      </c>
      <c r="K638" s="849">
        <v>0.0</v>
      </c>
      <c r="L638" s="849">
        <v>0.0</v>
      </c>
      <c r="M638" s="849">
        <v>0.0</v>
      </c>
      <c r="N638" s="849">
        <v>0.0</v>
      </c>
      <c r="O638" s="849">
        <v>0.0</v>
      </c>
      <c r="P638" s="849">
        <v>0.0</v>
      </c>
      <c r="Q638" s="849">
        <v>0.0</v>
      </c>
      <c r="R638" s="849">
        <v>0.0</v>
      </c>
      <c r="S638" s="849">
        <v>0.0</v>
      </c>
      <c r="T638" s="849">
        <v>0.0</v>
      </c>
      <c r="U638" s="849">
        <v>0.0</v>
      </c>
      <c r="V638" s="849">
        <v>0.0</v>
      </c>
      <c r="W638" s="849">
        <v>0.0</v>
      </c>
      <c r="X638" s="849">
        <v>0.0</v>
      </c>
      <c r="Y638" s="849">
        <v>0.0</v>
      </c>
      <c r="Z638" s="849">
        <v>0.0</v>
      </c>
      <c r="AA638" s="849">
        <v>0.0</v>
      </c>
      <c r="AB638" s="849">
        <v>0.0</v>
      </c>
      <c r="AC638" s="849">
        <v>0.0</v>
      </c>
      <c r="AD638" s="849">
        <v>0.0</v>
      </c>
      <c r="AE638" s="849">
        <v>0.0</v>
      </c>
      <c r="AF638" s="849">
        <v>0.0</v>
      </c>
      <c r="AG638" s="849">
        <v>0.0</v>
      </c>
      <c r="AH638" s="849">
        <v>0.0</v>
      </c>
      <c r="AI638" s="849">
        <v>0.0</v>
      </c>
      <c r="AJ638" s="794" t="str">
        <f t="shared" ref="AJ638:AK638" si="1273">C638</f>
        <v>G47500</v>
      </c>
      <c r="AK638" s="794" t="str">
        <f t="shared" si="1273"/>
        <v>*TEMPS PERDU CARROSSERIE</v>
      </c>
      <c r="AL638" s="794">
        <f t="array" ref="AL638">IFERROR(INDEX(G638:R638,1,MATCH(Parametres!$B$3,G$1:R$1,0)-1)*IF(OR(F638="L",F638="S",F638="I"),-1,1),"")</f>
        <v>0</v>
      </c>
      <c r="AM638" s="794">
        <f t="shared" si="4"/>
        <v>0</v>
      </c>
      <c r="AN638" s="794">
        <f t="array" ref="AN638">INDEX(G638:R638,1,MATCH(Parametres!$B$3,G$1:R$1,0))*IF(OR(F638="L",F638="S",F638="I"),-1,1)</f>
        <v>0</v>
      </c>
      <c r="AO638" s="853" t="str">
        <f>+VLOOKUP($AJ638,Data_Validation!$A:$D,1,0)</f>
        <v>G47500</v>
      </c>
      <c r="AP638" s="853" t="str">
        <f>+VLOOKUP($AJ638,Data_Validation!$A:$D,3,0)</f>
        <v>Carrosserie</v>
      </c>
      <c r="AQ638" s="853" t="str">
        <f>+VLOOKUP($AJ638,Data_Validation!$A:$D,4,0)</f>
        <v>Ajustement M/O Carrosserie</v>
      </c>
      <c r="AR638" s="853" t="s">
        <v>728</v>
      </c>
      <c r="AS638" s="853" t="str">
        <f>+VLOOKUP($AJ638,Data_Validation!$A:$E,5,0)</f>
        <v>Oui</v>
      </c>
      <c r="AT638" s="794" t="str">
        <f t="shared" ref="AT638:AU638" si="1274">C638</f>
        <v>G47500</v>
      </c>
      <c r="AU638" s="854" t="str">
        <f t="shared" si="1274"/>
        <v>*TEMPS PERDU CARROSSERIE</v>
      </c>
      <c r="AV638" s="794">
        <f t="array" ref="AV638">IFERROR(INDEX(V638:AG638,1,MATCH(Parametres!$B$3,V$1:AG$1,0)-1)*IF(OR(C638="L",C638="S",C638="I"),-1,1),"")</f>
        <v>0</v>
      </c>
      <c r="AW638" s="794">
        <f t="shared" si="6"/>
        <v>0</v>
      </c>
      <c r="AX638" s="794">
        <f t="array" ref="AX638">INDEX(V638:AG638,1,MATCH(Parametres!$B$3,V$1:AG$1,0))*IF(OR(C638="L",C638="S",C638="I"),-1,1)</f>
        <v>0</v>
      </c>
      <c r="AY638" s="853" t="s">
        <v>772</v>
      </c>
      <c r="AZ638" s="853" t="str">
        <f>+VLOOKUP($AJ638,Data_Validation!$A:$E,5,0)</f>
        <v>Oui</v>
      </c>
    </row>
    <row r="639" ht="15.0" customHeight="1">
      <c r="A639" s="849" t="s">
        <v>1239</v>
      </c>
      <c r="B639" s="849">
        <v>2025.0</v>
      </c>
      <c r="C639" s="849" t="s">
        <v>1139</v>
      </c>
      <c r="D639" s="849" t="s">
        <v>2771</v>
      </c>
      <c r="E639" s="849" t="s">
        <v>2701</v>
      </c>
      <c r="F639" s="849" t="s">
        <v>2426</v>
      </c>
      <c r="G639" s="849">
        <v>69880.07</v>
      </c>
      <c r="H639" s="849">
        <v>157285.43</v>
      </c>
      <c r="I639" s="849">
        <v>252470.44</v>
      </c>
      <c r="J639" s="849">
        <v>323808.43</v>
      </c>
      <c r="K639" s="849">
        <v>393493.06</v>
      </c>
      <c r="L639" s="849">
        <v>463873.62</v>
      </c>
      <c r="M639" s="849">
        <v>585403.8</v>
      </c>
      <c r="N639" s="849">
        <v>684857.05</v>
      </c>
      <c r="O639" s="849">
        <v>771922.52</v>
      </c>
      <c r="P639" s="849">
        <v>842484.29</v>
      </c>
      <c r="Q639" s="849">
        <v>928898.84</v>
      </c>
      <c r="R639" s="849">
        <v>1009999.8</v>
      </c>
      <c r="S639" s="849">
        <v>84445.35</v>
      </c>
      <c r="T639" s="849">
        <v>84445.35</v>
      </c>
      <c r="U639" s="849">
        <v>0.0</v>
      </c>
      <c r="V639" s="849">
        <v>32.0</v>
      </c>
      <c r="W639" s="849">
        <v>69.0</v>
      </c>
      <c r="X639" s="849">
        <v>114.0</v>
      </c>
      <c r="Y639" s="849">
        <v>150.0</v>
      </c>
      <c r="Z639" s="849">
        <v>192.0</v>
      </c>
      <c r="AA639" s="849">
        <v>219.0</v>
      </c>
      <c r="AB639" s="849">
        <v>261.0</v>
      </c>
      <c r="AC639" s="849">
        <v>290.0</v>
      </c>
      <c r="AD639" s="849">
        <v>334.0</v>
      </c>
      <c r="AE639" s="849">
        <v>366.0</v>
      </c>
      <c r="AF639" s="849">
        <v>404.0</v>
      </c>
      <c r="AG639" s="849">
        <v>442.0</v>
      </c>
      <c r="AH639" s="849">
        <v>37.0</v>
      </c>
      <c r="AI639" s="849">
        <v>37.0</v>
      </c>
      <c r="AJ639" s="794" t="str">
        <f t="shared" ref="AJ639:AK639" si="1275">C639</f>
        <v>G47600</v>
      </c>
      <c r="AK639" s="794" t="str">
        <f t="shared" si="1275"/>
        <v>VTES-REP.SOUS-TRAITE BODY</v>
      </c>
      <c r="AL639" s="794">
        <f t="array" ref="AL639">IFERROR(INDEX(G639:R639,1,MATCH(Parametres!$B$3,G$1:R$1,0)-1)*IF(OR(F639="L",F639="S",F639="I"),-1,1),"")</f>
        <v>-684857.05</v>
      </c>
      <c r="AM639" s="794">
        <f t="shared" si="4"/>
        <v>-87065.47</v>
      </c>
      <c r="AN639" s="794">
        <f t="array" ref="AN639">INDEX(G639:R639,1,MATCH(Parametres!$B$3,G$1:R$1,0))*IF(OR(F639="L",F639="S",F639="I"),-1,1)</f>
        <v>-771922.52</v>
      </c>
      <c r="AO639" s="853" t="str">
        <f>+VLOOKUP($AJ639,Data_Validation!$A:$D,1,0)</f>
        <v>G47600</v>
      </c>
      <c r="AP639" s="853" t="str">
        <f>+VLOOKUP($AJ639,Data_Validation!$A:$D,3,0)</f>
        <v>Carrosserie</v>
      </c>
      <c r="AQ639" s="853" t="str">
        <f>+VLOOKUP($AJ639,Data_Validation!$A:$D,4,0)</f>
        <v>Carrosserie Clients</v>
      </c>
      <c r="AR639" s="853" t="s">
        <v>728</v>
      </c>
      <c r="AS639" s="853" t="str">
        <f>+VLOOKUP($AJ639,Data_Validation!$A:$E,5,0)</f>
        <v>Oui</v>
      </c>
      <c r="AT639" s="794" t="str">
        <f t="shared" ref="AT639:AU639" si="1276">C639</f>
        <v>G47600</v>
      </c>
      <c r="AU639" s="854" t="str">
        <f t="shared" si="1276"/>
        <v>VTES-REP.SOUS-TRAITE BODY</v>
      </c>
      <c r="AV639" s="794">
        <f t="array" ref="AV639">IFERROR(INDEX(V639:AG639,1,MATCH(Parametres!$B$3,V$1:AG$1,0)-1)*IF(OR(C639="L",C639="S",C639="I"),-1,1),"")</f>
        <v>290</v>
      </c>
      <c r="AW639" s="794">
        <f t="shared" si="6"/>
        <v>44</v>
      </c>
      <c r="AX639" s="794">
        <f t="array" ref="AX639">INDEX(V639:AG639,1,MATCH(Parametres!$B$3,V$1:AG$1,0))*IF(OR(C639="L",C639="S",C639="I"),-1,1)</f>
        <v>334</v>
      </c>
      <c r="AY639" s="853" t="s">
        <v>772</v>
      </c>
      <c r="AZ639" s="853" t="str">
        <f>+VLOOKUP($AJ639,Data_Validation!$A:$E,5,0)</f>
        <v>Oui</v>
      </c>
    </row>
    <row r="640" ht="15.0" customHeight="1">
      <c r="A640" s="849" t="s">
        <v>1239</v>
      </c>
      <c r="B640" s="849">
        <v>2025.0</v>
      </c>
      <c r="C640" s="849" t="s">
        <v>2780</v>
      </c>
      <c r="D640" s="849" t="s">
        <v>2781</v>
      </c>
      <c r="E640" s="849" t="s">
        <v>2701</v>
      </c>
      <c r="F640" s="849" t="s">
        <v>2426</v>
      </c>
      <c r="G640" s="849">
        <v>0.0</v>
      </c>
      <c r="H640" s="849">
        <v>0.0</v>
      </c>
      <c r="I640" s="849">
        <v>0.0</v>
      </c>
      <c r="J640" s="849">
        <v>0.0</v>
      </c>
      <c r="K640" s="849">
        <v>18.35</v>
      </c>
      <c r="L640" s="849">
        <v>18.35</v>
      </c>
      <c r="M640" s="849">
        <v>18.35</v>
      </c>
      <c r="N640" s="849">
        <v>18.35</v>
      </c>
      <c r="O640" s="849">
        <v>18.35</v>
      </c>
      <c r="P640" s="849">
        <v>380.2</v>
      </c>
      <c r="Q640" s="849">
        <v>380.2</v>
      </c>
      <c r="R640" s="849">
        <v>380.2</v>
      </c>
      <c r="S640" s="849">
        <v>34.56</v>
      </c>
      <c r="T640" s="849">
        <v>34.56</v>
      </c>
      <c r="U640" s="849">
        <v>0.0</v>
      </c>
      <c r="V640" s="849">
        <v>0.0</v>
      </c>
      <c r="W640" s="849">
        <v>0.0</v>
      </c>
      <c r="X640" s="849">
        <v>0.0</v>
      </c>
      <c r="Y640" s="849">
        <v>0.0</v>
      </c>
      <c r="Z640" s="849">
        <v>1.0</v>
      </c>
      <c r="AA640" s="849">
        <v>1.0</v>
      </c>
      <c r="AB640" s="849">
        <v>3.0</v>
      </c>
      <c r="AC640" s="849">
        <v>3.0</v>
      </c>
      <c r="AD640" s="849">
        <v>3.0</v>
      </c>
      <c r="AE640" s="849">
        <v>5.0</v>
      </c>
      <c r="AF640" s="849">
        <v>5.0</v>
      </c>
      <c r="AG640" s="849">
        <v>5.0</v>
      </c>
      <c r="AH640" s="849">
        <v>0.0</v>
      </c>
      <c r="AI640" s="849">
        <v>0.0</v>
      </c>
      <c r="AJ640" s="794" t="str">
        <f t="shared" ref="AJ640:AK640" si="1277">C640</f>
        <v>G47700</v>
      </c>
      <c r="AK640" s="794" t="str">
        <f t="shared" si="1277"/>
        <v>VENTE P&amp;A CLIENTS CAROSSE</v>
      </c>
      <c r="AL640" s="794">
        <f t="array" ref="AL640">IFERROR(INDEX(G640:R640,1,MATCH(Parametres!$B$3,G$1:R$1,0)-1)*IF(OR(F640="L",F640="S",F640="I"),-1,1),"")</f>
        <v>-18.35</v>
      </c>
      <c r="AM640" s="794">
        <f t="shared" si="4"/>
        <v>0</v>
      </c>
      <c r="AN640" s="794">
        <f t="array" ref="AN640">INDEX(G640:R640,1,MATCH(Parametres!$B$3,G$1:R$1,0))*IF(OR(F640="L",F640="S",F640="I"),-1,1)</f>
        <v>-18.35</v>
      </c>
      <c r="AO640" s="853" t="str">
        <f>+VLOOKUP($AJ640,Data_Validation!$A:$D,1,0)</f>
        <v>G47700</v>
      </c>
      <c r="AP640" s="853" t="str">
        <f>+VLOOKUP($AJ640,Data_Validation!$A:$D,3,0)</f>
        <v>Pièces</v>
      </c>
      <c r="AQ640" s="853" t="str">
        <f>+VLOOKUP($AJ640,Data_Validation!$A:$D,4,0)</f>
        <v>Pièces Ro Carrosserie</v>
      </c>
      <c r="AR640" s="853" t="s">
        <v>728</v>
      </c>
      <c r="AS640" s="853" t="str">
        <f>+VLOOKUP($AJ640,Data_Validation!$A:$E,5,0)</f>
        <v>Oui</v>
      </c>
      <c r="AT640" s="794" t="str">
        <f t="shared" ref="AT640:AU640" si="1278">C640</f>
        <v>G47700</v>
      </c>
      <c r="AU640" s="854" t="str">
        <f t="shared" si="1278"/>
        <v>VENTE P&amp;A CLIENTS CAROSSE</v>
      </c>
      <c r="AV640" s="794">
        <f t="array" ref="AV640">IFERROR(INDEX(V640:AG640,1,MATCH(Parametres!$B$3,V$1:AG$1,0)-1)*IF(OR(C640="L",C640="S",C640="I"),-1,1),"")</f>
        <v>3</v>
      </c>
      <c r="AW640" s="794">
        <f t="shared" si="6"/>
        <v>0</v>
      </c>
      <c r="AX640" s="794">
        <f t="array" ref="AX640">INDEX(V640:AG640,1,MATCH(Parametres!$B$3,V$1:AG$1,0))*IF(OR(C640="L",C640="S",C640="I"),-1,1)</f>
        <v>3</v>
      </c>
      <c r="AY640" s="853" t="s">
        <v>772</v>
      </c>
      <c r="AZ640" s="853" t="str">
        <f>+VLOOKUP($AJ640,Data_Validation!$A:$E,5,0)</f>
        <v>Oui</v>
      </c>
    </row>
    <row r="641" ht="15.0" customHeight="1">
      <c r="A641" s="849" t="s">
        <v>1239</v>
      </c>
      <c r="B641" s="849">
        <v>2025.0</v>
      </c>
      <c r="C641" s="849" t="s">
        <v>2782</v>
      </c>
      <c r="D641" s="849" t="s">
        <v>3479</v>
      </c>
      <c r="E641" s="849" t="s">
        <v>2701</v>
      </c>
      <c r="F641" s="849" t="s">
        <v>2426</v>
      </c>
      <c r="G641" s="849">
        <v>0.0</v>
      </c>
      <c r="H641" s="849">
        <v>0.0</v>
      </c>
      <c r="I641" s="849">
        <v>0.0</v>
      </c>
      <c r="J641" s="849">
        <v>0.0</v>
      </c>
      <c r="K641" s="849">
        <v>0.0</v>
      </c>
      <c r="L641" s="849">
        <v>0.0</v>
      </c>
      <c r="M641" s="849">
        <v>0.0</v>
      </c>
      <c r="N641" s="849">
        <v>0.0</v>
      </c>
      <c r="O641" s="849">
        <v>0.0</v>
      </c>
      <c r="P641" s="849">
        <v>0.0</v>
      </c>
      <c r="Q641" s="849">
        <v>0.0</v>
      </c>
      <c r="R641" s="849">
        <v>0.0</v>
      </c>
      <c r="S641" s="849">
        <v>0.0</v>
      </c>
      <c r="T641" s="849">
        <v>0.0</v>
      </c>
      <c r="U641" s="849">
        <v>0.0</v>
      </c>
      <c r="V641" s="849">
        <v>0.0</v>
      </c>
      <c r="W641" s="849">
        <v>0.0</v>
      </c>
      <c r="X641" s="849">
        <v>0.0</v>
      </c>
      <c r="Y641" s="849">
        <v>0.0</v>
      </c>
      <c r="Z641" s="849">
        <v>0.0</v>
      </c>
      <c r="AA641" s="849">
        <v>0.0</v>
      </c>
      <c r="AB641" s="849">
        <v>0.0</v>
      </c>
      <c r="AC641" s="849">
        <v>0.0</v>
      </c>
      <c r="AD641" s="849">
        <v>0.0</v>
      </c>
      <c r="AE641" s="849">
        <v>0.0</v>
      </c>
      <c r="AF641" s="849">
        <v>0.0</v>
      </c>
      <c r="AG641" s="849">
        <v>0.0</v>
      </c>
      <c r="AH641" s="849">
        <v>0.0</v>
      </c>
      <c r="AI641" s="849">
        <v>0.0</v>
      </c>
      <c r="AJ641" s="794" t="str">
        <f t="shared" ref="AJ641:AK641" si="1279">C641</f>
        <v>G47800</v>
      </c>
      <c r="AK641" s="794" t="str">
        <f t="shared" si="1279"/>
        <v>VTES-PCE CARR.CLIENT.CAM.</v>
      </c>
      <c r="AL641" s="794">
        <f t="array" ref="AL641">IFERROR(INDEX(G641:R641,1,MATCH(Parametres!$B$3,G$1:R$1,0)-1)*IF(OR(F641="L",F641="S",F641="I"),-1,1),"")</f>
        <v>0</v>
      </c>
      <c r="AM641" s="794">
        <f t="shared" si="4"/>
        <v>0</v>
      </c>
      <c r="AN641" s="794">
        <f t="array" ref="AN641">INDEX(G641:R641,1,MATCH(Parametres!$B$3,G$1:R$1,0))*IF(OR(F641="L",F641="S",F641="I"),-1,1)</f>
        <v>0</v>
      </c>
      <c r="AO641" s="853" t="str">
        <f>+VLOOKUP($AJ641,Data_Validation!$A:$D,1,0)</f>
        <v>G47800</v>
      </c>
      <c r="AP641" s="853" t="str">
        <f>+VLOOKUP($AJ641,Data_Validation!$A:$D,3,0)</f>
        <v/>
      </c>
      <c r="AQ641" s="853" t="str">
        <f>+VLOOKUP($AJ641,Data_Validation!$A:$D,4,0)</f>
        <v/>
      </c>
      <c r="AR641" s="853" t="s">
        <v>728</v>
      </c>
      <c r="AS641" s="853" t="str">
        <f>+VLOOKUP($AJ641,Data_Validation!$A:$E,5,0)</f>
        <v/>
      </c>
      <c r="AT641" s="794" t="str">
        <f t="shared" ref="AT641:AU641" si="1280">C641</f>
        <v>G47800</v>
      </c>
      <c r="AU641" s="854" t="str">
        <f t="shared" si="1280"/>
        <v>VTES-PCE CARR.CLIENT.CAM.</v>
      </c>
      <c r="AV641" s="794">
        <f t="array" ref="AV641">IFERROR(INDEX(V641:AG641,1,MATCH(Parametres!$B$3,V$1:AG$1,0)-1)*IF(OR(C641="L",C641="S",C641="I"),-1,1),"")</f>
        <v>0</v>
      </c>
      <c r="AW641" s="794">
        <f t="shared" si="6"/>
        <v>0</v>
      </c>
      <c r="AX641" s="794">
        <f t="array" ref="AX641">INDEX(V641:AG641,1,MATCH(Parametres!$B$3,V$1:AG$1,0))*IF(OR(C641="L",C641="S",C641="I"),-1,1)</f>
        <v>0</v>
      </c>
      <c r="AY641" s="853" t="s">
        <v>772</v>
      </c>
      <c r="AZ641" s="853" t="str">
        <f>+VLOOKUP($AJ641,Data_Validation!$A:$E,5,0)</f>
        <v/>
      </c>
    </row>
    <row r="642" ht="15.0" customHeight="1">
      <c r="A642" s="849" t="s">
        <v>1239</v>
      </c>
      <c r="B642" s="849">
        <v>2025.0</v>
      </c>
      <c r="C642" s="849" t="s">
        <v>2784</v>
      </c>
      <c r="D642" s="849" t="s">
        <v>2785</v>
      </c>
      <c r="E642" s="849" t="s">
        <v>2701</v>
      </c>
      <c r="F642" s="849" t="s">
        <v>2426</v>
      </c>
      <c r="G642" s="849">
        <v>0.0</v>
      </c>
      <c r="H642" s="849">
        <v>0.0</v>
      </c>
      <c r="I642" s="849">
        <v>0.0</v>
      </c>
      <c r="J642" s="849">
        <v>0.0</v>
      </c>
      <c r="K642" s="849">
        <v>0.0</v>
      </c>
      <c r="L642" s="849">
        <v>0.0</v>
      </c>
      <c r="M642" s="849">
        <v>0.0</v>
      </c>
      <c r="N642" s="849">
        <v>0.0</v>
      </c>
      <c r="O642" s="849">
        <v>0.0</v>
      </c>
      <c r="P642" s="849">
        <v>0.0</v>
      </c>
      <c r="Q642" s="849">
        <v>0.0</v>
      </c>
      <c r="R642" s="849">
        <v>0.0</v>
      </c>
      <c r="S642" s="849">
        <v>0.0</v>
      </c>
      <c r="T642" s="849">
        <v>0.0</v>
      </c>
      <c r="U642" s="849">
        <v>0.0</v>
      </c>
      <c r="V642" s="849">
        <v>0.0</v>
      </c>
      <c r="W642" s="849">
        <v>0.0</v>
      </c>
      <c r="X642" s="849">
        <v>0.0</v>
      </c>
      <c r="Y642" s="849">
        <v>0.0</v>
      </c>
      <c r="Z642" s="849">
        <v>0.0</v>
      </c>
      <c r="AA642" s="849">
        <v>0.0</v>
      </c>
      <c r="AB642" s="849">
        <v>0.0</v>
      </c>
      <c r="AC642" s="849">
        <v>0.0</v>
      </c>
      <c r="AD642" s="849">
        <v>0.0</v>
      </c>
      <c r="AE642" s="849">
        <v>0.0</v>
      </c>
      <c r="AF642" s="849">
        <v>0.0</v>
      </c>
      <c r="AG642" s="849">
        <v>0.0</v>
      </c>
      <c r="AH642" s="849">
        <v>0.0</v>
      </c>
      <c r="AI642" s="849">
        <v>0.0</v>
      </c>
      <c r="AJ642" s="794" t="str">
        <f t="shared" ref="AJ642:AK642" si="1281">C642</f>
        <v>G47840</v>
      </c>
      <c r="AK642" s="794" t="str">
        <f t="shared" si="1281"/>
        <v>VTES-PCE GOODW.CAM MOYEN</v>
      </c>
      <c r="AL642" s="794">
        <f t="array" ref="AL642">IFERROR(INDEX(G642:R642,1,MATCH(Parametres!$B$3,G$1:R$1,0)-1)*IF(OR(F642="L",F642="S",F642="I"),-1,1),"")</f>
        <v>0</v>
      </c>
      <c r="AM642" s="794">
        <f t="shared" si="4"/>
        <v>0</v>
      </c>
      <c r="AN642" s="794">
        <f t="array" ref="AN642">INDEX(G642:R642,1,MATCH(Parametres!$B$3,G$1:R$1,0))*IF(OR(F642="L",F642="S",F642="I"),-1,1)</f>
        <v>0</v>
      </c>
      <c r="AO642" s="853" t="str">
        <f>+VLOOKUP($AJ642,Data_Validation!$A:$D,1,0)</f>
        <v>G47840</v>
      </c>
      <c r="AP642" s="853" t="str">
        <f>+VLOOKUP($AJ642,Data_Validation!$A:$D,3,0)</f>
        <v/>
      </c>
      <c r="AQ642" s="853" t="str">
        <f>+VLOOKUP($AJ642,Data_Validation!$A:$D,4,0)</f>
        <v/>
      </c>
      <c r="AR642" s="853" t="s">
        <v>728</v>
      </c>
      <c r="AS642" s="853" t="str">
        <f>+VLOOKUP($AJ642,Data_Validation!$A:$E,5,0)</f>
        <v/>
      </c>
      <c r="AT642" s="794" t="str">
        <f t="shared" ref="AT642:AU642" si="1282">C642</f>
        <v>G47840</v>
      </c>
      <c r="AU642" s="854" t="str">
        <f t="shared" si="1282"/>
        <v>VTES-PCE GOODW.CAM MOYEN</v>
      </c>
      <c r="AV642" s="794">
        <f t="array" ref="AV642">IFERROR(INDEX(V642:AG642,1,MATCH(Parametres!$B$3,V$1:AG$1,0)-1)*IF(OR(C642="L",C642="S",C642="I"),-1,1),"")</f>
        <v>0</v>
      </c>
      <c r="AW642" s="794">
        <f t="shared" si="6"/>
        <v>0</v>
      </c>
      <c r="AX642" s="794">
        <f t="array" ref="AX642">INDEX(V642:AG642,1,MATCH(Parametres!$B$3,V$1:AG$1,0))*IF(OR(C642="L",C642="S",C642="I"),-1,1)</f>
        <v>0</v>
      </c>
      <c r="AY642" s="853" t="s">
        <v>772</v>
      </c>
      <c r="AZ642" s="853" t="str">
        <f>+VLOOKUP($AJ642,Data_Validation!$A:$E,5,0)</f>
        <v/>
      </c>
    </row>
    <row r="643" ht="15.0" customHeight="1">
      <c r="A643" s="849" t="s">
        <v>1239</v>
      </c>
      <c r="B643" s="849">
        <v>2025.0</v>
      </c>
      <c r="C643" s="849" t="s">
        <v>1133</v>
      </c>
      <c r="D643" s="849" t="s">
        <v>3480</v>
      </c>
      <c r="E643" s="849" t="s">
        <v>2701</v>
      </c>
      <c r="F643" s="849" t="s">
        <v>2426</v>
      </c>
      <c r="G643" s="849">
        <v>10115.42</v>
      </c>
      <c r="H643" s="849">
        <v>21902.48</v>
      </c>
      <c r="I643" s="849">
        <v>41473.81</v>
      </c>
      <c r="J643" s="849">
        <v>57255.67</v>
      </c>
      <c r="K643" s="849">
        <v>79431.76</v>
      </c>
      <c r="L643" s="849">
        <v>101196.01</v>
      </c>
      <c r="M643" s="849">
        <v>119697.03</v>
      </c>
      <c r="N643" s="849">
        <v>143609.99</v>
      </c>
      <c r="O643" s="849">
        <v>164958.9</v>
      </c>
      <c r="P643" s="849">
        <v>185071.66</v>
      </c>
      <c r="Q643" s="849">
        <v>208443.73</v>
      </c>
      <c r="R643" s="849">
        <v>223432.28</v>
      </c>
      <c r="S643" s="849">
        <v>18949.43</v>
      </c>
      <c r="T643" s="849">
        <v>18949.43</v>
      </c>
      <c r="U643" s="849">
        <v>0.0</v>
      </c>
      <c r="V643" s="849">
        <v>25.0</v>
      </c>
      <c r="W643" s="849">
        <v>46.0</v>
      </c>
      <c r="X643" s="849">
        <v>90.0</v>
      </c>
      <c r="Y643" s="849">
        <v>131.0</v>
      </c>
      <c r="Z643" s="849">
        <v>176.0</v>
      </c>
      <c r="AA643" s="849">
        <v>213.0</v>
      </c>
      <c r="AB643" s="849">
        <v>249.0</v>
      </c>
      <c r="AC643" s="849">
        <v>298.0</v>
      </c>
      <c r="AD643" s="849">
        <v>349.0</v>
      </c>
      <c r="AE643" s="849">
        <v>403.0</v>
      </c>
      <c r="AF643" s="849">
        <v>444.0</v>
      </c>
      <c r="AG643" s="849">
        <v>485.0</v>
      </c>
      <c r="AH643" s="849">
        <v>40.0</v>
      </c>
      <c r="AI643" s="849">
        <v>40.0</v>
      </c>
      <c r="AJ643" s="794" t="str">
        <f t="shared" ref="AJ643:AK643" si="1283">C643</f>
        <v>G47900</v>
      </c>
      <c r="AK643" s="794" t="str">
        <f t="shared" si="1283"/>
        <v>VTES-PEINTURE CARROSS.</v>
      </c>
      <c r="AL643" s="794">
        <f t="array" ref="AL643">IFERROR(INDEX(G643:R643,1,MATCH(Parametres!$B$3,G$1:R$1,0)-1)*IF(OR(F643="L",F643="S",F643="I"),-1,1),"")</f>
        <v>-143609.99</v>
      </c>
      <c r="AM643" s="794">
        <f t="shared" si="4"/>
        <v>-21348.91</v>
      </c>
      <c r="AN643" s="794">
        <f t="array" ref="AN643">INDEX(G643:R643,1,MATCH(Parametres!$B$3,G$1:R$1,0))*IF(OR(F643="L",F643="S",F643="I"),-1,1)</f>
        <v>-164958.9</v>
      </c>
      <c r="AO643" s="853" t="str">
        <f>+VLOOKUP($AJ643,Data_Validation!$A:$D,1,0)</f>
        <v>G47900</v>
      </c>
      <c r="AP643" s="853" t="str">
        <f>+VLOOKUP($AJ643,Data_Validation!$A:$D,3,0)</f>
        <v>Carrosserie</v>
      </c>
      <c r="AQ643" s="853" t="str">
        <f>+VLOOKUP($AJ643,Data_Validation!$A:$D,4,0)</f>
        <v>Carrosserie Clients</v>
      </c>
      <c r="AR643" s="853" t="s">
        <v>728</v>
      </c>
      <c r="AS643" s="853" t="str">
        <f>+VLOOKUP($AJ643,Data_Validation!$A:$E,5,0)</f>
        <v>Oui</v>
      </c>
      <c r="AT643" s="794" t="str">
        <f t="shared" ref="AT643:AU643" si="1284">C643</f>
        <v>G47900</v>
      </c>
      <c r="AU643" s="854" t="str">
        <f t="shared" si="1284"/>
        <v>VTES-PEINTURE CARROSS.</v>
      </c>
      <c r="AV643" s="794">
        <f t="array" ref="AV643">IFERROR(INDEX(V643:AG643,1,MATCH(Parametres!$B$3,V$1:AG$1,0)-1)*IF(OR(C643="L",C643="S",C643="I"),-1,1),"")</f>
        <v>298</v>
      </c>
      <c r="AW643" s="794">
        <f t="shared" si="6"/>
        <v>51</v>
      </c>
      <c r="AX643" s="794">
        <f t="array" ref="AX643">INDEX(V643:AG643,1,MATCH(Parametres!$B$3,V$1:AG$1,0))*IF(OR(C643="L",C643="S",C643="I"),-1,1)</f>
        <v>349</v>
      </c>
      <c r="AY643" s="853" t="s">
        <v>772</v>
      </c>
      <c r="AZ643" s="853" t="str">
        <f>+VLOOKUP($AJ643,Data_Validation!$A:$E,5,0)</f>
        <v>Oui</v>
      </c>
    </row>
    <row r="644" ht="15.0" customHeight="1">
      <c r="A644" s="849" t="s">
        <v>1239</v>
      </c>
      <c r="B644" s="849">
        <v>2025.0</v>
      </c>
      <c r="C644" s="849" t="s">
        <v>2792</v>
      </c>
      <c r="D644" s="849" t="s">
        <v>2793</v>
      </c>
      <c r="E644" s="849" t="s">
        <v>2701</v>
      </c>
      <c r="F644" s="849" t="s">
        <v>2426</v>
      </c>
      <c r="G644" s="849">
        <v>42272.94</v>
      </c>
      <c r="H644" s="849">
        <v>87862.63</v>
      </c>
      <c r="I644" s="849">
        <v>170081.83</v>
      </c>
      <c r="J644" s="849">
        <v>201755.58</v>
      </c>
      <c r="K644" s="849">
        <v>267103.39</v>
      </c>
      <c r="L644" s="849">
        <v>332790.12</v>
      </c>
      <c r="M644" s="849">
        <v>365806.88</v>
      </c>
      <c r="N644" s="849">
        <v>428312.76</v>
      </c>
      <c r="O644" s="849">
        <v>503144.04</v>
      </c>
      <c r="P644" s="849">
        <v>550663.39</v>
      </c>
      <c r="Q644" s="849">
        <v>576935.72</v>
      </c>
      <c r="R644" s="849">
        <v>609714.63</v>
      </c>
      <c r="S644" s="849">
        <v>52448.7</v>
      </c>
      <c r="T644" s="849">
        <v>52448.7</v>
      </c>
      <c r="U644" s="849">
        <v>0.0</v>
      </c>
      <c r="V644" s="849">
        <v>158.0</v>
      </c>
      <c r="W644" s="849">
        <v>329.0</v>
      </c>
      <c r="X644" s="849">
        <v>545.0</v>
      </c>
      <c r="Y644" s="849">
        <v>751.0</v>
      </c>
      <c r="Z644" s="849">
        <v>973.0</v>
      </c>
      <c r="AA644" s="849">
        <v>1175.0</v>
      </c>
      <c r="AB644" s="849">
        <v>1356.0</v>
      </c>
      <c r="AC644" s="849">
        <v>1581.0</v>
      </c>
      <c r="AD644" s="849">
        <v>1804.0</v>
      </c>
      <c r="AE644" s="849">
        <v>1993.0</v>
      </c>
      <c r="AF644" s="849">
        <v>2142.0</v>
      </c>
      <c r="AG644" s="849">
        <v>2319.0</v>
      </c>
      <c r="AH644" s="849">
        <v>195.0</v>
      </c>
      <c r="AI644" s="849">
        <v>195.0</v>
      </c>
      <c r="AJ644" s="794" t="str">
        <f t="shared" ref="AJ644:AK644" si="1285">C644</f>
        <v>G48000</v>
      </c>
      <c r="AK644" s="794" t="str">
        <f t="shared" si="1285"/>
        <v>VTES-PIECES GARANTIES</v>
      </c>
      <c r="AL644" s="794">
        <f t="array" ref="AL644">IFERROR(INDEX(G644:R644,1,MATCH(Parametres!$B$3,G$1:R$1,0)-1)*IF(OR(F644="L",F644="S",F644="I"),-1,1),"")</f>
        <v>-428312.76</v>
      </c>
      <c r="AM644" s="794">
        <f t="shared" si="4"/>
        <v>-74831.28</v>
      </c>
      <c r="AN644" s="794">
        <f t="array" ref="AN644">INDEX(G644:R644,1,MATCH(Parametres!$B$3,G$1:R$1,0))*IF(OR(F644="L",F644="S",F644="I"),-1,1)</f>
        <v>-503144.04</v>
      </c>
      <c r="AO644" s="853" t="str">
        <f>+VLOOKUP($AJ644,Data_Validation!$A:$D,1,0)</f>
        <v>G48000</v>
      </c>
      <c r="AP644" s="853" t="str">
        <f>+VLOOKUP($AJ644,Data_Validation!$A:$D,3,0)</f>
        <v>Pièces</v>
      </c>
      <c r="AQ644" s="853" t="str">
        <f>+VLOOKUP($AJ644,Data_Validation!$A:$D,4,0)</f>
        <v>P/A Garantie</v>
      </c>
      <c r="AR644" s="853" t="s">
        <v>728</v>
      </c>
      <c r="AS644" s="853" t="str">
        <f>+VLOOKUP($AJ644,Data_Validation!$A:$E,5,0)</f>
        <v>Oui</v>
      </c>
      <c r="AT644" s="794" t="str">
        <f t="shared" ref="AT644:AU644" si="1286">C644</f>
        <v>G48000</v>
      </c>
      <c r="AU644" s="854" t="str">
        <f t="shared" si="1286"/>
        <v>VTES-PIECES GARANTIES</v>
      </c>
      <c r="AV644" s="794">
        <f t="array" ref="AV644">IFERROR(INDEX(V644:AG644,1,MATCH(Parametres!$B$3,V$1:AG$1,0)-1)*IF(OR(C644="L",C644="S",C644="I"),-1,1),"")</f>
        <v>1581</v>
      </c>
      <c r="AW644" s="794">
        <f t="shared" si="6"/>
        <v>223</v>
      </c>
      <c r="AX644" s="794">
        <f t="array" ref="AX644">INDEX(V644:AG644,1,MATCH(Parametres!$B$3,V$1:AG$1,0))*IF(OR(C644="L",C644="S",C644="I"),-1,1)</f>
        <v>1804</v>
      </c>
      <c r="AY644" s="853" t="s">
        <v>772</v>
      </c>
      <c r="AZ644" s="853" t="str">
        <f>+VLOOKUP($AJ644,Data_Validation!$A:$E,5,0)</f>
        <v>Oui</v>
      </c>
    </row>
    <row r="645" ht="15.0" customHeight="1">
      <c r="A645" s="849" t="s">
        <v>1239</v>
      </c>
      <c r="B645" s="849">
        <v>2025.0</v>
      </c>
      <c r="C645" s="849" t="s">
        <v>2794</v>
      </c>
      <c r="D645" s="849" t="s">
        <v>2795</v>
      </c>
      <c r="E645" s="849" t="s">
        <v>2701</v>
      </c>
      <c r="F645" s="849" t="s">
        <v>2426</v>
      </c>
      <c r="G645" s="849">
        <v>0.0</v>
      </c>
      <c r="H645" s="849">
        <v>0.0</v>
      </c>
      <c r="I645" s="849">
        <v>0.0</v>
      </c>
      <c r="J645" s="849">
        <v>0.0</v>
      </c>
      <c r="K645" s="849">
        <v>0.0</v>
      </c>
      <c r="L645" s="849">
        <v>0.0</v>
      </c>
      <c r="M645" s="849">
        <v>0.0</v>
      </c>
      <c r="N645" s="849">
        <v>0.0</v>
      </c>
      <c r="O645" s="849">
        <v>0.0</v>
      </c>
      <c r="P645" s="849">
        <v>0.0</v>
      </c>
      <c r="Q645" s="849">
        <v>0.0</v>
      </c>
      <c r="R645" s="849">
        <v>0.0</v>
      </c>
      <c r="S645" s="849">
        <v>0.0</v>
      </c>
      <c r="T645" s="849">
        <v>0.0</v>
      </c>
      <c r="U645" s="849">
        <v>0.0</v>
      </c>
      <c r="V645" s="849">
        <v>0.0</v>
      </c>
      <c r="W645" s="849">
        <v>0.0</v>
      </c>
      <c r="X645" s="849">
        <v>0.0</v>
      </c>
      <c r="Y645" s="849">
        <v>0.0</v>
      </c>
      <c r="Z645" s="849">
        <v>0.0</v>
      </c>
      <c r="AA645" s="849">
        <v>0.0</v>
      </c>
      <c r="AB645" s="849">
        <v>0.0</v>
      </c>
      <c r="AC645" s="849">
        <v>0.0</v>
      </c>
      <c r="AD645" s="849">
        <v>0.0</v>
      </c>
      <c r="AE645" s="849">
        <v>0.0</v>
      </c>
      <c r="AF645" s="849">
        <v>0.0</v>
      </c>
      <c r="AG645" s="849">
        <v>0.0</v>
      </c>
      <c r="AH645" s="849">
        <v>0.0</v>
      </c>
      <c r="AI645" s="849">
        <v>0.0</v>
      </c>
      <c r="AJ645" s="794" t="str">
        <f t="shared" ref="AJ645:AK645" si="1287">C645</f>
        <v>G48020</v>
      </c>
      <c r="AK645" s="794" t="str">
        <f t="shared" si="1287"/>
        <v>VTES-PCE RECLAM.CAM MOYEN</v>
      </c>
      <c r="AL645" s="794">
        <f t="array" ref="AL645">IFERROR(INDEX(G645:R645,1,MATCH(Parametres!$B$3,G$1:R$1,0)-1)*IF(OR(F645="L",F645="S",F645="I"),-1,1),"")</f>
        <v>0</v>
      </c>
      <c r="AM645" s="794">
        <f t="shared" si="4"/>
        <v>0</v>
      </c>
      <c r="AN645" s="794">
        <f t="array" ref="AN645">INDEX(G645:R645,1,MATCH(Parametres!$B$3,G$1:R$1,0))*IF(OR(F645="L",F645="S",F645="I"),-1,1)</f>
        <v>0</v>
      </c>
      <c r="AO645" s="853" t="str">
        <f>+VLOOKUP($AJ645,Data_Validation!$A:$D,1,0)</f>
        <v>G48020</v>
      </c>
      <c r="AP645" s="853" t="str">
        <f>+VLOOKUP($AJ645,Data_Validation!$A:$D,3,0)</f>
        <v>Pièces</v>
      </c>
      <c r="AQ645" s="853" t="str">
        <f>+VLOOKUP($AJ645,Data_Validation!$A:$D,4,0)</f>
        <v>P/A Garantie</v>
      </c>
      <c r="AR645" s="853" t="s">
        <v>728</v>
      </c>
      <c r="AS645" s="853" t="str">
        <f>+VLOOKUP($AJ645,Data_Validation!$A:$E,5,0)</f>
        <v>Oui</v>
      </c>
      <c r="AT645" s="794" t="str">
        <f t="shared" ref="AT645:AU645" si="1288">C645</f>
        <v>G48020</v>
      </c>
      <c r="AU645" s="854" t="str">
        <f t="shared" si="1288"/>
        <v>VTES-PCE RECLAM.CAM MOYEN</v>
      </c>
      <c r="AV645" s="794">
        <f t="array" ref="AV645">IFERROR(INDEX(V645:AG645,1,MATCH(Parametres!$B$3,V$1:AG$1,0)-1)*IF(OR(C645="L",C645="S",C645="I"),-1,1),"")</f>
        <v>0</v>
      </c>
      <c r="AW645" s="794">
        <f t="shared" si="6"/>
        <v>0</v>
      </c>
      <c r="AX645" s="794">
        <f t="array" ref="AX645">INDEX(V645:AG645,1,MATCH(Parametres!$B$3,V$1:AG$1,0))*IF(OR(C645="L",C645="S",C645="I"),-1,1)</f>
        <v>0</v>
      </c>
      <c r="AY645" s="853" t="s">
        <v>772</v>
      </c>
      <c r="AZ645" s="853" t="str">
        <f>+VLOOKUP($AJ645,Data_Validation!$A:$E,5,0)</f>
        <v>Oui</v>
      </c>
    </row>
    <row r="646" ht="15.0" customHeight="1">
      <c r="A646" s="849" t="s">
        <v>1239</v>
      </c>
      <c r="B646" s="849">
        <v>2025.0</v>
      </c>
      <c r="C646" s="849" t="s">
        <v>2796</v>
      </c>
      <c r="D646" s="849" t="s">
        <v>2797</v>
      </c>
      <c r="E646" s="849" t="s">
        <v>2701</v>
      </c>
      <c r="F646" s="849" t="s">
        <v>2426</v>
      </c>
      <c r="G646" s="849">
        <v>105412.71</v>
      </c>
      <c r="H646" s="849">
        <v>173089.88</v>
      </c>
      <c r="I646" s="849">
        <v>221777.49</v>
      </c>
      <c r="J646" s="849">
        <v>279288.38</v>
      </c>
      <c r="K646" s="849">
        <v>359974.49</v>
      </c>
      <c r="L646" s="849">
        <v>403023.06</v>
      </c>
      <c r="M646" s="849">
        <v>466549.07</v>
      </c>
      <c r="N646" s="849">
        <v>507378.83</v>
      </c>
      <c r="O646" s="849">
        <v>554121.39</v>
      </c>
      <c r="P646" s="849">
        <v>603735.04</v>
      </c>
      <c r="Q646" s="849">
        <v>647816.81</v>
      </c>
      <c r="R646" s="849">
        <v>690852.63</v>
      </c>
      <c r="S646" s="849">
        <v>58892.44</v>
      </c>
      <c r="T646" s="849">
        <v>58892.44</v>
      </c>
      <c r="U646" s="849">
        <v>0.0</v>
      </c>
      <c r="V646" s="849">
        <v>170.0</v>
      </c>
      <c r="W646" s="849">
        <v>266.0</v>
      </c>
      <c r="X646" s="849">
        <v>462.0</v>
      </c>
      <c r="Y646" s="849">
        <v>661.0</v>
      </c>
      <c r="Z646" s="849">
        <v>901.0</v>
      </c>
      <c r="AA646" s="849">
        <v>1124.0</v>
      </c>
      <c r="AB646" s="849">
        <v>1300.0</v>
      </c>
      <c r="AC646" s="849">
        <v>1434.0</v>
      </c>
      <c r="AD646" s="849">
        <v>1610.0</v>
      </c>
      <c r="AE646" s="849">
        <v>1763.0</v>
      </c>
      <c r="AF646" s="849">
        <v>1896.0</v>
      </c>
      <c r="AG646" s="849">
        <v>2054.0</v>
      </c>
      <c r="AH646" s="849">
        <v>172.0</v>
      </c>
      <c r="AI646" s="849">
        <v>172.0</v>
      </c>
      <c r="AJ646" s="794" t="str">
        <f t="shared" ref="AJ646:AK646" si="1289">C646</f>
        <v>G48100</v>
      </c>
      <c r="AK646" s="794" t="str">
        <f t="shared" si="1289"/>
        <v>VTES-PIECES INTERNE</v>
      </c>
      <c r="AL646" s="794">
        <f t="array" ref="AL646">IFERROR(INDEX(G646:R646,1,MATCH(Parametres!$B$3,G$1:R$1,0)-1)*IF(OR(F646="L",F646="S",F646="I"),-1,1),"")</f>
        <v>-507378.83</v>
      </c>
      <c r="AM646" s="794">
        <f t="shared" si="4"/>
        <v>-46742.56</v>
      </c>
      <c r="AN646" s="794">
        <f t="array" ref="AN646">INDEX(G646:R646,1,MATCH(Parametres!$B$3,G$1:R$1,0))*IF(OR(F646="L",F646="S",F646="I"),-1,1)</f>
        <v>-554121.39</v>
      </c>
      <c r="AO646" s="853" t="str">
        <f>+VLOOKUP($AJ646,Data_Validation!$A:$D,1,0)</f>
        <v>G48100</v>
      </c>
      <c r="AP646" s="853" t="str">
        <f>+VLOOKUP($AJ646,Data_Validation!$A:$D,3,0)</f>
        <v>Pièces</v>
      </c>
      <c r="AQ646" s="853" t="str">
        <f>+VLOOKUP($AJ646,Data_Validation!$A:$D,4,0)</f>
        <v>Ventes Internes</v>
      </c>
      <c r="AR646" s="853" t="s">
        <v>728</v>
      </c>
      <c r="AS646" s="853" t="str">
        <f>+VLOOKUP($AJ646,Data_Validation!$A:$E,5,0)</f>
        <v>Oui</v>
      </c>
      <c r="AT646" s="794" t="str">
        <f t="shared" ref="AT646:AU646" si="1290">C646</f>
        <v>G48100</v>
      </c>
      <c r="AU646" s="854" t="str">
        <f t="shared" si="1290"/>
        <v>VTES-PIECES INTERNE</v>
      </c>
      <c r="AV646" s="794">
        <f t="array" ref="AV646">IFERROR(INDEX(V646:AG646,1,MATCH(Parametres!$B$3,V$1:AG$1,0)-1)*IF(OR(C646="L",C646="S",C646="I"),-1,1),"")</f>
        <v>1434</v>
      </c>
      <c r="AW646" s="794">
        <f t="shared" si="6"/>
        <v>176</v>
      </c>
      <c r="AX646" s="794">
        <f t="array" ref="AX646">INDEX(V646:AG646,1,MATCH(Parametres!$B$3,V$1:AG$1,0))*IF(OR(C646="L",C646="S",C646="I"),-1,1)</f>
        <v>1610</v>
      </c>
      <c r="AY646" s="853" t="s">
        <v>772</v>
      </c>
      <c r="AZ646" s="853" t="str">
        <f>+VLOOKUP($AJ646,Data_Validation!$A:$E,5,0)</f>
        <v>Oui</v>
      </c>
    </row>
    <row r="647" ht="15.0" customHeight="1">
      <c r="A647" s="849" t="s">
        <v>1239</v>
      </c>
      <c r="B647" s="849">
        <v>2025.0</v>
      </c>
      <c r="C647" s="849" t="s">
        <v>2798</v>
      </c>
      <c r="D647" s="849" t="s">
        <v>2799</v>
      </c>
      <c r="E647" s="849" t="s">
        <v>2701</v>
      </c>
      <c r="F647" s="849" t="s">
        <v>2426</v>
      </c>
      <c r="G647" s="849">
        <v>0.0</v>
      </c>
      <c r="H647" s="849">
        <v>0.0</v>
      </c>
      <c r="I647" s="849">
        <v>0.0</v>
      </c>
      <c r="J647" s="849">
        <v>0.0</v>
      </c>
      <c r="K647" s="849">
        <v>0.0</v>
      </c>
      <c r="L647" s="849">
        <v>0.0</v>
      </c>
      <c r="M647" s="849">
        <v>0.0</v>
      </c>
      <c r="N647" s="849">
        <v>0.0</v>
      </c>
      <c r="O647" s="849">
        <v>0.0</v>
      </c>
      <c r="P647" s="849">
        <v>0.0</v>
      </c>
      <c r="Q647" s="849">
        <v>0.0</v>
      </c>
      <c r="R647" s="849">
        <v>0.0</v>
      </c>
      <c r="S647" s="849">
        <v>0.0</v>
      </c>
      <c r="T647" s="849">
        <v>0.0</v>
      </c>
      <c r="U647" s="849">
        <v>0.0</v>
      </c>
      <c r="V647" s="849">
        <v>0.0</v>
      </c>
      <c r="W647" s="849">
        <v>0.0</v>
      </c>
      <c r="X647" s="849">
        <v>0.0</v>
      </c>
      <c r="Y647" s="849">
        <v>0.0</v>
      </c>
      <c r="Z647" s="849">
        <v>0.0</v>
      </c>
      <c r="AA647" s="849">
        <v>0.0</v>
      </c>
      <c r="AB647" s="849">
        <v>0.0</v>
      </c>
      <c r="AC647" s="849">
        <v>0.0</v>
      </c>
      <c r="AD647" s="849">
        <v>0.0</v>
      </c>
      <c r="AE647" s="849">
        <v>0.0</v>
      </c>
      <c r="AF647" s="849">
        <v>0.0</v>
      </c>
      <c r="AG647" s="849">
        <v>0.0</v>
      </c>
      <c r="AH647" s="849">
        <v>0.0</v>
      </c>
      <c r="AI647" s="849">
        <v>0.0</v>
      </c>
      <c r="AJ647" s="794" t="str">
        <f t="shared" ref="AJ647:AK647" si="1291">C647</f>
        <v>G48120</v>
      </c>
      <c r="AK647" s="794" t="str">
        <f t="shared" si="1291"/>
        <v>VTES-PCE INTERN CAM MOYEN</v>
      </c>
      <c r="AL647" s="794">
        <f t="array" ref="AL647">IFERROR(INDEX(G647:R647,1,MATCH(Parametres!$B$3,G$1:R$1,0)-1)*IF(OR(F647="L",F647="S",F647="I"),-1,1),"")</f>
        <v>0</v>
      </c>
      <c r="AM647" s="794">
        <f t="shared" si="4"/>
        <v>0</v>
      </c>
      <c r="AN647" s="794">
        <f t="array" ref="AN647">INDEX(G647:R647,1,MATCH(Parametres!$B$3,G$1:R$1,0))*IF(OR(F647="L",F647="S",F647="I"),-1,1)</f>
        <v>0</v>
      </c>
      <c r="AO647" s="853" t="str">
        <f>+VLOOKUP($AJ647,Data_Validation!$A:$D,1,0)</f>
        <v>G48120</v>
      </c>
      <c r="AP647" s="853" t="str">
        <f>+VLOOKUP($AJ647,Data_Validation!$A:$D,3,0)</f>
        <v>Pièces</v>
      </c>
      <c r="AQ647" s="853" t="str">
        <f>+VLOOKUP($AJ647,Data_Validation!$A:$D,4,0)</f>
        <v>Ventes Internes</v>
      </c>
      <c r="AR647" s="853" t="s">
        <v>728</v>
      </c>
      <c r="AS647" s="853" t="str">
        <f>+VLOOKUP($AJ647,Data_Validation!$A:$E,5,0)</f>
        <v>Oui</v>
      </c>
      <c r="AT647" s="794" t="str">
        <f t="shared" ref="AT647:AU647" si="1292">C647</f>
        <v>G48120</v>
      </c>
      <c r="AU647" s="854" t="str">
        <f t="shared" si="1292"/>
        <v>VTES-PCE INTERN CAM MOYEN</v>
      </c>
      <c r="AV647" s="794">
        <f t="array" ref="AV647">IFERROR(INDEX(V647:AG647,1,MATCH(Parametres!$B$3,V$1:AG$1,0)-1)*IF(OR(C647="L",C647="S",C647="I"),-1,1),"")</f>
        <v>0</v>
      </c>
      <c r="AW647" s="794">
        <f t="shared" si="6"/>
        <v>0</v>
      </c>
      <c r="AX647" s="794">
        <f t="array" ref="AX647">INDEX(V647:AG647,1,MATCH(Parametres!$B$3,V$1:AG$1,0))*IF(OR(C647="L",C647="S",C647="I"),-1,1)</f>
        <v>0</v>
      </c>
      <c r="AY647" s="853" t="s">
        <v>772</v>
      </c>
      <c r="AZ647" s="853" t="str">
        <f>+VLOOKUP($AJ647,Data_Validation!$A:$E,5,0)</f>
        <v>Oui</v>
      </c>
    </row>
    <row r="648" ht="15.0" customHeight="1">
      <c r="A648" s="849" t="s">
        <v>1239</v>
      </c>
      <c r="B648" s="849">
        <v>2025.0</v>
      </c>
      <c r="C648" s="849" t="s">
        <v>2800</v>
      </c>
      <c r="D648" s="849" t="s">
        <v>2801</v>
      </c>
      <c r="E648" s="849" t="s">
        <v>2701</v>
      </c>
      <c r="F648" s="849" t="s">
        <v>2426</v>
      </c>
      <c r="G648" s="849">
        <v>37724.15</v>
      </c>
      <c r="H648" s="849">
        <v>61638.98</v>
      </c>
      <c r="I648" s="849">
        <v>95861.21</v>
      </c>
      <c r="J648" s="849">
        <v>117976.27</v>
      </c>
      <c r="K648" s="849">
        <v>154573.36</v>
      </c>
      <c r="L648" s="849">
        <v>185170.21</v>
      </c>
      <c r="M648" s="849">
        <v>207538.42</v>
      </c>
      <c r="N648" s="849">
        <v>244698.56</v>
      </c>
      <c r="O648" s="849">
        <v>273759.69</v>
      </c>
      <c r="P648" s="849">
        <v>301635.98</v>
      </c>
      <c r="Q648" s="849">
        <v>338397.84</v>
      </c>
      <c r="R648" s="849">
        <v>361385.58</v>
      </c>
      <c r="S648" s="849">
        <v>30763.44</v>
      </c>
      <c r="T648" s="849">
        <v>30763.44</v>
      </c>
      <c r="U648" s="849">
        <v>0.0</v>
      </c>
      <c r="V648" s="849">
        <v>197.0</v>
      </c>
      <c r="W648" s="849">
        <v>306.0</v>
      </c>
      <c r="X648" s="849">
        <v>459.0</v>
      </c>
      <c r="Y648" s="849">
        <v>612.0</v>
      </c>
      <c r="Z648" s="849">
        <v>793.0</v>
      </c>
      <c r="AA648" s="849">
        <v>931.0</v>
      </c>
      <c r="AB648" s="849">
        <v>1061.0</v>
      </c>
      <c r="AC648" s="849">
        <v>1210.0</v>
      </c>
      <c r="AD648" s="849">
        <v>1365.0</v>
      </c>
      <c r="AE648" s="849">
        <v>1554.0</v>
      </c>
      <c r="AF648" s="849">
        <v>1720.0</v>
      </c>
      <c r="AG648" s="849">
        <v>1858.0</v>
      </c>
      <c r="AH648" s="849">
        <v>156.0</v>
      </c>
      <c r="AI648" s="849">
        <v>156.0</v>
      </c>
      <c r="AJ648" s="794" t="str">
        <f t="shared" ref="AJ648:AK648" si="1293">C648</f>
        <v>G48200</v>
      </c>
      <c r="AK648" s="794" t="str">
        <f t="shared" si="1293"/>
        <v>VTES-PIECES AU DETAIL</v>
      </c>
      <c r="AL648" s="794">
        <f t="array" ref="AL648">IFERROR(INDEX(G648:R648,1,MATCH(Parametres!$B$3,G$1:R$1,0)-1)*IF(OR(F648="L",F648="S",F648="I"),-1,1),"")</f>
        <v>-244698.56</v>
      </c>
      <c r="AM648" s="794">
        <f t="shared" si="4"/>
        <v>-29061.13</v>
      </c>
      <c r="AN648" s="794">
        <f t="array" ref="AN648">INDEX(G648:R648,1,MATCH(Parametres!$B$3,G$1:R$1,0))*IF(OR(F648="L",F648="S",F648="I"),-1,1)</f>
        <v>-273759.69</v>
      </c>
      <c r="AO648" s="853" t="str">
        <f>+VLOOKUP($AJ648,Data_Validation!$A:$D,1,0)</f>
        <v>G48200</v>
      </c>
      <c r="AP648" s="853" t="str">
        <f>+VLOOKUP($AJ648,Data_Validation!$A:$D,3,0)</f>
        <v>Pièces</v>
      </c>
      <c r="AQ648" s="853" t="str">
        <f>+VLOOKUP($AJ648,Data_Validation!$A:$D,4,0)</f>
        <v>Ventes Détails</v>
      </c>
      <c r="AR648" s="853" t="s">
        <v>728</v>
      </c>
      <c r="AS648" s="853" t="str">
        <f>+VLOOKUP($AJ648,Data_Validation!$A:$E,5,0)</f>
        <v>Oui</v>
      </c>
      <c r="AT648" s="794" t="str">
        <f t="shared" ref="AT648:AU648" si="1294">C648</f>
        <v>G48200</v>
      </c>
      <c r="AU648" s="854" t="str">
        <f t="shared" si="1294"/>
        <v>VTES-PIECES AU DETAIL</v>
      </c>
      <c r="AV648" s="794">
        <f t="array" ref="AV648">IFERROR(INDEX(V648:AG648,1,MATCH(Parametres!$B$3,V$1:AG$1,0)-1)*IF(OR(C648="L",C648="S",C648="I"),-1,1),"")</f>
        <v>1210</v>
      </c>
      <c r="AW648" s="794">
        <f t="shared" si="6"/>
        <v>155</v>
      </c>
      <c r="AX648" s="794">
        <f t="array" ref="AX648">INDEX(V648:AG648,1,MATCH(Parametres!$B$3,V$1:AG$1,0))*IF(OR(C648="L",C648="S",C648="I"),-1,1)</f>
        <v>1365</v>
      </c>
      <c r="AY648" s="853" t="s">
        <v>772</v>
      </c>
      <c r="AZ648" s="853" t="str">
        <f>+VLOOKUP($AJ648,Data_Validation!$A:$E,5,0)</f>
        <v>Oui</v>
      </c>
    </row>
    <row r="649" ht="15.0" customHeight="1">
      <c r="A649" s="849" t="s">
        <v>1239</v>
      </c>
      <c r="B649" s="849">
        <v>2025.0</v>
      </c>
      <c r="C649" s="849" t="s">
        <v>2802</v>
      </c>
      <c r="D649" s="849" t="s">
        <v>2803</v>
      </c>
      <c r="E649" s="849" t="s">
        <v>2701</v>
      </c>
      <c r="F649" s="849" t="s">
        <v>2426</v>
      </c>
      <c r="G649" s="849">
        <v>122932.1</v>
      </c>
      <c r="H649" s="849">
        <v>266077.17</v>
      </c>
      <c r="I649" s="849">
        <v>418248.82</v>
      </c>
      <c r="J649" s="849">
        <v>594713.94</v>
      </c>
      <c r="K649" s="849">
        <v>739427.26</v>
      </c>
      <c r="L649" s="849">
        <v>864560.08</v>
      </c>
      <c r="M649" s="849">
        <v>994797.33</v>
      </c>
      <c r="N649" s="849">
        <v>1144528.84</v>
      </c>
      <c r="O649" s="849">
        <v>1337705.26</v>
      </c>
      <c r="P649" s="849">
        <v>1437560.94</v>
      </c>
      <c r="Q649" s="849">
        <v>1548991.32</v>
      </c>
      <c r="R649" s="849">
        <v>1672471.62</v>
      </c>
      <c r="S649" s="849">
        <v>140817.39</v>
      </c>
      <c r="T649" s="849">
        <v>140817.39</v>
      </c>
      <c r="U649" s="849">
        <v>0.0</v>
      </c>
      <c r="V649" s="849">
        <v>344.0</v>
      </c>
      <c r="W649" s="849">
        <v>712.0</v>
      </c>
      <c r="X649" s="849">
        <v>1154.0</v>
      </c>
      <c r="Y649" s="849">
        <v>1613.0</v>
      </c>
      <c r="Z649" s="849">
        <v>2013.0</v>
      </c>
      <c r="AA649" s="849">
        <v>2308.0</v>
      </c>
      <c r="AB649" s="849">
        <v>2663.0</v>
      </c>
      <c r="AC649" s="849">
        <v>3016.0</v>
      </c>
      <c r="AD649" s="849">
        <v>3422.0</v>
      </c>
      <c r="AE649" s="849">
        <v>3764.0</v>
      </c>
      <c r="AF649" s="849">
        <v>4061.0</v>
      </c>
      <c r="AG649" s="849">
        <v>4335.0</v>
      </c>
      <c r="AH649" s="849">
        <v>369.0</v>
      </c>
      <c r="AI649" s="849">
        <v>369.0</v>
      </c>
      <c r="AJ649" s="794" t="str">
        <f t="shared" ref="AJ649:AK649" si="1295">C649</f>
        <v>G48300</v>
      </c>
      <c r="AK649" s="794" t="str">
        <f t="shared" si="1295"/>
        <v>VTES-PIECES EN GROS</v>
      </c>
      <c r="AL649" s="794">
        <f t="array" ref="AL649">IFERROR(INDEX(G649:R649,1,MATCH(Parametres!$B$3,G$1:R$1,0)-1)*IF(OR(F649="L",F649="S",F649="I"),-1,1),"")</f>
        <v>-1144528.84</v>
      </c>
      <c r="AM649" s="794">
        <f t="shared" si="4"/>
        <v>-193176.42</v>
      </c>
      <c r="AN649" s="794">
        <f t="array" ref="AN649">INDEX(G649:R649,1,MATCH(Parametres!$B$3,G$1:R$1,0))*IF(OR(F649="L",F649="S",F649="I"),-1,1)</f>
        <v>-1337705.26</v>
      </c>
      <c r="AO649" s="853" t="str">
        <f>+VLOOKUP($AJ649,Data_Validation!$A:$D,1,0)</f>
        <v>G48300</v>
      </c>
      <c r="AP649" s="853" t="str">
        <f>+VLOOKUP($AJ649,Data_Validation!$A:$D,3,0)</f>
        <v>Pièces</v>
      </c>
      <c r="AQ649" s="853" t="str">
        <f>+VLOOKUP($AJ649,Data_Validation!$A:$D,4,0)</f>
        <v>Ventes de Gros</v>
      </c>
      <c r="AR649" s="853" t="s">
        <v>728</v>
      </c>
      <c r="AS649" s="853" t="str">
        <f>+VLOOKUP($AJ649,Data_Validation!$A:$E,5,0)</f>
        <v>Oui</v>
      </c>
      <c r="AT649" s="794" t="str">
        <f t="shared" ref="AT649:AU649" si="1296">C649</f>
        <v>G48300</v>
      </c>
      <c r="AU649" s="854" t="str">
        <f t="shared" si="1296"/>
        <v>VTES-PIECES EN GROS</v>
      </c>
      <c r="AV649" s="794">
        <f t="array" ref="AV649">IFERROR(INDEX(V649:AG649,1,MATCH(Parametres!$B$3,V$1:AG$1,0)-1)*IF(OR(C649="L",C649="S",C649="I"),-1,1),"")</f>
        <v>3016</v>
      </c>
      <c r="AW649" s="794">
        <f t="shared" si="6"/>
        <v>406</v>
      </c>
      <c r="AX649" s="794">
        <f t="array" ref="AX649">INDEX(V649:AG649,1,MATCH(Parametres!$B$3,V$1:AG$1,0))*IF(OR(C649="L",C649="S",C649="I"),-1,1)</f>
        <v>3422</v>
      </c>
      <c r="AY649" s="853" t="s">
        <v>772</v>
      </c>
      <c r="AZ649" s="853" t="str">
        <f>+VLOOKUP($AJ649,Data_Validation!$A:$E,5,0)</f>
        <v>Oui</v>
      </c>
    </row>
    <row r="650" ht="15.0" customHeight="1">
      <c r="A650" s="849" t="s">
        <v>1239</v>
      </c>
      <c r="B650" s="849">
        <v>2025.0</v>
      </c>
      <c r="C650" s="849" t="s">
        <v>2804</v>
      </c>
      <c r="D650" s="849" t="s">
        <v>2805</v>
      </c>
      <c r="E650" s="849" t="s">
        <v>768</v>
      </c>
      <c r="F650" s="849" t="s">
        <v>2426</v>
      </c>
      <c r="G650" s="849">
        <v>0.0</v>
      </c>
      <c r="H650" s="849">
        <v>0.0</v>
      </c>
      <c r="I650" s="849">
        <v>0.0</v>
      </c>
      <c r="J650" s="849">
        <v>0.0</v>
      </c>
      <c r="K650" s="849">
        <v>0.0</v>
      </c>
      <c r="L650" s="849">
        <v>0.0</v>
      </c>
      <c r="M650" s="849">
        <v>0.0</v>
      </c>
      <c r="N650" s="849">
        <v>0.0</v>
      </c>
      <c r="O650" s="849">
        <v>0.0</v>
      </c>
      <c r="P650" s="849">
        <v>0.0</v>
      </c>
      <c r="Q650" s="849">
        <v>0.0</v>
      </c>
      <c r="R650" s="849">
        <v>0.0</v>
      </c>
      <c r="S650" s="849">
        <v>0.0</v>
      </c>
      <c r="T650" s="849">
        <v>0.0</v>
      </c>
      <c r="U650" s="849">
        <v>0.0</v>
      </c>
      <c r="V650" s="849">
        <v>0.0</v>
      </c>
      <c r="W650" s="849">
        <v>0.0</v>
      </c>
      <c r="X650" s="849">
        <v>0.0</v>
      </c>
      <c r="Y650" s="849">
        <v>0.0</v>
      </c>
      <c r="Z650" s="849">
        <v>0.0</v>
      </c>
      <c r="AA650" s="849">
        <v>0.0</v>
      </c>
      <c r="AB650" s="849">
        <v>0.0</v>
      </c>
      <c r="AC650" s="849">
        <v>0.0</v>
      </c>
      <c r="AD650" s="849">
        <v>0.0</v>
      </c>
      <c r="AE650" s="849">
        <v>0.0</v>
      </c>
      <c r="AF650" s="849">
        <v>0.0</v>
      </c>
      <c r="AG650" s="849">
        <v>0.0</v>
      </c>
      <c r="AH650" s="849">
        <v>0.0</v>
      </c>
      <c r="AI650" s="849">
        <v>0.0</v>
      </c>
      <c r="AJ650" s="794" t="str">
        <f t="shared" ref="AJ650:AK650" si="1297">C650</f>
        <v>G48700</v>
      </c>
      <c r="AK650" s="794" t="str">
        <f t="shared" si="1297"/>
        <v>*ESCOMPTES DE VOLUME</v>
      </c>
      <c r="AL650" s="794">
        <f t="array" ref="AL650">IFERROR(INDEX(G650:R650,1,MATCH(Parametres!$B$3,G$1:R$1,0)-1)*IF(OR(F650="L",F650="S",F650="I"),-1,1),"")</f>
        <v>0</v>
      </c>
      <c r="AM650" s="794">
        <f t="shared" si="4"/>
        <v>0</v>
      </c>
      <c r="AN650" s="794">
        <f t="array" ref="AN650">INDEX(G650:R650,1,MATCH(Parametres!$B$3,G$1:R$1,0))*IF(OR(F650="L",F650="S",F650="I"),-1,1)</f>
        <v>0</v>
      </c>
      <c r="AO650" s="853" t="str">
        <f>+VLOOKUP($AJ650,Data_Validation!$A:$D,1,0)</f>
        <v>G48700</v>
      </c>
      <c r="AP650" s="853" t="str">
        <f>+VLOOKUP($AJ650,Data_Validation!$A:$D,3,0)</f>
        <v/>
      </c>
      <c r="AQ650" s="853" t="str">
        <f>+VLOOKUP($AJ650,Data_Validation!$A:$D,4,0)</f>
        <v/>
      </c>
      <c r="AR650" s="853" t="s">
        <v>728</v>
      </c>
      <c r="AS650" s="853" t="str">
        <f>+VLOOKUP($AJ650,Data_Validation!$A:$E,5,0)</f>
        <v/>
      </c>
      <c r="AT650" s="794" t="str">
        <f t="shared" ref="AT650:AU650" si="1298">C650</f>
        <v>G48700</v>
      </c>
      <c r="AU650" s="854" t="str">
        <f t="shared" si="1298"/>
        <v>*ESCOMPTES DE VOLUME</v>
      </c>
      <c r="AV650" s="794">
        <f t="array" ref="AV650">IFERROR(INDEX(V650:AG650,1,MATCH(Parametres!$B$3,V$1:AG$1,0)-1)*IF(OR(C650="L",C650="S",C650="I"),-1,1),"")</f>
        <v>0</v>
      </c>
      <c r="AW650" s="794">
        <f t="shared" si="6"/>
        <v>0</v>
      </c>
      <c r="AX650" s="794">
        <f t="array" ref="AX650">INDEX(V650:AG650,1,MATCH(Parametres!$B$3,V$1:AG$1,0))*IF(OR(C650="L",C650="S",C650="I"),-1,1)</f>
        <v>0</v>
      </c>
      <c r="AY650" s="853" t="s">
        <v>772</v>
      </c>
      <c r="AZ650" s="853" t="str">
        <f>+VLOOKUP($AJ650,Data_Validation!$A:$E,5,0)</f>
        <v/>
      </c>
    </row>
    <row r="651" ht="15.0" customHeight="1">
      <c r="A651" s="849" t="s">
        <v>1239</v>
      </c>
      <c r="B651" s="849">
        <v>2025.0</v>
      </c>
      <c r="C651" s="849" t="s">
        <v>2806</v>
      </c>
      <c r="D651" s="849" t="s">
        <v>2807</v>
      </c>
      <c r="E651" s="849" t="s">
        <v>768</v>
      </c>
      <c r="F651" s="849" t="s">
        <v>2426</v>
      </c>
      <c r="G651" s="849">
        <v>0.0</v>
      </c>
      <c r="H651" s="849">
        <v>0.0</v>
      </c>
      <c r="I651" s="849">
        <v>0.0</v>
      </c>
      <c r="J651" s="849">
        <v>0.0</v>
      </c>
      <c r="K651" s="849">
        <v>0.0</v>
      </c>
      <c r="L651" s="849">
        <v>0.0</v>
      </c>
      <c r="M651" s="849">
        <v>0.0</v>
      </c>
      <c r="N651" s="849">
        <v>0.0</v>
      </c>
      <c r="O651" s="849">
        <v>0.0</v>
      </c>
      <c r="P651" s="849">
        <v>0.0</v>
      </c>
      <c r="Q651" s="849">
        <v>0.0</v>
      </c>
      <c r="R651" s="849">
        <v>0.0</v>
      </c>
      <c r="S651" s="849">
        <v>0.0</v>
      </c>
      <c r="T651" s="849">
        <v>0.0</v>
      </c>
      <c r="U651" s="849">
        <v>0.0</v>
      </c>
      <c r="V651" s="849">
        <v>0.0</v>
      </c>
      <c r="W651" s="849">
        <v>0.0</v>
      </c>
      <c r="X651" s="849">
        <v>0.0</v>
      </c>
      <c r="Y651" s="849">
        <v>0.0</v>
      </c>
      <c r="Z651" s="849">
        <v>0.0</v>
      </c>
      <c r="AA651" s="849">
        <v>0.0</v>
      </c>
      <c r="AB651" s="849">
        <v>0.0</v>
      </c>
      <c r="AC651" s="849">
        <v>0.0</v>
      </c>
      <c r="AD651" s="849">
        <v>0.0</v>
      </c>
      <c r="AE651" s="849">
        <v>0.0</v>
      </c>
      <c r="AF651" s="849">
        <v>0.0</v>
      </c>
      <c r="AG651" s="849">
        <v>0.0</v>
      </c>
      <c r="AH651" s="849">
        <v>0.0</v>
      </c>
      <c r="AI651" s="849">
        <v>0.0</v>
      </c>
      <c r="AJ651" s="794" t="str">
        <f t="shared" ref="AJ651:AK651" si="1299">C651</f>
        <v>G48800</v>
      </c>
      <c r="AK651" s="794" t="str">
        <f t="shared" si="1299"/>
        <v>*RECTIFIC.STOCK PIECES</v>
      </c>
      <c r="AL651" s="794">
        <f t="array" ref="AL651">IFERROR(INDEX(G651:R651,1,MATCH(Parametres!$B$3,G$1:R$1,0)-1)*IF(OR(F651="L",F651="S",F651="I"),-1,1),"")</f>
        <v>0</v>
      </c>
      <c r="AM651" s="794">
        <f t="shared" si="4"/>
        <v>0</v>
      </c>
      <c r="AN651" s="794">
        <f t="array" ref="AN651">INDEX(G651:R651,1,MATCH(Parametres!$B$3,G$1:R$1,0))*IF(OR(F651="L",F651="S",F651="I"),-1,1)</f>
        <v>0</v>
      </c>
      <c r="AO651" s="853" t="str">
        <f>+VLOOKUP($AJ651,Data_Validation!$A:$D,1,0)</f>
        <v>G48800</v>
      </c>
      <c r="AP651" s="853" t="str">
        <f>+VLOOKUP($AJ651,Data_Validation!$A:$D,3,0)</f>
        <v/>
      </c>
      <c r="AQ651" s="853" t="str">
        <f>+VLOOKUP($AJ651,Data_Validation!$A:$D,4,0)</f>
        <v/>
      </c>
      <c r="AR651" s="853" t="s">
        <v>728</v>
      </c>
      <c r="AS651" s="853" t="str">
        <f>+VLOOKUP($AJ651,Data_Validation!$A:$E,5,0)</f>
        <v/>
      </c>
      <c r="AT651" s="794" t="str">
        <f t="shared" ref="AT651:AU651" si="1300">C651</f>
        <v>G48800</v>
      </c>
      <c r="AU651" s="854" t="str">
        <f t="shared" si="1300"/>
        <v>*RECTIFIC.STOCK PIECES</v>
      </c>
      <c r="AV651" s="794">
        <f t="array" ref="AV651">IFERROR(INDEX(V651:AG651,1,MATCH(Parametres!$B$3,V$1:AG$1,0)-1)*IF(OR(C651="L",C651="S",C651="I"),-1,1),"")</f>
        <v>0</v>
      </c>
      <c r="AW651" s="794">
        <f t="shared" si="6"/>
        <v>0</v>
      </c>
      <c r="AX651" s="794">
        <f t="array" ref="AX651">INDEX(V651:AG651,1,MATCH(Parametres!$B$3,V$1:AG$1,0))*IF(OR(C651="L",C651="S",C651="I"),-1,1)</f>
        <v>0</v>
      </c>
      <c r="AY651" s="853" t="s">
        <v>772</v>
      </c>
      <c r="AZ651" s="853" t="str">
        <f>+VLOOKUP($AJ651,Data_Validation!$A:$E,5,0)</f>
        <v/>
      </c>
    </row>
    <row r="652" ht="15.0" customHeight="1">
      <c r="A652" s="849" t="s">
        <v>1239</v>
      </c>
      <c r="B652" s="849">
        <v>2025.0</v>
      </c>
      <c r="C652" s="849" t="s">
        <v>2808</v>
      </c>
      <c r="D652" s="849" t="s">
        <v>2809</v>
      </c>
      <c r="E652" s="849" t="s">
        <v>2701</v>
      </c>
      <c r="F652" s="849" t="s">
        <v>2426</v>
      </c>
      <c r="G652" s="849">
        <v>20164.84</v>
      </c>
      <c r="H652" s="849">
        <v>26047.82</v>
      </c>
      <c r="I652" s="849">
        <v>33977.3</v>
      </c>
      <c r="J652" s="849">
        <v>49787.04</v>
      </c>
      <c r="K652" s="849">
        <v>61746.0</v>
      </c>
      <c r="L652" s="849">
        <v>65059.42</v>
      </c>
      <c r="M652" s="849">
        <v>68787.79</v>
      </c>
      <c r="N652" s="849">
        <v>86120.21</v>
      </c>
      <c r="O652" s="849">
        <v>106518.46</v>
      </c>
      <c r="P652" s="849">
        <v>151641.02</v>
      </c>
      <c r="Q652" s="849">
        <v>224013.94</v>
      </c>
      <c r="R652" s="849">
        <v>275366.23</v>
      </c>
      <c r="S652" s="849">
        <v>20364.9</v>
      </c>
      <c r="T652" s="849">
        <v>20364.9</v>
      </c>
      <c r="U652" s="849">
        <v>0.0</v>
      </c>
      <c r="V652" s="849">
        <v>33.0</v>
      </c>
      <c r="W652" s="849">
        <v>43.0</v>
      </c>
      <c r="X652" s="849">
        <v>51.0</v>
      </c>
      <c r="Y652" s="849">
        <v>65.0</v>
      </c>
      <c r="Z652" s="849">
        <v>75.0</v>
      </c>
      <c r="AA652" s="849">
        <v>83.0</v>
      </c>
      <c r="AB652" s="849">
        <v>89.0</v>
      </c>
      <c r="AC652" s="849">
        <v>109.0</v>
      </c>
      <c r="AD652" s="849">
        <v>135.0</v>
      </c>
      <c r="AE652" s="849">
        <v>180.0</v>
      </c>
      <c r="AF652" s="849">
        <v>258.0</v>
      </c>
      <c r="AG652" s="849">
        <v>315.0</v>
      </c>
      <c r="AH652" s="849">
        <v>23.0</v>
      </c>
      <c r="AI652" s="849">
        <v>23.0</v>
      </c>
      <c r="AJ652" s="794" t="str">
        <f t="shared" ref="AJ652:AK652" si="1301">C652</f>
        <v>G49000</v>
      </c>
      <c r="AK652" s="794" t="str">
        <f t="shared" si="1301"/>
        <v>VTES-DE PNEUS</v>
      </c>
      <c r="AL652" s="794">
        <f t="array" ref="AL652">IFERROR(INDEX(G652:R652,1,MATCH(Parametres!$B$3,G$1:R$1,0)-1)*IF(OR(F652="L",F652="S",F652="I"),-1,1),"")</f>
        <v>-86120.21</v>
      </c>
      <c r="AM652" s="794">
        <f t="shared" si="4"/>
        <v>-20398.25</v>
      </c>
      <c r="AN652" s="794">
        <f t="array" ref="AN652">INDEX(G652:R652,1,MATCH(Parametres!$B$3,G$1:R$1,0))*IF(OR(F652="L",F652="S",F652="I"),-1,1)</f>
        <v>-106518.46</v>
      </c>
      <c r="AO652" s="853" t="str">
        <f>+VLOOKUP($AJ652,Data_Validation!$A:$D,1,0)</f>
        <v>G49000</v>
      </c>
      <c r="AP652" s="853" t="str">
        <f>+VLOOKUP($AJ652,Data_Validation!$A:$D,3,0)</f>
        <v>Pièces</v>
      </c>
      <c r="AQ652" s="853" t="str">
        <f>+VLOOKUP($AJ652,Data_Validation!$A:$D,4,0)</f>
        <v>Ventes Pneus</v>
      </c>
      <c r="AR652" s="853" t="s">
        <v>728</v>
      </c>
      <c r="AS652" s="853" t="str">
        <f>+VLOOKUP($AJ652,Data_Validation!$A:$E,5,0)</f>
        <v>Oui</v>
      </c>
      <c r="AT652" s="794" t="str">
        <f t="shared" ref="AT652:AU652" si="1302">C652</f>
        <v>G49000</v>
      </c>
      <c r="AU652" s="854" t="str">
        <f t="shared" si="1302"/>
        <v>VTES-DE PNEUS</v>
      </c>
      <c r="AV652" s="794">
        <f t="array" ref="AV652">IFERROR(INDEX(V652:AG652,1,MATCH(Parametres!$B$3,V$1:AG$1,0)-1)*IF(OR(C652="L",C652="S",C652="I"),-1,1),"")</f>
        <v>109</v>
      </c>
      <c r="AW652" s="794">
        <f t="shared" si="6"/>
        <v>26</v>
      </c>
      <c r="AX652" s="794">
        <f t="array" ref="AX652">INDEX(V652:AG652,1,MATCH(Parametres!$B$3,V$1:AG$1,0))*IF(OR(C652="L",C652="S",C652="I"),-1,1)</f>
        <v>135</v>
      </c>
      <c r="AY652" s="853" t="s">
        <v>772</v>
      </c>
      <c r="AZ652" s="853" t="str">
        <f>+VLOOKUP($AJ652,Data_Validation!$A:$E,5,0)</f>
        <v>Oui</v>
      </c>
    </row>
    <row r="653" ht="15.0" customHeight="1">
      <c r="A653" s="849" t="s">
        <v>1239</v>
      </c>
      <c r="B653" s="849">
        <v>2025.0</v>
      </c>
      <c r="C653" s="849" t="s">
        <v>2810</v>
      </c>
      <c r="D653" s="849" t="s">
        <v>2811</v>
      </c>
      <c r="E653" s="849" t="s">
        <v>2701</v>
      </c>
      <c r="F653" s="849" t="s">
        <v>2426</v>
      </c>
      <c r="G653" s="849">
        <v>4206.02</v>
      </c>
      <c r="H653" s="849">
        <v>7433.37</v>
      </c>
      <c r="I653" s="849">
        <v>10936.94</v>
      </c>
      <c r="J653" s="849">
        <v>14011.43</v>
      </c>
      <c r="K653" s="849">
        <v>17709.53</v>
      </c>
      <c r="L653" s="849">
        <v>27851.76</v>
      </c>
      <c r="M653" s="849">
        <v>42790.21</v>
      </c>
      <c r="N653" s="849">
        <v>57019.79</v>
      </c>
      <c r="O653" s="849">
        <v>69069.7</v>
      </c>
      <c r="P653" s="849">
        <v>80665.7</v>
      </c>
      <c r="Q653" s="849">
        <v>89063.61</v>
      </c>
      <c r="R653" s="849">
        <v>100296.46</v>
      </c>
      <c r="S653" s="849">
        <v>8096.69</v>
      </c>
      <c r="T653" s="849">
        <v>8096.69</v>
      </c>
      <c r="U653" s="849">
        <v>0.0</v>
      </c>
      <c r="V653" s="849">
        <v>26.0</v>
      </c>
      <c r="W653" s="849">
        <v>50.0</v>
      </c>
      <c r="X653" s="849">
        <v>76.0</v>
      </c>
      <c r="Y653" s="849">
        <v>95.0</v>
      </c>
      <c r="Z653" s="849">
        <v>122.0</v>
      </c>
      <c r="AA653" s="849">
        <v>266.0</v>
      </c>
      <c r="AB653" s="849">
        <v>439.0</v>
      </c>
      <c r="AC653" s="849">
        <v>631.0</v>
      </c>
      <c r="AD653" s="849">
        <v>797.0</v>
      </c>
      <c r="AE653" s="849">
        <v>959.0</v>
      </c>
      <c r="AF653" s="849">
        <v>1088.0</v>
      </c>
      <c r="AG653" s="849">
        <v>1228.0</v>
      </c>
      <c r="AH653" s="849">
        <v>99.0</v>
      </c>
      <c r="AI653" s="849">
        <v>99.0</v>
      </c>
      <c r="AJ653" s="794" t="str">
        <f t="shared" ref="AJ653:AK653" si="1303">C653</f>
        <v>G49100</v>
      </c>
      <c r="AK653" s="794" t="str">
        <f t="shared" si="1303"/>
        <v>VTES-HUILES &amp; GRAISSE</v>
      </c>
      <c r="AL653" s="794">
        <f t="array" ref="AL653">IFERROR(INDEX(G653:R653,1,MATCH(Parametres!$B$3,G$1:R$1,0)-1)*IF(OR(F653="L",F653="S",F653="I"),-1,1),"")</f>
        <v>-57019.79</v>
      </c>
      <c r="AM653" s="794">
        <f t="shared" si="4"/>
        <v>-12049.91</v>
      </c>
      <c r="AN653" s="794">
        <f t="array" ref="AN653">INDEX(G653:R653,1,MATCH(Parametres!$B$3,G$1:R$1,0))*IF(OR(F653="L",F653="S",F653="I"),-1,1)</f>
        <v>-69069.7</v>
      </c>
      <c r="AO653" s="853" t="str">
        <f>+VLOOKUP($AJ653,Data_Validation!$A:$D,1,0)</f>
        <v>G49100</v>
      </c>
      <c r="AP653" s="853" t="str">
        <f>+VLOOKUP($AJ653,Data_Validation!$A:$D,3,0)</f>
        <v>Pièces</v>
      </c>
      <c r="AQ653" s="853" t="str">
        <f>+VLOOKUP($AJ653,Data_Validation!$A:$D,4,0)</f>
        <v>Huiles et Graisse</v>
      </c>
      <c r="AR653" s="853" t="s">
        <v>728</v>
      </c>
      <c r="AS653" s="853" t="str">
        <f>+VLOOKUP($AJ653,Data_Validation!$A:$E,5,0)</f>
        <v>Oui</v>
      </c>
      <c r="AT653" s="794" t="str">
        <f t="shared" ref="AT653:AU653" si="1304">C653</f>
        <v>G49100</v>
      </c>
      <c r="AU653" s="854" t="str">
        <f t="shared" si="1304"/>
        <v>VTES-HUILES &amp; GRAISSE</v>
      </c>
      <c r="AV653" s="794">
        <f t="array" ref="AV653">IFERROR(INDEX(V653:AG653,1,MATCH(Parametres!$B$3,V$1:AG$1,0)-1)*IF(OR(C653="L",C653="S",C653="I"),-1,1),"")</f>
        <v>631</v>
      </c>
      <c r="AW653" s="794">
        <f t="shared" si="6"/>
        <v>166</v>
      </c>
      <c r="AX653" s="794">
        <f t="array" ref="AX653">INDEX(V653:AG653,1,MATCH(Parametres!$B$3,V$1:AG$1,0))*IF(OR(C653="L",C653="S",C653="I"),-1,1)</f>
        <v>797</v>
      </c>
      <c r="AY653" s="853" t="s">
        <v>772</v>
      </c>
      <c r="AZ653" s="853" t="str">
        <f>+VLOOKUP($AJ653,Data_Validation!$A:$E,5,0)</f>
        <v>Oui</v>
      </c>
    </row>
    <row r="654" ht="15.0" customHeight="1">
      <c r="A654" s="849" t="s">
        <v>1239</v>
      </c>
      <c r="B654" s="849">
        <v>2025.0</v>
      </c>
      <c r="C654" s="849" t="s">
        <v>2812</v>
      </c>
      <c r="D654" s="849" t="s">
        <v>2813</v>
      </c>
      <c r="E654" s="849" t="s">
        <v>768</v>
      </c>
      <c r="F654" s="849" t="s">
        <v>2814</v>
      </c>
      <c r="G654" s="849">
        <v>-185.43</v>
      </c>
      <c r="H654" s="849">
        <v>-266.63</v>
      </c>
      <c r="I654" s="849">
        <v>-266.63</v>
      </c>
      <c r="J654" s="849">
        <v>-266.63</v>
      </c>
      <c r="K654" s="849">
        <v>-266.63</v>
      </c>
      <c r="L654" s="849">
        <v>-266.63</v>
      </c>
      <c r="M654" s="849">
        <v>-266.63</v>
      </c>
      <c r="N654" s="849">
        <v>-266.63</v>
      </c>
      <c r="O654" s="849">
        <v>-266.63</v>
      </c>
      <c r="P654" s="849">
        <v>-266.63</v>
      </c>
      <c r="Q654" s="849">
        <v>-266.63</v>
      </c>
      <c r="R654" s="849">
        <v>-266.63</v>
      </c>
      <c r="S654" s="849">
        <v>-24.24</v>
      </c>
      <c r="T654" s="849">
        <v>-24.24</v>
      </c>
      <c r="U654" s="849">
        <v>0.0</v>
      </c>
      <c r="V654" s="849">
        <v>-1.0</v>
      </c>
      <c r="W654" s="849">
        <v>-1.0</v>
      </c>
      <c r="X654" s="849">
        <v>-1.0</v>
      </c>
      <c r="Y654" s="849">
        <v>-1.0</v>
      </c>
      <c r="Z654" s="849">
        <v>-1.0</v>
      </c>
      <c r="AA654" s="849">
        <v>-1.0</v>
      </c>
      <c r="AB654" s="849">
        <v>-1.0</v>
      </c>
      <c r="AC654" s="849">
        <v>-1.0</v>
      </c>
      <c r="AD654" s="849">
        <v>-1.0</v>
      </c>
      <c r="AE654" s="849">
        <v>-1.0</v>
      </c>
      <c r="AF654" s="849">
        <v>-1.0</v>
      </c>
      <c r="AG654" s="849">
        <v>-1.0</v>
      </c>
      <c r="AH654" s="849">
        <v>0.0</v>
      </c>
      <c r="AI654" s="849">
        <v>0.0</v>
      </c>
      <c r="AJ654" s="794" t="str">
        <f t="shared" ref="AJ654:AK654" si="1305">C654</f>
        <v>G50210</v>
      </c>
      <c r="AK654" s="794" t="str">
        <f t="shared" si="1305"/>
        <v>REVENUS LOCATION SERVICE</v>
      </c>
      <c r="AL654" s="794">
        <f t="array" ref="AL654">IFERROR(INDEX(G654:R654,1,MATCH(Parametres!$B$3,G$1:R$1,0)-1)*IF(OR(F654="L",F654="S",F654="I"),-1,1),"")</f>
        <v>266.63</v>
      </c>
      <c r="AM654" s="794">
        <f t="shared" si="4"/>
        <v>0</v>
      </c>
      <c r="AN654" s="794">
        <f t="array" ref="AN654">INDEX(G654:R654,1,MATCH(Parametres!$B$3,G$1:R$1,0))*IF(OR(F654="L",F654="S",F654="I"),-1,1)</f>
        <v>266.63</v>
      </c>
      <c r="AO654" s="853" t="str">
        <f>+VLOOKUP($AJ654,Data_Validation!$A:$D,1,0)</f>
        <v>G50210</v>
      </c>
      <c r="AP654" s="853" t="str">
        <f>+VLOOKUP($AJ654,Data_Validation!$A:$D,3,0)</f>
        <v>Service</v>
      </c>
      <c r="AQ654" s="853" t="str">
        <f>+VLOOKUP($AJ654,Data_Validation!$A:$D,4,0)</f>
        <v>Frais véhicules de cie</v>
      </c>
      <c r="AR654" s="853" t="s">
        <v>728</v>
      </c>
      <c r="AS654" s="853" t="str">
        <f>+VLOOKUP($AJ654,Data_Validation!$A:$E,5,0)</f>
        <v/>
      </c>
      <c r="AT654" s="794" t="str">
        <f t="shared" ref="AT654:AU654" si="1306">C654</f>
        <v>G50210</v>
      </c>
      <c r="AU654" s="854" t="str">
        <f t="shared" si="1306"/>
        <v>REVENUS LOCATION SERVICE</v>
      </c>
      <c r="AV654" s="794">
        <f t="array" ref="AV654">IFERROR(INDEX(V654:AG654,1,MATCH(Parametres!$B$3,V$1:AG$1,0)-1)*IF(OR(C654="L",C654="S",C654="I"),-1,1),"")</f>
        <v>-1</v>
      </c>
      <c r="AW654" s="794">
        <f t="shared" si="6"/>
        <v>0</v>
      </c>
      <c r="AX654" s="794">
        <f t="array" ref="AX654">INDEX(V654:AG654,1,MATCH(Parametres!$B$3,V$1:AG$1,0))*IF(OR(C654="L",C654="S",C654="I"),-1,1)</f>
        <v>-1</v>
      </c>
      <c r="AY654" s="853" t="s">
        <v>772</v>
      </c>
      <c r="AZ654" s="853" t="str">
        <f>+VLOOKUP($AJ654,Data_Validation!$A:$E,5,0)</f>
        <v/>
      </c>
    </row>
    <row r="655" ht="15.0" customHeight="1">
      <c r="A655" s="849" t="s">
        <v>1239</v>
      </c>
      <c r="B655" s="849">
        <v>2025.0</v>
      </c>
      <c r="C655" s="849" t="s">
        <v>2815</v>
      </c>
      <c r="D655" s="849" t="s">
        <v>2816</v>
      </c>
      <c r="E655" s="849" t="s">
        <v>768</v>
      </c>
      <c r="F655" s="849" t="s">
        <v>2814</v>
      </c>
      <c r="G655" s="849">
        <v>0.0</v>
      </c>
      <c r="H655" s="849">
        <v>0.0</v>
      </c>
      <c r="I655" s="849">
        <v>-2586.08</v>
      </c>
      <c r="J655" s="849">
        <v>-2586.08</v>
      </c>
      <c r="K655" s="849">
        <v>-2872.08</v>
      </c>
      <c r="L655" s="849">
        <v>-2872.08</v>
      </c>
      <c r="M655" s="849">
        <v>-5199.83</v>
      </c>
      <c r="N655" s="849">
        <v>-7363.73</v>
      </c>
      <c r="O655" s="849">
        <v>-7363.73</v>
      </c>
      <c r="P655" s="849">
        <v>-7447.73</v>
      </c>
      <c r="Q655" s="849">
        <v>-7447.73</v>
      </c>
      <c r="R655" s="849">
        <v>-7837.73</v>
      </c>
      <c r="S655" s="849">
        <v>-677.07</v>
      </c>
      <c r="T655" s="849">
        <v>-677.07</v>
      </c>
      <c r="U655" s="849">
        <v>0.0</v>
      </c>
      <c r="V655" s="849">
        <v>0.0</v>
      </c>
      <c r="W655" s="849">
        <v>0.0</v>
      </c>
      <c r="X655" s="849">
        <v>-4.0</v>
      </c>
      <c r="Y655" s="849">
        <v>-4.0</v>
      </c>
      <c r="Z655" s="849">
        <v>-5.0</v>
      </c>
      <c r="AA655" s="849">
        <v>-5.0</v>
      </c>
      <c r="AB655" s="849">
        <v>-9.0</v>
      </c>
      <c r="AC655" s="849">
        <v>-11.0</v>
      </c>
      <c r="AD655" s="849">
        <v>-11.0</v>
      </c>
      <c r="AE655" s="849">
        <v>-12.0</v>
      </c>
      <c r="AF655" s="849">
        <v>-12.0</v>
      </c>
      <c r="AG655" s="849">
        <v>-13.0</v>
      </c>
      <c r="AH655" s="849">
        <v>-1.0</v>
      </c>
      <c r="AI655" s="849">
        <v>-1.0</v>
      </c>
      <c r="AJ655" s="794" t="str">
        <f t="shared" ref="AJ655:AK655" si="1307">C655</f>
        <v>G50220</v>
      </c>
      <c r="AK655" s="794" t="str">
        <f t="shared" si="1307"/>
        <v>REVENUS LOCATION BODY</v>
      </c>
      <c r="AL655" s="794">
        <f t="array" ref="AL655">IFERROR(INDEX(G655:R655,1,MATCH(Parametres!$B$3,G$1:R$1,0)-1)*IF(OR(F655="L",F655="S",F655="I"),-1,1),"")</f>
        <v>7363.73</v>
      </c>
      <c r="AM655" s="794">
        <f t="shared" si="4"/>
        <v>0</v>
      </c>
      <c r="AN655" s="794">
        <f t="array" ref="AN655">INDEX(G655:R655,1,MATCH(Parametres!$B$3,G$1:R$1,0))*IF(OR(F655="L",F655="S",F655="I"),-1,1)</f>
        <v>7363.73</v>
      </c>
      <c r="AO655" s="853" t="str">
        <f>+VLOOKUP($AJ655,Data_Validation!$A:$D,1,0)</f>
        <v>G50220</v>
      </c>
      <c r="AP655" s="853" t="str">
        <f>+VLOOKUP($AJ655,Data_Validation!$A:$D,3,0)</f>
        <v>Carrosserie</v>
      </c>
      <c r="AQ655" s="853" t="str">
        <f>+VLOOKUP($AJ655,Data_Validation!$A:$D,4,0)</f>
        <v>Frais véhicules de cie</v>
      </c>
      <c r="AR655" s="853" t="s">
        <v>728</v>
      </c>
      <c r="AS655" s="853" t="str">
        <f>+VLOOKUP($AJ655,Data_Validation!$A:$E,5,0)</f>
        <v/>
      </c>
      <c r="AT655" s="794" t="str">
        <f t="shared" ref="AT655:AU655" si="1308">C655</f>
        <v>G50220</v>
      </c>
      <c r="AU655" s="854" t="str">
        <f t="shared" si="1308"/>
        <v>REVENUS LOCATION BODY</v>
      </c>
      <c r="AV655" s="794">
        <f t="array" ref="AV655">IFERROR(INDEX(V655:AG655,1,MATCH(Parametres!$B$3,V$1:AG$1,0)-1)*IF(OR(C655="L",C655="S",C655="I"),-1,1),"")</f>
        <v>-11</v>
      </c>
      <c r="AW655" s="794">
        <f t="shared" si="6"/>
        <v>0</v>
      </c>
      <c r="AX655" s="794">
        <f t="array" ref="AX655">INDEX(V655:AG655,1,MATCH(Parametres!$B$3,V$1:AG$1,0))*IF(OR(C655="L",C655="S",C655="I"),-1,1)</f>
        <v>-11</v>
      </c>
      <c r="AY655" s="853" t="s">
        <v>772</v>
      </c>
      <c r="AZ655" s="853" t="str">
        <f>+VLOOKUP($AJ655,Data_Validation!$A:$E,5,0)</f>
        <v/>
      </c>
    </row>
    <row r="656" ht="15.0" customHeight="1">
      <c r="A656" s="849" t="s">
        <v>1239</v>
      </c>
      <c r="B656" s="849">
        <v>2025.0</v>
      </c>
      <c r="C656" s="849" t="s">
        <v>2817</v>
      </c>
      <c r="D656" s="849" t="s">
        <v>2818</v>
      </c>
      <c r="E656" s="849" t="s">
        <v>768</v>
      </c>
      <c r="F656" s="849" t="s">
        <v>2814</v>
      </c>
      <c r="G656" s="849">
        <v>0.0</v>
      </c>
      <c r="H656" s="849">
        <v>0.0</v>
      </c>
      <c r="I656" s="849">
        <v>0.0</v>
      </c>
      <c r="J656" s="849">
        <v>0.0</v>
      </c>
      <c r="K656" s="849">
        <v>0.0</v>
      </c>
      <c r="L656" s="849">
        <v>0.0</v>
      </c>
      <c r="M656" s="849">
        <v>0.0</v>
      </c>
      <c r="N656" s="849">
        <v>0.0</v>
      </c>
      <c r="O656" s="849">
        <v>0.0</v>
      </c>
      <c r="P656" s="849">
        <v>0.0</v>
      </c>
      <c r="Q656" s="849">
        <v>0.0</v>
      </c>
      <c r="R656" s="849">
        <v>0.0</v>
      </c>
      <c r="S656" s="849">
        <v>0.0</v>
      </c>
      <c r="T656" s="849">
        <v>0.0</v>
      </c>
      <c r="U656" s="849">
        <v>0.0</v>
      </c>
      <c r="V656" s="849">
        <v>0.0</v>
      </c>
      <c r="W656" s="849">
        <v>0.0</v>
      </c>
      <c r="X656" s="849">
        <v>0.0</v>
      </c>
      <c r="Y656" s="849">
        <v>0.0</v>
      </c>
      <c r="Z656" s="849">
        <v>0.0</v>
      </c>
      <c r="AA656" s="849">
        <v>0.0</v>
      </c>
      <c r="AB656" s="849">
        <v>0.0</v>
      </c>
      <c r="AC656" s="849">
        <v>0.0</v>
      </c>
      <c r="AD656" s="849">
        <v>0.0</v>
      </c>
      <c r="AE656" s="849">
        <v>0.0</v>
      </c>
      <c r="AF656" s="849">
        <v>0.0</v>
      </c>
      <c r="AG656" s="849">
        <v>0.0</v>
      </c>
      <c r="AH656" s="849">
        <v>0.0</v>
      </c>
      <c r="AI656" s="849">
        <v>0.0</v>
      </c>
      <c r="AJ656" s="794" t="str">
        <f t="shared" ref="AJ656:AK656" si="1309">C656</f>
        <v>G511</v>
      </c>
      <c r="AK656" s="794" t="str">
        <f t="shared" si="1309"/>
        <v>PMNT PER. LOC.BAIL-SIMPLE</v>
      </c>
      <c r="AL656" s="794">
        <f t="array" ref="AL656">IFERROR(INDEX(G656:R656,1,MATCH(Parametres!$B$3,G$1:R$1,0)-1)*IF(OR(F656="L",F656="S",F656="I"),-1,1),"")</f>
        <v>0</v>
      </c>
      <c r="AM656" s="794">
        <f t="shared" si="4"/>
        <v>0</v>
      </c>
      <c r="AN656" s="794">
        <f t="array" ref="AN656">INDEX(G656:R656,1,MATCH(Parametres!$B$3,G$1:R$1,0))*IF(OR(F656="L",F656="S",F656="I"),-1,1)</f>
        <v>0</v>
      </c>
      <c r="AO656" s="853" t="str">
        <f>+VLOOKUP($AJ656,Data_Validation!$A:$D,1,0)</f>
        <v>#N/A</v>
      </c>
      <c r="AP656" s="853" t="str">
        <f>+VLOOKUP($AJ656,Data_Validation!$A:$D,3,0)</f>
        <v>#N/A</v>
      </c>
      <c r="AQ656" s="853" t="str">
        <f>+VLOOKUP($AJ656,Data_Validation!$A:$D,4,0)</f>
        <v>#N/A</v>
      </c>
      <c r="AR656" s="853" t="s">
        <v>728</v>
      </c>
      <c r="AS656" s="853" t="str">
        <f>+VLOOKUP($AJ656,Data_Validation!$A:$E,5,0)</f>
        <v>#N/A</v>
      </c>
      <c r="AT656" s="794" t="str">
        <f t="shared" ref="AT656:AU656" si="1310">C656</f>
        <v>G511</v>
      </c>
      <c r="AU656" s="854" t="str">
        <f t="shared" si="1310"/>
        <v>PMNT PER. LOC.BAIL-SIMPLE</v>
      </c>
      <c r="AV656" s="794">
        <f t="array" ref="AV656">IFERROR(INDEX(V656:AG656,1,MATCH(Parametres!$B$3,V$1:AG$1,0)-1)*IF(OR(C656="L",C656="S",C656="I"),-1,1),"")</f>
        <v>0</v>
      </c>
      <c r="AW656" s="794">
        <f t="shared" si="6"/>
        <v>0</v>
      </c>
      <c r="AX656" s="794">
        <f t="array" ref="AX656">INDEX(V656:AG656,1,MATCH(Parametres!$B$3,V$1:AG$1,0))*IF(OR(C656="L",C656="S",C656="I"),-1,1)</f>
        <v>0</v>
      </c>
      <c r="AY656" s="853" t="s">
        <v>772</v>
      </c>
      <c r="AZ656" s="853" t="str">
        <f>+VLOOKUP($AJ656,Data_Validation!$A:$E,5,0)</f>
        <v>#N/A</v>
      </c>
    </row>
    <row r="657" ht="15.0" customHeight="1">
      <c r="A657" s="849" t="s">
        <v>1239</v>
      </c>
      <c r="B657" s="849">
        <v>2025.0</v>
      </c>
      <c r="C657" s="849" t="s">
        <v>2819</v>
      </c>
      <c r="D657" s="849" t="s">
        <v>2820</v>
      </c>
      <c r="E657" s="849" t="s">
        <v>768</v>
      </c>
      <c r="F657" s="849" t="s">
        <v>2814</v>
      </c>
      <c r="G657" s="849">
        <v>0.0</v>
      </c>
      <c r="H657" s="849">
        <v>0.0</v>
      </c>
      <c r="I657" s="849">
        <v>0.0</v>
      </c>
      <c r="J657" s="849">
        <v>0.0</v>
      </c>
      <c r="K657" s="849">
        <v>0.0</v>
      </c>
      <c r="L657" s="849">
        <v>0.0</v>
      </c>
      <c r="M657" s="849">
        <v>0.0</v>
      </c>
      <c r="N657" s="849">
        <v>0.0</v>
      </c>
      <c r="O657" s="849">
        <v>0.0</v>
      </c>
      <c r="P657" s="849">
        <v>0.0</v>
      </c>
      <c r="Q657" s="849">
        <v>0.0</v>
      </c>
      <c r="R657" s="849">
        <v>0.0</v>
      </c>
      <c r="S657" s="849">
        <v>0.0</v>
      </c>
      <c r="T657" s="849">
        <v>0.0</v>
      </c>
      <c r="U657" s="849">
        <v>0.0</v>
      </c>
      <c r="V657" s="849">
        <v>0.0</v>
      </c>
      <c r="W657" s="849">
        <v>0.0</v>
      </c>
      <c r="X657" s="849">
        <v>0.0</v>
      </c>
      <c r="Y657" s="849">
        <v>0.0</v>
      </c>
      <c r="Z657" s="849">
        <v>0.0</v>
      </c>
      <c r="AA657" s="849">
        <v>0.0</v>
      </c>
      <c r="AB657" s="849">
        <v>0.0</v>
      </c>
      <c r="AC657" s="849">
        <v>0.0</v>
      </c>
      <c r="AD657" s="849">
        <v>0.0</v>
      </c>
      <c r="AE657" s="849">
        <v>0.0</v>
      </c>
      <c r="AF657" s="849">
        <v>0.0</v>
      </c>
      <c r="AG657" s="849">
        <v>0.0</v>
      </c>
      <c r="AH657" s="849">
        <v>0.0</v>
      </c>
      <c r="AI657" s="849">
        <v>0.0</v>
      </c>
      <c r="AJ657" s="794" t="str">
        <f t="shared" ref="AJ657:AK657" si="1311">C657</f>
        <v>G512</v>
      </c>
      <c r="AK657" s="794" t="str">
        <f t="shared" si="1311"/>
        <v>REVENU ENTRETIEN  -SIMPLE</v>
      </c>
      <c r="AL657" s="794">
        <f t="array" ref="AL657">IFERROR(INDEX(G657:R657,1,MATCH(Parametres!$B$3,G$1:R$1,0)-1)*IF(OR(F657="L",F657="S",F657="I"),-1,1),"")</f>
        <v>0</v>
      </c>
      <c r="AM657" s="794">
        <f t="shared" si="4"/>
        <v>0</v>
      </c>
      <c r="AN657" s="794">
        <f t="array" ref="AN657">INDEX(G657:R657,1,MATCH(Parametres!$B$3,G$1:R$1,0))*IF(OR(F657="L",F657="S",F657="I"),-1,1)</f>
        <v>0</v>
      </c>
      <c r="AO657" s="853" t="str">
        <f>+VLOOKUP($AJ657,Data_Validation!$A:$D,1,0)</f>
        <v>#N/A</v>
      </c>
      <c r="AP657" s="853" t="str">
        <f>+VLOOKUP($AJ657,Data_Validation!$A:$D,3,0)</f>
        <v>#N/A</v>
      </c>
      <c r="AQ657" s="853" t="str">
        <f>+VLOOKUP($AJ657,Data_Validation!$A:$D,4,0)</f>
        <v>#N/A</v>
      </c>
      <c r="AR657" s="853" t="s">
        <v>728</v>
      </c>
      <c r="AS657" s="853" t="str">
        <f>+VLOOKUP($AJ657,Data_Validation!$A:$E,5,0)</f>
        <v>#N/A</v>
      </c>
      <c r="AT657" s="794" t="str">
        <f t="shared" ref="AT657:AU657" si="1312">C657</f>
        <v>G512</v>
      </c>
      <c r="AU657" s="854" t="str">
        <f t="shared" si="1312"/>
        <v>REVENU ENTRETIEN  -SIMPLE</v>
      </c>
      <c r="AV657" s="794">
        <f t="array" ref="AV657">IFERROR(INDEX(V657:AG657,1,MATCH(Parametres!$B$3,V$1:AG$1,0)-1)*IF(OR(C657="L",C657="S",C657="I"),-1,1),"")</f>
        <v>0</v>
      </c>
      <c r="AW657" s="794">
        <f t="shared" si="6"/>
        <v>0</v>
      </c>
      <c r="AX657" s="794">
        <f t="array" ref="AX657">INDEX(V657:AG657,1,MATCH(Parametres!$B$3,V$1:AG$1,0))*IF(OR(C657="L",C657="S",C657="I"),-1,1)</f>
        <v>0</v>
      </c>
      <c r="AY657" s="853" t="s">
        <v>772</v>
      </c>
      <c r="AZ657" s="853" t="str">
        <f>+VLOOKUP($AJ657,Data_Validation!$A:$E,5,0)</f>
        <v>#N/A</v>
      </c>
    </row>
    <row r="658" ht="15.0" customHeight="1">
      <c r="A658" s="849" t="s">
        <v>1239</v>
      </c>
      <c r="B658" s="849">
        <v>2025.0</v>
      </c>
      <c r="C658" s="849" t="s">
        <v>2821</v>
      </c>
      <c r="D658" s="849" t="s">
        <v>2822</v>
      </c>
      <c r="E658" s="849" t="s">
        <v>768</v>
      </c>
      <c r="F658" s="849" t="s">
        <v>2814</v>
      </c>
      <c r="G658" s="849">
        <v>0.0</v>
      </c>
      <c r="H658" s="849">
        <v>0.0</v>
      </c>
      <c r="I658" s="849">
        <v>0.0</v>
      </c>
      <c r="J658" s="849">
        <v>0.0</v>
      </c>
      <c r="K658" s="849">
        <v>0.0</v>
      </c>
      <c r="L658" s="849">
        <v>0.0</v>
      </c>
      <c r="M658" s="849">
        <v>0.0</v>
      </c>
      <c r="N658" s="849">
        <v>0.0</v>
      </c>
      <c r="O658" s="849">
        <v>0.0</v>
      </c>
      <c r="P658" s="849">
        <v>0.0</v>
      </c>
      <c r="Q658" s="849">
        <v>0.0</v>
      </c>
      <c r="R658" s="849">
        <v>0.0</v>
      </c>
      <c r="S658" s="849">
        <v>0.0</v>
      </c>
      <c r="T658" s="849">
        <v>0.0</v>
      </c>
      <c r="U658" s="849">
        <v>0.0</v>
      </c>
      <c r="V658" s="849">
        <v>0.0</v>
      </c>
      <c r="W658" s="849">
        <v>0.0</v>
      </c>
      <c r="X658" s="849">
        <v>0.0</v>
      </c>
      <c r="Y658" s="849">
        <v>0.0</v>
      </c>
      <c r="Z658" s="849">
        <v>0.0</v>
      </c>
      <c r="AA658" s="849">
        <v>0.0</v>
      </c>
      <c r="AB658" s="849">
        <v>0.0</v>
      </c>
      <c r="AC658" s="849">
        <v>0.0</v>
      </c>
      <c r="AD658" s="849">
        <v>0.0</v>
      </c>
      <c r="AE658" s="849">
        <v>0.0</v>
      </c>
      <c r="AF658" s="849">
        <v>0.0</v>
      </c>
      <c r="AG658" s="849">
        <v>0.0</v>
      </c>
      <c r="AH658" s="849">
        <v>0.0</v>
      </c>
      <c r="AI658" s="849">
        <v>0.0</v>
      </c>
      <c r="AJ658" s="794" t="str">
        <f t="shared" ref="AJ658:AK658" si="1313">C658</f>
        <v>G513</v>
      </c>
      <c r="AK658" s="794" t="str">
        <f t="shared" si="1313"/>
        <v>REV.PARTIEL MOIS  -SIMPLE</v>
      </c>
      <c r="AL658" s="794">
        <f t="array" ref="AL658">IFERROR(INDEX(G658:R658,1,MATCH(Parametres!$B$3,G$1:R$1,0)-1)*IF(OR(F658="L",F658="S",F658="I"),-1,1),"")</f>
        <v>0</v>
      </c>
      <c r="AM658" s="794">
        <f t="shared" si="4"/>
        <v>0</v>
      </c>
      <c r="AN658" s="794">
        <f t="array" ref="AN658">INDEX(G658:R658,1,MATCH(Parametres!$B$3,G$1:R$1,0))*IF(OR(F658="L",F658="S",F658="I"),-1,1)</f>
        <v>0</v>
      </c>
      <c r="AO658" s="853" t="str">
        <f>+VLOOKUP($AJ658,Data_Validation!$A:$D,1,0)</f>
        <v>#N/A</v>
      </c>
      <c r="AP658" s="853" t="str">
        <f>+VLOOKUP($AJ658,Data_Validation!$A:$D,3,0)</f>
        <v>#N/A</v>
      </c>
      <c r="AQ658" s="853" t="str">
        <f>+VLOOKUP($AJ658,Data_Validation!$A:$D,4,0)</f>
        <v>#N/A</v>
      </c>
      <c r="AR658" s="853" t="s">
        <v>728</v>
      </c>
      <c r="AS658" s="853" t="str">
        <f>+VLOOKUP($AJ658,Data_Validation!$A:$E,5,0)</f>
        <v>#N/A</v>
      </c>
      <c r="AT658" s="794" t="str">
        <f t="shared" ref="AT658:AU658" si="1314">C658</f>
        <v>G513</v>
      </c>
      <c r="AU658" s="854" t="str">
        <f t="shared" si="1314"/>
        <v>REV.PARTIEL MOIS  -SIMPLE</v>
      </c>
      <c r="AV658" s="794">
        <f t="array" ref="AV658">IFERROR(INDEX(V658:AG658,1,MATCH(Parametres!$B$3,V$1:AG$1,0)-1)*IF(OR(C658="L",C658="S",C658="I"),-1,1),"")</f>
        <v>0</v>
      </c>
      <c r="AW658" s="794">
        <f t="shared" si="6"/>
        <v>0</v>
      </c>
      <c r="AX658" s="794">
        <f t="array" ref="AX658">INDEX(V658:AG658,1,MATCH(Parametres!$B$3,V$1:AG$1,0))*IF(OR(C658="L",C658="S",C658="I"),-1,1)</f>
        <v>0</v>
      </c>
      <c r="AY658" s="853" t="s">
        <v>772</v>
      </c>
      <c r="AZ658" s="853" t="str">
        <f>+VLOOKUP($AJ658,Data_Validation!$A:$E,5,0)</f>
        <v>#N/A</v>
      </c>
    </row>
    <row r="659" ht="15.0" customHeight="1">
      <c r="A659" s="849" t="s">
        <v>1239</v>
      </c>
      <c r="B659" s="849">
        <v>2025.0</v>
      </c>
      <c r="C659" s="849" t="s">
        <v>2823</v>
      </c>
      <c r="D659" s="849" t="s">
        <v>2824</v>
      </c>
      <c r="E659" s="849" t="s">
        <v>768</v>
      </c>
      <c r="F659" s="849" t="s">
        <v>2814</v>
      </c>
      <c r="G659" s="849">
        <v>0.0</v>
      </c>
      <c r="H659" s="849">
        <v>0.0</v>
      </c>
      <c r="I659" s="849">
        <v>0.0</v>
      </c>
      <c r="J659" s="849">
        <v>0.0</v>
      </c>
      <c r="K659" s="849">
        <v>0.0</v>
      </c>
      <c r="L659" s="849">
        <v>0.0</v>
      </c>
      <c r="M659" s="849">
        <v>0.0</v>
      </c>
      <c r="N659" s="849">
        <v>0.0</v>
      </c>
      <c r="O659" s="849">
        <v>0.0</v>
      </c>
      <c r="P659" s="849">
        <v>0.0</v>
      </c>
      <c r="Q659" s="849">
        <v>0.0</v>
      </c>
      <c r="R659" s="849">
        <v>0.0</v>
      </c>
      <c r="S659" s="849">
        <v>0.0</v>
      </c>
      <c r="T659" s="849">
        <v>0.0</v>
      </c>
      <c r="U659" s="849">
        <v>0.0</v>
      </c>
      <c r="V659" s="849">
        <v>0.0</v>
      </c>
      <c r="W659" s="849">
        <v>0.0</v>
      </c>
      <c r="X659" s="849">
        <v>0.0</v>
      </c>
      <c r="Y659" s="849">
        <v>0.0</v>
      </c>
      <c r="Z659" s="849">
        <v>0.0</v>
      </c>
      <c r="AA659" s="849">
        <v>0.0</v>
      </c>
      <c r="AB659" s="849">
        <v>0.0</v>
      </c>
      <c r="AC659" s="849">
        <v>0.0</v>
      </c>
      <c r="AD659" s="849">
        <v>0.0</v>
      </c>
      <c r="AE659" s="849">
        <v>0.0</v>
      </c>
      <c r="AF659" s="849">
        <v>0.0</v>
      </c>
      <c r="AG659" s="849">
        <v>0.0</v>
      </c>
      <c r="AH659" s="849">
        <v>0.0</v>
      </c>
      <c r="AI659" s="849">
        <v>0.0</v>
      </c>
      <c r="AJ659" s="794" t="str">
        <f t="shared" ref="AJ659:AK659" si="1315">C659</f>
        <v>G514</v>
      </c>
      <c r="AK659" s="794" t="str">
        <f t="shared" si="1315"/>
        <v>FRAIS PMNT TARDIF -SIMPLE</v>
      </c>
      <c r="AL659" s="794">
        <f t="array" ref="AL659">IFERROR(INDEX(G659:R659,1,MATCH(Parametres!$B$3,G$1:R$1,0)-1)*IF(OR(F659="L",F659="S",F659="I"),-1,1),"")</f>
        <v>0</v>
      </c>
      <c r="AM659" s="794">
        <f t="shared" si="4"/>
        <v>0</v>
      </c>
      <c r="AN659" s="794">
        <f t="array" ref="AN659">INDEX(G659:R659,1,MATCH(Parametres!$B$3,G$1:R$1,0))*IF(OR(F659="L",F659="S",F659="I"),-1,1)</f>
        <v>0</v>
      </c>
      <c r="AO659" s="853" t="str">
        <f>+VLOOKUP($AJ659,Data_Validation!$A:$D,1,0)</f>
        <v>#N/A</v>
      </c>
      <c r="AP659" s="853" t="str">
        <f>+VLOOKUP($AJ659,Data_Validation!$A:$D,3,0)</f>
        <v>#N/A</v>
      </c>
      <c r="AQ659" s="853" t="str">
        <f>+VLOOKUP($AJ659,Data_Validation!$A:$D,4,0)</f>
        <v>#N/A</v>
      </c>
      <c r="AR659" s="853" t="s">
        <v>728</v>
      </c>
      <c r="AS659" s="853" t="str">
        <f>+VLOOKUP($AJ659,Data_Validation!$A:$E,5,0)</f>
        <v>#N/A</v>
      </c>
      <c r="AT659" s="794" t="str">
        <f t="shared" ref="AT659:AU659" si="1316">C659</f>
        <v>G514</v>
      </c>
      <c r="AU659" s="854" t="str">
        <f t="shared" si="1316"/>
        <v>FRAIS PMNT TARDIF -SIMPLE</v>
      </c>
      <c r="AV659" s="794">
        <f t="array" ref="AV659">IFERROR(INDEX(V659:AG659,1,MATCH(Parametres!$B$3,V$1:AG$1,0)-1)*IF(OR(C659="L",C659="S",C659="I"),-1,1),"")</f>
        <v>0</v>
      </c>
      <c r="AW659" s="794">
        <f t="shared" si="6"/>
        <v>0</v>
      </c>
      <c r="AX659" s="794">
        <f t="array" ref="AX659">INDEX(V659:AG659,1,MATCH(Parametres!$B$3,V$1:AG$1,0))*IF(OR(C659="L",C659="S",C659="I"),-1,1)</f>
        <v>0</v>
      </c>
      <c r="AY659" s="853" t="s">
        <v>772</v>
      </c>
      <c r="AZ659" s="853" t="str">
        <f>+VLOOKUP($AJ659,Data_Validation!$A:$E,5,0)</f>
        <v>#N/A</v>
      </c>
    </row>
    <row r="660" ht="15.0" customHeight="1">
      <c r="A660" s="849" t="s">
        <v>1239</v>
      </c>
      <c r="B660" s="849">
        <v>2025.0</v>
      </c>
      <c r="C660" s="849" t="s">
        <v>2825</v>
      </c>
      <c r="D660" s="849" t="s">
        <v>2826</v>
      </c>
      <c r="E660" s="849" t="s">
        <v>768</v>
      </c>
      <c r="F660" s="849" t="s">
        <v>2814</v>
      </c>
      <c r="G660" s="849">
        <v>0.0</v>
      </c>
      <c r="H660" s="849">
        <v>0.0</v>
      </c>
      <c r="I660" s="849">
        <v>0.0</v>
      </c>
      <c r="J660" s="849">
        <v>0.0</v>
      </c>
      <c r="K660" s="849">
        <v>0.0</v>
      </c>
      <c r="L660" s="849">
        <v>0.0</v>
      </c>
      <c r="M660" s="849">
        <v>0.0</v>
      </c>
      <c r="N660" s="849">
        <v>0.0</v>
      </c>
      <c r="O660" s="849">
        <v>0.0</v>
      </c>
      <c r="P660" s="849">
        <v>0.0</v>
      </c>
      <c r="Q660" s="849">
        <v>0.0</v>
      </c>
      <c r="R660" s="849">
        <v>0.0</v>
      </c>
      <c r="S660" s="849">
        <v>0.0</v>
      </c>
      <c r="T660" s="849">
        <v>0.0</v>
      </c>
      <c r="U660" s="849">
        <v>0.0</v>
      </c>
      <c r="V660" s="849">
        <v>0.0</v>
      </c>
      <c r="W660" s="849">
        <v>0.0</v>
      </c>
      <c r="X660" s="849">
        <v>0.0</v>
      </c>
      <c r="Y660" s="849">
        <v>0.0</v>
      </c>
      <c r="Z660" s="849">
        <v>0.0</v>
      </c>
      <c r="AA660" s="849">
        <v>0.0</v>
      </c>
      <c r="AB660" s="849">
        <v>0.0</v>
      </c>
      <c r="AC660" s="849">
        <v>0.0</v>
      </c>
      <c r="AD660" s="849">
        <v>0.0</v>
      </c>
      <c r="AE660" s="849">
        <v>0.0</v>
      </c>
      <c r="AF660" s="849">
        <v>0.0</v>
      </c>
      <c r="AG660" s="849">
        <v>0.0</v>
      </c>
      <c r="AH660" s="849">
        <v>0.0</v>
      </c>
      <c r="AI660" s="849">
        <v>0.0</v>
      </c>
      <c r="AJ660" s="794" t="str">
        <f t="shared" ref="AJ660:AK660" si="1317">C660</f>
        <v>G516</v>
      </c>
      <c r="AK660" s="794" t="str">
        <f t="shared" si="1317"/>
        <v>FRAIS ADMINIST.   -SIMPLE</v>
      </c>
      <c r="AL660" s="794">
        <f t="array" ref="AL660">IFERROR(INDEX(G660:R660,1,MATCH(Parametres!$B$3,G$1:R$1,0)-1)*IF(OR(F660="L",F660="S",F660="I"),-1,1),"")</f>
        <v>0</v>
      </c>
      <c r="AM660" s="794">
        <f t="shared" si="4"/>
        <v>0</v>
      </c>
      <c r="AN660" s="794">
        <f t="array" ref="AN660">INDEX(G660:R660,1,MATCH(Parametres!$B$3,G$1:R$1,0))*IF(OR(F660="L",F660="S",F660="I"),-1,1)</f>
        <v>0</v>
      </c>
      <c r="AO660" s="853" t="str">
        <f>+VLOOKUP($AJ660,Data_Validation!$A:$D,1,0)</f>
        <v>#N/A</v>
      </c>
      <c r="AP660" s="853" t="str">
        <f>+VLOOKUP($AJ660,Data_Validation!$A:$D,3,0)</f>
        <v>#N/A</v>
      </c>
      <c r="AQ660" s="853" t="str">
        <f>+VLOOKUP($AJ660,Data_Validation!$A:$D,4,0)</f>
        <v>#N/A</v>
      </c>
      <c r="AR660" s="853" t="s">
        <v>728</v>
      </c>
      <c r="AS660" s="853" t="str">
        <f>+VLOOKUP($AJ660,Data_Validation!$A:$E,5,0)</f>
        <v>#N/A</v>
      </c>
      <c r="AT660" s="794" t="str">
        <f t="shared" ref="AT660:AU660" si="1318">C660</f>
        <v>G516</v>
      </c>
      <c r="AU660" s="854" t="str">
        <f t="shared" si="1318"/>
        <v>FRAIS ADMINIST.   -SIMPLE</v>
      </c>
      <c r="AV660" s="794">
        <f t="array" ref="AV660">IFERROR(INDEX(V660:AG660,1,MATCH(Parametres!$B$3,V$1:AG$1,0)-1)*IF(OR(C660="L",C660="S",C660="I"),-1,1),"")</f>
        <v>0</v>
      </c>
      <c r="AW660" s="794">
        <f t="shared" si="6"/>
        <v>0</v>
      </c>
      <c r="AX660" s="794">
        <f t="array" ref="AX660">INDEX(V660:AG660,1,MATCH(Parametres!$B$3,V$1:AG$1,0))*IF(OR(C660="L",C660="S",C660="I"),-1,1)</f>
        <v>0</v>
      </c>
      <c r="AY660" s="853" t="s">
        <v>772</v>
      </c>
      <c r="AZ660" s="853" t="str">
        <f>+VLOOKUP($AJ660,Data_Validation!$A:$E,5,0)</f>
        <v>#N/A</v>
      </c>
    </row>
    <row r="661" ht="15.0" customHeight="1">
      <c r="A661" s="849" t="s">
        <v>1239</v>
      </c>
      <c r="B661" s="849">
        <v>2025.0</v>
      </c>
      <c r="C661" s="849" t="s">
        <v>2827</v>
      </c>
      <c r="D661" s="849" t="s">
        <v>2828</v>
      </c>
      <c r="E661" s="849" t="s">
        <v>768</v>
      </c>
      <c r="F661" s="849" t="s">
        <v>2814</v>
      </c>
      <c r="G661" s="849">
        <v>0.0</v>
      </c>
      <c r="H661" s="849">
        <v>0.0</v>
      </c>
      <c r="I661" s="849">
        <v>0.0</v>
      </c>
      <c r="J661" s="849">
        <v>0.0</v>
      </c>
      <c r="K661" s="849">
        <v>0.0</v>
      </c>
      <c r="L661" s="849">
        <v>0.0</v>
      </c>
      <c r="M661" s="849">
        <v>0.0</v>
      </c>
      <c r="N661" s="849">
        <v>0.0</v>
      </c>
      <c r="O661" s="849">
        <v>0.0</v>
      </c>
      <c r="P661" s="849">
        <v>0.0</v>
      </c>
      <c r="Q661" s="849">
        <v>0.0</v>
      </c>
      <c r="R661" s="849">
        <v>0.0</v>
      </c>
      <c r="S661" s="849">
        <v>0.0</v>
      </c>
      <c r="T661" s="849">
        <v>0.0</v>
      </c>
      <c r="U661" s="849">
        <v>0.0</v>
      </c>
      <c r="V661" s="849">
        <v>0.0</v>
      </c>
      <c r="W661" s="849">
        <v>0.0</v>
      </c>
      <c r="X661" s="849">
        <v>0.0</v>
      </c>
      <c r="Y661" s="849">
        <v>0.0</v>
      </c>
      <c r="Z661" s="849">
        <v>0.0</v>
      </c>
      <c r="AA661" s="849">
        <v>0.0</v>
      </c>
      <c r="AB661" s="849">
        <v>0.0</v>
      </c>
      <c r="AC661" s="849">
        <v>0.0</v>
      </c>
      <c r="AD661" s="849">
        <v>0.0</v>
      </c>
      <c r="AE661" s="849">
        <v>0.0</v>
      </c>
      <c r="AF661" s="849">
        <v>0.0</v>
      </c>
      <c r="AG661" s="849">
        <v>0.0</v>
      </c>
      <c r="AH661" s="849">
        <v>0.0</v>
      </c>
      <c r="AI661" s="849">
        <v>0.0</v>
      </c>
      <c r="AJ661" s="794" t="str">
        <f t="shared" ref="AJ661:AK661" si="1319">C661</f>
        <v>G517</v>
      </c>
      <c r="AK661" s="794" t="str">
        <f t="shared" si="1319"/>
        <v>AUTRES REV.LOCAT. -SIMPLE</v>
      </c>
      <c r="AL661" s="794">
        <f t="array" ref="AL661">IFERROR(INDEX(G661:R661,1,MATCH(Parametres!$B$3,G$1:R$1,0)-1)*IF(OR(F661="L",F661="S",F661="I"),-1,1),"")</f>
        <v>0</v>
      </c>
      <c r="AM661" s="794">
        <f t="shared" si="4"/>
        <v>0</v>
      </c>
      <c r="AN661" s="794">
        <f t="array" ref="AN661">INDEX(G661:R661,1,MATCH(Parametres!$B$3,G$1:R$1,0))*IF(OR(F661="L",F661="S",F661="I"),-1,1)</f>
        <v>0</v>
      </c>
      <c r="AO661" s="853" t="str">
        <f>+VLOOKUP($AJ661,Data_Validation!$A:$D,1,0)</f>
        <v>#N/A</v>
      </c>
      <c r="AP661" s="853" t="str">
        <f>+VLOOKUP($AJ661,Data_Validation!$A:$D,3,0)</f>
        <v>#N/A</v>
      </c>
      <c r="AQ661" s="853" t="str">
        <f>+VLOOKUP($AJ661,Data_Validation!$A:$D,4,0)</f>
        <v>#N/A</v>
      </c>
      <c r="AR661" s="853" t="s">
        <v>728</v>
      </c>
      <c r="AS661" s="853" t="str">
        <f>+VLOOKUP($AJ661,Data_Validation!$A:$E,5,0)</f>
        <v>#N/A</v>
      </c>
      <c r="AT661" s="794" t="str">
        <f t="shared" ref="AT661:AU661" si="1320">C661</f>
        <v>G517</v>
      </c>
      <c r="AU661" s="854" t="str">
        <f t="shared" si="1320"/>
        <v>AUTRES REV.LOCAT. -SIMPLE</v>
      </c>
      <c r="AV661" s="794">
        <f t="array" ref="AV661">IFERROR(INDEX(V661:AG661,1,MATCH(Parametres!$B$3,V$1:AG$1,0)-1)*IF(OR(C661="L",C661="S",C661="I"),-1,1),"")</f>
        <v>0</v>
      </c>
      <c r="AW661" s="794">
        <f t="shared" si="6"/>
        <v>0</v>
      </c>
      <c r="AX661" s="794">
        <f t="array" ref="AX661">INDEX(V661:AG661,1,MATCH(Parametres!$B$3,V$1:AG$1,0))*IF(OR(C661="L",C661="S",C661="I"),-1,1)</f>
        <v>0</v>
      </c>
      <c r="AY661" s="853" t="s">
        <v>772</v>
      </c>
      <c r="AZ661" s="853" t="str">
        <f>+VLOOKUP($AJ661,Data_Validation!$A:$E,5,0)</f>
        <v>#N/A</v>
      </c>
    </row>
    <row r="662" ht="15.0" customHeight="1">
      <c r="A662" s="849" t="s">
        <v>1239</v>
      </c>
      <c r="B662" s="849">
        <v>2025.0</v>
      </c>
      <c r="C662" s="849" t="s">
        <v>2829</v>
      </c>
      <c r="D662" s="849" t="s">
        <v>2830</v>
      </c>
      <c r="E662" s="849" t="s">
        <v>768</v>
      </c>
      <c r="F662" s="849" t="s">
        <v>2814</v>
      </c>
      <c r="G662" s="849">
        <v>0.0</v>
      </c>
      <c r="H662" s="849">
        <v>0.0</v>
      </c>
      <c r="I662" s="849">
        <v>0.0</v>
      </c>
      <c r="J662" s="849">
        <v>0.0</v>
      </c>
      <c r="K662" s="849">
        <v>0.0</v>
      </c>
      <c r="L662" s="849">
        <v>0.0</v>
      </c>
      <c r="M662" s="849">
        <v>0.0</v>
      </c>
      <c r="N662" s="849">
        <v>0.0</v>
      </c>
      <c r="O662" s="849">
        <v>0.0</v>
      </c>
      <c r="P662" s="849">
        <v>0.0</v>
      </c>
      <c r="Q662" s="849">
        <v>0.0</v>
      </c>
      <c r="R662" s="849">
        <v>0.0</v>
      </c>
      <c r="S662" s="849">
        <v>0.0</v>
      </c>
      <c r="T662" s="849">
        <v>0.0</v>
      </c>
      <c r="U662" s="849">
        <v>0.0</v>
      </c>
      <c r="V662" s="849">
        <v>0.0</v>
      </c>
      <c r="W662" s="849">
        <v>0.0</v>
      </c>
      <c r="X662" s="849">
        <v>0.0</v>
      </c>
      <c r="Y662" s="849">
        <v>0.0</v>
      </c>
      <c r="Z662" s="849">
        <v>0.0</v>
      </c>
      <c r="AA662" s="849">
        <v>0.0</v>
      </c>
      <c r="AB662" s="849">
        <v>0.0</v>
      </c>
      <c r="AC662" s="849">
        <v>0.0</v>
      </c>
      <c r="AD662" s="849">
        <v>0.0</v>
      </c>
      <c r="AE662" s="849">
        <v>0.0</v>
      </c>
      <c r="AF662" s="849">
        <v>0.0</v>
      </c>
      <c r="AG662" s="849">
        <v>0.0</v>
      </c>
      <c r="AH662" s="849">
        <v>0.0</v>
      </c>
      <c r="AI662" s="849">
        <v>0.0</v>
      </c>
      <c r="AJ662" s="794" t="str">
        <f t="shared" ref="AJ662:AK662" si="1321">C662</f>
        <v>G521</v>
      </c>
      <c r="AK662" s="794" t="str">
        <f t="shared" si="1321"/>
        <v>PMNT PER. LOC.BAIL-ALEATO</v>
      </c>
      <c r="AL662" s="794">
        <f t="array" ref="AL662">IFERROR(INDEX(G662:R662,1,MATCH(Parametres!$B$3,G$1:R$1,0)-1)*IF(OR(F662="L",F662="S",F662="I"),-1,1),"")</f>
        <v>0</v>
      </c>
      <c r="AM662" s="794">
        <f t="shared" si="4"/>
        <v>0</v>
      </c>
      <c r="AN662" s="794">
        <f t="array" ref="AN662">INDEX(G662:R662,1,MATCH(Parametres!$B$3,G$1:R$1,0))*IF(OR(F662="L",F662="S",F662="I"),-1,1)</f>
        <v>0</v>
      </c>
      <c r="AO662" s="853" t="str">
        <f>+VLOOKUP($AJ662,Data_Validation!$A:$D,1,0)</f>
        <v>#N/A</v>
      </c>
      <c r="AP662" s="853" t="str">
        <f>+VLOOKUP($AJ662,Data_Validation!$A:$D,3,0)</f>
        <v>#N/A</v>
      </c>
      <c r="AQ662" s="853" t="str">
        <f>+VLOOKUP($AJ662,Data_Validation!$A:$D,4,0)</f>
        <v>#N/A</v>
      </c>
      <c r="AR662" s="853" t="s">
        <v>728</v>
      </c>
      <c r="AS662" s="853" t="str">
        <f>+VLOOKUP($AJ662,Data_Validation!$A:$E,5,0)</f>
        <v>#N/A</v>
      </c>
      <c r="AT662" s="794" t="str">
        <f t="shared" ref="AT662:AU662" si="1322">C662</f>
        <v>G521</v>
      </c>
      <c r="AU662" s="854" t="str">
        <f t="shared" si="1322"/>
        <v>PMNT PER. LOC.BAIL-ALEATO</v>
      </c>
      <c r="AV662" s="794">
        <f t="array" ref="AV662">IFERROR(INDEX(V662:AG662,1,MATCH(Parametres!$B$3,V$1:AG$1,0)-1)*IF(OR(C662="L",C662="S",C662="I"),-1,1),"")</f>
        <v>0</v>
      </c>
      <c r="AW662" s="794">
        <f t="shared" si="6"/>
        <v>0</v>
      </c>
      <c r="AX662" s="794">
        <f t="array" ref="AX662">INDEX(V662:AG662,1,MATCH(Parametres!$B$3,V$1:AG$1,0))*IF(OR(C662="L",C662="S",C662="I"),-1,1)</f>
        <v>0</v>
      </c>
      <c r="AY662" s="853" t="s">
        <v>772</v>
      </c>
      <c r="AZ662" s="853" t="str">
        <f>+VLOOKUP($AJ662,Data_Validation!$A:$E,5,0)</f>
        <v>#N/A</v>
      </c>
    </row>
    <row r="663" ht="15.0" customHeight="1">
      <c r="A663" s="849" t="s">
        <v>1239</v>
      </c>
      <c r="B663" s="849">
        <v>2025.0</v>
      </c>
      <c r="C663" s="849" t="s">
        <v>2831</v>
      </c>
      <c r="D663" s="849" t="s">
        <v>2832</v>
      </c>
      <c r="E663" s="849" t="s">
        <v>768</v>
      </c>
      <c r="F663" s="849" t="s">
        <v>2814</v>
      </c>
      <c r="G663" s="849">
        <v>0.0</v>
      </c>
      <c r="H663" s="849">
        <v>0.0</v>
      </c>
      <c r="I663" s="849">
        <v>0.0</v>
      </c>
      <c r="J663" s="849">
        <v>0.0</v>
      </c>
      <c r="K663" s="849">
        <v>0.0</v>
      </c>
      <c r="L663" s="849">
        <v>0.0</v>
      </c>
      <c r="M663" s="849">
        <v>0.0</v>
      </c>
      <c r="N663" s="849">
        <v>0.0</v>
      </c>
      <c r="O663" s="849">
        <v>0.0</v>
      </c>
      <c r="P663" s="849">
        <v>0.0</v>
      </c>
      <c r="Q663" s="849">
        <v>0.0</v>
      </c>
      <c r="R663" s="849">
        <v>0.0</v>
      </c>
      <c r="S663" s="849">
        <v>0.0</v>
      </c>
      <c r="T663" s="849">
        <v>0.0</v>
      </c>
      <c r="U663" s="849">
        <v>0.0</v>
      </c>
      <c r="V663" s="849">
        <v>0.0</v>
      </c>
      <c r="W663" s="849">
        <v>0.0</v>
      </c>
      <c r="X663" s="849">
        <v>0.0</v>
      </c>
      <c r="Y663" s="849">
        <v>0.0</v>
      </c>
      <c r="Z663" s="849">
        <v>0.0</v>
      </c>
      <c r="AA663" s="849">
        <v>0.0</v>
      </c>
      <c r="AB663" s="849">
        <v>0.0</v>
      </c>
      <c r="AC663" s="849">
        <v>0.0</v>
      </c>
      <c r="AD663" s="849">
        <v>0.0</v>
      </c>
      <c r="AE663" s="849">
        <v>0.0</v>
      </c>
      <c r="AF663" s="849">
        <v>0.0</v>
      </c>
      <c r="AG663" s="849">
        <v>0.0</v>
      </c>
      <c r="AH663" s="849">
        <v>0.0</v>
      </c>
      <c r="AI663" s="849">
        <v>0.0</v>
      </c>
      <c r="AJ663" s="794" t="str">
        <f t="shared" ref="AJ663:AK663" si="1323">C663</f>
        <v>G522</v>
      </c>
      <c r="AK663" s="794" t="str">
        <f t="shared" si="1323"/>
        <v>REVENU ENTRETIEN  -ALEATO</v>
      </c>
      <c r="AL663" s="794">
        <f t="array" ref="AL663">IFERROR(INDEX(G663:R663,1,MATCH(Parametres!$B$3,G$1:R$1,0)-1)*IF(OR(F663="L",F663="S",F663="I"),-1,1),"")</f>
        <v>0</v>
      </c>
      <c r="AM663" s="794">
        <f t="shared" si="4"/>
        <v>0</v>
      </c>
      <c r="AN663" s="794">
        <f t="array" ref="AN663">INDEX(G663:R663,1,MATCH(Parametres!$B$3,G$1:R$1,0))*IF(OR(F663="L",F663="S",F663="I"),-1,1)</f>
        <v>0</v>
      </c>
      <c r="AO663" s="853" t="str">
        <f>+VLOOKUP($AJ663,Data_Validation!$A:$D,1,0)</f>
        <v>#N/A</v>
      </c>
      <c r="AP663" s="853" t="str">
        <f>+VLOOKUP($AJ663,Data_Validation!$A:$D,3,0)</f>
        <v>#N/A</v>
      </c>
      <c r="AQ663" s="853" t="str">
        <f>+VLOOKUP($AJ663,Data_Validation!$A:$D,4,0)</f>
        <v>#N/A</v>
      </c>
      <c r="AR663" s="853" t="s">
        <v>728</v>
      </c>
      <c r="AS663" s="853" t="str">
        <f>+VLOOKUP($AJ663,Data_Validation!$A:$E,5,0)</f>
        <v>#N/A</v>
      </c>
      <c r="AT663" s="794" t="str">
        <f t="shared" ref="AT663:AU663" si="1324">C663</f>
        <v>G522</v>
      </c>
      <c r="AU663" s="854" t="str">
        <f t="shared" si="1324"/>
        <v>REVENU ENTRETIEN  -ALEATO</v>
      </c>
      <c r="AV663" s="794">
        <f t="array" ref="AV663">IFERROR(INDEX(V663:AG663,1,MATCH(Parametres!$B$3,V$1:AG$1,0)-1)*IF(OR(C663="L",C663="S",C663="I"),-1,1),"")</f>
        <v>0</v>
      </c>
      <c r="AW663" s="794">
        <f t="shared" si="6"/>
        <v>0</v>
      </c>
      <c r="AX663" s="794">
        <f t="array" ref="AX663">INDEX(V663:AG663,1,MATCH(Parametres!$B$3,V$1:AG$1,0))*IF(OR(C663="L",C663="S",C663="I"),-1,1)</f>
        <v>0</v>
      </c>
      <c r="AY663" s="853" t="s">
        <v>772</v>
      </c>
      <c r="AZ663" s="853" t="str">
        <f>+VLOOKUP($AJ663,Data_Validation!$A:$E,5,0)</f>
        <v>#N/A</v>
      </c>
    </row>
    <row r="664" ht="15.0" customHeight="1">
      <c r="A664" s="849" t="s">
        <v>1239</v>
      </c>
      <c r="B664" s="849">
        <v>2025.0</v>
      </c>
      <c r="C664" s="849" t="s">
        <v>2833</v>
      </c>
      <c r="D664" s="849" t="s">
        <v>2834</v>
      </c>
      <c r="E664" s="849" t="s">
        <v>768</v>
      </c>
      <c r="F664" s="849" t="s">
        <v>2814</v>
      </c>
      <c r="G664" s="849">
        <v>0.0</v>
      </c>
      <c r="H664" s="849">
        <v>0.0</v>
      </c>
      <c r="I664" s="849">
        <v>0.0</v>
      </c>
      <c r="J664" s="849">
        <v>0.0</v>
      </c>
      <c r="K664" s="849">
        <v>0.0</v>
      </c>
      <c r="L664" s="849">
        <v>0.0</v>
      </c>
      <c r="M664" s="849">
        <v>0.0</v>
      </c>
      <c r="N664" s="849">
        <v>0.0</v>
      </c>
      <c r="O664" s="849">
        <v>0.0</v>
      </c>
      <c r="P664" s="849">
        <v>0.0</v>
      </c>
      <c r="Q664" s="849">
        <v>0.0</v>
      </c>
      <c r="R664" s="849">
        <v>0.0</v>
      </c>
      <c r="S664" s="849">
        <v>0.0</v>
      </c>
      <c r="T664" s="849">
        <v>0.0</v>
      </c>
      <c r="U664" s="849">
        <v>0.0</v>
      </c>
      <c r="V664" s="849">
        <v>0.0</v>
      </c>
      <c r="W664" s="849">
        <v>0.0</v>
      </c>
      <c r="X664" s="849">
        <v>0.0</v>
      </c>
      <c r="Y664" s="849">
        <v>0.0</v>
      </c>
      <c r="Z664" s="849">
        <v>0.0</v>
      </c>
      <c r="AA664" s="849">
        <v>0.0</v>
      </c>
      <c r="AB664" s="849">
        <v>0.0</v>
      </c>
      <c r="AC664" s="849">
        <v>0.0</v>
      </c>
      <c r="AD664" s="849">
        <v>0.0</v>
      </c>
      <c r="AE664" s="849">
        <v>0.0</v>
      </c>
      <c r="AF664" s="849">
        <v>0.0</v>
      </c>
      <c r="AG664" s="849">
        <v>0.0</v>
      </c>
      <c r="AH664" s="849">
        <v>0.0</v>
      </c>
      <c r="AI664" s="849">
        <v>0.0</v>
      </c>
      <c r="AJ664" s="794" t="str">
        <f t="shared" ref="AJ664:AK664" si="1325">C664</f>
        <v>G523</v>
      </c>
      <c r="AK664" s="794" t="str">
        <f t="shared" si="1325"/>
        <v>REV.PARTIEL MOIS  -ALEATO</v>
      </c>
      <c r="AL664" s="794">
        <f t="array" ref="AL664">IFERROR(INDEX(G664:R664,1,MATCH(Parametres!$B$3,G$1:R$1,0)-1)*IF(OR(F664="L",F664="S",F664="I"),-1,1),"")</f>
        <v>0</v>
      </c>
      <c r="AM664" s="794">
        <f t="shared" si="4"/>
        <v>0</v>
      </c>
      <c r="AN664" s="794">
        <f t="array" ref="AN664">INDEX(G664:R664,1,MATCH(Parametres!$B$3,G$1:R$1,0))*IF(OR(F664="L",F664="S",F664="I"),-1,1)</f>
        <v>0</v>
      </c>
      <c r="AO664" s="853" t="str">
        <f>+VLOOKUP($AJ664,Data_Validation!$A:$D,1,0)</f>
        <v>#N/A</v>
      </c>
      <c r="AP664" s="853" t="str">
        <f>+VLOOKUP($AJ664,Data_Validation!$A:$D,3,0)</f>
        <v>#N/A</v>
      </c>
      <c r="AQ664" s="853" t="str">
        <f>+VLOOKUP($AJ664,Data_Validation!$A:$D,4,0)</f>
        <v>#N/A</v>
      </c>
      <c r="AR664" s="853" t="s">
        <v>728</v>
      </c>
      <c r="AS664" s="853" t="str">
        <f>+VLOOKUP($AJ664,Data_Validation!$A:$E,5,0)</f>
        <v>#N/A</v>
      </c>
      <c r="AT664" s="794" t="str">
        <f t="shared" ref="AT664:AU664" si="1326">C664</f>
        <v>G523</v>
      </c>
      <c r="AU664" s="854" t="str">
        <f t="shared" si="1326"/>
        <v>REV.PARTIEL MOIS  -ALEATO</v>
      </c>
      <c r="AV664" s="794">
        <f t="array" ref="AV664">IFERROR(INDEX(V664:AG664,1,MATCH(Parametres!$B$3,V$1:AG$1,0)-1)*IF(OR(C664="L",C664="S",C664="I"),-1,1),"")</f>
        <v>0</v>
      </c>
      <c r="AW664" s="794">
        <f t="shared" si="6"/>
        <v>0</v>
      </c>
      <c r="AX664" s="794">
        <f t="array" ref="AX664">INDEX(V664:AG664,1,MATCH(Parametres!$B$3,V$1:AG$1,0))*IF(OR(C664="L",C664="S",C664="I"),-1,1)</f>
        <v>0</v>
      </c>
      <c r="AY664" s="853" t="s">
        <v>772</v>
      </c>
      <c r="AZ664" s="853" t="str">
        <f>+VLOOKUP($AJ664,Data_Validation!$A:$E,5,0)</f>
        <v>#N/A</v>
      </c>
    </row>
    <row r="665" ht="15.0" customHeight="1">
      <c r="A665" s="849" t="s">
        <v>1239</v>
      </c>
      <c r="B665" s="849">
        <v>2025.0</v>
      </c>
      <c r="C665" s="849" t="s">
        <v>2835</v>
      </c>
      <c r="D665" s="849" t="s">
        <v>2836</v>
      </c>
      <c r="E665" s="849" t="s">
        <v>768</v>
      </c>
      <c r="F665" s="849" t="s">
        <v>2814</v>
      </c>
      <c r="G665" s="849">
        <v>0.0</v>
      </c>
      <c r="H665" s="849">
        <v>0.0</v>
      </c>
      <c r="I665" s="849">
        <v>0.0</v>
      </c>
      <c r="J665" s="849">
        <v>0.0</v>
      </c>
      <c r="K665" s="849">
        <v>0.0</v>
      </c>
      <c r="L665" s="849">
        <v>0.0</v>
      </c>
      <c r="M665" s="849">
        <v>0.0</v>
      </c>
      <c r="N665" s="849">
        <v>0.0</v>
      </c>
      <c r="O665" s="849">
        <v>0.0</v>
      </c>
      <c r="P665" s="849">
        <v>0.0</v>
      </c>
      <c r="Q665" s="849">
        <v>0.0</v>
      </c>
      <c r="R665" s="849">
        <v>0.0</v>
      </c>
      <c r="S665" s="849">
        <v>0.0</v>
      </c>
      <c r="T665" s="849">
        <v>0.0</v>
      </c>
      <c r="U665" s="849">
        <v>0.0</v>
      </c>
      <c r="V665" s="849">
        <v>0.0</v>
      </c>
      <c r="W665" s="849">
        <v>0.0</v>
      </c>
      <c r="X665" s="849">
        <v>0.0</v>
      </c>
      <c r="Y665" s="849">
        <v>0.0</v>
      </c>
      <c r="Z665" s="849">
        <v>0.0</v>
      </c>
      <c r="AA665" s="849">
        <v>0.0</v>
      </c>
      <c r="AB665" s="849">
        <v>0.0</v>
      </c>
      <c r="AC665" s="849">
        <v>0.0</v>
      </c>
      <c r="AD665" s="849">
        <v>0.0</v>
      </c>
      <c r="AE665" s="849">
        <v>0.0</v>
      </c>
      <c r="AF665" s="849">
        <v>0.0</v>
      </c>
      <c r="AG665" s="849">
        <v>0.0</v>
      </c>
      <c r="AH665" s="849">
        <v>0.0</v>
      </c>
      <c r="AI665" s="849">
        <v>0.0</v>
      </c>
      <c r="AJ665" s="794" t="str">
        <f t="shared" ref="AJ665:AK665" si="1327">C665</f>
        <v>G524</v>
      </c>
      <c r="AK665" s="794" t="str">
        <f t="shared" si="1327"/>
        <v>FRAIS PMNT TARDIF -ALEATO</v>
      </c>
      <c r="AL665" s="794">
        <f t="array" ref="AL665">IFERROR(INDEX(G665:R665,1,MATCH(Parametres!$B$3,G$1:R$1,0)-1)*IF(OR(F665="L",F665="S",F665="I"),-1,1),"")</f>
        <v>0</v>
      </c>
      <c r="AM665" s="794">
        <f t="shared" si="4"/>
        <v>0</v>
      </c>
      <c r="AN665" s="794">
        <f t="array" ref="AN665">INDEX(G665:R665,1,MATCH(Parametres!$B$3,G$1:R$1,0))*IF(OR(F665="L",F665="S",F665="I"),-1,1)</f>
        <v>0</v>
      </c>
      <c r="AO665" s="853" t="str">
        <f>+VLOOKUP($AJ665,Data_Validation!$A:$D,1,0)</f>
        <v>#N/A</v>
      </c>
      <c r="AP665" s="853" t="str">
        <f>+VLOOKUP($AJ665,Data_Validation!$A:$D,3,0)</f>
        <v>#N/A</v>
      </c>
      <c r="AQ665" s="853" t="str">
        <f>+VLOOKUP($AJ665,Data_Validation!$A:$D,4,0)</f>
        <v>#N/A</v>
      </c>
      <c r="AR665" s="853" t="s">
        <v>728</v>
      </c>
      <c r="AS665" s="853" t="str">
        <f>+VLOOKUP($AJ665,Data_Validation!$A:$E,5,0)</f>
        <v>#N/A</v>
      </c>
      <c r="AT665" s="794" t="str">
        <f t="shared" ref="AT665:AU665" si="1328">C665</f>
        <v>G524</v>
      </c>
      <c r="AU665" s="854" t="str">
        <f t="shared" si="1328"/>
        <v>FRAIS PMNT TARDIF -ALEATO</v>
      </c>
      <c r="AV665" s="794">
        <f t="array" ref="AV665">IFERROR(INDEX(V665:AG665,1,MATCH(Parametres!$B$3,V$1:AG$1,0)-1)*IF(OR(C665="L",C665="S",C665="I"),-1,1),"")</f>
        <v>0</v>
      </c>
      <c r="AW665" s="794">
        <f t="shared" si="6"/>
        <v>0</v>
      </c>
      <c r="AX665" s="794">
        <f t="array" ref="AX665">INDEX(V665:AG665,1,MATCH(Parametres!$B$3,V$1:AG$1,0))*IF(OR(C665="L",C665="S",C665="I"),-1,1)</f>
        <v>0</v>
      </c>
      <c r="AY665" s="853" t="s">
        <v>772</v>
      </c>
      <c r="AZ665" s="853" t="str">
        <f>+VLOOKUP($AJ665,Data_Validation!$A:$E,5,0)</f>
        <v>#N/A</v>
      </c>
    </row>
    <row r="666" ht="15.0" customHeight="1">
      <c r="A666" s="849" t="s">
        <v>1239</v>
      </c>
      <c r="B666" s="849">
        <v>2025.0</v>
      </c>
      <c r="C666" s="849" t="s">
        <v>2837</v>
      </c>
      <c r="D666" s="849" t="s">
        <v>2838</v>
      </c>
      <c r="E666" s="849" t="s">
        <v>768</v>
      </c>
      <c r="F666" s="849" t="s">
        <v>2814</v>
      </c>
      <c r="G666" s="849">
        <v>0.0</v>
      </c>
      <c r="H666" s="849">
        <v>0.0</v>
      </c>
      <c r="I666" s="849">
        <v>0.0</v>
      </c>
      <c r="J666" s="849">
        <v>0.0</v>
      </c>
      <c r="K666" s="849">
        <v>0.0</v>
      </c>
      <c r="L666" s="849">
        <v>0.0</v>
      </c>
      <c r="M666" s="849">
        <v>0.0</v>
      </c>
      <c r="N666" s="849">
        <v>0.0</v>
      </c>
      <c r="O666" s="849">
        <v>0.0</v>
      </c>
      <c r="P666" s="849">
        <v>0.0</v>
      </c>
      <c r="Q666" s="849">
        <v>0.0</v>
      </c>
      <c r="R666" s="849">
        <v>0.0</v>
      </c>
      <c r="S666" s="849">
        <v>0.0</v>
      </c>
      <c r="T666" s="849">
        <v>0.0</v>
      </c>
      <c r="U666" s="849">
        <v>0.0</v>
      </c>
      <c r="V666" s="849">
        <v>0.0</v>
      </c>
      <c r="W666" s="849">
        <v>0.0</v>
      </c>
      <c r="X666" s="849">
        <v>0.0</v>
      </c>
      <c r="Y666" s="849">
        <v>0.0</v>
      </c>
      <c r="Z666" s="849">
        <v>0.0</v>
      </c>
      <c r="AA666" s="849">
        <v>0.0</v>
      </c>
      <c r="AB666" s="849">
        <v>0.0</v>
      </c>
      <c r="AC666" s="849">
        <v>0.0</v>
      </c>
      <c r="AD666" s="849">
        <v>0.0</v>
      </c>
      <c r="AE666" s="849">
        <v>0.0</v>
      </c>
      <c r="AF666" s="849">
        <v>0.0</v>
      </c>
      <c r="AG666" s="849">
        <v>0.0</v>
      </c>
      <c r="AH666" s="849">
        <v>0.0</v>
      </c>
      <c r="AI666" s="849">
        <v>0.0</v>
      </c>
      <c r="AJ666" s="794" t="str">
        <f t="shared" ref="AJ666:AK666" si="1329">C666</f>
        <v>G526</v>
      </c>
      <c r="AK666" s="794" t="str">
        <f t="shared" si="1329"/>
        <v>FRAIS ADMINIST.   -ALEATO</v>
      </c>
      <c r="AL666" s="794">
        <f t="array" ref="AL666">IFERROR(INDEX(G666:R666,1,MATCH(Parametres!$B$3,G$1:R$1,0)-1)*IF(OR(F666="L",F666="S",F666="I"),-1,1),"")</f>
        <v>0</v>
      </c>
      <c r="AM666" s="794">
        <f t="shared" si="4"/>
        <v>0</v>
      </c>
      <c r="AN666" s="794">
        <f t="array" ref="AN666">INDEX(G666:R666,1,MATCH(Parametres!$B$3,G$1:R$1,0))*IF(OR(F666="L",F666="S",F666="I"),-1,1)</f>
        <v>0</v>
      </c>
      <c r="AO666" s="853" t="str">
        <f>+VLOOKUP($AJ666,Data_Validation!$A:$D,1,0)</f>
        <v>#N/A</v>
      </c>
      <c r="AP666" s="853" t="str">
        <f>+VLOOKUP($AJ666,Data_Validation!$A:$D,3,0)</f>
        <v>#N/A</v>
      </c>
      <c r="AQ666" s="853" t="str">
        <f>+VLOOKUP($AJ666,Data_Validation!$A:$D,4,0)</f>
        <v>#N/A</v>
      </c>
      <c r="AR666" s="853" t="s">
        <v>728</v>
      </c>
      <c r="AS666" s="853" t="str">
        <f>+VLOOKUP($AJ666,Data_Validation!$A:$E,5,0)</f>
        <v>#N/A</v>
      </c>
      <c r="AT666" s="794" t="str">
        <f t="shared" ref="AT666:AU666" si="1330">C666</f>
        <v>G526</v>
      </c>
      <c r="AU666" s="854" t="str">
        <f t="shared" si="1330"/>
        <v>FRAIS ADMINIST.   -ALEATO</v>
      </c>
      <c r="AV666" s="794">
        <f t="array" ref="AV666">IFERROR(INDEX(V666:AG666,1,MATCH(Parametres!$B$3,V$1:AG$1,0)-1)*IF(OR(C666="L",C666="S",C666="I"),-1,1),"")</f>
        <v>0</v>
      </c>
      <c r="AW666" s="794">
        <f t="shared" si="6"/>
        <v>0</v>
      </c>
      <c r="AX666" s="794">
        <f t="array" ref="AX666">INDEX(V666:AG666,1,MATCH(Parametres!$B$3,V$1:AG$1,0))*IF(OR(C666="L",C666="S",C666="I"),-1,1)</f>
        <v>0</v>
      </c>
      <c r="AY666" s="853" t="s">
        <v>772</v>
      </c>
      <c r="AZ666" s="853" t="str">
        <f>+VLOOKUP($AJ666,Data_Validation!$A:$E,5,0)</f>
        <v>#N/A</v>
      </c>
    </row>
    <row r="667" ht="15.0" customHeight="1">
      <c r="A667" s="849" t="s">
        <v>1239</v>
      </c>
      <c r="B667" s="849">
        <v>2025.0</v>
      </c>
      <c r="C667" s="849" t="s">
        <v>2839</v>
      </c>
      <c r="D667" s="849" t="s">
        <v>2840</v>
      </c>
      <c r="E667" s="849" t="s">
        <v>768</v>
      </c>
      <c r="F667" s="849" t="s">
        <v>2814</v>
      </c>
      <c r="G667" s="849">
        <v>0.0</v>
      </c>
      <c r="H667" s="849">
        <v>0.0</v>
      </c>
      <c r="I667" s="849">
        <v>0.0</v>
      </c>
      <c r="J667" s="849">
        <v>0.0</v>
      </c>
      <c r="K667" s="849">
        <v>0.0</v>
      </c>
      <c r="L667" s="849">
        <v>0.0</v>
      </c>
      <c r="M667" s="849">
        <v>0.0</v>
      </c>
      <c r="N667" s="849">
        <v>0.0</v>
      </c>
      <c r="O667" s="849">
        <v>0.0</v>
      </c>
      <c r="P667" s="849">
        <v>0.0</v>
      </c>
      <c r="Q667" s="849">
        <v>0.0</v>
      </c>
      <c r="R667" s="849">
        <v>0.0</v>
      </c>
      <c r="S667" s="849">
        <v>0.0</v>
      </c>
      <c r="T667" s="849">
        <v>0.0</v>
      </c>
      <c r="U667" s="849">
        <v>0.0</v>
      </c>
      <c r="V667" s="849">
        <v>0.0</v>
      </c>
      <c r="W667" s="849">
        <v>0.0</v>
      </c>
      <c r="X667" s="849">
        <v>0.0</v>
      </c>
      <c r="Y667" s="849">
        <v>0.0</v>
      </c>
      <c r="Z667" s="849">
        <v>0.0</v>
      </c>
      <c r="AA667" s="849">
        <v>0.0</v>
      </c>
      <c r="AB667" s="849">
        <v>0.0</v>
      </c>
      <c r="AC667" s="849">
        <v>0.0</v>
      </c>
      <c r="AD667" s="849">
        <v>0.0</v>
      </c>
      <c r="AE667" s="849">
        <v>0.0</v>
      </c>
      <c r="AF667" s="849">
        <v>0.0</v>
      </c>
      <c r="AG667" s="849">
        <v>0.0</v>
      </c>
      <c r="AH667" s="849">
        <v>0.0</v>
      </c>
      <c r="AI667" s="849">
        <v>0.0</v>
      </c>
      <c r="AJ667" s="794" t="str">
        <f t="shared" ref="AJ667:AK667" si="1331">C667</f>
        <v>G527</v>
      </c>
      <c r="AK667" s="794" t="str">
        <f t="shared" si="1331"/>
        <v>AUTRES REV.LOCAT. -ALEATO</v>
      </c>
      <c r="AL667" s="794">
        <f t="array" ref="AL667">IFERROR(INDEX(G667:R667,1,MATCH(Parametres!$B$3,G$1:R$1,0)-1)*IF(OR(F667="L",F667="S",F667="I"),-1,1),"")</f>
        <v>0</v>
      </c>
      <c r="AM667" s="794">
        <f t="shared" si="4"/>
        <v>0</v>
      </c>
      <c r="AN667" s="794">
        <f t="array" ref="AN667">INDEX(G667:R667,1,MATCH(Parametres!$B$3,G$1:R$1,0))*IF(OR(F667="L",F667="S",F667="I"),-1,1)</f>
        <v>0</v>
      </c>
      <c r="AO667" s="853" t="str">
        <f>+VLOOKUP($AJ667,Data_Validation!$A:$D,1,0)</f>
        <v>#N/A</v>
      </c>
      <c r="AP667" s="853" t="str">
        <f>+VLOOKUP($AJ667,Data_Validation!$A:$D,3,0)</f>
        <v>#N/A</v>
      </c>
      <c r="AQ667" s="853" t="str">
        <f>+VLOOKUP($AJ667,Data_Validation!$A:$D,4,0)</f>
        <v>#N/A</v>
      </c>
      <c r="AR667" s="853" t="s">
        <v>728</v>
      </c>
      <c r="AS667" s="853" t="str">
        <f>+VLOOKUP($AJ667,Data_Validation!$A:$E,5,0)</f>
        <v>#N/A</v>
      </c>
      <c r="AT667" s="794" t="str">
        <f t="shared" ref="AT667:AU667" si="1332">C667</f>
        <v>G527</v>
      </c>
      <c r="AU667" s="854" t="str">
        <f t="shared" si="1332"/>
        <v>AUTRES REV.LOCAT. -ALEATO</v>
      </c>
      <c r="AV667" s="794">
        <f t="array" ref="AV667">IFERROR(INDEX(V667:AG667,1,MATCH(Parametres!$B$3,V$1:AG$1,0)-1)*IF(OR(C667="L",C667="S",C667="I"),-1,1),"")</f>
        <v>0</v>
      </c>
      <c r="AW667" s="794">
        <f t="shared" si="6"/>
        <v>0</v>
      </c>
      <c r="AX667" s="794">
        <f t="array" ref="AX667">INDEX(V667:AG667,1,MATCH(Parametres!$B$3,V$1:AG$1,0))*IF(OR(C667="L",C667="S",C667="I"),-1,1)</f>
        <v>0</v>
      </c>
      <c r="AY667" s="853" t="s">
        <v>772</v>
      </c>
      <c r="AZ667" s="853" t="str">
        <f>+VLOOKUP($AJ667,Data_Validation!$A:$E,5,0)</f>
        <v>#N/A</v>
      </c>
    </row>
    <row r="668" ht="15.0" customHeight="1">
      <c r="A668" s="849" t="s">
        <v>1239</v>
      </c>
      <c r="B668" s="849">
        <v>2025.0</v>
      </c>
      <c r="C668" s="849" t="s">
        <v>2841</v>
      </c>
      <c r="D668" s="849" t="s">
        <v>2842</v>
      </c>
      <c r="E668" s="849" t="s">
        <v>768</v>
      </c>
      <c r="F668" s="849" t="s">
        <v>2814</v>
      </c>
      <c r="G668" s="849">
        <v>0.0</v>
      </c>
      <c r="H668" s="849">
        <v>0.0</v>
      </c>
      <c r="I668" s="849">
        <v>0.0</v>
      </c>
      <c r="J668" s="849">
        <v>0.0</v>
      </c>
      <c r="K668" s="849">
        <v>0.0</v>
      </c>
      <c r="L668" s="849">
        <v>0.0</v>
      </c>
      <c r="M668" s="849">
        <v>0.0</v>
      </c>
      <c r="N668" s="849">
        <v>0.0</v>
      </c>
      <c r="O668" s="849">
        <v>0.0</v>
      </c>
      <c r="P668" s="849">
        <v>0.0</v>
      </c>
      <c r="Q668" s="849">
        <v>0.0</v>
      </c>
      <c r="R668" s="849">
        <v>0.0</v>
      </c>
      <c r="S668" s="849">
        <v>0.0</v>
      </c>
      <c r="T668" s="849">
        <v>0.0</v>
      </c>
      <c r="U668" s="849">
        <v>0.0</v>
      </c>
      <c r="V668" s="849">
        <v>0.0</v>
      </c>
      <c r="W668" s="849">
        <v>0.0</v>
      </c>
      <c r="X668" s="849">
        <v>0.0</v>
      </c>
      <c r="Y668" s="849">
        <v>0.0</v>
      </c>
      <c r="Z668" s="849">
        <v>0.0</v>
      </c>
      <c r="AA668" s="849">
        <v>0.0</v>
      </c>
      <c r="AB668" s="849">
        <v>0.0</v>
      </c>
      <c r="AC668" s="849">
        <v>0.0</v>
      </c>
      <c r="AD668" s="849">
        <v>0.0</v>
      </c>
      <c r="AE668" s="849">
        <v>0.0</v>
      </c>
      <c r="AF668" s="849">
        <v>0.0</v>
      </c>
      <c r="AG668" s="849">
        <v>0.0</v>
      </c>
      <c r="AH668" s="849">
        <v>0.0</v>
      </c>
      <c r="AI668" s="849">
        <v>0.0</v>
      </c>
      <c r="AJ668" s="794" t="str">
        <f t="shared" ref="AJ668:AK668" si="1333">C668</f>
        <v>G53000</v>
      </c>
      <c r="AK668" s="794" t="str">
        <f t="shared" si="1333"/>
        <v>PRIX VTE VEHICULES CEDES</v>
      </c>
      <c r="AL668" s="794">
        <f t="array" ref="AL668">IFERROR(INDEX(G668:R668,1,MATCH(Parametres!$B$3,G$1:R$1,0)-1)*IF(OR(F668="L",F668="S",F668="I"),-1,1),"")</f>
        <v>0</v>
      </c>
      <c r="AM668" s="794">
        <f t="shared" si="4"/>
        <v>0</v>
      </c>
      <c r="AN668" s="794">
        <f t="array" ref="AN668">INDEX(G668:R668,1,MATCH(Parametres!$B$3,G$1:R$1,0))*IF(OR(F668="L",F668="S",F668="I"),-1,1)</f>
        <v>0</v>
      </c>
      <c r="AO668" s="853" t="str">
        <f>+VLOOKUP($AJ668,Data_Validation!$A:$D,1,0)</f>
        <v>G53000</v>
      </c>
      <c r="AP668" s="853" t="str">
        <f>+VLOOKUP($AJ668,Data_Validation!$A:$D,3,0)</f>
        <v/>
      </c>
      <c r="AQ668" s="853" t="str">
        <f>+VLOOKUP($AJ668,Data_Validation!$A:$D,4,0)</f>
        <v/>
      </c>
      <c r="AR668" s="853" t="s">
        <v>728</v>
      </c>
      <c r="AS668" s="853" t="str">
        <f>+VLOOKUP($AJ668,Data_Validation!$A:$E,5,0)</f>
        <v/>
      </c>
      <c r="AT668" s="794" t="str">
        <f t="shared" ref="AT668:AU668" si="1334">C668</f>
        <v>G53000</v>
      </c>
      <c r="AU668" s="854" t="str">
        <f t="shared" si="1334"/>
        <v>PRIX VTE VEHICULES CEDES</v>
      </c>
      <c r="AV668" s="794">
        <f t="array" ref="AV668">IFERROR(INDEX(V668:AG668,1,MATCH(Parametres!$B$3,V$1:AG$1,0)-1)*IF(OR(C668="L",C668="S",C668="I"),-1,1),"")</f>
        <v>0</v>
      </c>
      <c r="AW668" s="794">
        <f t="shared" si="6"/>
        <v>0</v>
      </c>
      <c r="AX668" s="794">
        <f t="array" ref="AX668">INDEX(V668:AG668,1,MATCH(Parametres!$B$3,V$1:AG$1,0))*IF(OR(C668="L",C668="S",C668="I"),-1,1)</f>
        <v>0</v>
      </c>
      <c r="AY668" s="853" t="s">
        <v>772</v>
      </c>
      <c r="AZ668" s="853" t="str">
        <f>+VLOOKUP($AJ668,Data_Validation!$A:$E,5,0)</f>
        <v/>
      </c>
    </row>
    <row r="669" ht="15.0" customHeight="1">
      <c r="A669" s="849" t="s">
        <v>1239</v>
      </c>
      <c r="B669" s="849">
        <v>2025.0</v>
      </c>
      <c r="C669" s="849" t="s">
        <v>2843</v>
      </c>
      <c r="D669" s="849" t="s">
        <v>2844</v>
      </c>
      <c r="E669" s="849" t="s">
        <v>768</v>
      </c>
      <c r="F669" s="849" t="s">
        <v>2814</v>
      </c>
      <c r="G669" s="849">
        <v>0.0</v>
      </c>
      <c r="H669" s="849">
        <v>0.0</v>
      </c>
      <c r="I669" s="849">
        <v>0.0</v>
      </c>
      <c r="J669" s="849">
        <v>0.0</v>
      </c>
      <c r="K669" s="849">
        <v>0.0</v>
      </c>
      <c r="L669" s="849">
        <v>0.0</v>
      </c>
      <c r="M669" s="849">
        <v>0.0</v>
      </c>
      <c r="N669" s="849">
        <v>0.0</v>
      </c>
      <c r="O669" s="849">
        <v>0.0</v>
      </c>
      <c r="P669" s="849">
        <v>0.0</v>
      </c>
      <c r="Q669" s="849">
        <v>0.0</v>
      </c>
      <c r="R669" s="849">
        <v>0.0</v>
      </c>
      <c r="S669" s="849">
        <v>0.0</v>
      </c>
      <c r="T669" s="849">
        <v>0.0</v>
      </c>
      <c r="U669" s="849">
        <v>0.0</v>
      </c>
      <c r="V669" s="849">
        <v>0.0</v>
      </c>
      <c r="W669" s="849">
        <v>0.0</v>
      </c>
      <c r="X669" s="849">
        <v>0.0</v>
      </c>
      <c r="Y669" s="849">
        <v>0.0</v>
      </c>
      <c r="Z669" s="849">
        <v>0.0</v>
      </c>
      <c r="AA669" s="849">
        <v>0.0</v>
      </c>
      <c r="AB669" s="849">
        <v>0.0</v>
      </c>
      <c r="AC669" s="849">
        <v>0.0</v>
      </c>
      <c r="AD669" s="849">
        <v>0.0</v>
      </c>
      <c r="AE669" s="849">
        <v>0.0</v>
      </c>
      <c r="AF669" s="849">
        <v>0.0</v>
      </c>
      <c r="AG669" s="849">
        <v>0.0</v>
      </c>
      <c r="AH669" s="849">
        <v>0.0</v>
      </c>
      <c r="AI669" s="849">
        <v>0.0</v>
      </c>
      <c r="AJ669" s="794" t="str">
        <f t="shared" ref="AJ669:AK669" si="1335">C669</f>
        <v>G534</v>
      </c>
      <c r="AK669" s="794" t="str">
        <f t="shared" si="1335"/>
        <v>FRAIS PMNT TARDIF    -C/T</v>
      </c>
      <c r="AL669" s="794">
        <f t="array" ref="AL669">IFERROR(INDEX(G669:R669,1,MATCH(Parametres!$B$3,G$1:R$1,0)-1)*IF(OR(F669="L",F669="S",F669="I"),-1,1),"")</f>
        <v>0</v>
      </c>
      <c r="AM669" s="794">
        <f t="shared" si="4"/>
        <v>0</v>
      </c>
      <c r="AN669" s="794">
        <f t="array" ref="AN669">INDEX(G669:R669,1,MATCH(Parametres!$B$3,G$1:R$1,0))*IF(OR(F669="L",F669="S",F669="I"),-1,1)</f>
        <v>0</v>
      </c>
      <c r="AO669" s="853" t="str">
        <f>+VLOOKUP($AJ669,Data_Validation!$A:$D,1,0)</f>
        <v>#N/A</v>
      </c>
      <c r="AP669" s="853" t="str">
        <f>+VLOOKUP($AJ669,Data_Validation!$A:$D,3,0)</f>
        <v>#N/A</v>
      </c>
      <c r="AQ669" s="853" t="str">
        <f>+VLOOKUP($AJ669,Data_Validation!$A:$D,4,0)</f>
        <v>#N/A</v>
      </c>
      <c r="AR669" s="853" t="s">
        <v>728</v>
      </c>
      <c r="AS669" s="853" t="str">
        <f>+VLOOKUP($AJ669,Data_Validation!$A:$E,5,0)</f>
        <v>#N/A</v>
      </c>
      <c r="AT669" s="794" t="str">
        <f t="shared" ref="AT669:AU669" si="1336">C669</f>
        <v>G534</v>
      </c>
      <c r="AU669" s="854" t="str">
        <f t="shared" si="1336"/>
        <v>FRAIS PMNT TARDIF    -C/T</v>
      </c>
      <c r="AV669" s="794">
        <f t="array" ref="AV669">IFERROR(INDEX(V669:AG669,1,MATCH(Parametres!$B$3,V$1:AG$1,0)-1)*IF(OR(C669="L",C669="S",C669="I"),-1,1),"")</f>
        <v>0</v>
      </c>
      <c r="AW669" s="794">
        <f t="shared" si="6"/>
        <v>0</v>
      </c>
      <c r="AX669" s="794">
        <f t="array" ref="AX669">INDEX(V669:AG669,1,MATCH(Parametres!$B$3,V$1:AG$1,0))*IF(OR(C669="L",C669="S",C669="I"),-1,1)</f>
        <v>0</v>
      </c>
      <c r="AY669" s="853" t="s">
        <v>772</v>
      </c>
      <c r="AZ669" s="853" t="str">
        <f>+VLOOKUP($AJ669,Data_Validation!$A:$E,5,0)</f>
        <v>#N/A</v>
      </c>
    </row>
    <row r="670" ht="15.0" customHeight="1">
      <c r="A670" s="849" t="s">
        <v>1239</v>
      </c>
      <c r="B670" s="849">
        <v>2025.0</v>
      </c>
      <c r="C670" s="849" t="s">
        <v>2845</v>
      </c>
      <c r="D670" s="849" t="s">
        <v>2846</v>
      </c>
      <c r="E670" s="849" t="s">
        <v>768</v>
      </c>
      <c r="F670" s="849" t="s">
        <v>2814</v>
      </c>
      <c r="G670" s="849">
        <v>0.0</v>
      </c>
      <c r="H670" s="849">
        <v>0.0</v>
      </c>
      <c r="I670" s="849">
        <v>0.0</v>
      </c>
      <c r="J670" s="849">
        <v>0.0</v>
      </c>
      <c r="K670" s="849">
        <v>0.0</v>
      </c>
      <c r="L670" s="849">
        <v>0.0</v>
      </c>
      <c r="M670" s="849">
        <v>0.0</v>
      </c>
      <c r="N670" s="849">
        <v>0.0</v>
      </c>
      <c r="O670" s="849">
        <v>0.0</v>
      </c>
      <c r="P670" s="849">
        <v>0.0</v>
      </c>
      <c r="Q670" s="849">
        <v>0.0</v>
      </c>
      <c r="R670" s="849">
        <v>0.0</v>
      </c>
      <c r="S670" s="849">
        <v>0.0</v>
      </c>
      <c r="T670" s="849">
        <v>0.0</v>
      </c>
      <c r="U670" s="849">
        <v>0.0</v>
      </c>
      <c r="V670" s="849">
        <v>0.0</v>
      </c>
      <c r="W670" s="849">
        <v>0.0</v>
      </c>
      <c r="X670" s="849">
        <v>0.0</v>
      </c>
      <c r="Y670" s="849">
        <v>0.0</v>
      </c>
      <c r="Z670" s="849">
        <v>0.0</v>
      </c>
      <c r="AA670" s="849">
        <v>0.0</v>
      </c>
      <c r="AB670" s="849">
        <v>0.0</v>
      </c>
      <c r="AC670" s="849">
        <v>0.0</v>
      </c>
      <c r="AD670" s="849">
        <v>0.0</v>
      </c>
      <c r="AE670" s="849">
        <v>0.0</v>
      </c>
      <c r="AF670" s="849">
        <v>0.0</v>
      </c>
      <c r="AG670" s="849">
        <v>0.0</v>
      </c>
      <c r="AH670" s="849">
        <v>0.0</v>
      </c>
      <c r="AI670" s="849">
        <v>0.0</v>
      </c>
      <c r="AJ670" s="794" t="str">
        <f t="shared" ref="AJ670:AK670" si="1337">C670</f>
        <v>G535</v>
      </c>
      <c r="AK670" s="794" t="str">
        <f t="shared" si="1337"/>
        <v>REV.LOCATION C/T     -C/T</v>
      </c>
      <c r="AL670" s="794">
        <f t="array" ref="AL670">IFERROR(INDEX(G670:R670,1,MATCH(Parametres!$B$3,G$1:R$1,0)-1)*IF(OR(F670="L",F670="S",F670="I"),-1,1),"")</f>
        <v>0</v>
      </c>
      <c r="AM670" s="794">
        <f t="shared" si="4"/>
        <v>0</v>
      </c>
      <c r="AN670" s="794">
        <f t="array" ref="AN670">INDEX(G670:R670,1,MATCH(Parametres!$B$3,G$1:R$1,0))*IF(OR(F670="L",F670="S",F670="I"),-1,1)</f>
        <v>0</v>
      </c>
      <c r="AO670" s="853" t="str">
        <f>+VLOOKUP($AJ670,Data_Validation!$A:$D,1,0)</f>
        <v>#N/A</v>
      </c>
      <c r="AP670" s="853" t="str">
        <f>+VLOOKUP($AJ670,Data_Validation!$A:$D,3,0)</f>
        <v>#N/A</v>
      </c>
      <c r="AQ670" s="853" t="str">
        <f>+VLOOKUP($AJ670,Data_Validation!$A:$D,4,0)</f>
        <v>#N/A</v>
      </c>
      <c r="AR670" s="853" t="s">
        <v>728</v>
      </c>
      <c r="AS670" s="853" t="str">
        <f>+VLOOKUP($AJ670,Data_Validation!$A:$E,5,0)</f>
        <v>#N/A</v>
      </c>
      <c r="AT670" s="794" t="str">
        <f t="shared" ref="AT670:AU670" si="1338">C670</f>
        <v>G535</v>
      </c>
      <c r="AU670" s="854" t="str">
        <f t="shared" si="1338"/>
        <v>REV.LOCATION C/T     -C/T</v>
      </c>
      <c r="AV670" s="794">
        <f t="array" ref="AV670">IFERROR(INDEX(V670:AG670,1,MATCH(Parametres!$B$3,V$1:AG$1,0)-1)*IF(OR(C670="L",C670="S",C670="I"),-1,1),"")</f>
        <v>0</v>
      </c>
      <c r="AW670" s="794">
        <f t="shared" si="6"/>
        <v>0</v>
      </c>
      <c r="AX670" s="794">
        <f t="array" ref="AX670">INDEX(V670:AG670,1,MATCH(Parametres!$B$3,V$1:AG$1,0))*IF(OR(C670="L",C670="S",C670="I"),-1,1)</f>
        <v>0</v>
      </c>
      <c r="AY670" s="853" t="s">
        <v>772</v>
      </c>
      <c r="AZ670" s="853" t="str">
        <f>+VLOOKUP($AJ670,Data_Validation!$A:$E,5,0)</f>
        <v>#N/A</v>
      </c>
    </row>
    <row r="671" ht="15.0" customHeight="1">
      <c r="A671" s="849" t="s">
        <v>1239</v>
      </c>
      <c r="B671" s="849">
        <v>2025.0</v>
      </c>
      <c r="C671" s="849" t="s">
        <v>2847</v>
      </c>
      <c r="D671" s="849" t="s">
        <v>2848</v>
      </c>
      <c r="E671" s="849" t="s">
        <v>768</v>
      </c>
      <c r="F671" s="849" t="s">
        <v>2814</v>
      </c>
      <c r="G671" s="849">
        <v>0.0</v>
      </c>
      <c r="H671" s="849">
        <v>0.0</v>
      </c>
      <c r="I671" s="849">
        <v>0.0</v>
      </c>
      <c r="J671" s="849">
        <v>0.0</v>
      </c>
      <c r="K671" s="849">
        <v>0.0</v>
      </c>
      <c r="L671" s="849">
        <v>0.0</v>
      </c>
      <c r="M671" s="849">
        <v>0.0</v>
      </c>
      <c r="N671" s="849">
        <v>0.0</v>
      </c>
      <c r="O671" s="849">
        <v>0.0</v>
      </c>
      <c r="P671" s="849">
        <v>0.0</v>
      </c>
      <c r="Q671" s="849">
        <v>0.0</v>
      </c>
      <c r="R671" s="849">
        <v>0.0</v>
      </c>
      <c r="S671" s="849">
        <v>0.0</v>
      </c>
      <c r="T671" s="849">
        <v>0.0</v>
      </c>
      <c r="U671" s="849">
        <v>0.0</v>
      </c>
      <c r="V671" s="849">
        <v>0.0</v>
      </c>
      <c r="W671" s="849">
        <v>0.0</v>
      </c>
      <c r="X671" s="849">
        <v>0.0</v>
      </c>
      <c r="Y671" s="849">
        <v>0.0</v>
      </c>
      <c r="Z671" s="849">
        <v>0.0</v>
      </c>
      <c r="AA671" s="849">
        <v>0.0</v>
      </c>
      <c r="AB671" s="849">
        <v>0.0</v>
      </c>
      <c r="AC671" s="849">
        <v>0.0</v>
      </c>
      <c r="AD671" s="849">
        <v>0.0</v>
      </c>
      <c r="AE671" s="849">
        <v>0.0</v>
      </c>
      <c r="AF671" s="849">
        <v>0.0</v>
      </c>
      <c r="AG671" s="849">
        <v>0.0</v>
      </c>
      <c r="AH671" s="849">
        <v>0.0</v>
      </c>
      <c r="AI671" s="849">
        <v>0.0</v>
      </c>
      <c r="AJ671" s="794" t="str">
        <f t="shared" ref="AJ671:AK671" si="1339">C671</f>
        <v>G53500</v>
      </c>
      <c r="AK671" s="794" t="str">
        <f t="shared" si="1339"/>
        <v>REVENUS LOCATION C/TERME</v>
      </c>
      <c r="AL671" s="794">
        <f t="array" ref="AL671">IFERROR(INDEX(G671:R671,1,MATCH(Parametres!$B$3,G$1:R$1,0)-1)*IF(OR(F671="L",F671="S",F671="I"),-1,1),"")</f>
        <v>0</v>
      </c>
      <c r="AM671" s="794">
        <f t="shared" si="4"/>
        <v>0</v>
      </c>
      <c r="AN671" s="794">
        <f t="array" ref="AN671">INDEX(G671:R671,1,MATCH(Parametres!$B$3,G$1:R$1,0))*IF(OR(F671="L",F671="S",F671="I"),-1,1)</f>
        <v>0</v>
      </c>
      <c r="AO671" s="853" t="str">
        <f>+VLOOKUP($AJ671,Data_Validation!$A:$D,1,0)</f>
        <v>G53500</v>
      </c>
      <c r="AP671" s="853" t="str">
        <f>+VLOOKUP($AJ671,Data_Validation!$A:$D,3,0)</f>
        <v/>
      </c>
      <c r="AQ671" s="853" t="str">
        <f>+VLOOKUP($AJ671,Data_Validation!$A:$D,4,0)</f>
        <v/>
      </c>
      <c r="AR671" s="853" t="s">
        <v>728</v>
      </c>
      <c r="AS671" s="853" t="str">
        <f>+VLOOKUP($AJ671,Data_Validation!$A:$E,5,0)</f>
        <v/>
      </c>
      <c r="AT671" s="794" t="str">
        <f t="shared" ref="AT671:AU671" si="1340">C671</f>
        <v>G53500</v>
      </c>
      <c r="AU671" s="854" t="str">
        <f t="shared" si="1340"/>
        <v>REVENUS LOCATION C/TERME</v>
      </c>
      <c r="AV671" s="794">
        <f t="array" ref="AV671">IFERROR(INDEX(V671:AG671,1,MATCH(Parametres!$B$3,V$1:AG$1,0)-1)*IF(OR(C671="L",C671="S",C671="I"),-1,1),"")</f>
        <v>0</v>
      </c>
      <c r="AW671" s="794">
        <f t="shared" si="6"/>
        <v>0</v>
      </c>
      <c r="AX671" s="794">
        <f t="array" ref="AX671">INDEX(V671:AG671,1,MATCH(Parametres!$B$3,V$1:AG$1,0))*IF(OR(C671="L",C671="S",C671="I"),-1,1)</f>
        <v>0</v>
      </c>
      <c r="AY671" s="853" t="s">
        <v>772</v>
      </c>
      <c r="AZ671" s="853" t="str">
        <f>+VLOOKUP($AJ671,Data_Validation!$A:$E,5,0)</f>
        <v/>
      </c>
    </row>
    <row r="672" ht="15.0" customHeight="1">
      <c r="A672" s="849" t="s">
        <v>1239</v>
      </c>
      <c r="B672" s="849">
        <v>2025.0</v>
      </c>
      <c r="C672" s="849" t="s">
        <v>2849</v>
      </c>
      <c r="D672" s="849" t="s">
        <v>2850</v>
      </c>
      <c r="E672" s="849" t="s">
        <v>768</v>
      </c>
      <c r="F672" s="849" t="s">
        <v>2814</v>
      </c>
      <c r="G672" s="849">
        <v>0.0</v>
      </c>
      <c r="H672" s="849">
        <v>0.0</v>
      </c>
      <c r="I672" s="849">
        <v>0.0</v>
      </c>
      <c r="J672" s="849">
        <v>0.0</v>
      </c>
      <c r="K672" s="849">
        <v>0.0</v>
      </c>
      <c r="L672" s="849">
        <v>0.0</v>
      </c>
      <c r="M672" s="849">
        <v>0.0</v>
      </c>
      <c r="N672" s="849">
        <v>0.0</v>
      </c>
      <c r="O672" s="849">
        <v>0.0</v>
      </c>
      <c r="P672" s="849">
        <v>0.0</v>
      </c>
      <c r="Q672" s="849">
        <v>0.0</v>
      </c>
      <c r="R672" s="849">
        <v>0.0</v>
      </c>
      <c r="S672" s="849">
        <v>0.0</v>
      </c>
      <c r="T672" s="849">
        <v>0.0</v>
      </c>
      <c r="U672" s="849">
        <v>0.0</v>
      </c>
      <c r="V672" s="849">
        <v>0.0</v>
      </c>
      <c r="W672" s="849">
        <v>0.0</v>
      </c>
      <c r="X672" s="849">
        <v>0.0</v>
      </c>
      <c r="Y672" s="849">
        <v>0.0</v>
      </c>
      <c r="Z672" s="849">
        <v>0.0</v>
      </c>
      <c r="AA672" s="849">
        <v>0.0</v>
      </c>
      <c r="AB672" s="849">
        <v>0.0</v>
      </c>
      <c r="AC672" s="849">
        <v>0.0</v>
      </c>
      <c r="AD672" s="849">
        <v>0.0</v>
      </c>
      <c r="AE672" s="849">
        <v>0.0</v>
      </c>
      <c r="AF672" s="849">
        <v>0.0</v>
      </c>
      <c r="AG672" s="849">
        <v>0.0</v>
      </c>
      <c r="AH672" s="849">
        <v>0.0</v>
      </c>
      <c r="AI672" s="849">
        <v>0.0</v>
      </c>
      <c r="AJ672" s="794" t="str">
        <f t="shared" ref="AJ672:AK672" si="1341">C672</f>
        <v>G536</v>
      </c>
      <c r="AK672" s="794" t="str">
        <f t="shared" si="1341"/>
        <v>FRAIS ADMINIST.      -C/T</v>
      </c>
      <c r="AL672" s="794">
        <f t="array" ref="AL672">IFERROR(INDEX(G672:R672,1,MATCH(Parametres!$B$3,G$1:R$1,0)-1)*IF(OR(F672="L",F672="S",F672="I"),-1,1),"")</f>
        <v>0</v>
      </c>
      <c r="AM672" s="794">
        <f t="shared" si="4"/>
        <v>0</v>
      </c>
      <c r="AN672" s="794">
        <f t="array" ref="AN672">INDEX(G672:R672,1,MATCH(Parametres!$B$3,G$1:R$1,0))*IF(OR(F672="L",F672="S",F672="I"),-1,1)</f>
        <v>0</v>
      </c>
      <c r="AO672" s="853" t="str">
        <f>+VLOOKUP($AJ672,Data_Validation!$A:$D,1,0)</f>
        <v>#N/A</v>
      </c>
      <c r="AP672" s="853" t="str">
        <f>+VLOOKUP($AJ672,Data_Validation!$A:$D,3,0)</f>
        <v>#N/A</v>
      </c>
      <c r="AQ672" s="853" t="str">
        <f>+VLOOKUP($AJ672,Data_Validation!$A:$D,4,0)</f>
        <v>#N/A</v>
      </c>
      <c r="AR672" s="853" t="s">
        <v>728</v>
      </c>
      <c r="AS672" s="853" t="str">
        <f>+VLOOKUP($AJ672,Data_Validation!$A:$E,5,0)</f>
        <v>#N/A</v>
      </c>
      <c r="AT672" s="794" t="str">
        <f t="shared" ref="AT672:AU672" si="1342">C672</f>
        <v>G536</v>
      </c>
      <c r="AU672" s="854" t="str">
        <f t="shared" si="1342"/>
        <v>FRAIS ADMINIST.      -C/T</v>
      </c>
      <c r="AV672" s="794">
        <f t="array" ref="AV672">IFERROR(INDEX(V672:AG672,1,MATCH(Parametres!$B$3,V$1:AG$1,0)-1)*IF(OR(C672="L",C672="S",C672="I"),-1,1),"")</f>
        <v>0</v>
      </c>
      <c r="AW672" s="794">
        <f t="shared" si="6"/>
        <v>0</v>
      </c>
      <c r="AX672" s="794">
        <f t="array" ref="AX672">INDEX(V672:AG672,1,MATCH(Parametres!$B$3,V$1:AG$1,0))*IF(OR(C672="L",C672="S",C672="I"),-1,1)</f>
        <v>0</v>
      </c>
      <c r="AY672" s="853" t="s">
        <v>772</v>
      </c>
      <c r="AZ672" s="853" t="str">
        <f>+VLOOKUP($AJ672,Data_Validation!$A:$E,5,0)</f>
        <v>#N/A</v>
      </c>
    </row>
    <row r="673" ht="15.0" customHeight="1">
      <c r="A673" s="849" t="s">
        <v>1239</v>
      </c>
      <c r="B673" s="849">
        <v>2025.0</v>
      </c>
      <c r="C673" s="849" t="s">
        <v>2851</v>
      </c>
      <c r="D673" s="849" t="s">
        <v>2852</v>
      </c>
      <c r="E673" s="849" t="s">
        <v>768</v>
      </c>
      <c r="F673" s="849" t="s">
        <v>2426</v>
      </c>
      <c r="G673" s="849">
        <v>0.0</v>
      </c>
      <c r="H673" s="849">
        <v>0.0</v>
      </c>
      <c r="I673" s="849">
        <v>0.0</v>
      </c>
      <c r="J673" s="849">
        <v>0.0</v>
      </c>
      <c r="K673" s="849">
        <v>0.0</v>
      </c>
      <c r="L673" s="849">
        <v>0.0</v>
      </c>
      <c r="M673" s="849">
        <v>0.0</v>
      </c>
      <c r="N673" s="849">
        <v>0.0</v>
      </c>
      <c r="O673" s="849">
        <v>0.0</v>
      </c>
      <c r="P673" s="849">
        <v>0.0</v>
      </c>
      <c r="Q673" s="849">
        <v>0.0</v>
      </c>
      <c r="R673" s="849">
        <v>0.0</v>
      </c>
      <c r="S673" s="849">
        <v>0.0</v>
      </c>
      <c r="T673" s="849">
        <v>0.0</v>
      </c>
      <c r="U673" s="849">
        <v>0.0</v>
      </c>
      <c r="V673" s="849">
        <v>0.0</v>
      </c>
      <c r="W673" s="849">
        <v>0.0</v>
      </c>
      <c r="X673" s="849">
        <v>0.0</v>
      </c>
      <c r="Y673" s="849">
        <v>0.0</v>
      </c>
      <c r="Z673" s="849">
        <v>0.0</v>
      </c>
      <c r="AA673" s="849">
        <v>0.0</v>
      </c>
      <c r="AB673" s="849">
        <v>0.0</v>
      </c>
      <c r="AC673" s="849">
        <v>0.0</v>
      </c>
      <c r="AD673" s="849">
        <v>0.0</v>
      </c>
      <c r="AE673" s="849">
        <v>0.0</v>
      </c>
      <c r="AF673" s="849">
        <v>0.0</v>
      </c>
      <c r="AG673" s="849">
        <v>0.0</v>
      </c>
      <c r="AH673" s="849">
        <v>0.0</v>
      </c>
      <c r="AI673" s="849">
        <v>0.0</v>
      </c>
      <c r="AJ673" s="794" t="str">
        <f t="shared" ref="AJ673:AK673" si="1343">C673</f>
        <v>G541</v>
      </c>
      <c r="AK673" s="794" t="str">
        <f t="shared" si="1343"/>
        <v>COMM.ENCAISSE/ASS LOC C&amp;L</v>
      </c>
      <c r="AL673" s="794">
        <f t="array" ref="AL673">IFERROR(INDEX(G673:R673,1,MATCH(Parametres!$B$3,G$1:R$1,0)-1)*IF(OR(F673="L",F673="S",F673="I"),-1,1),"")</f>
        <v>0</v>
      </c>
      <c r="AM673" s="794">
        <f t="shared" si="4"/>
        <v>0</v>
      </c>
      <c r="AN673" s="794">
        <f t="array" ref="AN673">INDEX(G673:R673,1,MATCH(Parametres!$B$3,G$1:R$1,0))*IF(OR(F673="L",F673="S",F673="I"),-1,1)</f>
        <v>0</v>
      </c>
      <c r="AO673" s="853" t="str">
        <f>+VLOOKUP($AJ673,Data_Validation!$A:$D,1,0)</f>
        <v>#N/A</v>
      </c>
      <c r="AP673" s="853" t="str">
        <f>+VLOOKUP($AJ673,Data_Validation!$A:$D,3,0)</f>
        <v>#N/A</v>
      </c>
      <c r="AQ673" s="853" t="str">
        <f>+VLOOKUP($AJ673,Data_Validation!$A:$D,4,0)</f>
        <v>#N/A</v>
      </c>
      <c r="AR673" s="853" t="s">
        <v>728</v>
      </c>
      <c r="AS673" s="853" t="str">
        <f>+VLOOKUP($AJ673,Data_Validation!$A:$E,5,0)</f>
        <v>#N/A</v>
      </c>
      <c r="AT673" s="794" t="str">
        <f t="shared" ref="AT673:AU673" si="1344">C673</f>
        <v>G541</v>
      </c>
      <c r="AU673" s="854" t="str">
        <f t="shared" si="1344"/>
        <v>COMM.ENCAISSE/ASS LOC C&amp;L</v>
      </c>
      <c r="AV673" s="794">
        <f t="array" ref="AV673">IFERROR(INDEX(V673:AG673,1,MATCH(Parametres!$B$3,V$1:AG$1,0)-1)*IF(OR(C673="L",C673="S",C673="I"),-1,1),"")</f>
        <v>0</v>
      </c>
      <c r="AW673" s="794">
        <f t="shared" si="6"/>
        <v>0</v>
      </c>
      <c r="AX673" s="794">
        <f t="array" ref="AX673">INDEX(V673:AG673,1,MATCH(Parametres!$B$3,V$1:AG$1,0))*IF(OR(C673="L",C673="S",C673="I"),-1,1)</f>
        <v>0</v>
      </c>
      <c r="AY673" s="853" t="s">
        <v>772</v>
      </c>
      <c r="AZ673" s="853" t="str">
        <f>+VLOOKUP($AJ673,Data_Validation!$A:$E,5,0)</f>
        <v>#N/A</v>
      </c>
    </row>
    <row r="674" ht="15.0" customHeight="1">
      <c r="A674" s="849" t="s">
        <v>1239</v>
      </c>
      <c r="B674" s="849">
        <v>2025.0</v>
      </c>
      <c r="C674" s="849" t="s">
        <v>2853</v>
      </c>
      <c r="D674" s="849" t="s">
        <v>2854</v>
      </c>
      <c r="E674" s="849" t="s">
        <v>768</v>
      </c>
      <c r="F674" s="849" t="s">
        <v>2855</v>
      </c>
      <c r="G674" s="849">
        <v>0.0</v>
      </c>
      <c r="H674" s="849">
        <v>0.0</v>
      </c>
      <c r="I674" s="849">
        <v>0.0</v>
      </c>
      <c r="J674" s="849">
        <v>0.0</v>
      </c>
      <c r="K674" s="849">
        <v>0.0</v>
      </c>
      <c r="L674" s="849">
        <v>0.0</v>
      </c>
      <c r="M674" s="849">
        <v>0.0</v>
      </c>
      <c r="N674" s="849">
        <v>0.0</v>
      </c>
      <c r="O674" s="849">
        <v>0.0</v>
      </c>
      <c r="P674" s="849">
        <v>0.0</v>
      </c>
      <c r="Q674" s="849">
        <v>0.0</v>
      </c>
      <c r="R674" s="849">
        <v>0.0</v>
      </c>
      <c r="S674" s="849">
        <v>0.0</v>
      </c>
      <c r="T674" s="849">
        <v>0.0</v>
      </c>
      <c r="U674" s="849">
        <v>0.0</v>
      </c>
      <c r="V674" s="849">
        <v>0.0</v>
      </c>
      <c r="W674" s="849">
        <v>0.0</v>
      </c>
      <c r="X674" s="849">
        <v>0.0</v>
      </c>
      <c r="Y674" s="849">
        <v>0.0</v>
      </c>
      <c r="Z674" s="849">
        <v>0.0</v>
      </c>
      <c r="AA674" s="849">
        <v>0.0</v>
      </c>
      <c r="AB674" s="849">
        <v>0.0</v>
      </c>
      <c r="AC674" s="849">
        <v>0.0</v>
      </c>
      <c r="AD674" s="849">
        <v>0.0</v>
      </c>
      <c r="AE674" s="849">
        <v>0.0</v>
      </c>
      <c r="AF674" s="849">
        <v>0.0</v>
      </c>
      <c r="AG674" s="849">
        <v>0.0</v>
      </c>
      <c r="AH674" s="849">
        <v>0.0</v>
      </c>
      <c r="AI674" s="849">
        <v>0.0</v>
      </c>
      <c r="AJ674" s="794" t="str">
        <f t="shared" ref="AJ674:AK674" si="1345">C674</f>
        <v>G541C</v>
      </c>
      <c r="AK674" s="794" t="str">
        <f t="shared" si="1345"/>
        <v>*COMM.ENCAISSE/ASS.LOC</v>
      </c>
      <c r="AL674" s="794">
        <f t="array" ref="AL674">IFERROR(INDEX(G674:R674,1,MATCH(Parametres!$B$3,G$1:R$1,0)-1)*IF(OR(F674="L",F674="S",F674="I"),-1,1),"")</f>
        <v>0</v>
      </c>
      <c r="AM674" s="794">
        <f t="shared" si="4"/>
        <v>0</v>
      </c>
      <c r="AN674" s="794">
        <f t="array" ref="AN674">INDEX(G674:R674,1,MATCH(Parametres!$B$3,G$1:R$1,0))*IF(OR(F674="L",F674="S",F674="I"),-1,1)</f>
        <v>0</v>
      </c>
      <c r="AO674" s="853" t="str">
        <f>+VLOOKUP($AJ674,Data_Validation!$A:$D,1,0)</f>
        <v>#N/A</v>
      </c>
      <c r="AP674" s="853" t="str">
        <f>+VLOOKUP($AJ674,Data_Validation!$A:$D,3,0)</f>
        <v>#N/A</v>
      </c>
      <c r="AQ674" s="853" t="str">
        <f>+VLOOKUP($AJ674,Data_Validation!$A:$D,4,0)</f>
        <v>#N/A</v>
      </c>
      <c r="AR674" s="853" t="s">
        <v>728</v>
      </c>
      <c r="AS674" s="853" t="str">
        <f>+VLOOKUP($AJ674,Data_Validation!$A:$E,5,0)</f>
        <v>#N/A</v>
      </c>
      <c r="AT674" s="794" t="str">
        <f t="shared" ref="AT674:AU674" si="1346">C674</f>
        <v>G541C</v>
      </c>
      <c r="AU674" s="854" t="str">
        <f t="shared" si="1346"/>
        <v>*COMM.ENCAISSE/ASS.LOC</v>
      </c>
      <c r="AV674" s="794">
        <f t="array" ref="AV674">IFERROR(INDEX(V674:AG674,1,MATCH(Parametres!$B$3,V$1:AG$1,0)-1)*IF(OR(C674="L",C674="S",C674="I"),-1,1),"")</f>
        <v>0</v>
      </c>
      <c r="AW674" s="794">
        <f t="shared" si="6"/>
        <v>0</v>
      </c>
      <c r="AX674" s="794">
        <f t="array" ref="AX674">INDEX(V674:AG674,1,MATCH(Parametres!$B$3,V$1:AG$1,0))*IF(OR(C674="L",C674="S",C674="I"),-1,1)</f>
        <v>0</v>
      </c>
      <c r="AY674" s="853" t="s">
        <v>772</v>
      </c>
      <c r="AZ674" s="853" t="str">
        <f>+VLOOKUP($AJ674,Data_Validation!$A:$E,5,0)</f>
        <v>#N/A</v>
      </c>
    </row>
    <row r="675" ht="15.0" customHeight="1">
      <c r="A675" s="849" t="s">
        <v>1239</v>
      </c>
      <c r="B675" s="849">
        <v>2025.0</v>
      </c>
      <c r="C675" s="849" t="s">
        <v>2856</v>
      </c>
      <c r="D675" s="849" t="s">
        <v>2857</v>
      </c>
      <c r="E675" s="849" t="s">
        <v>768</v>
      </c>
      <c r="F675" s="849" t="s">
        <v>2426</v>
      </c>
      <c r="G675" s="849">
        <v>0.0</v>
      </c>
      <c r="H675" s="849">
        <v>0.0</v>
      </c>
      <c r="I675" s="849">
        <v>0.0</v>
      </c>
      <c r="J675" s="849">
        <v>0.0</v>
      </c>
      <c r="K675" s="849">
        <v>0.0</v>
      </c>
      <c r="L675" s="849">
        <v>0.0</v>
      </c>
      <c r="M675" s="849">
        <v>0.0</v>
      </c>
      <c r="N675" s="849">
        <v>0.0</v>
      </c>
      <c r="O675" s="849">
        <v>0.0</v>
      </c>
      <c r="P675" s="849">
        <v>0.0</v>
      </c>
      <c r="Q675" s="849">
        <v>0.0</v>
      </c>
      <c r="R675" s="849">
        <v>0.0</v>
      </c>
      <c r="S675" s="849">
        <v>0.0</v>
      </c>
      <c r="T675" s="849">
        <v>0.0</v>
      </c>
      <c r="U675" s="849">
        <v>0.0</v>
      </c>
      <c r="V675" s="849">
        <v>0.0</v>
      </c>
      <c r="W675" s="849">
        <v>0.0</v>
      </c>
      <c r="X675" s="849">
        <v>0.0</v>
      </c>
      <c r="Y675" s="849">
        <v>0.0</v>
      </c>
      <c r="Z675" s="849">
        <v>0.0</v>
      </c>
      <c r="AA675" s="849">
        <v>0.0</v>
      </c>
      <c r="AB675" s="849">
        <v>0.0</v>
      </c>
      <c r="AC675" s="849">
        <v>0.0</v>
      </c>
      <c r="AD675" s="849">
        <v>0.0</v>
      </c>
      <c r="AE675" s="849">
        <v>0.0</v>
      </c>
      <c r="AF675" s="849">
        <v>0.0</v>
      </c>
      <c r="AG675" s="849">
        <v>0.0</v>
      </c>
      <c r="AH675" s="849">
        <v>0.0</v>
      </c>
      <c r="AI675" s="849">
        <v>0.0</v>
      </c>
      <c r="AJ675" s="794" t="str">
        <f t="shared" ref="AJ675:AK675" si="1347">C675</f>
        <v>G542</v>
      </c>
      <c r="AK675" s="794" t="str">
        <f t="shared" si="1347"/>
        <v>ACCESSOIRES LOC C&amp;L TERME</v>
      </c>
      <c r="AL675" s="794">
        <f t="array" ref="AL675">IFERROR(INDEX(G675:R675,1,MATCH(Parametres!$B$3,G$1:R$1,0)-1)*IF(OR(F675="L",F675="S",F675="I"),-1,1),"")</f>
        <v>0</v>
      </c>
      <c r="AM675" s="794">
        <f t="shared" si="4"/>
        <v>0</v>
      </c>
      <c r="AN675" s="794">
        <f t="array" ref="AN675">INDEX(G675:R675,1,MATCH(Parametres!$B$3,G$1:R$1,0))*IF(OR(F675="L",F675="S",F675="I"),-1,1)</f>
        <v>0</v>
      </c>
      <c r="AO675" s="853" t="str">
        <f>+VLOOKUP($AJ675,Data_Validation!$A:$D,1,0)</f>
        <v>#N/A</v>
      </c>
      <c r="AP675" s="853" t="str">
        <f>+VLOOKUP($AJ675,Data_Validation!$A:$D,3,0)</f>
        <v>#N/A</v>
      </c>
      <c r="AQ675" s="853" t="str">
        <f>+VLOOKUP($AJ675,Data_Validation!$A:$D,4,0)</f>
        <v>#N/A</v>
      </c>
      <c r="AR675" s="853" t="s">
        <v>728</v>
      </c>
      <c r="AS675" s="853" t="str">
        <f>+VLOOKUP($AJ675,Data_Validation!$A:$E,5,0)</f>
        <v>#N/A</v>
      </c>
      <c r="AT675" s="794" t="str">
        <f t="shared" ref="AT675:AU675" si="1348">C675</f>
        <v>G542</v>
      </c>
      <c r="AU675" s="854" t="str">
        <f t="shared" si="1348"/>
        <v>ACCESSOIRES LOC C&amp;L TERME</v>
      </c>
      <c r="AV675" s="794">
        <f t="array" ref="AV675">IFERROR(INDEX(V675:AG675,1,MATCH(Parametres!$B$3,V$1:AG$1,0)-1)*IF(OR(C675="L",C675="S",C675="I"),-1,1),"")</f>
        <v>0</v>
      </c>
      <c r="AW675" s="794">
        <f t="shared" si="6"/>
        <v>0</v>
      </c>
      <c r="AX675" s="794">
        <f t="array" ref="AX675">INDEX(V675:AG675,1,MATCH(Parametres!$B$3,V$1:AG$1,0))*IF(OR(C675="L",C675="S",C675="I"),-1,1)</f>
        <v>0</v>
      </c>
      <c r="AY675" s="853" t="s">
        <v>772</v>
      </c>
      <c r="AZ675" s="853" t="str">
        <f>+VLOOKUP($AJ675,Data_Validation!$A:$E,5,0)</f>
        <v>#N/A</v>
      </c>
    </row>
    <row r="676" ht="15.0" customHeight="1">
      <c r="A676" s="849" t="s">
        <v>1239</v>
      </c>
      <c r="B676" s="849">
        <v>2025.0</v>
      </c>
      <c r="C676" s="849" t="s">
        <v>2858</v>
      </c>
      <c r="D676" s="849" t="s">
        <v>2857</v>
      </c>
      <c r="E676" s="849" t="s">
        <v>768</v>
      </c>
      <c r="F676" s="849" t="s">
        <v>2855</v>
      </c>
      <c r="G676" s="849">
        <v>0.0</v>
      </c>
      <c r="H676" s="849">
        <v>0.0</v>
      </c>
      <c r="I676" s="849">
        <v>0.0</v>
      </c>
      <c r="J676" s="849">
        <v>0.0</v>
      </c>
      <c r="K676" s="849">
        <v>0.0</v>
      </c>
      <c r="L676" s="849">
        <v>0.0</v>
      </c>
      <c r="M676" s="849">
        <v>0.0</v>
      </c>
      <c r="N676" s="849">
        <v>0.0</v>
      </c>
      <c r="O676" s="849">
        <v>0.0</v>
      </c>
      <c r="P676" s="849">
        <v>0.0</v>
      </c>
      <c r="Q676" s="849">
        <v>0.0</v>
      </c>
      <c r="R676" s="849">
        <v>0.0</v>
      </c>
      <c r="S676" s="849">
        <v>0.0</v>
      </c>
      <c r="T676" s="849">
        <v>0.0</v>
      </c>
      <c r="U676" s="849">
        <v>0.0</v>
      </c>
      <c r="V676" s="849">
        <v>0.0</v>
      </c>
      <c r="W676" s="849">
        <v>0.0</v>
      </c>
      <c r="X676" s="849">
        <v>0.0</v>
      </c>
      <c r="Y676" s="849">
        <v>0.0</v>
      </c>
      <c r="Z676" s="849">
        <v>0.0</v>
      </c>
      <c r="AA676" s="849">
        <v>0.0</v>
      </c>
      <c r="AB676" s="849">
        <v>0.0</v>
      </c>
      <c r="AC676" s="849">
        <v>0.0</v>
      </c>
      <c r="AD676" s="849">
        <v>0.0</v>
      </c>
      <c r="AE676" s="849">
        <v>0.0</v>
      </c>
      <c r="AF676" s="849">
        <v>0.0</v>
      </c>
      <c r="AG676" s="849">
        <v>0.0</v>
      </c>
      <c r="AH676" s="849">
        <v>0.0</v>
      </c>
      <c r="AI676" s="849">
        <v>0.0</v>
      </c>
      <c r="AJ676" s="794" t="str">
        <f t="shared" ref="AJ676:AK676" si="1349">C676</f>
        <v>G542C</v>
      </c>
      <c r="AK676" s="794" t="str">
        <f t="shared" si="1349"/>
        <v>ACCESSOIRES LOC C&amp;L TERME</v>
      </c>
      <c r="AL676" s="794">
        <f t="array" ref="AL676">IFERROR(INDEX(G676:R676,1,MATCH(Parametres!$B$3,G$1:R$1,0)-1)*IF(OR(F676="L",F676="S",F676="I"),-1,1),"")</f>
        <v>0</v>
      </c>
      <c r="AM676" s="794">
        <f t="shared" si="4"/>
        <v>0</v>
      </c>
      <c r="AN676" s="794">
        <f t="array" ref="AN676">INDEX(G676:R676,1,MATCH(Parametres!$B$3,G$1:R$1,0))*IF(OR(F676="L",F676="S",F676="I"),-1,1)</f>
        <v>0</v>
      </c>
      <c r="AO676" s="853" t="str">
        <f>+VLOOKUP($AJ676,Data_Validation!$A:$D,1,0)</f>
        <v>#N/A</v>
      </c>
      <c r="AP676" s="853" t="str">
        <f>+VLOOKUP($AJ676,Data_Validation!$A:$D,3,0)</f>
        <v>#N/A</v>
      </c>
      <c r="AQ676" s="853" t="str">
        <f>+VLOOKUP($AJ676,Data_Validation!$A:$D,4,0)</f>
        <v>#N/A</v>
      </c>
      <c r="AR676" s="853" t="s">
        <v>728</v>
      </c>
      <c r="AS676" s="853" t="str">
        <f>+VLOOKUP($AJ676,Data_Validation!$A:$E,5,0)</f>
        <v>#N/A</v>
      </c>
      <c r="AT676" s="794" t="str">
        <f t="shared" ref="AT676:AU676" si="1350">C676</f>
        <v>G542C</v>
      </c>
      <c r="AU676" s="854" t="str">
        <f t="shared" si="1350"/>
        <v>ACCESSOIRES LOC C&amp;L TERME</v>
      </c>
      <c r="AV676" s="794">
        <f t="array" ref="AV676">IFERROR(INDEX(V676:AG676,1,MATCH(Parametres!$B$3,V$1:AG$1,0)-1)*IF(OR(C676="L",C676="S",C676="I"),-1,1),"")</f>
        <v>0</v>
      </c>
      <c r="AW676" s="794">
        <f t="shared" si="6"/>
        <v>0</v>
      </c>
      <c r="AX676" s="794">
        <f t="array" ref="AX676">INDEX(V676:AG676,1,MATCH(Parametres!$B$3,V$1:AG$1,0))*IF(OR(C676="L",C676="S",C676="I"),-1,1)</f>
        <v>0</v>
      </c>
      <c r="AY676" s="853" t="s">
        <v>772</v>
      </c>
      <c r="AZ676" s="853" t="str">
        <f>+VLOOKUP($AJ676,Data_Validation!$A:$E,5,0)</f>
        <v>#N/A</v>
      </c>
    </row>
    <row r="677" ht="15.0" customHeight="1">
      <c r="A677" s="849" t="s">
        <v>1239</v>
      </c>
      <c r="B677" s="849">
        <v>2025.0</v>
      </c>
      <c r="C677" s="849" t="s">
        <v>2859</v>
      </c>
      <c r="D677" s="849" t="s">
        <v>2860</v>
      </c>
      <c r="E677" s="849" t="s">
        <v>768</v>
      </c>
      <c r="F677" s="849" t="s">
        <v>2426</v>
      </c>
      <c r="G677" s="849">
        <v>0.0</v>
      </c>
      <c r="H677" s="849">
        <v>0.0</v>
      </c>
      <c r="I677" s="849">
        <v>0.0</v>
      </c>
      <c r="J677" s="849">
        <v>0.0</v>
      </c>
      <c r="K677" s="849">
        <v>0.0</v>
      </c>
      <c r="L677" s="849">
        <v>0.0</v>
      </c>
      <c r="M677" s="849">
        <v>0.0</v>
      </c>
      <c r="N677" s="849">
        <v>0.0</v>
      </c>
      <c r="O677" s="849">
        <v>0.0</v>
      </c>
      <c r="P677" s="849">
        <v>0.0</v>
      </c>
      <c r="Q677" s="849">
        <v>0.0</v>
      </c>
      <c r="R677" s="849">
        <v>0.0</v>
      </c>
      <c r="S677" s="849">
        <v>0.0</v>
      </c>
      <c r="T677" s="849">
        <v>0.0</v>
      </c>
      <c r="U677" s="849">
        <v>0.0</v>
      </c>
      <c r="V677" s="849">
        <v>0.0</v>
      </c>
      <c r="W677" s="849">
        <v>0.0</v>
      </c>
      <c r="X677" s="849">
        <v>0.0</v>
      </c>
      <c r="Y677" s="849">
        <v>0.0</v>
      </c>
      <c r="Z677" s="849">
        <v>0.0</v>
      </c>
      <c r="AA677" s="849">
        <v>0.0</v>
      </c>
      <c r="AB677" s="849">
        <v>0.0</v>
      </c>
      <c r="AC677" s="849">
        <v>0.0</v>
      </c>
      <c r="AD677" s="849">
        <v>0.0</v>
      </c>
      <c r="AE677" s="849">
        <v>0.0</v>
      </c>
      <c r="AF677" s="849">
        <v>0.0</v>
      </c>
      <c r="AG677" s="849">
        <v>0.0</v>
      </c>
      <c r="AH677" s="849">
        <v>0.0</v>
      </c>
      <c r="AI677" s="849">
        <v>0.0</v>
      </c>
      <c r="AJ677" s="794" t="str">
        <f t="shared" ref="AJ677:AK677" si="1351">C677</f>
        <v>G543</v>
      </c>
      <c r="AK677" s="794" t="str">
        <f t="shared" si="1351"/>
        <v>PLAN PROT.GM LOC C&amp;L TERM</v>
      </c>
      <c r="AL677" s="794">
        <f t="array" ref="AL677">IFERROR(INDEX(G677:R677,1,MATCH(Parametres!$B$3,G$1:R$1,0)-1)*IF(OR(F677="L",F677="S",F677="I"),-1,1),"")</f>
        <v>0</v>
      </c>
      <c r="AM677" s="794">
        <f t="shared" si="4"/>
        <v>0</v>
      </c>
      <c r="AN677" s="794">
        <f t="array" ref="AN677">INDEX(G677:R677,1,MATCH(Parametres!$B$3,G$1:R$1,0))*IF(OR(F677="L",F677="S",F677="I"),-1,1)</f>
        <v>0</v>
      </c>
      <c r="AO677" s="853" t="str">
        <f>+VLOOKUP($AJ677,Data_Validation!$A:$D,1,0)</f>
        <v>#N/A</v>
      </c>
      <c r="AP677" s="853" t="str">
        <f>+VLOOKUP($AJ677,Data_Validation!$A:$D,3,0)</f>
        <v>#N/A</v>
      </c>
      <c r="AQ677" s="853" t="str">
        <f>+VLOOKUP($AJ677,Data_Validation!$A:$D,4,0)</f>
        <v>#N/A</v>
      </c>
      <c r="AR677" s="853" t="s">
        <v>728</v>
      </c>
      <c r="AS677" s="853" t="str">
        <f>+VLOOKUP($AJ677,Data_Validation!$A:$E,5,0)</f>
        <v>#N/A</v>
      </c>
      <c r="AT677" s="794" t="str">
        <f t="shared" ref="AT677:AU677" si="1352">C677</f>
        <v>G543</v>
      </c>
      <c r="AU677" s="854" t="str">
        <f t="shared" si="1352"/>
        <v>PLAN PROT.GM LOC C&amp;L TERM</v>
      </c>
      <c r="AV677" s="794">
        <f t="array" ref="AV677">IFERROR(INDEX(V677:AG677,1,MATCH(Parametres!$B$3,V$1:AG$1,0)-1)*IF(OR(C677="L",C677="S",C677="I"),-1,1),"")</f>
        <v>0</v>
      </c>
      <c r="AW677" s="794">
        <f t="shared" si="6"/>
        <v>0</v>
      </c>
      <c r="AX677" s="794">
        <f t="array" ref="AX677">INDEX(V677:AG677,1,MATCH(Parametres!$B$3,V$1:AG$1,0))*IF(OR(C677="L",C677="S",C677="I"),-1,1)</f>
        <v>0</v>
      </c>
      <c r="AY677" s="853" t="s">
        <v>772</v>
      </c>
      <c r="AZ677" s="853" t="str">
        <f>+VLOOKUP($AJ677,Data_Validation!$A:$E,5,0)</f>
        <v>#N/A</v>
      </c>
    </row>
    <row r="678" ht="15.0" customHeight="1">
      <c r="A678" s="849" t="s">
        <v>1239</v>
      </c>
      <c r="B678" s="849">
        <v>2025.0</v>
      </c>
      <c r="C678" s="849" t="s">
        <v>2861</v>
      </c>
      <c r="D678" s="849" t="s">
        <v>2860</v>
      </c>
      <c r="E678" s="849" t="s">
        <v>768</v>
      </c>
      <c r="F678" s="849" t="s">
        <v>2855</v>
      </c>
      <c r="G678" s="849">
        <v>0.0</v>
      </c>
      <c r="H678" s="849">
        <v>0.0</v>
      </c>
      <c r="I678" s="849">
        <v>0.0</v>
      </c>
      <c r="J678" s="849">
        <v>0.0</v>
      </c>
      <c r="K678" s="849">
        <v>0.0</v>
      </c>
      <c r="L678" s="849">
        <v>0.0</v>
      </c>
      <c r="M678" s="849">
        <v>0.0</v>
      </c>
      <c r="N678" s="849">
        <v>0.0</v>
      </c>
      <c r="O678" s="849">
        <v>0.0</v>
      </c>
      <c r="P678" s="849">
        <v>0.0</v>
      </c>
      <c r="Q678" s="849">
        <v>0.0</v>
      </c>
      <c r="R678" s="849">
        <v>0.0</v>
      </c>
      <c r="S678" s="849">
        <v>0.0</v>
      </c>
      <c r="T678" s="849">
        <v>0.0</v>
      </c>
      <c r="U678" s="849">
        <v>0.0</v>
      </c>
      <c r="V678" s="849">
        <v>0.0</v>
      </c>
      <c r="W678" s="849">
        <v>0.0</v>
      </c>
      <c r="X678" s="849">
        <v>0.0</v>
      </c>
      <c r="Y678" s="849">
        <v>0.0</v>
      </c>
      <c r="Z678" s="849">
        <v>0.0</v>
      </c>
      <c r="AA678" s="849">
        <v>0.0</v>
      </c>
      <c r="AB678" s="849">
        <v>0.0</v>
      </c>
      <c r="AC678" s="849">
        <v>0.0</v>
      </c>
      <c r="AD678" s="849">
        <v>0.0</v>
      </c>
      <c r="AE678" s="849">
        <v>0.0</v>
      </c>
      <c r="AF678" s="849">
        <v>0.0</v>
      </c>
      <c r="AG678" s="849">
        <v>0.0</v>
      </c>
      <c r="AH678" s="849">
        <v>0.0</v>
      </c>
      <c r="AI678" s="849">
        <v>0.0</v>
      </c>
      <c r="AJ678" s="794" t="str">
        <f t="shared" ref="AJ678:AK678" si="1353">C678</f>
        <v>G543C</v>
      </c>
      <c r="AK678" s="794" t="str">
        <f t="shared" si="1353"/>
        <v>PLAN PROT.GM LOC C&amp;L TERM</v>
      </c>
      <c r="AL678" s="794">
        <f t="array" ref="AL678">IFERROR(INDEX(G678:R678,1,MATCH(Parametres!$B$3,G$1:R$1,0)-1)*IF(OR(F678="L",F678="S",F678="I"),-1,1),"")</f>
        <v>0</v>
      </c>
      <c r="AM678" s="794">
        <f t="shared" si="4"/>
        <v>0</v>
      </c>
      <c r="AN678" s="794">
        <f t="array" ref="AN678">INDEX(G678:R678,1,MATCH(Parametres!$B$3,G$1:R$1,0))*IF(OR(F678="L",F678="S",F678="I"),-1,1)</f>
        <v>0</v>
      </c>
      <c r="AO678" s="853" t="str">
        <f>+VLOOKUP($AJ678,Data_Validation!$A:$D,1,0)</f>
        <v>#N/A</v>
      </c>
      <c r="AP678" s="853" t="str">
        <f>+VLOOKUP($AJ678,Data_Validation!$A:$D,3,0)</f>
        <v>#N/A</v>
      </c>
      <c r="AQ678" s="853" t="str">
        <f>+VLOOKUP($AJ678,Data_Validation!$A:$D,4,0)</f>
        <v>#N/A</v>
      </c>
      <c r="AR678" s="853" t="s">
        <v>728</v>
      </c>
      <c r="AS678" s="853" t="str">
        <f>+VLOOKUP($AJ678,Data_Validation!$A:$E,5,0)</f>
        <v>#N/A</v>
      </c>
      <c r="AT678" s="794" t="str">
        <f t="shared" ref="AT678:AU678" si="1354">C678</f>
        <v>G543C</v>
      </c>
      <c r="AU678" s="854" t="str">
        <f t="shared" si="1354"/>
        <v>PLAN PROT.GM LOC C&amp;L TERM</v>
      </c>
      <c r="AV678" s="794">
        <f t="array" ref="AV678">IFERROR(INDEX(V678:AG678,1,MATCH(Parametres!$B$3,V$1:AG$1,0)-1)*IF(OR(C678="L",C678="S",C678="I"),-1,1),"")</f>
        <v>0</v>
      </c>
      <c r="AW678" s="794">
        <f t="shared" si="6"/>
        <v>0</v>
      </c>
      <c r="AX678" s="794">
        <f t="array" ref="AX678">INDEX(V678:AG678,1,MATCH(Parametres!$B$3,V$1:AG$1,0))*IF(OR(C678="L",C678="S",C678="I"),-1,1)</f>
        <v>0</v>
      </c>
      <c r="AY678" s="853" t="s">
        <v>772</v>
      </c>
      <c r="AZ678" s="853" t="str">
        <f>+VLOOKUP($AJ678,Data_Validation!$A:$E,5,0)</f>
        <v>#N/A</v>
      </c>
    </row>
    <row r="679" ht="15.0" customHeight="1">
      <c r="A679" s="849" t="s">
        <v>1239</v>
      </c>
      <c r="B679" s="849">
        <v>2025.0</v>
      </c>
      <c r="C679" s="849" t="s">
        <v>2862</v>
      </c>
      <c r="D679" s="849" t="s">
        <v>2863</v>
      </c>
      <c r="E679" s="849" t="s">
        <v>768</v>
      </c>
      <c r="F679" s="849" t="s">
        <v>2426</v>
      </c>
      <c r="G679" s="849">
        <v>0.0</v>
      </c>
      <c r="H679" s="849">
        <v>0.0</v>
      </c>
      <c r="I679" s="849">
        <v>0.0</v>
      </c>
      <c r="J679" s="849">
        <v>0.0</v>
      </c>
      <c r="K679" s="849">
        <v>0.0</v>
      </c>
      <c r="L679" s="849">
        <v>0.0</v>
      </c>
      <c r="M679" s="849">
        <v>0.0</v>
      </c>
      <c r="N679" s="849">
        <v>0.0</v>
      </c>
      <c r="O679" s="849">
        <v>0.0</v>
      </c>
      <c r="P679" s="849">
        <v>0.0</v>
      </c>
      <c r="Q679" s="849">
        <v>0.0</v>
      </c>
      <c r="R679" s="849">
        <v>0.0</v>
      </c>
      <c r="S679" s="849">
        <v>0.0</v>
      </c>
      <c r="T679" s="849">
        <v>0.0</v>
      </c>
      <c r="U679" s="849">
        <v>0.0</v>
      </c>
      <c r="V679" s="849">
        <v>0.0</v>
      </c>
      <c r="W679" s="849">
        <v>0.0</v>
      </c>
      <c r="X679" s="849">
        <v>0.0</v>
      </c>
      <c r="Y679" s="849">
        <v>0.0</v>
      </c>
      <c r="Z679" s="849">
        <v>0.0</v>
      </c>
      <c r="AA679" s="849">
        <v>0.0</v>
      </c>
      <c r="AB679" s="849">
        <v>0.0</v>
      </c>
      <c r="AC679" s="849">
        <v>0.0</v>
      </c>
      <c r="AD679" s="849">
        <v>0.0</v>
      </c>
      <c r="AE679" s="849">
        <v>0.0</v>
      </c>
      <c r="AF679" s="849">
        <v>0.0</v>
      </c>
      <c r="AG679" s="849">
        <v>0.0</v>
      </c>
      <c r="AH679" s="849">
        <v>0.0</v>
      </c>
      <c r="AI679" s="849">
        <v>0.0</v>
      </c>
      <c r="AJ679" s="794" t="str">
        <f t="shared" ref="AJ679:AK679" si="1355">C679</f>
        <v>G544</v>
      </c>
      <c r="AK679" s="794" t="str">
        <f t="shared" si="1355"/>
        <v>AUTRES PLAN PROT. LOC C&amp;L</v>
      </c>
      <c r="AL679" s="794">
        <f t="array" ref="AL679">IFERROR(INDEX(G679:R679,1,MATCH(Parametres!$B$3,G$1:R$1,0)-1)*IF(OR(F679="L",F679="S",F679="I"),-1,1),"")</f>
        <v>0</v>
      </c>
      <c r="AM679" s="794">
        <f t="shared" si="4"/>
        <v>0</v>
      </c>
      <c r="AN679" s="794">
        <f t="array" ref="AN679">INDEX(G679:R679,1,MATCH(Parametres!$B$3,G$1:R$1,0))*IF(OR(F679="L",F679="S",F679="I"),-1,1)</f>
        <v>0</v>
      </c>
      <c r="AO679" s="853" t="str">
        <f>+VLOOKUP($AJ679,Data_Validation!$A:$D,1,0)</f>
        <v>#N/A</v>
      </c>
      <c r="AP679" s="853" t="str">
        <f>+VLOOKUP($AJ679,Data_Validation!$A:$D,3,0)</f>
        <v>#N/A</v>
      </c>
      <c r="AQ679" s="853" t="str">
        <f>+VLOOKUP($AJ679,Data_Validation!$A:$D,4,0)</f>
        <v>#N/A</v>
      </c>
      <c r="AR679" s="853" t="s">
        <v>728</v>
      </c>
      <c r="AS679" s="853" t="str">
        <f>+VLOOKUP($AJ679,Data_Validation!$A:$E,5,0)</f>
        <v>#N/A</v>
      </c>
      <c r="AT679" s="794" t="str">
        <f t="shared" ref="AT679:AU679" si="1356">C679</f>
        <v>G544</v>
      </c>
      <c r="AU679" s="854" t="str">
        <f t="shared" si="1356"/>
        <v>AUTRES PLAN PROT. LOC C&amp;L</v>
      </c>
      <c r="AV679" s="794">
        <f t="array" ref="AV679">IFERROR(INDEX(V679:AG679,1,MATCH(Parametres!$B$3,V$1:AG$1,0)-1)*IF(OR(C679="L",C679="S",C679="I"),-1,1),"")</f>
        <v>0</v>
      </c>
      <c r="AW679" s="794">
        <f t="shared" si="6"/>
        <v>0</v>
      </c>
      <c r="AX679" s="794">
        <f t="array" ref="AX679">INDEX(V679:AG679,1,MATCH(Parametres!$B$3,V$1:AG$1,0))*IF(OR(C679="L",C679="S",C679="I"),-1,1)</f>
        <v>0</v>
      </c>
      <c r="AY679" s="853" t="s">
        <v>772</v>
      </c>
      <c r="AZ679" s="853" t="str">
        <f>+VLOOKUP($AJ679,Data_Validation!$A:$E,5,0)</f>
        <v>#N/A</v>
      </c>
    </row>
    <row r="680" ht="15.0" customHeight="1">
      <c r="A680" s="849" t="s">
        <v>1239</v>
      </c>
      <c r="B680" s="849">
        <v>2025.0</v>
      </c>
      <c r="C680" s="849" t="s">
        <v>2864</v>
      </c>
      <c r="D680" s="849" t="s">
        <v>2865</v>
      </c>
      <c r="E680" s="849" t="s">
        <v>768</v>
      </c>
      <c r="F680" s="849" t="s">
        <v>2855</v>
      </c>
      <c r="G680" s="849">
        <v>0.0</v>
      </c>
      <c r="H680" s="849">
        <v>0.0</v>
      </c>
      <c r="I680" s="849">
        <v>0.0</v>
      </c>
      <c r="J680" s="849">
        <v>0.0</v>
      </c>
      <c r="K680" s="849">
        <v>0.0</v>
      </c>
      <c r="L680" s="849">
        <v>0.0</v>
      </c>
      <c r="M680" s="849">
        <v>0.0</v>
      </c>
      <c r="N680" s="849">
        <v>0.0</v>
      </c>
      <c r="O680" s="849">
        <v>0.0</v>
      </c>
      <c r="P680" s="849">
        <v>0.0</v>
      </c>
      <c r="Q680" s="849">
        <v>0.0</v>
      </c>
      <c r="R680" s="849">
        <v>0.0</v>
      </c>
      <c r="S680" s="849">
        <v>0.0</v>
      </c>
      <c r="T680" s="849">
        <v>0.0</v>
      </c>
      <c r="U680" s="849">
        <v>0.0</v>
      </c>
      <c r="V680" s="849">
        <v>0.0</v>
      </c>
      <c r="W680" s="849">
        <v>0.0</v>
      </c>
      <c r="X680" s="849">
        <v>0.0</v>
      </c>
      <c r="Y680" s="849">
        <v>0.0</v>
      </c>
      <c r="Z680" s="849">
        <v>0.0</v>
      </c>
      <c r="AA680" s="849">
        <v>0.0</v>
      </c>
      <c r="AB680" s="849">
        <v>0.0</v>
      </c>
      <c r="AC680" s="849">
        <v>0.0</v>
      </c>
      <c r="AD680" s="849">
        <v>0.0</v>
      </c>
      <c r="AE680" s="849">
        <v>0.0</v>
      </c>
      <c r="AF680" s="849">
        <v>0.0</v>
      </c>
      <c r="AG680" s="849">
        <v>0.0</v>
      </c>
      <c r="AH680" s="849">
        <v>0.0</v>
      </c>
      <c r="AI680" s="849">
        <v>0.0</v>
      </c>
      <c r="AJ680" s="794" t="str">
        <f t="shared" ref="AJ680:AK680" si="1357">C680</f>
        <v>G544C</v>
      </c>
      <c r="AK680" s="794" t="str">
        <f t="shared" si="1357"/>
        <v>AUTRES PLAN PROT.LOC C&amp;L</v>
      </c>
      <c r="AL680" s="794">
        <f t="array" ref="AL680">IFERROR(INDEX(G680:R680,1,MATCH(Parametres!$B$3,G$1:R$1,0)-1)*IF(OR(F680="L",F680="S",F680="I"),-1,1),"")</f>
        <v>0</v>
      </c>
      <c r="AM680" s="794">
        <f t="shared" si="4"/>
        <v>0</v>
      </c>
      <c r="AN680" s="794">
        <f t="array" ref="AN680">INDEX(G680:R680,1,MATCH(Parametres!$B$3,G$1:R$1,0))*IF(OR(F680="L",F680="S",F680="I"),-1,1)</f>
        <v>0</v>
      </c>
      <c r="AO680" s="853" t="str">
        <f>+VLOOKUP($AJ680,Data_Validation!$A:$D,1,0)</f>
        <v>#N/A</v>
      </c>
      <c r="AP680" s="853" t="str">
        <f>+VLOOKUP($AJ680,Data_Validation!$A:$D,3,0)</f>
        <v>#N/A</v>
      </c>
      <c r="AQ680" s="853" t="str">
        <f>+VLOOKUP($AJ680,Data_Validation!$A:$D,4,0)</f>
        <v>#N/A</v>
      </c>
      <c r="AR680" s="853" t="s">
        <v>728</v>
      </c>
      <c r="AS680" s="853" t="str">
        <f>+VLOOKUP($AJ680,Data_Validation!$A:$E,5,0)</f>
        <v>#N/A</v>
      </c>
      <c r="AT680" s="794" t="str">
        <f t="shared" ref="AT680:AU680" si="1358">C680</f>
        <v>G544C</v>
      </c>
      <c r="AU680" s="854" t="str">
        <f t="shared" si="1358"/>
        <v>AUTRES PLAN PROT.LOC C&amp;L</v>
      </c>
      <c r="AV680" s="794">
        <f t="array" ref="AV680">IFERROR(INDEX(V680:AG680,1,MATCH(Parametres!$B$3,V$1:AG$1,0)-1)*IF(OR(C680="L",C680="S",C680="I"),-1,1),"")</f>
        <v>0</v>
      </c>
      <c r="AW680" s="794">
        <f t="shared" si="6"/>
        <v>0</v>
      </c>
      <c r="AX680" s="794">
        <f t="array" ref="AX680">INDEX(V680:AG680,1,MATCH(Parametres!$B$3,V$1:AG$1,0))*IF(OR(C680="L",C680="S",C680="I"),-1,1)</f>
        <v>0</v>
      </c>
      <c r="AY680" s="853" t="s">
        <v>772</v>
      </c>
      <c r="AZ680" s="853" t="str">
        <f>+VLOOKUP($AJ680,Data_Validation!$A:$E,5,0)</f>
        <v>#N/A</v>
      </c>
    </row>
    <row r="681" ht="15.0" customHeight="1">
      <c r="A681" s="849" t="s">
        <v>1239</v>
      </c>
      <c r="B681" s="849">
        <v>2025.0</v>
      </c>
      <c r="C681" s="849" t="s">
        <v>2866</v>
      </c>
      <c r="D681" s="849" t="s">
        <v>2867</v>
      </c>
      <c r="E681" s="849" t="s">
        <v>2072</v>
      </c>
      <c r="F681" s="849" t="s">
        <v>2855</v>
      </c>
      <c r="G681" s="849">
        <v>0.0</v>
      </c>
      <c r="H681" s="849">
        <v>0.0</v>
      </c>
      <c r="I681" s="849">
        <v>0.0</v>
      </c>
      <c r="J681" s="849">
        <v>0.0</v>
      </c>
      <c r="K681" s="849">
        <v>0.0</v>
      </c>
      <c r="L681" s="849">
        <v>0.0</v>
      </c>
      <c r="M681" s="849">
        <v>0.0</v>
      </c>
      <c r="N681" s="849">
        <v>0.0</v>
      </c>
      <c r="O681" s="849">
        <v>0.0</v>
      </c>
      <c r="P681" s="849">
        <v>0.0</v>
      </c>
      <c r="Q681" s="849">
        <v>0.0</v>
      </c>
      <c r="R681" s="849">
        <v>0.0</v>
      </c>
      <c r="S681" s="849">
        <v>0.0</v>
      </c>
      <c r="T681" s="849">
        <v>0.0</v>
      </c>
      <c r="U681" s="849">
        <v>0.0</v>
      </c>
      <c r="V681" s="849">
        <v>0.0</v>
      </c>
      <c r="W681" s="849">
        <v>0.0</v>
      </c>
      <c r="X681" s="849">
        <v>0.0</v>
      </c>
      <c r="Y681" s="849">
        <v>0.0</v>
      </c>
      <c r="Z681" s="849">
        <v>0.0</v>
      </c>
      <c r="AA681" s="849">
        <v>0.0</v>
      </c>
      <c r="AB681" s="849">
        <v>0.0</v>
      </c>
      <c r="AC681" s="849">
        <v>0.0</v>
      </c>
      <c r="AD681" s="849">
        <v>0.0</v>
      </c>
      <c r="AE681" s="849">
        <v>0.0</v>
      </c>
      <c r="AF681" s="849">
        <v>0.0</v>
      </c>
      <c r="AG681" s="849">
        <v>0.0</v>
      </c>
      <c r="AH681" s="849">
        <v>0.0</v>
      </c>
      <c r="AI681" s="849">
        <v>0.0</v>
      </c>
      <c r="AJ681" s="794" t="str">
        <f t="shared" ref="AJ681:AK681" si="1359">C681</f>
        <v>G60000</v>
      </c>
      <c r="AK681" s="794" t="str">
        <f t="shared" si="1359"/>
        <v>COUT- VOLT</v>
      </c>
      <c r="AL681" s="794">
        <f t="array" ref="AL681">IFERROR(INDEX(G681:R681,1,MATCH(Parametres!$B$3,G$1:R$1,0)-1)*IF(OR(F681="L",F681="S",F681="I"),-1,1),"")</f>
        <v>0</v>
      </c>
      <c r="AM681" s="794">
        <f t="shared" si="4"/>
        <v>0</v>
      </c>
      <c r="AN681" s="794">
        <f t="array" ref="AN681">INDEX(G681:R681,1,MATCH(Parametres!$B$3,G$1:R$1,0))*IF(OR(F681="L",F681="S",F681="I"),-1,1)</f>
        <v>0</v>
      </c>
      <c r="AO681" s="853" t="str">
        <f>+VLOOKUP($AJ681,Data_Validation!$A:$D,1,0)</f>
        <v>G60000</v>
      </c>
      <c r="AP681" s="853" t="str">
        <f>+VLOOKUP($AJ681,Data_Validation!$A:$D,3,0)</f>
        <v>Véhicules neufs</v>
      </c>
      <c r="AQ681" s="853" t="str">
        <f>+VLOOKUP($AJ681,Data_Validation!$A:$D,4,0)</f>
        <v>Autos détail</v>
      </c>
      <c r="AR681" s="853" t="s">
        <v>728</v>
      </c>
      <c r="AS681" s="853" t="str">
        <f>+VLOOKUP($AJ681,Data_Validation!$A:$E,5,0)</f>
        <v/>
      </c>
      <c r="AT681" s="794" t="str">
        <f t="shared" ref="AT681:AU681" si="1360">C681</f>
        <v>G60000</v>
      </c>
      <c r="AU681" s="854" t="str">
        <f t="shared" si="1360"/>
        <v>COUT- VOLT</v>
      </c>
      <c r="AV681" s="794">
        <f t="array" ref="AV681">IFERROR(INDEX(V681:AG681,1,MATCH(Parametres!$B$3,V$1:AG$1,0)-1)*IF(OR(C681="L",C681="S",C681="I"),-1,1),"")</f>
        <v>0</v>
      </c>
      <c r="AW681" s="794">
        <f t="shared" si="6"/>
        <v>0</v>
      </c>
      <c r="AX681" s="794">
        <f t="array" ref="AX681">INDEX(V681:AG681,1,MATCH(Parametres!$B$3,V$1:AG$1,0))*IF(OR(C681="L",C681="S",C681="I"),-1,1)</f>
        <v>0</v>
      </c>
      <c r="AY681" s="853" t="s">
        <v>772</v>
      </c>
      <c r="AZ681" s="853" t="str">
        <f>+VLOOKUP($AJ681,Data_Validation!$A:$E,5,0)</f>
        <v/>
      </c>
    </row>
    <row r="682" ht="15.0" customHeight="1">
      <c r="A682" s="849" t="s">
        <v>1239</v>
      </c>
      <c r="B682" s="849">
        <v>2025.0</v>
      </c>
      <c r="C682" s="849" t="s">
        <v>2868</v>
      </c>
      <c r="D682" s="849" t="s">
        <v>2869</v>
      </c>
      <c r="E682" s="849" t="s">
        <v>2072</v>
      </c>
      <c r="F682" s="849" t="s">
        <v>2855</v>
      </c>
      <c r="G682" s="849">
        <v>0.0</v>
      </c>
      <c r="H682" s="849">
        <v>0.0</v>
      </c>
      <c r="I682" s="849">
        <v>0.0</v>
      </c>
      <c r="J682" s="849">
        <v>0.0</v>
      </c>
      <c r="K682" s="849">
        <v>0.0</v>
      </c>
      <c r="L682" s="849">
        <v>0.0</v>
      </c>
      <c r="M682" s="849">
        <v>0.0</v>
      </c>
      <c r="N682" s="849">
        <v>0.0</v>
      </c>
      <c r="O682" s="849">
        <v>0.0</v>
      </c>
      <c r="P682" s="849">
        <v>0.0</v>
      </c>
      <c r="Q682" s="849">
        <v>0.0</v>
      </c>
      <c r="R682" s="849">
        <v>0.0</v>
      </c>
      <c r="S682" s="849">
        <v>0.0</v>
      </c>
      <c r="T682" s="849">
        <v>0.0</v>
      </c>
      <c r="U682" s="849">
        <v>0.0</v>
      </c>
      <c r="V682" s="849">
        <v>0.0</v>
      </c>
      <c r="W682" s="849">
        <v>0.0</v>
      </c>
      <c r="X682" s="849">
        <v>0.0</v>
      </c>
      <c r="Y682" s="849">
        <v>0.0</v>
      </c>
      <c r="Z682" s="849">
        <v>0.0</v>
      </c>
      <c r="AA682" s="849">
        <v>0.0</v>
      </c>
      <c r="AB682" s="849">
        <v>0.0</v>
      </c>
      <c r="AC682" s="849">
        <v>0.0</v>
      </c>
      <c r="AD682" s="849">
        <v>0.0</v>
      </c>
      <c r="AE682" s="849">
        <v>0.0</v>
      </c>
      <c r="AF682" s="849">
        <v>0.0</v>
      </c>
      <c r="AG682" s="849">
        <v>0.0</v>
      </c>
      <c r="AH682" s="849">
        <v>0.0</v>
      </c>
      <c r="AI682" s="849">
        <v>0.0</v>
      </c>
      <c r="AJ682" s="794" t="str">
        <f t="shared" ref="AJ682:AK682" si="1361">C682</f>
        <v>G60004</v>
      </c>
      <c r="AK682" s="794" t="str">
        <f t="shared" si="1361"/>
        <v>COUTANT BUICK REGAL</v>
      </c>
      <c r="AL682" s="794">
        <f t="array" ref="AL682">IFERROR(INDEX(G682:R682,1,MATCH(Parametres!$B$3,G$1:R$1,0)-1)*IF(OR(F682="L",F682="S",F682="I"),-1,1),"")</f>
        <v>0</v>
      </c>
      <c r="AM682" s="794">
        <f t="shared" si="4"/>
        <v>0</v>
      </c>
      <c r="AN682" s="794">
        <f t="array" ref="AN682">INDEX(G682:R682,1,MATCH(Parametres!$B$3,G$1:R$1,0))*IF(OR(F682="L",F682="S",F682="I"),-1,1)</f>
        <v>0</v>
      </c>
      <c r="AO682" s="853" t="str">
        <f>+VLOOKUP($AJ682,Data_Validation!$A:$D,1,0)</f>
        <v>G60004</v>
      </c>
      <c r="AP682" s="853" t="str">
        <f>+VLOOKUP($AJ682,Data_Validation!$A:$D,3,0)</f>
        <v>Véhicules neufs</v>
      </c>
      <c r="AQ682" s="853" t="str">
        <f>+VLOOKUP($AJ682,Data_Validation!$A:$D,4,0)</f>
        <v>Autos détail</v>
      </c>
      <c r="AR682" s="853" t="s">
        <v>728</v>
      </c>
      <c r="AS682" s="853" t="str">
        <f>+VLOOKUP($AJ682,Data_Validation!$A:$E,5,0)</f>
        <v/>
      </c>
      <c r="AT682" s="794" t="str">
        <f t="shared" ref="AT682:AU682" si="1362">C682</f>
        <v>G60004</v>
      </c>
      <c r="AU682" s="854" t="str">
        <f t="shared" si="1362"/>
        <v>COUTANT BUICK REGAL</v>
      </c>
      <c r="AV682" s="794">
        <f t="array" ref="AV682">IFERROR(INDEX(V682:AG682,1,MATCH(Parametres!$B$3,V$1:AG$1,0)-1)*IF(OR(C682="L",C682="S",C682="I"),-1,1),"")</f>
        <v>0</v>
      </c>
      <c r="AW682" s="794">
        <f t="shared" si="6"/>
        <v>0</v>
      </c>
      <c r="AX682" s="794">
        <f t="array" ref="AX682">INDEX(V682:AG682,1,MATCH(Parametres!$B$3,V$1:AG$1,0))*IF(OR(C682="L",C682="S",C682="I"),-1,1)</f>
        <v>0</v>
      </c>
      <c r="AY682" s="853" t="s">
        <v>772</v>
      </c>
      <c r="AZ682" s="853" t="str">
        <f>+VLOOKUP($AJ682,Data_Validation!$A:$E,5,0)</f>
        <v/>
      </c>
    </row>
    <row r="683" ht="15.0" customHeight="1">
      <c r="A683" s="849" t="s">
        <v>1239</v>
      </c>
      <c r="B683" s="849">
        <v>2025.0</v>
      </c>
      <c r="C683" s="849" t="s">
        <v>2870</v>
      </c>
      <c r="D683" s="849" t="s">
        <v>2871</v>
      </c>
      <c r="E683" s="849" t="s">
        <v>2072</v>
      </c>
      <c r="F683" s="849" t="s">
        <v>2855</v>
      </c>
      <c r="G683" s="849">
        <v>0.0</v>
      </c>
      <c r="H683" s="849">
        <v>0.0</v>
      </c>
      <c r="I683" s="849">
        <v>0.0</v>
      </c>
      <c r="J683" s="849">
        <v>0.0</v>
      </c>
      <c r="K683" s="849">
        <v>35093.0</v>
      </c>
      <c r="L683" s="849">
        <v>35093.0</v>
      </c>
      <c r="M683" s="849">
        <v>35093.0</v>
      </c>
      <c r="N683" s="849">
        <v>35093.0</v>
      </c>
      <c r="O683" s="849">
        <v>35093.0</v>
      </c>
      <c r="P683" s="849">
        <v>35093.0</v>
      </c>
      <c r="Q683" s="849">
        <v>35093.0</v>
      </c>
      <c r="R683" s="849">
        <v>35093.0</v>
      </c>
      <c r="S683" s="849">
        <v>3190.27</v>
      </c>
      <c r="T683" s="849">
        <v>3190.27</v>
      </c>
      <c r="U683" s="849">
        <v>0.0</v>
      </c>
      <c r="V683" s="849">
        <v>0.0</v>
      </c>
      <c r="W683" s="849">
        <v>0.0</v>
      </c>
      <c r="X683" s="849">
        <v>0.0</v>
      </c>
      <c r="Y683" s="849">
        <v>0.0</v>
      </c>
      <c r="Z683" s="849">
        <v>0.0</v>
      </c>
      <c r="AA683" s="849">
        <v>0.0</v>
      </c>
      <c r="AB683" s="849">
        <v>0.0</v>
      </c>
      <c r="AC683" s="849">
        <v>0.0</v>
      </c>
      <c r="AD683" s="849">
        <v>0.0</v>
      </c>
      <c r="AE683" s="849">
        <v>0.0</v>
      </c>
      <c r="AF683" s="849">
        <v>0.0</v>
      </c>
      <c r="AG683" s="849">
        <v>0.0</v>
      </c>
      <c r="AH683" s="849">
        <v>0.0</v>
      </c>
      <c r="AI683" s="849">
        <v>0.0</v>
      </c>
      <c r="AJ683" s="794" t="str">
        <f t="shared" ref="AJ683:AK683" si="1363">C683</f>
        <v>G60100</v>
      </c>
      <c r="AK683" s="794" t="str">
        <f t="shared" si="1363"/>
        <v>COUTANT MALIBU</v>
      </c>
      <c r="AL683" s="794">
        <f t="array" ref="AL683">IFERROR(INDEX(G683:R683,1,MATCH(Parametres!$B$3,G$1:R$1,0)-1)*IF(OR(F683="L",F683="S",F683="I"),-1,1),"")</f>
        <v>35093</v>
      </c>
      <c r="AM683" s="794">
        <f t="shared" si="4"/>
        <v>0</v>
      </c>
      <c r="AN683" s="794">
        <f t="array" ref="AN683">INDEX(G683:R683,1,MATCH(Parametres!$B$3,G$1:R$1,0))*IF(OR(F683="L",F683="S",F683="I"),-1,1)</f>
        <v>35093</v>
      </c>
      <c r="AO683" s="853" t="str">
        <f>+VLOOKUP($AJ683,Data_Validation!$A:$D,1,0)</f>
        <v>G60100</v>
      </c>
      <c r="AP683" s="853" t="str">
        <f>+VLOOKUP($AJ683,Data_Validation!$A:$D,3,0)</f>
        <v>Véhicules neufs</v>
      </c>
      <c r="AQ683" s="853" t="str">
        <f>+VLOOKUP($AJ683,Data_Validation!$A:$D,4,0)</f>
        <v>Autos détail</v>
      </c>
      <c r="AR683" s="853" t="s">
        <v>728</v>
      </c>
      <c r="AS683" s="853" t="str">
        <f>+VLOOKUP($AJ683,Data_Validation!$A:$E,5,0)</f>
        <v/>
      </c>
      <c r="AT683" s="794" t="str">
        <f t="shared" ref="AT683:AU683" si="1364">C683</f>
        <v>G60100</v>
      </c>
      <c r="AU683" s="854" t="str">
        <f t="shared" si="1364"/>
        <v>COUTANT MALIBU</v>
      </c>
      <c r="AV683" s="794">
        <f t="array" ref="AV683">IFERROR(INDEX(V683:AG683,1,MATCH(Parametres!$B$3,V$1:AG$1,0)-1)*IF(OR(C683="L",C683="S",C683="I"),-1,1),"")</f>
        <v>0</v>
      </c>
      <c r="AW683" s="794">
        <f t="shared" si="6"/>
        <v>0</v>
      </c>
      <c r="AX683" s="794">
        <f t="array" ref="AX683">INDEX(V683:AG683,1,MATCH(Parametres!$B$3,V$1:AG$1,0))*IF(OR(C683="L",C683="S",C683="I"),-1,1)</f>
        <v>0</v>
      </c>
      <c r="AY683" s="853" t="s">
        <v>772</v>
      </c>
      <c r="AZ683" s="853" t="str">
        <f>+VLOOKUP($AJ683,Data_Validation!$A:$E,5,0)</f>
        <v/>
      </c>
    </row>
    <row r="684" ht="15.0" customHeight="1">
      <c r="A684" s="849" t="s">
        <v>1239</v>
      </c>
      <c r="B684" s="849">
        <v>2025.0</v>
      </c>
      <c r="C684" s="849" t="s">
        <v>2872</v>
      </c>
      <c r="D684" s="849" t="s">
        <v>2873</v>
      </c>
      <c r="E684" s="849" t="s">
        <v>2072</v>
      </c>
      <c r="F684" s="849" t="s">
        <v>2855</v>
      </c>
      <c r="G684" s="849">
        <v>0.0</v>
      </c>
      <c r="H684" s="849">
        <v>0.0</v>
      </c>
      <c r="I684" s="849">
        <v>0.0</v>
      </c>
      <c r="J684" s="849">
        <v>0.0</v>
      </c>
      <c r="K684" s="849">
        <v>0.0</v>
      </c>
      <c r="L684" s="849">
        <v>0.0</v>
      </c>
      <c r="M684" s="849">
        <v>0.0</v>
      </c>
      <c r="N684" s="849">
        <v>0.0</v>
      </c>
      <c r="O684" s="849">
        <v>0.0</v>
      </c>
      <c r="P684" s="849">
        <v>0.0</v>
      </c>
      <c r="Q684" s="849">
        <v>0.0</v>
      </c>
      <c r="R684" s="849">
        <v>0.0</v>
      </c>
      <c r="S684" s="849">
        <v>0.0</v>
      </c>
      <c r="T684" s="849">
        <v>0.0</v>
      </c>
      <c r="U684" s="849">
        <v>0.0</v>
      </c>
      <c r="V684" s="849">
        <v>0.0</v>
      </c>
      <c r="W684" s="849">
        <v>0.0</v>
      </c>
      <c r="X684" s="849">
        <v>0.0</v>
      </c>
      <c r="Y684" s="849">
        <v>0.0</v>
      </c>
      <c r="Z684" s="849">
        <v>0.0</v>
      </c>
      <c r="AA684" s="849">
        <v>0.0</v>
      </c>
      <c r="AB684" s="849">
        <v>0.0</v>
      </c>
      <c r="AC684" s="849">
        <v>0.0</v>
      </c>
      <c r="AD684" s="849">
        <v>0.0</v>
      </c>
      <c r="AE684" s="849">
        <v>0.0</v>
      </c>
      <c r="AF684" s="849">
        <v>0.0</v>
      </c>
      <c r="AG684" s="849">
        <v>0.0</v>
      </c>
      <c r="AH684" s="849">
        <v>0.0</v>
      </c>
      <c r="AI684" s="849">
        <v>0.0</v>
      </c>
      <c r="AJ684" s="794" t="str">
        <f t="shared" ref="AJ684:AK684" si="1365">C684</f>
        <v>G60101</v>
      </c>
      <c r="AK684" s="794" t="str">
        <f t="shared" si="1365"/>
        <v>COUTANT BUICK LACROSSE</v>
      </c>
      <c r="AL684" s="794">
        <f t="array" ref="AL684">IFERROR(INDEX(G684:R684,1,MATCH(Parametres!$B$3,G$1:R$1,0)-1)*IF(OR(F684="L",F684="S",F684="I"),-1,1),"")</f>
        <v>0</v>
      </c>
      <c r="AM684" s="794">
        <f t="shared" si="4"/>
        <v>0</v>
      </c>
      <c r="AN684" s="794">
        <f t="array" ref="AN684">INDEX(G684:R684,1,MATCH(Parametres!$B$3,G$1:R$1,0))*IF(OR(F684="L",F684="S",F684="I"),-1,1)</f>
        <v>0</v>
      </c>
      <c r="AO684" s="853" t="str">
        <f>+VLOOKUP($AJ684,Data_Validation!$A:$D,1,0)</f>
        <v>G60101</v>
      </c>
      <c r="AP684" s="853" t="str">
        <f>+VLOOKUP($AJ684,Data_Validation!$A:$D,3,0)</f>
        <v>Véhicules neufs</v>
      </c>
      <c r="AQ684" s="853" t="str">
        <f>+VLOOKUP($AJ684,Data_Validation!$A:$D,4,0)</f>
        <v>Autos détail</v>
      </c>
      <c r="AR684" s="853" t="s">
        <v>728</v>
      </c>
      <c r="AS684" s="853" t="str">
        <f>+VLOOKUP($AJ684,Data_Validation!$A:$E,5,0)</f>
        <v/>
      </c>
      <c r="AT684" s="794" t="str">
        <f t="shared" ref="AT684:AU684" si="1366">C684</f>
        <v>G60101</v>
      </c>
      <c r="AU684" s="854" t="str">
        <f t="shared" si="1366"/>
        <v>COUTANT BUICK LACROSSE</v>
      </c>
      <c r="AV684" s="794">
        <f t="array" ref="AV684">IFERROR(INDEX(V684:AG684,1,MATCH(Parametres!$B$3,V$1:AG$1,0)-1)*IF(OR(C684="L",C684="S",C684="I"),-1,1),"")</f>
        <v>0</v>
      </c>
      <c r="AW684" s="794">
        <f t="shared" si="6"/>
        <v>0</v>
      </c>
      <c r="AX684" s="794">
        <f t="array" ref="AX684">INDEX(V684:AG684,1,MATCH(Parametres!$B$3,V$1:AG$1,0))*IF(OR(C684="L",C684="S",C684="I"),-1,1)</f>
        <v>0</v>
      </c>
      <c r="AY684" s="853" t="s">
        <v>772</v>
      </c>
      <c r="AZ684" s="853" t="str">
        <f>+VLOOKUP($AJ684,Data_Validation!$A:$E,5,0)</f>
        <v/>
      </c>
    </row>
    <row r="685" ht="15.0" customHeight="1">
      <c r="A685" s="849" t="s">
        <v>1239</v>
      </c>
      <c r="B685" s="849">
        <v>2025.0</v>
      </c>
      <c r="C685" s="849" t="s">
        <v>2874</v>
      </c>
      <c r="D685" s="849" t="s">
        <v>2875</v>
      </c>
      <c r="E685" s="849" t="s">
        <v>2072</v>
      </c>
      <c r="F685" s="849" t="s">
        <v>2855</v>
      </c>
      <c r="G685" s="849">
        <v>0.0</v>
      </c>
      <c r="H685" s="849">
        <v>0.0</v>
      </c>
      <c r="I685" s="849">
        <v>0.0</v>
      </c>
      <c r="J685" s="849">
        <v>0.0</v>
      </c>
      <c r="K685" s="849">
        <v>0.0</v>
      </c>
      <c r="L685" s="849">
        <v>0.0</v>
      </c>
      <c r="M685" s="849">
        <v>0.0</v>
      </c>
      <c r="N685" s="849">
        <v>0.0</v>
      </c>
      <c r="O685" s="849">
        <v>0.0</v>
      </c>
      <c r="P685" s="849">
        <v>0.0</v>
      </c>
      <c r="Q685" s="849">
        <v>0.0</v>
      </c>
      <c r="R685" s="849">
        <v>0.0</v>
      </c>
      <c r="S685" s="849">
        <v>0.0</v>
      </c>
      <c r="T685" s="849">
        <v>0.0</v>
      </c>
      <c r="U685" s="849">
        <v>0.0</v>
      </c>
      <c r="V685" s="849">
        <v>0.0</v>
      </c>
      <c r="W685" s="849">
        <v>0.0</v>
      </c>
      <c r="X685" s="849">
        <v>0.0</v>
      </c>
      <c r="Y685" s="849">
        <v>0.0</v>
      </c>
      <c r="Z685" s="849">
        <v>0.0</v>
      </c>
      <c r="AA685" s="849">
        <v>0.0</v>
      </c>
      <c r="AB685" s="849">
        <v>0.0</v>
      </c>
      <c r="AC685" s="849">
        <v>0.0</v>
      </c>
      <c r="AD685" s="849">
        <v>0.0</v>
      </c>
      <c r="AE685" s="849">
        <v>0.0</v>
      </c>
      <c r="AF685" s="849">
        <v>0.0</v>
      </c>
      <c r="AG685" s="849">
        <v>0.0</v>
      </c>
      <c r="AH685" s="849">
        <v>0.0</v>
      </c>
      <c r="AI685" s="849">
        <v>0.0</v>
      </c>
      <c r="AJ685" s="794" t="str">
        <f t="shared" ref="AJ685:AK685" si="1367">C685</f>
        <v>G60120</v>
      </c>
      <c r="AK685" s="794" t="str">
        <f t="shared" si="1367"/>
        <v>COUT-MALIBU          -LOC</v>
      </c>
      <c r="AL685" s="794">
        <f t="array" ref="AL685">IFERROR(INDEX(G685:R685,1,MATCH(Parametres!$B$3,G$1:R$1,0)-1)*IF(OR(F685="L",F685="S",F685="I"),-1,1),"")</f>
        <v>0</v>
      </c>
      <c r="AM685" s="794">
        <f t="shared" si="4"/>
        <v>0</v>
      </c>
      <c r="AN685" s="794">
        <f t="array" ref="AN685">INDEX(G685:R685,1,MATCH(Parametres!$B$3,G$1:R$1,0))*IF(OR(F685="L",F685="S",F685="I"),-1,1)</f>
        <v>0</v>
      </c>
      <c r="AO685" s="853" t="str">
        <f>+VLOOKUP($AJ685,Data_Validation!$A:$D,1,0)</f>
        <v>#N/A</v>
      </c>
      <c r="AP685" s="853" t="str">
        <f>+VLOOKUP($AJ685,Data_Validation!$A:$D,3,0)</f>
        <v>#N/A</v>
      </c>
      <c r="AQ685" s="853" t="str">
        <f>+VLOOKUP($AJ685,Data_Validation!$A:$D,4,0)</f>
        <v>#N/A</v>
      </c>
      <c r="AR685" s="853" t="s">
        <v>728</v>
      </c>
      <c r="AS685" s="853" t="str">
        <f>+VLOOKUP($AJ685,Data_Validation!$A:$E,5,0)</f>
        <v>#N/A</v>
      </c>
      <c r="AT685" s="794" t="str">
        <f t="shared" ref="AT685:AU685" si="1368">C685</f>
        <v>G60120</v>
      </c>
      <c r="AU685" s="854" t="str">
        <f t="shared" si="1368"/>
        <v>COUT-MALIBU          -LOC</v>
      </c>
      <c r="AV685" s="794">
        <f t="array" ref="AV685">IFERROR(INDEX(V685:AG685,1,MATCH(Parametres!$B$3,V$1:AG$1,0)-1)*IF(OR(C685="L",C685="S",C685="I"),-1,1),"")</f>
        <v>0</v>
      </c>
      <c r="AW685" s="794">
        <f t="shared" si="6"/>
        <v>0</v>
      </c>
      <c r="AX685" s="794">
        <f t="array" ref="AX685">INDEX(V685:AG685,1,MATCH(Parametres!$B$3,V$1:AG$1,0))*IF(OR(C685="L",C685="S",C685="I"),-1,1)</f>
        <v>0</v>
      </c>
      <c r="AY685" s="853" t="s">
        <v>772</v>
      </c>
      <c r="AZ685" s="853" t="str">
        <f>+VLOOKUP($AJ685,Data_Validation!$A:$E,5,0)</f>
        <v>#N/A</v>
      </c>
    </row>
    <row r="686" ht="15.0" customHeight="1">
      <c r="A686" s="849" t="s">
        <v>1239</v>
      </c>
      <c r="B686" s="849">
        <v>2025.0</v>
      </c>
      <c r="C686" s="849" t="s">
        <v>2876</v>
      </c>
      <c r="D686" s="849" t="s">
        <v>2877</v>
      </c>
      <c r="E686" s="849" t="s">
        <v>2072</v>
      </c>
      <c r="F686" s="849" t="s">
        <v>2855</v>
      </c>
      <c r="G686" s="849">
        <v>0.0</v>
      </c>
      <c r="H686" s="849">
        <v>0.0</v>
      </c>
      <c r="I686" s="849">
        <v>0.0</v>
      </c>
      <c r="J686" s="849">
        <v>0.0</v>
      </c>
      <c r="K686" s="849">
        <v>0.0</v>
      </c>
      <c r="L686" s="849">
        <v>0.0</v>
      </c>
      <c r="M686" s="849">
        <v>0.0</v>
      </c>
      <c r="N686" s="849">
        <v>0.0</v>
      </c>
      <c r="O686" s="849">
        <v>0.0</v>
      </c>
      <c r="P686" s="849">
        <v>0.0</v>
      </c>
      <c r="Q686" s="849">
        <v>0.0</v>
      </c>
      <c r="R686" s="849">
        <v>0.0</v>
      </c>
      <c r="S686" s="849">
        <v>0.0</v>
      </c>
      <c r="T686" s="849">
        <v>0.0</v>
      </c>
      <c r="U686" s="849">
        <v>0.0</v>
      </c>
      <c r="V686" s="849">
        <v>0.0</v>
      </c>
      <c r="W686" s="849">
        <v>0.0</v>
      </c>
      <c r="X686" s="849">
        <v>0.0</v>
      </c>
      <c r="Y686" s="849">
        <v>0.0</v>
      </c>
      <c r="Z686" s="849">
        <v>0.0</v>
      </c>
      <c r="AA686" s="849">
        <v>0.0</v>
      </c>
      <c r="AB686" s="849">
        <v>0.0</v>
      </c>
      <c r="AC686" s="849">
        <v>0.0</v>
      </c>
      <c r="AD686" s="849">
        <v>0.0</v>
      </c>
      <c r="AE686" s="849">
        <v>0.0</v>
      </c>
      <c r="AF686" s="849">
        <v>0.0</v>
      </c>
      <c r="AG686" s="849">
        <v>0.0</v>
      </c>
      <c r="AH686" s="849">
        <v>0.0</v>
      </c>
      <c r="AI686" s="849">
        <v>0.0</v>
      </c>
      <c r="AJ686" s="794" t="str">
        <f t="shared" ref="AJ686:AK686" si="1369">C686</f>
        <v>G602</v>
      </c>
      <c r="AK686" s="794" t="str">
        <f t="shared" si="1369"/>
        <v>COUT - GMC CANYON</v>
      </c>
      <c r="AL686" s="794">
        <f t="array" ref="AL686">IFERROR(INDEX(G686:R686,1,MATCH(Parametres!$B$3,G$1:R$1,0)-1)*IF(OR(F686="L",F686="S",F686="I"),-1,1),"")</f>
        <v>0</v>
      </c>
      <c r="AM686" s="794">
        <f t="shared" si="4"/>
        <v>0</v>
      </c>
      <c r="AN686" s="794">
        <f t="array" ref="AN686">INDEX(G686:R686,1,MATCH(Parametres!$B$3,G$1:R$1,0))*IF(OR(F686="L",F686="S",F686="I"),-1,1)</f>
        <v>0</v>
      </c>
      <c r="AO686" s="853" t="str">
        <f>+VLOOKUP($AJ686,Data_Validation!$A:$D,1,0)</f>
        <v>#N/A</v>
      </c>
      <c r="AP686" s="853" t="str">
        <f>+VLOOKUP($AJ686,Data_Validation!$A:$D,3,0)</f>
        <v>#N/A</v>
      </c>
      <c r="AQ686" s="853" t="str">
        <f>+VLOOKUP($AJ686,Data_Validation!$A:$D,4,0)</f>
        <v>#N/A</v>
      </c>
      <c r="AR686" s="853" t="s">
        <v>728</v>
      </c>
      <c r="AS686" s="853" t="str">
        <f>+VLOOKUP($AJ686,Data_Validation!$A:$E,5,0)</f>
        <v>#N/A</v>
      </c>
      <c r="AT686" s="794" t="str">
        <f t="shared" ref="AT686:AU686" si="1370">C686</f>
        <v>G602</v>
      </c>
      <c r="AU686" s="854" t="str">
        <f t="shared" si="1370"/>
        <v>COUT - GMC CANYON</v>
      </c>
      <c r="AV686" s="794">
        <f t="array" ref="AV686">IFERROR(INDEX(V686:AG686,1,MATCH(Parametres!$B$3,V$1:AG$1,0)-1)*IF(OR(C686="L",C686="S",C686="I"),-1,1),"")</f>
        <v>0</v>
      </c>
      <c r="AW686" s="794">
        <f t="shared" si="6"/>
        <v>0</v>
      </c>
      <c r="AX686" s="794">
        <f t="array" ref="AX686">INDEX(V686:AG686,1,MATCH(Parametres!$B$3,V$1:AG$1,0))*IF(OR(C686="L",C686="S",C686="I"),-1,1)</f>
        <v>0</v>
      </c>
      <c r="AY686" s="853" t="s">
        <v>772</v>
      </c>
      <c r="AZ686" s="853" t="str">
        <f>+VLOOKUP($AJ686,Data_Validation!$A:$E,5,0)</f>
        <v>#N/A</v>
      </c>
    </row>
    <row r="687" ht="15.0" customHeight="1">
      <c r="A687" s="849" t="s">
        <v>1239</v>
      </c>
      <c r="B687" s="849">
        <v>2025.0</v>
      </c>
      <c r="C687" s="849" t="s">
        <v>2878</v>
      </c>
      <c r="D687" s="849" t="s">
        <v>2879</v>
      </c>
      <c r="E687" s="849" t="s">
        <v>2072</v>
      </c>
      <c r="F687" s="849" t="s">
        <v>2855</v>
      </c>
      <c r="G687" s="849">
        <v>0.0</v>
      </c>
      <c r="H687" s="849">
        <v>0.0</v>
      </c>
      <c r="I687" s="849">
        <v>0.0</v>
      </c>
      <c r="J687" s="849">
        <v>0.0</v>
      </c>
      <c r="K687" s="849">
        <v>0.0</v>
      </c>
      <c r="L687" s="849">
        <v>0.0</v>
      </c>
      <c r="M687" s="849">
        <v>0.0</v>
      </c>
      <c r="N687" s="849">
        <v>0.0</v>
      </c>
      <c r="O687" s="849">
        <v>0.0</v>
      </c>
      <c r="P687" s="849">
        <v>0.0</v>
      </c>
      <c r="Q687" s="849">
        <v>0.0</v>
      </c>
      <c r="R687" s="849">
        <v>0.0</v>
      </c>
      <c r="S687" s="849">
        <v>0.0</v>
      </c>
      <c r="T687" s="849">
        <v>0.0</v>
      </c>
      <c r="U687" s="849">
        <v>0.0</v>
      </c>
      <c r="V687" s="849">
        <v>0.0</v>
      </c>
      <c r="W687" s="849">
        <v>0.0</v>
      </c>
      <c r="X687" s="849">
        <v>0.0</v>
      </c>
      <c r="Y687" s="849">
        <v>0.0</v>
      </c>
      <c r="Z687" s="849">
        <v>0.0</v>
      </c>
      <c r="AA687" s="849">
        <v>0.0</v>
      </c>
      <c r="AB687" s="849">
        <v>0.0</v>
      </c>
      <c r="AC687" s="849">
        <v>0.0</v>
      </c>
      <c r="AD687" s="849">
        <v>0.0</v>
      </c>
      <c r="AE687" s="849">
        <v>0.0</v>
      </c>
      <c r="AF687" s="849">
        <v>0.0</v>
      </c>
      <c r="AG687" s="849">
        <v>0.0</v>
      </c>
      <c r="AH687" s="849">
        <v>0.0</v>
      </c>
      <c r="AI687" s="849">
        <v>0.0</v>
      </c>
      <c r="AJ687" s="794" t="str">
        <f t="shared" ref="AJ687:AK687" si="1371">C687</f>
        <v>G60200</v>
      </c>
      <c r="AK687" s="794" t="str">
        <f t="shared" si="1371"/>
        <v>COUT-MALIBU MAXX</v>
      </c>
      <c r="AL687" s="794">
        <f t="array" ref="AL687">IFERROR(INDEX(G687:R687,1,MATCH(Parametres!$B$3,G$1:R$1,0)-1)*IF(OR(F687="L",F687="S",F687="I"),-1,1),"")</f>
        <v>0</v>
      </c>
      <c r="AM687" s="794">
        <f t="shared" si="4"/>
        <v>0</v>
      </c>
      <c r="AN687" s="794">
        <f t="array" ref="AN687">INDEX(G687:R687,1,MATCH(Parametres!$B$3,G$1:R$1,0))*IF(OR(F687="L",F687="S",F687="I"),-1,1)</f>
        <v>0</v>
      </c>
      <c r="AO687" s="853" t="str">
        <f>+VLOOKUP($AJ687,Data_Validation!$A:$D,1,0)</f>
        <v>#N/A</v>
      </c>
      <c r="AP687" s="853" t="str">
        <f>+VLOOKUP($AJ687,Data_Validation!$A:$D,3,0)</f>
        <v>#N/A</v>
      </c>
      <c r="AQ687" s="853" t="str">
        <f>+VLOOKUP($AJ687,Data_Validation!$A:$D,4,0)</f>
        <v>#N/A</v>
      </c>
      <c r="AR687" s="853" t="s">
        <v>728</v>
      </c>
      <c r="AS687" s="853" t="str">
        <f>+VLOOKUP($AJ687,Data_Validation!$A:$E,5,0)</f>
        <v>#N/A</v>
      </c>
      <c r="AT687" s="794" t="str">
        <f t="shared" ref="AT687:AU687" si="1372">C687</f>
        <v>G60200</v>
      </c>
      <c r="AU687" s="854" t="str">
        <f t="shared" si="1372"/>
        <v>COUT-MALIBU MAXX</v>
      </c>
      <c r="AV687" s="794">
        <f t="array" ref="AV687">IFERROR(INDEX(V687:AG687,1,MATCH(Parametres!$B$3,V$1:AG$1,0)-1)*IF(OR(C687="L",C687="S",C687="I"),-1,1),"")</f>
        <v>0</v>
      </c>
      <c r="AW687" s="794">
        <f t="shared" si="6"/>
        <v>0</v>
      </c>
      <c r="AX687" s="794">
        <f t="array" ref="AX687">INDEX(V687:AG687,1,MATCH(Parametres!$B$3,V$1:AG$1,0))*IF(OR(C687="L",C687="S",C687="I"),-1,1)</f>
        <v>0</v>
      </c>
      <c r="AY687" s="853" t="s">
        <v>772</v>
      </c>
      <c r="AZ687" s="853" t="str">
        <f>+VLOOKUP($AJ687,Data_Validation!$A:$E,5,0)</f>
        <v>#N/A</v>
      </c>
    </row>
    <row r="688" ht="15.0" customHeight="1">
      <c r="A688" s="849" t="s">
        <v>1239</v>
      </c>
      <c r="B688" s="849">
        <v>2025.0</v>
      </c>
      <c r="C688" s="849" t="s">
        <v>2880</v>
      </c>
      <c r="D688" s="849" t="s">
        <v>2881</v>
      </c>
      <c r="E688" s="849" t="s">
        <v>2072</v>
      </c>
      <c r="F688" s="849" t="s">
        <v>2855</v>
      </c>
      <c r="G688" s="849">
        <v>0.0</v>
      </c>
      <c r="H688" s="849">
        <v>0.0</v>
      </c>
      <c r="I688" s="849">
        <v>0.0</v>
      </c>
      <c r="J688" s="849">
        <v>0.0</v>
      </c>
      <c r="K688" s="849">
        <v>0.0</v>
      </c>
      <c r="L688" s="849">
        <v>0.0</v>
      </c>
      <c r="M688" s="849">
        <v>0.0</v>
      </c>
      <c r="N688" s="849">
        <v>0.0</v>
      </c>
      <c r="O688" s="849">
        <v>0.0</v>
      </c>
      <c r="P688" s="849">
        <v>0.0</v>
      </c>
      <c r="Q688" s="849">
        <v>0.0</v>
      </c>
      <c r="R688" s="849">
        <v>0.0</v>
      </c>
      <c r="S688" s="849">
        <v>0.0</v>
      </c>
      <c r="T688" s="849">
        <v>0.0</v>
      </c>
      <c r="U688" s="849">
        <v>0.0</v>
      </c>
      <c r="V688" s="849">
        <v>0.0</v>
      </c>
      <c r="W688" s="849">
        <v>0.0</v>
      </c>
      <c r="X688" s="849">
        <v>0.0</v>
      </c>
      <c r="Y688" s="849">
        <v>0.0</v>
      </c>
      <c r="Z688" s="849">
        <v>0.0</v>
      </c>
      <c r="AA688" s="849">
        <v>0.0</v>
      </c>
      <c r="AB688" s="849">
        <v>0.0</v>
      </c>
      <c r="AC688" s="849">
        <v>0.0</v>
      </c>
      <c r="AD688" s="849">
        <v>0.0</v>
      </c>
      <c r="AE688" s="849">
        <v>0.0</v>
      </c>
      <c r="AF688" s="849">
        <v>0.0</v>
      </c>
      <c r="AG688" s="849">
        <v>0.0</v>
      </c>
      <c r="AH688" s="849">
        <v>0.0</v>
      </c>
      <c r="AI688" s="849">
        <v>0.0</v>
      </c>
      <c r="AJ688" s="794" t="str">
        <f t="shared" ref="AJ688:AK688" si="1373">C688</f>
        <v>G60201</v>
      </c>
      <c r="AK688" s="794" t="str">
        <f t="shared" si="1373"/>
        <v>COUT - SONIC</v>
      </c>
      <c r="AL688" s="794">
        <f t="array" ref="AL688">IFERROR(INDEX(G688:R688,1,MATCH(Parametres!$B$3,G$1:R$1,0)-1)*IF(OR(F688="L",F688="S",F688="I"),-1,1),"")</f>
        <v>0</v>
      </c>
      <c r="AM688" s="794">
        <f t="shared" si="4"/>
        <v>0</v>
      </c>
      <c r="AN688" s="794">
        <f t="array" ref="AN688">INDEX(G688:R688,1,MATCH(Parametres!$B$3,G$1:R$1,0))*IF(OR(F688="L",F688="S",F688="I"),-1,1)</f>
        <v>0</v>
      </c>
      <c r="AO688" s="853" t="str">
        <f>+VLOOKUP($AJ688,Data_Validation!$A:$D,1,0)</f>
        <v>#N/A</v>
      </c>
      <c r="AP688" s="853" t="str">
        <f>+VLOOKUP($AJ688,Data_Validation!$A:$D,3,0)</f>
        <v>#N/A</v>
      </c>
      <c r="AQ688" s="853" t="str">
        <f>+VLOOKUP($AJ688,Data_Validation!$A:$D,4,0)</f>
        <v>#N/A</v>
      </c>
      <c r="AR688" s="853" t="s">
        <v>728</v>
      </c>
      <c r="AS688" s="853" t="str">
        <f>+VLOOKUP($AJ688,Data_Validation!$A:$E,5,0)</f>
        <v>#N/A</v>
      </c>
      <c r="AT688" s="794" t="str">
        <f t="shared" ref="AT688:AU688" si="1374">C688</f>
        <v>G60201</v>
      </c>
      <c r="AU688" s="854" t="str">
        <f t="shared" si="1374"/>
        <v>COUT - SONIC</v>
      </c>
      <c r="AV688" s="794">
        <f t="array" ref="AV688">IFERROR(INDEX(V688:AG688,1,MATCH(Parametres!$B$3,V$1:AG$1,0)-1)*IF(OR(C688="L",C688="S",C688="I"),-1,1),"")</f>
        <v>0</v>
      </c>
      <c r="AW688" s="794">
        <f t="shared" si="6"/>
        <v>0</v>
      </c>
      <c r="AX688" s="794">
        <f t="array" ref="AX688">INDEX(V688:AG688,1,MATCH(Parametres!$B$3,V$1:AG$1,0))*IF(OR(C688="L",C688="S",C688="I"),-1,1)</f>
        <v>0</v>
      </c>
      <c r="AY688" s="853" t="s">
        <v>772</v>
      </c>
      <c r="AZ688" s="853" t="str">
        <f>+VLOOKUP($AJ688,Data_Validation!$A:$E,5,0)</f>
        <v>#N/A</v>
      </c>
    </row>
    <row r="689" ht="15.0" customHeight="1">
      <c r="A689" s="849" t="s">
        <v>1239</v>
      </c>
      <c r="B689" s="849">
        <v>2025.0</v>
      </c>
      <c r="C689" s="849" t="s">
        <v>2882</v>
      </c>
      <c r="D689" s="849" t="s">
        <v>2883</v>
      </c>
      <c r="E689" s="849" t="s">
        <v>2072</v>
      </c>
      <c r="F689" s="849" t="s">
        <v>2855</v>
      </c>
      <c r="G689" s="849">
        <v>0.0</v>
      </c>
      <c r="H689" s="849">
        <v>0.0</v>
      </c>
      <c r="I689" s="849">
        <v>0.0</v>
      </c>
      <c r="J689" s="849">
        <v>0.0</v>
      </c>
      <c r="K689" s="849">
        <v>0.0</v>
      </c>
      <c r="L689" s="849">
        <v>0.0</v>
      </c>
      <c r="M689" s="849">
        <v>0.0</v>
      </c>
      <c r="N689" s="849">
        <v>0.0</v>
      </c>
      <c r="O689" s="849">
        <v>0.0</v>
      </c>
      <c r="P689" s="849">
        <v>0.0</v>
      </c>
      <c r="Q689" s="849">
        <v>0.0</v>
      </c>
      <c r="R689" s="849">
        <v>0.0</v>
      </c>
      <c r="S689" s="849">
        <v>0.0</v>
      </c>
      <c r="T689" s="849">
        <v>0.0</v>
      </c>
      <c r="U689" s="849">
        <v>0.0</v>
      </c>
      <c r="V689" s="849">
        <v>0.0</v>
      </c>
      <c r="W689" s="849">
        <v>0.0</v>
      </c>
      <c r="X689" s="849">
        <v>0.0</v>
      </c>
      <c r="Y689" s="849">
        <v>0.0</v>
      </c>
      <c r="Z689" s="849">
        <v>0.0</v>
      </c>
      <c r="AA689" s="849">
        <v>0.0</v>
      </c>
      <c r="AB689" s="849">
        <v>0.0</v>
      </c>
      <c r="AC689" s="849">
        <v>0.0</v>
      </c>
      <c r="AD689" s="849">
        <v>0.0</v>
      </c>
      <c r="AE689" s="849">
        <v>0.0</v>
      </c>
      <c r="AF689" s="849">
        <v>0.0</v>
      </c>
      <c r="AG689" s="849">
        <v>0.0</v>
      </c>
      <c r="AH689" s="849">
        <v>0.0</v>
      </c>
      <c r="AI689" s="849">
        <v>0.0</v>
      </c>
      <c r="AJ689" s="794" t="str">
        <f t="shared" ref="AJ689:AK689" si="1375">C689</f>
        <v>G60204</v>
      </c>
      <c r="AK689" s="794" t="str">
        <f t="shared" si="1375"/>
        <v>COUTANT-VERANO</v>
      </c>
      <c r="AL689" s="794">
        <f t="array" ref="AL689">IFERROR(INDEX(G689:R689,1,MATCH(Parametres!$B$3,G$1:R$1,0)-1)*IF(OR(F689="L",F689="S",F689="I"),-1,1),"")</f>
        <v>0</v>
      </c>
      <c r="AM689" s="794">
        <f t="shared" si="4"/>
        <v>0</v>
      </c>
      <c r="AN689" s="794">
        <f t="array" ref="AN689">INDEX(G689:R689,1,MATCH(Parametres!$B$3,G$1:R$1,0))*IF(OR(F689="L",F689="S",F689="I"),-1,1)</f>
        <v>0</v>
      </c>
      <c r="AO689" s="853" t="str">
        <f>+VLOOKUP($AJ689,Data_Validation!$A:$D,1,0)</f>
        <v>G60204</v>
      </c>
      <c r="AP689" s="853" t="str">
        <f>+VLOOKUP($AJ689,Data_Validation!$A:$D,3,0)</f>
        <v>Véhicules neufs</v>
      </c>
      <c r="AQ689" s="853" t="str">
        <f>+VLOOKUP($AJ689,Data_Validation!$A:$D,4,0)</f>
        <v>Autos détail</v>
      </c>
      <c r="AR689" s="853" t="s">
        <v>728</v>
      </c>
      <c r="AS689" s="853" t="str">
        <f>+VLOOKUP($AJ689,Data_Validation!$A:$E,5,0)</f>
        <v/>
      </c>
      <c r="AT689" s="794" t="str">
        <f t="shared" ref="AT689:AU689" si="1376">C689</f>
        <v>G60204</v>
      </c>
      <c r="AU689" s="854" t="str">
        <f t="shared" si="1376"/>
        <v>COUTANT-VERANO</v>
      </c>
      <c r="AV689" s="794">
        <f t="array" ref="AV689">IFERROR(INDEX(V689:AG689,1,MATCH(Parametres!$B$3,V$1:AG$1,0)-1)*IF(OR(C689="L",C689="S",C689="I"),-1,1),"")</f>
        <v>0</v>
      </c>
      <c r="AW689" s="794">
        <f t="shared" si="6"/>
        <v>0</v>
      </c>
      <c r="AX689" s="794">
        <f t="array" ref="AX689">INDEX(V689:AG689,1,MATCH(Parametres!$B$3,V$1:AG$1,0))*IF(OR(C689="L",C689="S",C689="I"),-1,1)</f>
        <v>0</v>
      </c>
      <c r="AY689" s="853" t="s">
        <v>772</v>
      </c>
      <c r="AZ689" s="853" t="str">
        <f>+VLOOKUP($AJ689,Data_Validation!$A:$E,5,0)</f>
        <v/>
      </c>
    </row>
    <row r="690" ht="15.0" customHeight="1">
      <c r="A690" s="849" t="s">
        <v>1239</v>
      </c>
      <c r="B690" s="849">
        <v>2025.0</v>
      </c>
      <c r="C690" s="849" t="s">
        <v>2884</v>
      </c>
      <c r="D690" s="849" t="s">
        <v>2885</v>
      </c>
      <c r="E690" s="849" t="s">
        <v>2072</v>
      </c>
      <c r="F690" s="849" t="s">
        <v>2855</v>
      </c>
      <c r="G690" s="849">
        <v>0.0</v>
      </c>
      <c r="H690" s="849">
        <v>0.0</v>
      </c>
      <c r="I690" s="849">
        <v>0.0</v>
      </c>
      <c r="J690" s="849">
        <v>0.0</v>
      </c>
      <c r="K690" s="849">
        <v>0.0</v>
      </c>
      <c r="L690" s="849">
        <v>0.0</v>
      </c>
      <c r="M690" s="849">
        <v>0.0</v>
      </c>
      <c r="N690" s="849">
        <v>0.0</v>
      </c>
      <c r="O690" s="849">
        <v>0.0</v>
      </c>
      <c r="P690" s="849">
        <v>0.0</v>
      </c>
      <c r="Q690" s="849">
        <v>0.0</v>
      </c>
      <c r="R690" s="849">
        <v>0.0</v>
      </c>
      <c r="S690" s="849">
        <v>0.0</v>
      </c>
      <c r="T690" s="849">
        <v>0.0</v>
      </c>
      <c r="U690" s="849">
        <v>0.0</v>
      </c>
      <c r="V690" s="849">
        <v>0.0</v>
      </c>
      <c r="W690" s="849">
        <v>0.0</v>
      </c>
      <c r="X690" s="849">
        <v>0.0</v>
      </c>
      <c r="Y690" s="849">
        <v>0.0</v>
      </c>
      <c r="Z690" s="849">
        <v>0.0</v>
      </c>
      <c r="AA690" s="849">
        <v>0.0</v>
      </c>
      <c r="AB690" s="849">
        <v>0.0</v>
      </c>
      <c r="AC690" s="849">
        <v>0.0</v>
      </c>
      <c r="AD690" s="849">
        <v>0.0</v>
      </c>
      <c r="AE690" s="849">
        <v>0.0</v>
      </c>
      <c r="AF690" s="849">
        <v>0.0</v>
      </c>
      <c r="AG690" s="849">
        <v>0.0</v>
      </c>
      <c r="AH690" s="849">
        <v>0.0</v>
      </c>
      <c r="AI690" s="849">
        <v>0.0</v>
      </c>
      <c r="AJ690" s="794" t="str">
        <f t="shared" ref="AJ690:AK690" si="1377">C690</f>
        <v>G60300</v>
      </c>
      <c r="AK690" s="794" t="str">
        <f t="shared" si="1377"/>
        <v>COUT-IMPALA</v>
      </c>
      <c r="AL690" s="794">
        <f t="array" ref="AL690">IFERROR(INDEX(G690:R690,1,MATCH(Parametres!$B$3,G$1:R$1,0)-1)*IF(OR(F690="L",F690="S",F690="I"),-1,1),"")</f>
        <v>0</v>
      </c>
      <c r="AM690" s="794">
        <f t="shared" si="4"/>
        <v>0</v>
      </c>
      <c r="AN690" s="794">
        <f t="array" ref="AN690">INDEX(G690:R690,1,MATCH(Parametres!$B$3,G$1:R$1,0))*IF(OR(F690="L",F690="S",F690="I"),-1,1)</f>
        <v>0</v>
      </c>
      <c r="AO690" s="853" t="str">
        <f>+VLOOKUP($AJ690,Data_Validation!$A:$D,1,0)</f>
        <v>G60300</v>
      </c>
      <c r="AP690" s="853" t="str">
        <f>+VLOOKUP($AJ690,Data_Validation!$A:$D,3,0)</f>
        <v>Véhicules neufs</v>
      </c>
      <c r="AQ690" s="853" t="str">
        <f>+VLOOKUP($AJ690,Data_Validation!$A:$D,4,0)</f>
        <v>Autos détail</v>
      </c>
      <c r="AR690" s="853" t="s">
        <v>728</v>
      </c>
      <c r="AS690" s="853" t="str">
        <f>+VLOOKUP($AJ690,Data_Validation!$A:$E,5,0)</f>
        <v/>
      </c>
      <c r="AT690" s="794" t="str">
        <f t="shared" ref="AT690:AU690" si="1378">C690</f>
        <v>G60300</v>
      </c>
      <c r="AU690" s="854" t="str">
        <f t="shared" si="1378"/>
        <v>COUT-IMPALA</v>
      </c>
      <c r="AV690" s="794">
        <f t="array" ref="AV690">IFERROR(INDEX(V690:AG690,1,MATCH(Parametres!$B$3,V$1:AG$1,0)-1)*IF(OR(C690="L",C690="S",C690="I"),-1,1),"")</f>
        <v>0</v>
      </c>
      <c r="AW690" s="794">
        <f t="shared" si="6"/>
        <v>0</v>
      </c>
      <c r="AX690" s="794">
        <f t="array" ref="AX690">INDEX(V690:AG690,1,MATCH(Parametres!$B$3,V$1:AG$1,0))*IF(OR(C690="L",C690="S",C690="I"),-1,1)</f>
        <v>0</v>
      </c>
      <c r="AY690" s="853" t="s">
        <v>772</v>
      </c>
      <c r="AZ690" s="853" t="str">
        <f>+VLOOKUP($AJ690,Data_Validation!$A:$E,5,0)</f>
        <v/>
      </c>
    </row>
    <row r="691" ht="15.0" customHeight="1">
      <c r="A691" s="849" t="s">
        <v>1239</v>
      </c>
      <c r="B691" s="849">
        <v>2025.0</v>
      </c>
      <c r="C691" s="849" t="s">
        <v>2886</v>
      </c>
      <c r="D691" s="849" t="s">
        <v>2887</v>
      </c>
      <c r="E691" s="849" t="s">
        <v>2072</v>
      </c>
      <c r="F691" s="849" t="s">
        <v>2855</v>
      </c>
      <c r="G691" s="849">
        <v>0.0</v>
      </c>
      <c r="H691" s="849">
        <v>0.0</v>
      </c>
      <c r="I691" s="849">
        <v>0.0</v>
      </c>
      <c r="J691" s="849">
        <v>0.0</v>
      </c>
      <c r="K691" s="849">
        <v>0.0</v>
      </c>
      <c r="L691" s="849">
        <v>0.0</v>
      </c>
      <c r="M691" s="849">
        <v>0.0</v>
      </c>
      <c r="N691" s="849">
        <v>0.0</v>
      </c>
      <c r="O691" s="849">
        <v>0.0</v>
      </c>
      <c r="P691" s="849">
        <v>0.0</v>
      </c>
      <c r="Q691" s="849">
        <v>0.0</v>
      </c>
      <c r="R691" s="849">
        <v>0.0</v>
      </c>
      <c r="S691" s="849">
        <v>0.0</v>
      </c>
      <c r="T691" s="849">
        <v>0.0</v>
      </c>
      <c r="U691" s="849">
        <v>0.0</v>
      </c>
      <c r="V691" s="849">
        <v>0.0</v>
      </c>
      <c r="W691" s="849">
        <v>0.0</v>
      </c>
      <c r="X691" s="849">
        <v>0.0</v>
      </c>
      <c r="Y691" s="849">
        <v>0.0</v>
      </c>
      <c r="Z691" s="849">
        <v>0.0</v>
      </c>
      <c r="AA691" s="849">
        <v>0.0</v>
      </c>
      <c r="AB691" s="849">
        <v>0.0</v>
      </c>
      <c r="AC691" s="849">
        <v>0.0</v>
      </c>
      <c r="AD691" s="849">
        <v>0.0</v>
      </c>
      <c r="AE691" s="849">
        <v>0.0</v>
      </c>
      <c r="AF691" s="849">
        <v>0.0</v>
      </c>
      <c r="AG691" s="849">
        <v>0.0</v>
      </c>
      <c r="AH691" s="849">
        <v>0.0</v>
      </c>
      <c r="AI691" s="849">
        <v>0.0</v>
      </c>
      <c r="AJ691" s="794" t="str">
        <f t="shared" ref="AJ691:AK691" si="1379">C691</f>
        <v>G60320</v>
      </c>
      <c r="AK691" s="794" t="str">
        <f t="shared" si="1379"/>
        <v>COUT-IMPALA          -LOC</v>
      </c>
      <c r="AL691" s="794">
        <f t="array" ref="AL691">IFERROR(INDEX(G691:R691,1,MATCH(Parametres!$B$3,G$1:R$1,0)-1)*IF(OR(F691="L",F691="S",F691="I"),-1,1),"")</f>
        <v>0</v>
      </c>
      <c r="AM691" s="794">
        <f t="shared" si="4"/>
        <v>0</v>
      </c>
      <c r="AN691" s="794">
        <f t="array" ref="AN691">INDEX(G691:R691,1,MATCH(Parametres!$B$3,G$1:R$1,0))*IF(OR(F691="L",F691="S",F691="I"),-1,1)</f>
        <v>0</v>
      </c>
      <c r="AO691" s="853" t="str">
        <f>+VLOOKUP($AJ691,Data_Validation!$A:$D,1,0)</f>
        <v>#N/A</v>
      </c>
      <c r="AP691" s="853" t="str">
        <f>+VLOOKUP($AJ691,Data_Validation!$A:$D,3,0)</f>
        <v>#N/A</v>
      </c>
      <c r="AQ691" s="853" t="str">
        <f>+VLOOKUP($AJ691,Data_Validation!$A:$D,4,0)</f>
        <v>#N/A</v>
      </c>
      <c r="AR691" s="853" t="s">
        <v>728</v>
      </c>
      <c r="AS691" s="853" t="str">
        <f>+VLOOKUP($AJ691,Data_Validation!$A:$E,5,0)</f>
        <v>#N/A</v>
      </c>
      <c r="AT691" s="794" t="str">
        <f t="shared" ref="AT691:AU691" si="1380">C691</f>
        <v>G60320</v>
      </c>
      <c r="AU691" s="854" t="str">
        <f t="shared" si="1380"/>
        <v>COUT-IMPALA          -LOC</v>
      </c>
      <c r="AV691" s="794">
        <f t="array" ref="AV691">IFERROR(INDEX(V691:AG691,1,MATCH(Parametres!$B$3,V$1:AG$1,0)-1)*IF(OR(C691="L",C691="S",C691="I"),-1,1),"")</f>
        <v>0</v>
      </c>
      <c r="AW691" s="794">
        <f t="shared" si="6"/>
        <v>0</v>
      </c>
      <c r="AX691" s="794">
        <f t="array" ref="AX691">INDEX(V691:AG691,1,MATCH(Parametres!$B$3,V$1:AG$1,0))*IF(OR(C691="L",C691="S",C691="I"),-1,1)</f>
        <v>0</v>
      </c>
      <c r="AY691" s="853" t="s">
        <v>772</v>
      </c>
      <c r="AZ691" s="853" t="str">
        <f>+VLOOKUP($AJ691,Data_Validation!$A:$E,5,0)</f>
        <v>#N/A</v>
      </c>
    </row>
    <row r="692" ht="15.0" customHeight="1">
      <c r="A692" s="849" t="s">
        <v>1239</v>
      </c>
      <c r="B692" s="849">
        <v>2025.0</v>
      </c>
      <c r="C692" s="849" t="s">
        <v>2888</v>
      </c>
      <c r="D692" s="849" t="s">
        <v>2889</v>
      </c>
      <c r="E692" s="849" t="s">
        <v>2072</v>
      </c>
      <c r="F692" s="849" t="s">
        <v>2855</v>
      </c>
      <c r="G692" s="849">
        <v>0.0</v>
      </c>
      <c r="H692" s="849">
        <v>0.0</v>
      </c>
      <c r="I692" s="849">
        <v>0.0</v>
      </c>
      <c r="J692" s="849">
        <v>0.0</v>
      </c>
      <c r="K692" s="849">
        <v>0.0</v>
      </c>
      <c r="L692" s="849">
        <v>0.0</v>
      </c>
      <c r="M692" s="849">
        <v>0.0</v>
      </c>
      <c r="N692" s="849">
        <v>0.0</v>
      </c>
      <c r="O692" s="849">
        <v>0.0</v>
      </c>
      <c r="P692" s="849">
        <v>0.0</v>
      </c>
      <c r="Q692" s="849">
        <v>0.0</v>
      </c>
      <c r="R692" s="849">
        <v>0.0</v>
      </c>
      <c r="S692" s="849">
        <v>0.0</v>
      </c>
      <c r="T692" s="849">
        <v>0.0</v>
      </c>
      <c r="U692" s="849">
        <v>0.0</v>
      </c>
      <c r="V692" s="849">
        <v>0.0</v>
      </c>
      <c r="W692" s="849">
        <v>0.0</v>
      </c>
      <c r="X692" s="849">
        <v>0.0</v>
      </c>
      <c r="Y692" s="849">
        <v>0.0</v>
      </c>
      <c r="Z692" s="849">
        <v>0.0</v>
      </c>
      <c r="AA692" s="849">
        <v>0.0</v>
      </c>
      <c r="AB692" s="849">
        <v>0.0</v>
      </c>
      <c r="AC692" s="849">
        <v>0.0</v>
      </c>
      <c r="AD692" s="849">
        <v>0.0</v>
      </c>
      <c r="AE692" s="849">
        <v>0.0</v>
      </c>
      <c r="AF692" s="849">
        <v>0.0</v>
      </c>
      <c r="AG692" s="849">
        <v>0.0</v>
      </c>
      <c r="AH692" s="849">
        <v>0.0</v>
      </c>
      <c r="AI692" s="849">
        <v>0.0</v>
      </c>
      <c r="AJ692" s="794" t="str">
        <f t="shared" ref="AJ692:AK692" si="1381">C692</f>
        <v>G60400</v>
      </c>
      <c r="AK692" s="794" t="str">
        <f t="shared" si="1381"/>
        <v>COUT- SPARK</v>
      </c>
      <c r="AL692" s="794">
        <f t="array" ref="AL692">IFERROR(INDEX(G692:R692,1,MATCH(Parametres!$B$3,G$1:R$1,0)-1)*IF(OR(F692="L",F692="S",F692="I"),-1,1),"")</f>
        <v>0</v>
      </c>
      <c r="AM692" s="794">
        <f t="shared" si="4"/>
        <v>0</v>
      </c>
      <c r="AN692" s="794">
        <f t="array" ref="AN692">INDEX(G692:R692,1,MATCH(Parametres!$B$3,G$1:R$1,0))*IF(OR(F692="L",F692="S",F692="I"),-1,1)</f>
        <v>0</v>
      </c>
      <c r="AO692" s="853" t="str">
        <f>+VLOOKUP($AJ692,Data_Validation!$A:$D,1,0)</f>
        <v>G60400</v>
      </c>
      <c r="AP692" s="853" t="str">
        <f>+VLOOKUP($AJ692,Data_Validation!$A:$D,3,0)</f>
        <v>Véhicules neufs</v>
      </c>
      <c r="AQ692" s="853" t="str">
        <f>+VLOOKUP($AJ692,Data_Validation!$A:$D,4,0)</f>
        <v>Autos détail</v>
      </c>
      <c r="AR692" s="853" t="s">
        <v>728</v>
      </c>
      <c r="AS692" s="853" t="str">
        <f>+VLOOKUP($AJ692,Data_Validation!$A:$E,5,0)</f>
        <v/>
      </c>
      <c r="AT692" s="794" t="str">
        <f t="shared" ref="AT692:AU692" si="1382">C692</f>
        <v>G60400</v>
      </c>
      <c r="AU692" s="854" t="str">
        <f t="shared" si="1382"/>
        <v>COUT- SPARK</v>
      </c>
      <c r="AV692" s="794">
        <f t="array" ref="AV692">IFERROR(INDEX(V692:AG692,1,MATCH(Parametres!$B$3,V$1:AG$1,0)-1)*IF(OR(C692="L",C692="S",C692="I"),-1,1),"")</f>
        <v>0</v>
      </c>
      <c r="AW692" s="794">
        <f t="shared" si="6"/>
        <v>0</v>
      </c>
      <c r="AX692" s="794">
        <f t="array" ref="AX692">INDEX(V692:AG692,1,MATCH(Parametres!$B$3,V$1:AG$1,0))*IF(OR(C692="L",C692="S",C692="I"),-1,1)</f>
        <v>0</v>
      </c>
      <c r="AY692" s="853" t="s">
        <v>772</v>
      </c>
      <c r="AZ692" s="853" t="str">
        <f>+VLOOKUP($AJ692,Data_Validation!$A:$E,5,0)</f>
        <v/>
      </c>
    </row>
    <row r="693" ht="15.0" customHeight="1">
      <c r="A693" s="849" t="s">
        <v>1239</v>
      </c>
      <c r="B693" s="849">
        <v>2025.0</v>
      </c>
      <c r="C693" s="849" t="s">
        <v>2890</v>
      </c>
      <c r="D693" s="849" t="s">
        <v>2891</v>
      </c>
      <c r="E693" s="849" t="s">
        <v>2072</v>
      </c>
      <c r="F693" s="849" t="s">
        <v>2855</v>
      </c>
      <c r="G693" s="849">
        <v>0.0</v>
      </c>
      <c r="H693" s="849">
        <v>83866.05</v>
      </c>
      <c r="I693" s="849">
        <v>83866.05</v>
      </c>
      <c r="J693" s="849">
        <v>230050.95</v>
      </c>
      <c r="K693" s="849">
        <v>331668.28</v>
      </c>
      <c r="L693" s="849">
        <v>426854.35</v>
      </c>
      <c r="M693" s="849">
        <v>426854.35</v>
      </c>
      <c r="N693" s="849">
        <v>617633.35</v>
      </c>
      <c r="O693" s="849">
        <v>617633.35</v>
      </c>
      <c r="P693" s="849">
        <v>881995.56</v>
      </c>
      <c r="Q693" s="849">
        <v>881995.56</v>
      </c>
      <c r="R693" s="849">
        <v>881995.56</v>
      </c>
      <c r="S693" s="849">
        <v>80181.41</v>
      </c>
      <c r="T693" s="849">
        <v>80181.41</v>
      </c>
      <c r="U693" s="849">
        <v>0.0</v>
      </c>
      <c r="V693" s="849">
        <v>0.0</v>
      </c>
      <c r="W693" s="849">
        <v>0.0</v>
      </c>
      <c r="X693" s="849">
        <v>0.0</v>
      </c>
      <c r="Y693" s="849">
        <v>0.0</v>
      </c>
      <c r="Z693" s="849">
        <v>0.0</v>
      </c>
      <c r="AA693" s="849">
        <v>0.0</v>
      </c>
      <c r="AB693" s="849">
        <v>0.0</v>
      </c>
      <c r="AC693" s="849">
        <v>0.0</v>
      </c>
      <c r="AD693" s="849">
        <v>0.0</v>
      </c>
      <c r="AE693" s="849">
        <v>0.0</v>
      </c>
      <c r="AF693" s="849">
        <v>0.0</v>
      </c>
      <c r="AG693" s="849">
        <v>0.0</v>
      </c>
      <c r="AH693" s="849">
        <v>0.0</v>
      </c>
      <c r="AI693" s="849">
        <v>0.0</v>
      </c>
      <c r="AJ693" s="794" t="str">
        <f t="shared" ref="AJ693:AK693" si="1383">C693</f>
        <v>G60500</v>
      </c>
      <c r="AK693" s="794" t="str">
        <f t="shared" si="1383"/>
        <v>COUT-CORVETTE</v>
      </c>
      <c r="AL693" s="794">
        <f t="array" ref="AL693">IFERROR(INDEX(G693:R693,1,MATCH(Parametres!$B$3,G$1:R$1,0)-1)*IF(OR(F693="L",F693="S",F693="I"),-1,1),"")</f>
        <v>617633.35</v>
      </c>
      <c r="AM693" s="794">
        <f t="shared" si="4"/>
        <v>0</v>
      </c>
      <c r="AN693" s="794">
        <f t="array" ref="AN693">INDEX(G693:R693,1,MATCH(Parametres!$B$3,G$1:R$1,0))*IF(OR(F693="L",F693="S",F693="I"),-1,1)</f>
        <v>617633.35</v>
      </c>
      <c r="AO693" s="853" t="str">
        <f>+VLOOKUP($AJ693,Data_Validation!$A:$D,1,0)</f>
        <v>G60500</v>
      </c>
      <c r="AP693" s="853" t="str">
        <f>+VLOOKUP($AJ693,Data_Validation!$A:$D,3,0)</f>
        <v>Véhicules neufs</v>
      </c>
      <c r="AQ693" s="853" t="str">
        <f>+VLOOKUP($AJ693,Data_Validation!$A:$D,4,0)</f>
        <v>Autos détail</v>
      </c>
      <c r="AR693" s="853" t="s">
        <v>728</v>
      </c>
      <c r="AS693" s="853" t="str">
        <f>+VLOOKUP($AJ693,Data_Validation!$A:$E,5,0)</f>
        <v/>
      </c>
      <c r="AT693" s="794" t="str">
        <f t="shared" ref="AT693:AU693" si="1384">C693</f>
        <v>G60500</v>
      </c>
      <c r="AU693" s="854" t="str">
        <f t="shared" si="1384"/>
        <v>COUT-CORVETTE</v>
      </c>
      <c r="AV693" s="794">
        <f t="array" ref="AV693">IFERROR(INDEX(V693:AG693,1,MATCH(Parametres!$B$3,V$1:AG$1,0)-1)*IF(OR(C693="L",C693="S",C693="I"),-1,1),"")</f>
        <v>0</v>
      </c>
      <c r="AW693" s="794">
        <f t="shared" si="6"/>
        <v>0</v>
      </c>
      <c r="AX693" s="794">
        <f t="array" ref="AX693">INDEX(V693:AG693,1,MATCH(Parametres!$B$3,V$1:AG$1,0))*IF(OR(C693="L",C693="S",C693="I"),-1,1)</f>
        <v>0</v>
      </c>
      <c r="AY693" s="853" t="s">
        <v>772</v>
      </c>
      <c r="AZ693" s="853" t="str">
        <f>+VLOOKUP($AJ693,Data_Validation!$A:$E,5,0)</f>
        <v/>
      </c>
    </row>
    <row r="694" ht="15.0" customHeight="1">
      <c r="A694" s="849" t="s">
        <v>1239</v>
      </c>
      <c r="B694" s="849">
        <v>2025.0</v>
      </c>
      <c r="C694" s="849" t="s">
        <v>2892</v>
      </c>
      <c r="D694" s="849" t="s">
        <v>2893</v>
      </c>
      <c r="E694" s="849" t="s">
        <v>2072</v>
      </c>
      <c r="F694" s="849" t="s">
        <v>2855</v>
      </c>
      <c r="G694" s="849">
        <v>0.0</v>
      </c>
      <c r="H694" s="849">
        <v>0.0</v>
      </c>
      <c r="I694" s="849">
        <v>0.0</v>
      </c>
      <c r="J694" s="849">
        <v>0.0</v>
      </c>
      <c r="K694" s="849">
        <v>0.0</v>
      </c>
      <c r="L694" s="849">
        <v>0.0</v>
      </c>
      <c r="M694" s="849">
        <v>0.0</v>
      </c>
      <c r="N694" s="849">
        <v>0.0</v>
      </c>
      <c r="O694" s="849">
        <v>0.0</v>
      </c>
      <c r="P694" s="849">
        <v>0.0</v>
      </c>
      <c r="Q694" s="849">
        <v>0.0</v>
      </c>
      <c r="R694" s="849">
        <v>0.0</v>
      </c>
      <c r="S694" s="849">
        <v>0.0</v>
      </c>
      <c r="T694" s="849">
        <v>0.0</v>
      </c>
      <c r="U694" s="849">
        <v>0.0</v>
      </c>
      <c r="V694" s="849">
        <v>0.0</v>
      </c>
      <c r="W694" s="849">
        <v>0.0</v>
      </c>
      <c r="X694" s="849">
        <v>0.0</v>
      </c>
      <c r="Y694" s="849">
        <v>0.0</v>
      </c>
      <c r="Z694" s="849">
        <v>0.0</v>
      </c>
      <c r="AA694" s="849">
        <v>0.0</v>
      </c>
      <c r="AB694" s="849">
        <v>0.0</v>
      </c>
      <c r="AC694" s="849">
        <v>0.0</v>
      </c>
      <c r="AD694" s="849">
        <v>0.0</v>
      </c>
      <c r="AE694" s="849">
        <v>0.0</v>
      </c>
      <c r="AF694" s="849">
        <v>0.0</v>
      </c>
      <c r="AG694" s="849">
        <v>0.0</v>
      </c>
      <c r="AH694" s="849">
        <v>0.0</v>
      </c>
      <c r="AI694" s="849">
        <v>0.0</v>
      </c>
      <c r="AJ694" s="794" t="str">
        <f t="shared" ref="AJ694:AK694" si="1385">C694</f>
        <v>G60600</v>
      </c>
      <c r="AK694" s="794" t="str">
        <f t="shared" si="1385"/>
        <v>COUT-AVEO</v>
      </c>
      <c r="AL694" s="794">
        <f t="array" ref="AL694">IFERROR(INDEX(G694:R694,1,MATCH(Parametres!$B$3,G$1:R$1,0)-1)*IF(OR(F694="L",F694="S",F694="I"),-1,1),"")</f>
        <v>0</v>
      </c>
      <c r="AM694" s="794">
        <f t="shared" si="4"/>
        <v>0</v>
      </c>
      <c r="AN694" s="794">
        <f t="array" ref="AN694">INDEX(G694:R694,1,MATCH(Parametres!$B$3,G$1:R$1,0))*IF(OR(F694="L",F694="S",F694="I"),-1,1)</f>
        <v>0</v>
      </c>
      <c r="AO694" s="853" t="str">
        <f>+VLOOKUP($AJ694,Data_Validation!$A:$D,1,0)</f>
        <v>#N/A</v>
      </c>
      <c r="AP694" s="853" t="str">
        <f>+VLOOKUP($AJ694,Data_Validation!$A:$D,3,0)</f>
        <v>#N/A</v>
      </c>
      <c r="AQ694" s="853" t="str">
        <f>+VLOOKUP($AJ694,Data_Validation!$A:$D,4,0)</f>
        <v>#N/A</v>
      </c>
      <c r="AR694" s="853" t="s">
        <v>728</v>
      </c>
      <c r="AS694" s="853" t="str">
        <f>+VLOOKUP($AJ694,Data_Validation!$A:$E,5,0)</f>
        <v>#N/A</v>
      </c>
      <c r="AT694" s="794" t="str">
        <f t="shared" ref="AT694:AU694" si="1386">C694</f>
        <v>G60600</v>
      </c>
      <c r="AU694" s="854" t="str">
        <f t="shared" si="1386"/>
        <v>COUT-AVEO</v>
      </c>
      <c r="AV694" s="794">
        <f t="array" ref="AV694">IFERROR(INDEX(V694:AG694,1,MATCH(Parametres!$B$3,V$1:AG$1,0)-1)*IF(OR(C694="L",C694="S",C694="I"),-1,1),"")</f>
        <v>0</v>
      </c>
      <c r="AW694" s="794">
        <f t="shared" si="6"/>
        <v>0</v>
      </c>
      <c r="AX694" s="794">
        <f t="array" ref="AX694">INDEX(V694:AG694,1,MATCH(Parametres!$B$3,V$1:AG$1,0))*IF(OR(C694="L",C694="S",C694="I"),-1,1)</f>
        <v>0</v>
      </c>
      <c r="AY694" s="853" t="s">
        <v>772</v>
      </c>
      <c r="AZ694" s="853" t="str">
        <f>+VLOOKUP($AJ694,Data_Validation!$A:$E,5,0)</f>
        <v>#N/A</v>
      </c>
    </row>
    <row r="695" ht="15.0" customHeight="1">
      <c r="A695" s="849" t="s">
        <v>1239</v>
      </c>
      <c r="B695" s="849">
        <v>2025.0</v>
      </c>
      <c r="C695" s="849" t="s">
        <v>2894</v>
      </c>
      <c r="D695" s="849" t="s">
        <v>2895</v>
      </c>
      <c r="E695" s="849" t="s">
        <v>2072</v>
      </c>
      <c r="F695" s="849" t="s">
        <v>2855</v>
      </c>
      <c r="G695" s="849">
        <v>0.0</v>
      </c>
      <c r="H695" s="849">
        <v>0.0</v>
      </c>
      <c r="I695" s="849">
        <v>0.0</v>
      </c>
      <c r="J695" s="849">
        <v>0.0</v>
      </c>
      <c r="K695" s="849">
        <v>0.0</v>
      </c>
      <c r="L695" s="849">
        <v>0.0</v>
      </c>
      <c r="M695" s="849">
        <v>0.0</v>
      </c>
      <c r="N695" s="849">
        <v>0.0</v>
      </c>
      <c r="O695" s="849">
        <v>0.0</v>
      </c>
      <c r="P695" s="849">
        <v>0.0</v>
      </c>
      <c r="Q695" s="849">
        <v>0.0</v>
      </c>
      <c r="R695" s="849">
        <v>0.0</v>
      </c>
      <c r="S695" s="849">
        <v>0.0</v>
      </c>
      <c r="T695" s="849">
        <v>0.0</v>
      </c>
      <c r="U695" s="849">
        <v>0.0</v>
      </c>
      <c r="V695" s="849">
        <v>0.0</v>
      </c>
      <c r="W695" s="849">
        <v>0.0</v>
      </c>
      <c r="X695" s="849">
        <v>0.0</v>
      </c>
      <c r="Y695" s="849">
        <v>0.0</v>
      </c>
      <c r="Z695" s="849">
        <v>0.0</v>
      </c>
      <c r="AA695" s="849">
        <v>0.0</v>
      </c>
      <c r="AB695" s="849">
        <v>0.0</v>
      </c>
      <c r="AC695" s="849">
        <v>0.0</v>
      </c>
      <c r="AD695" s="849">
        <v>0.0</v>
      </c>
      <c r="AE695" s="849">
        <v>0.0</v>
      </c>
      <c r="AF695" s="849">
        <v>0.0</v>
      </c>
      <c r="AG695" s="849">
        <v>0.0</v>
      </c>
      <c r="AH695" s="849">
        <v>0.0</v>
      </c>
      <c r="AI695" s="849">
        <v>0.0</v>
      </c>
      <c r="AJ695" s="794" t="str">
        <f t="shared" ref="AJ695:AK695" si="1387">C695</f>
        <v>G60620</v>
      </c>
      <c r="AK695" s="794" t="str">
        <f t="shared" si="1387"/>
        <v>COUT-AVEO            -LOC</v>
      </c>
      <c r="AL695" s="794">
        <f t="array" ref="AL695">IFERROR(INDEX(G695:R695,1,MATCH(Parametres!$B$3,G$1:R$1,0)-1)*IF(OR(F695="L",F695="S",F695="I"),-1,1),"")</f>
        <v>0</v>
      </c>
      <c r="AM695" s="794">
        <f t="shared" si="4"/>
        <v>0</v>
      </c>
      <c r="AN695" s="794">
        <f t="array" ref="AN695">INDEX(G695:R695,1,MATCH(Parametres!$B$3,G$1:R$1,0))*IF(OR(F695="L",F695="S",F695="I"),-1,1)</f>
        <v>0</v>
      </c>
      <c r="AO695" s="853" t="str">
        <f>+VLOOKUP($AJ695,Data_Validation!$A:$D,1,0)</f>
        <v>#N/A</v>
      </c>
      <c r="AP695" s="853" t="str">
        <f>+VLOOKUP($AJ695,Data_Validation!$A:$D,3,0)</f>
        <v>#N/A</v>
      </c>
      <c r="AQ695" s="853" t="str">
        <f>+VLOOKUP($AJ695,Data_Validation!$A:$D,4,0)</f>
        <v>#N/A</v>
      </c>
      <c r="AR695" s="853" t="s">
        <v>728</v>
      </c>
      <c r="AS695" s="853" t="str">
        <f>+VLOOKUP($AJ695,Data_Validation!$A:$E,5,0)</f>
        <v>#N/A</v>
      </c>
      <c r="AT695" s="794" t="str">
        <f t="shared" ref="AT695:AU695" si="1388">C695</f>
        <v>G60620</v>
      </c>
      <c r="AU695" s="854" t="str">
        <f t="shared" si="1388"/>
        <v>COUT-AVEO            -LOC</v>
      </c>
      <c r="AV695" s="794">
        <f t="array" ref="AV695">IFERROR(INDEX(V695:AG695,1,MATCH(Parametres!$B$3,V$1:AG$1,0)-1)*IF(OR(C695="L",C695="S",C695="I"),-1,1),"")</f>
        <v>0</v>
      </c>
      <c r="AW695" s="794">
        <f t="shared" si="6"/>
        <v>0</v>
      </c>
      <c r="AX695" s="794">
        <f t="array" ref="AX695">INDEX(V695:AG695,1,MATCH(Parametres!$B$3,V$1:AG$1,0))*IF(OR(C695="L",C695="S",C695="I"),-1,1)</f>
        <v>0</v>
      </c>
      <c r="AY695" s="853" t="s">
        <v>772</v>
      </c>
      <c r="AZ695" s="853" t="str">
        <f>+VLOOKUP($AJ695,Data_Validation!$A:$E,5,0)</f>
        <v>#N/A</v>
      </c>
    </row>
    <row r="696" ht="15.0" customHeight="1">
      <c r="A696" s="849" t="s">
        <v>1239</v>
      </c>
      <c r="B696" s="849">
        <v>2025.0</v>
      </c>
      <c r="C696" s="849" t="s">
        <v>2896</v>
      </c>
      <c r="D696" s="849" t="s">
        <v>2897</v>
      </c>
      <c r="E696" s="849" t="s">
        <v>2072</v>
      </c>
      <c r="F696" s="849" t="s">
        <v>2855</v>
      </c>
      <c r="G696" s="849">
        <v>0.0</v>
      </c>
      <c r="H696" s="849">
        <v>0.0</v>
      </c>
      <c r="I696" s="849">
        <v>0.0</v>
      </c>
      <c r="J696" s="849">
        <v>0.0</v>
      </c>
      <c r="K696" s="849">
        <v>0.0</v>
      </c>
      <c r="L696" s="849">
        <v>0.0</v>
      </c>
      <c r="M696" s="849">
        <v>0.0</v>
      </c>
      <c r="N696" s="849">
        <v>0.0</v>
      </c>
      <c r="O696" s="849">
        <v>0.0</v>
      </c>
      <c r="P696" s="849">
        <v>0.0</v>
      </c>
      <c r="Q696" s="849">
        <v>0.0</v>
      </c>
      <c r="R696" s="849">
        <v>0.0</v>
      </c>
      <c r="S696" s="849">
        <v>0.0</v>
      </c>
      <c r="T696" s="849">
        <v>0.0</v>
      </c>
      <c r="U696" s="849">
        <v>0.0</v>
      </c>
      <c r="V696" s="849">
        <v>0.0</v>
      </c>
      <c r="W696" s="849">
        <v>0.0</v>
      </c>
      <c r="X696" s="849">
        <v>0.0</v>
      </c>
      <c r="Y696" s="849">
        <v>0.0</v>
      </c>
      <c r="Z696" s="849">
        <v>0.0</v>
      </c>
      <c r="AA696" s="849">
        <v>0.0</v>
      </c>
      <c r="AB696" s="849">
        <v>0.0</v>
      </c>
      <c r="AC696" s="849">
        <v>0.0</v>
      </c>
      <c r="AD696" s="849">
        <v>0.0</v>
      </c>
      <c r="AE696" s="849">
        <v>0.0</v>
      </c>
      <c r="AF696" s="849">
        <v>0.0</v>
      </c>
      <c r="AG696" s="849">
        <v>0.0</v>
      </c>
      <c r="AH696" s="849">
        <v>0.0</v>
      </c>
      <c r="AI696" s="849">
        <v>0.0</v>
      </c>
      <c r="AJ696" s="794" t="str">
        <f t="shared" ref="AJ696:AK696" si="1389">C696</f>
        <v>G60700</v>
      </c>
      <c r="AK696" s="794" t="str">
        <f t="shared" si="1389"/>
        <v>COUT BOLT - EV</v>
      </c>
      <c r="AL696" s="794">
        <f t="array" ref="AL696">IFERROR(INDEX(G696:R696,1,MATCH(Parametres!$B$3,G$1:R$1,0)-1)*IF(OR(F696="L",F696="S",F696="I"),-1,1),"")</f>
        <v>0</v>
      </c>
      <c r="AM696" s="794">
        <f t="shared" si="4"/>
        <v>0</v>
      </c>
      <c r="AN696" s="794">
        <f t="array" ref="AN696">INDEX(G696:R696,1,MATCH(Parametres!$B$3,G$1:R$1,0))*IF(OR(F696="L",F696="S",F696="I"),-1,1)</f>
        <v>0</v>
      </c>
      <c r="AO696" s="853" t="str">
        <f>+VLOOKUP($AJ696,Data_Validation!$A:$D,1,0)</f>
        <v>G60700</v>
      </c>
      <c r="AP696" s="853" t="str">
        <f>+VLOOKUP($AJ696,Data_Validation!$A:$D,3,0)</f>
        <v>Véhicules neufs</v>
      </c>
      <c r="AQ696" s="853" t="str">
        <f>+VLOOKUP($AJ696,Data_Validation!$A:$D,4,0)</f>
        <v>Camions electriques</v>
      </c>
      <c r="AR696" s="853" t="s">
        <v>728</v>
      </c>
      <c r="AS696" s="853" t="str">
        <f>+VLOOKUP($AJ696,Data_Validation!$A:$E,5,0)</f>
        <v/>
      </c>
      <c r="AT696" s="794" t="str">
        <f t="shared" ref="AT696:AU696" si="1390">C696</f>
        <v>G60700</v>
      </c>
      <c r="AU696" s="854" t="str">
        <f t="shared" si="1390"/>
        <v>COUT BOLT - EV</v>
      </c>
      <c r="AV696" s="794">
        <f t="array" ref="AV696">IFERROR(INDEX(V696:AG696,1,MATCH(Parametres!$B$3,V$1:AG$1,0)-1)*IF(OR(C696="L",C696="S",C696="I"),-1,1),"")</f>
        <v>0</v>
      </c>
      <c r="AW696" s="794">
        <f t="shared" si="6"/>
        <v>0</v>
      </c>
      <c r="AX696" s="794">
        <f t="array" ref="AX696">INDEX(V696:AG696,1,MATCH(Parametres!$B$3,V$1:AG$1,0))*IF(OR(C696="L",C696="S",C696="I"),-1,1)</f>
        <v>0</v>
      </c>
      <c r="AY696" s="853" t="s">
        <v>772</v>
      </c>
      <c r="AZ696" s="853" t="str">
        <f>+VLOOKUP($AJ696,Data_Validation!$A:$E,5,0)</f>
        <v/>
      </c>
    </row>
    <row r="697" ht="15.0" customHeight="1">
      <c r="A697" s="849" t="s">
        <v>1239</v>
      </c>
      <c r="B697" s="849">
        <v>2025.0</v>
      </c>
      <c r="C697" s="849" t="s">
        <v>2898</v>
      </c>
      <c r="D697" s="849" t="s">
        <v>2899</v>
      </c>
      <c r="E697" s="849" t="s">
        <v>2072</v>
      </c>
      <c r="F697" s="849" t="s">
        <v>2855</v>
      </c>
      <c r="G697" s="849">
        <v>0.0</v>
      </c>
      <c r="H697" s="849">
        <v>0.0</v>
      </c>
      <c r="I697" s="849">
        <v>0.0</v>
      </c>
      <c r="J697" s="849">
        <v>0.0</v>
      </c>
      <c r="K697" s="849">
        <v>0.0</v>
      </c>
      <c r="L697" s="849">
        <v>0.0</v>
      </c>
      <c r="M697" s="849">
        <v>0.0</v>
      </c>
      <c r="N697" s="849">
        <v>0.0</v>
      </c>
      <c r="O697" s="849">
        <v>0.0</v>
      </c>
      <c r="P697" s="849">
        <v>0.0</v>
      </c>
      <c r="Q697" s="849">
        <v>0.0</v>
      </c>
      <c r="R697" s="849">
        <v>0.0</v>
      </c>
      <c r="S697" s="849">
        <v>0.0</v>
      </c>
      <c r="T697" s="849">
        <v>0.0</v>
      </c>
      <c r="U697" s="849">
        <v>0.0</v>
      </c>
      <c r="V697" s="849">
        <v>0.0</v>
      </c>
      <c r="W697" s="849">
        <v>0.0</v>
      </c>
      <c r="X697" s="849">
        <v>0.0</v>
      </c>
      <c r="Y697" s="849">
        <v>0.0</v>
      </c>
      <c r="Z697" s="849">
        <v>0.0</v>
      </c>
      <c r="AA697" s="849">
        <v>0.0</v>
      </c>
      <c r="AB697" s="849">
        <v>0.0</v>
      </c>
      <c r="AC697" s="849">
        <v>0.0</v>
      </c>
      <c r="AD697" s="849">
        <v>0.0</v>
      </c>
      <c r="AE697" s="849">
        <v>0.0</v>
      </c>
      <c r="AF697" s="849">
        <v>0.0</v>
      </c>
      <c r="AG697" s="849">
        <v>0.0</v>
      </c>
      <c r="AH697" s="849">
        <v>0.0</v>
      </c>
      <c r="AI697" s="849">
        <v>0.0</v>
      </c>
      <c r="AJ697" s="794" t="str">
        <f t="shared" ref="AJ697:AK697" si="1391">C697</f>
        <v>G60720</v>
      </c>
      <c r="AK697" s="794" t="str">
        <f t="shared" si="1391"/>
        <v>COUT-OPTRA           -LOC</v>
      </c>
      <c r="AL697" s="794">
        <f t="array" ref="AL697">IFERROR(INDEX(G697:R697,1,MATCH(Parametres!$B$3,G$1:R$1,0)-1)*IF(OR(F697="L",F697="S",F697="I"),-1,1),"")</f>
        <v>0</v>
      </c>
      <c r="AM697" s="794">
        <f t="shared" si="4"/>
        <v>0</v>
      </c>
      <c r="AN697" s="794">
        <f t="array" ref="AN697">INDEX(G697:R697,1,MATCH(Parametres!$B$3,G$1:R$1,0))*IF(OR(F697="L",F697="S",F697="I"),-1,1)</f>
        <v>0</v>
      </c>
      <c r="AO697" s="853" t="str">
        <f>+VLOOKUP($AJ697,Data_Validation!$A:$D,1,0)</f>
        <v>#N/A</v>
      </c>
      <c r="AP697" s="853" t="str">
        <f>+VLOOKUP($AJ697,Data_Validation!$A:$D,3,0)</f>
        <v>#N/A</v>
      </c>
      <c r="AQ697" s="853" t="str">
        <f>+VLOOKUP($AJ697,Data_Validation!$A:$D,4,0)</f>
        <v>#N/A</v>
      </c>
      <c r="AR697" s="853" t="s">
        <v>728</v>
      </c>
      <c r="AS697" s="853" t="str">
        <f>+VLOOKUP($AJ697,Data_Validation!$A:$E,5,0)</f>
        <v>#N/A</v>
      </c>
      <c r="AT697" s="794" t="str">
        <f t="shared" ref="AT697:AU697" si="1392">C697</f>
        <v>G60720</v>
      </c>
      <c r="AU697" s="854" t="str">
        <f t="shared" si="1392"/>
        <v>COUT-OPTRA           -LOC</v>
      </c>
      <c r="AV697" s="794">
        <f t="array" ref="AV697">IFERROR(INDEX(V697:AG697,1,MATCH(Parametres!$B$3,V$1:AG$1,0)-1)*IF(OR(C697="L",C697="S",C697="I"),-1,1),"")</f>
        <v>0</v>
      </c>
      <c r="AW697" s="794">
        <f t="shared" si="6"/>
        <v>0</v>
      </c>
      <c r="AX697" s="794">
        <f t="array" ref="AX697">INDEX(V697:AG697,1,MATCH(Parametres!$B$3,V$1:AG$1,0))*IF(OR(C697="L",C697="S",C697="I"),-1,1)</f>
        <v>0</v>
      </c>
      <c r="AY697" s="853" t="s">
        <v>772</v>
      </c>
      <c r="AZ697" s="853" t="str">
        <f>+VLOOKUP($AJ697,Data_Validation!$A:$E,5,0)</f>
        <v>#N/A</v>
      </c>
    </row>
    <row r="698" ht="15.0" customHeight="1">
      <c r="A698" s="849" t="s">
        <v>1239</v>
      </c>
      <c r="B698" s="849">
        <v>2025.0</v>
      </c>
      <c r="C698" s="849" t="s">
        <v>2900</v>
      </c>
      <c r="D698" s="849" t="s">
        <v>2901</v>
      </c>
      <c r="E698" s="849" t="s">
        <v>2072</v>
      </c>
      <c r="F698" s="849" t="s">
        <v>2855</v>
      </c>
      <c r="G698" s="849">
        <v>0.0</v>
      </c>
      <c r="H698" s="849">
        <v>0.0</v>
      </c>
      <c r="I698" s="849">
        <v>0.0</v>
      </c>
      <c r="J698" s="849">
        <v>0.0</v>
      </c>
      <c r="K698" s="849">
        <v>0.0</v>
      </c>
      <c r="L698" s="849">
        <v>0.0</v>
      </c>
      <c r="M698" s="849">
        <v>0.0</v>
      </c>
      <c r="N698" s="849">
        <v>0.0</v>
      </c>
      <c r="O698" s="849">
        <v>0.0</v>
      </c>
      <c r="P698" s="849">
        <v>0.0</v>
      </c>
      <c r="Q698" s="849">
        <v>0.0</v>
      </c>
      <c r="R698" s="849">
        <v>0.0</v>
      </c>
      <c r="S698" s="849">
        <v>0.0</v>
      </c>
      <c r="T698" s="849">
        <v>0.0</v>
      </c>
      <c r="U698" s="849">
        <v>0.0</v>
      </c>
      <c r="V698" s="849">
        <v>0.0</v>
      </c>
      <c r="W698" s="849">
        <v>0.0</v>
      </c>
      <c r="X698" s="849">
        <v>0.0</v>
      </c>
      <c r="Y698" s="849">
        <v>0.0</v>
      </c>
      <c r="Z698" s="849">
        <v>0.0</v>
      </c>
      <c r="AA698" s="849">
        <v>0.0</v>
      </c>
      <c r="AB698" s="849">
        <v>0.0</v>
      </c>
      <c r="AC698" s="849">
        <v>0.0</v>
      </c>
      <c r="AD698" s="849">
        <v>0.0</v>
      </c>
      <c r="AE698" s="849">
        <v>0.0</v>
      </c>
      <c r="AF698" s="849">
        <v>0.0</v>
      </c>
      <c r="AG698" s="849">
        <v>0.0</v>
      </c>
      <c r="AH698" s="849">
        <v>0.0</v>
      </c>
      <c r="AI698" s="849">
        <v>0.0</v>
      </c>
      <c r="AJ698" s="794" t="str">
        <f t="shared" ref="AJ698:AK698" si="1393">C698</f>
        <v>G60800</v>
      </c>
      <c r="AK698" s="794" t="str">
        <f t="shared" si="1393"/>
        <v>COUT-EPICA</v>
      </c>
      <c r="AL698" s="794">
        <f t="array" ref="AL698">IFERROR(INDEX(G698:R698,1,MATCH(Parametres!$B$3,G$1:R$1,0)-1)*IF(OR(F698="L",F698="S",F698="I"),-1,1),"")</f>
        <v>0</v>
      </c>
      <c r="AM698" s="794">
        <f t="shared" si="4"/>
        <v>0</v>
      </c>
      <c r="AN698" s="794">
        <f t="array" ref="AN698">INDEX(G698:R698,1,MATCH(Parametres!$B$3,G$1:R$1,0))*IF(OR(F698="L",F698="S",F698="I"),-1,1)</f>
        <v>0</v>
      </c>
      <c r="AO698" s="853" t="str">
        <f>+VLOOKUP($AJ698,Data_Validation!$A:$D,1,0)</f>
        <v>#N/A</v>
      </c>
      <c r="AP698" s="853" t="str">
        <f>+VLOOKUP($AJ698,Data_Validation!$A:$D,3,0)</f>
        <v>#N/A</v>
      </c>
      <c r="AQ698" s="853" t="str">
        <f>+VLOOKUP($AJ698,Data_Validation!$A:$D,4,0)</f>
        <v>#N/A</v>
      </c>
      <c r="AR698" s="853" t="s">
        <v>728</v>
      </c>
      <c r="AS698" s="853" t="str">
        <f>+VLOOKUP($AJ698,Data_Validation!$A:$E,5,0)</f>
        <v>#N/A</v>
      </c>
      <c r="AT698" s="794" t="str">
        <f t="shared" ref="AT698:AU698" si="1394">C698</f>
        <v>G60800</v>
      </c>
      <c r="AU698" s="854" t="str">
        <f t="shared" si="1394"/>
        <v>COUT-EPICA</v>
      </c>
      <c r="AV698" s="794">
        <f t="array" ref="AV698">IFERROR(INDEX(V698:AG698,1,MATCH(Parametres!$B$3,V$1:AG$1,0)-1)*IF(OR(C698="L",C698="S",C698="I"),-1,1),"")</f>
        <v>0</v>
      </c>
      <c r="AW698" s="794">
        <f t="shared" si="6"/>
        <v>0</v>
      </c>
      <c r="AX698" s="794">
        <f t="array" ref="AX698">INDEX(V698:AG698,1,MATCH(Parametres!$B$3,V$1:AG$1,0))*IF(OR(C698="L",C698="S",C698="I"),-1,1)</f>
        <v>0</v>
      </c>
      <c r="AY698" s="853" t="s">
        <v>772</v>
      </c>
      <c r="AZ698" s="853" t="str">
        <f>+VLOOKUP($AJ698,Data_Validation!$A:$E,5,0)</f>
        <v>#N/A</v>
      </c>
    </row>
    <row r="699" ht="15.0" customHeight="1">
      <c r="A699" s="849" t="s">
        <v>1239</v>
      </c>
      <c r="B699" s="849">
        <v>2025.0</v>
      </c>
      <c r="C699" s="849" t="s">
        <v>2902</v>
      </c>
      <c r="D699" s="849" t="s">
        <v>2903</v>
      </c>
      <c r="E699" s="849" t="s">
        <v>2072</v>
      </c>
      <c r="F699" s="849" t="s">
        <v>2855</v>
      </c>
      <c r="G699" s="849">
        <v>0.0</v>
      </c>
      <c r="H699" s="849">
        <v>0.0</v>
      </c>
      <c r="I699" s="849">
        <v>0.0</v>
      </c>
      <c r="J699" s="849">
        <v>0.0</v>
      </c>
      <c r="K699" s="849">
        <v>0.0</v>
      </c>
      <c r="L699" s="849">
        <v>0.0</v>
      </c>
      <c r="M699" s="849">
        <v>0.0</v>
      </c>
      <c r="N699" s="849">
        <v>0.0</v>
      </c>
      <c r="O699" s="849">
        <v>0.0</v>
      </c>
      <c r="P699" s="849">
        <v>0.0</v>
      </c>
      <c r="Q699" s="849">
        <v>0.0</v>
      </c>
      <c r="R699" s="849">
        <v>0.0</v>
      </c>
      <c r="S699" s="849">
        <v>0.0</v>
      </c>
      <c r="T699" s="849">
        <v>0.0</v>
      </c>
      <c r="U699" s="849">
        <v>0.0</v>
      </c>
      <c r="V699" s="849">
        <v>0.0</v>
      </c>
      <c r="W699" s="849">
        <v>0.0</v>
      </c>
      <c r="X699" s="849">
        <v>0.0</v>
      </c>
      <c r="Y699" s="849">
        <v>0.0</v>
      </c>
      <c r="Z699" s="849">
        <v>0.0</v>
      </c>
      <c r="AA699" s="849">
        <v>0.0</v>
      </c>
      <c r="AB699" s="849">
        <v>0.0</v>
      </c>
      <c r="AC699" s="849">
        <v>0.0</v>
      </c>
      <c r="AD699" s="849">
        <v>0.0</v>
      </c>
      <c r="AE699" s="849">
        <v>0.0</v>
      </c>
      <c r="AF699" s="849">
        <v>0.0</v>
      </c>
      <c r="AG699" s="849">
        <v>0.0</v>
      </c>
      <c r="AH699" s="849">
        <v>0.0</v>
      </c>
      <c r="AI699" s="849">
        <v>0.0</v>
      </c>
      <c r="AJ699" s="794" t="str">
        <f t="shared" ref="AJ699:AK699" si="1395">C699</f>
        <v>G60820</v>
      </c>
      <c r="AK699" s="794" t="str">
        <f t="shared" si="1395"/>
        <v>COUT-EPICA           -LOC</v>
      </c>
      <c r="AL699" s="794">
        <f t="array" ref="AL699">IFERROR(INDEX(G699:R699,1,MATCH(Parametres!$B$3,G$1:R$1,0)-1)*IF(OR(F699="L",F699="S",F699="I"),-1,1),"")</f>
        <v>0</v>
      </c>
      <c r="AM699" s="794">
        <f t="shared" si="4"/>
        <v>0</v>
      </c>
      <c r="AN699" s="794">
        <f t="array" ref="AN699">INDEX(G699:R699,1,MATCH(Parametres!$B$3,G$1:R$1,0))*IF(OR(F699="L",F699="S",F699="I"),-1,1)</f>
        <v>0</v>
      </c>
      <c r="AO699" s="853" t="str">
        <f>+VLOOKUP($AJ699,Data_Validation!$A:$D,1,0)</f>
        <v>#N/A</v>
      </c>
      <c r="AP699" s="853" t="str">
        <f>+VLOOKUP($AJ699,Data_Validation!$A:$D,3,0)</f>
        <v>#N/A</v>
      </c>
      <c r="AQ699" s="853" t="str">
        <f>+VLOOKUP($AJ699,Data_Validation!$A:$D,4,0)</f>
        <v>#N/A</v>
      </c>
      <c r="AR699" s="853" t="s">
        <v>728</v>
      </c>
      <c r="AS699" s="853" t="str">
        <f>+VLOOKUP($AJ699,Data_Validation!$A:$E,5,0)</f>
        <v>#N/A</v>
      </c>
      <c r="AT699" s="794" t="str">
        <f t="shared" ref="AT699:AU699" si="1396">C699</f>
        <v>G60820</v>
      </c>
      <c r="AU699" s="854" t="str">
        <f t="shared" si="1396"/>
        <v>COUT-EPICA           -LOC</v>
      </c>
      <c r="AV699" s="794">
        <f t="array" ref="AV699">IFERROR(INDEX(V699:AG699,1,MATCH(Parametres!$B$3,V$1:AG$1,0)-1)*IF(OR(C699="L",C699="S",C699="I"),-1,1),"")</f>
        <v>0</v>
      </c>
      <c r="AW699" s="794">
        <f t="shared" si="6"/>
        <v>0</v>
      </c>
      <c r="AX699" s="794">
        <f t="array" ref="AX699">INDEX(V699:AG699,1,MATCH(Parametres!$B$3,V$1:AG$1,0))*IF(OR(C699="L",C699="S",C699="I"),-1,1)</f>
        <v>0</v>
      </c>
      <c r="AY699" s="853" t="s">
        <v>772</v>
      </c>
      <c r="AZ699" s="853" t="str">
        <f>+VLOOKUP($AJ699,Data_Validation!$A:$E,5,0)</f>
        <v>#N/A</v>
      </c>
    </row>
    <row r="700" ht="15.0" customHeight="1">
      <c r="A700" s="849" t="s">
        <v>1239</v>
      </c>
      <c r="B700" s="849">
        <v>2025.0</v>
      </c>
      <c r="C700" s="849" t="s">
        <v>2904</v>
      </c>
      <c r="D700" s="849" t="s">
        <v>2905</v>
      </c>
      <c r="E700" s="849" t="s">
        <v>2072</v>
      </c>
      <c r="F700" s="849" t="s">
        <v>2855</v>
      </c>
      <c r="G700" s="849">
        <v>0.0</v>
      </c>
      <c r="H700" s="849">
        <v>0.0</v>
      </c>
      <c r="I700" s="849">
        <v>0.0</v>
      </c>
      <c r="J700" s="849">
        <v>0.0</v>
      </c>
      <c r="K700" s="849">
        <v>0.0</v>
      </c>
      <c r="L700" s="849">
        <v>0.0</v>
      </c>
      <c r="M700" s="849">
        <v>0.0</v>
      </c>
      <c r="N700" s="849">
        <v>0.0</v>
      </c>
      <c r="O700" s="849">
        <v>0.0</v>
      </c>
      <c r="P700" s="849">
        <v>0.0</v>
      </c>
      <c r="Q700" s="849">
        <v>0.0</v>
      </c>
      <c r="R700" s="849">
        <v>0.0</v>
      </c>
      <c r="S700" s="849">
        <v>0.0</v>
      </c>
      <c r="T700" s="849">
        <v>0.0</v>
      </c>
      <c r="U700" s="849">
        <v>0.0</v>
      </c>
      <c r="V700" s="849">
        <v>0.0</v>
      </c>
      <c r="W700" s="849">
        <v>0.0</v>
      </c>
      <c r="X700" s="849">
        <v>0.0</v>
      </c>
      <c r="Y700" s="849">
        <v>0.0</v>
      </c>
      <c r="Z700" s="849">
        <v>0.0</v>
      </c>
      <c r="AA700" s="849">
        <v>0.0</v>
      </c>
      <c r="AB700" s="849">
        <v>0.0</v>
      </c>
      <c r="AC700" s="849">
        <v>0.0</v>
      </c>
      <c r="AD700" s="849">
        <v>0.0</v>
      </c>
      <c r="AE700" s="849">
        <v>0.0</v>
      </c>
      <c r="AF700" s="849">
        <v>0.0</v>
      </c>
      <c r="AG700" s="849">
        <v>0.0</v>
      </c>
      <c r="AH700" s="849">
        <v>0.0</v>
      </c>
      <c r="AI700" s="849">
        <v>0.0</v>
      </c>
      <c r="AJ700" s="794" t="str">
        <f t="shared" ref="AJ700:AK700" si="1397">C700</f>
        <v>G60900</v>
      </c>
      <c r="AK700" s="794" t="str">
        <f t="shared" si="1397"/>
        <v>COUT-COBALT</v>
      </c>
      <c r="AL700" s="794">
        <f t="array" ref="AL700">IFERROR(INDEX(G700:R700,1,MATCH(Parametres!$B$3,G$1:R$1,0)-1)*IF(OR(F700="L",F700="S",F700="I"),-1,1),"")</f>
        <v>0</v>
      </c>
      <c r="AM700" s="794">
        <f t="shared" si="4"/>
        <v>0</v>
      </c>
      <c r="AN700" s="794">
        <f t="array" ref="AN700">INDEX(G700:R700,1,MATCH(Parametres!$B$3,G$1:R$1,0))*IF(OR(F700="L",F700="S",F700="I"),-1,1)</f>
        <v>0</v>
      </c>
      <c r="AO700" s="853" t="str">
        <f>+VLOOKUP($AJ700,Data_Validation!$A:$D,1,0)</f>
        <v>G60900</v>
      </c>
      <c r="AP700" s="853" t="str">
        <f>+VLOOKUP($AJ700,Data_Validation!$A:$D,3,0)</f>
        <v>Véhicules neufs</v>
      </c>
      <c r="AQ700" s="853" t="str">
        <f>+VLOOKUP($AJ700,Data_Validation!$A:$D,4,0)</f>
        <v>Autos détail</v>
      </c>
      <c r="AR700" s="853" t="s">
        <v>728</v>
      </c>
      <c r="AS700" s="853" t="str">
        <f>+VLOOKUP($AJ700,Data_Validation!$A:$E,5,0)</f>
        <v/>
      </c>
      <c r="AT700" s="794" t="str">
        <f t="shared" ref="AT700:AU700" si="1398">C700</f>
        <v>G60900</v>
      </c>
      <c r="AU700" s="854" t="str">
        <f t="shared" si="1398"/>
        <v>COUT-COBALT</v>
      </c>
      <c r="AV700" s="794">
        <f t="array" ref="AV700">IFERROR(INDEX(V700:AG700,1,MATCH(Parametres!$B$3,V$1:AG$1,0)-1)*IF(OR(C700="L",C700="S",C700="I"),-1,1),"")</f>
        <v>0</v>
      </c>
      <c r="AW700" s="794">
        <f t="shared" si="6"/>
        <v>0</v>
      </c>
      <c r="AX700" s="794">
        <f t="array" ref="AX700">INDEX(V700:AG700,1,MATCH(Parametres!$B$3,V$1:AG$1,0))*IF(OR(C700="L",C700="S",C700="I"),-1,1)</f>
        <v>0</v>
      </c>
      <c r="AY700" s="853" t="s">
        <v>772</v>
      </c>
      <c r="AZ700" s="853" t="str">
        <f>+VLOOKUP($AJ700,Data_Validation!$A:$E,5,0)</f>
        <v/>
      </c>
    </row>
    <row r="701" ht="15.0" customHeight="1">
      <c r="A701" s="849" t="s">
        <v>1239</v>
      </c>
      <c r="B701" s="849">
        <v>2025.0</v>
      </c>
      <c r="C701" s="849" t="s">
        <v>2906</v>
      </c>
      <c r="D701" s="849" t="s">
        <v>2907</v>
      </c>
      <c r="E701" s="849" t="s">
        <v>2072</v>
      </c>
      <c r="F701" s="849" t="s">
        <v>2855</v>
      </c>
      <c r="G701" s="849">
        <v>0.0</v>
      </c>
      <c r="H701" s="849">
        <v>0.0</v>
      </c>
      <c r="I701" s="849">
        <v>0.0</v>
      </c>
      <c r="J701" s="849">
        <v>0.0</v>
      </c>
      <c r="K701" s="849">
        <v>0.0</v>
      </c>
      <c r="L701" s="849">
        <v>0.0</v>
      </c>
      <c r="M701" s="849">
        <v>0.0</v>
      </c>
      <c r="N701" s="849">
        <v>0.0</v>
      </c>
      <c r="O701" s="849">
        <v>0.0</v>
      </c>
      <c r="P701" s="849">
        <v>0.0</v>
      </c>
      <c r="Q701" s="849">
        <v>0.0</v>
      </c>
      <c r="R701" s="849">
        <v>0.0</v>
      </c>
      <c r="S701" s="849">
        <v>0.0</v>
      </c>
      <c r="T701" s="849">
        <v>0.0</v>
      </c>
      <c r="U701" s="849">
        <v>0.0</v>
      </c>
      <c r="V701" s="849">
        <v>0.0</v>
      </c>
      <c r="W701" s="849">
        <v>0.0</v>
      </c>
      <c r="X701" s="849">
        <v>0.0</v>
      </c>
      <c r="Y701" s="849">
        <v>0.0</v>
      </c>
      <c r="Z701" s="849">
        <v>0.0</v>
      </c>
      <c r="AA701" s="849">
        <v>0.0</v>
      </c>
      <c r="AB701" s="849">
        <v>0.0</v>
      </c>
      <c r="AC701" s="849">
        <v>0.0</v>
      </c>
      <c r="AD701" s="849">
        <v>0.0</v>
      </c>
      <c r="AE701" s="849">
        <v>0.0</v>
      </c>
      <c r="AF701" s="849">
        <v>0.0</v>
      </c>
      <c r="AG701" s="849">
        <v>0.0</v>
      </c>
      <c r="AH701" s="849">
        <v>0.0</v>
      </c>
      <c r="AI701" s="849">
        <v>0.0</v>
      </c>
      <c r="AJ701" s="794" t="str">
        <f t="shared" ref="AJ701:AK701" si="1399">C701</f>
        <v>G60920</v>
      </c>
      <c r="AK701" s="794" t="str">
        <f t="shared" si="1399"/>
        <v>COUT-COBALT          -LOC</v>
      </c>
      <c r="AL701" s="794">
        <f t="array" ref="AL701">IFERROR(INDEX(G701:R701,1,MATCH(Parametres!$B$3,G$1:R$1,0)-1)*IF(OR(F701="L",F701="S",F701="I"),-1,1),"")</f>
        <v>0</v>
      </c>
      <c r="AM701" s="794">
        <f t="shared" si="4"/>
        <v>0</v>
      </c>
      <c r="AN701" s="794">
        <f t="array" ref="AN701">INDEX(G701:R701,1,MATCH(Parametres!$B$3,G$1:R$1,0))*IF(OR(F701="L",F701="S",F701="I"),-1,1)</f>
        <v>0</v>
      </c>
      <c r="AO701" s="853" t="str">
        <f>+VLOOKUP($AJ701,Data_Validation!$A:$D,1,0)</f>
        <v>#N/A</v>
      </c>
      <c r="AP701" s="853" t="str">
        <f>+VLOOKUP($AJ701,Data_Validation!$A:$D,3,0)</f>
        <v>#N/A</v>
      </c>
      <c r="AQ701" s="853" t="str">
        <f>+VLOOKUP($AJ701,Data_Validation!$A:$D,4,0)</f>
        <v>#N/A</v>
      </c>
      <c r="AR701" s="853" t="s">
        <v>728</v>
      </c>
      <c r="AS701" s="853" t="str">
        <f>+VLOOKUP($AJ701,Data_Validation!$A:$E,5,0)</f>
        <v>#N/A</v>
      </c>
      <c r="AT701" s="794" t="str">
        <f t="shared" ref="AT701:AU701" si="1400">C701</f>
        <v>G60920</v>
      </c>
      <c r="AU701" s="854" t="str">
        <f t="shared" si="1400"/>
        <v>COUT-COBALT          -LOC</v>
      </c>
      <c r="AV701" s="794">
        <f t="array" ref="AV701">IFERROR(INDEX(V701:AG701,1,MATCH(Parametres!$B$3,V$1:AG$1,0)-1)*IF(OR(C701="L",C701="S",C701="I"),-1,1),"")</f>
        <v>0</v>
      </c>
      <c r="AW701" s="794">
        <f t="shared" si="6"/>
        <v>0</v>
      </c>
      <c r="AX701" s="794">
        <f t="array" ref="AX701">INDEX(V701:AG701,1,MATCH(Parametres!$B$3,V$1:AG$1,0))*IF(OR(C701="L",C701="S",C701="I"),-1,1)</f>
        <v>0</v>
      </c>
      <c r="AY701" s="853" t="s">
        <v>772</v>
      </c>
      <c r="AZ701" s="853" t="str">
        <f>+VLOOKUP($AJ701,Data_Validation!$A:$E,5,0)</f>
        <v>#N/A</v>
      </c>
    </row>
    <row r="702" ht="15.0" customHeight="1">
      <c r="A702" s="849" t="s">
        <v>1239</v>
      </c>
      <c r="B702" s="849">
        <v>2025.0</v>
      </c>
      <c r="C702" s="849" t="s">
        <v>2908</v>
      </c>
      <c r="D702" s="849" t="s">
        <v>2909</v>
      </c>
      <c r="E702" s="849" t="s">
        <v>2072</v>
      </c>
      <c r="F702" s="849" t="s">
        <v>2855</v>
      </c>
      <c r="G702" s="849">
        <v>0.0</v>
      </c>
      <c r="H702" s="849">
        <v>0.0</v>
      </c>
      <c r="I702" s="849">
        <v>0.0</v>
      </c>
      <c r="J702" s="849">
        <v>0.0</v>
      </c>
      <c r="K702" s="849">
        <v>0.0</v>
      </c>
      <c r="L702" s="849">
        <v>0.0</v>
      </c>
      <c r="M702" s="849">
        <v>0.0</v>
      </c>
      <c r="N702" s="849">
        <v>0.0</v>
      </c>
      <c r="O702" s="849">
        <v>0.0</v>
      </c>
      <c r="P702" s="849">
        <v>0.0</v>
      </c>
      <c r="Q702" s="849">
        <v>0.0</v>
      </c>
      <c r="R702" s="849">
        <v>0.0</v>
      </c>
      <c r="S702" s="849">
        <v>0.0</v>
      </c>
      <c r="T702" s="849">
        <v>0.0</v>
      </c>
      <c r="U702" s="849">
        <v>0.0</v>
      </c>
      <c r="V702" s="849">
        <v>0.0</v>
      </c>
      <c r="W702" s="849">
        <v>0.0</v>
      </c>
      <c r="X702" s="849">
        <v>0.0</v>
      </c>
      <c r="Y702" s="849">
        <v>0.0</v>
      </c>
      <c r="Z702" s="849">
        <v>0.0</v>
      </c>
      <c r="AA702" s="849">
        <v>0.0</v>
      </c>
      <c r="AB702" s="849">
        <v>0.0</v>
      </c>
      <c r="AC702" s="849">
        <v>0.0</v>
      </c>
      <c r="AD702" s="849">
        <v>0.0</v>
      </c>
      <c r="AE702" s="849">
        <v>0.0</v>
      </c>
      <c r="AF702" s="849">
        <v>0.0</v>
      </c>
      <c r="AG702" s="849">
        <v>0.0</v>
      </c>
      <c r="AH702" s="849">
        <v>0.0</v>
      </c>
      <c r="AI702" s="849">
        <v>0.0</v>
      </c>
      <c r="AJ702" s="794" t="str">
        <f t="shared" ref="AJ702:AK702" si="1401">C702</f>
        <v>G61000</v>
      </c>
      <c r="AK702" s="794" t="str">
        <f t="shared" si="1401"/>
        <v>COUT - CAMARO</v>
      </c>
      <c r="AL702" s="794">
        <f t="array" ref="AL702">IFERROR(INDEX(G702:R702,1,MATCH(Parametres!$B$3,G$1:R$1,0)-1)*IF(OR(F702="L",F702="S",F702="I"),-1,1),"")</f>
        <v>0</v>
      </c>
      <c r="AM702" s="794">
        <f t="shared" si="4"/>
        <v>0</v>
      </c>
      <c r="AN702" s="794">
        <f t="array" ref="AN702">INDEX(G702:R702,1,MATCH(Parametres!$B$3,G$1:R$1,0))*IF(OR(F702="L",F702="S",F702="I"),-1,1)</f>
        <v>0</v>
      </c>
      <c r="AO702" s="853" t="str">
        <f>+VLOOKUP($AJ702,Data_Validation!$A:$D,1,0)</f>
        <v>G61000</v>
      </c>
      <c r="AP702" s="853" t="str">
        <f>+VLOOKUP($AJ702,Data_Validation!$A:$D,3,0)</f>
        <v>Véhicules neufs</v>
      </c>
      <c r="AQ702" s="853" t="str">
        <f>+VLOOKUP($AJ702,Data_Validation!$A:$D,4,0)</f>
        <v>Autos détail</v>
      </c>
      <c r="AR702" s="853" t="s">
        <v>728</v>
      </c>
      <c r="AS702" s="853" t="str">
        <f>+VLOOKUP($AJ702,Data_Validation!$A:$E,5,0)</f>
        <v/>
      </c>
      <c r="AT702" s="794" t="str">
        <f t="shared" ref="AT702:AU702" si="1402">C702</f>
        <v>G61000</v>
      </c>
      <c r="AU702" s="854" t="str">
        <f t="shared" si="1402"/>
        <v>COUT - CAMARO</v>
      </c>
      <c r="AV702" s="794">
        <f t="array" ref="AV702">IFERROR(INDEX(V702:AG702,1,MATCH(Parametres!$B$3,V$1:AG$1,0)-1)*IF(OR(C702="L",C702="S",C702="I"),-1,1),"")</f>
        <v>0</v>
      </c>
      <c r="AW702" s="794">
        <f t="shared" si="6"/>
        <v>0</v>
      </c>
      <c r="AX702" s="794">
        <f t="array" ref="AX702">INDEX(V702:AG702,1,MATCH(Parametres!$B$3,V$1:AG$1,0))*IF(OR(C702="L",C702="S",C702="I"),-1,1)</f>
        <v>0</v>
      </c>
      <c r="AY702" s="853" t="s">
        <v>772</v>
      </c>
      <c r="AZ702" s="853" t="str">
        <f>+VLOOKUP($AJ702,Data_Validation!$A:$E,5,0)</f>
        <v/>
      </c>
    </row>
    <row r="703" ht="15.0" customHeight="1">
      <c r="A703" s="849" t="s">
        <v>1239</v>
      </c>
      <c r="B703" s="849">
        <v>2025.0</v>
      </c>
      <c r="C703" s="849" t="s">
        <v>2910</v>
      </c>
      <c r="D703" s="849" t="s">
        <v>2911</v>
      </c>
      <c r="E703" s="849" t="s">
        <v>2072</v>
      </c>
      <c r="F703" s="849" t="s">
        <v>2855</v>
      </c>
      <c r="G703" s="849">
        <v>0.0</v>
      </c>
      <c r="H703" s="849">
        <v>0.0</v>
      </c>
      <c r="I703" s="849">
        <v>0.0</v>
      </c>
      <c r="J703" s="849">
        <v>0.0</v>
      </c>
      <c r="K703" s="849">
        <v>0.0</v>
      </c>
      <c r="L703" s="849">
        <v>0.0</v>
      </c>
      <c r="M703" s="849">
        <v>0.0</v>
      </c>
      <c r="N703" s="849">
        <v>0.0</v>
      </c>
      <c r="O703" s="849">
        <v>0.0</v>
      </c>
      <c r="P703" s="849">
        <v>0.0</v>
      </c>
      <c r="Q703" s="849">
        <v>0.0</v>
      </c>
      <c r="R703" s="849">
        <v>0.0</v>
      </c>
      <c r="S703" s="849">
        <v>0.0</v>
      </c>
      <c r="T703" s="849">
        <v>0.0</v>
      </c>
      <c r="U703" s="849">
        <v>0.0</v>
      </c>
      <c r="V703" s="849">
        <v>0.0</v>
      </c>
      <c r="W703" s="849">
        <v>0.0</v>
      </c>
      <c r="X703" s="849">
        <v>0.0</v>
      </c>
      <c r="Y703" s="849">
        <v>0.0</v>
      </c>
      <c r="Z703" s="849">
        <v>0.0</v>
      </c>
      <c r="AA703" s="849">
        <v>0.0</v>
      </c>
      <c r="AB703" s="849">
        <v>0.0</v>
      </c>
      <c r="AC703" s="849">
        <v>0.0</v>
      </c>
      <c r="AD703" s="849">
        <v>0.0</v>
      </c>
      <c r="AE703" s="849">
        <v>0.0</v>
      </c>
      <c r="AF703" s="849">
        <v>0.0</v>
      </c>
      <c r="AG703" s="849">
        <v>0.0</v>
      </c>
      <c r="AH703" s="849">
        <v>0.0</v>
      </c>
      <c r="AI703" s="849">
        <v>0.0</v>
      </c>
      <c r="AJ703" s="794" t="str">
        <f t="shared" ref="AJ703:AK703" si="1403">C703</f>
        <v>G61100</v>
      </c>
      <c r="AK703" s="794" t="str">
        <f t="shared" si="1403"/>
        <v>COUTANT CRUZE</v>
      </c>
      <c r="AL703" s="794">
        <f t="array" ref="AL703">IFERROR(INDEX(G703:R703,1,MATCH(Parametres!$B$3,G$1:R$1,0)-1)*IF(OR(F703="L",F703="S",F703="I"),-1,1),"")</f>
        <v>0</v>
      </c>
      <c r="AM703" s="794">
        <f t="shared" si="4"/>
        <v>0</v>
      </c>
      <c r="AN703" s="794">
        <f t="array" ref="AN703">INDEX(G703:R703,1,MATCH(Parametres!$B$3,G$1:R$1,0))*IF(OR(F703="L",F703="S",F703="I"),-1,1)</f>
        <v>0</v>
      </c>
      <c r="AO703" s="853" t="str">
        <f>+VLOOKUP($AJ703,Data_Validation!$A:$D,1,0)</f>
        <v>G61100</v>
      </c>
      <c r="AP703" s="853" t="str">
        <f>+VLOOKUP($AJ703,Data_Validation!$A:$D,3,0)</f>
        <v>Véhicules neufs</v>
      </c>
      <c r="AQ703" s="853" t="str">
        <f>+VLOOKUP($AJ703,Data_Validation!$A:$D,4,0)</f>
        <v>Autos détail</v>
      </c>
      <c r="AR703" s="853" t="s">
        <v>728</v>
      </c>
      <c r="AS703" s="853" t="str">
        <f>+VLOOKUP($AJ703,Data_Validation!$A:$E,5,0)</f>
        <v/>
      </c>
      <c r="AT703" s="794" t="str">
        <f t="shared" ref="AT703:AU703" si="1404">C703</f>
        <v>G61100</v>
      </c>
      <c r="AU703" s="854" t="str">
        <f t="shared" si="1404"/>
        <v>COUTANT CRUZE</v>
      </c>
      <c r="AV703" s="794">
        <f t="array" ref="AV703">IFERROR(INDEX(V703:AG703,1,MATCH(Parametres!$B$3,V$1:AG$1,0)-1)*IF(OR(C703="L",C703="S",C703="I"),-1,1),"")</f>
        <v>0</v>
      </c>
      <c r="AW703" s="794">
        <f t="shared" si="6"/>
        <v>0</v>
      </c>
      <c r="AX703" s="794">
        <f t="array" ref="AX703">INDEX(V703:AG703,1,MATCH(Parametres!$B$3,V$1:AG$1,0))*IF(OR(C703="L",C703="S",C703="I"),-1,1)</f>
        <v>0</v>
      </c>
      <c r="AY703" s="853" t="s">
        <v>772</v>
      </c>
      <c r="AZ703" s="853" t="str">
        <f>+VLOOKUP($AJ703,Data_Validation!$A:$E,5,0)</f>
        <v/>
      </c>
    </row>
    <row r="704" ht="15.0" customHeight="1">
      <c r="A704" s="849" t="s">
        <v>1239</v>
      </c>
      <c r="B704" s="849">
        <v>2025.0</v>
      </c>
      <c r="C704" s="849" t="s">
        <v>2912</v>
      </c>
      <c r="D704" s="849" t="s">
        <v>2913</v>
      </c>
      <c r="E704" s="849" t="s">
        <v>768</v>
      </c>
      <c r="F704" s="849" t="s">
        <v>2855</v>
      </c>
      <c r="G704" s="849">
        <v>0.0</v>
      </c>
      <c r="H704" s="849">
        <v>0.0</v>
      </c>
      <c r="I704" s="849">
        <v>0.0</v>
      </c>
      <c r="J704" s="849">
        <v>0.0</v>
      </c>
      <c r="K704" s="849">
        <v>0.0</v>
      </c>
      <c r="L704" s="849">
        <v>0.0</v>
      </c>
      <c r="M704" s="849">
        <v>0.0</v>
      </c>
      <c r="N704" s="849">
        <v>0.0</v>
      </c>
      <c r="O704" s="849">
        <v>0.0</v>
      </c>
      <c r="P704" s="849">
        <v>0.0</v>
      </c>
      <c r="Q704" s="849">
        <v>0.0</v>
      </c>
      <c r="R704" s="849">
        <v>0.0</v>
      </c>
      <c r="S704" s="849">
        <v>0.0</v>
      </c>
      <c r="T704" s="849">
        <v>0.0</v>
      </c>
      <c r="U704" s="849">
        <v>0.0</v>
      </c>
      <c r="V704" s="849">
        <v>0.0</v>
      </c>
      <c r="W704" s="849">
        <v>0.0</v>
      </c>
      <c r="X704" s="849">
        <v>0.0</v>
      </c>
      <c r="Y704" s="849">
        <v>0.0</v>
      </c>
      <c r="Z704" s="849">
        <v>0.0</v>
      </c>
      <c r="AA704" s="849">
        <v>0.0</v>
      </c>
      <c r="AB704" s="849">
        <v>0.0</v>
      </c>
      <c r="AC704" s="849">
        <v>0.0</v>
      </c>
      <c r="AD704" s="849">
        <v>0.0</v>
      </c>
      <c r="AE704" s="849">
        <v>0.0</v>
      </c>
      <c r="AF704" s="849">
        <v>0.0</v>
      </c>
      <c r="AG704" s="849">
        <v>0.0</v>
      </c>
      <c r="AH704" s="849">
        <v>0.0</v>
      </c>
      <c r="AI704" s="849">
        <v>0.0</v>
      </c>
      <c r="AJ704" s="794" t="str">
        <f t="shared" ref="AJ704:AK704" si="1405">C704</f>
        <v>G61600</v>
      </c>
      <c r="AK704" s="794" t="str">
        <f t="shared" si="1405"/>
        <v>INDEMNITE MARKETING AUTOS</v>
      </c>
      <c r="AL704" s="794">
        <f t="array" ref="AL704">IFERROR(INDEX(G704:R704,1,MATCH(Parametres!$B$3,G$1:R$1,0)-1)*IF(OR(F704="L",F704="S",F704="I"),-1,1),"")</f>
        <v>0</v>
      </c>
      <c r="AM704" s="794">
        <f t="shared" si="4"/>
        <v>0</v>
      </c>
      <c r="AN704" s="794">
        <f t="array" ref="AN704">INDEX(G704:R704,1,MATCH(Parametres!$B$3,G$1:R$1,0))*IF(OR(F704="L",F704="S",F704="I"),-1,1)</f>
        <v>0</v>
      </c>
      <c r="AO704" s="853" t="str">
        <f>+VLOOKUP($AJ704,Data_Validation!$A:$D,1,0)</f>
        <v>G61600</v>
      </c>
      <c r="AP704" s="853" t="str">
        <f>+VLOOKUP($AJ704,Data_Validation!$A:$D,3,0)</f>
        <v/>
      </c>
      <c r="AQ704" s="853" t="str">
        <f>+VLOOKUP($AJ704,Data_Validation!$A:$D,4,0)</f>
        <v/>
      </c>
      <c r="AR704" s="853" t="s">
        <v>728</v>
      </c>
      <c r="AS704" s="853" t="str">
        <f>+VLOOKUP($AJ704,Data_Validation!$A:$E,5,0)</f>
        <v/>
      </c>
      <c r="AT704" s="794" t="str">
        <f t="shared" ref="AT704:AU704" si="1406">C704</f>
        <v>G61600</v>
      </c>
      <c r="AU704" s="854" t="str">
        <f t="shared" si="1406"/>
        <v>INDEMNITE MARKETING AUTOS</v>
      </c>
      <c r="AV704" s="794">
        <f t="array" ref="AV704">IFERROR(INDEX(V704:AG704,1,MATCH(Parametres!$B$3,V$1:AG$1,0)-1)*IF(OR(C704="L",C704="S",C704="I"),-1,1),"")</f>
        <v>0</v>
      </c>
      <c r="AW704" s="794">
        <f t="shared" si="6"/>
        <v>0</v>
      </c>
      <c r="AX704" s="794">
        <f t="array" ref="AX704">INDEX(V704:AG704,1,MATCH(Parametres!$B$3,V$1:AG$1,0))*IF(OR(C704="L",C704="S",C704="I"),-1,1)</f>
        <v>0</v>
      </c>
      <c r="AY704" s="853" t="s">
        <v>772</v>
      </c>
      <c r="AZ704" s="853" t="str">
        <f>+VLOOKUP($AJ704,Data_Validation!$A:$E,5,0)</f>
        <v/>
      </c>
    </row>
    <row r="705" ht="15.0" customHeight="1">
      <c r="A705" s="849" t="s">
        <v>1239</v>
      </c>
      <c r="B705" s="849">
        <v>2025.0</v>
      </c>
      <c r="C705" s="849" t="s">
        <v>2914</v>
      </c>
      <c r="D705" s="849" t="s">
        <v>2915</v>
      </c>
      <c r="E705" s="849" t="s">
        <v>2072</v>
      </c>
      <c r="F705" s="849" t="s">
        <v>2855</v>
      </c>
      <c r="G705" s="849">
        <v>0.0</v>
      </c>
      <c r="H705" s="849">
        <v>0.0</v>
      </c>
      <c r="I705" s="849">
        <v>0.0</v>
      </c>
      <c r="J705" s="849">
        <v>0.0</v>
      </c>
      <c r="K705" s="849">
        <v>0.0</v>
      </c>
      <c r="L705" s="849">
        <v>0.0</v>
      </c>
      <c r="M705" s="849">
        <v>0.0</v>
      </c>
      <c r="N705" s="849">
        <v>0.0</v>
      </c>
      <c r="O705" s="849">
        <v>0.0</v>
      </c>
      <c r="P705" s="849">
        <v>0.0</v>
      </c>
      <c r="Q705" s="849">
        <v>0.0</v>
      </c>
      <c r="R705" s="849">
        <v>0.0</v>
      </c>
      <c r="S705" s="849">
        <v>0.0</v>
      </c>
      <c r="T705" s="849">
        <v>0.0</v>
      </c>
      <c r="U705" s="849">
        <v>0.0</v>
      </c>
      <c r="V705" s="849">
        <v>0.0</v>
      </c>
      <c r="W705" s="849">
        <v>0.0</v>
      </c>
      <c r="X705" s="849">
        <v>0.0</v>
      </c>
      <c r="Y705" s="849">
        <v>0.0</v>
      </c>
      <c r="Z705" s="849">
        <v>0.0</v>
      </c>
      <c r="AA705" s="849">
        <v>0.0</v>
      </c>
      <c r="AB705" s="849">
        <v>0.0</v>
      </c>
      <c r="AC705" s="849">
        <v>0.0</v>
      </c>
      <c r="AD705" s="849">
        <v>0.0</v>
      </c>
      <c r="AE705" s="849">
        <v>0.0</v>
      </c>
      <c r="AF705" s="849">
        <v>0.0</v>
      </c>
      <c r="AG705" s="849">
        <v>0.0</v>
      </c>
      <c r="AH705" s="849">
        <v>0.0</v>
      </c>
      <c r="AI705" s="849">
        <v>0.0</v>
      </c>
      <c r="AJ705" s="794" t="str">
        <f t="shared" ref="AJ705:AK705" si="1407">C705</f>
        <v>G61700</v>
      </c>
      <c r="AK705" s="794" t="str">
        <f t="shared" si="1407"/>
        <v>COUT-AUTRES CHEV AUTOS</v>
      </c>
      <c r="AL705" s="794">
        <f t="array" ref="AL705">IFERROR(INDEX(G705:R705,1,MATCH(Parametres!$B$3,G$1:R$1,0)-1)*IF(OR(F705="L",F705="S",F705="I"),-1,1),"")</f>
        <v>0</v>
      </c>
      <c r="AM705" s="794">
        <f t="shared" si="4"/>
        <v>0</v>
      </c>
      <c r="AN705" s="794">
        <f t="array" ref="AN705">INDEX(G705:R705,1,MATCH(Parametres!$B$3,G$1:R$1,0))*IF(OR(F705="L",F705="S",F705="I"),-1,1)</f>
        <v>0</v>
      </c>
      <c r="AO705" s="853" t="str">
        <f>+VLOOKUP($AJ705,Data_Validation!$A:$D,1,0)</f>
        <v>#N/A</v>
      </c>
      <c r="AP705" s="853" t="str">
        <f>+VLOOKUP($AJ705,Data_Validation!$A:$D,3,0)</f>
        <v>#N/A</v>
      </c>
      <c r="AQ705" s="853" t="str">
        <f>+VLOOKUP($AJ705,Data_Validation!$A:$D,4,0)</f>
        <v>#N/A</v>
      </c>
      <c r="AR705" s="853" t="s">
        <v>728</v>
      </c>
      <c r="AS705" s="853" t="str">
        <f>+VLOOKUP($AJ705,Data_Validation!$A:$E,5,0)</f>
        <v>#N/A</v>
      </c>
      <c r="AT705" s="794" t="str">
        <f t="shared" ref="AT705:AU705" si="1408">C705</f>
        <v>G61700</v>
      </c>
      <c r="AU705" s="854" t="str">
        <f t="shared" si="1408"/>
        <v>COUT-AUTRES CHEV AUTOS</v>
      </c>
      <c r="AV705" s="794">
        <f t="array" ref="AV705">IFERROR(INDEX(V705:AG705,1,MATCH(Parametres!$B$3,V$1:AG$1,0)-1)*IF(OR(C705="L",C705="S",C705="I"),-1,1),"")</f>
        <v>0</v>
      </c>
      <c r="AW705" s="794">
        <f t="shared" si="6"/>
        <v>0</v>
      </c>
      <c r="AX705" s="794">
        <f t="array" ref="AX705">INDEX(V705:AG705,1,MATCH(Parametres!$B$3,V$1:AG$1,0))*IF(OR(C705="L",C705="S",C705="I"),-1,1)</f>
        <v>0</v>
      </c>
      <c r="AY705" s="853" t="s">
        <v>772</v>
      </c>
      <c r="AZ705" s="853" t="str">
        <f>+VLOOKUP($AJ705,Data_Validation!$A:$E,5,0)</f>
        <v>#N/A</v>
      </c>
    </row>
    <row r="706" ht="15.0" customHeight="1">
      <c r="A706" s="849" t="s">
        <v>1239</v>
      </c>
      <c r="B706" s="849">
        <v>2025.0</v>
      </c>
      <c r="C706" s="849" t="s">
        <v>2916</v>
      </c>
      <c r="D706" s="849" t="s">
        <v>2917</v>
      </c>
      <c r="E706" s="849" t="s">
        <v>2072</v>
      </c>
      <c r="F706" s="849" t="s">
        <v>2855</v>
      </c>
      <c r="G706" s="849">
        <v>0.0</v>
      </c>
      <c r="H706" s="849">
        <v>0.0</v>
      </c>
      <c r="I706" s="849">
        <v>0.0</v>
      </c>
      <c r="J706" s="849">
        <v>0.0</v>
      </c>
      <c r="K706" s="849">
        <v>0.0</v>
      </c>
      <c r="L706" s="849">
        <v>0.0</v>
      </c>
      <c r="M706" s="849">
        <v>0.0</v>
      </c>
      <c r="N706" s="849">
        <v>0.0</v>
      </c>
      <c r="O706" s="849">
        <v>0.0</v>
      </c>
      <c r="P706" s="849">
        <v>0.0</v>
      </c>
      <c r="Q706" s="849">
        <v>0.0</v>
      </c>
      <c r="R706" s="849">
        <v>0.0</v>
      </c>
      <c r="S706" s="849">
        <v>0.0</v>
      </c>
      <c r="T706" s="849">
        <v>0.0</v>
      </c>
      <c r="U706" s="849">
        <v>0.0</v>
      </c>
      <c r="V706" s="849">
        <v>0.0</v>
      </c>
      <c r="W706" s="849">
        <v>0.0</v>
      </c>
      <c r="X706" s="849">
        <v>0.0</v>
      </c>
      <c r="Y706" s="849">
        <v>0.0</v>
      </c>
      <c r="Z706" s="849">
        <v>0.0</v>
      </c>
      <c r="AA706" s="849">
        <v>0.0</v>
      </c>
      <c r="AB706" s="849">
        <v>0.0</v>
      </c>
      <c r="AC706" s="849">
        <v>0.0</v>
      </c>
      <c r="AD706" s="849">
        <v>0.0</v>
      </c>
      <c r="AE706" s="849">
        <v>0.0</v>
      </c>
      <c r="AF706" s="849">
        <v>0.0</v>
      </c>
      <c r="AG706" s="849">
        <v>0.0</v>
      </c>
      <c r="AH706" s="849">
        <v>0.0</v>
      </c>
      <c r="AI706" s="849">
        <v>0.0</v>
      </c>
      <c r="AJ706" s="794" t="str">
        <f t="shared" ref="AJ706:AK706" si="1409">C706</f>
        <v>G61720</v>
      </c>
      <c r="AK706" s="794" t="str">
        <f t="shared" si="1409"/>
        <v>COUT-AUTRE CHEV.AUTOS-LOC</v>
      </c>
      <c r="AL706" s="794">
        <f t="array" ref="AL706">IFERROR(INDEX(G706:R706,1,MATCH(Parametres!$B$3,G$1:R$1,0)-1)*IF(OR(F706="L",F706="S",F706="I"),-1,1),"")</f>
        <v>0</v>
      </c>
      <c r="AM706" s="794">
        <f t="shared" si="4"/>
        <v>0</v>
      </c>
      <c r="AN706" s="794">
        <f t="array" ref="AN706">INDEX(G706:R706,1,MATCH(Parametres!$B$3,G$1:R$1,0))*IF(OR(F706="L",F706="S",F706="I"),-1,1)</f>
        <v>0</v>
      </c>
      <c r="AO706" s="853" t="str">
        <f>+VLOOKUP($AJ706,Data_Validation!$A:$D,1,0)</f>
        <v>#N/A</v>
      </c>
      <c r="AP706" s="853" t="str">
        <f>+VLOOKUP($AJ706,Data_Validation!$A:$D,3,0)</f>
        <v>#N/A</v>
      </c>
      <c r="AQ706" s="853" t="str">
        <f>+VLOOKUP($AJ706,Data_Validation!$A:$D,4,0)</f>
        <v>#N/A</v>
      </c>
      <c r="AR706" s="853" t="s">
        <v>728</v>
      </c>
      <c r="AS706" s="853" t="str">
        <f>+VLOOKUP($AJ706,Data_Validation!$A:$E,5,0)</f>
        <v>#N/A</v>
      </c>
      <c r="AT706" s="794" t="str">
        <f t="shared" ref="AT706:AU706" si="1410">C706</f>
        <v>G61720</v>
      </c>
      <c r="AU706" s="854" t="str">
        <f t="shared" si="1410"/>
        <v>COUT-AUTRE CHEV.AUTOS-LOC</v>
      </c>
      <c r="AV706" s="794">
        <f t="array" ref="AV706">IFERROR(INDEX(V706:AG706,1,MATCH(Parametres!$B$3,V$1:AG$1,0)-1)*IF(OR(C706="L",C706="S",C706="I"),-1,1),"")</f>
        <v>0</v>
      </c>
      <c r="AW706" s="794">
        <f t="shared" si="6"/>
        <v>0</v>
      </c>
      <c r="AX706" s="794">
        <f t="array" ref="AX706">INDEX(V706:AG706,1,MATCH(Parametres!$B$3,V$1:AG$1,0))*IF(OR(C706="L",C706="S",C706="I"),-1,1)</f>
        <v>0</v>
      </c>
      <c r="AY706" s="853" t="s">
        <v>772</v>
      </c>
      <c r="AZ706" s="853" t="str">
        <f>+VLOOKUP($AJ706,Data_Validation!$A:$E,5,0)</f>
        <v>#N/A</v>
      </c>
    </row>
    <row r="707" ht="15.0" customHeight="1">
      <c r="A707" s="849" t="s">
        <v>1239</v>
      </c>
      <c r="B707" s="849">
        <v>2025.0</v>
      </c>
      <c r="C707" s="849" t="s">
        <v>2918</v>
      </c>
      <c r="D707" s="849" t="s">
        <v>2919</v>
      </c>
      <c r="E707" s="849" t="s">
        <v>2072</v>
      </c>
      <c r="F707" s="849" t="s">
        <v>2855</v>
      </c>
      <c r="G707" s="849">
        <v>0.0</v>
      </c>
      <c r="H707" s="849">
        <v>0.0</v>
      </c>
      <c r="I707" s="849">
        <v>0.0</v>
      </c>
      <c r="J707" s="849">
        <v>0.15</v>
      </c>
      <c r="K707" s="849">
        <v>0.0</v>
      </c>
      <c r="L707" s="849">
        <v>0.0</v>
      </c>
      <c r="M707" s="849">
        <v>0.0</v>
      </c>
      <c r="N707" s="849">
        <v>0.0</v>
      </c>
      <c r="O707" s="849">
        <v>0.0</v>
      </c>
      <c r="P707" s="849">
        <v>0.0</v>
      </c>
      <c r="Q707" s="849">
        <v>0.0</v>
      </c>
      <c r="R707" s="849">
        <v>0.0</v>
      </c>
      <c r="S707" s="849">
        <v>0.0</v>
      </c>
      <c r="T707" s="849">
        <v>0.0</v>
      </c>
      <c r="U707" s="849">
        <v>0.0</v>
      </c>
      <c r="V707" s="849">
        <v>0.0</v>
      </c>
      <c r="W707" s="849">
        <v>0.0</v>
      </c>
      <c r="X707" s="849">
        <v>0.0</v>
      </c>
      <c r="Y707" s="849">
        <v>0.0</v>
      </c>
      <c r="Z707" s="849">
        <v>0.0</v>
      </c>
      <c r="AA707" s="849">
        <v>0.0</v>
      </c>
      <c r="AB707" s="849">
        <v>0.0</v>
      </c>
      <c r="AC707" s="849">
        <v>0.0</v>
      </c>
      <c r="AD707" s="849">
        <v>0.0</v>
      </c>
      <c r="AE707" s="849">
        <v>0.0</v>
      </c>
      <c r="AF707" s="849">
        <v>0.0</v>
      </c>
      <c r="AG707" s="849">
        <v>0.0</v>
      </c>
      <c r="AH707" s="849">
        <v>0.0</v>
      </c>
      <c r="AI707" s="849">
        <v>0.0</v>
      </c>
      <c r="AJ707" s="794" t="str">
        <f t="shared" ref="AJ707:AK707" si="1411">C707</f>
        <v>G61799</v>
      </c>
      <c r="AK707" s="794" t="str">
        <f t="shared" si="1411"/>
        <v>COUT-ECHANGE CONCESSION.</v>
      </c>
      <c r="AL707" s="794">
        <f t="array" ref="AL707">IFERROR(INDEX(G707:R707,1,MATCH(Parametres!$B$3,G$1:R$1,0)-1)*IF(OR(F707="L",F707="S",F707="I"),-1,1),"")</f>
        <v>0</v>
      </c>
      <c r="AM707" s="794">
        <f t="shared" si="4"/>
        <v>0</v>
      </c>
      <c r="AN707" s="794">
        <f t="array" ref="AN707">INDEX(G707:R707,1,MATCH(Parametres!$B$3,G$1:R$1,0))*IF(OR(F707="L",F707="S",F707="I"),-1,1)</f>
        <v>0</v>
      </c>
      <c r="AO707" s="853" t="str">
        <f>+VLOOKUP($AJ707,Data_Validation!$A:$D,1,0)</f>
        <v>G61799</v>
      </c>
      <c r="AP707" s="853" t="str">
        <f>+VLOOKUP($AJ707,Data_Validation!$A:$D,3,0)</f>
        <v/>
      </c>
      <c r="AQ707" s="853" t="str">
        <f>+VLOOKUP($AJ707,Data_Validation!$A:$D,4,0)</f>
        <v/>
      </c>
      <c r="AR707" s="853" t="s">
        <v>728</v>
      </c>
      <c r="AS707" s="853" t="str">
        <f>+VLOOKUP($AJ707,Data_Validation!$A:$E,5,0)</f>
        <v/>
      </c>
      <c r="AT707" s="794" t="str">
        <f t="shared" ref="AT707:AU707" si="1412">C707</f>
        <v>G61799</v>
      </c>
      <c r="AU707" s="854" t="str">
        <f t="shared" si="1412"/>
        <v>COUT-ECHANGE CONCESSION.</v>
      </c>
      <c r="AV707" s="794">
        <f t="array" ref="AV707">IFERROR(INDEX(V707:AG707,1,MATCH(Parametres!$B$3,V$1:AG$1,0)-1)*IF(OR(C707="L",C707="S",C707="I"),-1,1),"")</f>
        <v>0</v>
      </c>
      <c r="AW707" s="794">
        <f t="shared" si="6"/>
        <v>0</v>
      </c>
      <c r="AX707" s="794">
        <f t="array" ref="AX707">INDEX(V707:AG707,1,MATCH(Parametres!$B$3,V$1:AG$1,0))*IF(OR(C707="L",C707="S",C707="I"),-1,1)</f>
        <v>0</v>
      </c>
      <c r="AY707" s="853" t="s">
        <v>772</v>
      </c>
      <c r="AZ707" s="853" t="str">
        <f>+VLOOKUP($AJ707,Data_Validation!$A:$E,5,0)</f>
        <v/>
      </c>
    </row>
    <row r="708" ht="15.0" customHeight="1">
      <c r="A708" s="849" t="s">
        <v>1239</v>
      </c>
      <c r="B708" s="849">
        <v>2025.0</v>
      </c>
      <c r="C708" s="849" t="s">
        <v>2920</v>
      </c>
      <c r="D708" s="849" t="s">
        <v>2921</v>
      </c>
      <c r="E708" s="849" t="s">
        <v>2072</v>
      </c>
      <c r="F708" s="849" t="s">
        <v>2855</v>
      </c>
      <c r="G708" s="849">
        <v>0.0</v>
      </c>
      <c r="H708" s="849">
        <v>0.0</v>
      </c>
      <c r="I708" s="849">
        <v>0.0</v>
      </c>
      <c r="J708" s="849">
        <v>0.0</v>
      </c>
      <c r="K708" s="849">
        <v>0.0</v>
      </c>
      <c r="L708" s="849">
        <v>0.0</v>
      </c>
      <c r="M708" s="849">
        <v>0.0</v>
      </c>
      <c r="N708" s="849">
        <v>0.0</v>
      </c>
      <c r="O708" s="849">
        <v>0.0</v>
      </c>
      <c r="P708" s="849">
        <v>0.0</v>
      </c>
      <c r="Q708" s="849">
        <v>0.0</v>
      </c>
      <c r="R708" s="849">
        <v>0.0</v>
      </c>
      <c r="S708" s="849">
        <v>0.0</v>
      </c>
      <c r="T708" s="849">
        <v>0.0</v>
      </c>
      <c r="U708" s="849">
        <v>0.0</v>
      </c>
      <c r="V708" s="849">
        <v>0.0</v>
      </c>
      <c r="W708" s="849">
        <v>0.0</v>
      </c>
      <c r="X708" s="849">
        <v>0.0</v>
      </c>
      <c r="Y708" s="849">
        <v>0.0</v>
      </c>
      <c r="Z708" s="849">
        <v>0.0</v>
      </c>
      <c r="AA708" s="849">
        <v>0.0</v>
      </c>
      <c r="AB708" s="849">
        <v>0.0</v>
      </c>
      <c r="AC708" s="849">
        <v>0.0</v>
      </c>
      <c r="AD708" s="849">
        <v>0.0</v>
      </c>
      <c r="AE708" s="849">
        <v>0.0</v>
      </c>
      <c r="AF708" s="849">
        <v>0.0</v>
      </c>
      <c r="AG708" s="849">
        <v>0.0</v>
      </c>
      <c r="AH708" s="849">
        <v>0.0</v>
      </c>
      <c r="AI708" s="849">
        <v>0.0</v>
      </c>
      <c r="AJ708" s="794" t="str">
        <f t="shared" ref="AJ708:AK708" si="1413">C708</f>
        <v>G61800</v>
      </c>
      <c r="AK708" s="794" t="str">
        <f t="shared" si="1413"/>
        <v>COUTANT AUTRE CHEVROLET</v>
      </c>
      <c r="AL708" s="794">
        <f t="array" ref="AL708">IFERROR(INDEX(G708:R708,1,MATCH(Parametres!$B$3,G$1:R$1,0)-1)*IF(OR(F708="L",F708="S",F708="I"),-1,1),"")</f>
        <v>0</v>
      </c>
      <c r="AM708" s="794">
        <f t="shared" si="4"/>
        <v>0</v>
      </c>
      <c r="AN708" s="794">
        <f t="array" ref="AN708">INDEX(G708:R708,1,MATCH(Parametres!$B$3,G$1:R$1,0))*IF(OR(F708="L",F708="S",F708="I"),-1,1)</f>
        <v>0</v>
      </c>
      <c r="AO708" s="853" t="str">
        <f>+VLOOKUP($AJ708,Data_Validation!$A:$D,1,0)</f>
        <v>#N/A</v>
      </c>
      <c r="AP708" s="853" t="str">
        <f>+VLOOKUP($AJ708,Data_Validation!$A:$D,3,0)</f>
        <v>#N/A</v>
      </c>
      <c r="AQ708" s="853" t="str">
        <f>+VLOOKUP($AJ708,Data_Validation!$A:$D,4,0)</f>
        <v>#N/A</v>
      </c>
      <c r="AR708" s="853" t="s">
        <v>728</v>
      </c>
      <c r="AS708" s="853" t="str">
        <f>+VLOOKUP($AJ708,Data_Validation!$A:$E,5,0)</f>
        <v>#N/A</v>
      </c>
      <c r="AT708" s="794" t="str">
        <f t="shared" ref="AT708:AU708" si="1414">C708</f>
        <v>G61800</v>
      </c>
      <c r="AU708" s="854" t="str">
        <f t="shared" si="1414"/>
        <v>COUTANT AUTRE CHEVROLET</v>
      </c>
      <c r="AV708" s="794">
        <f t="array" ref="AV708">IFERROR(INDEX(V708:AG708,1,MATCH(Parametres!$B$3,V$1:AG$1,0)-1)*IF(OR(C708="L",C708="S",C708="I"),-1,1),"")</f>
        <v>0</v>
      </c>
      <c r="AW708" s="794">
        <f t="shared" si="6"/>
        <v>0</v>
      </c>
      <c r="AX708" s="794">
        <f t="array" ref="AX708">INDEX(V708:AG708,1,MATCH(Parametres!$B$3,V$1:AG$1,0))*IF(OR(C708="L",C708="S",C708="I"),-1,1)</f>
        <v>0</v>
      </c>
      <c r="AY708" s="853" t="s">
        <v>772</v>
      </c>
      <c r="AZ708" s="853" t="str">
        <f>+VLOOKUP($AJ708,Data_Validation!$A:$E,5,0)</f>
        <v>#N/A</v>
      </c>
    </row>
    <row r="709" ht="15.0" customHeight="1">
      <c r="A709" s="849" t="s">
        <v>1239</v>
      </c>
      <c r="B709" s="849">
        <v>2025.0</v>
      </c>
      <c r="C709" s="849" t="s">
        <v>2922</v>
      </c>
      <c r="D709" s="849" t="s">
        <v>2923</v>
      </c>
      <c r="E709" s="849" t="s">
        <v>2072</v>
      </c>
      <c r="F709" s="849" t="s">
        <v>2855</v>
      </c>
      <c r="G709" s="849">
        <v>0.0</v>
      </c>
      <c r="H709" s="849">
        <v>0.0</v>
      </c>
      <c r="I709" s="849">
        <v>0.0</v>
      </c>
      <c r="J709" s="849">
        <v>0.0</v>
      </c>
      <c r="K709" s="849">
        <v>0.0</v>
      </c>
      <c r="L709" s="849">
        <v>0.0</v>
      </c>
      <c r="M709" s="849">
        <v>0.0</v>
      </c>
      <c r="N709" s="849">
        <v>0.0</v>
      </c>
      <c r="O709" s="849">
        <v>0.0</v>
      </c>
      <c r="P709" s="849">
        <v>0.0</v>
      </c>
      <c r="Q709" s="849">
        <v>0.0</v>
      </c>
      <c r="R709" s="849">
        <v>0.0</v>
      </c>
      <c r="S709" s="849">
        <v>0.0</v>
      </c>
      <c r="T709" s="849">
        <v>0.0</v>
      </c>
      <c r="U709" s="849">
        <v>0.0</v>
      </c>
      <c r="V709" s="849">
        <v>0.0</v>
      </c>
      <c r="W709" s="849">
        <v>0.0</v>
      </c>
      <c r="X709" s="849">
        <v>0.0</v>
      </c>
      <c r="Y709" s="849">
        <v>0.0</v>
      </c>
      <c r="Z709" s="849">
        <v>0.0</v>
      </c>
      <c r="AA709" s="849">
        <v>0.0</v>
      </c>
      <c r="AB709" s="849">
        <v>0.0</v>
      </c>
      <c r="AC709" s="849">
        <v>0.0</v>
      </c>
      <c r="AD709" s="849">
        <v>0.0</v>
      </c>
      <c r="AE709" s="849">
        <v>0.0</v>
      </c>
      <c r="AF709" s="849">
        <v>0.0</v>
      </c>
      <c r="AG709" s="849">
        <v>0.0</v>
      </c>
      <c r="AH709" s="849">
        <v>0.0</v>
      </c>
      <c r="AI709" s="849">
        <v>0.0</v>
      </c>
      <c r="AJ709" s="794" t="str">
        <f t="shared" ref="AJ709:AK709" si="1415">C709</f>
        <v>G62000</v>
      </c>
      <c r="AK709" s="794" t="str">
        <f t="shared" si="1415"/>
        <v>COUT-PARC VOITURES</v>
      </c>
      <c r="AL709" s="794">
        <f t="array" ref="AL709">IFERROR(INDEX(G709:R709,1,MATCH(Parametres!$B$3,G$1:R$1,0)-1)*IF(OR(F709="L",F709="S",F709="I"),-1,1),"")</f>
        <v>0</v>
      </c>
      <c r="AM709" s="794">
        <f t="shared" si="4"/>
        <v>0</v>
      </c>
      <c r="AN709" s="794">
        <f t="array" ref="AN709">INDEX(G709:R709,1,MATCH(Parametres!$B$3,G$1:R$1,0))*IF(OR(F709="L",F709="S",F709="I"),-1,1)</f>
        <v>0</v>
      </c>
      <c r="AO709" s="853" t="str">
        <f>+VLOOKUP($AJ709,Data_Validation!$A:$D,1,0)</f>
        <v>#N/A</v>
      </c>
      <c r="AP709" s="853" t="str">
        <f>+VLOOKUP($AJ709,Data_Validation!$A:$D,3,0)</f>
        <v>#N/A</v>
      </c>
      <c r="AQ709" s="853" t="str">
        <f>+VLOOKUP($AJ709,Data_Validation!$A:$D,4,0)</f>
        <v>#N/A</v>
      </c>
      <c r="AR709" s="853" t="s">
        <v>728</v>
      </c>
      <c r="AS709" s="853" t="str">
        <f>+VLOOKUP($AJ709,Data_Validation!$A:$E,5,0)</f>
        <v>#N/A</v>
      </c>
      <c r="AT709" s="794" t="str">
        <f t="shared" ref="AT709:AU709" si="1416">C709</f>
        <v>G62000</v>
      </c>
      <c r="AU709" s="854" t="str">
        <f t="shared" si="1416"/>
        <v>COUT-PARC VOITURES</v>
      </c>
      <c r="AV709" s="794">
        <f t="array" ref="AV709">IFERROR(INDEX(V709:AG709,1,MATCH(Parametres!$B$3,V$1:AG$1,0)-1)*IF(OR(C709="L",C709="S",C709="I"),-1,1),"")</f>
        <v>0</v>
      </c>
      <c r="AW709" s="794">
        <f t="shared" si="6"/>
        <v>0</v>
      </c>
      <c r="AX709" s="794">
        <f t="array" ref="AX709">INDEX(V709:AG709,1,MATCH(Parametres!$B$3,V$1:AG$1,0))*IF(OR(C709="L",C709="S",C709="I"),-1,1)</f>
        <v>0</v>
      </c>
      <c r="AY709" s="853" t="s">
        <v>772</v>
      </c>
      <c r="AZ709" s="853" t="str">
        <f>+VLOOKUP($AJ709,Data_Validation!$A:$E,5,0)</f>
        <v>#N/A</v>
      </c>
    </row>
    <row r="710" ht="15.0" customHeight="1">
      <c r="A710" s="849" t="s">
        <v>1239</v>
      </c>
      <c r="B710" s="849">
        <v>2025.0</v>
      </c>
      <c r="C710" s="849" t="s">
        <v>2924</v>
      </c>
      <c r="D710" s="849" t="s">
        <v>2925</v>
      </c>
      <c r="E710" s="849" t="s">
        <v>2072</v>
      </c>
      <c r="F710" s="849" t="s">
        <v>2855</v>
      </c>
      <c r="G710" s="849">
        <v>0.0</v>
      </c>
      <c r="H710" s="849">
        <v>0.0</v>
      </c>
      <c r="I710" s="849">
        <v>0.0</v>
      </c>
      <c r="J710" s="849">
        <v>0.0</v>
      </c>
      <c r="K710" s="849">
        <v>0.0</v>
      </c>
      <c r="L710" s="849">
        <v>0.0</v>
      </c>
      <c r="M710" s="849">
        <v>0.0</v>
      </c>
      <c r="N710" s="849">
        <v>0.0</v>
      </c>
      <c r="O710" s="849">
        <v>0.0</v>
      </c>
      <c r="P710" s="849">
        <v>0.0</v>
      </c>
      <c r="Q710" s="849">
        <v>0.0</v>
      </c>
      <c r="R710" s="849">
        <v>0.0</v>
      </c>
      <c r="S710" s="849">
        <v>0.0</v>
      </c>
      <c r="T710" s="849">
        <v>0.0</v>
      </c>
      <c r="U710" s="849">
        <v>0.0</v>
      </c>
      <c r="V710" s="849">
        <v>0.0</v>
      </c>
      <c r="W710" s="849">
        <v>0.0</v>
      </c>
      <c r="X710" s="849">
        <v>0.0</v>
      </c>
      <c r="Y710" s="849">
        <v>0.0</v>
      </c>
      <c r="Z710" s="849">
        <v>0.0</v>
      </c>
      <c r="AA710" s="849">
        <v>0.0</v>
      </c>
      <c r="AB710" s="849">
        <v>0.0</v>
      </c>
      <c r="AC710" s="849">
        <v>0.0</v>
      </c>
      <c r="AD710" s="849">
        <v>0.0</v>
      </c>
      <c r="AE710" s="849">
        <v>0.0</v>
      </c>
      <c r="AF710" s="849">
        <v>0.0</v>
      </c>
      <c r="AG710" s="849">
        <v>0.0</v>
      </c>
      <c r="AH710" s="849">
        <v>0.0</v>
      </c>
      <c r="AI710" s="849">
        <v>0.0</v>
      </c>
      <c r="AJ710" s="794" t="str">
        <f t="shared" ref="AJ710:AK710" si="1417">C710</f>
        <v>G62100</v>
      </c>
      <c r="AK710" s="794" t="str">
        <f t="shared" si="1417"/>
        <v>COUT-VOITURES INTERNE</v>
      </c>
      <c r="AL710" s="794">
        <f t="array" ref="AL710">IFERROR(INDEX(G710:R710,1,MATCH(Parametres!$B$3,G$1:R$1,0)-1)*IF(OR(F710="L",F710="S",F710="I"),-1,1),"")</f>
        <v>0</v>
      </c>
      <c r="AM710" s="794">
        <f t="shared" si="4"/>
        <v>0</v>
      </c>
      <c r="AN710" s="794">
        <f t="array" ref="AN710">INDEX(G710:R710,1,MATCH(Parametres!$B$3,G$1:R$1,0))*IF(OR(F710="L",F710="S",F710="I"),-1,1)</f>
        <v>0</v>
      </c>
      <c r="AO710" s="853" t="str">
        <f>+VLOOKUP($AJ710,Data_Validation!$A:$D,1,0)</f>
        <v>#N/A</v>
      </c>
      <c r="AP710" s="853" t="str">
        <f>+VLOOKUP($AJ710,Data_Validation!$A:$D,3,0)</f>
        <v>#N/A</v>
      </c>
      <c r="AQ710" s="853" t="str">
        <f>+VLOOKUP($AJ710,Data_Validation!$A:$D,4,0)</f>
        <v>#N/A</v>
      </c>
      <c r="AR710" s="853" t="s">
        <v>728</v>
      </c>
      <c r="AS710" s="853" t="str">
        <f>+VLOOKUP($AJ710,Data_Validation!$A:$E,5,0)</f>
        <v>#N/A</v>
      </c>
      <c r="AT710" s="794" t="str">
        <f t="shared" ref="AT710:AU710" si="1418">C710</f>
        <v>G62100</v>
      </c>
      <c r="AU710" s="854" t="str">
        <f t="shared" si="1418"/>
        <v>COUT-VOITURES INTERNE</v>
      </c>
      <c r="AV710" s="794">
        <f t="array" ref="AV710">IFERROR(INDEX(V710:AG710,1,MATCH(Parametres!$B$3,V$1:AG$1,0)-1)*IF(OR(C710="L",C710="S",C710="I"),-1,1),"")</f>
        <v>0</v>
      </c>
      <c r="AW710" s="794">
        <f t="shared" si="6"/>
        <v>0</v>
      </c>
      <c r="AX710" s="794">
        <f t="array" ref="AX710">INDEX(V710:AG710,1,MATCH(Parametres!$B$3,V$1:AG$1,0))*IF(OR(C710="L",C710="S",C710="I"),-1,1)</f>
        <v>0</v>
      </c>
      <c r="AY710" s="853" t="s">
        <v>772</v>
      </c>
      <c r="AZ710" s="853" t="str">
        <f>+VLOOKUP($AJ710,Data_Validation!$A:$E,5,0)</f>
        <v>#N/A</v>
      </c>
    </row>
    <row r="711" ht="15.0" customHeight="1">
      <c r="A711" s="849" t="s">
        <v>1239</v>
      </c>
      <c r="B711" s="849">
        <v>2025.0</v>
      </c>
      <c r="C711" s="849" t="s">
        <v>2926</v>
      </c>
      <c r="D711" s="849" t="s">
        <v>2927</v>
      </c>
      <c r="E711" s="849" t="s">
        <v>2072</v>
      </c>
      <c r="F711" s="849" t="s">
        <v>2855</v>
      </c>
      <c r="G711" s="849">
        <v>0.0</v>
      </c>
      <c r="H711" s="849">
        <v>0.0</v>
      </c>
      <c r="I711" s="849">
        <v>0.0</v>
      </c>
      <c r="J711" s="849">
        <v>0.0</v>
      </c>
      <c r="K711" s="849">
        <v>0.0</v>
      </c>
      <c r="L711" s="849">
        <v>0.0</v>
      </c>
      <c r="M711" s="849">
        <v>0.0</v>
      </c>
      <c r="N711" s="849">
        <v>0.0</v>
      </c>
      <c r="O711" s="849">
        <v>0.0</v>
      </c>
      <c r="P711" s="849">
        <v>0.0</v>
      </c>
      <c r="Q711" s="849">
        <v>0.0</v>
      </c>
      <c r="R711" s="849">
        <v>0.0</v>
      </c>
      <c r="S711" s="849">
        <v>0.0</v>
      </c>
      <c r="T711" s="849">
        <v>0.0</v>
      </c>
      <c r="U711" s="849">
        <v>0.0</v>
      </c>
      <c r="V711" s="849">
        <v>0.0</v>
      </c>
      <c r="W711" s="849">
        <v>0.0</v>
      </c>
      <c r="X711" s="849">
        <v>0.0</v>
      </c>
      <c r="Y711" s="849">
        <v>0.0</v>
      </c>
      <c r="Z711" s="849">
        <v>0.0</v>
      </c>
      <c r="AA711" s="849">
        <v>0.0</v>
      </c>
      <c r="AB711" s="849">
        <v>0.0</v>
      </c>
      <c r="AC711" s="849">
        <v>0.0</v>
      </c>
      <c r="AD711" s="849">
        <v>0.0</v>
      </c>
      <c r="AE711" s="849">
        <v>0.0</v>
      </c>
      <c r="AF711" s="849">
        <v>0.0</v>
      </c>
      <c r="AG711" s="849">
        <v>0.0</v>
      </c>
      <c r="AH711" s="849">
        <v>0.0</v>
      </c>
      <c r="AI711" s="849">
        <v>0.0</v>
      </c>
      <c r="AJ711" s="794" t="str">
        <f t="shared" ref="AJ711:AK711" si="1419">C711</f>
        <v>G62300</v>
      </c>
      <c r="AK711" s="794" t="str">
        <f t="shared" si="1419"/>
        <v>COUT-VENTURE-UPLANDER</v>
      </c>
      <c r="AL711" s="794">
        <f t="array" ref="AL711">IFERROR(INDEX(G711:R711,1,MATCH(Parametres!$B$3,G$1:R$1,0)-1)*IF(OR(F711="L",F711="S",F711="I"),-1,1),"")</f>
        <v>0</v>
      </c>
      <c r="AM711" s="794">
        <f t="shared" si="4"/>
        <v>0</v>
      </c>
      <c r="AN711" s="794">
        <f t="array" ref="AN711">INDEX(G711:R711,1,MATCH(Parametres!$B$3,G$1:R$1,0))*IF(OR(F711="L",F711="S",F711="I"),-1,1)</f>
        <v>0</v>
      </c>
      <c r="AO711" s="853" t="str">
        <f>+VLOOKUP($AJ711,Data_Validation!$A:$D,1,0)</f>
        <v>#N/A</v>
      </c>
      <c r="AP711" s="853" t="str">
        <f>+VLOOKUP($AJ711,Data_Validation!$A:$D,3,0)</f>
        <v>#N/A</v>
      </c>
      <c r="AQ711" s="853" t="str">
        <f>+VLOOKUP($AJ711,Data_Validation!$A:$D,4,0)</f>
        <v>#N/A</v>
      </c>
      <c r="AR711" s="853" t="s">
        <v>728</v>
      </c>
      <c r="AS711" s="853" t="str">
        <f>+VLOOKUP($AJ711,Data_Validation!$A:$E,5,0)</f>
        <v>#N/A</v>
      </c>
      <c r="AT711" s="794" t="str">
        <f t="shared" ref="AT711:AU711" si="1420">C711</f>
        <v>G62300</v>
      </c>
      <c r="AU711" s="854" t="str">
        <f t="shared" si="1420"/>
        <v>COUT-VENTURE-UPLANDER</v>
      </c>
      <c r="AV711" s="794">
        <f t="array" ref="AV711">IFERROR(INDEX(V711:AG711,1,MATCH(Parametres!$B$3,V$1:AG$1,0)-1)*IF(OR(C711="L",C711="S",C711="I"),-1,1),"")</f>
        <v>0</v>
      </c>
      <c r="AW711" s="794">
        <f t="shared" si="6"/>
        <v>0</v>
      </c>
      <c r="AX711" s="794">
        <f t="array" ref="AX711">INDEX(V711:AG711,1,MATCH(Parametres!$B$3,V$1:AG$1,0))*IF(OR(C711="L",C711="S",C711="I"),-1,1)</f>
        <v>0</v>
      </c>
      <c r="AY711" s="853" t="s">
        <v>772</v>
      </c>
      <c r="AZ711" s="853" t="str">
        <f>+VLOOKUP($AJ711,Data_Validation!$A:$E,5,0)</f>
        <v>#N/A</v>
      </c>
    </row>
    <row r="712" ht="15.0" customHeight="1">
      <c r="A712" s="849" t="s">
        <v>1239</v>
      </c>
      <c r="B712" s="849">
        <v>2025.0</v>
      </c>
      <c r="C712" s="849" t="s">
        <v>2928</v>
      </c>
      <c r="D712" s="849" t="s">
        <v>2929</v>
      </c>
      <c r="E712" s="849" t="s">
        <v>2072</v>
      </c>
      <c r="F712" s="849" t="s">
        <v>2855</v>
      </c>
      <c r="G712" s="849">
        <v>0.0</v>
      </c>
      <c r="H712" s="849">
        <v>0.0</v>
      </c>
      <c r="I712" s="849">
        <v>0.0</v>
      </c>
      <c r="J712" s="849">
        <v>0.0</v>
      </c>
      <c r="K712" s="849">
        <v>0.0</v>
      </c>
      <c r="L712" s="849">
        <v>0.0</v>
      </c>
      <c r="M712" s="849">
        <v>0.0</v>
      </c>
      <c r="N712" s="849">
        <v>0.0</v>
      </c>
      <c r="O712" s="849">
        <v>0.0</v>
      </c>
      <c r="P712" s="849">
        <v>0.0</v>
      </c>
      <c r="Q712" s="849">
        <v>0.0</v>
      </c>
      <c r="R712" s="849">
        <v>0.0</v>
      </c>
      <c r="S712" s="849">
        <v>0.0</v>
      </c>
      <c r="T712" s="849">
        <v>0.0</v>
      </c>
      <c r="U712" s="849">
        <v>0.0</v>
      </c>
      <c r="V712" s="849">
        <v>0.0</v>
      </c>
      <c r="W712" s="849">
        <v>0.0</v>
      </c>
      <c r="X712" s="849">
        <v>0.0</v>
      </c>
      <c r="Y712" s="849">
        <v>0.0</v>
      </c>
      <c r="Z712" s="849">
        <v>0.0</v>
      </c>
      <c r="AA712" s="849">
        <v>0.0</v>
      </c>
      <c r="AB712" s="849">
        <v>0.0</v>
      </c>
      <c r="AC712" s="849">
        <v>0.0</v>
      </c>
      <c r="AD712" s="849">
        <v>0.0</v>
      </c>
      <c r="AE712" s="849">
        <v>0.0</v>
      </c>
      <c r="AF712" s="849">
        <v>0.0</v>
      </c>
      <c r="AG712" s="849">
        <v>0.0</v>
      </c>
      <c r="AH712" s="849">
        <v>0.0</v>
      </c>
      <c r="AI712" s="849">
        <v>0.0</v>
      </c>
      <c r="AJ712" s="794" t="str">
        <f t="shared" ref="AJ712:AK712" si="1421">C712</f>
        <v>G62312</v>
      </c>
      <c r="AK712" s="794" t="str">
        <f t="shared" si="1421"/>
        <v>COUT-KODIAK/TOPKICK 4/5</v>
      </c>
      <c r="AL712" s="794">
        <f t="array" ref="AL712">IFERROR(INDEX(G712:R712,1,MATCH(Parametres!$B$3,G$1:R$1,0)-1)*IF(OR(F712="L",F712="S",F712="I"),-1,1),"")</f>
        <v>0</v>
      </c>
      <c r="AM712" s="794">
        <f t="shared" si="4"/>
        <v>0</v>
      </c>
      <c r="AN712" s="794">
        <f t="array" ref="AN712">INDEX(G712:R712,1,MATCH(Parametres!$B$3,G$1:R$1,0))*IF(OR(F712="L",F712="S",F712="I"),-1,1)</f>
        <v>0</v>
      </c>
      <c r="AO712" s="853" t="str">
        <f>+VLOOKUP($AJ712,Data_Validation!$A:$D,1,0)</f>
        <v>#N/A</v>
      </c>
      <c r="AP712" s="853" t="str">
        <f>+VLOOKUP($AJ712,Data_Validation!$A:$D,3,0)</f>
        <v>#N/A</v>
      </c>
      <c r="AQ712" s="853" t="str">
        <f>+VLOOKUP($AJ712,Data_Validation!$A:$D,4,0)</f>
        <v>#N/A</v>
      </c>
      <c r="AR712" s="853" t="s">
        <v>728</v>
      </c>
      <c r="AS712" s="853" t="str">
        <f>+VLOOKUP($AJ712,Data_Validation!$A:$E,5,0)</f>
        <v>#N/A</v>
      </c>
      <c r="AT712" s="794" t="str">
        <f t="shared" ref="AT712:AU712" si="1422">C712</f>
        <v>G62312</v>
      </c>
      <c r="AU712" s="854" t="str">
        <f t="shared" si="1422"/>
        <v>COUT-KODIAK/TOPKICK 4/5</v>
      </c>
      <c r="AV712" s="794">
        <f t="array" ref="AV712">IFERROR(INDEX(V712:AG712,1,MATCH(Parametres!$B$3,V$1:AG$1,0)-1)*IF(OR(C712="L",C712="S",C712="I"),-1,1),"")</f>
        <v>0</v>
      </c>
      <c r="AW712" s="794">
        <f t="shared" si="6"/>
        <v>0</v>
      </c>
      <c r="AX712" s="794">
        <f t="array" ref="AX712">INDEX(V712:AG712,1,MATCH(Parametres!$B$3,V$1:AG$1,0))*IF(OR(C712="L",C712="S",C712="I"),-1,1)</f>
        <v>0</v>
      </c>
      <c r="AY712" s="853" t="s">
        <v>772</v>
      </c>
      <c r="AZ712" s="853" t="str">
        <f>+VLOOKUP($AJ712,Data_Validation!$A:$E,5,0)</f>
        <v>#N/A</v>
      </c>
    </row>
    <row r="713" ht="15.0" customHeight="1">
      <c r="A713" s="849" t="s">
        <v>1239</v>
      </c>
      <c r="B713" s="849">
        <v>2025.0</v>
      </c>
      <c r="C713" s="849" t="s">
        <v>2930</v>
      </c>
      <c r="D713" s="849" t="s">
        <v>2931</v>
      </c>
      <c r="E713" s="849" t="s">
        <v>2072</v>
      </c>
      <c r="F713" s="849" t="s">
        <v>2855</v>
      </c>
      <c r="G713" s="849">
        <v>0.0</v>
      </c>
      <c r="H713" s="849">
        <v>0.0</v>
      </c>
      <c r="I713" s="849">
        <v>0.0</v>
      </c>
      <c r="J713" s="849">
        <v>0.0</v>
      </c>
      <c r="K713" s="849">
        <v>0.0</v>
      </c>
      <c r="L713" s="849">
        <v>0.0</v>
      </c>
      <c r="M713" s="849">
        <v>0.0</v>
      </c>
      <c r="N713" s="849">
        <v>0.0</v>
      </c>
      <c r="O713" s="849">
        <v>0.0</v>
      </c>
      <c r="P713" s="849">
        <v>0.0</v>
      </c>
      <c r="Q713" s="849">
        <v>0.0</v>
      </c>
      <c r="R713" s="849">
        <v>0.0</v>
      </c>
      <c r="S713" s="849">
        <v>0.0</v>
      </c>
      <c r="T713" s="849">
        <v>0.0</v>
      </c>
      <c r="U713" s="849">
        <v>0.0</v>
      </c>
      <c r="V713" s="849">
        <v>0.0</v>
      </c>
      <c r="W713" s="849">
        <v>0.0</v>
      </c>
      <c r="X713" s="849">
        <v>0.0</v>
      </c>
      <c r="Y713" s="849">
        <v>0.0</v>
      </c>
      <c r="Z713" s="849">
        <v>0.0</v>
      </c>
      <c r="AA713" s="849">
        <v>0.0</v>
      </c>
      <c r="AB713" s="849">
        <v>0.0</v>
      </c>
      <c r="AC713" s="849">
        <v>0.0</v>
      </c>
      <c r="AD713" s="849">
        <v>0.0</v>
      </c>
      <c r="AE713" s="849">
        <v>0.0</v>
      </c>
      <c r="AF713" s="849">
        <v>0.0</v>
      </c>
      <c r="AG713" s="849">
        <v>0.0</v>
      </c>
      <c r="AH713" s="849">
        <v>0.0</v>
      </c>
      <c r="AI713" s="849">
        <v>0.0</v>
      </c>
      <c r="AJ713" s="794" t="str">
        <f t="shared" ref="AJ713:AK713" si="1423">C713</f>
        <v>G62320</v>
      </c>
      <c r="AK713" s="794" t="str">
        <f t="shared" si="1423"/>
        <v>COUT-VENTURE-UPLAN   -LOC</v>
      </c>
      <c r="AL713" s="794">
        <f t="array" ref="AL713">IFERROR(INDEX(G713:R713,1,MATCH(Parametres!$B$3,G$1:R$1,0)-1)*IF(OR(F713="L",F713="S",F713="I"),-1,1),"")</f>
        <v>0</v>
      </c>
      <c r="AM713" s="794">
        <f t="shared" si="4"/>
        <v>0</v>
      </c>
      <c r="AN713" s="794">
        <f t="array" ref="AN713">INDEX(G713:R713,1,MATCH(Parametres!$B$3,G$1:R$1,0))*IF(OR(F713="L",F713="S",F713="I"),-1,1)</f>
        <v>0</v>
      </c>
      <c r="AO713" s="853" t="str">
        <f>+VLOOKUP($AJ713,Data_Validation!$A:$D,1,0)</f>
        <v>#N/A</v>
      </c>
      <c r="AP713" s="853" t="str">
        <f>+VLOOKUP($AJ713,Data_Validation!$A:$D,3,0)</f>
        <v>#N/A</v>
      </c>
      <c r="AQ713" s="853" t="str">
        <f>+VLOOKUP($AJ713,Data_Validation!$A:$D,4,0)</f>
        <v>#N/A</v>
      </c>
      <c r="AR713" s="853" t="s">
        <v>728</v>
      </c>
      <c r="AS713" s="853" t="str">
        <f>+VLOOKUP($AJ713,Data_Validation!$A:$E,5,0)</f>
        <v>#N/A</v>
      </c>
      <c r="AT713" s="794" t="str">
        <f t="shared" ref="AT713:AU713" si="1424">C713</f>
        <v>G62320</v>
      </c>
      <c r="AU713" s="854" t="str">
        <f t="shared" si="1424"/>
        <v>COUT-VENTURE-UPLAN   -LOC</v>
      </c>
      <c r="AV713" s="794">
        <f t="array" ref="AV713">IFERROR(INDEX(V713:AG713,1,MATCH(Parametres!$B$3,V$1:AG$1,0)-1)*IF(OR(C713="L",C713="S",C713="I"),-1,1),"")</f>
        <v>0</v>
      </c>
      <c r="AW713" s="794">
        <f t="shared" si="6"/>
        <v>0</v>
      </c>
      <c r="AX713" s="794">
        <f t="array" ref="AX713">INDEX(V713:AG713,1,MATCH(Parametres!$B$3,V$1:AG$1,0))*IF(OR(C713="L",C713="S",C713="I"),-1,1)</f>
        <v>0</v>
      </c>
      <c r="AY713" s="853" t="s">
        <v>772</v>
      </c>
      <c r="AZ713" s="853" t="str">
        <f>+VLOOKUP($AJ713,Data_Validation!$A:$E,5,0)</f>
        <v>#N/A</v>
      </c>
    </row>
    <row r="714" ht="15.0" customHeight="1">
      <c r="A714" s="849" t="s">
        <v>1239</v>
      </c>
      <c r="B714" s="849">
        <v>2025.0</v>
      </c>
      <c r="C714" s="849" t="s">
        <v>2932</v>
      </c>
      <c r="D714" s="849" t="s">
        <v>2933</v>
      </c>
      <c r="E714" s="849" t="s">
        <v>2072</v>
      </c>
      <c r="F714" s="849" t="s">
        <v>2855</v>
      </c>
      <c r="G714" s="849">
        <v>77580.85</v>
      </c>
      <c r="H714" s="849">
        <v>155911.85</v>
      </c>
      <c r="I714" s="849">
        <v>279068.34</v>
      </c>
      <c r="J714" s="849">
        <v>279068.34</v>
      </c>
      <c r="K714" s="849">
        <v>279868.22</v>
      </c>
      <c r="L714" s="849">
        <v>457680.33</v>
      </c>
      <c r="M714" s="849">
        <v>507759.87</v>
      </c>
      <c r="N714" s="849">
        <v>554604.89</v>
      </c>
      <c r="O714" s="849">
        <v>645444.45</v>
      </c>
      <c r="P714" s="849">
        <v>645444.45</v>
      </c>
      <c r="Q714" s="849">
        <v>731852.01</v>
      </c>
      <c r="R714" s="849">
        <v>731852.01</v>
      </c>
      <c r="S714" s="849">
        <v>66532.0</v>
      </c>
      <c r="T714" s="849">
        <v>66532.0</v>
      </c>
      <c r="U714" s="849">
        <v>0.0</v>
      </c>
      <c r="V714" s="849">
        <v>0.0</v>
      </c>
      <c r="W714" s="849">
        <v>0.0</v>
      </c>
      <c r="X714" s="849">
        <v>0.0</v>
      </c>
      <c r="Y714" s="849">
        <v>0.0</v>
      </c>
      <c r="Z714" s="849">
        <v>0.0</v>
      </c>
      <c r="AA714" s="849">
        <v>0.0</v>
      </c>
      <c r="AB714" s="849">
        <v>0.0</v>
      </c>
      <c r="AC714" s="849">
        <v>0.0</v>
      </c>
      <c r="AD714" s="849">
        <v>0.0</v>
      </c>
      <c r="AE714" s="849">
        <v>0.0</v>
      </c>
      <c r="AF714" s="849">
        <v>0.0</v>
      </c>
      <c r="AG714" s="849">
        <v>0.0</v>
      </c>
      <c r="AH714" s="849">
        <v>0.0</v>
      </c>
      <c r="AI714" s="849">
        <v>0.0</v>
      </c>
      <c r="AJ714" s="794" t="str">
        <f t="shared" ref="AJ714:AK714" si="1425">C714</f>
        <v>G62400</v>
      </c>
      <c r="AK714" s="794" t="str">
        <f t="shared" si="1425"/>
        <v>COUT-TERRAIN</v>
      </c>
      <c r="AL714" s="794">
        <f t="array" ref="AL714">IFERROR(INDEX(G714:R714,1,MATCH(Parametres!$B$3,G$1:R$1,0)-1)*IF(OR(F714="L",F714="S",F714="I"),-1,1),"")</f>
        <v>554604.89</v>
      </c>
      <c r="AM714" s="794">
        <f t="shared" si="4"/>
        <v>90839.56</v>
      </c>
      <c r="AN714" s="794">
        <f t="array" ref="AN714">INDEX(G714:R714,1,MATCH(Parametres!$B$3,G$1:R$1,0))*IF(OR(F714="L",F714="S",F714="I"),-1,1)</f>
        <v>645444.45</v>
      </c>
      <c r="AO714" s="853" t="str">
        <f>+VLOOKUP($AJ714,Data_Validation!$A:$D,1,0)</f>
        <v>G62400</v>
      </c>
      <c r="AP714" s="853" t="str">
        <f>+VLOOKUP($AJ714,Data_Validation!$A:$D,3,0)</f>
        <v>Véhicules neufs</v>
      </c>
      <c r="AQ714" s="853" t="str">
        <f>+VLOOKUP($AJ714,Data_Validation!$A:$D,4,0)</f>
        <v>Camions détail</v>
      </c>
      <c r="AR714" s="853" t="s">
        <v>728</v>
      </c>
      <c r="AS714" s="853" t="str">
        <f>+VLOOKUP($AJ714,Data_Validation!$A:$E,5,0)</f>
        <v/>
      </c>
      <c r="AT714" s="794" t="str">
        <f t="shared" ref="AT714:AU714" si="1426">C714</f>
        <v>G62400</v>
      </c>
      <c r="AU714" s="854" t="str">
        <f t="shared" si="1426"/>
        <v>COUT-TERRAIN</v>
      </c>
      <c r="AV714" s="794">
        <f t="array" ref="AV714">IFERROR(INDEX(V714:AG714,1,MATCH(Parametres!$B$3,V$1:AG$1,0)-1)*IF(OR(C714="L",C714="S",C714="I"),-1,1),"")</f>
        <v>0</v>
      </c>
      <c r="AW714" s="794">
        <f t="shared" si="6"/>
        <v>0</v>
      </c>
      <c r="AX714" s="794">
        <f t="array" ref="AX714">INDEX(V714:AG714,1,MATCH(Parametres!$B$3,V$1:AG$1,0))*IF(OR(C714="L",C714="S",C714="I"),-1,1)</f>
        <v>0</v>
      </c>
      <c r="AY714" s="853" t="s">
        <v>772</v>
      </c>
      <c r="AZ714" s="853" t="str">
        <f>+VLOOKUP($AJ714,Data_Validation!$A:$E,5,0)</f>
        <v/>
      </c>
    </row>
    <row r="715" ht="15.0" customHeight="1">
      <c r="A715" s="849" t="s">
        <v>1239</v>
      </c>
      <c r="B715" s="849">
        <v>2025.0</v>
      </c>
      <c r="C715" s="849" t="s">
        <v>2934</v>
      </c>
      <c r="D715" s="849" t="s">
        <v>2935</v>
      </c>
      <c r="E715" s="849" t="s">
        <v>2072</v>
      </c>
      <c r="F715" s="849" t="s">
        <v>2855</v>
      </c>
      <c r="G715" s="849">
        <v>0.0</v>
      </c>
      <c r="H715" s="849">
        <v>0.0</v>
      </c>
      <c r="I715" s="849">
        <v>0.0</v>
      </c>
      <c r="J715" s="849">
        <v>0.0</v>
      </c>
      <c r="K715" s="849">
        <v>0.0</v>
      </c>
      <c r="L715" s="849">
        <v>0.0</v>
      </c>
      <c r="M715" s="849">
        <v>0.0</v>
      </c>
      <c r="N715" s="849">
        <v>0.0</v>
      </c>
      <c r="O715" s="849">
        <v>0.0</v>
      </c>
      <c r="P715" s="849">
        <v>0.0</v>
      </c>
      <c r="Q715" s="849">
        <v>0.0</v>
      </c>
      <c r="R715" s="849">
        <v>0.0</v>
      </c>
      <c r="S715" s="849">
        <v>0.0</v>
      </c>
      <c r="T715" s="849">
        <v>0.0</v>
      </c>
      <c r="U715" s="849">
        <v>0.0</v>
      </c>
      <c r="V715" s="849">
        <v>0.0</v>
      </c>
      <c r="W715" s="849">
        <v>0.0</v>
      </c>
      <c r="X715" s="849">
        <v>0.0</v>
      </c>
      <c r="Y715" s="849">
        <v>0.0</v>
      </c>
      <c r="Z715" s="849">
        <v>0.0</v>
      </c>
      <c r="AA715" s="849">
        <v>0.0</v>
      </c>
      <c r="AB715" s="849">
        <v>0.0</v>
      </c>
      <c r="AC715" s="849">
        <v>0.0</v>
      </c>
      <c r="AD715" s="849">
        <v>0.0</v>
      </c>
      <c r="AE715" s="849">
        <v>0.0</v>
      </c>
      <c r="AF715" s="849">
        <v>0.0</v>
      </c>
      <c r="AG715" s="849">
        <v>0.0</v>
      </c>
      <c r="AH715" s="849">
        <v>0.0</v>
      </c>
      <c r="AI715" s="849">
        <v>0.0</v>
      </c>
      <c r="AJ715" s="794" t="str">
        <f t="shared" ref="AJ715:AK715" si="1427">C715</f>
        <v>G62401</v>
      </c>
      <c r="AK715" s="794" t="str">
        <f t="shared" si="1427"/>
        <v>COUT BOLT EUV</v>
      </c>
      <c r="AL715" s="794">
        <f t="array" ref="AL715">IFERROR(INDEX(G715:R715,1,MATCH(Parametres!$B$3,G$1:R$1,0)-1)*IF(OR(F715="L",F715="S",F715="I"),-1,1),"")</f>
        <v>0</v>
      </c>
      <c r="AM715" s="794">
        <f t="shared" si="4"/>
        <v>0</v>
      </c>
      <c r="AN715" s="794">
        <f t="array" ref="AN715">INDEX(G715:R715,1,MATCH(Parametres!$B$3,G$1:R$1,0))*IF(OR(F715="L",F715="S",F715="I"),-1,1)</f>
        <v>0</v>
      </c>
      <c r="AO715" s="853" t="str">
        <f>+VLOOKUP($AJ715,Data_Validation!$A:$D,1,0)</f>
        <v>G62401</v>
      </c>
      <c r="AP715" s="853" t="str">
        <f>+VLOOKUP($AJ715,Data_Validation!$A:$D,3,0)</f>
        <v>Véhicules neufs</v>
      </c>
      <c r="AQ715" s="853" t="str">
        <f>+VLOOKUP($AJ715,Data_Validation!$A:$D,4,0)</f>
        <v>Camions electriques</v>
      </c>
      <c r="AR715" s="853" t="s">
        <v>728</v>
      </c>
      <c r="AS715" s="853" t="str">
        <f>+VLOOKUP($AJ715,Data_Validation!$A:$E,5,0)</f>
        <v/>
      </c>
      <c r="AT715" s="794" t="str">
        <f t="shared" ref="AT715:AU715" si="1428">C715</f>
        <v>G62401</v>
      </c>
      <c r="AU715" s="854" t="str">
        <f t="shared" si="1428"/>
        <v>COUT BOLT EUV</v>
      </c>
      <c r="AV715" s="794">
        <f t="array" ref="AV715">IFERROR(INDEX(V715:AG715,1,MATCH(Parametres!$B$3,V$1:AG$1,0)-1)*IF(OR(C715="L",C715="S",C715="I"),-1,1),"")</f>
        <v>0</v>
      </c>
      <c r="AW715" s="794">
        <f t="shared" si="6"/>
        <v>0</v>
      </c>
      <c r="AX715" s="794">
        <f t="array" ref="AX715">INDEX(V715:AG715,1,MATCH(Parametres!$B$3,V$1:AG$1,0))*IF(OR(C715="L",C715="S",C715="I"),-1,1)</f>
        <v>0</v>
      </c>
      <c r="AY715" s="853" t="s">
        <v>772</v>
      </c>
      <c r="AZ715" s="853" t="str">
        <f>+VLOOKUP($AJ715,Data_Validation!$A:$E,5,0)</f>
        <v/>
      </c>
    </row>
    <row r="716" ht="15.0" customHeight="1">
      <c r="A716" s="849" t="s">
        <v>1239</v>
      </c>
      <c r="B716" s="849">
        <v>2025.0</v>
      </c>
      <c r="C716" s="849" t="s">
        <v>2936</v>
      </c>
      <c r="D716" s="849" t="s">
        <v>2937</v>
      </c>
      <c r="E716" s="849" t="s">
        <v>2072</v>
      </c>
      <c r="F716" s="849" t="s">
        <v>2855</v>
      </c>
      <c r="G716" s="849">
        <v>0.0</v>
      </c>
      <c r="H716" s="849">
        <v>0.0</v>
      </c>
      <c r="I716" s="849">
        <v>0.0</v>
      </c>
      <c r="J716" s="849">
        <v>0.0</v>
      </c>
      <c r="K716" s="849">
        <v>0.0</v>
      </c>
      <c r="L716" s="849">
        <v>0.0</v>
      </c>
      <c r="M716" s="849">
        <v>0.0</v>
      </c>
      <c r="N716" s="849">
        <v>0.0</v>
      </c>
      <c r="O716" s="849">
        <v>0.0</v>
      </c>
      <c r="P716" s="849">
        <v>0.0</v>
      </c>
      <c r="Q716" s="849">
        <v>0.0</v>
      </c>
      <c r="R716" s="849">
        <v>0.0</v>
      </c>
      <c r="S716" s="849">
        <v>0.0</v>
      </c>
      <c r="T716" s="849">
        <v>0.0</v>
      </c>
      <c r="U716" s="849">
        <v>0.0</v>
      </c>
      <c r="V716" s="849">
        <v>0.0</v>
      </c>
      <c r="W716" s="849">
        <v>0.0</v>
      </c>
      <c r="X716" s="849">
        <v>0.0</v>
      </c>
      <c r="Y716" s="849">
        <v>0.0</v>
      </c>
      <c r="Z716" s="849">
        <v>0.0</v>
      </c>
      <c r="AA716" s="849">
        <v>0.0</v>
      </c>
      <c r="AB716" s="849">
        <v>0.0</v>
      </c>
      <c r="AC716" s="849">
        <v>0.0</v>
      </c>
      <c r="AD716" s="849">
        <v>0.0</v>
      </c>
      <c r="AE716" s="849">
        <v>0.0</v>
      </c>
      <c r="AF716" s="849">
        <v>0.0</v>
      </c>
      <c r="AG716" s="849">
        <v>0.0</v>
      </c>
      <c r="AH716" s="849">
        <v>0.0</v>
      </c>
      <c r="AI716" s="849">
        <v>0.0</v>
      </c>
      <c r="AJ716" s="794" t="str">
        <f t="shared" ref="AJ716:AK716" si="1429">C716</f>
        <v>G62412</v>
      </c>
      <c r="AK716" s="794" t="str">
        <f t="shared" si="1429"/>
        <v>COUT-TOPKICK 6/7/8 C</v>
      </c>
      <c r="AL716" s="794">
        <f t="array" ref="AL716">IFERROR(INDEX(G716:R716,1,MATCH(Parametres!$B$3,G$1:R$1,0)-1)*IF(OR(F716="L",F716="S",F716="I"),-1,1),"")</f>
        <v>0</v>
      </c>
      <c r="AM716" s="794">
        <f t="shared" si="4"/>
        <v>0</v>
      </c>
      <c r="AN716" s="794">
        <f t="array" ref="AN716">INDEX(G716:R716,1,MATCH(Parametres!$B$3,G$1:R$1,0))*IF(OR(F716="L",F716="S",F716="I"),-1,1)</f>
        <v>0</v>
      </c>
      <c r="AO716" s="853" t="str">
        <f>+VLOOKUP($AJ716,Data_Validation!$A:$D,1,0)</f>
        <v>#N/A</v>
      </c>
      <c r="AP716" s="853" t="str">
        <f>+VLOOKUP($AJ716,Data_Validation!$A:$D,3,0)</f>
        <v>#N/A</v>
      </c>
      <c r="AQ716" s="853" t="str">
        <f>+VLOOKUP($AJ716,Data_Validation!$A:$D,4,0)</f>
        <v>#N/A</v>
      </c>
      <c r="AR716" s="853" t="s">
        <v>728</v>
      </c>
      <c r="AS716" s="853" t="str">
        <f>+VLOOKUP($AJ716,Data_Validation!$A:$E,5,0)</f>
        <v>#N/A</v>
      </c>
      <c r="AT716" s="794" t="str">
        <f t="shared" ref="AT716:AU716" si="1430">C716</f>
        <v>G62412</v>
      </c>
      <c r="AU716" s="854" t="str">
        <f t="shared" si="1430"/>
        <v>COUT-TOPKICK 6/7/8 C</v>
      </c>
      <c r="AV716" s="794">
        <f t="array" ref="AV716">IFERROR(INDEX(V716:AG716,1,MATCH(Parametres!$B$3,V$1:AG$1,0)-1)*IF(OR(C716="L",C716="S",C716="I"),-1,1),"")</f>
        <v>0</v>
      </c>
      <c r="AW716" s="794">
        <f t="shared" si="6"/>
        <v>0</v>
      </c>
      <c r="AX716" s="794">
        <f t="array" ref="AX716">INDEX(V716:AG716,1,MATCH(Parametres!$B$3,V$1:AG$1,0))*IF(OR(C716="L",C716="S",C716="I"),-1,1)</f>
        <v>0</v>
      </c>
      <c r="AY716" s="853" t="s">
        <v>772</v>
      </c>
      <c r="AZ716" s="853" t="str">
        <f>+VLOOKUP($AJ716,Data_Validation!$A:$E,5,0)</f>
        <v>#N/A</v>
      </c>
    </row>
    <row r="717" ht="15.0" customHeight="1">
      <c r="A717" s="849" t="s">
        <v>1239</v>
      </c>
      <c r="B717" s="849">
        <v>2025.0</v>
      </c>
      <c r="C717" s="849" t="s">
        <v>2938</v>
      </c>
      <c r="D717" s="849" t="s">
        <v>2939</v>
      </c>
      <c r="E717" s="849" t="s">
        <v>2072</v>
      </c>
      <c r="F717" s="849" t="s">
        <v>2855</v>
      </c>
      <c r="G717" s="849">
        <v>0.0</v>
      </c>
      <c r="H717" s="849">
        <v>0.0</v>
      </c>
      <c r="I717" s="849">
        <v>0.0</v>
      </c>
      <c r="J717" s="849">
        <v>0.0</v>
      </c>
      <c r="K717" s="849">
        <v>0.0</v>
      </c>
      <c r="L717" s="849">
        <v>0.0</v>
      </c>
      <c r="M717" s="849">
        <v>0.0</v>
      </c>
      <c r="N717" s="849">
        <v>0.0</v>
      </c>
      <c r="O717" s="849">
        <v>0.0</v>
      </c>
      <c r="P717" s="849">
        <v>0.0</v>
      </c>
      <c r="Q717" s="849">
        <v>0.0</v>
      </c>
      <c r="R717" s="849">
        <v>0.0</v>
      </c>
      <c r="S717" s="849">
        <v>0.0</v>
      </c>
      <c r="T717" s="849">
        <v>0.0</v>
      </c>
      <c r="U717" s="849">
        <v>0.0</v>
      </c>
      <c r="V717" s="849">
        <v>0.0</v>
      </c>
      <c r="W717" s="849">
        <v>0.0</v>
      </c>
      <c r="X717" s="849">
        <v>0.0</v>
      </c>
      <c r="Y717" s="849">
        <v>0.0</v>
      </c>
      <c r="Z717" s="849">
        <v>0.0</v>
      </c>
      <c r="AA717" s="849">
        <v>0.0</v>
      </c>
      <c r="AB717" s="849">
        <v>0.0</v>
      </c>
      <c r="AC717" s="849">
        <v>0.0</v>
      </c>
      <c r="AD717" s="849">
        <v>0.0</v>
      </c>
      <c r="AE717" s="849">
        <v>0.0</v>
      </c>
      <c r="AF717" s="849">
        <v>0.0</v>
      </c>
      <c r="AG717" s="849">
        <v>0.0</v>
      </c>
      <c r="AH717" s="849">
        <v>0.0</v>
      </c>
      <c r="AI717" s="849">
        <v>0.0</v>
      </c>
      <c r="AJ717" s="794" t="str">
        <f t="shared" ref="AJ717:AK717" si="1431">C717</f>
        <v>G62500</v>
      </c>
      <c r="AK717" s="794" t="str">
        <f t="shared" si="1431"/>
        <v>COUT-G EXPRESS</v>
      </c>
      <c r="AL717" s="794">
        <f t="array" ref="AL717">IFERROR(INDEX(G717:R717,1,MATCH(Parametres!$B$3,G$1:R$1,0)-1)*IF(OR(F717="L",F717="S",F717="I"),-1,1),"")</f>
        <v>0</v>
      </c>
      <c r="AM717" s="794">
        <f t="shared" si="4"/>
        <v>0</v>
      </c>
      <c r="AN717" s="794">
        <f t="array" ref="AN717">INDEX(G717:R717,1,MATCH(Parametres!$B$3,G$1:R$1,0))*IF(OR(F717="L",F717="S",F717="I"),-1,1)</f>
        <v>0</v>
      </c>
      <c r="AO717" s="853" t="str">
        <f>+VLOOKUP($AJ717,Data_Validation!$A:$D,1,0)</f>
        <v>G62500</v>
      </c>
      <c r="AP717" s="853" t="str">
        <f>+VLOOKUP($AJ717,Data_Validation!$A:$D,3,0)</f>
        <v>Véhicules neufs</v>
      </c>
      <c r="AQ717" s="853" t="str">
        <f>+VLOOKUP($AJ717,Data_Validation!$A:$D,4,0)</f>
        <v>Camions détail</v>
      </c>
      <c r="AR717" s="853" t="s">
        <v>728</v>
      </c>
      <c r="AS717" s="853" t="str">
        <f>+VLOOKUP($AJ717,Data_Validation!$A:$E,5,0)</f>
        <v/>
      </c>
      <c r="AT717" s="794" t="str">
        <f t="shared" ref="AT717:AU717" si="1432">C717</f>
        <v>G62500</v>
      </c>
      <c r="AU717" s="854" t="str">
        <f t="shared" si="1432"/>
        <v>COUT-G EXPRESS</v>
      </c>
      <c r="AV717" s="794">
        <f t="array" ref="AV717">IFERROR(INDEX(V717:AG717,1,MATCH(Parametres!$B$3,V$1:AG$1,0)-1)*IF(OR(C717="L",C717="S",C717="I"),-1,1),"")</f>
        <v>0</v>
      </c>
      <c r="AW717" s="794">
        <f t="shared" si="6"/>
        <v>0</v>
      </c>
      <c r="AX717" s="794">
        <f t="array" ref="AX717">INDEX(V717:AG717,1,MATCH(Parametres!$B$3,V$1:AG$1,0))*IF(OR(C717="L",C717="S",C717="I"),-1,1)</f>
        <v>0</v>
      </c>
      <c r="AY717" s="853" t="s">
        <v>772</v>
      </c>
      <c r="AZ717" s="853" t="str">
        <f>+VLOOKUP($AJ717,Data_Validation!$A:$E,5,0)</f>
        <v/>
      </c>
    </row>
    <row r="718" ht="15.0" customHeight="1">
      <c r="A718" s="849" t="s">
        <v>1239</v>
      </c>
      <c r="B718" s="849">
        <v>2025.0</v>
      </c>
      <c r="C718" s="849" t="s">
        <v>2940</v>
      </c>
      <c r="D718" s="849" t="s">
        <v>2941</v>
      </c>
      <c r="E718" s="849" t="s">
        <v>2072</v>
      </c>
      <c r="F718" s="849" t="s">
        <v>2855</v>
      </c>
      <c r="G718" s="849">
        <v>0.0</v>
      </c>
      <c r="H718" s="849">
        <v>0.0</v>
      </c>
      <c r="I718" s="849">
        <v>0.0</v>
      </c>
      <c r="J718" s="849">
        <v>0.0</v>
      </c>
      <c r="K718" s="849">
        <v>0.0</v>
      </c>
      <c r="L718" s="849">
        <v>0.0</v>
      </c>
      <c r="M718" s="849">
        <v>0.0</v>
      </c>
      <c r="N718" s="849">
        <v>0.0</v>
      </c>
      <c r="O718" s="849">
        <v>0.0</v>
      </c>
      <c r="P718" s="849">
        <v>0.0</v>
      </c>
      <c r="Q718" s="849">
        <v>65566.0</v>
      </c>
      <c r="R718" s="849">
        <v>65566.0</v>
      </c>
      <c r="S718" s="849">
        <v>5960.55</v>
      </c>
      <c r="T718" s="849">
        <v>5960.55</v>
      </c>
      <c r="U718" s="849">
        <v>0.0</v>
      </c>
      <c r="V718" s="849">
        <v>0.0</v>
      </c>
      <c r="W718" s="849">
        <v>0.0</v>
      </c>
      <c r="X718" s="849">
        <v>0.0</v>
      </c>
      <c r="Y718" s="849">
        <v>0.0</v>
      </c>
      <c r="Z718" s="849">
        <v>0.0</v>
      </c>
      <c r="AA718" s="849">
        <v>0.0</v>
      </c>
      <c r="AB718" s="849">
        <v>0.0</v>
      </c>
      <c r="AC718" s="849">
        <v>0.0</v>
      </c>
      <c r="AD718" s="849">
        <v>0.0</v>
      </c>
      <c r="AE718" s="849">
        <v>0.0</v>
      </c>
      <c r="AF718" s="849">
        <v>0.0</v>
      </c>
      <c r="AG718" s="849">
        <v>0.0</v>
      </c>
      <c r="AH718" s="849">
        <v>0.0</v>
      </c>
      <c r="AI718" s="849">
        <v>0.0</v>
      </c>
      <c r="AJ718" s="794" t="str">
        <f t="shared" ref="AJ718:AK718" si="1433">C718</f>
        <v>G62502</v>
      </c>
      <c r="AK718" s="794" t="str">
        <f t="shared" si="1433"/>
        <v>COUTANT SAVANA</v>
      </c>
      <c r="AL718" s="794">
        <f t="array" ref="AL718">IFERROR(INDEX(G718:R718,1,MATCH(Parametres!$B$3,G$1:R$1,0)-1)*IF(OR(F718="L",F718="S",F718="I"),-1,1),"")</f>
        <v>0</v>
      </c>
      <c r="AM718" s="794">
        <f t="shared" si="4"/>
        <v>0</v>
      </c>
      <c r="AN718" s="794">
        <f t="array" ref="AN718">INDEX(G718:R718,1,MATCH(Parametres!$B$3,G$1:R$1,0))*IF(OR(F718="L",F718="S",F718="I"),-1,1)</f>
        <v>0</v>
      </c>
      <c r="AO718" s="853" t="str">
        <f>+VLOOKUP($AJ718,Data_Validation!$A:$D,1,0)</f>
        <v>G62502</v>
      </c>
      <c r="AP718" s="853" t="str">
        <f>+VLOOKUP($AJ718,Data_Validation!$A:$D,3,0)</f>
        <v>Véhicules neufs</v>
      </c>
      <c r="AQ718" s="853" t="str">
        <f>+VLOOKUP($AJ718,Data_Validation!$A:$D,4,0)</f>
        <v>Camions electriques</v>
      </c>
      <c r="AR718" s="853" t="s">
        <v>728</v>
      </c>
      <c r="AS718" s="853" t="str">
        <f>+VLOOKUP($AJ718,Data_Validation!$A:$E,5,0)</f>
        <v/>
      </c>
      <c r="AT718" s="794" t="str">
        <f t="shared" ref="AT718:AU718" si="1434">C718</f>
        <v>G62502</v>
      </c>
      <c r="AU718" s="854" t="str">
        <f t="shared" si="1434"/>
        <v>COUTANT SAVANA</v>
      </c>
      <c r="AV718" s="794">
        <f t="array" ref="AV718">IFERROR(INDEX(V718:AG718,1,MATCH(Parametres!$B$3,V$1:AG$1,0)-1)*IF(OR(C718="L",C718="S",C718="I"),-1,1),"")</f>
        <v>0</v>
      </c>
      <c r="AW718" s="794">
        <f t="shared" si="6"/>
        <v>0</v>
      </c>
      <c r="AX718" s="794">
        <f t="array" ref="AX718">INDEX(V718:AG718,1,MATCH(Parametres!$B$3,V$1:AG$1,0))*IF(OR(C718="L",C718="S",C718="I"),-1,1)</f>
        <v>0</v>
      </c>
      <c r="AY718" s="853" t="s">
        <v>772</v>
      </c>
      <c r="AZ718" s="853" t="str">
        <f>+VLOOKUP($AJ718,Data_Validation!$A:$E,5,0)</f>
        <v/>
      </c>
    </row>
    <row r="719" ht="15.0" customHeight="1">
      <c r="A719" s="849" t="s">
        <v>1239</v>
      </c>
      <c r="B719" s="849">
        <v>2025.0</v>
      </c>
      <c r="C719" s="849" t="s">
        <v>2942</v>
      </c>
      <c r="D719" s="849" t="s">
        <v>2943</v>
      </c>
      <c r="E719" s="849" t="s">
        <v>2072</v>
      </c>
      <c r="F719" s="849" t="s">
        <v>2855</v>
      </c>
      <c r="G719" s="849">
        <v>0.0</v>
      </c>
      <c r="H719" s="849">
        <v>0.0</v>
      </c>
      <c r="I719" s="849">
        <v>0.0</v>
      </c>
      <c r="J719" s="849">
        <v>0.0</v>
      </c>
      <c r="K719" s="849">
        <v>0.0</v>
      </c>
      <c r="L719" s="849">
        <v>0.0</v>
      </c>
      <c r="M719" s="849">
        <v>0.0</v>
      </c>
      <c r="N719" s="849">
        <v>0.0</v>
      </c>
      <c r="O719" s="849">
        <v>0.0</v>
      </c>
      <c r="P719" s="849">
        <v>0.0</v>
      </c>
      <c r="Q719" s="849">
        <v>0.0</v>
      </c>
      <c r="R719" s="849">
        <v>0.0</v>
      </c>
      <c r="S719" s="849">
        <v>0.0</v>
      </c>
      <c r="T719" s="849">
        <v>0.0</v>
      </c>
      <c r="U719" s="849">
        <v>0.0</v>
      </c>
      <c r="V719" s="849">
        <v>0.0</v>
      </c>
      <c r="W719" s="849">
        <v>0.0</v>
      </c>
      <c r="X719" s="849">
        <v>0.0</v>
      </c>
      <c r="Y719" s="849">
        <v>0.0</v>
      </c>
      <c r="Z719" s="849">
        <v>0.0</v>
      </c>
      <c r="AA719" s="849">
        <v>0.0</v>
      </c>
      <c r="AB719" s="849">
        <v>0.0</v>
      </c>
      <c r="AC719" s="849">
        <v>0.0</v>
      </c>
      <c r="AD719" s="849">
        <v>0.0</v>
      </c>
      <c r="AE719" s="849">
        <v>0.0</v>
      </c>
      <c r="AF719" s="849">
        <v>0.0</v>
      </c>
      <c r="AG719" s="849">
        <v>0.0</v>
      </c>
      <c r="AH719" s="849">
        <v>0.0</v>
      </c>
      <c r="AI719" s="849">
        <v>0.0</v>
      </c>
      <c r="AJ719" s="794" t="str">
        <f t="shared" ref="AJ719:AK719" si="1435">C719</f>
        <v>G62512</v>
      </c>
      <c r="AK719" s="794" t="str">
        <f t="shared" si="1435"/>
        <v>COUT-TOPKICK 6/7/8</v>
      </c>
      <c r="AL719" s="794">
        <f t="array" ref="AL719">IFERROR(INDEX(G719:R719,1,MATCH(Parametres!$B$3,G$1:R$1,0)-1)*IF(OR(F719="L",F719="S",F719="I"),-1,1),"")</f>
        <v>0</v>
      </c>
      <c r="AM719" s="794">
        <f t="shared" si="4"/>
        <v>0</v>
      </c>
      <c r="AN719" s="794">
        <f t="array" ref="AN719">INDEX(G719:R719,1,MATCH(Parametres!$B$3,G$1:R$1,0))*IF(OR(F719="L",F719="S",F719="I"),-1,1)</f>
        <v>0</v>
      </c>
      <c r="AO719" s="853" t="str">
        <f>+VLOOKUP($AJ719,Data_Validation!$A:$D,1,0)</f>
        <v>#N/A</v>
      </c>
      <c r="AP719" s="853" t="str">
        <f>+VLOOKUP($AJ719,Data_Validation!$A:$D,3,0)</f>
        <v>#N/A</v>
      </c>
      <c r="AQ719" s="853" t="str">
        <f>+VLOOKUP($AJ719,Data_Validation!$A:$D,4,0)</f>
        <v>#N/A</v>
      </c>
      <c r="AR719" s="853" t="s">
        <v>728</v>
      </c>
      <c r="AS719" s="853" t="str">
        <f>+VLOOKUP($AJ719,Data_Validation!$A:$E,5,0)</f>
        <v>#N/A</v>
      </c>
      <c r="AT719" s="794" t="str">
        <f t="shared" ref="AT719:AU719" si="1436">C719</f>
        <v>G62512</v>
      </c>
      <c r="AU719" s="854" t="str">
        <f t="shared" si="1436"/>
        <v>COUT-TOPKICK 6/7/8</v>
      </c>
      <c r="AV719" s="794">
        <f t="array" ref="AV719">IFERROR(INDEX(V719:AG719,1,MATCH(Parametres!$B$3,V$1:AG$1,0)-1)*IF(OR(C719="L",C719="S",C719="I"),-1,1),"")</f>
        <v>0</v>
      </c>
      <c r="AW719" s="794">
        <f t="shared" si="6"/>
        <v>0</v>
      </c>
      <c r="AX719" s="794">
        <f t="array" ref="AX719">INDEX(V719:AG719,1,MATCH(Parametres!$B$3,V$1:AG$1,0))*IF(OR(C719="L",C719="S",C719="I"),-1,1)</f>
        <v>0</v>
      </c>
      <c r="AY719" s="853" t="s">
        <v>772</v>
      </c>
      <c r="AZ719" s="853" t="str">
        <f>+VLOOKUP($AJ719,Data_Validation!$A:$E,5,0)</f>
        <v>#N/A</v>
      </c>
    </row>
    <row r="720" ht="15.0" customHeight="1">
      <c r="A720" s="849" t="s">
        <v>1239</v>
      </c>
      <c r="B720" s="849">
        <v>2025.0</v>
      </c>
      <c r="C720" s="849" t="s">
        <v>2944</v>
      </c>
      <c r="D720" s="849" t="s">
        <v>2945</v>
      </c>
      <c r="E720" s="849" t="s">
        <v>2072</v>
      </c>
      <c r="F720" s="849" t="s">
        <v>2855</v>
      </c>
      <c r="G720" s="849">
        <v>0.0</v>
      </c>
      <c r="H720" s="849">
        <v>0.0</v>
      </c>
      <c r="I720" s="849">
        <v>0.0</v>
      </c>
      <c r="J720" s="849">
        <v>0.0</v>
      </c>
      <c r="K720" s="849">
        <v>0.0</v>
      </c>
      <c r="L720" s="849">
        <v>0.0</v>
      </c>
      <c r="M720" s="849">
        <v>0.0</v>
      </c>
      <c r="N720" s="849">
        <v>0.0</v>
      </c>
      <c r="O720" s="849">
        <v>0.0</v>
      </c>
      <c r="P720" s="849">
        <v>0.0</v>
      </c>
      <c r="Q720" s="849">
        <v>0.0</v>
      </c>
      <c r="R720" s="849">
        <v>0.0</v>
      </c>
      <c r="S720" s="849">
        <v>0.0</v>
      </c>
      <c r="T720" s="849">
        <v>0.0</v>
      </c>
      <c r="U720" s="849">
        <v>0.0</v>
      </c>
      <c r="V720" s="849">
        <v>0.0</v>
      </c>
      <c r="W720" s="849">
        <v>0.0</v>
      </c>
      <c r="X720" s="849">
        <v>0.0</v>
      </c>
      <c r="Y720" s="849">
        <v>0.0</v>
      </c>
      <c r="Z720" s="849">
        <v>0.0</v>
      </c>
      <c r="AA720" s="849">
        <v>0.0</v>
      </c>
      <c r="AB720" s="849">
        <v>0.0</v>
      </c>
      <c r="AC720" s="849">
        <v>0.0</v>
      </c>
      <c r="AD720" s="849">
        <v>0.0</v>
      </c>
      <c r="AE720" s="849">
        <v>0.0</v>
      </c>
      <c r="AF720" s="849">
        <v>0.0</v>
      </c>
      <c r="AG720" s="849">
        <v>0.0</v>
      </c>
      <c r="AH720" s="849">
        <v>0.0</v>
      </c>
      <c r="AI720" s="849">
        <v>0.0</v>
      </c>
      <c r="AJ720" s="794" t="str">
        <f t="shared" ref="AJ720:AK720" si="1437">C720</f>
        <v>G62520</v>
      </c>
      <c r="AK720" s="794" t="str">
        <f t="shared" si="1437"/>
        <v>COUT-G EXPRESS       -LOC</v>
      </c>
      <c r="AL720" s="794">
        <f t="array" ref="AL720">IFERROR(INDEX(G720:R720,1,MATCH(Parametres!$B$3,G$1:R$1,0)-1)*IF(OR(F720="L",F720="S",F720="I"),-1,1),"")</f>
        <v>0</v>
      </c>
      <c r="AM720" s="794">
        <f t="shared" si="4"/>
        <v>0</v>
      </c>
      <c r="AN720" s="794">
        <f t="array" ref="AN720">INDEX(G720:R720,1,MATCH(Parametres!$B$3,G$1:R$1,0))*IF(OR(F720="L",F720="S",F720="I"),-1,1)</f>
        <v>0</v>
      </c>
      <c r="AO720" s="853" t="str">
        <f>+VLOOKUP($AJ720,Data_Validation!$A:$D,1,0)</f>
        <v>#N/A</v>
      </c>
      <c r="AP720" s="853" t="str">
        <f>+VLOOKUP($AJ720,Data_Validation!$A:$D,3,0)</f>
        <v>#N/A</v>
      </c>
      <c r="AQ720" s="853" t="str">
        <f>+VLOOKUP($AJ720,Data_Validation!$A:$D,4,0)</f>
        <v>#N/A</v>
      </c>
      <c r="AR720" s="853" t="s">
        <v>728</v>
      </c>
      <c r="AS720" s="853" t="str">
        <f>+VLOOKUP($AJ720,Data_Validation!$A:$E,5,0)</f>
        <v>#N/A</v>
      </c>
      <c r="AT720" s="794" t="str">
        <f t="shared" ref="AT720:AU720" si="1438">C720</f>
        <v>G62520</v>
      </c>
      <c r="AU720" s="854" t="str">
        <f t="shared" si="1438"/>
        <v>COUT-G EXPRESS       -LOC</v>
      </c>
      <c r="AV720" s="794">
        <f t="array" ref="AV720">IFERROR(INDEX(V720:AG720,1,MATCH(Parametres!$B$3,V$1:AG$1,0)-1)*IF(OR(C720="L",C720="S",C720="I"),-1,1),"")</f>
        <v>0</v>
      </c>
      <c r="AW720" s="794">
        <f t="shared" si="6"/>
        <v>0</v>
      </c>
      <c r="AX720" s="794">
        <f t="array" ref="AX720">INDEX(V720:AG720,1,MATCH(Parametres!$B$3,V$1:AG$1,0))*IF(OR(C720="L",C720="S",C720="I"),-1,1)</f>
        <v>0</v>
      </c>
      <c r="AY720" s="853" t="s">
        <v>772</v>
      </c>
      <c r="AZ720" s="853" t="str">
        <f>+VLOOKUP($AJ720,Data_Validation!$A:$E,5,0)</f>
        <v>#N/A</v>
      </c>
    </row>
    <row r="721" ht="15.0" customHeight="1">
      <c r="A721" s="849" t="s">
        <v>1239</v>
      </c>
      <c r="B721" s="849">
        <v>2025.0</v>
      </c>
      <c r="C721" s="849" t="s">
        <v>2946</v>
      </c>
      <c r="D721" s="849" t="s">
        <v>2947</v>
      </c>
      <c r="E721" s="849" t="s">
        <v>2072</v>
      </c>
      <c r="F721" s="849" t="s">
        <v>2855</v>
      </c>
      <c r="G721" s="849">
        <v>0.0</v>
      </c>
      <c r="H721" s="849">
        <v>0.0</v>
      </c>
      <c r="I721" s="849">
        <v>122776.14</v>
      </c>
      <c r="J721" s="849">
        <v>174871.43</v>
      </c>
      <c r="K721" s="849">
        <v>234978.29</v>
      </c>
      <c r="L721" s="849">
        <v>414453.04</v>
      </c>
      <c r="M721" s="849">
        <v>470546.68</v>
      </c>
      <c r="N721" s="849">
        <v>522016.33</v>
      </c>
      <c r="O721" s="849">
        <v>574367.27</v>
      </c>
      <c r="P721" s="849">
        <v>644986.6</v>
      </c>
      <c r="Q721" s="849">
        <v>701545.57</v>
      </c>
      <c r="R721" s="849">
        <v>701545.57</v>
      </c>
      <c r="S721" s="849">
        <v>63776.87</v>
      </c>
      <c r="T721" s="849">
        <v>63776.87</v>
      </c>
      <c r="U721" s="849">
        <v>0.0</v>
      </c>
      <c r="V721" s="849">
        <v>0.0</v>
      </c>
      <c r="W721" s="849">
        <v>0.0</v>
      </c>
      <c r="X721" s="849">
        <v>0.0</v>
      </c>
      <c r="Y721" s="849">
        <v>0.0</v>
      </c>
      <c r="Z721" s="849">
        <v>0.0</v>
      </c>
      <c r="AA721" s="849">
        <v>0.0</v>
      </c>
      <c r="AB721" s="849">
        <v>0.0</v>
      </c>
      <c r="AC721" s="849">
        <v>0.0</v>
      </c>
      <c r="AD721" s="849">
        <v>0.0</v>
      </c>
      <c r="AE721" s="849">
        <v>0.0</v>
      </c>
      <c r="AF721" s="849">
        <v>0.0</v>
      </c>
      <c r="AG721" s="849">
        <v>0.0</v>
      </c>
      <c r="AH721" s="849">
        <v>0.0</v>
      </c>
      <c r="AI721" s="849">
        <v>0.0</v>
      </c>
      <c r="AJ721" s="794" t="str">
        <f t="shared" ref="AJ721:AK721" si="1439">C721</f>
        <v>G62600</v>
      </c>
      <c r="AK721" s="794" t="str">
        <f t="shared" si="1439"/>
        <v>COUT-SPICKUP/COLORADO</v>
      </c>
      <c r="AL721" s="794">
        <f t="array" ref="AL721">IFERROR(INDEX(G721:R721,1,MATCH(Parametres!$B$3,G$1:R$1,0)-1)*IF(OR(F721="L",F721="S",F721="I"),-1,1),"")</f>
        <v>522016.33</v>
      </c>
      <c r="AM721" s="794">
        <f t="shared" si="4"/>
        <v>52350.94</v>
      </c>
      <c r="AN721" s="794">
        <f t="array" ref="AN721">INDEX(G721:R721,1,MATCH(Parametres!$B$3,G$1:R$1,0))*IF(OR(F721="L",F721="S",F721="I"),-1,1)</f>
        <v>574367.27</v>
      </c>
      <c r="AO721" s="853" t="str">
        <f>+VLOOKUP($AJ721,Data_Validation!$A:$D,1,0)</f>
        <v>G62600</v>
      </c>
      <c r="AP721" s="853" t="str">
        <f>+VLOOKUP($AJ721,Data_Validation!$A:$D,3,0)</f>
        <v>Véhicules neufs</v>
      </c>
      <c r="AQ721" s="853" t="str">
        <f>+VLOOKUP($AJ721,Data_Validation!$A:$D,4,0)</f>
        <v>Camions détail</v>
      </c>
      <c r="AR721" s="853" t="s">
        <v>728</v>
      </c>
      <c r="AS721" s="853" t="str">
        <f>+VLOOKUP($AJ721,Data_Validation!$A:$E,5,0)</f>
        <v/>
      </c>
      <c r="AT721" s="794" t="str">
        <f t="shared" ref="AT721:AU721" si="1440">C721</f>
        <v>G62600</v>
      </c>
      <c r="AU721" s="854" t="str">
        <f t="shared" si="1440"/>
        <v>COUT-SPICKUP/COLORADO</v>
      </c>
      <c r="AV721" s="794">
        <f t="array" ref="AV721">IFERROR(INDEX(V721:AG721,1,MATCH(Parametres!$B$3,V$1:AG$1,0)-1)*IF(OR(C721="L",C721="S",C721="I"),-1,1),"")</f>
        <v>0</v>
      </c>
      <c r="AW721" s="794">
        <f t="shared" si="6"/>
        <v>0</v>
      </c>
      <c r="AX721" s="794">
        <f t="array" ref="AX721">INDEX(V721:AG721,1,MATCH(Parametres!$B$3,V$1:AG$1,0))*IF(OR(C721="L",C721="S",C721="I"),-1,1)</f>
        <v>0</v>
      </c>
      <c r="AY721" s="853" t="s">
        <v>772</v>
      </c>
      <c r="AZ721" s="853" t="str">
        <f>+VLOOKUP($AJ721,Data_Validation!$A:$E,5,0)</f>
        <v/>
      </c>
    </row>
    <row r="722" ht="15.0" customHeight="1">
      <c r="A722" s="849" t="s">
        <v>1239</v>
      </c>
      <c r="B722" s="849">
        <v>2025.0</v>
      </c>
      <c r="C722" s="849" t="s">
        <v>2948</v>
      </c>
      <c r="D722" s="849" t="s">
        <v>2877</v>
      </c>
      <c r="E722" s="849" t="s">
        <v>2072</v>
      </c>
      <c r="F722" s="849" t="s">
        <v>2855</v>
      </c>
      <c r="G722" s="849">
        <v>104461.68</v>
      </c>
      <c r="H722" s="849">
        <v>104461.68</v>
      </c>
      <c r="I722" s="849">
        <v>158892.51</v>
      </c>
      <c r="J722" s="849">
        <v>158892.51</v>
      </c>
      <c r="K722" s="849">
        <v>213024.51</v>
      </c>
      <c r="L722" s="849">
        <v>267706.51</v>
      </c>
      <c r="M722" s="849">
        <v>377162.96</v>
      </c>
      <c r="N722" s="849">
        <v>433758.16</v>
      </c>
      <c r="O722" s="849">
        <v>493831.32</v>
      </c>
      <c r="P722" s="849">
        <v>493831.32</v>
      </c>
      <c r="Q722" s="849">
        <v>561687.65</v>
      </c>
      <c r="R722" s="849">
        <v>561687.65</v>
      </c>
      <c r="S722" s="849">
        <v>51062.51</v>
      </c>
      <c r="T722" s="849">
        <v>51062.51</v>
      </c>
      <c r="U722" s="849">
        <v>0.0</v>
      </c>
      <c r="V722" s="849">
        <v>0.0</v>
      </c>
      <c r="W722" s="849">
        <v>0.0</v>
      </c>
      <c r="X722" s="849">
        <v>0.0</v>
      </c>
      <c r="Y722" s="849">
        <v>0.0</v>
      </c>
      <c r="Z722" s="849">
        <v>0.0</v>
      </c>
      <c r="AA722" s="849">
        <v>0.0</v>
      </c>
      <c r="AB722" s="849">
        <v>0.0</v>
      </c>
      <c r="AC722" s="849">
        <v>0.0</v>
      </c>
      <c r="AD722" s="849">
        <v>0.0</v>
      </c>
      <c r="AE722" s="849">
        <v>0.0</v>
      </c>
      <c r="AF722" s="849">
        <v>0.0</v>
      </c>
      <c r="AG722" s="849">
        <v>0.0</v>
      </c>
      <c r="AH722" s="849">
        <v>0.0</v>
      </c>
      <c r="AI722" s="849">
        <v>0.0</v>
      </c>
      <c r="AJ722" s="794" t="str">
        <f t="shared" ref="AJ722:AK722" si="1441">C722</f>
        <v>G62602</v>
      </c>
      <c r="AK722" s="794" t="str">
        <f t="shared" si="1441"/>
        <v>COUT - GMC CANYON</v>
      </c>
      <c r="AL722" s="794">
        <f t="array" ref="AL722">IFERROR(INDEX(G722:R722,1,MATCH(Parametres!$B$3,G$1:R$1,0)-1)*IF(OR(F722="L",F722="S",F722="I"),-1,1),"")</f>
        <v>433758.16</v>
      </c>
      <c r="AM722" s="794">
        <f t="shared" si="4"/>
        <v>60073.16</v>
      </c>
      <c r="AN722" s="794">
        <f t="array" ref="AN722">INDEX(G722:R722,1,MATCH(Parametres!$B$3,G$1:R$1,0))*IF(OR(F722="L",F722="S",F722="I"),-1,1)</f>
        <v>493831.32</v>
      </c>
      <c r="AO722" s="853" t="str">
        <f>+VLOOKUP($AJ722,Data_Validation!$A:$D,1,0)</f>
        <v>G62602</v>
      </c>
      <c r="AP722" s="853" t="str">
        <f>+VLOOKUP($AJ722,Data_Validation!$A:$D,3,0)</f>
        <v>Véhicules neufs</v>
      </c>
      <c r="AQ722" s="853" t="str">
        <f>+VLOOKUP($AJ722,Data_Validation!$A:$D,4,0)</f>
        <v>Camions détail</v>
      </c>
      <c r="AR722" s="853" t="s">
        <v>728</v>
      </c>
      <c r="AS722" s="853" t="str">
        <f>+VLOOKUP($AJ722,Data_Validation!$A:$E,5,0)</f>
        <v/>
      </c>
      <c r="AT722" s="794" t="str">
        <f t="shared" ref="AT722:AU722" si="1442">C722</f>
        <v>G62602</v>
      </c>
      <c r="AU722" s="854" t="str">
        <f t="shared" si="1442"/>
        <v>COUT - GMC CANYON</v>
      </c>
      <c r="AV722" s="794">
        <f t="array" ref="AV722">IFERROR(INDEX(V722:AG722,1,MATCH(Parametres!$B$3,V$1:AG$1,0)-1)*IF(OR(C722="L",C722="S",C722="I"),-1,1),"")</f>
        <v>0</v>
      </c>
      <c r="AW722" s="794">
        <f t="shared" si="6"/>
        <v>0</v>
      </c>
      <c r="AX722" s="794">
        <f t="array" ref="AX722">INDEX(V722:AG722,1,MATCH(Parametres!$B$3,V$1:AG$1,0))*IF(OR(C722="L",C722="S",C722="I"),-1,1)</f>
        <v>0</v>
      </c>
      <c r="AY722" s="853" t="s">
        <v>772</v>
      </c>
      <c r="AZ722" s="853" t="str">
        <f>+VLOOKUP($AJ722,Data_Validation!$A:$E,5,0)</f>
        <v/>
      </c>
    </row>
    <row r="723" ht="15.0" customHeight="1">
      <c r="A723" s="849" t="s">
        <v>1239</v>
      </c>
      <c r="B723" s="849">
        <v>2025.0</v>
      </c>
      <c r="C723" s="849" t="s">
        <v>2949</v>
      </c>
      <c r="D723" s="849" t="s">
        <v>2950</v>
      </c>
      <c r="E723" s="849" t="s">
        <v>2072</v>
      </c>
      <c r="F723" s="849" t="s">
        <v>2855</v>
      </c>
      <c r="G723" s="849">
        <v>0.0</v>
      </c>
      <c r="H723" s="849">
        <v>0.0</v>
      </c>
      <c r="I723" s="849">
        <v>169841.63</v>
      </c>
      <c r="J723" s="849">
        <v>214587.07</v>
      </c>
      <c r="K723" s="849">
        <v>306829.92</v>
      </c>
      <c r="L723" s="849">
        <v>306829.92</v>
      </c>
      <c r="M723" s="849">
        <v>306829.92</v>
      </c>
      <c r="N723" s="849">
        <v>356866.17</v>
      </c>
      <c r="O723" s="849">
        <v>406583.07</v>
      </c>
      <c r="P723" s="849">
        <v>459592.57</v>
      </c>
      <c r="Q723" s="849">
        <v>509958.33</v>
      </c>
      <c r="R723" s="849">
        <v>616348.08</v>
      </c>
      <c r="S723" s="849">
        <v>46359.85</v>
      </c>
      <c r="T723" s="849">
        <v>46359.85</v>
      </c>
      <c r="U723" s="849">
        <v>0.0</v>
      </c>
      <c r="V723" s="849">
        <v>0.0</v>
      </c>
      <c r="W723" s="849">
        <v>0.0</v>
      </c>
      <c r="X723" s="849">
        <v>0.0</v>
      </c>
      <c r="Y723" s="849">
        <v>0.0</v>
      </c>
      <c r="Z723" s="849">
        <v>0.0</v>
      </c>
      <c r="AA723" s="849">
        <v>0.0</v>
      </c>
      <c r="AB723" s="849">
        <v>0.0</v>
      </c>
      <c r="AC723" s="849">
        <v>0.0</v>
      </c>
      <c r="AD723" s="849">
        <v>0.0</v>
      </c>
      <c r="AE723" s="849">
        <v>0.0</v>
      </c>
      <c r="AF723" s="849">
        <v>0.0</v>
      </c>
      <c r="AG723" s="849">
        <v>0.0</v>
      </c>
      <c r="AH723" s="849">
        <v>0.0</v>
      </c>
      <c r="AI723" s="849">
        <v>0.0</v>
      </c>
      <c r="AJ723" s="794" t="str">
        <f t="shared" ref="AJ723:AK723" si="1443">C723</f>
        <v>G62612</v>
      </c>
      <c r="AK723" s="794" t="str">
        <f t="shared" si="1443"/>
        <v>COUT-BUICK ENVISION</v>
      </c>
      <c r="AL723" s="794">
        <f t="array" ref="AL723">IFERROR(INDEX(G723:R723,1,MATCH(Parametres!$B$3,G$1:R$1,0)-1)*IF(OR(F723="L",F723="S",F723="I"),-1,1),"")</f>
        <v>356866.17</v>
      </c>
      <c r="AM723" s="794">
        <f t="shared" si="4"/>
        <v>49716.9</v>
      </c>
      <c r="AN723" s="794">
        <f t="array" ref="AN723">INDEX(G723:R723,1,MATCH(Parametres!$B$3,G$1:R$1,0))*IF(OR(F723="L",F723="S",F723="I"),-1,1)</f>
        <v>406583.07</v>
      </c>
      <c r="AO723" s="853" t="str">
        <f>+VLOOKUP($AJ723,Data_Validation!$A:$D,1,0)</f>
        <v>G62612</v>
      </c>
      <c r="AP723" s="853" t="str">
        <f>+VLOOKUP($AJ723,Data_Validation!$A:$D,3,0)</f>
        <v>Véhicules neufs</v>
      </c>
      <c r="AQ723" s="853" t="str">
        <f>+VLOOKUP($AJ723,Data_Validation!$A:$D,4,0)</f>
        <v>Camions détail</v>
      </c>
      <c r="AR723" s="853" t="s">
        <v>728</v>
      </c>
      <c r="AS723" s="853" t="str">
        <f>+VLOOKUP($AJ723,Data_Validation!$A:$E,5,0)</f>
        <v/>
      </c>
      <c r="AT723" s="794" t="str">
        <f t="shared" ref="AT723:AU723" si="1444">C723</f>
        <v>G62612</v>
      </c>
      <c r="AU723" s="854" t="str">
        <f t="shared" si="1444"/>
        <v>COUT-BUICK ENVISION</v>
      </c>
      <c r="AV723" s="794">
        <f t="array" ref="AV723">IFERROR(INDEX(V723:AG723,1,MATCH(Parametres!$B$3,V$1:AG$1,0)-1)*IF(OR(C723="L",C723="S",C723="I"),-1,1),"")</f>
        <v>0</v>
      </c>
      <c r="AW723" s="794">
        <f t="shared" si="6"/>
        <v>0</v>
      </c>
      <c r="AX723" s="794">
        <f t="array" ref="AX723">INDEX(V723:AG723,1,MATCH(Parametres!$B$3,V$1:AG$1,0))*IF(OR(C723="L",C723="S",C723="I"),-1,1)</f>
        <v>0</v>
      </c>
      <c r="AY723" s="853" t="s">
        <v>772</v>
      </c>
      <c r="AZ723" s="853" t="str">
        <f>+VLOOKUP($AJ723,Data_Validation!$A:$E,5,0)</f>
        <v/>
      </c>
    </row>
    <row r="724" ht="15.0" customHeight="1">
      <c r="A724" s="849" t="s">
        <v>1239</v>
      </c>
      <c r="B724" s="849">
        <v>2025.0</v>
      </c>
      <c r="C724" s="849" t="s">
        <v>2951</v>
      </c>
      <c r="D724" s="849" t="s">
        <v>2952</v>
      </c>
      <c r="E724" s="849" t="s">
        <v>2072</v>
      </c>
      <c r="F724" s="849" t="s">
        <v>2855</v>
      </c>
      <c r="G724" s="849">
        <v>31955.04</v>
      </c>
      <c r="H724" s="849">
        <v>64547.04</v>
      </c>
      <c r="I724" s="849">
        <v>94623.28</v>
      </c>
      <c r="J724" s="849">
        <v>162071.6</v>
      </c>
      <c r="K724" s="849">
        <v>326858.72</v>
      </c>
      <c r="L724" s="849">
        <v>326858.72</v>
      </c>
      <c r="M724" s="849">
        <v>419389.04</v>
      </c>
      <c r="N724" s="849">
        <v>481836.04</v>
      </c>
      <c r="O724" s="849">
        <v>512296.54</v>
      </c>
      <c r="P724" s="849">
        <v>611875.81</v>
      </c>
      <c r="Q724" s="849">
        <v>712987.96</v>
      </c>
      <c r="R724" s="849">
        <v>782141.61</v>
      </c>
      <c r="S724" s="849">
        <v>64817.09</v>
      </c>
      <c r="T724" s="849">
        <v>64817.09</v>
      </c>
      <c r="U724" s="849">
        <v>0.0</v>
      </c>
      <c r="V724" s="849">
        <v>0.0</v>
      </c>
      <c r="W724" s="849">
        <v>0.0</v>
      </c>
      <c r="X724" s="849">
        <v>0.0</v>
      </c>
      <c r="Y724" s="849">
        <v>0.0</v>
      </c>
      <c r="Z724" s="849">
        <v>0.0</v>
      </c>
      <c r="AA724" s="849">
        <v>0.0</v>
      </c>
      <c r="AB724" s="849">
        <v>0.0</v>
      </c>
      <c r="AC724" s="849">
        <v>0.0</v>
      </c>
      <c r="AD724" s="849">
        <v>0.0</v>
      </c>
      <c r="AE724" s="849">
        <v>0.0</v>
      </c>
      <c r="AF724" s="849">
        <v>0.0</v>
      </c>
      <c r="AG724" s="849">
        <v>0.0</v>
      </c>
      <c r="AH724" s="849">
        <v>0.0</v>
      </c>
      <c r="AI724" s="849">
        <v>0.0</v>
      </c>
      <c r="AJ724" s="794" t="str">
        <f t="shared" ref="AJ724:AK724" si="1445">C724</f>
        <v>G62613</v>
      </c>
      <c r="AK724" s="794" t="str">
        <f t="shared" si="1445"/>
        <v>COUT-BUICK ENVISTA</v>
      </c>
      <c r="AL724" s="794">
        <f t="array" ref="AL724">IFERROR(INDEX(G724:R724,1,MATCH(Parametres!$B$3,G$1:R$1,0)-1)*IF(OR(F724="L",F724="S",F724="I"),-1,1),"")</f>
        <v>481836.04</v>
      </c>
      <c r="AM724" s="794">
        <f t="shared" si="4"/>
        <v>30460.5</v>
      </c>
      <c r="AN724" s="794">
        <f t="array" ref="AN724">INDEX(G724:R724,1,MATCH(Parametres!$B$3,G$1:R$1,0))*IF(OR(F724="L",F724="S",F724="I"),-1,1)</f>
        <v>512296.54</v>
      </c>
      <c r="AO724" s="853" t="str">
        <f>+VLOOKUP($AJ724,Data_Validation!$A:$D,1,0)</f>
        <v>G62613</v>
      </c>
      <c r="AP724" s="853" t="str">
        <f>+VLOOKUP($AJ724,Data_Validation!$A:$D,3,0)</f>
        <v>Véhicules neufs</v>
      </c>
      <c r="AQ724" s="853" t="str">
        <f>+VLOOKUP($AJ724,Data_Validation!$A:$D,4,0)</f>
        <v>Camions détail</v>
      </c>
      <c r="AR724" s="853" t="s">
        <v>728</v>
      </c>
      <c r="AS724" s="853" t="str">
        <f>+VLOOKUP($AJ724,Data_Validation!$A:$E,5,0)</f>
        <v/>
      </c>
      <c r="AT724" s="794" t="str">
        <f t="shared" ref="AT724:AU724" si="1446">C724</f>
        <v>G62613</v>
      </c>
      <c r="AU724" s="854" t="str">
        <f t="shared" si="1446"/>
        <v>COUT-BUICK ENVISTA</v>
      </c>
      <c r="AV724" s="794">
        <f t="array" ref="AV724">IFERROR(INDEX(V724:AG724,1,MATCH(Parametres!$B$3,V$1:AG$1,0)-1)*IF(OR(C724="L",C724="S",C724="I"),-1,1),"")</f>
        <v>0</v>
      </c>
      <c r="AW724" s="794">
        <f t="shared" si="6"/>
        <v>0</v>
      </c>
      <c r="AX724" s="794">
        <f t="array" ref="AX724">INDEX(V724:AG724,1,MATCH(Parametres!$B$3,V$1:AG$1,0))*IF(OR(C724="L",C724="S",C724="I"),-1,1)</f>
        <v>0</v>
      </c>
      <c r="AY724" s="853" t="s">
        <v>772</v>
      </c>
      <c r="AZ724" s="853" t="str">
        <f>+VLOOKUP($AJ724,Data_Validation!$A:$E,5,0)</f>
        <v/>
      </c>
    </row>
    <row r="725" ht="15.0" customHeight="1">
      <c r="A725" s="849" t="s">
        <v>1239</v>
      </c>
      <c r="B725" s="849">
        <v>2025.0</v>
      </c>
      <c r="C725" s="849" t="s">
        <v>2953</v>
      </c>
      <c r="D725" s="849" t="s">
        <v>2954</v>
      </c>
      <c r="E725" s="849" t="s">
        <v>2072</v>
      </c>
      <c r="F725" s="849" t="s">
        <v>2855</v>
      </c>
      <c r="G725" s="849">
        <v>0.0</v>
      </c>
      <c r="H725" s="849">
        <v>0.0</v>
      </c>
      <c r="I725" s="849">
        <v>0.0</v>
      </c>
      <c r="J725" s="849">
        <v>0.0</v>
      </c>
      <c r="K725" s="849">
        <v>0.0</v>
      </c>
      <c r="L725" s="849">
        <v>0.0</v>
      </c>
      <c r="M725" s="849">
        <v>0.0</v>
      </c>
      <c r="N725" s="849">
        <v>0.0</v>
      </c>
      <c r="O725" s="849">
        <v>0.0</v>
      </c>
      <c r="P725" s="849">
        <v>0.0</v>
      </c>
      <c r="Q725" s="849">
        <v>0.0</v>
      </c>
      <c r="R725" s="849">
        <v>0.0</v>
      </c>
      <c r="S725" s="849">
        <v>0.0</v>
      </c>
      <c r="T725" s="849">
        <v>0.0</v>
      </c>
      <c r="U725" s="849">
        <v>0.0</v>
      </c>
      <c r="V725" s="849">
        <v>0.0</v>
      </c>
      <c r="W725" s="849">
        <v>0.0</v>
      </c>
      <c r="X725" s="849">
        <v>0.0</v>
      </c>
      <c r="Y725" s="849">
        <v>0.0</v>
      </c>
      <c r="Z725" s="849">
        <v>0.0</v>
      </c>
      <c r="AA725" s="849">
        <v>0.0</v>
      </c>
      <c r="AB725" s="849">
        <v>0.0</v>
      </c>
      <c r="AC725" s="849">
        <v>0.0</v>
      </c>
      <c r="AD725" s="849">
        <v>0.0</v>
      </c>
      <c r="AE725" s="849">
        <v>0.0</v>
      </c>
      <c r="AF725" s="849">
        <v>0.0</v>
      </c>
      <c r="AG725" s="849">
        <v>0.0</v>
      </c>
      <c r="AH725" s="849">
        <v>0.0</v>
      </c>
      <c r="AI725" s="849">
        <v>0.0</v>
      </c>
      <c r="AJ725" s="794" t="str">
        <f t="shared" ref="AJ725:AK725" si="1447">C725</f>
        <v>G62620</v>
      </c>
      <c r="AK725" s="794" t="str">
        <f t="shared" si="1447"/>
        <v>COUT-SPICKUP/COLORADO-LOC</v>
      </c>
      <c r="AL725" s="794">
        <f t="array" ref="AL725">IFERROR(INDEX(G725:R725,1,MATCH(Parametres!$B$3,G$1:R$1,0)-1)*IF(OR(F725="L",F725="S",F725="I"),-1,1),"")</f>
        <v>0</v>
      </c>
      <c r="AM725" s="794">
        <f t="shared" si="4"/>
        <v>0</v>
      </c>
      <c r="AN725" s="794">
        <f t="array" ref="AN725">INDEX(G725:R725,1,MATCH(Parametres!$B$3,G$1:R$1,0))*IF(OR(F725="L",F725="S",F725="I"),-1,1)</f>
        <v>0</v>
      </c>
      <c r="AO725" s="853" t="str">
        <f>+VLOOKUP($AJ725,Data_Validation!$A:$D,1,0)</f>
        <v>#N/A</v>
      </c>
      <c r="AP725" s="853" t="str">
        <f>+VLOOKUP($AJ725,Data_Validation!$A:$D,3,0)</f>
        <v>#N/A</v>
      </c>
      <c r="AQ725" s="853" t="str">
        <f>+VLOOKUP($AJ725,Data_Validation!$A:$D,4,0)</f>
        <v>#N/A</v>
      </c>
      <c r="AR725" s="853" t="s">
        <v>728</v>
      </c>
      <c r="AS725" s="853" t="str">
        <f>+VLOOKUP($AJ725,Data_Validation!$A:$E,5,0)</f>
        <v>#N/A</v>
      </c>
      <c r="AT725" s="794" t="str">
        <f t="shared" ref="AT725:AU725" si="1448">C725</f>
        <v>G62620</v>
      </c>
      <c r="AU725" s="854" t="str">
        <f t="shared" si="1448"/>
        <v>COUT-SPICKUP/COLORADO-LOC</v>
      </c>
      <c r="AV725" s="794">
        <f t="array" ref="AV725">IFERROR(INDEX(V725:AG725,1,MATCH(Parametres!$B$3,V$1:AG$1,0)-1)*IF(OR(C725="L",C725="S",C725="I"),-1,1),"")</f>
        <v>0</v>
      </c>
      <c r="AW725" s="794">
        <f t="shared" si="6"/>
        <v>0</v>
      </c>
      <c r="AX725" s="794">
        <f t="array" ref="AX725">INDEX(V725:AG725,1,MATCH(Parametres!$B$3,V$1:AG$1,0))*IF(OR(C725="L",C725="S",C725="I"),-1,1)</f>
        <v>0</v>
      </c>
      <c r="AY725" s="853" t="s">
        <v>772</v>
      </c>
      <c r="AZ725" s="853" t="str">
        <f>+VLOOKUP($AJ725,Data_Validation!$A:$E,5,0)</f>
        <v>#N/A</v>
      </c>
    </row>
    <row r="726" ht="15.0" customHeight="1">
      <c r="A726" s="849" t="s">
        <v>1239</v>
      </c>
      <c r="B726" s="849">
        <v>2025.0</v>
      </c>
      <c r="C726" s="849" t="s">
        <v>2955</v>
      </c>
      <c r="D726" s="849" t="s">
        <v>2956</v>
      </c>
      <c r="E726" s="849" t="s">
        <v>2072</v>
      </c>
      <c r="F726" s="849" t="s">
        <v>2855</v>
      </c>
      <c r="G726" s="849">
        <v>0.0</v>
      </c>
      <c r="H726" s="849">
        <v>57382.07</v>
      </c>
      <c r="I726" s="849">
        <v>112334.47</v>
      </c>
      <c r="J726" s="849">
        <v>112883.56</v>
      </c>
      <c r="K726" s="849">
        <v>112883.56</v>
      </c>
      <c r="L726" s="849">
        <v>112883.56</v>
      </c>
      <c r="M726" s="849">
        <v>173423.06</v>
      </c>
      <c r="N726" s="849">
        <v>227357.06</v>
      </c>
      <c r="O726" s="849">
        <v>286095.06</v>
      </c>
      <c r="P726" s="849">
        <v>286095.06</v>
      </c>
      <c r="Q726" s="849">
        <v>353795.06</v>
      </c>
      <c r="R726" s="849">
        <v>542027.15</v>
      </c>
      <c r="S726" s="849">
        <v>32163.19</v>
      </c>
      <c r="T726" s="849">
        <v>32163.19</v>
      </c>
      <c r="U726" s="849">
        <v>0.0</v>
      </c>
      <c r="V726" s="849">
        <v>0.0</v>
      </c>
      <c r="W726" s="849">
        <v>0.0</v>
      </c>
      <c r="X726" s="849">
        <v>0.0</v>
      </c>
      <c r="Y726" s="849">
        <v>0.0</v>
      </c>
      <c r="Z726" s="849">
        <v>0.0</v>
      </c>
      <c r="AA726" s="849">
        <v>0.0</v>
      </c>
      <c r="AB726" s="849">
        <v>0.0</v>
      </c>
      <c r="AC726" s="849">
        <v>0.0</v>
      </c>
      <c r="AD726" s="849">
        <v>0.0</v>
      </c>
      <c r="AE726" s="849">
        <v>0.0</v>
      </c>
      <c r="AF726" s="849">
        <v>0.0</v>
      </c>
      <c r="AG726" s="849">
        <v>0.0</v>
      </c>
      <c r="AH726" s="849">
        <v>0.0</v>
      </c>
      <c r="AI726" s="849">
        <v>0.0</v>
      </c>
      <c r="AJ726" s="794" t="str">
        <f t="shared" ref="AJ726:AK726" si="1449">C726</f>
        <v>G62700</v>
      </c>
      <c r="AK726" s="794" t="str">
        <f t="shared" si="1449"/>
        <v>COUT-TRAVERSE</v>
      </c>
      <c r="AL726" s="794">
        <f t="array" ref="AL726">IFERROR(INDEX(G726:R726,1,MATCH(Parametres!$B$3,G$1:R$1,0)-1)*IF(OR(F726="L",F726="S",F726="I"),-1,1),"")</f>
        <v>227357.06</v>
      </c>
      <c r="AM726" s="794">
        <f t="shared" si="4"/>
        <v>58738</v>
      </c>
      <c r="AN726" s="794">
        <f t="array" ref="AN726">INDEX(G726:R726,1,MATCH(Parametres!$B$3,G$1:R$1,0))*IF(OR(F726="L",F726="S",F726="I"),-1,1)</f>
        <v>286095.06</v>
      </c>
      <c r="AO726" s="853" t="str">
        <f>+VLOOKUP($AJ726,Data_Validation!$A:$D,1,0)</f>
        <v>G62700</v>
      </c>
      <c r="AP726" s="853" t="str">
        <f>+VLOOKUP($AJ726,Data_Validation!$A:$D,3,0)</f>
        <v>Véhicules neufs</v>
      </c>
      <c r="AQ726" s="853" t="str">
        <f>+VLOOKUP($AJ726,Data_Validation!$A:$D,4,0)</f>
        <v>Camions détail</v>
      </c>
      <c r="AR726" s="853" t="s">
        <v>728</v>
      </c>
      <c r="AS726" s="853" t="str">
        <f>+VLOOKUP($AJ726,Data_Validation!$A:$E,5,0)</f>
        <v/>
      </c>
      <c r="AT726" s="794" t="str">
        <f t="shared" ref="AT726:AU726" si="1450">C726</f>
        <v>G62700</v>
      </c>
      <c r="AU726" s="854" t="str">
        <f t="shared" si="1450"/>
        <v>COUT-TRAVERSE</v>
      </c>
      <c r="AV726" s="794">
        <f t="array" ref="AV726">IFERROR(INDEX(V726:AG726,1,MATCH(Parametres!$B$3,V$1:AG$1,0)-1)*IF(OR(C726="L",C726="S",C726="I"),-1,1),"")</f>
        <v>0</v>
      </c>
      <c r="AW726" s="794">
        <f t="shared" si="6"/>
        <v>0</v>
      </c>
      <c r="AX726" s="794">
        <f t="array" ref="AX726">INDEX(V726:AG726,1,MATCH(Parametres!$B$3,V$1:AG$1,0))*IF(OR(C726="L",C726="S",C726="I"),-1,1)</f>
        <v>0</v>
      </c>
      <c r="AY726" s="853" t="s">
        <v>772</v>
      </c>
      <c r="AZ726" s="853" t="str">
        <f>+VLOOKUP($AJ726,Data_Validation!$A:$E,5,0)</f>
        <v/>
      </c>
    </row>
    <row r="727" ht="15.0" customHeight="1">
      <c r="A727" s="849" t="s">
        <v>1239</v>
      </c>
      <c r="B727" s="849">
        <v>2025.0</v>
      </c>
      <c r="C727" s="849" t="s">
        <v>2957</v>
      </c>
      <c r="D727" s="849" t="s">
        <v>2958</v>
      </c>
      <c r="E727" s="849" t="s">
        <v>2072</v>
      </c>
      <c r="F727" s="849" t="s">
        <v>2855</v>
      </c>
      <c r="G727" s="849">
        <v>0.0</v>
      </c>
      <c r="H727" s="849">
        <v>0.0</v>
      </c>
      <c r="I727" s="849">
        <v>0.0</v>
      </c>
      <c r="J727" s="849">
        <v>63346.8</v>
      </c>
      <c r="K727" s="849">
        <v>63346.8</v>
      </c>
      <c r="L727" s="849">
        <v>63346.8</v>
      </c>
      <c r="M727" s="849">
        <v>63346.8</v>
      </c>
      <c r="N727" s="849">
        <v>126187.8</v>
      </c>
      <c r="O727" s="849">
        <v>126187.8</v>
      </c>
      <c r="P727" s="849">
        <v>198584.0</v>
      </c>
      <c r="Q727" s="849">
        <v>259236.72</v>
      </c>
      <c r="R727" s="849">
        <v>259236.72</v>
      </c>
      <c r="S727" s="849">
        <v>23566.97</v>
      </c>
      <c r="T727" s="849">
        <v>23566.97</v>
      </c>
      <c r="U727" s="849">
        <v>0.0</v>
      </c>
      <c r="V727" s="849">
        <v>0.0</v>
      </c>
      <c r="W727" s="849">
        <v>0.0</v>
      </c>
      <c r="X727" s="849">
        <v>0.0</v>
      </c>
      <c r="Y727" s="849">
        <v>0.0</v>
      </c>
      <c r="Z727" s="849">
        <v>0.0</v>
      </c>
      <c r="AA727" s="849">
        <v>0.0</v>
      </c>
      <c r="AB727" s="849">
        <v>0.0</v>
      </c>
      <c r="AC727" s="849">
        <v>0.0</v>
      </c>
      <c r="AD727" s="849">
        <v>0.0</v>
      </c>
      <c r="AE727" s="849">
        <v>0.0</v>
      </c>
      <c r="AF727" s="849">
        <v>0.0</v>
      </c>
      <c r="AG727" s="849">
        <v>0.0</v>
      </c>
      <c r="AH727" s="849">
        <v>0.0</v>
      </c>
      <c r="AI727" s="849">
        <v>0.0</v>
      </c>
      <c r="AJ727" s="794" t="str">
        <f t="shared" ref="AJ727:AK727" si="1451">C727</f>
        <v>G62800</v>
      </c>
      <c r="AK727" s="794" t="str">
        <f t="shared" si="1451"/>
        <v>COÛTANT BUICK ENCLAVE</v>
      </c>
      <c r="AL727" s="794">
        <f t="array" ref="AL727">IFERROR(INDEX(G727:R727,1,MATCH(Parametres!$B$3,G$1:R$1,0)-1)*IF(OR(F727="L",F727="S",F727="I"),-1,1),"")</f>
        <v>126187.8</v>
      </c>
      <c r="AM727" s="794">
        <f t="shared" si="4"/>
        <v>0</v>
      </c>
      <c r="AN727" s="794">
        <f t="array" ref="AN727">INDEX(G727:R727,1,MATCH(Parametres!$B$3,G$1:R$1,0))*IF(OR(F727="L",F727="S",F727="I"),-1,1)</f>
        <v>126187.8</v>
      </c>
      <c r="AO727" s="853" t="str">
        <f>+VLOOKUP($AJ727,Data_Validation!$A:$D,1,0)</f>
        <v>G62800</v>
      </c>
      <c r="AP727" s="853" t="str">
        <f>+VLOOKUP($AJ727,Data_Validation!$A:$D,3,0)</f>
        <v>Véhicules neufs</v>
      </c>
      <c r="AQ727" s="853" t="str">
        <f>+VLOOKUP($AJ727,Data_Validation!$A:$D,4,0)</f>
        <v>Camions détail</v>
      </c>
      <c r="AR727" s="853" t="s">
        <v>728</v>
      </c>
      <c r="AS727" s="853" t="str">
        <f>+VLOOKUP($AJ727,Data_Validation!$A:$E,5,0)</f>
        <v/>
      </c>
      <c r="AT727" s="794" t="str">
        <f t="shared" ref="AT727:AU727" si="1452">C727</f>
        <v>G62800</v>
      </c>
      <c r="AU727" s="854" t="str">
        <f t="shared" si="1452"/>
        <v>COÛTANT BUICK ENCLAVE</v>
      </c>
      <c r="AV727" s="794">
        <f t="array" ref="AV727">IFERROR(INDEX(V727:AG727,1,MATCH(Parametres!$B$3,V$1:AG$1,0)-1)*IF(OR(C727="L",C727="S",C727="I"),-1,1),"")</f>
        <v>0</v>
      </c>
      <c r="AW727" s="794">
        <f t="shared" si="6"/>
        <v>0</v>
      </c>
      <c r="AX727" s="794">
        <f t="array" ref="AX727">INDEX(V727:AG727,1,MATCH(Parametres!$B$3,V$1:AG$1,0))*IF(OR(C727="L",C727="S",C727="I"),-1,1)</f>
        <v>0</v>
      </c>
      <c r="AY727" s="853" t="s">
        <v>772</v>
      </c>
      <c r="AZ727" s="853" t="str">
        <f>+VLOOKUP($AJ727,Data_Validation!$A:$E,5,0)</f>
        <v/>
      </c>
    </row>
    <row r="728" ht="15.0" customHeight="1">
      <c r="A728" s="849" t="s">
        <v>1239</v>
      </c>
      <c r="B728" s="849">
        <v>2025.0</v>
      </c>
      <c r="C728" s="849" t="s">
        <v>2959</v>
      </c>
      <c r="D728" s="849" t="s">
        <v>2960</v>
      </c>
      <c r="E728" s="849" t="s">
        <v>2072</v>
      </c>
      <c r="F728" s="849" t="s">
        <v>2855</v>
      </c>
      <c r="G728" s="849">
        <v>40461.35</v>
      </c>
      <c r="H728" s="849">
        <v>40461.35</v>
      </c>
      <c r="I728" s="849">
        <v>110323.53</v>
      </c>
      <c r="J728" s="849">
        <v>110323.53</v>
      </c>
      <c r="K728" s="849">
        <v>142877.76</v>
      </c>
      <c r="L728" s="849">
        <v>142877.76</v>
      </c>
      <c r="M728" s="849">
        <v>178683.68</v>
      </c>
      <c r="N728" s="849">
        <v>214914.46</v>
      </c>
      <c r="O728" s="849">
        <v>214914.46</v>
      </c>
      <c r="P728" s="849">
        <v>214914.46</v>
      </c>
      <c r="Q728" s="849">
        <v>254594.09</v>
      </c>
      <c r="R728" s="849">
        <v>365626.11</v>
      </c>
      <c r="S728" s="849">
        <v>23144.92</v>
      </c>
      <c r="T728" s="849">
        <v>23144.92</v>
      </c>
      <c r="U728" s="849">
        <v>0.0</v>
      </c>
      <c r="V728" s="849">
        <v>0.0</v>
      </c>
      <c r="W728" s="849">
        <v>0.0</v>
      </c>
      <c r="X728" s="849">
        <v>0.0</v>
      </c>
      <c r="Y728" s="849">
        <v>0.0</v>
      </c>
      <c r="Z728" s="849">
        <v>0.0</v>
      </c>
      <c r="AA728" s="849">
        <v>0.0</v>
      </c>
      <c r="AB728" s="849">
        <v>0.0</v>
      </c>
      <c r="AC728" s="849">
        <v>0.0</v>
      </c>
      <c r="AD728" s="849">
        <v>0.0</v>
      </c>
      <c r="AE728" s="849">
        <v>0.0</v>
      </c>
      <c r="AF728" s="849">
        <v>0.0</v>
      </c>
      <c r="AG728" s="849">
        <v>0.0</v>
      </c>
      <c r="AH728" s="849">
        <v>0.0</v>
      </c>
      <c r="AI728" s="849">
        <v>0.0</v>
      </c>
      <c r="AJ728" s="794" t="str">
        <f t="shared" ref="AJ728:AK728" si="1453">C728</f>
        <v>G62804</v>
      </c>
      <c r="AK728" s="794" t="str">
        <f t="shared" si="1453"/>
        <v>COUT BUICK ENCORE</v>
      </c>
      <c r="AL728" s="794">
        <f t="array" ref="AL728">IFERROR(INDEX(G728:R728,1,MATCH(Parametres!$B$3,G$1:R$1,0)-1)*IF(OR(F728="L",F728="S",F728="I"),-1,1),"")</f>
        <v>214914.46</v>
      </c>
      <c r="AM728" s="794">
        <f t="shared" si="4"/>
        <v>0</v>
      </c>
      <c r="AN728" s="794">
        <f t="array" ref="AN728">INDEX(G728:R728,1,MATCH(Parametres!$B$3,G$1:R$1,0))*IF(OR(F728="L",F728="S",F728="I"),-1,1)</f>
        <v>214914.46</v>
      </c>
      <c r="AO728" s="853" t="str">
        <f>+VLOOKUP($AJ728,Data_Validation!$A:$D,1,0)</f>
        <v>G62804</v>
      </c>
      <c r="AP728" s="853" t="str">
        <f>+VLOOKUP($AJ728,Data_Validation!$A:$D,3,0)</f>
        <v>Véhicules neufs</v>
      </c>
      <c r="AQ728" s="853" t="str">
        <f>+VLOOKUP($AJ728,Data_Validation!$A:$D,4,0)</f>
        <v>Camions détail</v>
      </c>
      <c r="AR728" s="853" t="s">
        <v>728</v>
      </c>
      <c r="AS728" s="853" t="str">
        <f>+VLOOKUP($AJ728,Data_Validation!$A:$E,5,0)</f>
        <v/>
      </c>
      <c r="AT728" s="794" t="str">
        <f t="shared" ref="AT728:AU728" si="1454">C728</f>
        <v>G62804</v>
      </c>
      <c r="AU728" s="854" t="str">
        <f t="shared" si="1454"/>
        <v>COUT BUICK ENCORE</v>
      </c>
      <c r="AV728" s="794">
        <f t="array" ref="AV728">IFERROR(INDEX(V728:AG728,1,MATCH(Parametres!$B$3,V$1:AG$1,0)-1)*IF(OR(C728="L",C728="S",C728="I"),-1,1),"")</f>
        <v>0</v>
      </c>
      <c r="AW728" s="794">
        <f t="shared" si="6"/>
        <v>0</v>
      </c>
      <c r="AX728" s="794">
        <f t="array" ref="AX728">INDEX(V728:AG728,1,MATCH(Parametres!$B$3,V$1:AG$1,0))*IF(OR(C728="L",C728="S",C728="I"),-1,1)</f>
        <v>0</v>
      </c>
      <c r="AY728" s="853" t="s">
        <v>772</v>
      </c>
      <c r="AZ728" s="853" t="str">
        <f>+VLOOKUP($AJ728,Data_Validation!$A:$E,5,0)</f>
        <v/>
      </c>
    </row>
    <row r="729" ht="15.0" customHeight="1">
      <c r="A729" s="849" t="s">
        <v>1239</v>
      </c>
      <c r="B729" s="849">
        <v>2025.0</v>
      </c>
      <c r="C729" s="849" t="s">
        <v>2961</v>
      </c>
      <c r="D729" s="849" t="s">
        <v>2962</v>
      </c>
      <c r="E729" s="849" t="s">
        <v>2072</v>
      </c>
      <c r="F729" s="849" t="s">
        <v>2855</v>
      </c>
      <c r="G729" s="849">
        <v>0.0</v>
      </c>
      <c r="H729" s="849">
        <v>0.0</v>
      </c>
      <c r="I729" s="849">
        <v>0.0</v>
      </c>
      <c r="J729" s="849">
        <v>0.0</v>
      </c>
      <c r="K729" s="849">
        <v>0.0</v>
      </c>
      <c r="L729" s="849">
        <v>0.0</v>
      </c>
      <c r="M729" s="849">
        <v>0.0</v>
      </c>
      <c r="N729" s="849">
        <v>0.0</v>
      </c>
      <c r="O729" s="849">
        <v>0.0</v>
      </c>
      <c r="P729" s="849">
        <v>0.0</v>
      </c>
      <c r="Q729" s="849">
        <v>0.0</v>
      </c>
      <c r="R729" s="849">
        <v>0.0</v>
      </c>
      <c r="S729" s="849">
        <v>0.0</v>
      </c>
      <c r="T729" s="849">
        <v>0.0</v>
      </c>
      <c r="U729" s="849">
        <v>0.0</v>
      </c>
      <c r="V729" s="849">
        <v>0.0</v>
      </c>
      <c r="W729" s="849">
        <v>0.0</v>
      </c>
      <c r="X729" s="849">
        <v>0.0</v>
      </c>
      <c r="Y729" s="849">
        <v>0.0</v>
      </c>
      <c r="Z729" s="849">
        <v>0.0</v>
      </c>
      <c r="AA729" s="849">
        <v>0.0</v>
      </c>
      <c r="AB729" s="849">
        <v>0.0</v>
      </c>
      <c r="AC729" s="849">
        <v>0.0</v>
      </c>
      <c r="AD729" s="849">
        <v>0.0</v>
      </c>
      <c r="AE729" s="849">
        <v>0.0</v>
      </c>
      <c r="AF729" s="849">
        <v>0.0</v>
      </c>
      <c r="AG729" s="849">
        <v>0.0</v>
      </c>
      <c r="AH729" s="849">
        <v>0.0</v>
      </c>
      <c r="AI729" s="849">
        <v>0.0</v>
      </c>
      <c r="AJ729" s="794" t="str">
        <f t="shared" ref="AJ729:AK729" si="1455">C729</f>
        <v>G62820</v>
      </c>
      <c r="AK729" s="794" t="str">
        <f t="shared" si="1455"/>
        <v>COUT-TRAIL BALZER    -LOC</v>
      </c>
      <c r="AL729" s="794">
        <f t="array" ref="AL729">IFERROR(INDEX(G729:R729,1,MATCH(Parametres!$B$3,G$1:R$1,0)-1)*IF(OR(F729="L",F729="S",F729="I"),-1,1),"")</f>
        <v>0</v>
      </c>
      <c r="AM729" s="794">
        <f t="shared" si="4"/>
        <v>0</v>
      </c>
      <c r="AN729" s="794">
        <f t="array" ref="AN729">INDEX(G729:R729,1,MATCH(Parametres!$B$3,G$1:R$1,0))*IF(OR(F729="L",F729="S",F729="I"),-1,1)</f>
        <v>0</v>
      </c>
      <c r="AO729" s="853" t="str">
        <f>+VLOOKUP($AJ729,Data_Validation!$A:$D,1,0)</f>
        <v>#N/A</v>
      </c>
      <c r="AP729" s="853" t="str">
        <f>+VLOOKUP($AJ729,Data_Validation!$A:$D,3,0)</f>
        <v>#N/A</v>
      </c>
      <c r="AQ729" s="853" t="str">
        <f>+VLOOKUP($AJ729,Data_Validation!$A:$D,4,0)</f>
        <v>#N/A</v>
      </c>
      <c r="AR729" s="853" t="s">
        <v>728</v>
      </c>
      <c r="AS729" s="853" t="str">
        <f>+VLOOKUP($AJ729,Data_Validation!$A:$E,5,0)</f>
        <v>#N/A</v>
      </c>
      <c r="AT729" s="794" t="str">
        <f t="shared" ref="AT729:AU729" si="1456">C729</f>
        <v>G62820</v>
      </c>
      <c r="AU729" s="854" t="str">
        <f t="shared" si="1456"/>
        <v>COUT-TRAIL BALZER    -LOC</v>
      </c>
      <c r="AV729" s="794">
        <f t="array" ref="AV729">IFERROR(INDEX(V729:AG729,1,MATCH(Parametres!$B$3,V$1:AG$1,0)-1)*IF(OR(C729="L",C729="S",C729="I"),-1,1),"")</f>
        <v>0</v>
      </c>
      <c r="AW729" s="794">
        <f t="shared" si="6"/>
        <v>0</v>
      </c>
      <c r="AX729" s="794">
        <f t="array" ref="AX729">INDEX(V729:AG729,1,MATCH(Parametres!$B$3,V$1:AG$1,0))*IF(OR(C729="L",C729="S",C729="I"),-1,1)</f>
        <v>0</v>
      </c>
      <c r="AY729" s="853" t="s">
        <v>772</v>
      </c>
      <c r="AZ729" s="853" t="str">
        <f>+VLOOKUP($AJ729,Data_Validation!$A:$E,5,0)</f>
        <v>#N/A</v>
      </c>
    </row>
    <row r="730" ht="15.0" customHeight="1">
      <c r="A730" s="849" t="s">
        <v>1239</v>
      </c>
      <c r="B730" s="849">
        <v>2025.0</v>
      </c>
      <c r="C730" s="849" t="s">
        <v>2963</v>
      </c>
      <c r="D730" s="849" t="s">
        <v>2964</v>
      </c>
      <c r="E730" s="849" t="s">
        <v>2072</v>
      </c>
      <c r="F730" s="849" t="s">
        <v>2855</v>
      </c>
      <c r="G730" s="849">
        <v>117173.65</v>
      </c>
      <c r="H730" s="849">
        <v>117586.47</v>
      </c>
      <c r="I730" s="849">
        <v>179306.29</v>
      </c>
      <c r="J730" s="849">
        <v>299692.29</v>
      </c>
      <c r="K730" s="849">
        <v>449773.68</v>
      </c>
      <c r="L730" s="849">
        <v>509598.68</v>
      </c>
      <c r="M730" s="849">
        <v>629220.31</v>
      </c>
      <c r="N730" s="849">
        <v>977605.61</v>
      </c>
      <c r="O730" s="849">
        <v>1226274.25</v>
      </c>
      <c r="P730" s="849">
        <v>1509387.18</v>
      </c>
      <c r="Q730" s="849">
        <v>1741155.9</v>
      </c>
      <c r="R730" s="849">
        <v>1899563.04</v>
      </c>
      <c r="S730" s="849">
        <v>158286.9</v>
      </c>
      <c r="T730" s="849">
        <v>158286.9</v>
      </c>
      <c r="U730" s="849">
        <v>0.0</v>
      </c>
      <c r="V730" s="849">
        <v>0.0</v>
      </c>
      <c r="W730" s="849">
        <v>0.0</v>
      </c>
      <c r="X730" s="849">
        <v>0.0</v>
      </c>
      <c r="Y730" s="849">
        <v>0.0</v>
      </c>
      <c r="Z730" s="849">
        <v>0.0</v>
      </c>
      <c r="AA730" s="849">
        <v>0.0</v>
      </c>
      <c r="AB730" s="849">
        <v>0.0</v>
      </c>
      <c r="AC730" s="849">
        <v>0.0</v>
      </c>
      <c r="AD730" s="849">
        <v>0.0</v>
      </c>
      <c r="AE730" s="849">
        <v>0.0</v>
      </c>
      <c r="AF730" s="849">
        <v>0.0</v>
      </c>
      <c r="AG730" s="849">
        <v>0.0</v>
      </c>
      <c r="AH730" s="849">
        <v>0.0</v>
      </c>
      <c r="AI730" s="849">
        <v>0.0</v>
      </c>
      <c r="AJ730" s="794" t="str">
        <f t="shared" ref="AJ730:AK730" si="1457">C730</f>
        <v>G62850</v>
      </c>
      <c r="AK730" s="794" t="str">
        <f t="shared" si="1457"/>
        <v>COUTANT CHEVROLET TRAX</v>
      </c>
      <c r="AL730" s="794">
        <f t="array" ref="AL730">IFERROR(INDEX(G730:R730,1,MATCH(Parametres!$B$3,G$1:R$1,0)-1)*IF(OR(F730="L",F730="S",F730="I"),-1,1),"")</f>
        <v>977605.61</v>
      </c>
      <c r="AM730" s="794">
        <f t="shared" si="4"/>
        <v>248668.64</v>
      </c>
      <c r="AN730" s="794">
        <f t="array" ref="AN730">INDEX(G730:R730,1,MATCH(Parametres!$B$3,G$1:R$1,0))*IF(OR(F730="L",F730="S",F730="I"),-1,1)</f>
        <v>1226274.25</v>
      </c>
      <c r="AO730" s="853" t="str">
        <f>+VLOOKUP($AJ730,Data_Validation!$A:$D,1,0)</f>
        <v>G62850</v>
      </c>
      <c r="AP730" s="853" t="str">
        <f>+VLOOKUP($AJ730,Data_Validation!$A:$D,3,0)</f>
        <v>Véhicules neufs</v>
      </c>
      <c r="AQ730" s="853" t="str">
        <f>+VLOOKUP($AJ730,Data_Validation!$A:$D,4,0)</f>
        <v>Camions détail</v>
      </c>
      <c r="AR730" s="853" t="s">
        <v>728</v>
      </c>
      <c r="AS730" s="853" t="str">
        <f>+VLOOKUP($AJ730,Data_Validation!$A:$E,5,0)</f>
        <v/>
      </c>
      <c r="AT730" s="794" t="str">
        <f t="shared" ref="AT730:AU730" si="1458">C730</f>
        <v>G62850</v>
      </c>
      <c r="AU730" s="854" t="str">
        <f t="shared" si="1458"/>
        <v>COUTANT CHEVROLET TRAX</v>
      </c>
      <c r="AV730" s="794">
        <f t="array" ref="AV730">IFERROR(INDEX(V730:AG730,1,MATCH(Parametres!$B$3,V$1:AG$1,0)-1)*IF(OR(C730="L",C730="S",C730="I"),-1,1),"")</f>
        <v>0</v>
      </c>
      <c r="AW730" s="794">
        <f t="shared" si="6"/>
        <v>0</v>
      </c>
      <c r="AX730" s="794">
        <f t="array" ref="AX730">INDEX(V730:AG730,1,MATCH(Parametres!$B$3,V$1:AG$1,0))*IF(OR(C730="L",C730="S",C730="I"),-1,1)</f>
        <v>0</v>
      </c>
      <c r="AY730" s="853" t="s">
        <v>772</v>
      </c>
      <c r="AZ730" s="853" t="str">
        <f>+VLOOKUP($AJ730,Data_Validation!$A:$E,5,0)</f>
        <v/>
      </c>
    </row>
    <row r="731" ht="15.0" customHeight="1">
      <c r="A731" s="849" t="s">
        <v>1239</v>
      </c>
      <c r="B731" s="849">
        <v>2025.0</v>
      </c>
      <c r="C731" s="849" t="s">
        <v>2965</v>
      </c>
      <c r="D731" s="849" t="s">
        <v>2966</v>
      </c>
      <c r="E731" s="849" t="s">
        <v>2072</v>
      </c>
      <c r="F731" s="849" t="s">
        <v>2855</v>
      </c>
      <c r="G731" s="849">
        <v>94299.5</v>
      </c>
      <c r="H731" s="849">
        <v>455643.34</v>
      </c>
      <c r="I731" s="849">
        <v>581277.34</v>
      </c>
      <c r="J731" s="849">
        <v>581277.34</v>
      </c>
      <c r="K731" s="849">
        <v>943975.48</v>
      </c>
      <c r="L731" s="849">
        <v>1200166.62</v>
      </c>
      <c r="M731" s="849">
        <v>1379033.86</v>
      </c>
      <c r="N731" s="849">
        <v>1465583.86</v>
      </c>
      <c r="O731" s="849">
        <v>1543069.36</v>
      </c>
      <c r="P731" s="849">
        <v>1817552.91</v>
      </c>
      <c r="Q731" s="849">
        <v>2093427.67</v>
      </c>
      <c r="R731" s="849">
        <v>2192241.16</v>
      </c>
      <c r="S731" s="849">
        <v>190311.61</v>
      </c>
      <c r="T731" s="849">
        <v>190311.61</v>
      </c>
      <c r="U731" s="849">
        <v>0.0</v>
      </c>
      <c r="V731" s="849">
        <v>0.0</v>
      </c>
      <c r="W731" s="849">
        <v>0.0</v>
      </c>
      <c r="X731" s="849">
        <v>0.0</v>
      </c>
      <c r="Y731" s="849">
        <v>0.0</v>
      </c>
      <c r="Z731" s="849">
        <v>0.0</v>
      </c>
      <c r="AA731" s="849">
        <v>0.0</v>
      </c>
      <c r="AB731" s="849">
        <v>0.0</v>
      </c>
      <c r="AC731" s="849">
        <v>0.0</v>
      </c>
      <c r="AD731" s="849">
        <v>0.0</v>
      </c>
      <c r="AE731" s="849">
        <v>0.0</v>
      </c>
      <c r="AF731" s="849">
        <v>0.0</v>
      </c>
      <c r="AG731" s="849">
        <v>0.0</v>
      </c>
      <c r="AH731" s="849">
        <v>0.0</v>
      </c>
      <c r="AI731" s="849">
        <v>0.0</v>
      </c>
      <c r="AJ731" s="794" t="str">
        <f t="shared" ref="AJ731:AK731" si="1459">C731</f>
        <v>G62900</v>
      </c>
      <c r="AK731" s="794" t="str">
        <f t="shared" si="1459"/>
        <v>COUT-TAHOE/SUBURBAN</v>
      </c>
      <c r="AL731" s="794">
        <f t="array" ref="AL731">IFERROR(INDEX(G731:R731,1,MATCH(Parametres!$B$3,G$1:R$1,0)-1)*IF(OR(F731="L",F731="S",F731="I"),-1,1),"")</f>
        <v>1465583.86</v>
      </c>
      <c r="AM731" s="794">
        <f t="shared" si="4"/>
        <v>77485.5</v>
      </c>
      <c r="AN731" s="794">
        <f t="array" ref="AN731">INDEX(G731:R731,1,MATCH(Parametres!$B$3,G$1:R$1,0))*IF(OR(F731="L",F731="S",F731="I"),-1,1)</f>
        <v>1543069.36</v>
      </c>
      <c r="AO731" s="853" t="str">
        <f>+VLOOKUP($AJ731,Data_Validation!$A:$D,1,0)</f>
        <v>G62900</v>
      </c>
      <c r="AP731" s="853" t="str">
        <f>+VLOOKUP($AJ731,Data_Validation!$A:$D,3,0)</f>
        <v>Véhicules neufs</v>
      </c>
      <c r="AQ731" s="853" t="str">
        <f>+VLOOKUP($AJ731,Data_Validation!$A:$D,4,0)</f>
        <v>Camions détail</v>
      </c>
      <c r="AR731" s="853" t="s">
        <v>728</v>
      </c>
      <c r="AS731" s="853" t="str">
        <f>+VLOOKUP($AJ731,Data_Validation!$A:$E,5,0)</f>
        <v/>
      </c>
      <c r="AT731" s="794" t="str">
        <f t="shared" ref="AT731:AU731" si="1460">C731</f>
        <v>G62900</v>
      </c>
      <c r="AU731" s="854" t="str">
        <f t="shared" si="1460"/>
        <v>COUT-TAHOE/SUBURBAN</v>
      </c>
      <c r="AV731" s="794">
        <f t="array" ref="AV731">IFERROR(INDEX(V731:AG731,1,MATCH(Parametres!$B$3,V$1:AG$1,0)-1)*IF(OR(C731="L",C731="S",C731="I"),-1,1),"")</f>
        <v>0</v>
      </c>
      <c r="AW731" s="794">
        <f t="shared" si="6"/>
        <v>0</v>
      </c>
      <c r="AX731" s="794">
        <f t="array" ref="AX731">INDEX(V731:AG731,1,MATCH(Parametres!$B$3,V$1:AG$1,0))*IF(OR(C731="L",C731="S",C731="I"),-1,1)</f>
        <v>0</v>
      </c>
      <c r="AY731" s="853" t="s">
        <v>772</v>
      </c>
      <c r="AZ731" s="853" t="str">
        <f>+VLOOKUP($AJ731,Data_Validation!$A:$E,5,0)</f>
        <v/>
      </c>
    </row>
    <row r="732" ht="15.0" customHeight="1">
      <c r="A732" s="849" t="s">
        <v>1239</v>
      </c>
      <c r="B732" s="849">
        <v>2025.0</v>
      </c>
      <c r="C732" s="849" t="s">
        <v>2967</v>
      </c>
      <c r="D732" s="849" t="s">
        <v>2968</v>
      </c>
      <c r="E732" s="849" t="s">
        <v>2072</v>
      </c>
      <c r="F732" s="849" t="s">
        <v>2855</v>
      </c>
      <c r="G732" s="849">
        <v>278511.09</v>
      </c>
      <c r="H732" s="849">
        <v>1102697.24</v>
      </c>
      <c r="I732" s="849">
        <v>1728103.15</v>
      </c>
      <c r="J732" s="849">
        <v>2573904.57</v>
      </c>
      <c r="K732" s="849">
        <v>3151795.92</v>
      </c>
      <c r="L732" s="849">
        <v>4139513.37</v>
      </c>
      <c r="M732" s="849">
        <v>5110297.56</v>
      </c>
      <c r="N732" s="849">
        <v>6405579.96</v>
      </c>
      <c r="O732" s="849">
        <v>6899826.42</v>
      </c>
      <c r="P732" s="849">
        <v>7252665.4</v>
      </c>
      <c r="Q732" s="849">
        <v>7485075.62</v>
      </c>
      <c r="R732" s="849">
        <v>8188924.33</v>
      </c>
      <c r="S732" s="849">
        <v>680461.42</v>
      </c>
      <c r="T732" s="849">
        <v>680461.42</v>
      </c>
      <c r="U732" s="849">
        <v>0.0</v>
      </c>
      <c r="V732" s="849">
        <v>0.0</v>
      </c>
      <c r="W732" s="849">
        <v>0.0</v>
      </c>
      <c r="X732" s="849">
        <v>0.0</v>
      </c>
      <c r="Y732" s="849">
        <v>0.0</v>
      </c>
      <c r="Z732" s="849">
        <v>0.0</v>
      </c>
      <c r="AA732" s="849">
        <v>0.0</v>
      </c>
      <c r="AB732" s="849">
        <v>0.0</v>
      </c>
      <c r="AC732" s="849">
        <v>0.0</v>
      </c>
      <c r="AD732" s="849">
        <v>0.0</v>
      </c>
      <c r="AE732" s="849">
        <v>0.0</v>
      </c>
      <c r="AF732" s="849">
        <v>0.0</v>
      </c>
      <c r="AG732" s="849">
        <v>0.0</v>
      </c>
      <c r="AH732" s="849">
        <v>0.0</v>
      </c>
      <c r="AI732" s="849">
        <v>0.0</v>
      </c>
      <c r="AJ732" s="794" t="str">
        <f t="shared" ref="AJ732:AK732" si="1461">C732</f>
        <v>G63000</v>
      </c>
      <c r="AK732" s="794" t="str">
        <f t="shared" si="1461"/>
        <v>COUT-CL 1500 SILVERADO</v>
      </c>
      <c r="AL732" s="794">
        <f t="array" ref="AL732">IFERROR(INDEX(G732:R732,1,MATCH(Parametres!$B$3,G$1:R$1,0)-1)*IF(OR(F732="L",F732="S",F732="I"),-1,1),"")</f>
        <v>6405579.96</v>
      </c>
      <c r="AM732" s="794">
        <f t="shared" si="4"/>
        <v>494246.46</v>
      </c>
      <c r="AN732" s="794">
        <f t="array" ref="AN732">INDEX(G732:R732,1,MATCH(Parametres!$B$3,G$1:R$1,0))*IF(OR(F732="L",F732="S",F732="I"),-1,1)</f>
        <v>6899826.42</v>
      </c>
      <c r="AO732" s="853" t="str">
        <f>+VLOOKUP($AJ732,Data_Validation!$A:$D,1,0)</f>
        <v>G63000</v>
      </c>
      <c r="AP732" s="853" t="str">
        <f>+VLOOKUP($AJ732,Data_Validation!$A:$D,3,0)</f>
        <v>Véhicules neufs</v>
      </c>
      <c r="AQ732" s="853" t="str">
        <f>+VLOOKUP($AJ732,Data_Validation!$A:$D,4,0)</f>
        <v>Camions détail</v>
      </c>
      <c r="AR732" s="853" t="s">
        <v>728</v>
      </c>
      <c r="AS732" s="853" t="str">
        <f>+VLOOKUP($AJ732,Data_Validation!$A:$E,5,0)</f>
        <v/>
      </c>
      <c r="AT732" s="794" t="str">
        <f t="shared" ref="AT732:AU732" si="1462">C732</f>
        <v>G63000</v>
      </c>
      <c r="AU732" s="854" t="str">
        <f t="shared" si="1462"/>
        <v>COUT-CL 1500 SILVERADO</v>
      </c>
      <c r="AV732" s="794">
        <f t="array" ref="AV732">IFERROR(INDEX(V732:AG732,1,MATCH(Parametres!$B$3,V$1:AG$1,0)-1)*IF(OR(C732="L",C732="S",C732="I"),-1,1),"")</f>
        <v>0</v>
      </c>
      <c r="AW732" s="794">
        <f t="shared" si="6"/>
        <v>0</v>
      </c>
      <c r="AX732" s="794">
        <f t="array" ref="AX732">INDEX(V732:AG732,1,MATCH(Parametres!$B$3,V$1:AG$1,0))*IF(OR(C732="L",C732="S",C732="I"),-1,1)</f>
        <v>0</v>
      </c>
      <c r="AY732" s="853" t="s">
        <v>772</v>
      </c>
      <c r="AZ732" s="853" t="str">
        <f>+VLOOKUP($AJ732,Data_Validation!$A:$E,5,0)</f>
        <v/>
      </c>
    </row>
    <row r="733" ht="15.0" customHeight="1">
      <c r="A733" s="849" t="s">
        <v>1239</v>
      </c>
      <c r="B733" s="849">
        <v>2025.0</v>
      </c>
      <c r="C733" s="849" t="s">
        <v>2969</v>
      </c>
      <c r="D733" s="849" t="s">
        <v>2970</v>
      </c>
      <c r="E733" s="849" t="s">
        <v>2072</v>
      </c>
      <c r="F733" s="849" t="s">
        <v>2855</v>
      </c>
      <c r="G733" s="849">
        <v>113294.8</v>
      </c>
      <c r="H733" s="849">
        <v>113294.8</v>
      </c>
      <c r="I733" s="849">
        <v>113294.8</v>
      </c>
      <c r="J733" s="849">
        <v>196692.31</v>
      </c>
      <c r="K733" s="849">
        <v>303157.35</v>
      </c>
      <c r="L733" s="849">
        <v>303157.35</v>
      </c>
      <c r="M733" s="849">
        <v>303157.35</v>
      </c>
      <c r="N733" s="849">
        <v>303157.35</v>
      </c>
      <c r="O733" s="849">
        <v>512599.45</v>
      </c>
      <c r="P733" s="849">
        <v>732036.05</v>
      </c>
      <c r="Q733" s="849">
        <v>838782.6</v>
      </c>
      <c r="R733" s="849">
        <v>838782.6</v>
      </c>
      <c r="S733" s="849">
        <v>76252.96</v>
      </c>
      <c r="T733" s="849">
        <v>76252.96</v>
      </c>
      <c r="U733" s="849">
        <v>0.0</v>
      </c>
      <c r="V733" s="849">
        <v>0.0</v>
      </c>
      <c r="W733" s="849">
        <v>0.0</v>
      </c>
      <c r="X733" s="849">
        <v>0.0</v>
      </c>
      <c r="Y733" s="849">
        <v>0.0</v>
      </c>
      <c r="Z733" s="849">
        <v>0.0</v>
      </c>
      <c r="AA733" s="849">
        <v>0.0</v>
      </c>
      <c r="AB733" s="849">
        <v>0.0</v>
      </c>
      <c r="AC733" s="849">
        <v>0.0</v>
      </c>
      <c r="AD733" s="849">
        <v>0.0</v>
      </c>
      <c r="AE733" s="849">
        <v>0.0</v>
      </c>
      <c r="AF733" s="849">
        <v>0.0</v>
      </c>
      <c r="AG733" s="849">
        <v>0.0</v>
      </c>
      <c r="AH733" s="849">
        <v>0.0</v>
      </c>
      <c r="AI733" s="849">
        <v>0.0</v>
      </c>
      <c r="AJ733" s="794" t="str">
        <f t="shared" ref="AJ733:AK733" si="1463">C733</f>
        <v>G63001</v>
      </c>
      <c r="AK733" s="794" t="str">
        <f t="shared" si="1463"/>
        <v>COUT - SILVERADO EV</v>
      </c>
      <c r="AL733" s="794">
        <f t="array" ref="AL733">IFERROR(INDEX(G733:R733,1,MATCH(Parametres!$B$3,G$1:R$1,0)-1)*IF(OR(F733="L",F733="S",F733="I"),-1,1),"")</f>
        <v>303157.35</v>
      </c>
      <c r="AM733" s="794">
        <f t="shared" si="4"/>
        <v>209442.1</v>
      </c>
      <c r="AN733" s="794">
        <f t="array" ref="AN733">INDEX(G733:R733,1,MATCH(Parametres!$B$3,G$1:R$1,0))*IF(OR(F733="L",F733="S",F733="I"),-1,1)</f>
        <v>512599.45</v>
      </c>
      <c r="AO733" s="853" t="str">
        <f>+VLOOKUP($AJ733,Data_Validation!$A:$D,1,0)</f>
        <v>G63001</v>
      </c>
      <c r="AP733" s="853" t="str">
        <f>+VLOOKUP($AJ733,Data_Validation!$A:$D,3,0)</f>
        <v>Véhicules neufs</v>
      </c>
      <c r="AQ733" s="853" t="str">
        <f>+VLOOKUP($AJ733,Data_Validation!$A:$D,4,0)</f>
        <v>Camions electriques</v>
      </c>
      <c r="AR733" s="853" t="s">
        <v>728</v>
      </c>
      <c r="AS733" s="853" t="str">
        <f>+VLOOKUP($AJ733,Data_Validation!$A:$E,5,0)</f>
        <v/>
      </c>
      <c r="AT733" s="794" t="str">
        <f t="shared" ref="AT733:AU733" si="1464">C733</f>
        <v>G63001</v>
      </c>
      <c r="AU733" s="854" t="str">
        <f t="shared" si="1464"/>
        <v>COUT - SILVERADO EV</v>
      </c>
      <c r="AV733" s="794">
        <f t="array" ref="AV733">IFERROR(INDEX(V733:AG733,1,MATCH(Parametres!$B$3,V$1:AG$1,0)-1)*IF(OR(C733="L",C733="S",C733="I"),-1,1),"")</f>
        <v>0</v>
      </c>
      <c r="AW733" s="794">
        <f t="shared" si="6"/>
        <v>0</v>
      </c>
      <c r="AX733" s="794">
        <f t="array" ref="AX733">INDEX(V733:AG733,1,MATCH(Parametres!$B$3,V$1:AG$1,0))*IF(OR(C733="L",C733="S",C733="I"),-1,1)</f>
        <v>0</v>
      </c>
      <c r="AY733" s="853" t="s">
        <v>772</v>
      </c>
      <c r="AZ733" s="853" t="str">
        <f>+VLOOKUP($AJ733,Data_Validation!$A:$E,5,0)</f>
        <v/>
      </c>
    </row>
    <row r="734" ht="15.0" customHeight="1">
      <c r="A734" s="849" t="s">
        <v>1239</v>
      </c>
      <c r="B734" s="849">
        <v>2025.0</v>
      </c>
      <c r="C734" s="849" t="s">
        <v>2971</v>
      </c>
      <c r="D734" s="849" t="s">
        <v>2972</v>
      </c>
      <c r="E734" s="849" t="s">
        <v>2072</v>
      </c>
      <c r="F734" s="849" t="s">
        <v>2855</v>
      </c>
      <c r="G734" s="849">
        <v>0.0</v>
      </c>
      <c r="H734" s="849">
        <v>271713.35</v>
      </c>
      <c r="I734" s="849">
        <v>675718.45</v>
      </c>
      <c r="J734" s="849">
        <v>974521.42</v>
      </c>
      <c r="K734" s="849">
        <v>974521.42</v>
      </c>
      <c r="L734" s="849">
        <v>1077278.37</v>
      </c>
      <c r="M734" s="849">
        <v>1272360.19</v>
      </c>
      <c r="N734" s="849">
        <v>1577240.41</v>
      </c>
      <c r="O734" s="849">
        <v>1788693.64</v>
      </c>
      <c r="P734" s="849">
        <v>2194503.47</v>
      </c>
      <c r="Q734" s="849">
        <v>2312063.58</v>
      </c>
      <c r="R734" s="849">
        <v>2555114.32</v>
      </c>
      <c r="S734" s="849">
        <v>210187.6</v>
      </c>
      <c r="T734" s="849">
        <v>210187.6</v>
      </c>
      <c r="U734" s="849">
        <v>0.0</v>
      </c>
      <c r="V734" s="849">
        <v>0.0</v>
      </c>
      <c r="W734" s="849">
        <v>0.0</v>
      </c>
      <c r="X734" s="849">
        <v>0.0</v>
      </c>
      <c r="Y734" s="849">
        <v>0.0</v>
      </c>
      <c r="Z734" s="849">
        <v>0.0</v>
      </c>
      <c r="AA734" s="849">
        <v>0.0</v>
      </c>
      <c r="AB734" s="849">
        <v>0.0</v>
      </c>
      <c r="AC734" s="849">
        <v>0.0</v>
      </c>
      <c r="AD734" s="849">
        <v>0.0</v>
      </c>
      <c r="AE734" s="849">
        <v>0.0</v>
      </c>
      <c r="AF734" s="849">
        <v>0.0</v>
      </c>
      <c r="AG734" s="849">
        <v>0.0</v>
      </c>
      <c r="AH734" s="849">
        <v>0.0</v>
      </c>
      <c r="AI734" s="849">
        <v>0.0</v>
      </c>
      <c r="AJ734" s="794" t="str">
        <f t="shared" ref="AJ734:AK734" si="1465">C734</f>
        <v>G63002</v>
      </c>
      <c r="AK734" s="794" t="str">
        <f t="shared" si="1465"/>
        <v>COUT - YUKON</v>
      </c>
      <c r="AL734" s="794">
        <f t="array" ref="AL734">IFERROR(INDEX(G734:R734,1,MATCH(Parametres!$B$3,G$1:R$1,0)-1)*IF(OR(F734="L",F734="S",F734="I"),-1,1),"")</f>
        <v>1577240.41</v>
      </c>
      <c r="AM734" s="794">
        <f t="shared" si="4"/>
        <v>211453.23</v>
      </c>
      <c r="AN734" s="794">
        <f t="array" ref="AN734">INDEX(G734:R734,1,MATCH(Parametres!$B$3,G$1:R$1,0))*IF(OR(F734="L",F734="S",F734="I"),-1,1)</f>
        <v>1788693.64</v>
      </c>
      <c r="AO734" s="853" t="str">
        <f>+VLOOKUP($AJ734,Data_Validation!$A:$D,1,0)</f>
        <v>G63002</v>
      </c>
      <c r="AP734" s="853" t="str">
        <f>+VLOOKUP($AJ734,Data_Validation!$A:$D,3,0)</f>
        <v>Véhicules neufs</v>
      </c>
      <c r="AQ734" s="853" t="str">
        <f>+VLOOKUP($AJ734,Data_Validation!$A:$D,4,0)</f>
        <v>Camions détail</v>
      </c>
      <c r="AR734" s="853" t="s">
        <v>728</v>
      </c>
      <c r="AS734" s="853" t="str">
        <f>+VLOOKUP($AJ734,Data_Validation!$A:$E,5,0)</f>
        <v/>
      </c>
      <c r="AT734" s="794" t="str">
        <f t="shared" ref="AT734:AU734" si="1466">C734</f>
        <v>G63002</v>
      </c>
      <c r="AU734" s="854" t="str">
        <f t="shared" si="1466"/>
        <v>COUT - YUKON</v>
      </c>
      <c r="AV734" s="794">
        <f t="array" ref="AV734">IFERROR(INDEX(V734:AG734,1,MATCH(Parametres!$B$3,V$1:AG$1,0)-1)*IF(OR(C734="L",C734="S",C734="I"),-1,1),"")</f>
        <v>0</v>
      </c>
      <c r="AW734" s="794">
        <f t="shared" si="6"/>
        <v>0</v>
      </c>
      <c r="AX734" s="794">
        <f t="array" ref="AX734">INDEX(V734:AG734,1,MATCH(Parametres!$B$3,V$1:AG$1,0))*IF(OR(C734="L",C734="S",C734="I"),-1,1)</f>
        <v>0</v>
      </c>
      <c r="AY734" s="853" t="s">
        <v>772</v>
      </c>
      <c r="AZ734" s="853" t="str">
        <f>+VLOOKUP($AJ734,Data_Validation!$A:$E,5,0)</f>
        <v/>
      </c>
    </row>
    <row r="735" ht="15.0" customHeight="1">
      <c r="A735" s="849" t="s">
        <v>1239</v>
      </c>
      <c r="B735" s="849">
        <v>2025.0</v>
      </c>
      <c r="C735" s="849" t="s">
        <v>2973</v>
      </c>
      <c r="D735" s="849" t="s">
        <v>2974</v>
      </c>
      <c r="E735" s="849" t="s">
        <v>2072</v>
      </c>
      <c r="F735" s="849" t="s">
        <v>2855</v>
      </c>
      <c r="G735" s="849">
        <v>0.0</v>
      </c>
      <c r="H735" s="849">
        <v>0.0</v>
      </c>
      <c r="I735" s="849">
        <v>0.0</v>
      </c>
      <c r="J735" s="849">
        <v>0.0</v>
      </c>
      <c r="K735" s="849">
        <v>0.0</v>
      </c>
      <c r="L735" s="849">
        <v>0.0</v>
      </c>
      <c r="M735" s="849">
        <v>0.0</v>
      </c>
      <c r="N735" s="849">
        <v>0.0</v>
      </c>
      <c r="O735" s="849">
        <v>0.0</v>
      </c>
      <c r="P735" s="849">
        <v>0.0</v>
      </c>
      <c r="Q735" s="849">
        <v>0.0</v>
      </c>
      <c r="R735" s="849">
        <v>0.0</v>
      </c>
      <c r="S735" s="849">
        <v>0.0</v>
      </c>
      <c r="T735" s="849">
        <v>0.0</v>
      </c>
      <c r="U735" s="849">
        <v>0.0</v>
      </c>
      <c r="V735" s="849">
        <v>0.0</v>
      </c>
      <c r="W735" s="849">
        <v>0.0</v>
      </c>
      <c r="X735" s="849">
        <v>0.0</v>
      </c>
      <c r="Y735" s="849">
        <v>0.0</v>
      </c>
      <c r="Z735" s="849">
        <v>0.0</v>
      </c>
      <c r="AA735" s="849">
        <v>0.0</v>
      </c>
      <c r="AB735" s="849">
        <v>0.0</v>
      </c>
      <c r="AC735" s="849">
        <v>0.0</v>
      </c>
      <c r="AD735" s="849">
        <v>0.0</v>
      </c>
      <c r="AE735" s="849">
        <v>0.0</v>
      </c>
      <c r="AF735" s="849">
        <v>0.0</v>
      </c>
      <c r="AG735" s="849">
        <v>0.0</v>
      </c>
      <c r="AH735" s="849">
        <v>0.0</v>
      </c>
      <c r="AI735" s="849">
        <v>0.0</v>
      </c>
      <c r="AJ735" s="794" t="str">
        <f t="shared" ref="AJ735:AK735" si="1467">C735</f>
        <v>G63020</v>
      </c>
      <c r="AK735" s="794" t="str">
        <f t="shared" si="1467"/>
        <v>COUT-CL 1500 SILVERAD-LOC</v>
      </c>
      <c r="AL735" s="794">
        <f t="array" ref="AL735">IFERROR(INDEX(G735:R735,1,MATCH(Parametres!$B$3,G$1:R$1,0)-1)*IF(OR(F735="L",F735="S",F735="I"),-1,1),"")</f>
        <v>0</v>
      </c>
      <c r="AM735" s="794">
        <f t="shared" si="4"/>
        <v>0</v>
      </c>
      <c r="AN735" s="794">
        <f t="array" ref="AN735">INDEX(G735:R735,1,MATCH(Parametres!$B$3,G$1:R$1,0))*IF(OR(F735="L",F735="S",F735="I"),-1,1)</f>
        <v>0</v>
      </c>
      <c r="AO735" s="853" t="str">
        <f>+VLOOKUP($AJ735,Data_Validation!$A:$D,1,0)</f>
        <v>#N/A</v>
      </c>
      <c r="AP735" s="853" t="str">
        <f>+VLOOKUP($AJ735,Data_Validation!$A:$D,3,0)</f>
        <v>#N/A</v>
      </c>
      <c r="AQ735" s="853" t="str">
        <f>+VLOOKUP($AJ735,Data_Validation!$A:$D,4,0)</f>
        <v>#N/A</v>
      </c>
      <c r="AR735" s="853" t="s">
        <v>728</v>
      </c>
      <c r="AS735" s="853" t="str">
        <f>+VLOOKUP($AJ735,Data_Validation!$A:$E,5,0)</f>
        <v>#N/A</v>
      </c>
      <c r="AT735" s="794" t="str">
        <f t="shared" ref="AT735:AU735" si="1468">C735</f>
        <v>G63020</v>
      </c>
      <c r="AU735" s="854" t="str">
        <f t="shared" si="1468"/>
        <v>COUT-CL 1500 SILVERAD-LOC</v>
      </c>
      <c r="AV735" s="794">
        <f t="array" ref="AV735">IFERROR(INDEX(V735:AG735,1,MATCH(Parametres!$B$3,V$1:AG$1,0)-1)*IF(OR(C735="L",C735="S",C735="I"),-1,1),"")</f>
        <v>0</v>
      </c>
      <c r="AW735" s="794">
        <f t="shared" si="6"/>
        <v>0</v>
      </c>
      <c r="AX735" s="794">
        <f t="array" ref="AX735">INDEX(V735:AG735,1,MATCH(Parametres!$B$3,V$1:AG$1,0))*IF(OR(C735="L",C735="S",C735="I"),-1,1)</f>
        <v>0</v>
      </c>
      <c r="AY735" s="853" t="s">
        <v>772</v>
      </c>
      <c r="AZ735" s="853" t="str">
        <f>+VLOOKUP($AJ735,Data_Validation!$A:$E,5,0)</f>
        <v>#N/A</v>
      </c>
    </row>
    <row r="736" ht="15.0" customHeight="1">
      <c r="A736" s="849" t="s">
        <v>1239</v>
      </c>
      <c r="B736" s="849">
        <v>2025.0</v>
      </c>
      <c r="C736" s="849" t="s">
        <v>2975</v>
      </c>
      <c r="D736" s="849" t="s">
        <v>2976</v>
      </c>
      <c r="E736" s="849" t="s">
        <v>2072</v>
      </c>
      <c r="F736" s="849" t="s">
        <v>2855</v>
      </c>
      <c r="G736" s="849">
        <v>293491.15</v>
      </c>
      <c r="H736" s="849">
        <v>584322.18</v>
      </c>
      <c r="I736" s="849">
        <v>881194.22</v>
      </c>
      <c r="J736" s="849">
        <v>1142640.64</v>
      </c>
      <c r="K736" s="849">
        <v>1478678.29</v>
      </c>
      <c r="L736" s="849">
        <v>1576687.93</v>
      </c>
      <c r="M736" s="849">
        <v>2213510.85</v>
      </c>
      <c r="N736" s="849">
        <v>2676534.93</v>
      </c>
      <c r="O736" s="849">
        <v>2676534.93</v>
      </c>
      <c r="P736" s="849">
        <v>2770273.93</v>
      </c>
      <c r="Q736" s="849">
        <v>3059236.88</v>
      </c>
      <c r="R736" s="849">
        <v>3249366.56</v>
      </c>
      <c r="S736" s="849">
        <v>278112.44</v>
      </c>
      <c r="T736" s="849">
        <v>278112.44</v>
      </c>
      <c r="U736" s="849">
        <v>0.0</v>
      </c>
      <c r="V736" s="849">
        <v>0.0</v>
      </c>
      <c r="W736" s="849">
        <v>0.0</v>
      </c>
      <c r="X736" s="849">
        <v>0.0</v>
      </c>
      <c r="Y736" s="849">
        <v>0.0</v>
      </c>
      <c r="Z736" s="849">
        <v>0.0</v>
      </c>
      <c r="AA736" s="849">
        <v>0.0</v>
      </c>
      <c r="AB736" s="849">
        <v>0.0</v>
      </c>
      <c r="AC736" s="849">
        <v>0.0</v>
      </c>
      <c r="AD736" s="849">
        <v>0.0</v>
      </c>
      <c r="AE736" s="849">
        <v>0.0</v>
      </c>
      <c r="AF736" s="849">
        <v>0.0</v>
      </c>
      <c r="AG736" s="849">
        <v>0.0</v>
      </c>
      <c r="AH736" s="849">
        <v>0.0</v>
      </c>
      <c r="AI736" s="849">
        <v>0.0</v>
      </c>
      <c r="AJ736" s="794" t="str">
        <f t="shared" ref="AJ736:AK736" si="1469">C736</f>
        <v>G63100</v>
      </c>
      <c r="AK736" s="794" t="str">
        <f t="shared" si="1469"/>
        <v>COUT-CL 2500 SILVERADO</v>
      </c>
      <c r="AL736" s="794">
        <f t="array" ref="AL736">IFERROR(INDEX(G736:R736,1,MATCH(Parametres!$B$3,G$1:R$1,0)-1)*IF(OR(F736="L",F736="S",F736="I"),-1,1),"")</f>
        <v>2676534.93</v>
      </c>
      <c r="AM736" s="794">
        <f t="shared" si="4"/>
        <v>0</v>
      </c>
      <c r="AN736" s="794">
        <f t="array" ref="AN736">INDEX(G736:R736,1,MATCH(Parametres!$B$3,G$1:R$1,0))*IF(OR(F736="L",F736="S",F736="I"),-1,1)</f>
        <v>2676534.93</v>
      </c>
      <c r="AO736" s="853" t="str">
        <f>+VLOOKUP($AJ736,Data_Validation!$A:$D,1,0)</f>
        <v>G63100</v>
      </c>
      <c r="AP736" s="853" t="str">
        <f>+VLOOKUP($AJ736,Data_Validation!$A:$D,3,0)</f>
        <v>Véhicules neufs</v>
      </c>
      <c r="AQ736" s="853" t="str">
        <f>+VLOOKUP($AJ736,Data_Validation!$A:$D,4,0)</f>
        <v>Camions détail</v>
      </c>
      <c r="AR736" s="853" t="s">
        <v>728</v>
      </c>
      <c r="AS736" s="853" t="str">
        <f>+VLOOKUP($AJ736,Data_Validation!$A:$E,5,0)</f>
        <v/>
      </c>
      <c r="AT736" s="794" t="str">
        <f t="shared" ref="AT736:AU736" si="1470">C736</f>
        <v>G63100</v>
      </c>
      <c r="AU736" s="854" t="str">
        <f t="shared" si="1470"/>
        <v>COUT-CL 2500 SILVERADO</v>
      </c>
      <c r="AV736" s="794">
        <f t="array" ref="AV736">IFERROR(INDEX(V736:AG736,1,MATCH(Parametres!$B$3,V$1:AG$1,0)-1)*IF(OR(C736="L",C736="S",C736="I"),-1,1),"")</f>
        <v>0</v>
      </c>
      <c r="AW736" s="794">
        <f t="shared" si="6"/>
        <v>0</v>
      </c>
      <c r="AX736" s="794">
        <f t="array" ref="AX736">INDEX(V736:AG736,1,MATCH(Parametres!$B$3,V$1:AG$1,0))*IF(OR(C736="L",C736="S",C736="I"),-1,1)</f>
        <v>0</v>
      </c>
      <c r="AY736" s="853" t="s">
        <v>772</v>
      </c>
      <c r="AZ736" s="853" t="str">
        <f>+VLOOKUP($AJ736,Data_Validation!$A:$E,5,0)</f>
        <v/>
      </c>
    </row>
    <row r="737" ht="15.0" customHeight="1">
      <c r="A737" s="849" t="s">
        <v>1239</v>
      </c>
      <c r="B737" s="849">
        <v>2025.0</v>
      </c>
      <c r="C737" s="849" t="s">
        <v>2977</v>
      </c>
      <c r="D737" s="849" t="s">
        <v>2978</v>
      </c>
      <c r="E737" s="849" t="s">
        <v>2072</v>
      </c>
      <c r="F737" s="849" t="s">
        <v>2855</v>
      </c>
      <c r="G737" s="849">
        <v>610987.49</v>
      </c>
      <c r="H737" s="849">
        <v>1325041.32</v>
      </c>
      <c r="I737" s="849">
        <v>2098442.98</v>
      </c>
      <c r="J737" s="849">
        <v>3051094.03</v>
      </c>
      <c r="K737" s="849">
        <v>3458973.51</v>
      </c>
      <c r="L737" s="849">
        <v>4221399.4</v>
      </c>
      <c r="M737" s="849">
        <v>4945016.84</v>
      </c>
      <c r="N737" s="849">
        <v>5522978.28</v>
      </c>
      <c r="O737" s="849">
        <v>5844437.05</v>
      </c>
      <c r="P737" s="849">
        <v>6471188.56</v>
      </c>
      <c r="Q737" s="849">
        <v>6807730.73</v>
      </c>
      <c r="R737" s="849">
        <v>7056939.31</v>
      </c>
      <c r="S737" s="849">
        <v>618884.61</v>
      </c>
      <c r="T737" s="849">
        <v>618884.61</v>
      </c>
      <c r="U737" s="849">
        <v>0.0</v>
      </c>
      <c r="V737" s="849">
        <v>0.0</v>
      </c>
      <c r="W737" s="849">
        <v>0.0</v>
      </c>
      <c r="X737" s="849">
        <v>0.0</v>
      </c>
      <c r="Y737" s="849">
        <v>0.0</v>
      </c>
      <c r="Z737" s="849">
        <v>0.0</v>
      </c>
      <c r="AA737" s="849">
        <v>0.0</v>
      </c>
      <c r="AB737" s="849">
        <v>0.0</v>
      </c>
      <c r="AC737" s="849">
        <v>0.0</v>
      </c>
      <c r="AD737" s="849">
        <v>0.0</v>
      </c>
      <c r="AE737" s="849">
        <v>0.0</v>
      </c>
      <c r="AF737" s="849">
        <v>0.0</v>
      </c>
      <c r="AG737" s="849">
        <v>0.0</v>
      </c>
      <c r="AH737" s="849">
        <v>0.0</v>
      </c>
      <c r="AI737" s="849">
        <v>0.0</v>
      </c>
      <c r="AJ737" s="794" t="str">
        <f t="shared" ref="AJ737:AK737" si="1471">C737</f>
        <v>G63102</v>
      </c>
      <c r="AK737" s="794" t="str">
        <f t="shared" si="1471"/>
        <v>COUTANT CL 1500 SIERRA</v>
      </c>
      <c r="AL737" s="794">
        <f t="array" ref="AL737">IFERROR(INDEX(G737:R737,1,MATCH(Parametres!$B$3,G$1:R$1,0)-1)*IF(OR(F737="L",F737="S",F737="I"),-1,1),"")</f>
        <v>5522978.28</v>
      </c>
      <c r="AM737" s="794">
        <f t="shared" si="4"/>
        <v>321458.77</v>
      </c>
      <c r="AN737" s="794">
        <f t="array" ref="AN737">INDEX(G737:R737,1,MATCH(Parametres!$B$3,G$1:R$1,0))*IF(OR(F737="L",F737="S",F737="I"),-1,1)</f>
        <v>5844437.05</v>
      </c>
      <c r="AO737" s="853" t="str">
        <f>+VLOOKUP($AJ737,Data_Validation!$A:$D,1,0)</f>
        <v>G63102</v>
      </c>
      <c r="AP737" s="853" t="str">
        <f>+VLOOKUP($AJ737,Data_Validation!$A:$D,3,0)</f>
        <v>Véhicules neufs</v>
      </c>
      <c r="AQ737" s="853" t="str">
        <f>+VLOOKUP($AJ737,Data_Validation!$A:$D,4,0)</f>
        <v>Camions détail</v>
      </c>
      <c r="AR737" s="853" t="s">
        <v>728</v>
      </c>
      <c r="AS737" s="853" t="str">
        <f>+VLOOKUP($AJ737,Data_Validation!$A:$E,5,0)</f>
        <v/>
      </c>
      <c r="AT737" s="794" t="str">
        <f t="shared" ref="AT737:AU737" si="1472">C737</f>
        <v>G63102</v>
      </c>
      <c r="AU737" s="854" t="str">
        <f t="shared" si="1472"/>
        <v>COUTANT CL 1500 SIERRA</v>
      </c>
      <c r="AV737" s="794">
        <f t="array" ref="AV737">IFERROR(INDEX(V737:AG737,1,MATCH(Parametres!$B$3,V$1:AG$1,0)-1)*IF(OR(C737="L",C737="S",C737="I"),-1,1),"")</f>
        <v>0</v>
      </c>
      <c r="AW737" s="794">
        <f t="shared" si="6"/>
        <v>0</v>
      </c>
      <c r="AX737" s="794">
        <f t="array" ref="AX737">INDEX(V737:AG737,1,MATCH(Parametres!$B$3,V$1:AG$1,0))*IF(OR(C737="L",C737="S",C737="I"),-1,1)</f>
        <v>0</v>
      </c>
      <c r="AY737" s="853" t="s">
        <v>772</v>
      </c>
      <c r="AZ737" s="853" t="str">
        <f>+VLOOKUP($AJ737,Data_Validation!$A:$E,5,0)</f>
        <v/>
      </c>
    </row>
    <row r="738" ht="15.0" customHeight="1">
      <c r="A738" s="849" t="s">
        <v>1239</v>
      </c>
      <c r="B738" s="849">
        <v>2025.0</v>
      </c>
      <c r="C738" s="849" t="s">
        <v>2979</v>
      </c>
      <c r="D738" s="849" t="s">
        <v>2980</v>
      </c>
      <c r="E738" s="849" t="s">
        <v>2072</v>
      </c>
      <c r="F738" s="849" t="s">
        <v>2855</v>
      </c>
      <c r="G738" s="849">
        <v>120449.57</v>
      </c>
      <c r="H738" s="849">
        <v>120449.57</v>
      </c>
      <c r="I738" s="849">
        <v>237761.39</v>
      </c>
      <c r="J738" s="849">
        <v>351411.53</v>
      </c>
      <c r="K738" s="849">
        <v>568404.61</v>
      </c>
      <c r="L738" s="849">
        <v>781308.19</v>
      </c>
      <c r="M738" s="849">
        <v>1093941.74</v>
      </c>
      <c r="N738" s="849">
        <v>1093941.74</v>
      </c>
      <c r="O738" s="849">
        <v>1189987.79</v>
      </c>
      <c r="P738" s="849">
        <v>1298416.33</v>
      </c>
      <c r="Q738" s="849">
        <v>1298416.33</v>
      </c>
      <c r="R738" s="849">
        <v>1298416.33</v>
      </c>
      <c r="S738" s="849">
        <v>118037.85</v>
      </c>
      <c r="T738" s="849">
        <v>118037.85</v>
      </c>
      <c r="U738" s="849">
        <v>0.0</v>
      </c>
      <c r="V738" s="849">
        <v>0.0</v>
      </c>
      <c r="W738" s="849">
        <v>0.0</v>
      </c>
      <c r="X738" s="849">
        <v>0.0</v>
      </c>
      <c r="Y738" s="849">
        <v>0.0</v>
      </c>
      <c r="Z738" s="849">
        <v>0.0</v>
      </c>
      <c r="AA738" s="849">
        <v>0.0</v>
      </c>
      <c r="AB738" s="849">
        <v>0.0</v>
      </c>
      <c r="AC738" s="849">
        <v>0.0</v>
      </c>
      <c r="AD738" s="849">
        <v>0.0</v>
      </c>
      <c r="AE738" s="849">
        <v>0.0</v>
      </c>
      <c r="AF738" s="849">
        <v>0.0</v>
      </c>
      <c r="AG738" s="849">
        <v>0.0</v>
      </c>
      <c r="AH738" s="849">
        <v>0.0</v>
      </c>
      <c r="AI738" s="849">
        <v>0.0</v>
      </c>
      <c r="AJ738" s="794" t="str">
        <f t="shared" ref="AJ738:AK738" si="1473">C738</f>
        <v>G63103</v>
      </c>
      <c r="AK738" s="794" t="str">
        <f t="shared" si="1473"/>
        <v>COUT - SIERRA EV</v>
      </c>
      <c r="AL738" s="794">
        <f t="array" ref="AL738">IFERROR(INDEX(G738:R738,1,MATCH(Parametres!$B$3,G$1:R$1,0)-1)*IF(OR(F738="L",F738="S",F738="I"),-1,1),"")</f>
        <v>1093941.74</v>
      </c>
      <c r="AM738" s="794">
        <f t="shared" si="4"/>
        <v>96046.05</v>
      </c>
      <c r="AN738" s="794">
        <f t="array" ref="AN738">INDEX(G738:R738,1,MATCH(Parametres!$B$3,G$1:R$1,0))*IF(OR(F738="L",F738="S",F738="I"),-1,1)</f>
        <v>1189987.79</v>
      </c>
      <c r="AO738" s="853" t="str">
        <f>+VLOOKUP($AJ738,Data_Validation!$A:$D,1,0)</f>
        <v>G63103</v>
      </c>
      <c r="AP738" s="853" t="str">
        <f>+VLOOKUP($AJ738,Data_Validation!$A:$D,3,0)</f>
        <v>Véhicules neufs</v>
      </c>
      <c r="AQ738" s="853" t="str">
        <f>+VLOOKUP($AJ738,Data_Validation!$A:$D,4,0)</f>
        <v>Camions electriques</v>
      </c>
      <c r="AR738" s="853" t="s">
        <v>728</v>
      </c>
      <c r="AS738" s="853" t="str">
        <f>+VLOOKUP($AJ738,Data_Validation!$A:$E,5,0)</f>
        <v/>
      </c>
      <c r="AT738" s="794" t="str">
        <f t="shared" ref="AT738:AU738" si="1474">C738</f>
        <v>G63103</v>
      </c>
      <c r="AU738" s="854" t="str">
        <f t="shared" si="1474"/>
        <v>COUT - SIERRA EV</v>
      </c>
      <c r="AV738" s="794">
        <f t="array" ref="AV738">IFERROR(INDEX(V738:AG738,1,MATCH(Parametres!$B$3,V$1:AG$1,0)-1)*IF(OR(C738="L",C738="S",C738="I"),-1,1),"")</f>
        <v>0</v>
      </c>
      <c r="AW738" s="794">
        <f t="shared" si="6"/>
        <v>0</v>
      </c>
      <c r="AX738" s="794">
        <f t="array" ref="AX738">INDEX(V738:AG738,1,MATCH(Parametres!$B$3,V$1:AG$1,0))*IF(OR(C738="L",C738="S",C738="I"),-1,1)</f>
        <v>0</v>
      </c>
      <c r="AY738" s="853" t="s">
        <v>772</v>
      </c>
      <c r="AZ738" s="853" t="str">
        <f>+VLOOKUP($AJ738,Data_Validation!$A:$E,5,0)</f>
        <v/>
      </c>
    </row>
    <row r="739" ht="15.0" customHeight="1">
      <c r="A739" s="849" t="s">
        <v>1239</v>
      </c>
      <c r="B739" s="849">
        <v>2025.0</v>
      </c>
      <c r="C739" s="849" t="s">
        <v>2981</v>
      </c>
      <c r="D739" s="849" t="s">
        <v>2982</v>
      </c>
      <c r="E739" s="849" t="s">
        <v>2072</v>
      </c>
      <c r="F739" s="849" t="s">
        <v>2855</v>
      </c>
      <c r="G739" s="849">
        <v>0.0</v>
      </c>
      <c r="H739" s="849">
        <v>0.0</v>
      </c>
      <c r="I739" s="849">
        <v>0.0</v>
      </c>
      <c r="J739" s="849">
        <v>0.0</v>
      </c>
      <c r="K739" s="849">
        <v>0.0</v>
      </c>
      <c r="L739" s="849">
        <v>0.0</v>
      </c>
      <c r="M739" s="849">
        <v>0.0</v>
      </c>
      <c r="N739" s="849">
        <v>0.0</v>
      </c>
      <c r="O739" s="849">
        <v>0.0</v>
      </c>
      <c r="P739" s="849">
        <v>0.0</v>
      </c>
      <c r="Q739" s="849">
        <v>0.0</v>
      </c>
      <c r="R739" s="849">
        <v>0.0</v>
      </c>
      <c r="S739" s="849">
        <v>0.0</v>
      </c>
      <c r="T739" s="849">
        <v>0.0</v>
      </c>
      <c r="U739" s="849">
        <v>0.0</v>
      </c>
      <c r="V739" s="849">
        <v>0.0</v>
      </c>
      <c r="W739" s="849">
        <v>0.0</v>
      </c>
      <c r="X739" s="849">
        <v>0.0</v>
      </c>
      <c r="Y739" s="849">
        <v>0.0</v>
      </c>
      <c r="Z739" s="849">
        <v>0.0</v>
      </c>
      <c r="AA739" s="849">
        <v>0.0</v>
      </c>
      <c r="AB739" s="849">
        <v>0.0</v>
      </c>
      <c r="AC739" s="849">
        <v>0.0</v>
      </c>
      <c r="AD739" s="849">
        <v>0.0</v>
      </c>
      <c r="AE739" s="849">
        <v>0.0</v>
      </c>
      <c r="AF739" s="849">
        <v>0.0</v>
      </c>
      <c r="AG739" s="849">
        <v>0.0</v>
      </c>
      <c r="AH739" s="849">
        <v>0.0</v>
      </c>
      <c r="AI739" s="849">
        <v>0.0</v>
      </c>
      <c r="AJ739" s="794" t="str">
        <f t="shared" ref="AJ739:AK739" si="1475">C739</f>
        <v>G63120</v>
      </c>
      <c r="AK739" s="794" t="str">
        <f t="shared" si="1475"/>
        <v>COUT-CL 2500 SILVERAD-LOC</v>
      </c>
      <c r="AL739" s="794">
        <f t="array" ref="AL739">IFERROR(INDEX(G739:R739,1,MATCH(Parametres!$B$3,G$1:R$1,0)-1)*IF(OR(F739="L",F739="S",F739="I"),-1,1),"")</f>
        <v>0</v>
      </c>
      <c r="AM739" s="794">
        <f t="shared" si="4"/>
        <v>0</v>
      </c>
      <c r="AN739" s="794">
        <f t="array" ref="AN739">INDEX(G739:R739,1,MATCH(Parametres!$B$3,G$1:R$1,0))*IF(OR(F739="L",F739="S",F739="I"),-1,1)</f>
        <v>0</v>
      </c>
      <c r="AO739" s="853" t="str">
        <f>+VLOOKUP($AJ739,Data_Validation!$A:$D,1,0)</f>
        <v>#N/A</v>
      </c>
      <c r="AP739" s="853" t="str">
        <f>+VLOOKUP($AJ739,Data_Validation!$A:$D,3,0)</f>
        <v>#N/A</v>
      </c>
      <c r="AQ739" s="853" t="str">
        <f>+VLOOKUP($AJ739,Data_Validation!$A:$D,4,0)</f>
        <v>#N/A</v>
      </c>
      <c r="AR739" s="853" t="s">
        <v>728</v>
      </c>
      <c r="AS739" s="853" t="str">
        <f>+VLOOKUP($AJ739,Data_Validation!$A:$E,5,0)</f>
        <v>#N/A</v>
      </c>
      <c r="AT739" s="794" t="str">
        <f t="shared" ref="AT739:AU739" si="1476">C739</f>
        <v>G63120</v>
      </c>
      <c r="AU739" s="854" t="str">
        <f t="shared" si="1476"/>
        <v>COUT-CL 2500 SILVERAD-LOC</v>
      </c>
      <c r="AV739" s="794">
        <f t="array" ref="AV739">IFERROR(INDEX(V739:AG739,1,MATCH(Parametres!$B$3,V$1:AG$1,0)-1)*IF(OR(C739="L",C739="S",C739="I"),-1,1),"")</f>
        <v>0</v>
      </c>
      <c r="AW739" s="794">
        <f t="shared" si="6"/>
        <v>0</v>
      </c>
      <c r="AX739" s="794">
        <f t="array" ref="AX739">INDEX(V739:AG739,1,MATCH(Parametres!$B$3,V$1:AG$1,0))*IF(OR(C739="L",C739="S",C739="I"),-1,1)</f>
        <v>0</v>
      </c>
      <c r="AY739" s="853" t="s">
        <v>772</v>
      </c>
      <c r="AZ739" s="853" t="str">
        <f>+VLOOKUP($AJ739,Data_Validation!$A:$E,5,0)</f>
        <v>#N/A</v>
      </c>
    </row>
    <row r="740" ht="15.0" customHeight="1">
      <c r="A740" s="849" t="s">
        <v>1239</v>
      </c>
      <c r="B740" s="849">
        <v>2025.0</v>
      </c>
      <c r="C740" s="849" t="s">
        <v>2983</v>
      </c>
      <c r="D740" s="849" t="s">
        <v>2984</v>
      </c>
      <c r="E740" s="849" t="s">
        <v>2072</v>
      </c>
      <c r="F740" s="849" t="s">
        <v>2855</v>
      </c>
      <c r="G740" s="849">
        <v>0.0</v>
      </c>
      <c r="H740" s="849">
        <v>0.0</v>
      </c>
      <c r="I740" s="849">
        <v>0.0</v>
      </c>
      <c r="J740" s="849">
        <v>0.0</v>
      </c>
      <c r="K740" s="849">
        <v>0.0</v>
      </c>
      <c r="L740" s="849">
        <v>88039.46</v>
      </c>
      <c r="M740" s="849">
        <v>88039.46</v>
      </c>
      <c r="N740" s="849">
        <v>88039.46</v>
      </c>
      <c r="O740" s="849">
        <v>88039.46</v>
      </c>
      <c r="P740" s="849">
        <v>88039.46</v>
      </c>
      <c r="Q740" s="849">
        <v>88039.46</v>
      </c>
      <c r="R740" s="849">
        <v>88039.46</v>
      </c>
      <c r="S740" s="849">
        <v>8003.59</v>
      </c>
      <c r="T740" s="849">
        <v>8003.59</v>
      </c>
      <c r="U740" s="849">
        <v>0.0</v>
      </c>
      <c r="V740" s="849">
        <v>0.0</v>
      </c>
      <c r="W740" s="849">
        <v>0.0</v>
      </c>
      <c r="X740" s="849">
        <v>0.0</v>
      </c>
      <c r="Y740" s="849">
        <v>0.0</v>
      </c>
      <c r="Z740" s="849">
        <v>0.0</v>
      </c>
      <c r="AA740" s="849">
        <v>0.0</v>
      </c>
      <c r="AB740" s="849">
        <v>0.0</v>
      </c>
      <c r="AC740" s="849">
        <v>0.0</v>
      </c>
      <c r="AD740" s="849">
        <v>0.0</v>
      </c>
      <c r="AE740" s="849">
        <v>0.0</v>
      </c>
      <c r="AF740" s="849">
        <v>0.0</v>
      </c>
      <c r="AG740" s="849">
        <v>0.0</v>
      </c>
      <c r="AH740" s="849">
        <v>0.0</v>
      </c>
      <c r="AI740" s="849">
        <v>0.0</v>
      </c>
      <c r="AJ740" s="794" t="str">
        <f t="shared" ref="AJ740:AK740" si="1477">C740</f>
        <v>G63200</v>
      </c>
      <c r="AK740" s="794" t="str">
        <f t="shared" si="1477"/>
        <v>COUT-CL 3500 SILVERADO</v>
      </c>
      <c r="AL740" s="794">
        <f t="array" ref="AL740">IFERROR(INDEX(G740:R740,1,MATCH(Parametres!$B$3,G$1:R$1,0)-1)*IF(OR(F740="L",F740="S",F740="I"),-1,1),"")</f>
        <v>88039.46</v>
      </c>
      <c r="AM740" s="794">
        <f t="shared" si="4"/>
        <v>0</v>
      </c>
      <c r="AN740" s="794">
        <f t="array" ref="AN740">INDEX(G740:R740,1,MATCH(Parametres!$B$3,G$1:R$1,0))*IF(OR(F740="L",F740="S",F740="I"),-1,1)</f>
        <v>88039.46</v>
      </c>
      <c r="AO740" s="853" t="str">
        <f>+VLOOKUP($AJ740,Data_Validation!$A:$D,1,0)</f>
        <v>G63200</v>
      </c>
      <c r="AP740" s="853" t="str">
        <f>+VLOOKUP($AJ740,Data_Validation!$A:$D,3,0)</f>
        <v>Véhicules neufs</v>
      </c>
      <c r="AQ740" s="853" t="str">
        <f>+VLOOKUP($AJ740,Data_Validation!$A:$D,4,0)</f>
        <v>Camions détail</v>
      </c>
      <c r="AR740" s="853" t="s">
        <v>728</v>
      </c>
      <c r="AS740" s="853" t="str">
        <f>+VLOOKUP($AJ740,Data_Validation!$A:$E,5,0)</f>
        <v/>
      </c>
      <c r="AT740" s="794" t="str">
        <f t="shared" ref="AT740:AU740" si="1478">C740</f>
        <v>G63200</v>
      </c>
      <c r="AU740" s="854" t="str">
        <f t="shared" si="1478"/>
        <v>COUT-CL 3500 SILVERADO</v>
      </c>
      <c r="AV740" s="794">
        <f t="array" ref="AV740">IFERROR(INDEX(V740:AG740,1,MATCH(Parametres!$B$3,V$1:AG$1,0)-1)*IF(OR(C740="L",C740="S",C740="I"),-1,1),"")</f>
        <v>0</v>
      </c>
      <c r="AW740" s="794">
        <f t="shared" si="6"/>
        <v>0</v>
      </c>
      <c r="AX740" s="794">
        <f t="array" ref="AX740">INDEX(V740:AG740,1,MATCH(Parametres!$B$3,V$1:AG$1,0))*IF(OR(C740="L",C740="S",C740="I"),-1,1)</f>
        <v>0</v>
      </c>
      <c r="AY740" s="853" t="s">
        <v>772</v>
      </c>
      <c r="AZ740" s="853" t="str">
        <f>+VLOOKUP($AJ740,Data_Validation!$A:$E,5,0)</f>
        <v/>
      </c>
    </row>
    <row r="741" ht="15.0" customHeight="1">
      <c r="A741" s="849" t="s">
        <v>1239</v>
      </c>
      <c r="B741" s="849">
        <v>2025.0</v>
      </c>
      <c r="C741" s="849" t="s">
        <v>2985</v>
      </c>
      <c r="D741" s="849" t="s">
        <v>2986</v>
      </c>
      <c r="E741" s="849" t="s">
        <v>2072</v>
      </c>
      <c r="F741" s="849" t="s">
        <v>2855</v>
      </c>
      <c r="G741" s="849">
        <v>447295.58</v>
      </c>
      <c r="H741" s="849">
        <v>763613.71</v>
      </c>
      <c r="I741" s="849">
        <v>966645.28</v>
      </c>
      <c r="J741" s="849">
        <v>1197865.23</v>
      </c>
      <c r="K741" s="849">
        <v>1756411.18</v>
      </c>
      <c r="L741" s="849">
        <v>2350646.68</v>
      </c>
      <c r="M741" s="849">
        <v>2946299.4</v>
      </c>
      <c r="N741" s="849">
        <v>3242392.11</v>
      </c>
      <c r="O741" s="849">
        <v>3676835.23</v>
      </c>
      <c r="P741" s="849">
        <v>4116158.07</v>
      </c>
      <c r="Q741" s="849">
        <v>4425149.84</v>
      </c>
      <c r="R741" s="849">
        <v>4642554.45</v>
      </c>
      <c r="S741" s="849">
        <v>402286.35</v>
      </c>
      <c r="T741" s="849">
        <v>402286.35</v>
      </c>
      <c r="U741" s="849">
        <v>0.0</v>
      </c>
      <c r="V741" s="849">
        <v>0.0</v>
      </c>
      <c r="W741" s="849">
        <v>0.0</v>
      </c>
      <c r="X741" s="849">
        <v>0.0</v>
      </c>
      <c r="Y741" s="849">
        <v>0.0</v>
      </c>
      <c r="Z741" s="849">
        <v>0.0</v>
      </c>
      <c r="AA741" s="849">
        <v>0.0</v>
      </c>
      <c r="AB741" s="849">
        <v>0.0</v>
      </c>
      <c r="AC741" s="849">
        <v>0.0</v>
      </c>
      <c r="AD741" s="849">
        <v>0.0</v>
      </c>
      <c r="AE741" s="849">
        <v>0.0</v>
      </c>
      <c r="AF741" s="849">
        <v>0.0</v>
      </c>
      <c r="AG741" s="849">
        <v>0.0</v>
      </c>
      <c r="AH741" s="849">
        <v>0.0</v>
      </c>
      <c r="AI741" s="849">
        <v>0.0</v>
      </c>
      <c r="AJ741" s="794" t="str">
        <f t="shared" ref="AJ741:AK741" si="1479">C741</f>
        <v>G63202</v>
      </c>
      <c r="AK741" s="794" t="str">
        <f t="shared" si="1479"/>
        <v>COUT- CL 2500 SIERRA</v>
      </c>
      <c r="AL741" s="794">
        <f t="array" ref="AL741">IFERROR(INDEX(G741:R741,1,MATCH(Parametres!$B$3,G$1:R$1,0)-1)*IF(OR(F741="L",F741="S",F741="I"),-1,1),"")</f>
        <v>3242392.11</v>
      </c>
      <c r="AM741" s="794">
        <f t="shared" si="4"/>
        <v>434443.12</v>
      </c>
      <c r="AN741" s="794">
        <f t="array" ref="AN741">INDEX(G741:R741,1,MATCH(Parametres!$B$3,G$1:R$1,0))*IF(OR(F741="L",F741="S",F741="I"),-1,1)</f>
        <v>3676835.23</v>
      </c>
      <c r="AO741" s="853" t="str">
        <f>+VLOOKUP($AJ741,Data_Validation!$A:$D,1,0)</f>
        <v>G63202</v>
      </c>
      <c r="AP741" s="853" t="str">
        <f>+VLOOKUP($AJ741,Data_Validation!$A:$D,3,0)</f>
        <v>Véhicules neufs</v>
      </c>
      <c r="AQ741" s="853" t="str">
        <f>+VLOOKUP($AJ741,Data_Validation!$A:$D,4,0)</f>
        <v>Camions détail</v>
      </c>
      <c r="AR741" s="853" t="s">
        <v>728</v>
      </c>
      <c r="AS741" s="853" t="str">
        <f>+VLOOKUP($AJ741,Data_Validation!$A:$E,5,0)</f>
        <v/>
      </c>
      <c r="AT741" s="794" t="str">
        <f t="shared" ref="AT741:AU741" si="1480">C741</f>
        <v>G63202</v>
      </c>
      <c r="AU741" s="854" t="str">
        <f t="shared" si="1480"/>
        <v>COUT- CL 2500 SIERRA</v>
      </c>
      <c r="AV741" s="794">
        <f t="array" ref="AV741">IFERROR(INDEX(V741:AG741,1,MATCH(Parametres!$B$3,V$1:AG$1,0)-1)*IF(OR(C741="L",C741="S",C741="I"),-1,1),"")</f>
        <v>0</v>
      </c>
      <c r="AW741" s="794">
        <f t="shared" si="6"/>
        <v>0</v>
      </c>
      <c r="AX741" s="794">
        <f t="array" ref="AX741">INDEX(V741:AG741,1,MATCH(Parametres!$B$3,V$1:AG$1,0))*IF(OR(C741="L",C741="S",C741="I"),-1,1)</f>
        <v>0</v>
      </c>
      <c r="AY741" s="853" t="s">
        <v>772</v>
      </c>
      <c r="AZ741" s="853" t="str">
        <f>+VLOOKUP($AJ741,Data_Validation!$A:$E,5,0)</f>
        <v/>
      </c>
    </row>
    <row r="742" ht="15.0" customHeight="1">
      <c r="A742" s="849" t="s">
        <v>1239</v>
      </c>
      <c r="B742" s="849">
        <v>2025.0</v>
      </c>
      <c r="C742" s="849" t="s">
        <v>2987</v>
      </c>
      <c r="D742" s="849" t="s">
        <v>2988</v>
      </c>
      <c r="E742" s="849" t="s">
        <v>2072</v>
      </c>
      <c r="F742" s="849" t="s">
        <v>2855</v>
      </c>
      <c r="G742" s="849">
        <v>0.0</v>
      </c>
      <c r="H742" s="849">
        <v>0.0</v>
      </c>
      <c r="I742" s="849">
        <v>0.0</v>
      </c>
      <c r="J742" s="849">
        <v>0.0</v>
      </c>
      <c r="K742" s="849">
        <v>0.0</v>
      </c>
      <c r="L742" s="849">
        <v>0.0</v>
      </c>
      <c r="M742" s="849">
        <v>0.0</v>
      </c>
      <c r="N742" s="849">
        <v>0.0</v>
      </c>
      <c r="O742" s="849">
        <v>0.0</v>
      </c>
      <c r="P742" s="849">
        <v>0.0</v>
      </c>
      <c r="Q742" s="849">
        <v>0.0</v>
      </c>
      <c r="R742" s="849">
        <v>0.0</v>
      </c>
      <c r="S742" s="849">
        <v>0.0</v>
      </c>
      <c r="T742" s="849">
        <v>0.0</v>
      </c>
      <c r="U742" s="849">
        <v>0.0</v>
      </c>
      <c r="V742" s="849">
        <v>0.0</v>
      </c>
      <c r="W742" s="849">
        <v>0.0</v>
      </c>
      <c r="X742" s="849">
        <v>0.0</v>
      </c>
      <c r="Y742" s="849">
        <v>0.0</v>
      </c>
      <c r="Z742" s="849">
        <v>0.0</v>
      </c>
      <c r="AA742" s="849">
        <v>0.0</v>
      </c>
      <c r="AB742" s="849">
        <v>0.0</v>
      </c>
      <c r="AC742" s="849">
        <v>0.0</v>
      </c>
      <c r="AD742" s="849">
        <v>0.0</v>
      </c>
      <c r="AE742" s="849">
        <v>0.0</v>
      </c>
      <c r="AF742" s="849">
        <v>0.0</v>
      </c>
      <c r="AG742" s="849">
        <v>0.0</v>
      </c>
      <c r="AH742" s="849">
        <v>0.0</v>
      </c>
      <c r="AI742" s="849">
        <v>0.0</v>
      </c>
      <c r="AJ742" s="794" t="str">
        <f t="shared" ref="AJ742:AK742" si="1481">C742</f>
        <v>G63203</v>
      </c>
      <c r="AK742" s="794" t="str">
        <f t="shared" si="1481"/>
        <v>COUTANT - SIERRA 3500</v>
      </c>
      <c r="AL742" s="794">
        <f t="array" ref="AL742">IFERROR(INDEX(G742:R742,1,MATCH(Parametres!$B$3,G$1:R$1,0)-1)*IF(OR(F742="L",F742="S",F742="I"),-1,1),"")</f>
        <v>0</v>
      </c>
      <c r="AM742" s="794">
        <f t="shared" si="4"/>
        <v>0</v>
      </c>
      <c r="AN742" s="794">
        <f t="array" ref="AN742">INDEX(G742:R742,1,MATCH(Parametres!$B$3,G$1:R$1,0))*IF(OR(F742="L",F742="S",F742="I"),-1,1)</f>
        <v>0</v>
      </c>
      <c r="AO742" s="853" t="str">
        <f>+VLOOKUP($AJ742,Data_Validation!$A:$D,1,0)</f>
        <v>G63203</v>
      </c>
      <c r="AP742" s="853" t="str">
        <f>+VLOOKUP($AJ742,Data_Validation!$A:$D,3,0)</f>
        <v>Véhicules neufs</v>
      </c>
      <c r="AQ742" s="853" t="str">
        <f>+VLOOKUP($AJ742,Data_Validation!$A:$D,4,0)</f>
        <v>Camions détail</v>
      </c>
      <c r="AR742" s="853" t="s">
        <v>728</v>
      </c>
      <c r="AS742" s="853" t="str">
        <f>+VLOOKUP($AJ742,Data_Validation!$A:$E,5,0)</f>
        <v/>
      </c>
      <c r="AT742" s="794" t="str">
        <f t="shared" ref="AT742:AU742" si="1482">C742</f>
        <v>G63203</v>
      </c>
      <c r="AU742" s="854" t="str">
        <f t="shared" si="1482"/>
        <v>COUTANT - SIERRA 3500</v>
      </c>
      <c r="AV742" s="794">
        <f t="array" ref="AV742">IFERROR(INDEX(V742:AG742,1,MATCH(Parametres!$B$3,V$1:AG$1,0)-1)*IF(OR(C742="L",C742="S",C742="I"),-1,1),"")</f>
        <v>0</v>
      </c>
      <c r="AW742" s="794">
        <f t="shared" si="6"/>
        <v>0</v>
      </c>
      <c r="AX742" s="794">
        <f t="array" ref="AX742">INDEX(V742:AG742,1,MATCH(Parametres!$B$3,V$1:AG$1,0))*IF(OR(C742="L",C742="S",C742="I"),-1,1)</f>
        <v>0</v>
      </c>
      <c r="AY742" s="853" t="s">
        <v>772</v>
      </c>
      <c r="AZ742" s="853" t="str">
        <f>+VLOOKUP($AJ742,Data_Validation!$A:$E,5,0)</f>
        <v/>
      </c>
    </row>
    <row r="743" ht="15.0" customHeight="1">
      <c r="A743" s="849" t="s">
        <v>1239</v>
      </c>
      <c r="B743" s="849">
        <v>2025.0</v>
      </c>
      <c r="C743" s="849" t="s">
        <v>2989</v>
      </c>
      <c r="D743" s="849" t="s">
        <v>2990</v>
      </c>
      <c r="E743" s="849" t="s">
        <v>2072</v>
      </c>
      <c r="F743" s="849" t="s">
        <v>2855</v>
      </c>
      <c r="G743" s="849">
        <v>0.0</v>
      </c>
      <c r="H743" s="849">
        <v>0.0</v>
      </c>
      <c r="I743" s="849">
        <v>0.0</v>
      </c>
      <c r="J743" s="849">
        <v>0.0</v>
      </c>
      <c r="K743" s="849">
        <v>0.0</v>
      </c>
      <c r="L743" s="849">
        <v>0.0</v>
      </c>
      <c r="M743" s="849">
        <v>0.0</v>
      </c>
      <c r="N743" s="849">
        <v>0.0</v>
      </c>
      <c r="O743" s="849">
        <v>0.0</v>
      </c>
      <c r="P743" s="849">
        <v>0.0</v>
      </c>
      <c r="Q743" s="849">
        <v>0.0</v>
      </c>
      <c r="R743" s="849">
        <v>0.0</v>
      </c>
      <c r="S743" s="849">
        <v>0.0</v>
      </c>
      <c r="T743" s="849">
        <v>0.0</v>
      </c>
      <c r="U743" s="849">
        <v>0.0</v>
      </c>
      <c r="V743" s="849">
        <v>0.0</v>
      </c>
      <c r="W743" s="849">
        <v>0.0</v>
      </c>
      <c r="X743" s="849">
        <v>0.0</v>
      </c>
      <c r="Y743" s="849">
        <v>0.0</v>
      </c>
      <c r="Z743" s="849">
        <v>0.0</v>
      </c>
      <c r="AA743" s="849">
        <v>0.0</v>
      </c>
      <c r="AB743" s="849">
        <v>0.0</v>
      </c>
      <c r="AC743" s="849">
        <v>0.0</v>
      </c>
      <c r="AD743" s="849">
        <v>0.0</v>
      </c>
      <c r="AE743" s="849">
        <v>0.0</v>
      </c>
      <c r="AF743" s="849">
        <v>0.0</v>
      </c>
      <c r="AG743" s="849">
        <v>0.0</v>
      </c>
      <c r="AH743" s="849">
        <v>0.0</v>
      </c>
      <c r="AI743" s="849">
        <v>0.0</v>
      </c>
      <c r="AJ743" s="794" t="str">
        <f t="shared" ref="AJ743:AK743" si="1483">C743</f>
        <v>G63300</v>
      </c>
      <c r="AK743" s="794" t="str">
        <f t="shared" si="1483"/>
        <v>COUT-BLAZER</v>
      </c>
      <c r="AL743" s="794">
        <f t="array" ref="AL743">IFERROR(INDEX(G743:R743,1,MATCH(Parametres!$B$3,G$1:R$1,0)-1)*IF(OR(F743="L",F743="S",F743="I"),-1,1),"")</f>
        <v>0</v>
      </c>
      <c r="AM743" s="794">
        <f t="shared" si="4"/>
        <v>0</v>
      </c>
      <c r="AN743" s="794">
        <f t="array" ref="AN743">INDEX(G743:R743,1,MATCH(Parametres!$B$3,G$1:R$1,0))*IF(OR(F743="L",F743="S",F743="I"),-1,1)</f>
        <v>0</v>
      </c>
      <c r="AO743" s="853" t="str">
        <f>+VLOOKUP($AJ743,Data_Validation!$A:$D,1,0)</f>
        <v>G63300</v>
      </c>
      <c r="AP743" s="853" t="str">
        <f>+VLOOKUP($AJ743,Data_Validation!$A:$D,3,0)</f>
        <v>Véhicules neufs</v>
      </c>
      <c r="AQ743" s="853" t="str">
        <f>+VLOOKUP($AJ743,Data_Validation!$A:$D,4,0)</f>
        <v>Camions détail</v>
      </c>
      <c r="AR743" s="853" t="s">
        <v>728</v>
      </c>
      <c r="AS743" s="853" t="str">
        <f>+VLOOKUP($AJ743,Data_Validation!$A:$E,5,0)</f>
        <v/>
      </c>
      <c r="AT743" s="794" t="str">
        <f t="shared" ref="AT743:AU743" si="1484">C743</f>
        <v>G63300</v>
      </c>
      <c r="AU743" s="854" t="str">
        <f t="shared" si="1484"/>
        <v>COUT-BLAZER</v>
      </c>
      <c r="AV743" s="794">
        <f t="array" ref="AV743">IFERROR(INDEX(V743:AG743,1,MATCH(Parametres!$B$3,V$1:AG$1,0)-1)*IF(OR(C743="L",C743="S",C743="I"),-1,1),"")</f>
        <v>0</v>
      </c>
      <c r="AW743" s="794">
        <f t="shared" si="6"/>
        <v>0</v>
      </c>
      <c r="AX743" s="794">
        <f t="array" ref="AX743">INDEX(V743:AG743,1,MATCH(Parametres!$B$3,V$1:AG$1,0))*IF(OR(C743="L",C743="S",C743="I"),-1,1)</f>
        <v>0</v>
      </c>
      <c r="AY743" s="853" t="s">
        <v>772</v>
      </c>
      <c r="AZ743" s="853" t="str">
        <f>+VLOOKUP($AJ743,Data_Validation!$A:$E,5,0)</f>
        <v/>
      </c>
    </row>
    <row r="744" ht="15.0" customHeight="1">
      <c r="A744" s="849" t="s">
        <v>1239</v>
      </c>
      <c r="B744" s="849">
        <v>2025.0</v>
      </c>
      <c r="C744" s="849" t="s">
        <v>2991</v>
      </c>
      <c r="D744" s="849" t="s">
        <v>2992</v>
      </c>
      <c r="E744" s="849" t="s">
        <v>2072</v>
      </c>
      <c r="F744" s="849" t="s">
        <v>2855</v>
      </c>
      <c r="G744" s="849">
        <v>0.0</v>
      </c>
      <c r="H744" s="849">
        <v>0.0</v>
      </c>
      <c r="I744" s="849">
        <v>74887.62</v>
      </c>
      <c r="J744" s="849">
        <v>200296.84</v>
      </c>
      <c r="K744" s="849">
        <v>200296.84</v>
      </c>
      <c r="L744" s="849">
        <v>320646.59</v>
      </c>
      <c r="M744" s="849">
        <v>383013.06</v>
      </c>
      <c r="N744" s="849">
        <v>506749.84</v>
      </c>
      <c r="O744" s="849">
        <v>567964.37</v>
      </c>
      <c r="P744" s="849">
        <v>627382.4</v>
      </c>
      <c r="Q744" s="849">
        <v>693886.81</v>
      </c>
      <c r="R744" s="849">
        <v>1083750.78</v>
      </c>
      <c r="S744" s="849">
        <v>63080.62</v>
      </c>
      <c r="T744" s="849">
        <v>63080.62</v>
      </c>
      <c r="U744" s="849">
        <v>0.0</v>
      </c>
      <c r="V744" s="849">
        <v>0.0</v>
      </c>
      <c r="W744" s="849">
        <v>0.0</v>
      </c>
      <c r="X744" s="849">
        <v>0.0</v>
      </c>
      <c r="Y744" s="849">
        <v>0.0</v>
      </c>
      <c r="Z744" s="849">
        <v>0.0</v>
      </c>
      <c r="AA744" s="849">
        <v>0.0</v>
      </c>
      <c r="AB744" s="849">
        <v>0.0</v>
      </c>
      <c r="AC744" s="849">
        <v>0.0</v>
      </c>
      <c r="AD744" s="849">
        <v>0.0</v>
      </c>
      <c r="AE744" s="849">
        <v>0.0</v>
      </c>
      <c r="AF744" s="849">
        <v>0.0</v>
      </c>
      <c r="AG744" s="849">
        <v>0.0</v>
      </c>
      <c r="AH744" s="849">
        <v>0.0</v>
      </c>
      <c r="AI744" s="849">
        <v>0.0</v>
      </c>
      <c r="AJ744" s="794" t="str">
        <f t="shared" ref="AJ744:AK744" si="1485">C744</f>
        <v>G63301</v>
      </c>
      <c r="AK744" s="794" t="str">
        <f t="shared" si="1485"/>
        <v>COUT-BLAZER EV</v>
      </c>
      <c r="AL744" s="794">
        <f t="array" ref="AL744">IFERROR(INDEX(G744:R744,1,MATCH(Parametres!$B$3,G$1:R$1,0)-1)*IF(OR(F744="L",F744="S",F744="I"),-1,1),"")</f>
        <v>506749.84</v>
      </c>
      <c r="AM744" s="794">
        <f t="shared" si="4"/>
        <v>61214.53</v>
      </c>
      <c r="AN744" s="794">
        <f t="array" ref="AN744">INDEX(G744:R744,1,MATCH(Parametres!$B$3,G$1:R$1,0))*IF(OR(F744="L",F744="S",F744="I"),-1,1)</f>
        <v>567964.37</v>
      </c>
      <c r="AO744" s="853" t="str">
        <f>+VLOOKUP($AJ744,Data_Validation!$A:$D,1,0)</f>
        <v>G63301</v>
      </c>
      <c r="AP744" s="853" t="str">
        <f>+VLOOKUP($AJ744,Data_Validation!$A:$D,3,0)</f>
        <v>Véhicules neufs</v>
      </c>
      <c r="AQ744" s="853" t="str">
        <f>+VLOOKUP($AJ744,Data_Validation!$A:$D,4,0)</f>
        <v>Camions electriques</v>
      </c>
      <c r="AR744" s="853" t="s">
        <v>728</v>
      </c>
      <c r="AS744" s="853" t="str">
        <f>+VLOOKUP($AJ744,Data_Validation!$A:$E,5,0)</f>
        <v/>
      </c>
      <c r="AT744" s="794" t="str">
        <f t="shared" ref="AT744:AU744" si="1486">C744</f>
        <v>G63301</v>
      </c>
      <c r="AU744" s="854" t="str">
        <f t="shared" si="1486"/>
        <v>COUT-BLAZER EV</v>
      </c>
      <c r="AV744" s="794">
        <f t="array" ref="AV744">IFERROR(INDEX(V744:AG744,1,MATCH(Parametres!$B$3,V$1:AG$1,0)-1)*IF(OR(C744="L",C744="S",C744="I"),-1,1),"")</f>
        <v>0</v>
      </c>
      <c r="AW744" s="794">
        <f t="shared" si="6"/>
        <v>0</v>
      </c>
      <c r="AX744" s="794">
        <f t="array" ref="AX744">INDEX(V744:AG744,1,MATCH(Parametres!$B$3,V$1:AG$1,0))*IF(OR(C744="L",C744="S",C744="I"),-1,1)</f>
        <v>0</v>
      </c>
      <c r="AY744" s="853" t="s">
        <v>772</v>
      </c>
      <c r="AZ744" s="853" t="str">
        <f>+VLOOKUP($AJ744,Data_Validation!$A:$E,5,0)</f>
        <v/>
      </c>
    </row>
    <row r="745" ht="15.0" customHeight="1">
      <c r="A745" s="849" t="s">
        <v>1239</v>
      </c>
      <c r="B745" s="849">
        <v>2025.0</v>
      </c>
      <c r="C745" s="849" t="s">
        <v>2993</v>
      </c>
      <c r="D745" s="849" t="s">
        <v>2994</v>
      </c>
      <c r="E745" s="849" t="s">
        <v>2072</v>
      </c>
      <c r="F745" s="849" t="s">
        <v>2855</v>
      </c>
      <c r="G745" s="849">
        <v>0.0</v>
      </c>
      <c r="H745" s="849">
        <v>0.0</v>
      </c>
      <c r="I745" s="849">
        <v>0.0</v>
      </c>
      <c r="J745" s="849">
        <v>0.0</v>
      </c>
      <c r="K745" s="849">
        <v>0.0</v>
      </c>
      <c r="L745" s="849">
        <v>0.0</v>
      </c>
      <c r="M745" s="849">
        <v>0.0</v>
      </c>
      <c r="N745" s="849">
        <v>0.0</v>
      </c>
      <c r="O745" s="849">
        <v>0.0</v>
      </c>
      <c r="P745" s="849">
        <v>0.0</v>
      </c>
      <c r="Q745" s="849">
        <v>0.0</v>
      </c>
      <c r="R745" s="849">
        <v>0.0</v>
      </c>
      <c r="S745" s="849">
        <v>0.0</v>
      </c>
      <c r="T745" s="849">
        <v>0.0</v>
      </c>
      <c r="U745" s="849">
        <v>0.0</v>
      </c>
      <c r="V745" s="849">
        <v>0.0</v>
      </c>
      <c r="W745" s="849">
        <v>0.0</v>
      </c>
      <c r="X745" s="849">
        <v>0.0</v>
      </c>
      <c r="Y745" s="849">
        <v>0.0</v>
      </c>
      <c r="Z745" s="849">
        <v>0.0</v>
      </c>
      <c r="AA745" s="849">
        <v>0.0</v>
      </c>
      <c r="AB745" s="849">
        <v>0.0</v>
      </c>
      <c r="AC745" s="849">
        <v>0.0</v>
      </c>
      <c r="AD745" s="849">
        <v>0.0</v>
      </c>
      <c r="AE745" s="849">
        <v>0.0</v>
      </c>
      <c r="AF745" s="849">
        <v>0.0</v>
      </c>
      <c r="AG745" s="849">
        <v>0.0</v>
      </c>
      <c r="AH745" s="849">
        <v>0.0</v>
      </c>
      <c r="AI745" s="849">
        <v>0.0</v>
      </c>
      <c r="AJ745" s="794" t="str">
        <f t="shared" ref="AJ745:AK745" si="1487">C745</f>
        <v>G63320</v>
      </c>
      <c r="AK745" s="794" t="str">
        <f t="shared" si="1487"/>
        <v>COUT-CL 3500 SILVERAD-LOC</v>
      </c>
      <c r="AL745" s="794">
        <f t="array" ref="AL745">IFERROR(INDEX(G745:R745,1,MATCH(Parametres!$B$3,G$1:R$1,0)-1)*IF(OR(F745="L",F745="S",F745="I"),-1,1),"")</f>
        <v>0</v>
      </c>
      <c r="AM745" s="794">
        <f t="shared" si="4"/>
        <v>0</v>
      </c>
      <c r="AN745" s="794">
        <f t="array" ref="AN745">INDEX(G745:R745,1,MATCH(Parametres!$B$3,G$1:R$1,0))*IF(OR(F745="L",F745="S",F745="I"),-1,1)</f>
        <v>0</v>
      </c>
      <c r="AO745" s="853" t="str">
        <f>+VLOOKUP($AJ745,Data_Validation!$A:$D,1,0)</f>
        <v>#N/A</v>
      </c>
      <c r="AP745" s="853" t="str">
        <f>+VLOOKUP($AJ745,Data_Validation!$A:$D,3,0)</f>
        <v>#N/A</v>
      </c>
      <c r="AQ745" s="853" t="str">
        <f>+VLOOKUP($AJ745,Data_Validation!$A:$D,4,0)</f>
        <v>#N/A</v>
      </c>
      <c r="AR745" s="853" t="s">
        <v>728</v>
      </c>
      <c r="AS745" s="853" t="str">
        <f>+VLOOKUP($AJ745,Data_Validation!$A:$E,5,0)</f>
        <v>#N/A</v>
      </c>
      <c r="AT745" s="794" t="str">
        <f t="shared" ref="AT745:AU745" si="1488">C745</f>
        <v>G63320</v>
      </c>
      <c r="AU745" s="854" t="str">
        <f t="shared" si="1488"/>
        <v>COUT-CL 3500 SILVERAD-LOC</v>
      </c>
      <c r="AV745" s="794">
        <f t="array" ref="AV745">IFERROR(INDEX(V745:AG745,1,MATCH(Parametres!$B$3,V$1:AG$1,0)-1)*IF(OR(C745="L",C745="S",C745="I"),-1,1),"")</f>
        <v>0</v>
      </c>
      <c r="AW745" s="794">
        <f t="shared" si="6"/>
        <v>0</v>
      </c>
      <c r="AX745" s="794">
        <f t="array" ref="AX745">INDEX(V745:AG745,1,MATCH(Parametres!$B$3,V$1:AG$1,0))*IF(OR(C745="L",C745="S",C745="I"),-1,1)</f>
        <v>0</v>
      </c>
      <c r="AY745" s="853" t="s">
        <v>772</v>
      </c>
      <c r="AZ745" s="853" t="str">
        <f>+VLOOKUP($AJ745,Data_Validation!$A:$E,5,0)</f>
        <v>#N/A</v>
      </c>
    </row>
    <row r="746" ht="15.0" customHeight="1">
      <c r="A746" s="849" t="s">
        <v>1239</v>
      </c>
      <c r="B746" s="849">
        <v>2025.0</v>
      </c>
      <c r="C746" s="849" t="s">
        <v>2995</v>
      </c>
      <c r="D746" s="849" t="s">
        <v>2996</v>
      </c>
      <c r="E746" s="849" t="s">
        <v>2072</v>
      </c>
      <c r="F746" s="849" t="s">
        <v>2855</v>
      </c>
      <c r="G746" s="849">
        <v>0.0</v>
      </c>
      <c r="H746" s="849">
        <v>0.0</v>
      </c>
      <c r="I746" s="849">
        <v>73335.62</v>
      </c>
      <c r="J746" s="849">
        <v>114280.98</v>
      </c>
      <c r="K746" s="849">
        <v>192114.3</v>
      </c>
      <c r="L746" s="849">
        <v>273291.3</v>
      </c>
      <c r="M746" s="849">
        <v>342917.8</v>
      </c>
      <c r="N746" s="849">
        <v>461536.34</v>
      </c>
      <c r="O746" s="849">
        <v>636151.05</v>
      </c>
      <c r="P746" s="849">
        <v>977446.88</v>
      </c>
      <c r="Q746" s="849">
        <v>1056963.76</v>
      </c>
      <c r="R746" s="849">
        <v>1056963.76</v>
      </c>
      <c r="S746" s="849">
        <v>96087.61</v>
      </c>
      <c r="T746" s="849">
        <v>96087.61</v>
      </c>
      <c r="U746" s="849">
        <v>0.0</v>
      </c>
      <c r="V746" s="849">
        <v>0.0</v>
      </c>
      <c r="W746" s="849">
        <v>0.0</v>
      </c>
      <c r="X746" s="849">
        <v>0.0</v>
      </c>
      <c r="Y746" s="849">
        <v>0.0</v>
      </c>
      <c r="Z746" s="849">
        <v>0.0</v>
      </c>
      <c r="AA746" s="849">
        <v>0.0</v>
      </c>
      <c r="AB746" s="849">
        <v>0.0</v>
      </c>
      <c r="AC746" s="849">
        <v>0.0</v>
      </c>
      <c r="AD746" s="849">
        <v>0.0</v>
      </c>
      <c r="AE746" s="849">
        <v>0.0</v>
      </c>
      <c r="AF746" s="849">
        <v>0.0</v>
      </c>
      <c r="AG746" s="849">
        <v>0.0</v>
      </c>
      <c r="AH746" s="849">
        <v>0.0</v>
      </c>
      <c r="AI746" s="849">
        <v>0.0</v>
      </c>
      <c r="AJ746" s="794" t="str">
        <f t="shared" ref="AJ746:AK746" si="1489">C746</f>
        <v>G63400</v>
      </c>
      <c r="AK746" s="794" t="str">
        <f t="shared" si="1489"/>
        <v>COUTANT EQUINOX</v>
      </c>
      <c r="AL746" s="794">
        <f t="array" ref="AL746">IFERROR(INDEX(G746:R746,1,MATCH(Parametres!$B$3,G$1:R$1,0)-1)*IF(OR(F746="L",F746="S",F746="I"),-1,1),"")</f>
        <v>461536.34</v>
      </c>
      <c r="AM746" s="794">
        <f t="shared" si="4"/>
        <v>174614.71</v>
      </c>
      <c r="AN746" s="794">
        <f t="array" ref="AN746">INDEX(G746:R746,1,MATCH(Parametres!$B$3,G$1:R$1,0))*IF(OR(F746="L",F746="S",F746="I"),-1,1)</f>
        <v>636151.05</v>
      </c>
      <c r="AO746" s="853" t="str">
        <f>+VLOOKUP($AJ746,Data_Validation!$A:$D,1,0)</f>
        <v>G63400</v>
      </c>
      <c r="AP746" s="853" t="str">
        <f>+VLOOKUP($AJ746,Data_Validation!$A:$D,3,0)</f>
        <v>Véhicules neufs</v>
      </c>
      <c r="AQ746" s="853" t="str">
        <f>+VLOOKUP($AJ746,Data_Validation!$A:$D,4,0)</f>
        <v>Camions détail</v>
      </c>
      <c r="AR746" s="853" t="s">
        <v>728</v>
      </c>
      <c r="AS746" s="853" t="str">
        <f>+VLOOKUP($AJ746,Data_Validation!$A:$E,5,0)</f>
        <v/>
      </c>
      <c r="AT746" s="794" t="str">
        <f t="shared" ref="AT746:AU746" si="1490">C746</f>
        <v>G63400</v>
      </c>
      <c r="AU746" s="854" t="str">
        <f t="shared" si="1490"/>
        <v>COUTANT EQUINOX</v>
      </c>
      <c r="AV746" s="794">
        <f t="array" ref="AV746">IFERROR(INDEX(V746:AG746,1,MATCH(Parametres!$B$3,V$1:AG$1,0)-1)*IF(OR(C746="L",C746="S",C746="I"),-1,1),"")</f>
        <v>0</v>
      </c>
      <c r="AW746" s="794">
        <f t="shared" si="6"/>
        <v>0</v>
      </c>
      <c r="AX746" s="794">
        <f t="array" ref="AX746">INDEX(V746:AG746,1,MATCH(Parametres!$B$3,V$1:AG$1,0))*IF(OR(C746="L",C746="S",C746="I"),-1,1)</f>
        <v>0</v>
      </c>
      <c r="AY746" s="853" t="s">
        <v>772</v>
      </c>
      <c r="AZ746" s="853" t="str">
        <f>+VLOOKUP($AJ746,Data_Validation!$A:$E,5,0)</f>
        <v/>
      </c>
    </row>
    <row r="747" ht="15.0" customHeight="1">
      <c r="A747" s="849" t="s">
        <v>1239</v>
      </c>
      <c r="B747" s="849">
        <v>2025.0</v>
      </c>
      <c r="C747" s="849" t="s">
        <v>2997</v>
      </c>
      <c r="D747" s="849" t="s">
        <v>2998</v>
      </c>
      <c r="E747" s="849" t="s">
        <v>2072</v>
      </c>
      <c r="F747" s="849" t="s">
        <v>2855</v>
      </c>
      <c r="G747" s="849">
        <v>686084.28</v>
      </c>
      <c r="H747" s="849">
        <v>802972.93</v>
      </c>
      <c r="I747" s="849">
        <v>858595.17</v>
      </c>
      <c r="J747" s="849">
        <v>1323828.8</v>
      </c>
      <c r="K747" s="849">
        <v>3155515.09</v>
      </c>
      <c r="L747" s="849">
        <v>4182254.28</v>
      </c>
      <c r="M747" s="849">
        <v>4910474.61</v>
      </c>
      <c r="N747" s="849">
        <v>5384578.17</v>
      </c>
      <c r="O747" s="849">
        <v>6459596.79</v>
      </c>
      <c r="P747" s="849">
        <v>6852647.76</v>
      </c>
      <c r="Q747" s="849">
        <v>7346392.84</v>
      </c>
      <c r="R747" s="849">
        <v>7957701.21</v>
      </c>
      <c r="S747" s="849">
        <v>667853.89</v>
      </c>
      <c r="T747" s="849">
        <v>667853.89</v>
      </c>
      <c r="U747" s="849">
        <v>0.0</v>
      </c>
      <c r="V747" s="849">
        <v>0.0</v>
      </c>
      <c r="W747" s="849">
        <v>0.0</v>
      </c>
      <c r="X747" s="849">
        <v>0.0</v>
      </c>
      <c r="Y747" s="849">
        <v>0.0</v>
      </c>
      <c r="Z747" s="849">
        <v>0.0</v>
      </c>
      <c r="AA747" s="849">
        <v>0.0</v>
      </c>
      <c r="AB747" s="849">
        <v>0.0</v>
      </c>
      <c r="AC747" s="849">
        <v>0.0</v>
      </c>
      <c r="AD747" s="849">
        <v>0.0</v>
      </c>
      <c r="AE747" s="849">
        <v>0.0</v>
      </c>
      <c r="AF747" s="849">
        <v>0.0</v>
      </c>
      <c r="AG747" s="849">
        <v>0.0</v>
      </c>
      <c r="AH747" s="849">
        <v>0.0</v>
      </c>
      <c r="AI747" s="849">
        <v>0.0</v>
      </c>
      <c r="AJ747" s="794" t="str">
        <f t="shared" ref="AJ747:AK747" si="1491">C747</f>
        <v>G63401</v>
      </c>
      <c r="AK747" s="794" t="str">
        <f t="shared" si="1491"/>
        <v>COUT - EQUINOX EV</v>
      </c>
      <c r="AL747" s="794">
        <f t="array" ref="AL747">IFERROR(INDEX(G747:R747,1,MATCH(Parametres!$B$3,G$1:R$1,0)-1)*IF(OR(F747="L",F747="S",F747="I"),-1,1),"")</f>
        <v>5384578.17</v>
      </c>
      <c r="AM747" s="794">
        <f t="shared" si="4"/>
        <v>1075018.62</v>
      </c>
      <c r="AN747" s="794">
        <f t="array" ref="AN747">INDEX(G747:R747,1,MATCH(Parametres!$B$3,G$1:R$1,0))*IF(OR(F747="L",F747="S",F747="I"),-1,1)</f>
        <v>6459596.79</v>
      </c>
      <c r="AO747" s="853" t="str">
        <f>+VLOOKUP($AJ747,Data_Validation!$A:$D,1,0)</f>
        <v>G63401</v>
      </c>
      <c r="AP747" s="853" t="str">
        <f>+VLOOKUP($AJ747,Data_Validation!$A:$D,3,0)</f>
        <v>Véhicules neufs</v>
      </c>
      <c r="AQ747" s="853" t="str">
        <f>+VLOOKUP($AJ747,Data_Validation!$A:$D,4,0)</f>
        <v>Camions electriques</v>
      </c>
      <c r="AR747" s="853" t="s">
        <v>728</v>
      </c>
      <c r="AS747" s="853" t="str">
        <f>+VLOOKUP($AJ747,Data_Validation!$A:$E,5,0)</f>
        <v/>
      </c>
      <c r="AT747" s="794" t="str">
        <f t="shared" ref="AT747:AU747" si="1492">C747</f>
        <v>G63401</v>
      </c>
      <c r="AU747" s="854" t="str">
        <f t="shared" si="1492"/>
        <v>COUT - EQUINOX EV</v>
      </c>
      <c r="AV747" s="794">
        <f t="array" ref="AV747">IFERROR(INDEX(V747:AG747,1,MATCH(Parametres!$B$3,V$1:AG$1,0)-1)*IF(OR(C747="L",C747="S",C747="I"),-1,1),"")</f>
        <v>0</v>
      </c>
      <c r="AW747" s="794">
        <f t="shared" si="6"/>
        <v>0</v>
      </c>
      <c r="AX747" s="794">
        <f t="array" ref="AX747">INDEX(V747:AG747,1,MATCH(Parametres!$B$3,V$1:AG$1,0))*IF(OR(C747="L",C747="S",C747="I"),-1,1)</f>
        <v>0</v>
      </c>
      <c r="AY747" s="853" t="s">
        <v>772</v>
      </c>
      <c r="AZ747" s="853" t="str">
        <f>+VLOOKUP($AJ747,Data_Validation!$A:$E,5,0)</f>
        <v/>
      </c>
    </row>
    <row r="748" ht="15.0" customHeight="1">
      <c r="A748" s="849" t="s">
        <v>1239</v>
      </c>
      <c r="B748" s="849">
        <v>2025.0</v>
      </c>
      <c r="C748" s="849" t="s">
        <v>2999</v>
      </c>
      <c r="D748" s="849" t="s">
        <v>3000</v>
      </c>
      <c r="E748" s="849" t="s">
        <v>2072</v>
      </c>
      <c r="F748" s="849" t="s">
        <v>2855</v>
      </c>
      <c r="G748" s="849">
        <v>0.0</v>
      </c>
      <c r="H748" s="849">
        <v>0.0</v>
      </c>
      <c r="I748" s="849">
        <v>0.0</v>
      </c>
      <c r="J748" s="849">
        <v>0.0</v>
      </c>
      <c r="K748" s="849">
        <v>0.0</v>
      </c>
      <c r="L748" s="849">
        <v>0.0</v>
      </c>
      <c r="M748" s="849">
        <v>0.0</v>
      </c>
      <c r="N748" s="849">
        <v>0.0</v>
      </c>
      <c r="O748" s="849">
        <v>0.0</v>
      </c>
      <c r="P748" s="849">
        <v>0.0</v>
      </c>
      <c r="Q748" s="849">
        <v>0.0</v>
      </c>
      <c r="R748" s="849">
        <v>0.0</v>
      </c>
      <c r="S748" s="849">
        <v>0.0</v>
      </c>
      <c r="T748" s="849">
        <v>0.0</v>
      </c>
      <c r="U748" s="849">
        <v>0.0</v>
      </c>
      <c r="V748" s="849">
        <v>0.0</v>
      </c>
      <c r="W748" s="849">
        <v>0.0</v>
      </c>
      <c r="X748" s="849">
        <v>0.0</v>
      </c>
      <c r="Y748" s="849">
        <v>0.0</v>
      </c>
      <c r="Z748" s="849">
        <v>0.0</v>
      </c>
      <c r="AA748" s="849">
        <v>0.0</v>
      </c>
      <c r="AB748" s="849">
        <v>0.0</v>
      </c>
      <c r="AC748" s="849">
        <v>0.0</v>
      </c>
      <c r="AD748" s="849">
        <v>0.0</v>
      </c>
      <c r="AE748" s="849">
        <v>0.0</v>
      </c>
      <c r="AF748" s="849">
        <v>0.0</v>
      </c>
      <c r="AG748" s="849">
        <v>0.0</v>
      </c>
      <c r="AH748" s="849">
        <v>0.0</v>
      </c>
      <c r="AI748" s="849">
        <v>0.0</v>
      </c>
      <c r="AJ748" s="794" t="str">
        <f t="shared" ref="AJ748:AK748" si="1493">C748</f>
        <v>G63420</v>
      </c>
      <c r="AK748" s="794" t="str">
        <f t="shared" si="1493"/>
        <v>COUT-TRACKER         -LOC</v>
      </c>
      <c r="AL748" s="794">
        <f t="array" ref="AL748">IFERROR(INDEX(G748:R748,1,MATCH(Parametres!$B$3,G$1:R$1,0)-1)*IF(OR(F748="L",F748="S",F748="I"),-1,1),"")</f>
        <v>0</v>
      </c>
      <c r="AM748" s="794">
        <f t="shared" si="4"/>
        <v>0</v>
      </c>
      <c r="AN748" s="794">
        <f t="array" ref="AN748">INDEX(G748:R748,1,MATCH(Parametres!$B$3,G$1:R$1,0))*IF(OR(F748="L",F748="S",F748="I"),-1,1)</f>
        <v>0</v>
      </c>
      <c r="AO748" s="853" t="str">
        <f>+VLOOKUP($AJ748,Data_Validation!$A:$D,1,0)</f>
        <v>#N/A</v>
      </c>
      <c r="AP748" s="853" t="str">
        <f>+VLOOKUP($AJ748,Data_Validation!$A:$D,3,0)</f>
        <v>#N/A</v>
      </c>
      <c r="AQ748" s="853" t="str">
        <f>+VLOOKUP($AJ748,Data_Validation!$A:$D,4,0)</f>
        <v>#N/A</v>
      </c>
      <c r="AR748" s="853" t="s">
        <v>728</v>
      </c>
      <c r="AS748" s="853" t="str">
        <f>+VLOOKUP($AJ748,Data_Validation!$A:$E,5,0)</f>
        <v>#N/A</v>
      </c>
      <c r="AT748" s="794" t="str">
        <f t="shared" ref="AT748:AU748" si="1494">C748</f>
        <v>G63420</v>
      </c>
      <c r="AU748" s="854" t="str">
        <f t="shared" si="1494"/>
        <v>COUT-TRACKER         -LOC</v>
      </c>
      <c r="AV748" s="794">
        <f t="array" ref="AV748">IFERROR(INDEX(V748:AG748,1,MATCH(Parametres!$B$3,V$1:AG$1,0)-1)*IF(OR(C748="L",C748="S",C748="I"),-1,1),"")</f>
        <v>0</v>
      </c>
      <c r="AW748" s="794">
        <f t="shared" si="6"/>
        <v>0</v>
      </c>
      <c r="AX748" s="794">
        <f t="array" ref="AX748">INDEX(V748:AG748,1,MATCH(Parametres!$B$3,V$1:AG$1,0))*IF(OR(C748="L",C748="S",C748="I"),-1,1)</f>
        <v>0</v>
      </c>
      <c r="AY748" s="853" t="s">
        <v>772</v>
      </c>
      <c r="AZ748" s="853" t="str">
        <f>+VLOOKUP($AJ748,Data_Validation!$A:$E,5,0)</f>
        <v>#N/A</v>
      </c>
    </row>
    <row r="749" ht="15.0" customHeight="1">
      <c r="A749" s="849" t="s">
        <v>1239</v>
      </c>
      <c r="B749" s="849">
        <v>2025.0</v>
      </c>
      <c r="C749" s="849" t="s">
        <v>3001</v>
      </c>
      <c r="D749" s="849" t="s">
        <v>3002</v>
      </c>
      <c r="E749" s="849" t="s">
        <v>2072</v>
      </c>
      <c r="F749" s="849" t="s">
        <v>2855</v>
      </c>
      <c r="G749" s="849">
        <v>0.0</v>
      </c>
      <c r="H749" s="849">
        <v>0.0</v>
      </c>
      <c r="I749" s="849">
        <v>0.0</v>
      </c>
      <c r="J749" s="849">
        <v>0.0</v>
      </c>
      <c r="K749" s="849">
        <v>0.0</v>
      </c>
      <c r="L749" s="849">
        <v>0.0</v>
      </c>
      <c r="M749" s="849">
        <v>0.0</v>
      </c>
      <c r="N749" s="849">
        <v>0.0</v>
      </c>
      <c r="O749" s="849">
        <v>0.0</v>
      </c>
      <c r="P749" s="849">
        <v>0.0</v>
      </c>
      <c r="Q749" s="849">
        <v>0.0</v>
      </c>
      <c r="R749" s="849">
        <v>0.0</v>
      </c>
      <c r="S749" s="849">
        <v>0.0</v>
      </c>
      <c r="T749" s="849">
        <v>0.0</v>
      </c>
      <c r="U749" s="849">
        <v>0.0</v>
      </c>
      <c r="V749" s="849">
        <v>0.0</v>
      </c>
      <c r="W749" s="849">
        <v>0.0</v>
      </c>
      <c r="X749" s="849">
        <v>0.0</v>
      </c>
      <c r="Y749" s="849">
        <v>0.0</v>
      </c>
      <c r="Z749" s="849">
        <v>0.0</v>
      </c>
      <c r="AA749" s="849">
        <v>0.0</v>
      </c>
      <c r="AB749" s="849">
        <v>0.0</v>
      </c>
      <c r="AC749" s="849">
        <v>0.0</v>
      </c>
      <c r="AD749" s="849">
        <v>0.0</v>
      </c>
      <c r="AE749" s="849">
        <v>0.0</v>
      </c>
      <c r="AF749" s="849">
        <v>0.0</v>
      </c>
      <c r="AG749" s="849">
        <v>0.0</v>
      </c>
      <c r="AH749" s="849">
        <v>0.0</v>
      </c>
      <c r="AI749" s="849">
        <v>0.0</v>
      </c>
      <c r="AJ749" s="794" t="str">
        <f t="shared" ref="AJ749:AK749" si="1495">C749</f>
        <v>G63500</v>
      </c>
      <c r="AK749" s="794" t="str">
        <f t="shared" si="1495"/>
        <v>COUT CHEV CITY</v>
      </c>
      <c r="AL749" s="794">
        <f t="array" ref="AL749">IFERROR(INDEX(G749:R749,1,MATCH(Parametres!$B$3,G$1:R$1,0)-1)*IF(OR(F749="L",F749="S",F749="I"),-1,1),"")</f>
        <v>0</v>
      </c>
      <c r="AM749" s="794">
        <f t="shared" si="4"/>
        <v>0</v>
      </c>
      <c r="AN749" s="794">
        <f t="array" ref="AN749">INDEX(G749:R749,1,MATCH(Parametres!$B$3,G$1:R$1,0))*IF(OR(F749="L",F749="S",F749="I"),-1,1)</f>
        <v>0</v>
      </c>
      <c r="AO749" s="853" t="str">
        <f>+VLOOKUP($AJ749,Data_Validation!$A:$D,1,0)</f>
        <v>G63500</v>
      </c>
      <c r="AP749" s="853" t="str">
        <f>+VLOOKUP($AJ749,Data_Validation!$A:$D,3,0)</f>
        <v>Véhicules neufs</v>
      </c>
      <c r="AQ749" s="853" t="str">
        <f>+VLOOKUP($AJ749,Data_Validation!$A:$D,4,0)</f>
        <v>Camions détail</v>
      </c>
      <c r="AR749" s="853" t="s">
        <v>728</v>
      </c>
      <c r="AS749" s="853" t="str">
        <f>+VLOOKUP($AJ749,Data_Validation!$A:$E,5,0)</f>
        <v/>
      </c>
      <c r="AT749" s="794" t="str">
        <f t="shared" ref="AT749:AU749" si="1496">C749</f>
        <v>G63500</v>
      </c>
      <c r="AU749" s="854" t="str">
        <f t="shared" si="1496"/>
        <v>COUT CHEV CITY</v>
      </c>
      <c r="AV749" s="794">
        <f t="array" ref="AV749">IFERROR(INDEX(V749:AG749,1,MATCH(Parametres!$B$3,V$1:AG$1,0)-1)*IF(OR(C749="L",C749="S",C749="I"),-1,1),"")</f>
        <v>0</v>
      </c>
      <c r="AW749" s="794">
        <f t="shared" si="6"/>
        <v>0</v>
      </c>
      <c r="AX749" s="794">
        <f t="array" ref="AX749">INDEX(V749:AG749,1,MATCH(Parametres!$B$3,V$1:AG$1,0))*IF(OR(C749="L",C749="S",C749="I"),-1,1)</f>
        <v>0</v>
      </c>
      <c r="AY749" s="853" t="s">
        <v>772</v>
      </c>
      <c r="AZ749" s="853" t="str">
        <f>+VLOOKUP($AJ749,Data_Validation!$A:$E,5,0)</f>
        <v/>
      </c>
    </row>
    <row r="750" ht="15.0" customHeight="1">
      <c r="A750" s="849" t="s">
        <v>1239</v>
      </c>
      <c r="B750" s="849">
        <v>2025.0</v>
      </c>
      <c r="C750" s="849" t="s">
        <v>3003</v>
      </c>
      <c r="D750" s="849" t="s">
        <v>3004</v>
      </c>
      <c r="E750" s="849" t="s">
        <v>2072</v>
      </c>
      <c r="F750" s="849" t="s">
        <v>2855</v>
      </c>
      <c r="G750" s="849">
        <v>211153.94</v>
      </c>
      <c r="H750" s="849">
        <v>327903.02</v>
      </c>
      <c r="I750" s="849">
        <v>445738.17</v>
      </c>
      <c r="J750" s="849">
        <v>445738.17</v>
      </c>
      <c r="K750" s="849">
        <v>561201.63</v>
      </c>
      <c r="L750" s="849">
        <v>697860.09</v>
      </c>
      <c r="M750" s="849">
        <v>697860.09</v>
      </c>
      <c r="N750" s="849">
        <v>697860.09</v>
      </c>
      <c r="O750" s="849">
        <v>697860.09</v>
      </c>
      <c r="P750" s="849">
        <v>697860.09</v>
      </c>
      <c r="Q750" s="849">
        <v>697860.09</v>
      </c>
      <c r="R750" s="849">
        <v>697860.09</v>
      </c>
      <c r="S750" s="849">
        <v>63441.83</v>
      </c>
      <c r="T750" s="849">
        <v>63441.83</v>
      </c>
      <c r="U750" s="849">
        <v>0.0</v>
      </c>
      <c r="V750" s="849">
        <v>0.0</v>
      </c>
      <c r="W750" s="849">
        <v>0.0</v>
      </c>
      <c r="X750" s="849">
        <v>0.0</v>
      </c>
      <c r="Y750" s="849">
        <v>0.0</v>
      </c>
      <c r="Z750" s="849">
        <v>0.0</v>
      </c>
      <c r="AA750" s="849">
        <v>0.0</v>
      </c>
      <c r="AB750" s="849">
        <v>0.0</v>
      </c>
      <c r="AC750" s="849">
        <v>0.0</v>
      </c>
      <c r="AD750" s="849">
        <v>0.0</v>
      </c>
      <c r="AE750" s="849">
        <v>0.0</v>
      </c>
      <c r="AF750" s="849">
        <v>0.0</v>
      </c>
      <c r="AG750" s="849">
        <v>0.0</v>
      </c>
      <c r="AH750" s="849">
        <v>0.0</v>
      </c>
      <c r="AI750" s="849">
        <v>0.0</v>
      </c>
      <c r="AJ750" s="794" t="str">
        <f t="shared" ref="AJ750:AK750" si="1497">C750</f>
        <v>G63501</v>
      </c>
      <c r="AK750" s="794" t="str">
        <f t="shared" si="1497"/>
        <v>COUT - HUMMER EV SUV</v>
      </c>
      <c r="AL750" s="794">
        <f t="array" ref="AL750">IFERROR(INDEX(G750:R750,1,MATCH(Parametres!$B$3,G$1:R$1,0)-1)*IF(OR(F750="L",F750="S",F750="I"),-1,1),"")</f>
        <v>697860.09</v>
      </c>
      <c r="AM750" s="794">
        <f t="shared" si="4"/>
        <v>0</v>
      </c>
      <c r="AN750" s="794">
        <f t="array" ref="AN750">INDEX(G750:R750,1,MATCH(Parametres!$B$3,G$1:R$1,0))*IF(OR(F750="L",F750="S",F750="I"),-1,1)</f>
        <v>697860.09</v>
      </c>
      <c r="AO750" s="853" t="str">
        <f>+VLOOKUP($AJ750,Data_Validation!$A:$D,1,0)</f>
        <v>G63501</v>
      </c>
      <c r="AP750" s="853" t="str">
        <f>+VLOOKUP($AJ750,Data_Validation!$A:$D,3,0)</f>
        <v>Véhicules neufs</v>
      </c>
      <c r="AQ750" s="853" t="str">
        <f>+VLOOKUP($AJ750,Data_Validation!$A:$D,4,0)</f>
        <v>Camions electriques</v>
      </c>
      <c r="AR750" s="853" t="s">
        <v>728</v>
      </c>
      <c r="AS750" s="853" t="str">
        <f>+VLOOKUP($AJ750,Data_Validation!$A:$E,5,0)</f>
        <v/>
      </c>
      <c r="AT750" s="794" t="str">
        <f t="shared" ref="AT750:AU750" si="1498">C750</f>
        <v>G63501</v>
      </c>
      <c r="AU750" s="854" t="str">
        <f t="shared" si="1498"/>
        <v>COUT - HUMMER EV SUV</v>
      </c>
      <c r="AV750" s="794">
        <f t="array" ref="AV750">IFERROR(INDEX(V750:AG750,1,MATCH(Parametres!$B$3,V$1:AG$1,0)-1)*IF(OR(C750="L",C750="S",C750="I"),-1,1),"")</f>
        <v>0</v>
      </c>
      <c r="AW750" s="794">
        <f t="shared" si="6"/>
        <v>0</v>
      </c>
      <c r="AX750" s="794">
        <f t="array" ref="AX750">INDEX(V750:AG750,1,MATCH(Parametres!$B$3,V$1:AG$1,0))*IF(OR(C750="L",C750="S",C750="I"),-1,1)</f>
        <v>0</v>
      </c>
      <c r="AY750" s="853" t="s">
        <v>772</v>
      </c>
      <c r="AZ750" s="853" t="str">
        <f>+VLOOKUP($AJ750,Data_Validation!$A:$E,5,0)</f>
        <v/>
      </c>
    </row>
    <row r="751" ht="15.0" customHeight="1">
      <c r="A751" s="849" t="s">
        <v>1239</v>
      </c>
      <c r="B751" s="849">
        <v>2025.0</v>
      </c>
      <c r="C751" s="849" t="s">
        <v>3005</v>
      </c>
      <c r="D751" s="849" t="s">
        <v>3006</v>
      </c>
      <c r="E751" s="849" t="s">
        <v>2072</v>
      </c>
      <c r="F751" s="849" t="s">
        <v>2855</v>
      </c>
      <c r="G751" s="849">
        <v>0.0</v>
      </c>
      <c r="H751" s="849">
        <v>0.0</v>
      </c>
      <c r="I751" s="849">
        <v>0.0</v>
      </c>
      <c r="J751" s="849">
        <v>0.0</v>
      </c>
      <c r="K751" s="849">
        <v>0.0</v>
      </c>
      <c r="L751" s="849">
        <v>0.0</v>
      </c>
      <c r="M751" s="849">
        <v>0.0</v>
      </c>
      <c r="N751" s="849">
        <v>0.0</v>
      </c>
      <c r="O751" s="849">
        <v>0.0</v>
      </c>
      <c r="P751" s="849">
        <v>0.0</v>
      </c>
      <c r="Q751" s="849">
        <v>0.0</v>
      </c>
      <c r="R751" s="849">
        <v>0.0</v>
      </c>
      <c r="S751" s="849">
        <v>0.0</v>
      </c>
      <c r="T751" s="849">
        <v>0.0</v>
      </c>
      <c r="U751" s="849">
        <v>0.0</v>
      </c>
      <c r="V751" s="849">
        <v>0.0</v>
      </c>
      <c r="W751" s="849">
        <v>0.0</v>
      </c>
      <c r="X751" s="849">
        <v>0.0</v>
      </c>
      <c r="Y751" s="849">
        <v>0.0</v>
      </c>
      <c r="Z751" s="849">
        <v>0.0</v>
      </c>
      <c r="AA751" s="849">
        <v>0.0</v>
      </c>
      <c r="AB751" s="849">
        <v>0.0</v>
      </c>
      <c r="AC751" s="849">
        <v>0.0</v>
      </c>
      <c r="AD751" s="849">
        <v>0.0</v>
      </c>
      <c r="AE751" s="849">
        <v>0.0</v>
      </c>
      <c r="AF751" s="849">
        <v>0.0</v>
      </c>
      <c r="AG751" s="849">
        <v>0.0</v>
      </c>
      <c r="AH751" s="849">
        <v>0.0</v>
      </c>
      <c r="AI751" s="849">
        <v>0.0</v>
      </c>
      <c r="AJ751" s="794" t="str">
        <f t="shared" ref="AJ751:AK751" si="1499">C751</f>
        <v>G63520</v>
      </c>
      <c r="AK751" s="794" t="str">
        <f t="shared" si="1499"/>
        <v>COUT-SSR             -LOC</v>
      </c>
      <c r="AL751" s="794">
        <f t="array" ref="AL751">IFERROR(INDEX(G751:R751,1,MATCH(Parametres!$B$3,G$1:R$1,0)-1)*IF(OR(F751="L",F751="S",F751="I"),-1,1),"")</f>
        <v>0</v>
      </c>
      <c r="AM751" s="794">
        <f t="shared" si="4"/>
        <v>0</v>
      </c>
      <c r="AN751" s="794">
        <f t="array" ref="AN751">INDEX(G751:R751,1,MATCH(Parametres!$B$3,G$1:R$1,0))*IF(OR(F751="L",F751="S",F751="I"),-1,1)</f>
        <v>0</v>
      </c>
      <c r="AO751" s="853" t="str">
        <f>+VLOOKUP($AJ751,Data_Validation!$A:$D,1,0)</f>
        <v>#N/A</v>
      </c>
      <c r="AP751" s="853" t="str">
        <f>+VLOOKUP($AJ751,Data_Validation!$A:$D,3,0)</f>
        <v>#N/A</v>
      </c>
      <c r="AQ751" s="853" t="str">
        <f>+VLOOKUP($AJ751,Data_Validation!$A:$D,4,0)</f>
        <v>#N/A</v>
      </c>
      <c r="AR751" s="853" t="s">
        <v>728</v>
      </c>
      <c r="AS751" s="853" t="str">
        <f>+VLOOKUP($AJ751,Data_Validation!$A:$E,5,0)</f>
        <v>#N/A</v>
      </c>
      <c r="AT751" s="794" t="str">
        <f t="shared" ref="AT751:AU751" si="1500">C751</f>
        <v>G63520</v>
      </c>
      <c r="AU751" s="854" t="str">
        <f t="shared" si="1500"/>
        <v>COUT-SSR             -LOC</v>
      </c>
      <c r="AV751" s="794">
        <f t="array" ref="AV751">IFERROR(INDEX(V751:AG751,1,MATCH(Parametres!$B$3,V$1:AG$1,0)-1)*IF(OR(C751="L",C751="S",C751="I"),-1,1),"")</f>
        <v>0</v>
      </c>
      <c r="AW751" s="794">
        <f t="shared" si="6"/>
        <v>0</v>
      </c>
      <c r="AX751" s="794">
        <f t="array" ref="AX751">INDEX(V751:AG751,1,MATCH(Parametres!$B$3,V$1:AG$1,0))*IF(OR(C751="L",C751="S",C751="I"),-1,1)</f>
        <v>0</v>
      </c>
      <c r="AY751" s="853" t="s">
        <v>772</v>
      </c>
      <c r="AZ751" s="853" t="str">
        <f>+VLOOKUP($AJ751,Data_Validation!$A:$E,5,0)</f>
        <v>#N/A</v>
      </c>
    </row>
    <row r="752" ht="15.0" customHeight="1">
      <c r="A752" s="849" t="s">
        <v>1239</v>
      </c>
      <c r="B752" s="849">
        <v>2025.0</v>
      </c>
      <c r="C752" s="849" t="s">
        <v>3007</v>
      </c>
      <c r="D752" s="849" t="s">
        <v>3008</v>
      </c>
      <c r="E752" s="849" t="s">
        <v>2072</v>
      </c>
      <c r="F752" s="849" t="s">
        <v>2855</v>
      </c>
      <c r="G752" s="849">
        <v>96953.67</v>
      </c>
      <c r="H752" s="849">
        <v>97063.62</v>
      </c>
      <c r="I752" s="849">
        <v>130920.76</v>
      </c>
      <c r="J752" s="849">
        <v>164750.8</v>
      </c>
      <c r="K752" s="849">
        <v>165031.84</v>
      </c>
      <c r="L752" s="849">
        <v>237513.82</v>
      </c>
      <c r="M752" s="849">
        <v>237513.82</v>
      </c>
      <c r="N752" s="849">
        <v>351481.02</v>
      </c>
      <c r="O752" s="849">
        <v>388795.46</v>
      </c>
      <c r="P752" s="849">
        <v>459361.31</v>
      </c>
      <c r="Q752" s="849">
        <v>490292.35</v>
      </c>
      <c r="R752" s="849">
        <v>490292.35</v>
      </c>
      <c r="S752" s="849">
        <v>44572.03</v>
      </c>
      <c r="T752" s="849">
        <v>44572.03</v>
      </c>
      <c r="U752" s="849">
        <v>0.0</v>
      </c>
      <c r="V752" s="849">
        <v>0.0</v>
      </c>
      <c r="W752" s="849">
        <v>0.0</v>
      </c>
      <c r="X752" s="849">
        <v>0.0</v>
      </c>
      <c r="Y752" s="849">
        <v>0.0</v>
      </c>
      <c r="Z752" s="849">
        <v>0.0</v>
      </c>
      <c r="AA752" s="849">
        <v>0.0</v>
      </c>
      <c r="AB752" s="849">
        <v>0.0</v>
      </c>
      <c r="AC752" s="849">
        <v>0.0</v>
      </c>
      <c r="AD752" s="849">
        <v>0.0</v>
      </c>
      <c r="AE752" s="849">
        <v>0.0</v>
      </c>
      <c r="AF752" s="849">
        <v>0.0</v>
      </c>
      <c r="AG752" s="849">
        <v>0.0</v>
      </c>
      <c r="AH752" s="849">
        <v>0.0</v>
      </c>
      <c r="AI752" s="849">
        <v>0.0</v>
      </c>
      <c r="AJ752" s="794" t="str">
        <f t="shared" ref="AJ752:AK752" si="1501">C752</f>
        <v>G63600</v>
      </c>
      <c r="AK752" s="794" t="str">
        <f t="shared" si="1501"/>
        <v>COUT-TRAIL BLAZER</v>
      </c>
      <c r="AL752" s="794">
        <f t="array" ref="AL752">IFERROR(INDEX(G752:R752,1,MATCH(Parametres!$B$3,G$1:R$1,0)-1)*IF(OR(F752="L",F752="S",F752="I"),-1,1),"")</f>
        <v>351481.02</v>
      </c>
      <c r="AM752" s="794">
        <f t="shared" si="4"/>
        <v>37314.44</v>
      </c>
      <c r="AN752" s="794">
        <f t="array" ref="AN752">INDEX(G752:R752,1,MATCH(Parametres!$B$3,G$1:R$1,0))*IF(OR(F752="L",F752="S",F752="I"),-1,1)</f>
        <v>388795.46</v>
      </c>
      <c r="AO752" s="853" t="str">
        <f>+VLOOKUP($AJ752,Data_Validation!$A:$D,1,0)</f>
        <v>G63600</v>
      </c>
      <c r="AP752" s="853" t="str">
        <f>+VLOOKUP($AJ752,Data_Validation!$A:$D,3,0)</f>
        <v>Véhicules neufs</v>
      </c>
      <c r="AQ752" s="853" t="str">
        <f>+VLOOKUP($AJ752,Data_Validation!$A:$D,4,0)</f>
        <v>Camions détail</v>
      </c>
      <c r="AR752" s="853" t="s">
        <v>728</v>
      </c>
      <c r="AS752" s="853" t="str">
        <f>+VLOOKUP($AJ752,Data_Validation!$A:$E,5,0)</f>
        <v/>
      </c>
      <c r="AT752" s="794" t="str">
        <f t="shared" ref="AT752:AU752" si="1502">C752</f>
        <v>G63600</v>
      </c>
      <c r="AU752" s="854" t="str">
        <f t="shared" si="1502"/>
        <v>COUT-TRAIL BLAZER</v>
      </c>
      <c r="AV752" s="794">
        <f t="array" ref="AV752">IFERROR(INDEX(V752:AG752,1,MATCH(Parametres!$B$3,V$1:AG$1,0)-1)*IF(OR(C752="L",C752="S",C752="I"),-1,1),"")</f>
        <v>0</v>
      </c>
      <c r="AW752" s="794">
        <f t="shared" si="6"/>
        <v>0</v>
      </c>
      <c r="AX752" s="794">
        <f t="array" ref="AX752">INDEX(V752:AG752,1,MATCH(Parametres!$B$3,V$1:AG$1,0))*IF(OR(C752="L",C752="S",C752="I"),-1,1)</f>
        <v>0</v>
      </c>
      <c r="AY752" s="853" t="s">
        <v>772</v>
      </c>
      <c r="AZ752" s="853" t="str">
        <f>+VLOOKUP($AJ752,Data_Validation!$A:$E,5,0)</f>
        <v/>
      </c>
    </row>
    <row r="753" ht="15.0" customHeight="1">
      <c r="A753" s="849" t="s">
        <v>1239</v>
      </c>
      <c r="B753" s="849">
        <v>2025.0</v>
      </c>
      <c r="C753" s="849" t="s">
        <v>3009</v>
      </c>
      <c r="D753" s="849" t="s">
        <v>3010</v>
      </c>
      <c r="E753" s="849" t="s">
        <v>2072</v>
      </c>
      <c r="F753" s="849" t="s">
        <v>2855</v>
      </c>
      <c r="G753" s="849">
        <v>0.0</v>
      </c>
      <c r="H753" s="849">
        <v>0.0</v>
      </c>
      <c r="I753" s="849">
        <v>62631.0</v>
      </c>
      <c r="J753" s="849">
        <v>126595.0</v>
      </c>
      <c r="K753" s="849">
        <v>126595.0</v>
      </c>
      <c r="L753" s="849">
        <v>188385.0</v>
      </c>
      <c r="M753" s="849">
        <v>299560.5</v>
      </c>
      <c r="N753" s="849">
        <v>299560.5</v>
      </c>
      <c r="O753" s="849">
        <v>299560.5</v>
      </c>
      <c r="P753" s="849">
        <v>299560.5</v>
      </c>
      <c r="Q753" s="849">
        <v>299560.5</v>
      </c>
      <c r="R753" s="849">
        <v>422113.36</v>
      </c>
      <c r="S753" s="849">
        <v>27232.77</v>
      </c>
      <c r="T753" s="849">
        <v>27232.77</v>
      </c>
      <c r="U753" s="849">
        <v>0.0</v>
      </c>
      <c r="V753" s="849">
        <v>0.0</v>
      </c>
      <c r="W753" s="849">
        <v>0.0</v>
      </c>
      <c r="X753" s="849">
        <v>0.0</v>
      </c>
      <c r="Y753" s="849">
        <v>0.0</v>
      </c>
      <c r="Z753" s="849">
        <v>0.0</v>
      </c>
      <c r="AA753" s="849">
        <v>0.0</v>
      </c>
      <c r="AB753" s="849">
        <v>0.0</v>
      </c>
      <c r="AC753" s="849">
        <v>0.0</v>
      </c>
      <c r="AD753" s="849">
        <v>0.0</v>
      </c>
      <c r="AE753" s="849">
        <v>0.0</v>
      </c>
      <c r="AF753" s="849">
        <v>0.0</v>
      </c>
      <c r="AG753" s="849">
        <v>0.0</v>
      </c>
      <c r="AH753" s="849">
        <v>0.0</v>
      </c>
      <c r="AI753" s="849">
        <v>0.0</v>
      </c>
      <c r="AJ753" s="794" t="str">
        <f t="shared" ref="AJ753:AK753" si="1503">C753</f>
        <v>G63602</v>
      </c>
      <c r="AK753" s="794" t="str">
        <f t="shared" si="1503"/>
        <v>COÛT- GMC  ACADIA</v>
      </c>
      <c r="AL753" s="794">
        <f t="array" ref="AL753">IFERROR(INDEX(G753:R753,1,MATCH(Parametres!$B$3,G$1:R$1,0)-1)*IF(OR(F753="L",F753="S",F753="I"),-1,1),"")</f>
        <v>299560.5</v>
      </c>
      <c r="AM753" s="794">
        <f t="shared" si="4"/>
        <v>0</v>
      </c>
      <c r="AN753" s="794">
        <f t="array" ref="AN753">INDEX(G753:R753,1,MATCH(Parametres!$B$3,G$1:R$1,0))*IF(OR(F753="L",F753="S",F753="I"),-1,1)</f>
        <v>299560.5</v>
      </c>
      <c r="AO753" s="853" t="str">
        <f>+VLOOKUP($AJ753,Data_Validation!$A:$D,1,0)</f>
        <v>G63602</v>
      </c>
      <c r="AP753" s="853" t="str">
        <f>+VLOOKUP($AJ753,Data_Validation!$A:$D,3,0)</f>
        <v>Véhicules neufs</v>
      </c>
      <c r="AQ753" s="853" t="str">
        <f>+VLOOKUP($AJ753,Data_Validation!$A:$D,4,0)</f>
        <v>Camions détail</v>
      </c>
      <c r="AR753" s="853" t="s">
        <v>728</v>
      </c>
      <c r="AS753" s="853" t="str">
        <f>+VLOOKUP($AJ753,Data_Validation!$A:$E,5,0)</f>
        <v/>
      </c>
      <c r="AT753" s="794" t="str">
        <f t="shared" ref="AT753:AU753" si="1504">C753</f>
        <v>G63602</v>
      </c>
      <c r="AU753" s="854" t="str">
        <f t="shared" si="1504"/>
        <v>COÛT- GMC  ACADIA</v>
      </c>
      <c r="AV753" s="794">
        <f t="array" ref="AV753">IFERROR(INDEX(V753:AG753,1,MATCH(Parametres!$B$3,V$1:AG$1,0)-1)*IF(OR(C753="L",C753="S",C753="I"),-1,1),"")</f>
        <v>0</v>
      </c>
      <c r="AW753" s="794">
        <f t="shared" si="6"/>
        <v>0</v>
      </c>
      <c r="AX753" s="794">
        <f t="array" ref="AX753">INDEX(V753:AG753,1,MATCH(Parametres!$B$3,V$1:AG$1,0))*IF(OR(C753="L",C753="S",C753="I"),-1,1)</f>
        <v>0</v>
      </c>
      <c r="AY753" s="853" t="s">
        <v>772</v>
      </c>
      <c r="AZ753" s="853" t="str">
        <f>+VLOOKUP($AJ753,Data_Validation!$A:$E,5,0)</f>
        <v/>
      </c>
    </row>
    <row r="754" ht="15.0" customHeight="1">
      <c r="A754" s="849" t="s">
        <v>1239</v>
      </c>
      <c r="B754" s="849">
        <v>2025.0</v>
      </c>
      <c r="C754" s="849" t="s">
        <v>3011</v>
      </c>
      <c r="D754" s="849" t="s">
        <v>3012</v>
      </c>
      <c r="E754" s="849" t="s">
        <v>2072</v>
      </c>
      <c r="F754" s="849" t="s">
        <v>2855</v>
      </c>
      <c r="G754" s="849">
        <v>0.0</v>
      </c>
      <c r="H754" s="849">
        <v>0.0</v>
      </c>
      <c r="I754" s="849">
        <v>0.0</v>
      </c>
      <c r="J754" s="849">
        <v>0.0</v>
      </c>
      <c r="K754" s="849">
        <v>0.0</v>
      </c>
      <c r="L754" s="849">
        <v>0.0</v>
      </c>
      <c r="M754" s="849">
        <v>0.0</v>
      </c>
      <c r="N754" s="849">
        <v>0.0</v>
      </c>
      <c r="O754" s="849">
        <v>0.0</v>
      </c>
      <c r="P754" s="849">
        <v>0.0</v>
      </c>
      <c r="Q754" s="849">
        <v>0.0</v>
      </c>
      <c r="R754" s="849">
        <v>0.0</v>
      </c>
      <c r="S754" s="849">
        <v>0.0</v>
      </c>
      <c r="T754" s="849">
        <v>0.0</v>
      </c>
      <c r="U754" s="849">
        <v>0.0</v>
      </c>
      <c r="V754" s="849">
        <v>0.0</v>
      </c>
      <c r="W754" s="849">
        <v>0.0</v>
      </c>
      <c r="X754" s="849">
        <v>0.0</v>
      </c>
      <c r="Y754" s="849">
        <v>0.0</v>
      </c>
      <c r="Z754" s="849">
        <v>0.0</v>
      </c>
      <c r="AA754" s="849">
        <v>0.0</v>
      </c>
      <c r="AB754" s="849">
        <v>0.0</v>
      </c>
      <c r="AC754" s="849">
        <v>0.0</v>
      </c>
      <c r="AD754" s="849">
        <v>0.0</v>
      </c>
      <c r="AE754" s="849">
        <v>0.0</v>
      </c>
      <c r="AF754" s="849">
        <v>0.0</v>
      </c>
      <c r="AG754" s="849">
        <v>0.0</v>
      </c>
      <c r="AH754" s="849">
        <v>0.0</v>
      </c>
      <c r="AI754" s="849">
        <v>0.0</v>
      </c>
      <c r="AJ754" s="794" t="str">
        <f t="shared" ref="AJ754:AK754" si="1505">C754</f>
        <v>G63800</v>
      </c>
      <c r="AK754" s="794" t="str">
        <f t="shared" si="1505"/>
        <v>COUT-CHEV CAMION AUTRE</v>
      </c>
      <c r="AL754" s="794">
        <f t="array" ref="AL754">IFERROR(INDEX(G754:R754,1,MATCH(Parametres!$B$3,G$1:R$1,0)-1)*IF(OR(F754="L",F754="S",F754="I"),-1,1),"")</f>
        <v>0</v>
      </c>
      <c r="AM754" s="794">
        <f t="shared" si="4"/>
        <v>0</v>
      </c>
      <c r="AN754" s="794">
        <f t="array" ref="AN754">INDEX(G754:R754,1,MATCH(Parametres!$B$3,G$1:R$1,0))*IF(OR(F754="L",F754="S",F754="I"),-1,1)</f>
        <v>0</v>
      </c>
      <c r="AO754" s="853" t="str">
        <f>+VLOOKUP($AJ754,Data_Validation!$A:$D,1,0)</f>
        <v>#N/A</v>
      </c>
      <c r="AP754" s="853" t="str">
        <f>+VLOOKUP($AJ754,Data_Validation!$A:$D,3,0)</f>
        <v>#N/A</v>
      </c>
      <c r="AQ754" s="853" t="str">
        <f>+VLOOKUP($AJ754,Data_Validation!$A:$D,4,0)</f>
        <v>#N/A</v>
      </c>
      <c r="AR754" s="853" t="s">
        <v>728</v>
      </c>
      <c r="AS754" s="853" t="str">
        <f>+VLOOKUP($AJ754,Data_Validation!$A:$E,5,0)</f>
        <v>#N/A</v>
      </c>
      <c r="AT754" s="794" t="str">
        <f t="shared" ref="AT754:AU754" si="1506">C754</f>
        <v>G63800</v>
      </c>
      <c r="AU754" s="854" t="str">
        <f t="shared" si="1506"/>
        <v>COUT-CHEV CAMION AUTRE</v>
      </c>
      <c r="AV754" s="794">
        <f t="array" ref="AV754">IFERROR(INDEX(V754:AG754,1,MATCH(Parametres!$B$3,V$1:AG$1,0)-1)*IF(OR(C754="L",C754="S",C754="I"),-1,1),"")</f>
        <v>0</v>
      </c>
      <c r="AW754" s="794">
        <f t="shared" si="6"/>
        <v>0</v>
      </c>
      <c r="AX754" s="794">
        <f t="array" ref="AX754">INDEX(V754:AG754,1,MATCH(Parametres!$B$3,V$1:AG$1,0))*IF(OR(C754="L",C754="S",C754="I"),-1,1)</f>
        <v>0</v>
      </c>
      <c r="AY754" s="853" t="s">
        <v>772</v>
      </c>
      <c r="AZ754" s="853" t="str">
        <f>+VLOOKUP($AJ754,Data_Validation!$A:$E,5,0)</f>
        <v>#N/A</v>
      </c>
    </row>
    <row r="755" ht="15.0" customHeight="1">
      <c r="A755" s="849" t="s">
        <v>1239</v>
      </c>
      <c r="B755" s="849">
        <v>2025.0</v>
      </c>
      <c r="C755" s="849" t="s">
        <v>3013</v>
      </c>
      <c r="D755" s="849" t="s">
        <v>3014</v>
      </c>
      <c r="E755" s="849" t="s">
        <v>2072</v>
      </c>
      <c r="F755" s="849" t="s">
        <v>2855</v>
      </c>
      <c r="G755" s="849">
        <v>0.0</v>
      </c>
      <c r="H755" s="849">
        <v>0.0</v>
      </c>
      <c r="I755" s="849">
        <v>0.0</v>
      </c>
      <c r="J755" s="849">
        <v>0.0</v>
      </c>
      <c r="K755" s="849">
        <v>0.0</v>
      </c>
      <c r="L755" s="849">
        <v>0.0</v>
      </c>
      <c r="M755" s="849">
        <v>0.0</v>
      </c>
      <c r="N755" s="849">
        <v>0.0</v>
      </c>
      <c r="O755" s="849">
        <v>0.0</v>
      </c>
      <c r="P755" s="849">
        <v>0.0</v>
      </c>
      <c r="Q755" s="849">
        <v>0.0</v>
      </c>
      <c r="R755" s="849">
        <v>0.0</v>
      </c>
      <c r="S755" s="849">
        <v>0.0</v>
      </c>
      <c r="T755" s="849">
        <v>0.0</v>
      </c>
      <c r="U755" s="849">
        <v>0.0</v>
      </c>
      <c r="V755" s="849">
        <v>0.0</v>
      </c>
      <c r="W755" s="849">
        <v>0.0</v>
      </c>
      <c r="X755" s="849">
        <v>0.0</v>
      </c>
      <c r="Y755" s="849">
        <v>0.0</v>
      </c>
      <c r="Z755" s="849">
        <v>0.0</v>
      </c>
      <c r="AA755" s="849">
        <v>0.0</v>
      </c>
      <c r="AB755" s="849">
        <v>0.0</v>
      </c>
      <c r="AC755" s="849">
        <v>0.0</v>
      </c>
      <c r="AD755" s="849">
        <v>0.0</v>
      </c>
      <c r="AE755" s="849">
        <v>0.0</v>
      </c>
      <c r="AF755" s="849">
        <v>0.0</v>
      </c>
      <c r="AG755" s="849">
        <v>0.0</v>
      </c>
      <c r="AH755" s="849">
        <v>0.0</v>
      </c>
      <c r="AI755" s="849">
        <v>0.0</v>
      </c>
      <c r="AJ755" s="794" t="str">
        <f t="shared" ref="AJ755:AK755" si="1507">C755</f>
        <v>G63820</v>
      </c>
      <c r="AK755" s="794" t="str">
        <f t="shared" si="1507"/>
        <v>COUT-CHEV CAMION AUTR-LOC</v>
      </c>
      <c r="AL755" s="794">
        <f t="array" ref="AL755">IFERROR(INDEX(G755:R755,1,MATCH(Parametres!$B$3,G$1:R$1,0)-1)*IF(OR(F755="L",F755="S",F755="I"),-1,1),"")</f>
        <v>0</v>
      </c>
      <c r="AM755" s="794">
        <f t="shared" si="4"/>
        <v>0</v>
      </c>
      <c r="AN755" s="794">
        <f t="array" ref="AN755">INDEX(G755:R755,1,MATCH(Parametres!$B$3,G$1:R$1,0))*IF(OR(F755="L",F755="S",F755="I"),-1,1)</f>
        <v>0</v>
      </c>
      <c r="AO755" s="853" t="str">
        <f>+VLOOKUP($AJ755,Data_Validation!$A:$D,1,0)</f>
        <v>#N/A</v>
      </c>
      <c r="AP755" s="853" t="str">
        <f>+VLOOKUP($AJ755,Data_Validation!$A:$D,3,0)</f>
        <v>#N/A</v>
      </c>
      <c r="AQ755" s="853" t="str">
        <f>+VLOOKUP($AJ755,Data_Validation!$A:$D,4,0)</f>
        <v>#N/A</v>
      </c>
      <c r="AR755" s="853" t="s">
        <v>728</v>
      </c>
      <c r="AS755" s="853" t="str">
        <f>+VLOOKUP($AJ755,Data_Validation!$A:$E,5,0)</f>
        <v>#N/A</v>
      </c>
      <c r="AT755" s="794" t="str">
        <f t="shared" ref="AT755:AU755" si="1508">C755</f>
        <v>G63820</v>
      </c>
      <c r="AU755" s="854" t="str">
        <f t="shared" si="1508"/>
        <v>COUT-CHEV CAMION AUTR-LOC</v>
      </c>
      <c r="AV755" s="794">
        <f t="array" ref="AV755">IFERROR(INDEX(V755:AG755,1,MATCH(Parametres!$B$3,V$1:AG$1,0)-1)*IF(OR(C755="L",C755="S",C755="I"),-1,1),"")</f>
        <v>0</v>
      </c>
      <c r="AW755" s="794">
        <f t="shared" si="6"/>
        <v>0</v>
      </c>
      <c r="AX755" s="794">
        <f t="array" ref="AX755">INDEX(V755:AG755,1,MATCH(Parametres!$B$3,V$1:AG$1,0))*IF(OR(C755="L",C755="S",C755="I"),-1,1)</f>
        <v>0</v>
      </c>
      <c r="AY755" s="853" t="s">
        <v>772</v>
      </c>
      <c r="AZ755" s="853" t="str">
        <f>+VLOOKUP($AJ755,Data_Validation!$A:$E,5,0)</f>
        <v>#N/A</v>
      </c>
    </row>
    <row r="756" ht="15.0" customHeight="1">
      <c r="A756" s="849" t="s">
        <v>1239</v>
      </c>
      <c r="B756" s="849">
        <v>2025.0</v>
      </c>
      <c r="C756" s="849" t="s">
        <v>3015</v>
      </c>
      <c r="D756" s="849" t="s">
        <v>3016</v>
      </c>
      <c r="E756" s="849" t="s">
        <v>2072</v>
      </c>
      <c r="F756" s="849" t="s">
        <v>2855</v>
      </c>
      <c r="G756" s="849">
        <v>4972663.12</v>
      </c>
      <c r="H756" s="849">
        <v>8801172.38</v>
      </c>
      <c r="I756" s="849">
        <v>1.962235142E7</v>
      </c>
      <c r="J756" s="849">
        <v>3.283649256E7</v>
      </c>
      <c r="K756" s="849">
        <v>4.462793279E7</v>
      </c>
      <c r="L756" s="849">
        <v>5.776945059E7</v>
      </c>
      <c r="M756" s="849">
        <v>6.366713487E7</v>
      </c>
      <c r="N756" s="849">
        <v>6.652125047E7</v>
      </c>
      <c r="O756" s="849">
        <v>7.134824141E7</v>
      </c>
      <c r="P756" s="849">
        <v>8.076765383E7</v>
      </c>
      <c r="Q756" s="849">
        <v>9.084574354E7</v>
      </c>
      <c r="R756" s="849">
        <v>9.491660815E7</v>
      </c>
      <c r="S756" s="849">
        <v>8258703.96</v>
      </c>
      <c r="T756" s="849">
        <v>8258703.96</v>
      </c>
      <c r="U756" s="849">
        <v>0.0</v>
      </c>
      <c r="V756" s="849">
        <v>0.0</v>
      </c>
      <c r="W756" s="849">
        <v>0.0</v>
      </c>
      <c r="X756" s="849">
        <v>0.0</v>
      </c>
      <c r="Y756" s="849">
        <v>0.0</v>
      </c>
      <c r="Z756" s="849">
        <v>0.0</v>
      </c>
      <c r="AA756" s="849">
        <v>0.0</v>
      </c>
      <c r="AB756" s="849">
        <v>0.0</v>
      </c>
      <c r="AC756" s="849">
        <v>0.0</v>
      </c>
      <c r="AD756" s="849">
        <v>0.0</v>
      </c>
      <c r="AE756" s="849">
        <v>0.0</v>
      </c>
      <c r="AF756" s="849">
        <v>0.0</v>
      </c>
      <c r="AG756" s="849">
        <v>0.0</v>
      </c>
      <c r="AH756" s="849">
        <v>0.0</v>
      </c>
      <c r="AI756" s="849">
        <v>0.0</v>
      </c>
      <c r="AJ756" s="794" t="str">
        <f t="shared" ref="AJ756:AK756" si="1509">C756</f>
        <v>G64000</v>
      </c>
      <c r="AK756" s="794" t="str">
        <f t="shared" si="1509"/>
        <v>COÛTANT PARC CAMIONS</v>
      </c>
      <c r="AL756" s="794">
        <f t="array" ref="AL756">IFERROR(INDEX(G756:R756,1,MATCH(Parametres!$B$3,G$1:R$1,0)-1)*IF(OR(F756="L",F756="S",F756="I"),-1,1),"")</f>
        <v>66521250.47</v>
      </c>
      <c r="AM756" s="794">
        <f t="shared" si="4"/>
        <v>4826990.94</v>
      </c>
      <c r="AN756" s="794">
        <f t="array" ref="AN756">INDEX(G756:R756,1,MATCH(Parametres!$B$3,G$1:R$1,0))*IF(OR(F756="L",F756="S",F756="I"),-1,1)</f>
        <v>71348241.41</v>
      </c>
      <c r="AO756" s="853" t="str">
        <f>+VLOOKUP($AJ756,Data_Validation!$A:$D,1,0)</f>
        <v>G64000</v>
      </c>
      <c r="AP756" s="853" t="str">
        <f>+VLOOKUP($AJ756,Data_Validation!$A:$D,3,0)</f>
        <v>Véhicules neufs</v>
      </c>
      <c r="AQ756" s="853" t="str">
        <f>+VLOOKUP($AJ756,Data_Validation!$A:$D,4,0)</f>
        <v>Flottes</v>
      </c>
      <c r="AR756" s="853" t="s">
        <v>728</v>
      </c>
      <c r="AS756" s="853" t="str">
        <f>+VLOOKUP($AJ756,Data_Validation!$A:$E,5,0)</f>
        <v/>
      </c>
      <c r="AT756" s="794" t="str">
        <f t="shared" ref="AT756:AU756" si="1510">C756</f>
        <v>G64000</v>
      </c>
      <c r="AU756" s="854" t="str">
        <f t="shared" si="1510"/>
        <v>COÛTANT PARC CAMIONS</v>
      </c>
      <c r="AV756" s="794">
        <f t="array" ref="AV756">IFERROR(INDEX(V756:AG756,1,MATCH(Parametres!$B$3,V$1:AG$1,0)-1)*IF(OR(C756="L",C756="S",C756="I"),-1,1),"")</f>
        <v>0</v>
      </c>
      <c r="AW756" s="794">
        <f t="shared" si="6"/>
        <v>0</v>
      </c>
      <c r="AX756" s="794">
        <f t="array" ref="AX756">INDEX(V756:AG756,1,MATCH(Parametres!$B$3,V$1:AG$1,0))*IF(OR(C756="L",C756="S",C756="I"),-1,1)</f>
        <v>0</v>
      </c>
      <c r="AY756" s="853" t="s">
        <v>772</v>
      </c>
      <c r="AZ756" s="853" t="str">
        <f>+VLOOKUP($AJ756,Data_Validation!$A:$E,5,0)</f>
        <v/>
      </c>
    </row>
    <row r="757" ht="15.0" customHeight="1">
      <c r="A757" s="849" t="s">
        <v>1239</v>
      </c>
      <c r="B757" s="849">
        <v>2025.0</v>
      </c>
      <c r="C757" s="849" t="s">
        <v>3017</v>
      </c>
      <c r="D757" s="849" t="s">
        <v>3018</v>
      </c>
      <c r="E757" s="849" t="s">
        <v>2072</v>
      </c>
      <c r="F757" s="849" t="s">
        <v>2855</v>
      </c>
      <c r="G757" s="849">
        <v>0.0</v>
      </c>
      <c r="H757" s="849">
        <v>0.0</v>
      </c>
      <c r="I757" s="849">
        <v>0.0</v>
      </c>
      <c r="J757" s="849">
        <v>0.0</v>
      </c>
      <c r="K757" s="849">
        <v>0.0</v>
      </c>
      <c r="L757" s="849">
        <v>0.0</v>
      </c>
      <c r="M757" s="849">
        <v>0.0</v>
      </c>
      <c r="N757" s="849">
        <v>0.0</v>
      </c>
      <c r="O757" s="849">
        <v>0.0</v>
      </c>
      <c r="P757" s="849">
        <v>0.0</v>
      </c>
      <c r="Q757" s="849">
        <v>0.0</v>
      </c>
      <c r="R757" s="849">
        <v>0.0</v>
      </c>
      <c r="S757" s="849">
        <v>0.0</v>
      </c>
      <c r="T757" s="849">
        <v>0.0</v>
      </c>
      <c r="U757" s="849">
        <v>0.0</v>
      </c>
      <c r="V757" s="849">
        <v>0.0</v>
      </c>
      <c r="W757" s="849">
        <v>0.0</v>
      </c>
      <c r="X757" s="849">
        <v>0.0</v>
      </c>
      <c r="Y757" s="849">
        <v>0.0</v>
      </c>
      <c r="Z757" s="849">
        <v>0.0</v>
      </c>
      <c r="AA757" s="849">
        <v>0.0</v>
      </c>
      <c r="AB757" s="849">
        <v>0.0</v>
      </c>
      <c r="AC757" s="849">
        <v>0.0</v>
      </c>
      <c r="AD757" s="849">
        <v>0.0</v>
      </c>
      <c r="AE757" s="849">
        <v>0.0</v>
      </c>
      <c r="AF757" s="849">
        <v>0.0</v>
      </c>
      <c r="AG757" s="849">
        <v>0.0</v>
      </c>
      <c r="AH757" s="849">
        <v>0.0</v>
      </c>
      <c r="AI757" s="849">
        <v>0.0</v>
      </c>
      <c r="AJ757" s="794" t="str">
        <f t="shared" ref="AJ757:AK757" si="1511">C757</f>
        <v>G64100</v>
      </c>
      <c r="AK757" s="794" t="str">
        <f t="shared" si="1511"/>
        <v>COUT-CAMIONS INTERNE</v>
      </c>
      <c r="AL757" s="794">
        <f t="array" ref="AL757">IFERROR(INDEX(G757:R757,1,MATCH(Parametres!$B$3,G$1:R$1,0)-1)*IF(OR(F757="L",F757="S",F757="I"),-1,1),"")</f>
        <v>0</v>
      </c>
      <c r="AM757" s="794">
        <f t="shared" si="4"/>
        <v>0</v>
      </c>
      <c r="AN757" s="794">
        <f t="array" ref="AN757">INDEX(G757:R757,1,MATCH(Parametres!$B$3,G$1:R$1,0))*IF(OR(F757="L",F757="S",F757="I"),-1,1)</f>
        <v>0</v>
      </c>
      <c r="AO757" s="853" t="str">
        <f>+VLOOKUP($AJ757,Data_Validation!$A:$D,1,0)</f>
        <v>G64100</v>
      </c>
      <c r="AP757" s="853" t="str">
        <f>+VLOOKUP($AJ757,Data_Validation!$A:$D,3,0)</f>
        <v>Véhicules neufs</v>
      </c>
      <c r="AQ757" s="853" t="str">
        <f>+VLOOKUP($AJ757,Data_Validation!$A:$D,4,0)</f>
        <v>Flottes</v>
      </c>
      <c r="AR757" s="853" t="s">
        <v>728</v>
      </c>
      <c r="AS757" s="853" t="str">
        <f>+VLOOKUP($AJ757,Data_Validation!$A:$E,5,0)</f>
        <v/>
      </c>
      <c r="AT757" s="794" t="str">
        <f t="shared" ref="AT757:AU757" si="1512">C757</f>
        <v>G64100</v>
      </c>
      <c r="AU757" s="854" t="str">
        <f t="shared" si="1512"/>
        <v>COUT-CAMIONS INTERNE</v>
      </c>
      <c r="AV757" s="794">
        <f t="array" ref="AV757">IFERROR(INDEX(V757:AG757,1,MATCH(Parametres!$B$3,V$1:AG$1,0)-1)*IF(OR(C757="L",C757="S",C757="I"),-1,1),"")</f>
        <v>0</v>
      </c>
      <c r="AW757" s="794">
        <f t="shared" si="6"/>
        <v>0</v>
      </c>
      <c r="AX757" s="794">
        <f t="array" ref="AX757">INDEX(V757:AG757,1,MATCH(Parametres!$B$3,V$1:AG$1,0))*IF(OR(C757="L",C757="S",C757="I"),-1,1)</f>
        <v>0</v>
      </c>
      <c r="AY757" s="853" t="s">
        <v>772</v>
      </c>
      <c r="AZ757" s="853" t="str">
        <f>+VLOOKUP($AJ757,Data_Validation!$A:$E,5,0)</f>
        <v/>
      </c>
    </row>
    <row r="758" ht="15.0" customHeight="1">
      <c r="A758" s="849" t="s">
        <v>1239</v>
      </c>
      <c r="B758" s="849">
        <v>2025.0</v>
      </c>
      <c r="C758" s="849" t="s">
        <v>3021</v>
      </c>
      <c r="D758" s="849" t="s">
        <v>3022</v>
      </c>
      <c r="E758" s="849" t="s">
        <v>768</v>
      </c>
      <c r="F758" s="849" t="s">
        <v>2855</v>
      </c>
      <c r="G758" s="849">
        <v>43919.41</v>
      </c>
      <c r="H758" s="849">
        <v>82786.24</v>
      </c>
      <c r="I758" s="849">
        <v>126658.23</v>
      </c>
      <c r="J758" s="849">
        <v>161083.98</v>
      </c>
      <c r="K758" s="849">
        <v>201040.9</v>
      </c>
      <c r="L758" s="849">
        <v>254292.31</v>
      </c>
      <c r="M758" s="849">
        <v>299737.01</v>
      </c>
      <c r="N758" s="849">
        <v>354291.91</v>
      </c>
      <c r="O758" s="849">
        <v>398046.11</v>
      </c>
      <c r="P758" s="849">
        <v>440993.81</v>
      </c>
      <c r="Q758" s="849">
        <v>486615.03</v>
      </c>
      <c r="R758" s="849">
        <v>533481.87</v>
      </c>
      <c r="S758" s="849">
        <v>44237.73</v>
      </c>
      <c r="T758" s="849">
        <v>44237.73</v>
      </c>
      <c r="U758" s="849">
        <v>0.0</v>
      </c>
      <c r="V758" s="849">
        <v>0.0</v>
      </c>
      <c r="W758" s="849">
        <v>0.0</v>
      </c>
      <c r="X758" s="849">
        <v>0.0</v>
      </c>
      <c r="Y758" s="849">
        <v>0.0</v>
      </c>
      <c r="Z758" s="849">
        <v>0.0</v>
      </c>
      <c r="AA758" s="849">
        <v>0.0</v>
      </c>
      <c r="AB758" s="849">
        <v>0.0</v>
      </c>
      <c r="AC758" s="849">
        <v>0.0</v>
      </c>
      <c r="AD758" s="849">
        <v>0.0</v>
      </c>
      <c r="AE758" s="849">
        <v>0.0</v>
      </c>
      <c r="AF758" s="849">
        <v>0.0</v>
      </c>
      <c r="AG758" s="849">
        <v>0.0</v>
      </c>
      <c r="AH758" s="849">
        <v>0.0</v>
      </c>
      <c r="AI758" s="849">
        <v>0.0</v>
      </c>
      <c r="AJ758" s="794" t="str">
        <f t="shared" ref="AJ758:AK758" si="1513">C758</f>
        <v>G64300</v>
      </c>
      <c r="AK758" s="794" t="str">
        <f t="shared" si="1513"/>
        <v>COUT-PLAN PROTECTION</v>
      </c>
      <c r="AL758" s="794">
        <f t="array" ref="AL758">IFERROR(INDEX(G758:R758,1,MATCH(Parametres!$B$3,G$1:R$1,0)-1)*IF(OR(F758="L",F758="S",F758="I"),-1,1),"")</f>
        <v>354291.91</v>
      </c>
      <c r="AM758" s="794">
        <f t="shared" si="4"/>
        <v>43754.2</v>
      </c>
      <c r="AN758" s="794">
        <f t="array" ref="AN758">INDEX(G758:R758,1,MATCH(Parametres!$B$3,G$1:R$1,0))*IF(OR(F758="L",F758="S",F758="I"),-1,1)</f>
        <v>398046.11</v>
      </c>
      <c r="AO758" s="853" t="str">
        <f>+VLOOKUP($AJ758,Data_Validation!$A:$D,1,0)</f>
        <v>G64300</v>
      </c>
      <c r="AP758" s="853" t="str">
        <f>+VLOOKUP($AJ758,Data_Validation!$A:$D,3,0)</f>
        <v>Véhicules neufs</v>
      </c>
      <c r="AQ758" s="853" t="str">
        <f>+VLOOKUP($AJ758,Data_Validation!$A:$D,4,0)</f>
        <v>Rev. Protections</v>
      </c>
      <c r="AR758" s="853" t="s">
        <v>728</v>
      </c>
      <c r="AS758" s="853" t="str">
        <f>+VLOOKUP($AJ758,Data_Validation!$A:$E,5,0)</f>
        <v/>
      </c>
      <c r="AT758" s="794" t="str">
        <f t="shared" ref="AT758:AU758" si="1514">C758</f>
        <v>G64300</v>
      </c>
      <c r="AU758" s="854" t="str">
        <f t="shared" si="1514"/>
        <v>COUT-PLAN PROTECTION</v>
      </c>
      <c r="AV758" s="794">
        <f t="array" ref="AV758">IFERROR(INDEX(V758:AG758,1,MATCH(Parametres!$B$3,V$1:AG$1,0)-1)*IF(OR(C758="L",C758="S",C758="I"),-1,1),"")</f>
        <v>0</v>
      </c>
      <c r="AW758" s="794">
        <f t="shared" si="6"/>
        <v>0</v>
      </c>
      <c r="AX758" s="794">
        <f t="array" ref="AX758">INDEX(V758:AG758,1,MATCH(Parametres!$B$3,V$1:AG$1,0))*IF(OR(C758="L",C758="S",C758="I"),-1,1)</f>
        <v>0</v>
      </c>
      <c r="AY758" s="853" t="s">
        <v>772</v>
      </c>
      <c r="AZ758" s="853" t="str">
        <f>+VLOOKUP($AJ758,Data_Validation!$A:$E,5,0)</f>
        <v/>
      </c>
    </row>
    <row r="759" ht="15.0" customHeight="1">
      <c r="A759" s="849" t="s">
        <v>1239</v>
      </c>
      <c r="B759" s="849">
        <v>2025.0</v>
      </c>
      <c r="C759" s="849" t="s">
        <v>3035</v>
      </c>
      <c r="D759" s="849" t="s">
        <v>3036</v>
      </c>
      <c r="E759" s="849" t="s">
        <v>768</v>
      </c>
      <c r="F759" s="849" t="s">
        <v>2855</v>
      </c>
      <c r="G759" s="849">
        <v>0.0</v>
      </c>
      <c r="H759" s="849">
        <v>0.0</v>
      </c>
      <c r="I759" s="849">
        <v>0.0</v>
      </c>
      <c r="J759" s="849">
        <v>0.0</v>
      </c>
      <c r="K759" s="849">
        <v>0.0</v>
      </c>
      <c r="L759" s="849">
        <v>0.0</v>
      </c>
      <c r="M759" s="849">
        <v>0.0</v>
      </c>
      <c r="N759" s="849">
        <v>0.0</v>
      </c>
      <c r="O759" s="849">
        <v>0.0</v>
      </c>
      <c r="P759" s="849">
        <v>0.0</v>
      </c>
      <c r="Q759" s="849">
        <v>0.0</v>
      </c>
      <c r="R759" s="849">
        <v>0.0</v>
      </c>
      <c r="S759" s="849">
        <v>0.0</v>
      </c>
      <c r="T759" s="849">
        <v>0.0</v>
      </c>
      <c r="U759" s="849">
        <v>0.0</v>
      </c>
      <c r="V759" s="849">
        <v>0.0</v>
      </c>
      <c r="W759" s="849">
        <v>0.0</v>
      </c>
      <c r="X759" s="849">
        <v>0.0</v>
      </c>
      <c r="Y759" s="849">
        <v>0.0</v>
      </c>
      <c r="Z759" s="849">
        <v>0.0</v>
      </c>
      <c r="AA759" s="849">
        <v>0.0</v>
      </c>
      <c r="AB759" s="849">
        <v>0.0</v>
      </c>
      <c r="AC759" s="849">
        <v>0.0</v>
      </c>
      <c r="AD759" s="849">
        <v>0.0</v>
      </c>
      <c r="AE759" s="849">
        <v>0.0</v>
      </c>
      <c r="AF759" s="849">
        <v>0.0</v>
      </c>
      <c r="AG759" s="849">
        <v>0.0</v>
      </c>
      <c r="AH759" s="849">
        <v>0.0</v>
      </c>
      <c r="AI759" s="849">
        <v>0.0</v>
      </c>
      <c r="AJ759" s="794" t="str">
        <f t="shared" ref="AJ759:AK759" si="1515">C759</f>
        <v>G64400</v>
      </c>
      <c r="AK759" s="794" t="str">
        <f t="shared" si="1515"/>
        <v>COÛTANT PROTECTION PLUS</v>
      </c>
      <c r="AL759" s="794">
        <f t="array" ref="AL759">IFERROR(INDEX(G759:R759,1,MATCH(Parametres!$B$3,G$1:R$1,0)-1)*IF(OR(F759="L",F759="S",F759="I"),-1,1),"")</f>
        <v>0</v>
      </c>
      <c r="AM759" s="794">
        <f t="shared" si="4"/>
        <v>0</v>
      </c>
      <c r="AN759" s="794">
        <f t="array" ref="AN759">INDEX(G759:R759,1,MATCH(Parametres!$B$3,G$1:R$1,0))*IF(OR(F759="L",F759="S",F759="I"),-1,1)</f>
        <v>0</v>
      </c>
      <c r="AO759" s="853" t="str">
        <f>+VLOOKUP($AJ759,Data_Validation!$A:$D,1,0)</f>
        <v>G64400</v>
      </c>
      <c r="AP759" s="853" t="str">
        <f>+VLOOKUP($AJ759,Data_Validation!$A:$D,3,0)</f>
        <v>Véhicules neufs</v>
      </c>
      <c r="AQ759" s="853" t="str">
        <f>+VLOOKUP($AJ759,Data_Validation!$A:$D,4,0)</f>
        <v>Rev. Protections</v>
      </c>
      <c r="AR759" s="853" t="s">
        <v>728</v>
      </c>
      <c r="AS759" s="853" t="str">
        <f>+VLOOKUP($AJ759,Data_Validation!$A:$E,5,0)</f>
        <v/>
      </c>
      <c r="AT759" s="794" t="str">
        <f t="shared" ref="AT759:AU759" si="1516">C759</f>
        <v>G64400</v>
      </c>
      <c r="AU759" s="854" t="str">
        <f t="shared" si="1516"/>
        <v>COÛTANT PROTECTION PLUS</v>
      </c>
      <c r="AV759" s="794">
        <f t="array" ref="AV759">IFERROR(INDEX(V759:AG759,1,MATCH(Parametres!$B$3,V$1:AG$1,0)-1)*IF(OR(C759="L",C759="S",C759="I"),-1,1),"")</f>
        <v>0</v>
      </c>
      <c r="AW759" s="794">
        <f t="shared" si="6"/>
        <v>0</v>
      </c>
      <c r="AX759" s="794">
        <f t="array" ref="AX759">INDEX(V759:AG759,1,MATCH(Parametres!$B$3,V$1:AG$1,0))*IF(OR(C759="L",C759="S",C759="I"),-1,1)</f>
        <v>0</v>
      </c>
      <c r="AY759" s="853" t="s">
        <v>772</v>
      </c>
      <c r="AZ759" s="853" t="str">
        <f>+VLOOKUP($AJ759,Data_Validation!$A:$E,5,0)</f>
        <v/>
      </c>
    </row>
    <row r="760" ht="15.0" customHeight="1">
      <c r="A760" s="849" t="s">
        <v>1239</v>
      </c>
      <c r="B760" s="849">
        <v>2025.0</v>
      </c>
      <c r="C760" s="849" t="s">
        <v>3047</v>
      </c>
      <c r="D760" s="849" t="s">
        <v>3486</v>
      </c>
      <c r="E760" s="849" t="s">
        <v>768</v>
      </c>
      <c r="F760" s="849" t="s">
        <v>2855</v>
      </c>
      <c r="G760" s="849">
        <v>0.0</v>
      </c>
      <c r="H760" s="849">
        <v>0.0</v>
      </c>
      <c r="I760" s="849">
        <v>0.0</v>
      </c>
      <c r="J760" s="849">
        <v>618.3</v>
      </c>
      <c r="K760" s="849">
        <v>618.3</v>
      </c>
      <c r="L760" s="849">
        <v>618.3</v>
      </c>
      <c r="M760" s="849">
        <v>618.3</v>
      </c>
      <c r="N760" s="849">
        <v>618.3</v>
      </c>
      <c r="O760" s="849">
        <v>618.3</v>
      </c>
      <c r="P760" s="849">
        <v>534.7</v>
      </c>
      <c r="Q760" s="849">
        <v>534.7</v>
      </c>
      <c r="R760" s="849">
        <v>1511.76</v>
      </c>
      <c r="S760" s="849">
        <v>48.61</v>
      </c>
      <c r="T760" s="849">
        <v>48.61</v>
      </c>
      <c r="U760" s="849">
        <v>0.0</v>
      </c>
      <c r="V760" s="849">
        <v>0.0</v>
      </c>
      <c r="W760" s="849">
        <v>0.0</v>
      </c>
      <c r="X760" s="849">
        <v>0.0</v>
      </c>
      <c r="Y760" s="849">
        <v>0.0</v>
      </c>
      <c r="Z760" s="849">
        <v>0.0</v>
      </c>
      <c r="AA760" s="849">
        <v>0.0</v>
      </c>
      <c r="AB760" s="849">
        <v>0.0</v>
      </c>
      <c r="AC760" s="849">
        <v>0.0</v>
      </c>
      <c r="AD760" s="849">
        <v>0.0</v>
      </c>
      <c r="AE760" s="849">
        <v>0.0</v>
      </c>
      <c r="AF760" s="849">
        <v>0.0</v>
      </c>
      <c r="AG760" s="849">
        <v>0.0</v>
      </c>
      <c r="AH760" s="849">
        <v>0.0</v>
      </c>
      <c r="AI760" s="849">
        <v>0.0</v>
      </c>
      <c r="AJ760" s="794" t="str">
        <f t="shared" ref="AJ760:AK760" si="1517">C760</f>
        <v>G64501</v>
      </c>
      <c r="AK760" s="794" t="str">
        <f t="shared" si="1517"/>
        <v>COUT-ANTIROUILLE</v>
      </c>
      <c r="AL760" s="794">
        <f t="array" ref="AL760">IFERROR(INDEX(G760:R760,1,MATCH(Parametres!$B$3,G$1:R$1,0)-1)*IF(OR(F760="L",F760="S",F760="I"),-1,1),"")</f>
        <v>618.3</v>
      </c>
      <c r="AM760" s="794">
        <f t="shared" si="4"/>
        <v>0</v>
      </c>
      <c r="AN760" s="794">
        <f t="array" ref="AN760">INDEX(G760:R760,1,MATCH(Parametres!$B$3,G$1:R$1,0))*IF(OR(F760="L",F760="S",F760="I"),-1,1)</f>
        <v>618.3</v>
      </c>
      <c r="AO760" s="853" t="str">
        <f>+VLOOKUP($AJ760,Data_Validation!$A:$D,1,0)</f>
        <v>G64501</v>
      </c>
      <c r="AP760" s="853" t="str">
        <f>+VLOOKUP($AJ760,Data_Validation!$A:$D,3,0)</f>
        <v>Véhicules neufs</v>
      </c>
      <c r="AQ760" s="853" t="str">
        <f>+VLOOKUP($AJ760,Data_Validation!$A:$D,4,0)</f>
        <v>Rev. Autres</v>
      </c>
      <c r="AR760" s="853" t="s">
        <v>728</v>
      </c>
      <c r="AS760" s="853" t="str">
        <f>+VLOOKUP($AJ760,Data_Validation!$A:$E,5,0)</f>
        <v/>
      </c>
      <c r="AT760" s="794" t="str">
        <f t="shared" ref="AT760:AU760" si="1518">C760</f>
        <v>G64501</v>
      </c>
      <c r="AU760" s="854" t="str">
        <f t="shared" si="1518"/>
        <v>COUT-ANTIROUILLE</v>
      </c>
      <c r="AV760" s="794">
        <f t="array" ref="AV760">IFERROR(INDEX(V760:AG760,1,MATCH(Parametres!$B$3,V$1:AG$1,0)-1)*IF(OR(C760="L",C760="S",C760="I"),-1,1),"")</f>
        <v>0</v>
      </c>
      <c r="AW760" s="794">
        <f t="shared" si="6"/>
        <v>0</v>
      </c>
      <c r="AX760" s="794">
        <f t="array" ref="AX760">INDEX(V760:AG760,1,MATCH(Parametres!$B$3,V$1:AG$1,0))*IF(OR(C760="L",C760="S",C760="I"),-1,1)</f>
        <v>0</v>
      </c>
      <c r="AY760" s="853" t="s">
        <v>772</v>
      </c>
      <c r="AZ760" s="853" t="str">
        <f>+VLOOKUP($AJ760,Data_Validation!$A:$E,5,0)</f>
        <v/>
      </c>
    </row>
    <row r="761" ht="15.0" customHeight="1">
      <c r="A761" s="849" t="s">
        <v>1239</v>
      </c>
      <c r="B761" s="849">
        <v>2025.0</v>
      </c>
      <c r="C761" s="849" t="s">
        <v>3049</v>
      </c>
      <c r="D761" s="849" t="s">
        <v>2606</v>
      </c>
      <c r="E761" s="849" t="s">
        <v>768</v>
      </c>
      <c r="F761" s="849" t="s">
        <v>2855</v>
      </c>
      <c r="G761" s="849">
        <v>3384.0</v>
      </c>
      <c r="H761" s="849">
        <v>4008.0</v>
      </c>
      <c r="I761" s="849">
        <v>5130.0</v>
      </c>
      <c r="J761" s="849">
        <v>4164.0</v>
      </c>
      <c r="K761" s="849">
        <v>8456.0</v>
      </c>
      <c r="L761" s="849">
        <v>12793.0</v>
      </c>
      <c r="M761" s="849">
        <v>13213.0</v>
      </c>
      <c r="N761" s="849">
        <v>17952.0</v>
      </c>
      <c r="O761" s="849">
        <v>21630.7</v>
      </c>
      <c r="P761" s="849">
        <v>23463.68</v>
      </c>
      <c r="Q761" s="849">
        <v>26612.49</v>
      </c>
      <c r="R761" s="849">
        <v>27366.24</v>
      </c>
      <c r="S761" s="849">
        <v>2419.32</v>
      </c>
      <c r="T761" s="849">
        <v>2419.32</v>
      </c>
      <c r="U761" s="849">
        <v>0.0</v>
      </c>
      <c r="V761" s="849">
        <v>0.0</v>
      </c>
      <c r="W761" s="849">
        <v>0.0</v>
      </c>
      <c r="X761" s="849">
        <v>0.0</v>
      </c>
      <c r="Y761" s="849">
        <v>0.0</v>
      </c>
      <c r="Z761" s="849">
        <v>0.0</v>
      </c>
      <c r="AA761" s="849">
        <v>0.0</v>
      </c>
      <c r="AB761" s="849">
        <v>0.0</v>
      </c>
      <c r="AC761" s="849">
        <v>0.0</v>
      </c>
      <c r="AD761" s="849">
        <v>0.0</v>
      </c>
      <c r="AE761" s="849">
        <v>0.0</v>
      </c>
      <c r="AF761" s="849">
        <v>0.0</v>
      </c>
      <c r="AG761" s="849">
        <v>0.0</v>
      </c>
      <c r="AH761" s="849">
        <v>0.0</v>
      </c>
      <c r="AI761" s="849">
        <v>0.0</v>
      </c>
      <c r="AJ761" s="794" t="str">
        <f t="shared" ref="AJ761:AK761" si="1519">C761</f>
        <v>G64503</v>
      </c>
      <c r="AK761" s="794" t="str">
        <f t="shared" si="1519"/>
        <v>V.TEINTÉE-PEINTURE-TISSUS</v>
      </c>
      <c r="AL761" s="794">
        <f t="array" ref="AL761">IFERROR(INDEX(G761:R761,1,MATCH(Parametres!$B$3,G$1:R$1,0)-1)*IF(OR(F761="L",F761="S",F761="I"),-1,1),"")</f>
        <v>17952</v>
      </c>
      <c r="AM761" s="794">
        <f t="shared" si="4"/>
        <v>3678.7</v>
      </c>
      <c r="AN761" s="794">
        <f t="array" ref="AN761">INDEX(G761:R761,1,MATCH(Parametres!$B$3,G$1:R$1,0))*IF(OR(F761="L",F761="S",F761="I"),-1,1)</f>
        <v>21630.7</v>
      </c>
      <c r="AO761" s="853" t="str">
        <f>+VLOOKUP($AJ761,Data_Validation!$A:$D,1,0)</f>
        <v>G64503</v>
      </c>
      <c r="AP761" s="853" t="str">
        <f>+VLOOKUP($AJ761,Data_Validation!$A:$D,3,0)</f>
        <v>Véhicules neufs</v>
      </c>
      <c r="AQ761" s="853" t="str">
        <f>+VLOOKUP($AJ761,Data_Validation!$A:$D,4,0)</f>
        <v>Rev. Autres</v>
      </c>
      <c r="AR761" s="853" t="s">
        <v>728</v>
      </c>
      <c r="AS761" s="853" t="str">
        <f>+VLOOKUP($AJ761,Data_Validation!$A:$E,5,0)</f>
        <v/>
      </c>
      <c r="AT761" s="794" t="str">
        <f t="shared" ref="AT761:AU761" si="1520">C761</f>
        <v>G64503</v>
      </c>
      <c r="AU761" s="854" t="str">
        <f t="shared" si="1520"/>
        <v>V.TEINTÉE-PEINTURE-TISSUS</v>
      </c>
      <c r="AV761" s="794">
        <f t="array" ref="AV761">IFERROR(INDEX(V761:AG761,1,MATCH(Parametres!$B$3,V$1:AG$1,0)-1)*IF(OR(C761="L",C761="S",C761="I"),-1,1),"")</f>
        <v>0</v>
      </c>
      <c r="AW761" s="794">
        <f t="shared" si="6"/>
        <v>0</v>
      </c>
      <c r="AX761" s="794">
        <f t="array" ref="AX761">INDEX(V761:AG761,1,MATCH(Parametres!$B$3,V$1:AG$1,0))*IF(OR(C761="L",C761="S",C761="I"),-1,1)</f>
        <v>0</v>
      </c>
      <c r="AY761" s="853" t="s">
        <v>772</v>
      </c>
      <c r="AZ761" s="853" t="str">
        <f>+VLOOKUP($AJ761,Data_Validation!$A:$E,5,0)</f>
        <v/>
      </c>
    </row>
    <row r="762" ht="15.0" customHeight="1">
      <c r="A762" s="849" t="s">
        <v>1239</v>
      </c>
      <c r="B762" s="849">
        <v>2025.0</v>
      </c>
      <c r="C762" s="849" t="s">
        <v>3050</v>
      </c>
      <c r="D762" s="849" t="s">
        <v>3051</v>
      </c>
      <c r="E762" s="849" t="s">
        <v>768</v>
      </c>
      <c r="F762" s="849" t="s">
        <v>2855</v>
      </c>
      <c r="G762" s="849">
        <v>10419.5</v>
      </c>
      <c r="H762" s="849">
        <v>14891.8</v>
      </c>
      <c r="I762" s="849">
        <v>19093.9</v>
      </c>
      <c r="J762" s="849">
        <v>22500.06</v>
      </c>
      <c r="K762" s="849">
        <v>28361.06</v>
      </c>
      <c r="L762" s="849">
        <v>33113.46</v>
      </c>
      <c r="M762" s="849">
        <v>36182.26</v>
      </c>
      <c r="N762" s="849">
        <v>43404.16</v>
      </c>
      <c r="O762" s="849">
        <v>53663.36</v>
      </c>
      <c r="P762" s="849">
        <v>68643.36</v>
      </c>
      <c r="Q762" s="849">
        <v>80100.26</v>
      </c>
      <c r="R762" s="849">
        <v>90963.56</v>
      </c>
      <c r="S762" s="849">
        <v>7281.84</v>
      </c>
      <c r="T762" s="849">
        <v>7281.84</v>
      </c>
      <c r="U762" s="849">
        <v>0.0</v>
      </c>
      <c r="V762" s="849">
        <v>0.0</v>
      </c>
      <c r="W762" s="849">
        <v>0.0</v>
      </c>
      <c r="X762" s="849">
        <v>0.0</v>
      </c>
      <c r="Y762" s="849">
        <v>0.0</v>
      </c>
      <c r="Z762" s="849">
        <v>0.0</v>
      </c>
      <c r="AA762" s="849">
        <v>0.0</v>
      </c>
      <c r="AB762" s="849">
        <v>0.0</v>
      </c>
      <c r="AC762" s="849">
        <v>0.0</v>
      </c>
      <c r="AD762" s="849">
        <v>0.0</v>
      </c>
      <c r="AE762" s="849">
        <v>0.0</v>
      </c>
      <c r="AF762" s="849">
        <v>0.0</v>
      </c>
      <c r="AG762" s="849">
        <v>0.0</v>
      </c>
      <c r="AH762" s="849">
        <v>0.0</v>
      </c>
      <c r="AI762" s="849">
        <v>0.0</v>
      </c>
      <c r="AJ762" s="794" t="str">
        <f t="shared" ref="AJ762:AK762" si="1521">C762</f>
        <v>G64504</v>
      </c>
      <c r="AK762" s="794" t="str">
        <f t="shared" si="1521"/>
        <v>COUT-VALEUR REMPLACEMENT</v>
      </c>
      <c r="AL762" s="794">
        <f t="array" ref="AL762">IFERROR(INDEX(G762:R762,1,MATCH(Parametres!$B$3,G$1:R$1,0)-1)*IF(OR(F762="L",F762="S",F762="I"),-1,1),"")</f>
        <v>43404.16</v>
      </c>
      <c r="AM762" s="794">
        <f t="shared" si="4"/>
        <v>10259.2</v>
      </c>
      <c r="AN762" s="794">
        <f t="array" ref="AN762">INDEX(G762:R762,1,MATCH(Parametres!$B$3,G$1:R$1,0))*IF(OR(F762="L",F762="S",F762="I"),-1,1)</f>
        <v>53663.36</v>
      </c>
      <c r="AO762" s="853" t="str">
        <f>+VLOOKUP($AJ762,Data_Validation!$A:$D,1,0)</f>
        <v>G64504</v>
      </c>
      <c r="AP762" s="853" t="str">
        <f>+VLOOKUP($AJ762,Data_Validation!$A:$D,3,0)</f>
        <v>Véhicules neufs</v>
      </c>
      <c r="AQ762" s="853" t="str">
        <f>+VLOOKUP($AJ762,Data_Validation!$A:$D,4,0)</f>
        <v>Rev. Protections</v>
      </c>
      <c r="AR762" s="853" t="s">
        <v>728</v>
      </c>
      <c r="AS762" s="853" t="str">
        <f>+VLOOKUP($AJ762,Data_Validation!$A:$E,5,0)</f>
        <v/>
      </c>
      <c r="AT762" s="794" t="str">
        <f t="shared" ref="AT762:AU762" si="1522">C762</f>
        <v>G64504</v>
      </c>
      <c r="AU762" s="854" t="str">
        <f t="shared" si="1522"/>
        <v>COUT-VALEUR REMPLACEMENT</v>
      </c>
      <c r="AV762" s="794">
        <f t="array" ref="AV762">IFERROR(INDEX(V762:AG762,1,MATCH(Parametres!$B$3,V$1:AG$1,0)-1)*IF(OR(C762="L",C762="S",C762="I"),-1,1),"")</f>
        <v>0</v>
      </c>
      <c r="AW762" s="794">
        <f t="shared" si="6"/>
        <v>0</v>
      </c>
      <c r="AX762" s="794">
        <f t="array" ref="AX762">INDEX(V762:AG762,1,MATCH(Parametres!$B$3,V$1:AG$1,0))*IF(OR(C762="L",C762="S",C762="I"),-1,1)</f>
        <v>0</v>
      </c>
      <c r="AY762" s="853" t="s">
        <v>772</v>
      </c>
      <c r="AZ762" s="853" t="str">
        <f>+VLOOKUP($AJ762,Data_Validation!$A:$E,5,0)</f>
        <v/>
      </c>
    </row>
    <row r="763" ht="15.0" customHeight="1">
      <c r="A763" s="849" t="s">
        <v>1239</v>
      </c>
      <c r="B763" s="849">
        <v>2025.0</v>
      </c>
      <c r="C763" s="849" t="s">
        <v>3052</v>
      </c>
      <c r="D763" s="849" t="s">
        <v>3487</v>
      </c>
      <c r="E763" s="849" t="s">
        <v>768</v>
      </c>
      <c r="F763" s="849" t="s">
        <v>2855</v>
      </c>
      <c r="G763" s="849">
        <v>4620.0</v>
      </c>
      <c r="H763" s="849">
        <v>7590.0</v>
      </c>
      <c r="I763" s="849">
        <v>9570.0</v>
      </c>
      <c r="J763" s="849">
        <v>11550.0</v>
      </c>
      <c r="K763" s="849">
        <v>16830.0</v>
      </c>
      <c r="L763" s="849">
        <v>20460.0</v>
      </c>
      <c r="M763" s="849">
        <v>28380.0</v>
      </c>
      <c r="N763" s="849">
        <v>35758.96</v>
      </c>
      <c r="O763" s="849">
        <v>38329.96</v>
      </c>
      <c r="P763" s="849">
        <v>39649.96</v>
      </c>
      <c r="Q763" s="849">
        <v>41498.96</v>
      </c>
      <c r="R763" s="849">
        <v>43920.03</v>
      </c>
      <c r="S763" s="849">
        <v>3772.63</v>
      </c>
      <c r="T763" s="849">
        <v>3772.63</v>
      </c>
      <c r="U763" s="849">
        <v>0.0</v>
      </c>
      <c r="V763" s="849">
        <v>0.0</v>
      </c>
      <c r="W763" s="849">
        <v>0.0</v>
      </c>
      <c r="X763" s="849">
        <v>0.0</v>
      </c>
      <c r="Y763" s="849">
        <v>0.0</v>
      </c>
      <c r="Z763" s="849">
        <v>0.0</v>
      </c>
      <c r="AA763" s="849">
        <v>0.0</v>
      </c>
      <c r="AB763" s="849">
        <v>0.0</v>
      </c>
      <c r="AC763" s="849">
        <v>0.0</v>
      </c>
      <c r="AD763" s="849">
        <v>0.0</v>
      </c>
      <c r="AE763" s="849">
        <v>0.0</v>
      </c>
      <c r="AF763" s="849">
        <v>0.0</v>
      </c>
      <c r="AG763" s="849">
        <v>0.0</v>
      </c>
      <c r="AH763" s="849">
        <v>0.0</v>
      </c>
      <c r="AI763" s="849">
        <v>0.0</v>
      </c>
      <c r="AJ763" s="794" t="str">
        <f t="shared" ref="AJ763:AK763" si="1523">C763</f>
        <v>G64505</v>
      </c>
      <c r="AK763" s="794" t="str">
        <f t="shared" si="1523"/>
        <v>COUT-ANTIVOL ET TAG</v>
      </c>
      <c r="AL763" s="794">
        <f t="array" ref="AL763">IFERROR(INDEX(G763:R763,1,MATCH(Parametres!$B$3,G$1:R$1,0)-1)*IF(OR(F763="L",F763="S",F763="I"),-1,1),"")</f>
        <v>35758.96</v>
      </c>
      <c r="AM763" s="794">
        <f t="shared" si="4"/>
        <v>2571</v>
      </c>
      <c r="AN763" s="794">
        <f t="array" ref="AN763">INDEX(G763:R763,1,MATCH(Parametres!$B$3,G$1:R$1,0))*IF(OR(F763="L",F763="S",F763="I"),-1,1)</f>
        <v>38329.96</v>
      </c>
      <c r="AO763" s="853" t="str">
        <f>+VLOOKUP($AJ763,Data_Validation!$A:$D,1,0)</f>
        <v>G64505</v>
      </c>
      <c r="AP763" s="853" t="str">
        <f>+VLOOKUP($AJ763,Data_Validation!$A:$D,3,0)</f>
        <v>Véhicules neufs</v>
      </c>
      <c r="AQ763" s="853" t="str">
        <f>+VLOOKUP($AJ763,Data_Validation!$A:$D,4,0)</f>
        <v>Rev. Autres</v>
      </c>
      <c r="AR763" s="853" t="s">
        <v>728</v>
      </c>
      <c r="AS763" s="853" t="str">
        <f>+VLOOKUP($AJ763,Data_Validation!$A:$E,5,0)</f>
        <v/>
      </c>
      <c r="AT763" s="794" t="str">
        <f t="shared" ref="AT763:AU763" si="1524">C763</f>
        <v>G64505</v>
      </c>
      <c r="AU763" s="854" t="str">
        <f t="shared" si="1524"/>
        <v>COUT-ANTIVOL ET TAG</v>
      </c>
      <c r="AV763" s="794">
        <f t="array" ref="AV763">IFERROR(INDEX(V763:AG763,1,MATCH(Parametres!$B$3,V$1:AG$1,0)-1)*IF(OR(C763="L",C763="S",C763="I"),-1,1),"")</f>
        <v>0</v>
      </c>
      <c r="AW763" s="794">
        <f t="shared" si="6"/>
        <v>0</v>
      </c>
      <c r="AX763" s="794">
        <f t="array" ref="AX763">INDEX(V763:AG763,1,MATCH(Parametres!$B$3,V$1:AG$1,0))*IF(OR(C763="L",C763="S",C763="I"),-1,1)</f>
        <v>0</v>
      </c>
      <c r="AY763" s="853" t="s">
        <v>772</v>
      </c>
      <c r="AZ763" s="853" t="str">
        <f>+VLOOKUP($AJ763,Data_Validation!$A:$E,5,0)</f>
        <v/>
      </c>
    </row>
    <row r="764" ht="15.0" customHeight="1">
      <c r="A764" s="849" t="s">
        <v>1239</v>
      </c>
      <c r="B764" s="849">
        <v>2025.0</v>
      </c>
      <c r="C764" s="849" t="s">
        <v>3054</v>
      </c>
      <c r="D764" s="849" t="s">
        <v>3055</v>
      </c>
      <c r="E764" s="849" t="s">
        <v>2072</v>
      </c>
      <c r="F764" s="849" t="s">
        <v>2855</v>
      </c>
      <c r="G764" s="849">
        <v>0.0</v>
      </c>
      <c r="H764" s="849">
        <v>0.0</v>
      </c>
      <c r="I764" s="849">
        <v>0.0</v>
      </c>
      <c r="J764" s="849">
        <v>0.0</v>
      </c>
      <c r="K764" s="849">
        <v>0.0</v>
      </c>
      <c r="L764" s="849">
        <v>0.0</v>
      </c>
      <c r="M764" s="849">
        <v>0.0</v>
      </c>
      <c r="N764" s="849">
        <v>0.0</v>
      </c>
      <c r="O764" s="849">
        <v>0.0</v>
      </c>
      <c r="P764" s="849">
        <v>0.0</v>
      </c>
      <c r="Q764" s="849">
        <v>0.0</v>
      </c>
      <c r="R764" s="849">
        <v>0.0</v>
      </c>
      <c r="S764" s="849">
        <v>0.0</v>
      </c>
      <c r="T764" s="849">
        <v>0.0</v>
      </c>
      <c r="U764" s="849">
        <v>0.0</v>
      </c>
      <c r="V764" s="849">
        <v>0.0</v>
      </c>
      <c r="W764" s="849">
        <v>0.0</v>
      </c>
      <c r="X764" s="849">
        <v>0.0</v>
      </c>
      <c r="Y764" s="849">
        <v>0.0</v>
      </c>
      <c r="Z764" s="849">
        <v>0.0</v>
      </c>
      <c r="AA764" s="849">
        <v>0.0</v>
      </c>
      <c r="AB764" s="849">
        <v>0.0</v>
      </c>
      <c r="AC764" s="849">
        <v>0.0</v>
      </c>
      <c r="AD764" s="849">
        <v>0.0</v>
      </c>
      <c r="AE764" s="849">
        <v>0.0</v>
      </c>
      <c r="AF764" s="849">
        <v>0.0</v>
      </c>
      <c r="AG764" s="849">
        <v>0.0</v>
      </c>
      <c r="AH764" s="849">
        <v>0.0</v>
      </c>
      <c r="AI764" s="849">
        <v>0.0</v>
      </c>
      <c r="AJ764" s="794" t="str">
        <f t="shared" ref="AJ764:AK764" si="1525">C764</f>
        <v>G64600</v>
      </c>
      <c r="AK764" s="794" t="str">
        <f t="shared" si="1525"/>
        <v>COUT-AUTO OCC.DET.OPTIMUM</v>
      </c>
      <c r="AL764" s="794">
        <f t="array" ref="AL764">IFERROR(INDEX(G764:R764,1,MATCH(Parametres!$B$3,G$1:R$1,0)-1)*IF(OR(F764="L",F764="S",F764="I"),-1,1),"")</f>
        <v>0</v>
      </c>
      <c r="AM764" s="794">
        <f t="shared" si="4"/>
        <v>0</v>
      </c>
      <c r="AN764" s="794">
        <f t="array" ref="AN764">INDEX(G764:R764,1,MATCH(Parametres!$B$3,G$1:R$1,0))*IF(OR(F764="L",F764="S",F764="I"),-1,1)</f>
        <v>0</v>
      </c>
      <c r="AO764" s="853" t="str">
        <f>+VLOOKUP($AJ764,Data_Validation!$A:$D,1,0)</f>
        <v>G64600</v>
      </c>
      <c r="AP764" s="853" t="str">
        <f>+VLOOKUP($AJ764,Data_Validation!$A:$D,3,0)</f>
        <v>Véhicules usagés</v>
      </c>
      <c r="AQ764" s="853" t="str">
        <f>+VLOOKUP($AJ764,Data_Validation!$A:$D,4,0)</f>
        <v>Certifié</v>
      </c>
      <c r="AR764" s="853" t="s">
        <v>728</v>
      </c>
      <c r="AS764" s="853" t="str">
        <f>+VLOOKUP($AJ764,Data_Validation!$A:$E,5,0)</f>
        <v/>
      </c>
      <c r="AT764" s="794" t="str">
        <f t="shared" ref="AT764:AU764" si="1526">C764</f>
        <v>G64600</v>
      </c>
      <c r="AU764" s="854" t="str">
        <f t="shared" si="1526"/>
        <v>COUT-AUTO OCC.DET.OPTIMUM</v>
      </c>
      <c r="AV764" s="794">
        <f t="array" ref="AV764">IFERROR(INDEX(V764:AG764,1,MATCH(Parametres!$B$3,V$1:AG$1,0)-1)*IF(OR(C764="L",C764="S",C764="I"),-1,1),"")</f>
        <v>0</v>
      </c>
      <c r="AW764" s="794">
        <f t="shared" si="6"/>
        <v>0</v>
      </c>
      <c r="AX764" s="794">
        <f t="array" ref="AX764">INDEX(V764:AG764,1,MATCH(Parametres!$B$3,V$1:AG$1,0))*IF(OR(C764="L",C764="S",C764="I"),-1,1)</f>
        <v>0</v>
      </c>
      <c r="AY764" s="853" t="s">
        <v>772</v>
      </c>
      <c r="AZ764" s="853" t="str">
        <f>+VLOOKUP($AJ764,Data_Validation!$A:$E,5,0)</f>
        <v/>
      </c>
    </row>
    <row r="765" ht="15.0" customHeight="1">
      <c r="A765" s="849" t="s">
        <v>1239</v>
      </c>
      <c r="B765" s="849">
        <v>2025.0</v>
      </c>
      <c r="C765" s="849" t="s">
        <v>3056</v>
      </c>
      <c r="D765" s="849" t="s">
        <v>3488</v>
      </c>
      <c r="E765" s="849" t="s">
        <v>2072</v>
      </c>
      <c r="F765" s="849" t="s">
        <v>2855</v>
      </c>
      <c r="G765" s="849">
        <v>56018.28</v>
      </c>
      <c r="H765" s="849">
        <v>268723.23</v>
      </c>
      <c r="I765" s="849">
        <v>402698.33</v>
      </c>
      <c r="J765" s="849">
        <v>535980.69</v>
      </c>
      <c r="K765" s="849">
        <v>581372.28</v>
      </c>
      <c r="L765" s="849">
        <v>665745.2</v>
      </c>
      <c r="M765" s="849">
        <v>742255.06</v>
      </c>
      <c r="N765" s="849">
        <v>788417.23</v>
      </c>
      <c r="O765" s="849">
        <v>865383.82</v>
      </c>
      <c r="P765" s="849">
        <v>917052.72</v>
      </c>
      <c r="Q765" s="849">
        <v>917794.19</v>
      </c>
      <c r="R765" s="849">
        <v>917794.19</v>
      </c>
      <c r="S765" s="849">
        <v>83435.84</v>
      </c>
      <c r="T765" s="849">
        <v>83435.84</v>
      </c>
      <c r="U765" s="849">
        <v>0.0</v>
      </c>
      <c r="V765" s="849">
        <v>0.0</v>
      </c>
      <c r="W765" s="849">
        <v>0.0</v>
      </c>
      <c r="X765" s="849">
        <v>0.0</v>
      </c>
      <c r="Y765" s="849">
        <v>0.0</v>
      </c>
      <c r="Z765" s="849">
        <v>0.0</v>
      </c>
      <c r="AA765" s="849">
        <v>0.0</v>
      </c>
      <c r="AB765" s="849">
        <v>0.0</v>
      </c>
      <c r="AC765" s="849">
        <v>0.0</v>
      </c>
      <c r="AD765" s="849">
        <v>0.0</v>
      </c>
      <c r="AE765" s="849">
        <v>0.0</v>
      </c>
      <c r="AF765" s="849">
        <v>0.0</v>
      </c>
      <c r="AG765" s="849">
        <v>0.0</v>
      </c>
      <c r="AH765" s="849">
        <v>0.0</v>
      </c>
      <c r="AI765" s="849">
        <v>0.0</v>
      </c>
      <c r="AJ765" s="794" t="str">
        <f t="shared" ref="AJ765:AK765" si="1527">C765</f>
        <v>G64601</v>
      </c>
      <c r="AK765" s="794" t="str">
        <f t="shared" si="1527"/>
        <v>COUT-AUTO OCC.DET.AUTRES</v>
      </c>
      <c r="AL765" s="794">
        <f t="array" ref="AL765">IFERROR(INDEX(G765:R765,1,MATCH(Parametres!$B$3,G$1:R$1,0)-1)*IF(OR(F765="L",F765="S",F765="I"),-1,1),"")</f>
        <v>788417.23</v>
      </c>
      <c r="AM765" s="794">
        <f t="shared" si="4"/>
        <v>76966.59</v>
      </c>
      <c r="AN765" s="794">
        <f t="array" ref="AN765">INDEX(G765:R765,1,MATCH(Parametres!$B$3,G$1:R$1,0))*IF(OR(F765="L",F765="S",F765="I"),-1,1)</f>
        <v>865383.82</v>
      </c>
      <c r="AO765" s="853" t="str">
        <f>+VLOOKUP($AJ765,Data_Validation!$A:$D,1,0)</f>
        <v>G64601</v>
      </c>
      <c r="AP765" s="853" t="str">
        <f>+VLOOKUP($AJ765,Data_Validation!$A:$D,3,0)</f>
        <v>Véhicules usagés</v>
      </c>
      <c r="AQ765" s="853" t="str">
        <f>+VLOOKUP($AJ765,Data_Validation!$A:$D,4,0)</f>
        <v>Non Certifié</v>
      </c>
      <c r="AR765" s="853" t="s">
        <v>728</v>
      </c>
      <c r="AS765" s="853" t="str">
        <f>+VLOOKUP($AJ765,Data_Validation!$A:$E,5,0)</f>
        <v/>
      </c>
      <c r="AT765" s="794" t="str">
        <f t="shared" ref="AT765:AU765" si="1528">C765</f>
        <v>G64601</v>
      </c>
      <c r="AU765" s="854" t="str">
        <f t="shared" si="1528"/>
        <v>COUT-AUTO OCC.DET.AUTRES</v>
      </c>
      <c r="AV765" s="794">
        <f t="array" ref="AV765">IFERROR(INDEX(V765:AG765,1,MATCH(Parametres!$B$3,V$1:AG$1,0)-1)*IF(OR(C765="L",C765="S",C765="I"),-1,1),"")</f>
        <v>0</v>
      </c>
      <c r="AW765" s="794">
        <f t="shared" si="6"/>
        <v>0</v>
      </c>
      <c r="AX765" s="794">
        <f t="array" ref="AX765">INDEX(V765:AG765,1,MATCH(Parametres!$B$3,V$1:AG$1,0))*IF(OR(C765="L",C765="S",C765="I"),-1,1)</f>
        <v>0</v>
      </c>
      <c r="AY765" s="853" t="s">
        <v>772</v>
      </c>
      <c r="AZ765" s="853" t="str">
        <f>+VLOOKUP($AJ765,Data_Validation!$A:$E,5,0)</f>
        <v/>
      </c>
    </row>
    <row r="766" ht="15.0" customHeight="1">
      <c r="A766" s="849" t="s">
        <v>1239</v>
      </c>
      <c r="B766" s="849">
        <v>2025.0</v>
      </c>
      <c r="C766" s="849" t="s">
        <v>3062</v>
      </c>
      <c r="D766" s="849" t="s">
        <v>3063</v>
      </c>
      <c r="E766" s="849" t="s">
        <v>2072</v>
      </c>
      <c r="F766" s="849" t="s">
        <v>2855</v>
      </c>
      <c r="G766" s="849">
        <v>0.0</v>
      </c>
      <c r="H766" s="849">
        <v>0.0</v>
      </c>
      <c r="I766" s="849">
        <v>0.0</v>
      </c>
      <c r="J766" s="849">
        <v>0.0</v>
      </c>
      <c r="K766" s="849">
        <v>0.0</v>
      </c>
      <c r="L766" s="849">
        <v>0.0</v>
      </c>
      <c r="M766" s="849">
        <v>0.0</v>
      </c>
      <c r="N766" s="849">
        <v>0.0</v>
      </c>
      <c r="O766" s="849">
        <v>0.0</v>
      </c>
      <c r="P766" s="849">
        <v>0.0</v>
      </c>
      <c r="Q766" s="849">
        <v>0.0</v>
      </c>
      <c r="R766" s="849">
        <v>0.0</v>
      </c>
      <c r="S766" s="849">
        <v>0.0</v>
      </c>
      <c r="T766" s="849">
        <v>0.0</v>
      </c>
      <c r="U766" s="849">
        <v>0.0</v>
      </c>
      <c r="V766" s="849">
        <v>0.0</v>
      </c>
      <c r="W766" s="849">
        <v>0.0</v>
      </c>
      <c r="X766" s="849">
        <v>0.0</v>
      </c>
      <c r="Y766" s="849">
        <v>0.0</v>
      </c>
      <c r="Z766" s="849">
        <v>0.0</v>
      </c>
      <c r="AA766" s="849">
        <v>0.0</v>
      </c>
      <c r="AB766" s="849">
        <v>0.0</v>
      </c>
      <c r="AC766" s="849">
        <v>0.0</v>
      </c>
      <c r="AD766" s="849">
        <v>0.0</v>
      </c>
      <c r="AE766" s="849">
        <v>0.0</v>
      </c>
      <c r="AF766" s="849">
        <v>0.0</v>
      </c>
      <c r="AG766" s="849">
        <v>0.0</v>
      </c>
      <c r="AH766" s="849">
        <v>0.0</v>
      </c>
      <c r="AI766" s="849">
        <v>0.0</v>
      </c>
      <c r="AJ766" s="794" t="str">
        <f t="shared" ref="AJ766:AK766" si="1529">C766</f>
        <v>G64620</v>
      </c>
      <c r="AK766" s="794" t="str">
        <f t="shared" si="1529"/>
        <v>COUT-LOC.AUTO USAGE OPT.</v>
      </c>
      <c r="AL766" s="794">
        <f t="array" ref="AL766">IFERROR(INDEX(G766:R766,1,MATCH(Parametres!$B$3,G$1:R$1,0)-1)*IF(OR(F766="L",F766="S",F766="I"),-1,1),"")</f>
        <v>0</v>
      </c>
      <c r="AM766" s="794">
        <f t="shared" si="4"/>
        <v>0</v>
      </c>
      <c r="AN766" s="794">
        <f t="array" ref="AN766">INDEX(G766:R766,1,MATCH(Parametres!$B$3,G$1:R$1,0))*IF(OR(F766="L",F766="S",F766="I"),-1,1)</f>
        <v>0</v>
      </c>
      <c r="AO766" s="853" t="str">
        <f>+VLOOKUP($AJ766,Data_Validation!$A:$D,1,0)</f>
        <v>G64620</v>
      </c>
      <c r="AP766" s="853" t="str">
        <f>+VLOOKUP($AJ766,Data_Validation!$A:$D,3,0)</f>
        <v>Véhicules usagés</v>
      </c>
      <c r="AQ766" s="853" t="str">
        <f>+VLOOKUP($AJ766,Data_Validation!$A:$D,4,0)</f>
        <v>Certifié</v>
      </c>
      <c r="AR766" s="853" t="s">
        <v>728</v>
      </c>
      <c r="AS766" s="853" t="str">
        <f>+VLOOKUP($AJ766,Data_Validation!$A:$E,5,0)</f>
        <v/>
      </c>
      <c r="AT766" s="794" t="str">
        <f t="shared" ref="AT766:AU766" si="1530">C766</f>
        <v>G64620</v>
      </c>
      <c r="AU766" s="854" t="str">
        <f t="shared" si="1530"/>
        <v>COUT-LOC.AUTO USAGE OPT.</v>
      </c>
      <c r="AV766" s="794">
        <f t="array" ref="AV766">IFERROR(INDEX(V766:AG766,1,MATCH(Parametres!$B$3,V$1:AG$1,0)-1)*IF(OR(C766="L",C766="S",C766="I"),-1,1),"")</f>
        <v>0</v>
      </c>
      <c r="AW766" s="794">
        <f t="shared" si="6"/>
        <v>0</v>
      </c>
      <c r="AX766" s="794">
        <f t="array" ref="AX766">INDEX(V766:AG766,1,MATCH(Parametres!$B$3,V$1:AG$1,0))*IF(OR(C766="L",C766="S",C766="I"),-1,1)</f>
        <v>0</v>
      </c>
      <c r="AY766" s="853" t="s">
        <v>772</v>
      </c>
      <c r="AZ766" s="853" t="str">
        <f>+VLOOKUP($AJ766,Data_Validation!$A:$E,5,0)</f>
        <v/>
      </c>
    </row>
    <row r="767" ht="15.0" customHeight="1">
      <c r="A767" s="849" t="s">
        <v>1239</v>
      </c>
      <c r="B767" s="849">
        <v>2025.0</v>
      </c>
      <c r="C767" s="849" t="s">
        <v>3064</v>
      </c>
      <c r="D767" s="849" t="s">
        <v>3065</v>
      </c>
      <c r="E767" s="849" t="s">
        <v>768</v>
      </c>
      <c r="F767" s="849" t="s">
        <v>2855</v>
      </c>
      <c r="G767" s="849">
        <v>0.0</v>
      </c>
      <c r="H767" s="849">
        <v>0.0</v>
      </c>
      <c r="I767" s="849">
        <v>0.0</v>
      </c>
      <c r="J767" s="849">
        <v>0.0</v>
      </c>
      <c r="K767" s="849">
        <v>0.0</v>
      </c>
      <c r="L767" s="849">
        <v>0.0</v>
      </c>
      <c r="M767" s="849">
        <v>0.0</v>
      </c>
      <c r="N767" s="849">
        <v>0.0</v>
      </c>
      <c r="O767" s="849">
        <v>0.0</v>
      </c>
      <c r="P767" s="849">
        <v>0.0</v>
      </c>
      <c r="Q767" s="849">
        <v>0.0</v>
      </c>
      <c r="R767" s="849">
        <v>0.0</v>
      </c>
      <c r="S767" s="849">
        <v>0.0</v>
      </c>
      <c r="T767" s="849">
        <v>0.0</v>
      </c>
      <c r="U767" s="849">
        <v>0.0</v>
      </c>
      <c r="V767" s="849">
        <v>0.0</v>
      </c>
      <c r="W767" s="849">
        <v>0.0</v>
      </c>
      <c r="X767" s="849">
        <v>0.0</v>
      </c>
      <c r="Y767" s="849">
        <v>0.0</v>
      </c>
      <c r="Z767" s="849">
        <v>0.0</v>
      </c>
      <c r="AA767" s="849">
        <v>0.0</v>
      </c>
      <c r="AB767" s="849">
        <v>0.0</v>
      </c>
      <c r="AC767" s="849">
        <v>0.0</v>
      </c>
      <c r="AD767" s="849">
        <v>0.0</v>
      </c>
      <c r="AE767" s="849">
        <v>0.0</v>
      </c>
      <c r="AF767" s="849">
        <v>0.0</v>
      </c>
      <c r="AG767" s="849">
        <v>0.0</v>
      </c>
      <c r="AH767" s="849">
        <v>0.0</v>
      </c>
      <c r="AI767" s="849">
        <v>0.0</v>
      </c>
      <c r="AJ767" s="794" t="str">
        <f t="shared" ref="AJ767:AK767" si="1531">C767</f>
        <v>G64700</v>
      </c>
      <c r="AK767" s="794" t="str">
        <f t="shared" si="1531"/>
        <v>REMISE NEUF VOIT.DET.OPT</v>
      </c>
      <c r="AL767" s="794">
        <f t="array" ref="AL767">IFERROR(INDEX(G767:R767,1,MATCH(Parametres!$B$3,G$1:R$1,0)-1)*IF(OR(F767="L",F767="S",F767="I"),-1,1),"")</f>
        <v>0</v>
      </c>
      <c r="AM767" s="794">
        <f t="shared" si="4"/>
        <v>0</v>
      </c>
      <c r="AN767" s="794">
        <f t="array" ref="AN767">INDEX(G767:R767,1,MATCH(Parametres!$B$3,G$1:R$1,0))*IF(OR(F767="L",F767="S",F767="I"),-1,1)</f>
        <v>0</v>
      </c>
      <c r="AO767" s="853" t="str">
        <f>+VLOOKUP($AJ767,Data_Validation!$A:$D,1,0)</f>
        <v>G64700</v>
      </c>
      <c r="AP767" s="853" t="str">
        <f>+VLOOKUP($AJ767,Data_Validation!$A:$D,3,0)</f>
        <v/>
      </c>
      <c r="AQ767" s="853" t="str">
        <f>+VLOOKUP($AJ767,Data_Validation!$A:$D,4,0)</f>
        <v/>
      </c>
      <c r="AR767" s="853" t="s">
        <v>728</v>
      </c>
      <c r="AS767" s="853" t="str">
        <f>+VLOOKUP($AJ767,Data_Validation!$A:$E,5,0)</f>
        <v/>
      </c>
      <c r="AT767" s="794" t="str">
        <f t="shared" ref="AT767:AU767" si="1532">C767</f>
        <v>G64700</v>
      </c>
      <c r="AU767" s="854" t="str">
        <f t="shared" si="1532"/>
        <v>REMISE NEUF VOIT.DET.OPT</v>
      </c>
      <c r="AV767" s="794">
        <f t="array" ref="AV767">IFERROR(INDEX(V767:AG767,1,MATCH(Parametres!$B$3,V$1:AG$1,0)-1)*IF(OR(C767="L",C767="S",C767="I"),-1,1),"")</f>
        <v>0</v>
      </c>
      <c r="AW767" s="794">
        <f t="shared" si="6"/>
        <v>0</v>
      </c>
      <c r="AX767" s="794">
        <f t="array" ref="AX767">INDEX(V767:AG767,1,MATCH(Parametres!$B$3,V$1:AG$1,0))*IF(OR(C767="L",C767="S",C767="I"),-1,1)</f>
        <v>0</v>
      </c>
      <c r="AY767" s="853" t="s">
        <v>772</v>
      </c>
      <c r="AZ767" s="853" t="str">
        <f>+VLOOKUP($AJ767,Data_Validation!$A:$E,5,0)</f>
        <v/>
      </c>
    </row>
    <row r="768" ht="15.0" customHeight="1">
      <c r="A768" s="849" t="s">
        <v>1239</v>
      </c>
      <c r="B768" s="849">
        <v>2025.0</v>
      </c>
      <c r="C768" s="849" t="s">
        <v>3066</v>
      </c>
      <c r="D768" s="849" t="s">
        <v>3067</v>
      </c>
      <c r="E768" s="849" t="s">
        <v>768</v>
      </c>
      <c r="F768" s="849" t="s">
        <v>2855</v>
      </c>
      <c r="G768" s="849">
        <v>0.0</v>
      </c>
      <c r="H768" s="849">
        <v>0.0</v>
      </c>
      <c r="I768" s="849">
        <v>0.0</v>
      </c>
      <c r="J768" s="849">
        <v>0.0</v>
      </c>
      <c r="K768" s="849">
        <v>0.0</v>
      </c>
      <c r="L768" s="849">
        <v>0.0</v>
      </c>
      <c r="M768" s="849">
        <v>0.0</v>
      </c>
      <c r="N768" s="849">
        <v>0.0</v>
      </c>
      <c r="O768" s="849">
        <v>0.0</v>
      </c>
      <c r="P768" s="849">
        <v>0.0</v>
      </c>
      <c r="Q768" s="849">
        <v>0.0</v>
      </c>
      <c r="R768" s="849">
        <v>0.0</v>
      </c>
      <c r="S768" s="849">
        <v>0.0</v>
      </c>
      <c r="T768" s="849">
        <v>0.0</v>
      </c>
      <c r="U768" s="849">
        <v>0.0</v>
      </c>
      <c r="V768" s="849">
        <v>0.0</v>
      </c>
      <c r="W768" s="849">
        <v>0.0</v>
      </c>
      <c r="X768" s="849">
        <v>0.0</v>
      </c>
      <c r="Y768" s="849">
        <v>0.0</v>
      </c>
      <c r="Z768" s="849">
        <v>0.0</v>
      </c>
      <c r="AA768" s="849">
        <v>0.0</v>
      </c>
      <c r="AB768" s="849">
        <v>0.0</v>
      </c>
      <c r="AC768" s="849">
        <v>0.0</v>
      </c>
      <c r="AD768" s="849">
        <v>0.0</v>
      </c>
      <c r="AE768" s="849">
        <v>0.0</v>
      </c>
      <c r="AF768" s="849">
        <v>0.0</v>
      </c>
      <c r="AG768" s="849">
        <v>0.0</v>
      </c>
      <c r="AH768" s="849">
        <v>0.0</v>
      </c>
      <c r="AI768" s="849">
        <v>0.0</v>
      </c>
      <c r="AJ768" s="794" t="str">
        <f t="shared" ref="AJ768:AK768" si="1533">C768</f>
        <v>G64701</v>
      </c>
      <c r="AK768" s="794" t="str">
        <f t="shared" si="1533"/>
        <v>REMISE NEUF VOIT.DET.AUTR</v>
      </c>
      <c r="AL768" s="794">
        <f t="array" ref="AL768">IFERROR(INDEX(G768:R768,1,MATCH(Parametres!$B$3,G$1:R$1,0)-1)*IF(OR(F768="L",F768="S",F768="I"),-1,1),"")</f>
        <v>0</v>
      </c>
      <c r="AM768" s="794">
        <f t="shared" si="4"/>
        <v>0</v>
      </c>
      <c r="AN768" s="794">
        <f t="array" ref="AN768">INDEX(G768:R768,1,MATCH(Parametres!$B$3,G$1:R$1,0))*IF(OR(F768="L",F768="S",F768="I"),-1,1)</f>
        <v>0</v>
      </c>
      <c r="AO768" s="853" t="str">
        <f>+VLOOKUP($AJ768,Data_Validation!$A:$D,1,0)</f>
        <v>G64701</v>
      </c>
      <c r="AP768" s="853" t="str">
        <f>+VLOOKUP($AJ768,Data_Validation!$A:$D,3,0)</f>
        <v/>
      </c>
      <c r="AQ768" s="853" t="str">
        <f>+VLOOKUP($AJ768,Data_Validation!$A:$D,4,0)</f>
        <v/>
      </c>
      <c r="AR768" s="853" t="s">
        <v>728</v>
      </c>
      <c r="AS768" s="853" t="str">
        <f>+VLOOKUP($AJ768,Data_Validation!$A:$E,5,0)</f>
        <v/>
      </c>
      <c r="AT768" s="794" t="str">
        <f t="shared" ref="AT768:AU768" si="1534">C768</f>
        <v>G64701</v>
      </c>
      <c r="AU768" s="854" t="str">
        <f t="shared" si="1534"/>
        <v>REMISE NEUF VOIT.DET.AUTR</v>
      </c>
      <c r="AV768" s="794">
        <f t="array" ref="AV768">IFERROR(INDEX(V768:AG768,1,MATCH(Parametres!$B$3,V$1:AG$1,0)-1)*IF(OR(C768="L",C768="S",C768="I"),-1,1),"")</f>
        <v>0</v>
      </c>
      <c r="AW768" s="794">
        <f t="shared" si="6"/>
        <v>0</v>
      </c>
      <c r="AX768" s="794">
        <f t="array" ref="AX768">INDEX(V768:AG768,1,MATCH(Parametres!$B$3,V$1:AG$1,0))*IF(OR(C768="L",C768="S",C768="I"),-1,1)</f>
        <v>0</v>
      </c>
      <c r="AY768" s="853" t="s">
        <v>772</v>
      </c>
      <c r="AZ768" s="853" t="str">
        <f>+VLOOKUP($AJ768,Data_Validation!$A:$E,5,0)</f>
        <v/>
      </c>
    </row>
    <row r="769" ht="15.0" customHeight="1">
      <c r="A769" s="849" t="s">
        <v>1239</v>
      </c>
      <c r="B769" s="849">
        <v>2025.0</v>
      </c>
      <c r="C769" s="849" t="s">
        <v>3068</v>
      </c>
      <c r="D769" s="849" t="s">
        <v>3069</v>
      </c>
      <c r="E769" s="849" t="s">
        <v>768</v>
      </c>
      <c r="F769" s="849" t="s">
        <v>2855</v>
      </c>
      <c r="G769" s="849">
        <v>0.0</v>
      </c>
      <c r="H769" s="849">
        <v>0.0</v>
      </c>
      <c r="I769" s="849">
        <v>0.0</v>
      </c>
      <c r="J769" s="849">
        <v>0.0</v>
      </c>
      <c r="K769" s="849">
        <v>0.0</v>
      </c>
      <c r="L769" s="849">
        <v>0.0</v>
      </c>
      <c r="M769" s="849">
        <v>0.0</v>
      </c>
      <c r="N769" s="849">
        <v>0.0</v>
      </c>
      <c r="O769" s="849">
        <v>0.0</v>
      </c>
      <c r="P769" s="849">
        <v>0.0</v>
      </c>
      <c r="Q769" s="849">
        <v>0.0</v>
      </c>
      <c r="R769" s="849">
        <v>0.0</v>
      </c>
      <c r="S769" s="849">
        <v>0.0</v>
      </c>
      <c r="T769" s="849">
        <v>0.0</v>
      </c>
      <c r="U769" s="849">
        <v>0.0</v>
      </c>
      <c r="V769" s="849">
        <v>0.0</v>
      </c>
      <c r="W769" s="849">
        <v>0.0</v>
      </c>
      <c r="X769" s="849">
        <v>0.0</v>
      </c>
      <c r="Y769" s="849">
        <v>0.0</v>
      </c>
      <c r="Z769" s="849">
        <v>0.0</v>
      </c>
      <c r="AA769" s="849">
        <v>0.0</v>
      </c>
      <c r="AB769" s="849">
        <v>0.0</v>
      </c>
      <c r="AC769" s="849">
        <v>0.0</v>
      </c>
      <c r="AD769" s="849">
        <v>0.0</v>
      </c>
      <c r="AE769" s="849">
        <v>0.0</v>
      </c>
      <c r="AF769" s="849">
        <v>0.0</v>
      </c>
      <c r="AG769" s="849">
        <v>0.0</v>
      </c>
      <c r="AH769" s="849">
        <v>0.0</v>
      </c>
      <c r="AI769" s="849">
        <v>0.0</v>
      </c>
      <c r="AJ769" s="794" t="str">
        <f t="shared" ref="AJ769:AK769" si="1535">C769</f>
        <v>G64720</v>
      </c>
      <c r="AK769" s="794" t="str">
        <f t="shared" si="1535"/>
        <v>REM.NEUF LOC.AUTO DET.OPT</v>
      </c>
      <c r="AL769" s="794">
        <f t="array" ref="AL769">IFERROR(INDEX(G769:R769,1,MATCH(Parametres!$B$3,G$1:R$1,0)-1)*IF(OR(F769="L",F769="S",F769="I"),-1,1),"")</f>
        <v>0</v>
      </c>
      <c r="AM769" s="794">
        <f t="shared" si="4"/>
        <v>0</v>
      </c>
      <c r="AN769" s="794">
        <f t="array" ref="AN769">INDEX(G769:R769,1,MATCH(Parametres!$B$3,G$1:R$1,0))*IF(OR(F769="L",F769="S",F769="I"),-1,1)</f>
        <v>0</v>
      </c>
      <c r="AO769" s="853" t="str">
        <f>+VLOOKUP($AJ769,Data_Validation!$A:$D,1,0)</f>
        <v>G64720</v>
      </c>
      <c r="AP769" s="853" t="str">
        <f>+VLOOKUP($AJ769,Data_Validation!$A:$D,3,0)</f>
        <v/>
      </c>
      <c r="AQ769" s="853" t="str">
        <f>+VLOOKUP($AJ769,Data_Validation!$A:$D,4,0)</f>
        <v/>
      </c>
      <c r="AR769" s="853" t="s">
        <v>728</v>
      </c>
      <c r="AS769" s="853" t="str">
        <f>+VLOOKUP($AJ769,Data_Validation!$A:$E,5,0)</f>
        <v/>
      </c>
      <c r="AT769" s="794" t="str">
        <f t="shared" ref="AT769:AU769" si="1536">C769</f>
        <v>G64720</v>
      </c>
      <c r="AU769" s="854" t="str">
        <f t="shared" si="1536"/>
        <v>REM.NEUF LOC.AUTO DET.OPT</v>
      </c>
      <c r="AV769" s="794">
        <f t="array" ref="AV769">IFERROR(INDEX(V769:AG769,1,MATCH(Parametres!$B$3,V$1:AG$1,0)-1)*IF(OR(C769="L",C769="S",C769="I"),-1,1),"")</f>
        <v>0</v>
      </c>
      <c r="AW769" s="794">
        <f t="shared" si="6"/>
        <v>0</v>
      </c>
      <c r="AX769" s="794">
        <f t="array" ref="AX769">INDEX(V769:AG769,1,MATCH(Parametres!$B$3,V$1:AG$1,0))*IF(OR(C769="L",C769="S",C769="I"),-1,1)</f>
        <v>0</v>
      </c>
      <c r="AY769" s="853" t="s">
        <v>772</v>
      </c>
      <c r="AZ769" s="853" t="str">
        <f>+VLOOKUP($AJ769,Data_Validation!$A:$E,5,0)</f>
        <v/>
      </c>
    </row>
    <row r="770" ht="15.0" customHeight="1">
      <c r="A770" s="849" t="s">
        <v>1239</v>
      </c>
      <c r="B770" s="849">
        <v>2025.0</v>
      </c>
      <c r="C770" s="849" t="s">
        <v>3070</v>
      </c>
      <c r="D770" s="849" t="s">
        <v>3071</v>
      </c>
      <c r="E770" s="849" t="s">
        <v>2072</v>
      </c>
      <c r="F770" s="849" t="s">
        <v>2855</v>
      </c>
      <c r="G770" s="849">
        <v>44864.0</v>
      </c>
      <c r="H770" s="849">
        <v>79551.25</v>
      </c>
      <c r="I770" s="849">
        <v>277328.21</v>
      </c>
      <c r="J770" s="849">
        <v>570744.95</v>
      </c>
      <c r="K770" s="849">
        <v>836905.22</v>
      </c>
      <c r="L770" s="849">
        <v>891151.38</v>
      </c>
      <c r="M770" s="849">
        <v>910927.38</v>
      </c>
      <c r="N770" s="849">
        <v>970427.38</v>
      </c>
      <c r="O770" s="849">
        <v>1213350.85</v>
      </c>
      <c r="P770" s="849">
        <v>1303571.09</v>
      </c>
      <c r="Q770" s="849">
        <v>1356956.09</v>
      </c>
      <c r="R770" s="849">
        <v>1588095.09</v>
      </c>
      <c r="S770" s="849">
        <v>123359.64</v>
      </c>
      <c r="T770" s="849">
        <v>123359.64</v>
      </c>
      <c r="U770" s="849">
        <v>0.0</v>
      </c>
      <c r="V770" s="849">
        <v>0.0</v>
      </c>
      <c r="W770" s="849">
        <v>0.0</v>
      </c>
      <c r="X770" s="849">
        <v>0.0</v>
      </c>
      <c r="Y770" s="849">
        <v>0.0</v>
      </c>
      <c r="Z770" s="849">
        <v>0.0</v>
      </c>
      <c r="AA770" s="849">
        <v>0.0</v>
      </c>
      <c r="AB770" s="849">
        <v>0.0</v>
      </c>
      <c r="AC770" s="849">
        <v>0.0</v>
      </c>
      <c r="AD770" s="849">
        <v>0.0</v>
      </c>
      <c r="AE770" s="849">
        <v>0.0</v>
      </c>
      <c r="AF770" s="849">
        <v>0.0</v>
      </c>
      <c r="AG770" s="849">
        <v>0.0</v>
      </c>
      <c r="AH770" s="849">
        <v>0.0</v>
      </c>
      <c r="AI770" s="849">
        <v>0.0</v>
      </c>
      <c r="AJ770" s="794" t="str">
        <f t="shared" ref="AJ770:AK770" si="1537">C770</f>
        <v>G64800</v>
      </c>
      <c r="AK770" s="794" t="str">
        <f t="shared" si="1537"/>
        <v>COUT-AUTOS USAGES EN GROS</v>
      </c>
      <c r="AL770" s="794">
        <f t="array" ref="AL770">IFERROR(INDEX(G770:R770,1,MATCH(Parametres!$B$3,G$1:R$1,0)-1)*IF(OR(F770="L",F770="S",F770="I"),-1,1),"")</f>
        <v>970427.38</v>
      </c>
      <c r="AM770" s="794">
        <f t="shared" si="4"/>
        <v>242923.47</v>
      </c>
      <c r="AN770" s="794">
        <f t="array" ref="AN770">INDEX(G770:R770,1,MATCH(Parametres!$B$3,G$1:R$1,0))*IF(OR(F770="L",F770="S",F770="I"),-1,1)</f>
        <v>1213350.85</v>
      </c>
      <c r="AO770" s="853" t="str">
        <f>+VLOOKUP($AJ770,Data_Validation!$A:$D,1,0)</f>
        <v>G64800</v>
      </c>
      <c r="AP770" s="853" t="str">
        <f>+VLOOKUP($AJ770,Data_Validation!$A:$D,3,0)</f>
        <v>Véhicules usagés</v>
      </c>
      <c r="AQ770" s="853" t="str">
        <f>+VLOOKUP($AJ770,Data_Validation!$A:$D,4,0)</f>
        <v>Ventes au Gros</v>
      </c>
      <c r="AR770" s="853" t="s">
        <v>728</v>
      </c>
      <c r="AS770" s="853" t="str">
        <f>+VLOOKUP($AJ770,Data_Validation!$A:$E,5,0)</f>
        <v/>
      </c>
      <c r="AT770" s="794" t="str">
        <f t="shared" ref="AT770:AU770" si="1538">C770</f>
        <v>G64800</v>
      </c>
      <c r="AU770" s="854" t="str">
        <f t="shared" si="1538"/>
        <v>COUT-AUTOS USAGES EN GROS</v>
      </c>
      <c r="AV770" s="794">
        <f t="array" ref="AV770">IFERROR(INDEX(V770:AG770,1,MATCH(Parametres!$B$3,V$1:AG$1,0)-1)*IF(OR(C770="L",C770="S",C770="I"),-1,1),"")</f>
        <v>0</v>
      </c>
      <c r="AW770" s="794">
        <f t="shared" si="6"/>
        <v>0</v>
      </c>
      <c r="AX770" s="794">
        <f t="array" ref="AX770">INDEX(V770:AG770,1,MATCH(Parametres!$B$3,V$1:AG$1,0))*IF(OR(C770="L",C770="S",C770="I"),-1,1)</f>
        <v>0</v>
      </c>
      <c r="AY770" s="853" t="s">
        <v>772</v>
      </c>
      <c r="AZ770" s="853" t="str">
        <f>+VLOOKUP($AJ770,Data_Validation!$A:$E,5,0)</f>
        <v/>
      </c>
    </row>
    <row r="771" ht="15.0" customHeight="1">
      <c r="A771" s="849" t="s">
        <v>1239</v>
      </c>
      <c r="B771" s="849">
        <v>2025.0</v>
      </c>
      <c r="C771" s="849" t="s">
        <v>3072</v>
      </c>
      <c r="D771" s="849" t="s">
        <v>3073</v>
      </c>
      <c r="E771" s="849" t="s">
        <v>768</v>
      </c>
      <c r="F771" s="849" t="s">
        <v>2855</v>
      </c>
      <c r="G771" s="849">
        <v>0.0</v>
      </c>
      <c r="H771" s="849">
        <v>0.0</v>
      </c>
      <c r="I771" s="849">
        <v>0.0</v>
      </c>
      <c r="J771" s="849">
        <v>0.0</v>
      </c>
      <c r="K771" s="849">
        <v>0.0</v>
      </c>
      <c r="L771" s="849">
        <v>0.0</v>
      </c>
      <c r="M771" s="849">
        <v>0.0</v>
      </c>
      <c r="N771" s="849">
        <v>0.0</v>
      </c>
      <c r="O771" s="849">
        <v>0.0</v>
      </c>
      <c r="P771" s="849">
        <v>0.0</v>
      </c>
      <c r="Q771" s="849">
        <v>0.0</v>
      </c>
      <c r="R771" s="849">
        <v>0.0</v>
      </c>
      <c r="S771" s="849">
        <v>0.0</v>
      </c>
      <c r="T771" s="849">
        <v>0.0</v>
      </c>
      <c r="U771" s="849">
        <v>0.0</v>
      </c>
      <c r="V771" s="849">
        <v>0.0</v>
      </c>
      <c r="W771" s="849">
        <v>0.0</v>
      </c>
      <c r="X771" s="849">
        <v>0.0</v>
      </c>
      <c r="Y771" s="849">
        <v>0.0</v>
      </c>
      <c r="Z771" s="849">
        <v>0.0</v>
      </c>
      <c r="AA771" s="849">
        <v>0.0</v>
      </c>
      <c r="AB771" s="849">
        <v>0.0</v>
      </c>
      <c r="AC771" s="849">
        <v>0.0</v>
      </c>
      <c r="AD771" s="849">
        <v>0.0</v>
      </c>
      <c r="AE771" s="849">
        <v>0.0</v>
      </c>
      <c r="AF771" s="849">
        <v>0.0</v>
      </c>
      <c r="AG771" s="849">
        <v>0.0</v>
      </c>
      <c r="AH771" s="849">
        <v>0.0</v>
      </c>
      <c r="AI771" s="849">
        <v>0.0</v>
      </c>
      <c r="AJ771" s="794" t="str">
        <f t="shared" ref="AJ771:AK771" si="1539">C771</f>
        <v>G64900</v>
      </c>
      <c r="AK771" s="794" t="str">
        <f t="shared" si="1539"/>
        <v>RECTIFICATION STOCK AUTO</v>
      </c>
      <c r="AL771" s="794">
        <f t="array" ref="AL771">IFERROR(INDEX(G771:R771,1,MATCH(Parametres!$B$3,G$1:R$1,0)-1)*IF(OR(F771="L",F771="S",F771="I"),-1,1),"")</f>
        <v>0</v>
      </c>
      <c r="AM771" s="794">
        <f t="shared" si="4"/>
        <v>0</v>
      </c>
      <c r="AN771" s="794">
        <f t="array" ref="AN771">INDEX(G771:R771,1,MATCH(Parametres!$B$3,G$1:R$1,0))*IF(OR(F771="L",F771="S",F771="I"),-1,1)</f>
        <v>0</v>
      </c>
      <c r="AO771" s="853" t="str">
        <f>+VLOOKUP($AJ771,Data_Validation!$A:$D,1,0)</f>
        <v>G64900</v>
      </c>
      <c r="AP771" s="853" t="str">
        <f>+VLOOKUP($AJ771,Data_Validation!$A:$D,3,0)</f>
        <v/>
      </c>
      <c r="AQ771" s="853" t="str">
        <f>+VLOOKUP($AJ771,Data_Validation!$A:$D,4,0)</f>
        <v/>
      </c>
      <c r="AR771" s="853" t="s">
        <v>728</v>
      </c>
      <c r="AS771" s="853" t="str">
        <f>+VLOOKUP($AJ771,Data_Validation!$A:$E,5,0)</f>
        <v/>
      </c>
      <c r="AT771" s="794" t="str">
        <f t="shared" ref="AT771:AU771" si="1540">C771</f>
        <v>G64900</v>
      </c>
      <c r="AU771" s="854" t="str">
        <f t="shared" si="1540"/>
        <v>RECTIFICATION STOCK AUTO</v>
      </c>
      <c r="AV771" s="794">
        <f t="array" ref="AV771">IFERROR(INDEX(V771:AG771,1,MATCH(Parametres!$B$3,V$1:AG$1,0)-1)*IF(OR(C771="L",C771="S",C771="I"),-1,1),"")</f>
        <v>0</v>
      </c>
      <c r="AW771" s="794">
        <f t="shared" si="6"/>
        <v>0</v>
      </c>
      <c r="AX771" s="794">
        <f t="array" ref="AX771">INDEX(V771:AG771,1,MATCH(Parametres!$B$3,V$1:AG$1,0))*IF(OR(C771="L",C771="S",C771="I"),-1,1)</f>
        <v>0</v>
      </c>
      <c r="AY771" s="853" t="s">
        <v>772</v>
      </c>
      <c r="AZ771" s="853" t="str">
        <f>+VLOOKUP($AJ771,Data_Validation!$A:$E,5,0)</f>
        <v/>
      </c>
    </row>
    <row r="772" ht="15.0" customHeight="1">
      <c r="A772" s="849" t="s">
        <v>1239</v>
      </c>
      <c r="B772" s="849">
        <v>2025.0</v>
      </c>
      <c r="C772" s="849" t="s">
        <v>3074</v>
      </c>
      <c r="D772" s="849" t="s">
        <v>3489</v>
      </c>
      <c r="E772" s="849" t="s">
        <v>2072</v>
      </c>
      <c r="F772" s="849" t="s">
        <v>2855</v>
      </c>
      <c r="G772" s="849">
        <v>0.0</v>
      </c>
      <c r="H772" s="849">
        <v>0.0</v>
      </c>
      <c r="I772" s="849">
        <v>0.0</v>
      </c>
      <c r="J772" s="849">
        <v>0.0</v>
      </c>
      <c r="K772" s="849">
        <v>0.0</v>
      </c>
      <c r="L772" s="849">
        <v>0.0</v>
      </c>
      <c r="M772" s="849">
        <v>0.0</v>
      </c>
      <c r="N772" s="849">
        <v>0.0</v>
      </c>
      <c r="O772" s="849">
        <v>0.0</v>
      </c>
      <c r="P772" s="849">
        <v>0.0</v>
      </c>
      <c r="Q772" s="849">
        <v>0.0</v>
      </c>
      <c r="R772" s="849">
        <v>0.0</v>
      </c>
      <c r="S772" s="849">
        <v>0.0</v>
      </c>
      <c r="T772" s="849">
        <v>0.0</v>
      </c>
      <c r="U772" s="849">
        <v>0.0</v>
      </c>
      <c r="V772" s="849">
        <v>0.0</v>
      </c>
      <c r="W772" s="849">
        <v>0.0</v>
      </c>
      <c r="X772" s="849">
        <v>0.0</v>
      </c>
      <c r="Y772" s="849">
        <v>0.0</v>
      </c>
      <c r="Z772" s="849">
        <v>0.0</v>
      </c>
      <c r="AA772" s="849">
        <v>0.0</v>
      </c>
      <c r="AB772" s="849">
        <v>0.0</v>
      </c>
      <c r="AC772" s="849">
        <v>0.0</v>
      </c>
      <c r="AD772" s="849">
        <v>0.0</v>
      </c>
      <c r="AE772" s="849">
        <v>0.0</v>
      </c>
      <c r="AF772" s="849">
        <v>0.0</v>
      </c>
      <c r="AG772" s="849">
        <v>0.0</v>
      </c>
      <c r="AH772" s="849">
        <v>0.0</v>
      </c>
      <c r="AI772" s="849">
        <v>0.0</v>
      </c>
      <c r="AJ772" s="794" t="str">
        <f t="shared" ref="AJ772:AK772" si="1541">C772</f>
        <v>G65000</v>
      </c>
      <c r="AK772" s="794" t="str">
        <f t="shared" si="1541"/>
        <v>COUT-OCC.DETAIL    *WSALE</v>
      </c>
      <c r="AL772" s="794">
        <f t="array" ref="AL772">IFERROR(INDEX(G772:R772,1,MATCH(Parametres!$B$3,G$1:R$1,0)-1)*IF(OR(F772="L",F772="S",F772="I"),-1,1),"")</f>
        <v>0</v>
      </c>
      <c r="AM772" s="794">
        <f t="shared" si="4"/>
        <v>0</v>
      </c>
      <c r="AN772" s="794">
        <f t="array" ref="AN772">INDEX(G772:R772,1,MATCH(Parametres!$B$3,G$1:R$1,0))*IF(OR(F772="L",F772="S",F772="I"),-1,1)</f>
        <v>0</v>
      </c>
      <c r="AO772" s="853" t="str">
        <f>+VLOOKUP($AJ772,Data_Validation!$A:$D,1,0)</f>
        <v>G65000</v>
      </c>
      <c r="AP772" s="853" t="str">
        <f>+VLOOKUP($AJ772,Data_Validation!$A:$D,3,0)</f>
        <v>Véhicules usagés</v>
      </c>
      <c r="AQ772" s="853" t="str">
        <f>+VLOOKUP($AJ772,Data_Validation!$A:$D,4,0)</f>
        <v>Ventes au Gros</v>
      </c>
      <c r="AR772" s="853" t="s">
        <v>728</v>
      </c>
      <c r="AS772" s="853" t="str">
        <f>+VLOOKUP($AJ772,Data_Validation!$A:$E,5,0)</f>
        <v>Oui</v>
      </c>
      <c r="AT772" s="794" t="str">
        <f t="shared" ref="AT772:AU772" si="1542">C772</f>
        <v>G65000</v>
      </c>
      <c r="AU772" s="854" t="str">
        <f t="shared" si="1542"/>
        <v>COUT-OCC.DETAIL    *WSALE</v>
      </c>
      <c r="AV772" s="794">
        <f t="array" ref="AV772">IFERROR(INDEX(V772:AG772,1,MATCH(Parametres!$B$3,V$1:AG$1,0)-1)*IF(OR(C772="L",C772="S",C772="I"),-1,1),"")</f>
        <v>0</v>
      </c>
      <c r="AW772" s="794">
        <f t="shared" si="6"/>
        <v>0</v>
      </c>
      <c r="AX772" s="794">
        <f t="array" ref="AX772">INDEX(V772:AG772,1,MATCH(Parametres!$B$3,V$1:AG$1,0))*IF(OR(C772="L",C772="S",C772="I"),-1,1)</f>
        <v>0</v>
      </c>
      <c r="AY772" s="853" t="s">
        <v>772</v>
      </c>
      <c r="AZ772" s="853" t="str">
        <f>+VLOOKUP($AJ772,Data_Validation!$A:$E,5,0)</f>
        <v>Oui</v>
      </c>
    </row>
    <row r="773" ht="15.0" customHeight="1">
      <c r="A773" s="849" t="s">
        <v>1239</v>
      </c>
      <c r="B773" s="849">
        <v>2025.0</v>
      </c>
      <c r="C773" s="849" t="s">
        <v>3076</v>
      </c>
      <c r="D773" s="849" t="s">
        <v>3490</v>
      </c>
      <c r="E773" s="849" t="s">
        <v>2072</v>
      </c>
      <c r="F773" s="849" t="s">
        <v>2855</v>
      </c>
      <c r="G773" s="849">
        <v>0.0</v>
      </c>
      <c r="H773" s="849">
        <v>24484.28</v>
      </c>
      <c r="I773" s="849">
        <v>189360.83</v>
      </c>
      <c r="J773" s="849">
        <v>264551.09</v>
      </c>
      <c r="K773" s="849">
        <v>483200.98</v>
      </c>
      <c r="L773" s="849">
        <v>555027.95</v>
      </c>
      <c r="M773" s="849">
        <v>827073.06</v>
      </c>
      <c r="N773" s="849">
        <v>1249513.92</v>
      </c>
      <c r="O773" s="849">
        <v>1689443.1</v>
      </c>
      <c r="P773" s="849">
        <v>2541413.25</v>
      </c>
      <c r="Q773" s="849">
        <v>2822899.24</v>
      </c>
      <c r="R773" s="849">
        <v>3369704.53</v>
      </c>
      <c r="S773" s="849">
        <v>256627.2</v>
      </c>
      <c r="T773" s="849">
        <v>256627.2</v>
      </c>
      <c r="U773" s="849">
        <v>0.0</v>
      </c>
      <c r="V773" s="849">
        <v>0.0</v>
      </c>
      <c r="W773" s="849">
        <v>0.0</v>
      </c>
      <c r="X773" s="849">
        <v>0.0</v>
      </c>
      <c r="Y773" s="849">
        <v>0.0</v>
      </c>
      <c r="Z773" s="849">
        <v>0.0</v>
      </c>
      <c r="AA773" s="849">
        <v>0.0</v>
      </c>
      <c r="AB773" s="849">
        <v>0.0</v>
      </c>
      <c r="AC773" s="849">
        <v>0.0</v>
      </c>
      <c r="AD773" s="849">
        <v>0.0</v>
      </c>
      <c r="AE773" s="849">
        <v>0.0</v>
      </c>
      <c r="AF773" s="849">
        <v>0.0</v>
      </c>
      <c r="AG773" s="849">
        <v>0.0</v>
      </c>
      <c r="AH773" s="849">
        <v>0.0</v>
      </c>
      <c r="AI773" s="849">
        <v>0.0</v>
      </c>
      <c r="AJ773" s="794" t="str">
        <f t="shared" ref="AJ773:AK773" si="1543">C773</f>
        <v>G65001</v>
      </c>
      <c r="AK773" s="794" t="str">
        <f t="shared" si="1543"/>
        <v>COUT-CAMION OCC.DET.AUTR</v>
      </c>
      <c r="AL773" s="794">
        <f t="array" ref="AL773">IFERROR(INDEX(G773:R773,1,MATCH(Parametres!$B$3,G$1:R$1,0)-1)*IF(OR(F773="L",F773="S",F773="I"),-1,1),"")</f>
        <v>1249513.92</v>
      </c>
      <c r="AM773" s="794">
        <f t="shared" si="4"/>
        <v>439929.18</v>
      </c>
      <c r="AN773" s="794">
        <f t="array" ref="AN773">INDEX(G773:R773,1,MATCH(Parametres!$B$3,G$1:R$1,0))*IF(OR(F773="L",F773="S",F773="I"),-1,1)</f>
        <v>1689443.1</v>
      </c>
      <c r="AO773" s="853" t="str">
        <f>+VLOOKUP($AJ773,Data_Validation!$A:$D,1,0)</f>
        <v>G65001</v>
      </c>
      <c r="AP773" s="853" t="str">
        <f>+VLOOKUP($AJ773,Data_Validation!$A:$D,3,0)</f>
        <v>Véhicules usagés</v>
      </c>
      <c r="AQ773" s="853" t="str">
        <f>+VLOOKUP($AJ773,Data_Validation!$A:$D,4,0)</f>
        <v>Non Certifié</v>
      </c>
      <c r="AR773" s="853" t="s">
        <v>728</v>
      </c>
      <c r="AS773" s="853" t="str">
        <f>+VLOOKUP($AJ773,Data_Validation!$A:$E,5,0)</f>
        <v/>
      </c>
      <c r="AT773" s="794" t="str">
        <f t="shared" ref="AT773:AU773" si="1544">C773</f>
        <v>G65001</v>
      </c>
      <c r="AU773" s="854" t="str">
        <f t="shared" si="1544"/>
        <v>COUT-CAMION OCC.DET.AUTR</v>
      </c>
      <c r="AV773" s="794">
        <f t="array" ref="AV773">IFERROR(INDEX(V773:AG773,1,MATCH(Parametres!$B$3,V$1:AG$1,0)-1)*IF(OR(C773="L",C773="S",C773="I"),-1,1),"")</f>
        <v>0</v>
      </c>
      <c r="AW773" s="794">
        <f t="shared" si="6"/>
        <v>0</v>
      </c>
      <c r="AX773" s="794">
        <f t="array" ref="AX773">INDEX(V773:AG773,1,MATCH(Parametres!$B$3,V$1:AG$1,0))*IF(OR(C773="L",C773="S",C773="I"),-1,1)</f>
        <v>0</v>
      </c>
      <c r="AY773" s="853" t="s">
        <v>772</v>
      </c>
      <c r="AZ773" s="853" t="str">
        <f>+VLOOKUP($AJ773,Data_Validation!$A:$E,5,0)</f>
        <v/>
      </c>
    </row>
    <row r="774" ht="15.0" customHeight="1">
      <c r="A774" s="849" t="s">
        <v>1239</v>
      </c>
      <c r="B774" s="849">
        <v>2025.0</v>
      </c>
      <c r="C774" s="849" t="s">
        <v>3082</v>
      </c>
      <c r="D774" s="849" t="s">
        <v>3083</v>
      </c>
      <c r="E774" s="849" t="s">
        <v>2072</v>
      </c>
      <c r="F774" s="849" t="s">
        <v>2855</v>
      </c>
      <c r="G774" s="849">
        <v>0.0</v>
      </c>
      <c r="H774" s="849">
        <v>0.0</v>
      </c>
      <c r="I774" s="849">
        <v>0.0</v>
      </c>
      <c r="J774" s="849">
        <v>0.0</v>
      </c>
      <c r="K774" s="849">
        <v>0.0</v>
      </c>
      <c r="L774" s="849">
        <v>0.0</v>
      </c>
      <c r="M774" s="849">
        <v>0.0</v>
      </c>
      <c r="N774" s="849">
        <v>0.0</v>
      </c>
      <c r="O774" s="849">
        <v>0.0</v>
      </c>
      <c r="P774" s="849">
        <v>0.0</v>
      </c>
      <c r="Q774" s="849">
        <v>0.0</v>
      </c>
      <c r="R774" s="849">
        <v>0.0</v>
      </c>
      <c r="S774" s="849">
        <v>0.0</v>
      </c>
      <c r="T774" s="849">
        <v>0.0</v>
      </c>
      <c r="U774" s="849">
        <v>0.0</v>
      </c>
      <c r="V774" s="849">
        <v>0.0</v>
      </c>
      <c r="W774" s="849">
        <v>0.0</v>
      </c>
      <c r="X774" s="849">
        <v>0.0</v>
      </c>
      <c r="Y774" s="849">
        <v>0.0</v>
      </c>
      <c r="Z774" s="849">
        <v>0.0</v>
      </c>
      <c r="AA774" s="849">
        <v>0.0</v>
      </c>
      <c r="AB774" s="849">
        <v>0.0</v>
      </c>
      <c r="AC774" s="849">
        <v>0.0</v>
      </c>
      <c r="AD774" s="849">
        <v>0.0</v>
      </c>
      <c r="AE774" s="849">
        <v>0.0</v>
      </c>
      <c r="AF774" s="849">
        <v>0.0</v>
      </c>
      <c r="AG774" s="849">
        <v>0.0</v>
      </c>
      <c r="AH774" s="849">
        <v>0.0</v>
      </c>
      <c r="AI774" s="849">
        <v>0.0</v>
      </c>
      <c r="AJ774" s="794" t="str">
        <f t="shared" ref="AJ774:AK774" si="1545">C774</f>
        <v>G65020</v>
      </c>
      <c r="AK774" s="794" t="str">
        <f t="shared" si="1545"/>
        <v>COUT-LOC.CAM.USAGE OPT.</v>
      </c>
      <c r="AL774" s="794">
        <f t="array" ref="AL774">IFERROR(INDEX(G774:R774,1,MATCH(Parametres!$B$3,G$1:R$1,0)-1)*IF(OR(F774="L",F774="S",F774="I"),-1,1),"")</f>
        <v>0</v>
      </c>
      <c r="AM774" s="794">
        <f t="shared" si="4"/>
        <v>0</v>
      </c>
      <c r="AN774" s="794">
        <f t="array" ref="AN774">INDEX(G774:R774,1,MATCH(Parametres!$B$3,G$1:R$1,0))*IF(OR(F774="L",F774="S",F774="I"),-1,1)</f>
        <v>0</v>
      </c>
      <c r="AO774" s="853" t="str">
        <f>+VLOOKUP($AJ774,Data_Validation!$A:$D,1,0)</f>
        <v>#N/A</v>
      </c>
      <c r="AP774" s="853" t="str">
        <f>+VLOOKUP($AJ774,Data_Validation!$A:$D,3,0)</f>
        <v>#N/A</v>
      </c>
      <c r="AQ774" s="853" t="str">
        <f>+VLOOKUP($AJ774,Data_Validation!$A:$D,4,0)</f>
        <v>#N/A</v>
      </c>
      <c r="AR774" s="853" t="s">
        <v>728</v>
      </c>
      <c r="AS774" s="853" t="str">
        <f>+VLOOKUP($AJ774,Data_Validation!$A:$E,5,0)</f>
        <v>#N/A</v>
      </c>
      <c r="AT774" s="794" t="str">
        <f t="shared" ref="AT774:AU774" si="1546">C774</f>
        <v>G65020</v>
      </c>
      <c r="AU774" s="854" t="str">
        <f t="shared" si="1546"/>
        <v>COUT-LOC.CAM.USAGE OPT.</v>
      </c>
      <c r="AV774" s="794">
        <f t="array" ref="AV774">IFERROR(INDEX(V774:AG774,1,MATCH(Parametres!$B$3,V$1:AG$1,0)-1)*IF(OR(C774="L",C774="S",C774="I"),-1,1),"")</f>
        <v>0</v>
      </c>
      <c r="AW774" s="794">
        <f t="shared" si="6"/>
        <v>0</v>
      </c>
      <c r="AX774" s="794">
        <f t="array" ref="AX774">INDEX(V774:AG774,1,MATCH(Parametres!$B$3,V$1:AG$1,0))*IF(OR(C774="L",C774="S",C774="I"),-1,1)</f>
        <v>0</v>
      </c>
      <c r="AY774" s="853" t="s">
        <v>772</v>
      </c>
      <c r="AZ774" s="853" t="str">
        <f>+VLOOKUP($AJ774,Data_Validation!$A:$E,5,0)</f>
        <v>#N/A</v>
      </c>
    </row>
    <row r="775" ht="15.0" customHeight="1">
      <c r="A775" s="849" t="s">
        <v>1239</v>
      </c>
      <c r="B775" s="849">
        <v>2025.0</v>
      </c>
      <c r="C775" s="849" t="s">
        <v>3084</v>
      </c>
      <c r="D775" s="849" t="s">
        <v>3085</v>
      </c>
      <c r="E775" s="849" t="s">
        <v>768</v>
      </c>
      <c r="F775" s="849" t="s">
        <v>2855</v>
      </c>
      <c r="G775" s="849">
        <v>0.0</v>
      </c>
      <c r="H775" s="849">
        <v>0.0</v>
      </c>
      <c r="I775" s="849">
        <v>0.0</v>
      </c>
      <c r="J775" s="849">
        <v>0.0</v>
      </c>
      <c r="K775" s="849">
        <v>0.0</v>
      </c>
      <c r="L775" s="849">
        <v>0.0</v>
      </c>
      <c r="M775" s="849">
        <v>0.0</v>
      </c>
      <c r="N775" s="849">
        <v>0.0</v>
      </c>
      <c r="O775" s="849">
        <v>0.0</v>
      </c>
      <c r="P775" s="849">
        <v>0.0</v>
      </c>
      <c r="Q775" s="849">
        <v>0.0</v>
      </c>
      <c r="R775" s="849">
        <v>0.0</v>
      </c>
      <c r="S775" s="849">
        <v>0.0</v>
      </c>
      <c r="T775" s="849">
        <v>0.0</v>
      </c>
      <c r="U775" s="849">
        <v>0.0</v>
      </c>
      <c r="V775" s="849">
        <v>0.0</v>
      </c>
      <c r="W775" s="849">
        <v>0.0</v>
      </c>
      <c r="X775" s="849">
        <v>0.0</v>
      </c>
      <c r="Y775" s="849">
        <v>0.0</v>
      </c>
      <c r="Z775" s="849">
        <v>0.0</v>
      </c>
      <c r="AA775" s="849">
        <v>0.0</v>
      </c>
      <c r="AB775" s="849">
        <v>0.0</v>
      </c>
      <c r="AC775" s="849">
        <v>0.0</v>
      </c>
      <c r="AD775" s="849">
        <v>0.0</v>
      </c>
      <c r="AE775" s="849">
        <v>0.0</v>
      </c>
      <c r="AF775" s="849">
        <v>0.0</v>
      </c>
      <c r="AG775" s="849">
        <v>0.0</v>
      </c>
      <c r="AH775" s="849">
        <v>0.0</v>
      </c>
      <c r="AI775" s="849">
        <v>0.0</v>
      </c>
      <c r="AJ775" s="794" t="str">
        <f t="shared" ref="AJ775:AK775" si="1547">C775</f>
        <v>G65100</v>
      </c>
      <c r="AK775" s="794" t="str">
        <f t="shared" si="1547"/>
        <v>REMISE NEUF CAM.DET.OPT.</v>
      </c>
      <c r="AL775" s="794">
        <f t="array" ref="AL775">IFERROR(INDEX(G775:R775,1,MATCH(Parametres!$B$3,G$1:R$1,0)-1)*IF(OR(F775="L",F775="S",F775="I"),-1,1),"")</f>
        <v>0</v>
      </c>
      <c r="AM775" s="794">
        <f t="shared" si="4"/>
        <v>0</v>
      </c>
      <c r="AN775" s="794">
        <f t="array" ref="AN775">INDEX(G775:R775,1,MATCH(Parametres!$B$3,G$1:R$1,0))*IF(OR(F775="L",F775="S",F775="I"),-1,1)</f>
        <v>0</v>
      </c>
      <c r="AO775" s="853" t="str">
        <f>+VLOOKUP($AJ775,Data_Validation!$A:$D,1,0)</f>
        <v>G65100</v>
      </c>
      <c r="AP775" s="853" t="str">
        <f>+VLOOKUP($AJ775,Data_Validation!$A:$D,3,0)</f>
        <v/>
      </c>
      <c r="AQ775" s="853" t="str">
        <f>+VLOOKUP($AJ775,Data_Validation!$A:$D,4,0)</f>
        <v/>
      </c>
      <c r="AR775" s="853" t="s">
        <v>728</v>
      </c>
      <c r="AS775" s="853" t="str">
        <f>+VLOOKUP($AJ775,Data_Validation!$A:$E,5,0)</f>
        <v/>
      </c>
      <c r="AT775" s="794" t="str">
        <f t="shared" ref="AT775:AU775" si="1548">C775</f>
        <v>G65100</v>
      </c>
      <c r="AU775" s="854" t="str">
        <f t="shared" si="1548"/>
        <v>REMISE NEUF CAM.DET.OPT.</v>
      </c>
      <c r="AV775" s="794">
        <f t="array" ref="AV775">IFERROR(INDEX(V775:AG775,1,MATCH(Parametres!$B$3,V$1:AG$1,0)-1)*IF(OR(C775="L",C775="S",C775="I"),-1,1),"")</f>
        <v>0</v>
      </c>
      <c r="AW775" s="794">
        <f t="shared" si="6"/>
        <v>0</v>
      </c>
      <c r="AX775" s="794">
        <f t="array" ref="AX775">INDEX(V775:AG775,1,MATCH(Parametres!$B$3,V$1:AG$1,0))*IF(OR(C775="L",C775="S",C775="I"),-1,1)</f>
        <v>0</v>
      </c>
      <c r="AY775" s="853" t="s">
        <v>772</v>
      </c>
      <c r="AZ775" s="853" t="str">
        <f>+VLOOKUP($AJ775,Data_Validation!$A:$E,5,0)</f>
        <v/>
      </c>
    </row>
    <row r="776" ht="15.0" customHeight="1">
      <c r="A776" s="849" t="s">
        <v>1239</v>
      </c>
      <c r="B776" s="849">
        <v>2025.0</v>
      </c>
      <c r="C776" s="849" t="s">
        <v>3086</v>
      </c>
      <c r="D776" s="849" t="s">
        <v>3087</v>
      </c>
      <c r="E776" s="849" t="s">
        <v>768</v>
      </c>
      <c r="F776" s="849" t="s">
        <v>2855</v>
      </c>
      <c r="G776" s="849">
        <v>0.0</v>
      </c>
      <c r="H776" s="849">
        <v>0.0</v>
      </c>
      <c r="I776" s="849">
        <v>0.0</v>
      </c>
      <c r="J776" s="849">
        <v>0.0</v>
      </c>
      <c r="K776" s="849">
        <v>0.0</v>
      </c>
      <c r="L776" s="849">
        <v>0.0</v>
      </c>
      <c r="M776" s="849">
        <v>0.0</v>
      </c>
      <c r="N776" s="849">
        <v>0.0</v>
      </c>
      <c r="O776" s="849">
        <v>0.0</v>
      </c>
      <c r="P776" s="849">
        <v>0.0</v>
      </c>
      <c r="Q776" s="849">
        <v>0.0</v>
      </c>
      <c r="R776" s="849">
        <v>0.0</v>
      </c>
      <c r="S776" s="849">
        <v>0.0</v>
      </c>
      <c r="T776" s="849">
        <v>0.0</v>
      </c>
      <c r="U776" s="849">
        <v>0.0</v>
      </c>
      <c r="V776" s="849">
        <v>0.0</v>
      </c>
      <c r="W776" s="849">
        <v>0.0</v>
      </c>
      <c r="X776" s="849">
        <v>0.0</v>
      </c>
      <c r="Y776" s="849">
        <v>0.0</v>
      </c>
      <c r="Z776" s="849">
        <v>0.0</v>
      </c>
      <c r="AA776" s="849">
        <v>0.0</v>
      </c>
      <c r="AB776" s="849">
        <v>0.0</v>
      </c>
      <c r="AC776" s="849">
        <v>0.0</v>
      </c>
      <c r="AD776" s="849">
        <v>0.0</v>
      </c>
      <c r="AE776" s="849">
        <v>0.0</v>
      </c>
      <c r="AF776" s="849">
        <v>0.0</v>
      </c>
      <c r="AG776" s="849">
        <v>0.0</v>
      </c>
      <c r="AH776" s="849">
        <v>0.0</v>
      </c>
      <c r="AI776" s="849">
        <v>0.0</v>
      </c>
      <c r="AJ776" s="794" t="str">
        <f t="shared" ref="AJ776:AK776" si="1549">C776</f>
        <v>G65101</v>
      </c>
      <c r="AK776" s="794" t="str">
        <f t="shared" si="1549"/>
        <v>REMISE NEUF CAM.DET.AUTRE</v>
      </c>
      <c r="AL776" s="794">
        <f t="array" ref="AL776">IFERROR(INDEX(G776:R776,1,MATCH(Parametres!$B$3,G$1:R$1,0)-1)*IF(OR(F776="L",F776="S",F776="I"),-1,1),"")</f>
        <v>0</v>
      </c>
      <c r="AM776" s="794">
        <f t="shared" si="4"/>
        <v>0</v>
      </c>
      <c r="AN776" s="794">
        <f t="array" ref="AN776">INDEX(G776:R776,1,MATCH(Parametres!$B$3,G$1:R$1,0))*IF(OR(F776="L",F776="S",F776="I"),-1,1)</f>
        <v>0</v>
      </c>
      <c r="AO776" s="853" t="str">
        <f>+VLOOKUP($AJ776,Data_Validation!$A:$D,1,0)</f>
        <v>G65101</v>
      </c>
      <c r="AP776" s="853" t="str">
        <f>+VLOOKUP($AJ776,Data_Validation!$A:$D,3,0)</f>
        <v/>
      </c>
      <c r="AQ776" s="853" t="str">
        <f>+VLOOKUP($AJ776,Data_Validation!$A:$D,4,0)</f>
        <v/>
      </c>
      <c r="AR776" s="853" t="s">
        <v>728</v>
      </c>
      <c r="AS776" s="853" t="str">
        <f>+VLOOKUP($AJ776,Data_Validation!$A:$E,5,0)</f>
        <v/>
      </c>
      <c r="AT776" s="794" t="str">
        <f t="shared" ref="AT776:AU776" si="1550">C776</f>
        <v>G65101</v>
      </c>
      <c r="AU776" s="854" t="str">
        <f t="shared" si="1550"/>
        <v>REMISE NEUF CAM.DET.AUTRE</v>
      </c>
      <c r="AV776" s="794">
        <f t="array" ref="AV776">IFERROR(INDEX(V776:AG776,1,MATCH(Parametres!$B$3,V$1:AG$1,0)-1)*IF(OR(C776="L",C776="S",C776="I"),-1,1),"")</f>
        <v>0</v>
      </c>
      <c r="AW776" s="794">
        <f t="shared" si="6"/>
        <v>0</v>
      </c>
      <c r="AX776" s="794">
        <f t="array" ref="AX776">INDEX(V776:AG776,1,MATCH(Parametres!$B$3,V$1:AG$1,0))*IF(OR(C776="L",C776="S",C776="I"),-1,1)</f>
        <v>0</v>
      </c>
      <c r="AY776" s="853" t="s">
        <v>772</v>
      </c>
      <c r="AZ776" s="853" t="str">
        <f>+VLOOKUP($AJ776,Data_Validation!$A:$E,5,0)</f>
        <v/>
      </c>
    </row>
    <row r="777" ht="15.0" customHeight="1">
      <c r="A777" s="849" t="s">
        <v>1239</v>
      </c>
      <c r="B777" s="849">
        <v>2025.0</v>
      </c>
      <c r="C777" s="849" t="s">
        <v>3088</v>
      </c>
      <c r="D777" s="849" t="s">
        <v>3089</v>
      </c>
      <c r="E777" s="849" t="s">
        <v>768</v>
      </c>
      <c r="F777" s="849" t="s">
        <v>2855</v>
      </c>
      <c r="G777" s="849">
        <v>0.0</v>
      </c>
      <c r="H777" s="849">
        <v>0.0</v>
      </c>
      <c r="I777" s="849">
        <v>0.0</v>
      </c>
      <c r="J777" s="849">
        <v>0.0</v>
      </c>
      <c r="K777" s="849">
        <v>0.0</v>
      </c>
      <c r="L777" s="849">
        <v>0.0</v>
      </c>
      <c r="M777" s="849">
        <v>0.0</v>
      </c>
      <c r="N777" s="849">
        <v>0.0</v>
      </c>
      <c r="O777" s="849">
        <v>0.0</v>
      </c>
      <c r="P777" s="849">
        <v>0.0</v>
      </c>
      <c r="Q777" s="849">
        <v>0.0</v>
      </c>
      <c r="R777" s="849">
        <v>0.0</v>
      </c>
      <c r="S777" s="849">
        <v>0.0</v>
      </c>
      <c r="T777" s="849">
        <v>0.0</v>
      </c>
      <c r="U777" s="849">
        <v>0.0</v>
      </c>
      <c r="V777" s="849">
        <v>0.0</v>
      </c>
      <c r="W777" s="849">
        <v>0.0</v>
      </c>
      <c r="X777" s="849">
        <v>0.0</v>
      </c>
      <c r="Y777" s="849">
        <v>0.0</v>
      </c>
      <c r="Z777" s="849">
        <v>0.0</v>
      </c>
      <c r="AA777" s="849">
        <v>0.0</v>
      </c>
      <c r="AB777" s="849">
        <v>0.0</v>
      </c>
      <c r="AC777" s="849">
        <v>0.0</v>
      </c>
      <c r="AD777" s="849">
        <v>0.0</v>
      </c>
      <c r="AE777" s="849">
        <v>0.0</v>
      </c>
      <c r="AF777" s="849">
        <v>0.0</v>
      </c>
      <c r="AG777" s="849">
        <v>0.0</v>
      </c>
      <c r="AH777" s="849">
        <v>0.0</v>
      </c>
      <c r="AI777" s="849">
        <v>0.0</v>
      </c>
      <c r="AJ777" s="794" t="str">
        <f t="shared" ref="AJ777:AK777" si="1551">C777</f>
        <v>G65120</v>
      </c>
      <c r="AK777" s="794" t="str">
        <f t="shared" si="1551"/>
        <v>REM.NEUF LOC.CAM.DET.OPT.</v>
      </c>
      <c r="AL777" s="794">
        <f t="array" ref="AL777">IFERROR(INDEX(G777:R777,1,MATCH(Parametres!$B$3,G$1:R$1,0)-1)*IF(OR(F777="L",F777="S",F777="I"),-1,1),"")</f>
        <v>0</v>
      </c>
      <c r="AM777" s="794">
        <f t="shared" si="4"/>
        <v>0</v>
      </c>
      <c r="AN777" s="794">
        <f t="array" ref="AN777">INDEX(G777:R777,1,MATCH(Parametres!$B$3,G$1:R$1,0))*IF(OR(F777="L",F777="S",F777="I"),-1,1)</f>
        <v>0</v>
      </c>
      <c r="AO777" s="853" t="str">
        <f>+VLOOKUP($AJ777,Data_Validation!$A:$D,1,0)</f>
        <v>G65120</v>
      </c>
      <c r="AP777" s="853" t="str">
        <f>+VLOOKUP($AJ777,Data_Validation!$A:$D,3,0)</f>
        <v/>
      </c>
      <c r="AQ777" s="853" t="str">
        <f>+VLOOKUP($AJ777,Data_Validation!$A:$D,4,0)</f>
        <v/>
      </c>
      <c r="AR777" s="853" t="s">
        <v>728</v>
      </c>
      <c r="AS777" s="853" t="str">
        <f>+VLOOKUP($AJ777,Data_Validation!$A:$E,5,0)</f>
        <v/>
      </c>
      <c r="AT777" s="794" t="str">
        <f t="shared" ref="AT777:AU777" si="1552">C777</f>
        <v>G65120</v>
      </c>
      <c r="AU777" s="854" t="str">
        <f t="shared" si="1552"/>
        <v>REM.NEUF LOC.CAM.DET.OPT.</v>
      </c>
      <c r="AV777" s="794">
        <f t="array" ref="AV777">IFERROR(INDEX(V777:AG777,1,MATCH(Parametres!$B$3,V$1:AG$1,0)-1)*IF(OR(C777="L",C777="S",C777="I"),-1,1),"")</f>
        <v>0</v>
      </c>
      <c r="AW777" s="794">
        <f t="shared" si="6"/>
        <v>0</v>
      </c>
      <c r="AX777" s="794">
        <f t="array" ref="AX777">INDEX(V777:AG777,1,MATCH(Parametres!$B$3,V$1:AG$1,0))*IF(OR(C777="L",C777="S",C777="I"),-1,1)</f>
        <v>0</v>
      </c>
      <c r="AY777" s="853" t="s">
        <v>772</v>
      </c>
      <c r="AZ777" s="853" t="str">
        <f>+VLOOKUP($AJ777,Data_Validation!$A:$E,5,0)</f>
        <v/>
      </c>
    </row>
    <row r="778" ht="15.0" customHeight="1">
      <c r="A778" s="849" t="s">
        <v>1239</v>
      </c>
      <c r="B778" s="849">
        <v>2025.0</v>
      </c>
      <c r="C778" s="849" t="s">
        <v>3090</v>
      </c>
      <c r="D778" s="849" t="s">
        <v>3091</v>
      </c>
      <c r="E778" s="849" t="s">
        <v>2072</v>
      </c>
      <c r="F778" s="849" t="s">
        <v>2855</v>
      </c>
      <c r="G778" s="849">
        <v>704689.81</v>
      </c>
      <c r="H778" s="849">
        <v>1837062.43</v>
      </c>
      <c r="I778" s="849">
        <v>3319843.07</v>
      </c>
      <c r="J778" s="849">
        <v>5268466.13</v>
      </c>
      <c r="K778" s="849">
        <v>8184949.56</v>
      </c>
      <c r="L778" s="849">
        <v>1.183981372E7</v>
      </c>
      <c r="M778" s="849">
        <v>1.345581499E7</v>
      </c>
      <c r="N778" s="849">
        <v>1.646031681E7</v>
      </c>
      <c r="O778" s="849">
        <v>1.836445621E7</v>
      </c>
      <c r="P778" s="849">
        <v>1.940389086E7</v>
      </c>
      <c r="Q778" s="849">
        <v>2.063290692E7</v>
      </c>
      <c r="R778" s="849">
        <v>2.144654541E7</v>
      </c>
      <c r="S778" s="849">
        <v>1875718.81</v>
      </c>
      <c r="T778" s="849">
        <v>1875718.81</v>
      </c>
      <c r="U778" s="849">
        <v>0.0</v>
      </c>
      <c r="V778" s="849">
        <v>0.0</v>
      </c>
      <c r="W778" s="849">
        <v>0.0</v>
      </c>
      <c r="X778" s="849">
        <v>0.0</v>
      </c>
      <c r="Y778" s="849">
        <v>0.0</v>
      </c>
      <c r="Z778" s="849">
        <v>0.0</v>
      </c>
      <c r="AA778" s="849">
        <v>0.0</v>
      </c>
      <c r="AB778" s="849">
        <v>0.0</v>
      </c>
      <c r="AC778" s="849">
        <v>0.0</v>
      </c>
      <c r="AD778" s="849">
        <v>0.0</v>
      </c>
      <c r="AE778" s="849">
        <v>0.0</v>
      </c>
      <c r="AF778" s="849">
        <v>0.0</v>
      </c>
      <c r="AG778" s="849">
        <v>0.0</v>
      </c>
      <c r="AH778" s="849">
        <v>0.0</v>
      </c>
      <c r="AI778" s="849">
        <v>0.0</v>
      </c>
      <c r="AJ778" s="794" t="str">
        <f t="shared" ref="AJ778:AK778" si="1553">C778</f>
        <v>G65200</v>
      </c>
      <c r="AK778" s="794" t="str">
        <f t="shared" si="1553"/>
        <v>COUT-CAM. OCCASION GROS</v>
      </c>
      <c r="AL778" s="794">
        <f t="array" ref="AL778">IFERROR(INDEX(G778:R778,1,MATCH(Parametres!$B$3,G$1:R$1,0)-1)*IF(OR(F778="L",F778="S",F778="I"),-1,1),"")</f>
        <v>16460316.81</v>
      </c>
      <c r="AM778" s="794">
        <f t="shared" si="4"/>
        <v>1904139.4</v>
      </c>
      <c r="AN778" s="794">
        <f t="array" ref="AN778">INDEX(G778:R778,1,MATCH(Parametres!$B$3,G$1:R$1,0))*IF(OR(F778="L",F778="S",F778="I"),-1,1)</f>
        <v>18364456.21</v>
      </c>
      <c r="AO778" s="853" t="str">
        <f>+VLOOKUP($AJ778,Data_Validation!$A:$D,1,0)</f>
        <v>G65200</v>
      </c>
      <c r="AP778" s="853" t="str">
        <f>+VLOOKUP($AJ778,Data_Validation!$A:$D,3,0)</f>
        <v>Véhicules usagés</v>
      </c>
      <c r="AQ778" s="853" t="str">
        <f>+VLOOKUP($AJ778,Data_Validation!$A:$D,4,0)</f>
        <v>Ventes au Gros</v>
      </c>
      <c r="AR778" s="853" t="s">
        <v>728</v>
      </c>
      <c r="AS778" s="853" t="str">
        <f>+VLOOKUP($AJ778,Data_Validation!$A:$E,5,0)</f>
        <v/>
      </c>
      <c r="AT778" s="794" t="str">
        <f t="shared" ref="AT778:AU778" si="1554">C778</f>
        <v>G65200</v>
      </c>
      <c r="AU778" s="854" t="str">
        <f t="shared" si="1554"/>
        <v>COUT-CAM. OCCASION GROS</v>
      </c>
      <c r="AV778" s="794">
        <f t="array" ref="AV778">IFERROR(INDEX(V778:AG778,1,MATCH(Parametres!$B$3,V$1:AG$1,0)-1)*IF(OR(C778="L",C778="S",C778="I"),-1,1),"")</f>
        <v>0</v>
      </c>
      <c r="AW778" s="794">
        <f t="shared" si="6"/>
        <v>0</v>
      </c>
      <c r="AX778" s="794">
        <f t="array" ref="AX778">INDEX(V778:AG778,1,MATCH(Parametres!$B$3,V$1:AG$1,0))*IF(OR(C778="L",C778="S",C778="I"),-1,1)</f>
        <v>0</v>
      </c>
      <c r="AY778" s="853" t="s">
        <v>772</v>
      </c>
      <c r="AZ778" s="853" t="str">
        <f>+VLOOKUP($AJ778,Data_Validation!$A:$E,5,0)</f>
        <v/>
      </c>
    </row>
    <row r="779" ht="15.0" customHeight="1">
      <c r="A779" s="849" t="s">
        <v>1239</v>
      </c>
      <c r="B779" s="849">
        <v>2025.0</v>
      </c>
      <c r="C779" s="849" t="s">
        <v>3092</v>
      </c>
      <c r="D779" s="849" t="s">
        <v>3093</v>
      </c>
      <c r="E779" s="849" t="s">
        <v>2072</v>
      </c>
      <c r="F779" s="849" t="s">
        <v>2855</v>
      </c>
      <c r="G779" s="849">
        <v>1821687.04</v>
      </c>
      <c r="H779" s="849">
        <v>4560647.04</v>
      </c>
      <c r="I779" s="849">
        <v>8593597.04</v>
      </c>
      <c r="J779" s="849">
        <v>1.159008704E7</v>
      </c>
      <c r="K779" s="849">
        <v>1.252188704E7</v>
      </c>
      <c r="L779" s="849">
        <v>1.391556067E7</v>
      </c>
      <c r="M779" s="849">
        <v>1.599949067E7</v>
      </c>
      <c r="N779" s="849">
        <v>1.990422067E7</v>
      </c>
      <c r="O779" s="849">
        <v>2.312937067E7</v>
      </c>
      <c r="P779" s="849">
        <v>2.657596817E7</v>
      </c>
      <c r="Q779" s="849">
        <v>3.596670067E7</v>
      </c>
      <c r="R779" s="849">
        <v>4.384355817E7</v>
      </c>
      <c r="S779" s="849">
        <v>3269700.06</v>
      </c>
      <c r="T779" s="849">
        <v>3269700.06</v>
      </c>
      <c r="U779" s="849">
        <v>0.0</v>
      </c>
      <c r="V779" s="849">
        <v>0.0</v>
      </c>
      <c r="W779" s="849">
        <v>0.0</v>
      </c>
      <c r="X779" s="849">
        <v>0.0</v>
      </c>
      <c r="Y779" s="849">
        <v>0.0</v>
      </c>
      <c r="Z779" s="849">
        <v>0.0</v>
      </c>
      <c r="AA779" s="849">
        <v>0.0</v>
      </c>
      <c r="AB779" s="849">
        <v>0.0</v>
      </c>
      <c r="AC779" s="849">
        <v>0.0</v>
      </c>
      <c r="AD779" s="849">
        <v>0.0</v>
      </c>
      <c r="AE779" s="849">
        <v>0.0</v>
      </c>
      <c r="AF779" s="849">
        <v>0.0</v>
      </c>
      <c r="AG779" s="849">
        <v>0.0</v>
      </c>
      <c r="AH779" s="849">
        <v>0.0</v>
      </c>
      <c r="AI779" s="849">
        <v>0.0</v>
      </c>
      <c r="AJ779" s="794" t="str">
        <f t="shared" ref="AJ779:AK779" si="1555">C779</f>
        <v>G65201</v>
      </c>
      <c r="AK779" s="794" t="str">
        <f t="shared" si="1555"/>
        <v>COUT - WHOLESALE W</v>
      </c>
      <c r="AL779" s="794">
        <f t="array" ref="AL779">IFERROR(INDEX(G779:R779,1,MATCH(Parametres!$B$3,G$1:R$1,0)-1)*IF(OR(F779="L",F779="S",F779="I"),-1,1),"")</f>
        <v>19904220.67</v>
      </c>
      <c r="AM779" s="794">
        <f t="shared" si="4"/>
        <v>3225150</v>
      </c>
      <c r="AN779" s="794">
        <f t="array" ref="AN779">INDEX(G779:R779,1,MATCH(Parametres!$B$3,G$1:R$1,0))*IF(OR(F779="L",F779="S",F779="I"),-1,1)</f>
        <v>23129370.67</v>
      </c>
      <c r="AO779" s="853" t="str">
        <f>+VLOOKUP($AJ779,Data_Validation!$A:$D,1,0)</f>
        <v>G65201</v>
      </c>
      <c r="AP779" s="853" t="str">
        <f>+VLOOKUP($AJ779,Data_Validation!$A:$D,3,0)</f>
        <v>Wholesale autres</v>
      </c>
      <c r="AQ779" s="853" t="str">
        <f>+VLOOKUP($AJ779,Data_Validation!$A:$D,4,0)</f>
        <v>Wholesale Luxueux</v>
      </c>
      <c r="AR779" s="853" t="s">
        <v>728</v>
      </c>
      <c r="AS779" s="853" t="str">
        <f>+VLOOKUP($AJ779,Data_Validation!$A:$E,5,0)</f>
        <v/>
      </c>
      <c r="AT779" s="794" t="str">
        <f t="shared" ref="AT779:AU779" si="1556">C779</f>
        <v>G65201</v>
      </c>
      <c r="AU779" s="854" t="str">
        <f t="shared" si="1556"/>
        <v>COUT - WHOLESALE W</v>
      </c>
      <c r="AV779" s="794">
        <f t="array" ref="AV779">IFERROR(INDEX(V779:AG779,1,MATCH(Parametres!$B$3,V$1:AG$1,0)-1)*IF(OR(C779="L",C779="S",C779="I"),-1,1),"")</f>
        <v>0</v>
      </c>
      <c r="AW779" s="794">
        <f t="shared" si="6"/>
        <v>0</v>
      </c>
      <c r="AX779" s="794">
        <f t="array" ref="AX779">INDEX(V779:AG779,1,MATCH(Parametres!$B$3,V$1:AG$1,0))*IF(OR(C779="L",C779="S",C779="I"),-1,1)</f>
        <v>0</v>
      </c>
      <c r="AY779" s="853" t="s">
        <v>772</v>
      </c>
      <c r="AZ779" s="853" t="str">
        <f>+VLOOKUP($AJ779,Data_Validation!$A:$E,5,0)</f>
        <v/>
      </c>
    </row>
    <row r="780" ht="15.0" customHeight="1">
      <c r="A780" s="849" t="s">
        <v>1239</v>
      </c>
      <c r="B780" s="849">
        <v>2025.0</v>
      </c>
      <c r="C780" s="849" t="s">
        <v>3095</v>
      </c>
      <c r="D780" s="849" t="s">
        <v>3096</v>
      </c>
      <c r="E780" s="849" t="s">
        <v>768</v>
      </c>
      <c r="F780" s="849" t="s">
        <v>2855</v>
      </c>
      <c r="G780" s="849">
        <v>0.0</v>
      </c>
      <c r="H780" s="849">
        <v>0.0</v>
      </c>
      <c r="I780" s="849">
        <v>0.0</v>
      </c>
      <c r="J780" s="849">
        <v>0.0</v>
      </c>
      <c r="K780" s="849">
        <v>0.0</v>
      </c>
      <c r="L780" s="849">
        <v>0.0</v>
      </c>
      <c r="M780" s="849">
        <v>0.0</v>
      </c>
      <c r="N780" s="849">
        <v>0.0</v>
      </c>
      <c r="O780" s="849">
        <v>0.0</v>
      </c>
      <c r="P780" s="849">
        <v>0.0</v>
      </c>
      <c r="Q780" s="849">
        <v>0.0</v>
      </c>
      <c r="R780" s="849">
        <v>-117738.1</v>
      </c>
      <c r="S780" s="849">
        <v>0.0</v>
      </c>
      <c r="T780" s="849">
        <v>0.0</v>
      </c>
      <c r="U780" s="849">
        <v>0.0</v>
      </c>
      <c r="V780" s="849">
        <v>0.0</v>
      </c>
      <c r="W780" s="849">
        <v>0.0</v>
      </c>
      <c r="X780" s="849">
        <v>0.0</v>
      </c>
      <c r="Y780" s="849">
        <v>0.0</v>
      </c>
      <c r="Z780" s="849">
        <v>0.0</v>
      </c>
      <c r="AA780" s="849">
        <v>0.0</v>
      </c>
      <c r="AB780" s="849">
        <v>0.0</v>
      </c>
      <c r="AC780" s="849">
        <v>0.0</v>
      </c>
      <c r="AD780" s="849">
        <v>0.0</v>
      </c>
      <c r="AE780" s="849">
        <v>0.0</v>
      </c>
      <c r="AF780" s="849">
        <v>0.0</v>
      </c>
      <c r="AG780" s="849">
        <v>0.0</v>
      </c>
      <c r="AH780" s="849">
        <v>0.0</v>
      </c>
      <c r="AI780" s="849">
        <v>0.0</v>
      </c>
      <c r="AJ780" s="794" t="str">
        <f t="shared" ref="AJ780:AK780" si="1557">C780</f>
        <v>G65300</v>
      </c>
      <c r="AK780" s="794" t="str">
        <f t="shared" si="1557"/>
        <v>RECTIFICATION/STOCK/TRUCK</v>
      </c>
      <c r="AL780" s="794">
        <f t="array" ref="AL780">IFERROR(INDEX(G780:R780,1,MATCH(Parametres!$B$3,G$1:R$1,0)-1)*IF(OR(F780="L",F780="S",F780="I"),-1,1),"")</f>
        <v>0</v>
      </c>
      <c r="AM780" s="794">
        <f t="shared" si="4"/>
        <v>0</v>
      </c>
      <c r="AN780" s="794">
        <f t="array" ref="AN780">INDEX(G780:R780,1,MATCH(Parametres!$B$3,G$1:R$1,0))*IF(OR(F780="L",F780="S",F780="I"),-1,1)</f>
        <v>0</v>
      </c>
      <c r="AO780" s="853" t="str">
        <f>+VLOOKUP($AJ780,Data_Validation!$A:$D,1,0)</f>
        <v>G65300</v>
      </c>
      <c r="AP780" s="853" t="str">
        <f>+VLOOKUP($AJ780,Data_Validation!$A:$D,3,0)</f>
        <v/>
      </c>
      <c r="AQ780" s="853" t="str">
        <f>+VLOOKUP($AJ780,Data_Validation!$A:$D,4,0)</f>
        <v/>
      </c>
      <c r="AR780" s="853" t="s">
        <v>728</v>
      </c>
      <c r="AS780" s="853" t="str">
        <f>+VLOOKUP($AJ780,Data_Validation!$A:$E,5,0)</f>
        <v/>
      </c>
      <c r="AT780" s="794" t="str">
        <f t="shared" ref="AT780:AU780" si="1558">C780</f>
        <v>G65300</v>
      </c>
      <c r="AU780" s="854" t="str">
        <f t="shared" si="1558"/>
        <v>RECTIFICATION/STOCK/TRUCK</v>
      </c>
      <c r="AV780" s="794">
        <f t="array" ref="AV780">IFERROR(INDEX(V780:AG780,1,MATCH(Parametres!$B$3,V$1:AG$1,0)-1)*IF(OR(C780="L",C780="S",C780="I"),-1,1),"")</f>
        <v>0</v>
      </c>
      <c r="AW780" s="794">
        <f t="shared" si="6"/>
        <v>0</v>
      </c>
      <c r="AX780" s="794">
        <f t="array" ref="AX780">INDEX(V780:AG780,1,MATCH(Parametres!$B$3,V$1:AG$1,0))*IF(OR(C780="L",C780="S",C780="I"),-1,1)</f>
        <v>0</v>
      </c>
      <c r="AY780" s="853" t="s">
        <v>772</v>
      </c>
      <c r="AZ780" s="853" t="str">
        <f>+VLOOKUP($AJ780,Data_Validation!$A:$E,5,0)</f>
        <v/>
      </c>
    </row>
    <row r="781" ht="15.0" customHeight="1">
      <c r="A781" s="849" t="s">
        <v>1239</v>
      </c>
      <c r="B781" s="849">
        <v>2025.0</v>
      </c>
      <c r="C781" s="849" t="s">
        <v>3101</v>
      </c>
      <c r="D781" s="849" t="s">
        <v>3102</v>
      </c>
      <c r="E781" s="849" t="s">
        <v>768</v>
      </c>
      <c r="F781" s="849" t="s">
        <v>2855</v>
      </c>
      <c r="G781" s="849">
        <v>7270.79</v>
      </c>
      <c r="H781" s="849">
        <v>10702.79</v>
      </c>
      <c r="I781" s="849">
        <v>20599.61</v>
      </c>
      <c r="J781" s="849">
        <v>27214.61</v>
      </c>
      <c r="K781" s="849">
        <v>34188.61</v>
      </c>
      <c r="L781" s="849">
        <v>34188.61</v>
      </c>
      <c r="M781" s="849">
        <v>38073.61</v>
      </c>
      <c r="N781" s="849">
        <v>44278.61</v>
      </c>
      <c r="O781" s="849">
        <v>56514.61</v>
      </c>
      <c r="P781" s="849">
        <v>70862.61</v>
      </c>
      <c r="Q781" s="849">
        <v>74881.61</v>
      </c>
      <c r="R781" s="849">
        <v>91537.24</v>
      </c>
      <c r="S781" s="849">
        <v>6807.42</v>
      </c>
      <c r="T781" s="849">
        <v>6807.42</v>
      </c>
      <c r="U781" s="849">
        <v>0.0</v>
      </c>
      <c r="V781" s="849">
        <v>0.0</v>
      </c>
      <c r="W781" s="849">
        <v>0.0</v>
      </c>
      <c r="X781" s="849">
        <v>0.0</v>
      </c>
      <c r="Y781" s="849">
        <v>0.0</v>
      </c>
      <c r="Z781" s="849">
        <v>0.0</v>
      </c>
      <c r="AA781" s="849">
        <v>0.0</v>
      </c>
      <c r="AB781" s="849">
        <v>0.0</v>
      </c>
      <c r="AC781" s="849">
        <v>0.0</v>
      </c>
      <c r="AD781" s="849">
        <v>0.0</v>
      </c>
      <c r="AE781" s="849">
        <v>0.0</v>
      </c>
      <c r="AF781" s="849">
        <v>0.0</v>
      </c>
      <c r="AG781" s="849">
        <v>0.0</v>
      </c>
      <c r="AH781" s="849">
        <v>0.0</v>
      </c>
      <c r="AI781" s="849">
        <v>0.0</v>
      </c>
      <c r="AJ781" s="794" t="str">
        <f t="shared" ref="AJ781:AK781" si="1559">C781</f>
        <v>G65400</v>
      </c>
      <c r="AK781" s="794" t="str">
        <f t="shared" si="1559"/>
        <v>COUT-PLAN PROTECTION USAG</v>
      </c>
      <c r="AL781" s="794">
        <f t="array" ref="AL781">IFERROR(INDEX(G781:R781,1,MATCH(Parametres!$B$3,G$1:R$1,0)-1)*IF(OR(F781="L",F781="S",F781="I"),-1,1),"")</f>
        <v>44278.61</v>
      </c>
      <c r="AM781" s="794">
        <f t="shared" si="4"/>
        <v>12236</v>
      </c>
      <c r="AN781" s="794">
        <f t="array" ref="AN781">INDEX(G781:R781,1,MATCH(Parametres!$B$3,G$1:R$1,0))*IF(OR(F781="L",F781="S",F781="I"),-1,1)</f>
        <v>56514.61</v>
      </c>
      <c r="AO781" s="853" t="str">
        <f>+VLOOKUP($AJ781,Data_Validation!$A:$D,1,0)</f>
        <v>G65400</v>
      </c>
      <c r="AP781" s="853" t="str">
        <f>+VLOOKUP($AJ781,Data_Validation!$A:$D,3,0)</f>
        <v>Véhicules usagés</v>
      </c>
      <c r="AQ781" s="853" t="str">
        <f>+VLOOKUP($AJ781,Data_Validation!$A:$D,4,0)</f>
        <v>Rev. Protections</v>
      </c>
      <c r="AR781" s="853" t="s">
        <v>728</v>
      </c>
      <c r="AS781" s="853" t="str">
        <f>+VLOOKUP($AJ781,Data_Validation!$A:$E,5,0)</f>
        <v/>
      </c>
      <c r="AT781" s="794" t="str">
        <f t="shared" ref="AT781:AU781" si="1560">C781</f>
        <v>G65400</v>
      </c>
      <c r="AU781" s="854" t="str">
        <f t="shared" si="1560"/>
        <v>COUT-PLAN PROTECTION USAG</v>
      </c>
      <c r="AV781" s="794">
        <f t="array" ref="AV781">IFERROR(INDEX(V781:AG781,1,MATCH(Parametres!$B$3,V$1:AG$1,0)-1)*IF(OR(C781="L",C781="S",C781="I"),-1,1),"")</f>
        <v>0</v>
      </c>
      <c r="AW781" s="794">
        <f t="shared" si="6"/>
        <v>0</v>
      </c>
      <c r="AX781" s="794">
        <f t="array" ref="AX781">INDEX(V781:AG781,1,MATCH(Parametres!$B$3,V$1:AG$1,0))*IF(OR(C781="L",C781="S",C781="I"),-1,1)</f>
        <v>0</v>
      </c>
      <c r="AY781" s="853" t="s">
        <v>772</v>
      </c>
      <c r="AZ781" s="853" t="str">
        <f>+VLOOKUP($AJ781,Data_Validation!$A:$E,5,0)</f>
        <v/>
      </c>
    </row>
    <row r="782" ht="15.0" customHeight="1">
      <c r="A782" s="849" t="s">
        <v>1239</v>
      </c>
      <c r="B782" s="849">
        <v>2025.0</v>
      </c>
      <c r="C782" s="849" t="s">
        <v>3119</v>
      </c>
      <c r="D782" s="849" t="s">
        <v>3120</v>
      </c>
      <c r="E782" s="849" t="s">
        <v>2072</v>
      </c>
      <c r="F782" s="849" t="s">
        <v>2855</v>
      </c>
      <c r="G782" s="849">
        <v>0.0</v>
      </c>
      <c r="H782" s="849">
        <v>0.0</v>
      </c>
      <c r="I782" s="849">
        <v>0.0</v>
      </c>
      <c r="J782" s="849">
        <v>0.0</v>
      </c>
      <c r="K782" s="849">
        <v>0.0</v>
      </c>
      <c r="L782" s="849">
        <v>0.0</v>
      </c>
      <c r="M782" s="849">
        <v>0.0</v>
      </c>
      <c r="N782" s="849">
        <v>0.0</v>
      </c>
      <c r="O782" s="849">
        <v>0.0</v>
      </c>
      <c r="P782" s="849">
        <v>0.0</v>
      </c>
      <c r="Q782" s="849">
        <v>0.0</v>
      </c>
      <c r="R782" s="849">
        <v>0.0</v>
      </c>
      <c r="S782" s="849">
        <v>0.0</v>
      </c>
      <c r="T782" s="849">
        <v>0.0</v>
      </c>
      <c r="U782" s="849">
        <v>0.0</v>
      </c>
      <c r="V782" s="849">
        <v>0.0</v>
      </c>
      <c r="W782" s="849">
        <v>0.0</v>
      </c>
      <c r="X782" s="849">
        <v>0.0</v>
      </c>
      <c r="Y782" s="849">
        <v>0.0</v>
      </c>
      <c r="Z782" s="849">
        <v>0.0</v>
      </c>
      <c r="AA782" s="849">
        <v>0.0</v>
      </c>
      <c r="AB782" s="849">
        <v>0.0</v>
      </c>
      <c r="AC782" s="849">
        <v>0.0</v>
      </c>
      <c r="AD782" s="849">
        <v>0.0</v>
      </c>
      <c r="AE782" s="849">
        <v>0.0</v>
      </c>
      <c r="AF782" s="849">
        <v>0.0</v>
      </c>
      <c r="AG782" s="849">
        <v>0.0</v>
      </c>
      <c r="AH782" s="849">
        <v>0.0</v>
      </c>
      <c r="AI782" s="849">
        <v>0.0</v>
      </c>
      <c r="AJ782" s="794" t="str">
        <f t="shared" ref="AJ782:AK782" si="1561">C782</f>
        <v>G65500</v>
      </c>
      <c r="AK782" s="794" t="str">
        <f t="shared" si="1561"/>
        <v>RETOUR DE LOCATION-COUT</v>
      </c>
      <c r="AL782" s="794">
        <f t="array" ref="AL782">IFERROR(INDEX(G782:R782,1,MATCH(Parametres!$B$3,G$1:R$1,0)-1)*IF(OR(F782="L",F782="S",F782="I"),-1,1),"")</f>
        <v>0</v>
      </c>
      <c r="AM782" s="794">
        <f t="shared" si="4"/>
        <v>0</v>
      </c>
      <c r="AN782" s="794">
        <f t="array" ref="AN782">INDEX(G782:R782,1,MATCH(Parametres!$B$3,G$1:R$1,0))*IF(OR(F782="L",F782="S",F782="I"),-1,1)</f>
        <v>0</v>
      </c>
      <c r="AO782" s="853" t="str">
        <f>+VLOOKUP($AJ782,Data_Validation!$A:$D,1,0)</f>
        <v>G65500</v>
      </c>
      <c r="AP782" s="853" t="str">
        <f>+VLOOKUP($AJ782,Data_Validation!$A:$D,3,0)</f>
        <v>Véhicules usagés</v>
      </c>
      <c r="AQ782" s="853" t="str">
        <f>+VLOOKUP($AJ782,Data_Validation!$A:$D,4,0)</f>
        <v>Rev. Protections</v>
      </c>
      <c r="AR782" s="853" t="s">
        <v>728</v>
      </c>
      <c r="AS782" s="853" t="str">
        <f>+VLOOKUP($AJ782,Data_Validation!$A:$E,5,0)</f>
        <v/>
      </c>
      <c r="AT782" s="794" t="str">
        <f t="shared" ref="AT782:AU782" si="1562">C782</f>
        <v>G65500</v>
      </c>
      <c r="AU782" s="854" t="str">
        <f t="shared" si="1562"/>
        <v>RETOUR DE LOCATION-COUT</v>
      </c>
      <c r="AV782" s="794">
        <f t="array" ref="AV782">IFERROR(INDEX(V782:AG782,1,MATCH(Parametres!$B$3,V$1:AG$1,0)-1)*IF(OR(C782="L",C782="S",C782="I"),-1,1),"")</f>
        <v>0</v>
      </c>
      <c r="AW782" s="794">
        <f t="shared" si="6"/>
        <v>0</v>
      </c>
      <c r="AX782" s="794">
        <f t="array" ref="AX782">INDEX(V782:AG782,1,MATCH(Parametres!$B$3,V$1:AG$1,0))*IF(OR(C782="L",C782="S",C782="I"),-1,1)</f>
        <v>0</v>
      </c>
      <c r="AY782" s="853" t="s">
        <v>772</v>
      </c>
      <c r="AZ782" s="853" t="str">
        <f>+VLOOKUP($AJ782,Data_Validation!$A:$E,5,0)</f>
        <v/>
      </c>
    </row>
    <row r="783" ht="15.0" customHeight="1">
      <c r="A783" s="849" t="s">
        <v>1239</v>
      </c>
      <c r="B783" s="849">
        <v>2025.0</v>
      </c>
      <c r="C783" s="849" t="s">
        <v>3129</v>
      </c>
      <c r="D783" s="849" t="s">
        <v>3130</v>
      </c>
      <c r="E783" s="849" t="s">
        <v>768</v>
      </c>
      <c r="F783" s="849" t="s">
        <v>2855</v>
      </c>
      <c r="G783" s="849">
        <v>942.2</v>
      </c>
      <c r="H783" s="849">
        <v>942.2</v>
      </c>
      <c r="I783" s="849">
        <v>3394.3</v>
      </c>
      <c r="J783" s="849">
        <v>3394.3</v>
      </c>
      <c r="K783" s="849">
        <v>3394.3</v>
      </c>
      <c r="L783" s="849">
        <v>3394.3</v>
      </c>
      <c r="M783" s="849">
        <v>4109.7</v>
      </c>
      <c r="N783" s="849">
        <v>6614.3</v>
      </c>
      <c r="O783" s="849">
        <v>6614.3</v>
      </c>
      <c r="P783" s="849">
        <v>8869.7</v>
      </c>
      <c r="Q783" s="849">
        <v>979.9</v>
      </c>
      <c r="R783" s="849">
        <v>979.9</v>
      </c>
      <c r="S783" s="849">
        <v>89.08</v>
      </c>
      <c r="T783" s="849">
        <v>89.08</v>
      </c>
      <c r="U783" s="849">
        <v>0.0</v>
      </c>
      <c r="V783" s="849">
        <v>0.0</v>
      </c>
      <c r="W783" s="849">
        <v>0.0</v>
      </c>
      <c r="X783" s="849">
        <v>0.0</v>
      </c>
      <c r="Y783" s="849">
        <v>0.0</v>
      </c>
      <c r="Z783" s="849">
        <v>0.0</v>
      </c>
      <c r="AA783" s="849">
        <v>0.0</v>
      </c>
      <c r="AB783" s="849">
        <v>0.0</v>
      </c>
      <c r="AC783" s="849">
        <v>0.0</v>
      </c>
      <c r="AD783" s="849">
        <v>0.0</v>
      </c>
      <c r="AE783" s="849">
        <v>0.0</v>
      </c>
      <c r="AF783" s="849">
        <v>0.0</v>
      </c>
      <c r="AG783" s="849">
        <v>0.0</v>
      </c>
      <c r="AH783" s="849">
        <v>0.0</v>
      </c>
      <c r="AI783" s="849">
        <v>0.0</v>
      </c>
      <c r="AJ783" s="794" t="str">
        <f t="shared" ref="AJ783:AK783" si="1563">C783</f>
        <v>G65600</v>
      </c>
      <c r="AK783" s="794" t="str">
        <f t="shared" si="1563"/>
        <v>COUT-REMPLACEMENT USAGES</v>
      </c>
      <c r="AL783" s="794">
        <f t="array" ref="AL783">IFERROR(INDEX(G783:R783,1,MATCH(Parametres!$B$3,G$1:R$1,0)-1)*IF(OR(F783="L",F783="S",F783="I"),-1,1),"")</f>
        <v>6614.3</v>
      </c>
      <c r="AM783" s="794">
        <f t="shared" si="4"/>
        <v>0</v>
      </c>
      <c r="AN783" s="794">
        <f t="array" ref="AN783">INDEX(G783:R783,1,MATCH(Parametres!$B$3,G$1:R$1,0))*IF(OR(F783="L",F783="S",F783="I"),-1,1)</f>
        <v>6614.3</v>
      </c>
      <c r="AO783" s="853" t="str">
        <f>+VLOOKUP($AJ783,Data_Validation!$A:$D,1,0)</f>
        <v>G65600</v>
      </c>
      <c r="AP783" s="853" t="str">
        <f>+VLOOKUP($AJ783,Data_Validation!$A:$D,3,0)</f>
        <v>Véhicules usagés</v>
      </c>
      <c r="AQ783" s="853" t="str">
        <f>+VLOOKUP($AJ783,Data_Validation!$A:$D,4,0)</f>
        <v>Rev. Protections</v>
      </c>
      <c r="AR783" s="853" t="s">
        <v>728</v>
      </c>
      <c r="AS783" s="853" t="str">
        <f>+VLOOKUP($AJ783,Data_Validation!$A:$E,5,0)</f>
        <v/>
      </c>
      <c r="AT783" s="794" t="str">
        <f t="shared" ref="AT783:AU783" si="1564">C783</f>
        <v>G65600</v>
      </c>
      <c r="AU783" s="854" t="str">
        <f t="shared" si="1564"/>
        <v>COUT-REMPLACEMENT USAGES</v>
      </c>
      <c r="AV783" s="794">
        <f t="array" ref="AV783">IFERROR(INDEX(V783:AG783,1,MATCH(Parametres!$B$3,V$1:AG$1,0)-1)*IF(OR(C783="L",C783="S",C783="I"),-1,1),"")</f>
        <v>0</v>
      </c>
      <c r="AW783" s="794">
        <f t="shared" si="6"/>
        <v>0</v>
      </c>
      <c r="AX783" s="794">
        <f t="array" ref="AX783">INDEX(V783:AG783,1,MATCH(Parametres!$B$3,V$1:AG$1,0))*IF(OR(C783="L",C783="S",C783="I"),-1,1)</f>
        <v>0</v>
      </c>
      <c r="AY783" s="853" t="s">
        <v>772</v>
      </c>
      <c r="AZ783" s="853" t="str">
        <f>+VLOOKUP($AJ783,Data_Validation!$A:$E,5,0)</f>
        <v/>
      </c>
    </row>
    <row r="784" ht="15.0" customHeight="1">
      <c r="A784" s="849" t="s">
        <v>1239</v>
      </c>
      <c r="B784" s="849">
        <v>2025.0</v>
      </c>
      <c r="C784" s="849" t="s">
        <v>3131</v>
      </c>
      <c r="D784" s="849" t="s">
        <v>3132</v>
      </c>
      <c r="E784" s="849" t="s">
        <v>2855</v>
      </c>
      <c r="F784" s="849" t="s">
        <v>2855</v>
      </c>
      <c r="G784" s="849">
        <v>0.0</v>
      </c>
      <c r="H784" s="849">
        <v>0.0</v>
      </c>
      <c r="I784" s="849">
        <v>311917.56</v>
      </c>
      <c r="J784" s="849">
        <v>597727.63</v>
      </c>
      <c r="K784" s="849">
        <v>597577.55</v>
      </c>
      <c r="L784" s="849">
        <v>597577.55</v>
      </c>
      <c r="M784" s="849">
        <v>597577.12</v>
      </c>
      <c r="N784" s="849">
        <v>729876.0</v>
      </c>
      <c r="O784" s="849">
        <v>729817.91</v>
      </c>
      <c r="P784" s="849">
        <v>729817.91</v>
      </c>
      <c r="Q784" s="849">
        <v>729817.91</v>
      </c>
      <c r="R784" s="849">
        <v>737953.9</v>
      </c>
      <c r="S784" s="849">
        <v>66347.08</v>
      </c>
      <c r="T784" s="849">
        <v>66347.08</v>
      </c>
      <c r="U784" s="849">
        <v>0.0</v>
      </c>
      <c r="V784" s="849">
        <v>0.0</v>
      </c>
      <c r="W784" s="849">
        <v>0.0</v>
      </c>
      <c r="X784" s="849">
        <v>0.0</v>
      </c>
      <c r="Y784" s="849">
        <v>0.0</v>
      </c>
      <c r="Z784" s="849">
        <v>0.0</v>
      </c>
      <c r="AA784" s="849">
        <v>0.0</v>
      </c>
      <c r="AB784" s="849">
        <v>0.0</v>
      </c>
      <c r="AC784" s="849">
        <v>0.0</v>
      </c>
      <c r="AD784" s="849">
        <v>0.0</v>
      </c>
      <c r="AE784" s="849">
        <v>0.0</v>
      </c>
      <c r="AF784" s="849">
        <v>0.0</v>
      </c>
      <c r="AG784" s="849">
        <v>0.0</v>
      </c>
      <c r="AH784" s="849">
        <v>0.0</v>
      </c>
      <c r="AI784" s="849">
        <v>0.0</v>
      </c>
      <c r="AJ784" s="794" t="str">
        <f t="shared" ref="AJ784:AK784" si="1565">C784</f>
        <v>G65601</v>
      </c>
      <c r="AK784" s="794" t="str">
        <f t="shared" si="1565"/>
        <v>COUT VEH U.S.A</v>
      </c>
      <c r="AL784" s="794">
        <f t="array" ref="AL784">IFERROR(INDEX(G784:R784,1,MATCH(Parametres!$B$3,G$1:R$1,0)-1)*IF(OR(F784="L",F784="S",F784="I"),-1,1),"")</f>
        <v>729876</v>
      </c>
      <c r="AM784" s="794">
        <f t="shared" si="4"/>
        <v>-58.09</v>
      </c>
      <c r="AN784" s="794">
        <f t="array" ref="AN784">INDEX(G784:R784,1,MATCH(Parametres!$B$3,G$1:R$1,0))*IF(OR(F784="L",F784="S",F784="I"),-1,1)</f>
        <v>729817.91</v>
      </c>
      <c r="AO784" s="853" t="str">
        <f>+VLOOKUP($AJ784,Data_Validation!$A:$D,1,0)</f>
        <v>G65601</v>
      </c>
      <c r="AP784" s="853" t="str">
        <f>+VLOOKUP($AJ784,Data_Validation!$A:$D,3,0)</f>
        <v>Wholesale autres</v>
      </c>
      <c r="AQ784" s="853" t="str">
        <f>+VLOOKUP($AJ784,Data_Validation!$A:$D,4,0)</f>
        <v>Wholesale USA</v>
      </c>
      <c r="AR784" s="853" t="s">
        <v>728</v>
      </c>
      <c r="AS784" s="853" t="str">
        <f>+VLOOKUP($AJ784,Data_Validation!$A:$E,5,0)</f>
        <v/>
      </c>
      <c r="AT784" s="794" t="str">
        <f t="shared" ref="AT784:AU784" si="1566">C784</f>
        <v>G65601</v>
      </c>
      <c r="AU784" s="854" t="str">
        <f t="shared" si="1566"/>
        <v>COUT VEH U.S.A</v>
      </c>
      <c r="AV784" s="794">
        <f t="array" ref="AV784">IFERROR(INDEX(V784:AG784,1,MATCH(Parametres!$B$3,V$1:AG$1,0)-1)*IF(OR(C784="L",C784="S",C784="I"),-1,1),"")</f>
        <v>0</v>
      </c>
      <c r="AW784" s="794">
        <f t="shared" si="6"/>
        <v>0</v>
      </c>
      <c r="AX784" s="794">
        <f t="array" ref="AX784">INDEX(V784:AG784,1,MATCH(Parametres!$B$3,V$1:AG$1,0))*IF(OR(C784="L",C784="S",C784="I"),-1,1)</f>
        <v>0</v>
      </c>
      <c r="AY784" s="853" t="s">
        <v>772</v>
      </c>
      <c r="AZ784" s="853" t="str">
        <f>+VLOOKUP($AJ784,Data_Validation!$A:$E,5,0)</f>
        <v/>
      </c>
    </row>
    <row r="785" ht="15.0" customHeight="1">
      <c r="A785" s="849" t="s">
        <v>1239</v>
      </c>
      <c r="B785" s="849">
        <v>2025.0</v>
      </c>
      <c r="C785" s="849" t="s">
        <v>3133</v>
      </c>
      <c r="D785" s="849" t="s">
        <v>3134</v>
      </c>
      <c r="E785" s="849" t="s">
        <v>768</v>
      </c>
      <c r="F785" s="849" t="s">
        <v>2855</v>
      </c>
      <c r="G785" s="849">
        <v>0.0</v>
      </c>
      <c r="H785" s="849">
        <v>0.0</v>
      </c>
      <c r="I785" s="849">
        <v>0.0</v>
      </c>
      <c r="J785" s="849">
        <v>0.0</v>
      </c>
      <c r="K785" s="849">
        <v>0.0</v>
      </c>
      <c r="L785" s="849">
        <v>0.0</v>
      </c>
      <c r="M785" s="849">
        <v>0.0</v>
      </c>
      <c r="N785" s="849">
        <v>0.0</v>
      </c>
      <c r="O785" s="849">
        <v>0.0</v>
      </c>
      <c r="P785" s="849">
        <v>0.0</v>
      </c>
      <c r="Q785" s="849">
        <v>0.0</v>
      </c>
      <c r="R785" s="849">
        <v>-72910.0</v>
      </c>
      <c r="S785" s="849">
        <v>0.0</v>
      </c>
      <c r="T785" s="849">
        <v>0.0</v>
      </c>
      <c r="U785" s="849">
        <v>0.0</v>
      </c>
      <c r="V785" s="849">
        <v>0.0</v>
      </c>
      <c r="W785" s="849">
        <v>0.0</v>
      </c>
      <c r="X785" s="849">
        <v>0.0</v>
      </c>
      <c r="Y785" s="849">
        <v>0.0</v>
      </c>
      <c r="Z785" s="849">
        <v>0.0</v>
      </c>
      <c r="AA785" s="849">
        <v>0.0</v>
      </c>
      <c r="AB785" s="849">
        <v>0.0</v>
      </c>
      <c r="AC785" s="849">
        <v>0.0</v>
      </c>
      <c r="AD785" s="849">
        <v>0.0</v>
      </c>
      <c r="AE785" s="849">
        <v>0.0</v>
      </c>
      <c r="AF785" s="849">
        <v>0.0</v>
      </c>
      <c r="AG785" s="849">
        <v>0.0</v>
      </c>
      <c r="AH785" s="849">
        <v>0.0</v>
      </c>
      <c r="AI785" s="849">
        <v>0.0</v>
      </c>
      <c r="AJ785" s="794" t="str">
        <f t="shared" ref="AJ785:AK785" si="1567">C785</f>
        <v>G65602</v>
      </c>
      <c r="AK785" s="794" t="str">
        <f t="shared" si="1567"/>
        <v>COUT VENTE USA -AJUSTMENT</v>
      </c>
      <c r="AL785" s="794">
        <f t="array" ref="AL785">IFERROR(INDEX(G785:R785,1,MATCH(Parametres!$B$3,G$1:R$1,0)-1)*IF(OR(F785="L",F785="S",F785="I"),-1,1),"")</f>
        <v>0</v>
      </c>
      <c r="AM785" s="794">
        <f t="shared" si="4"/>
        <v>0</v>
      </c>
      <c r="AN785" s="794">
        <f t="array" ref="AN785">INDEX(G785:R785,1,MATCH(Parametres!$B$3,G$1:R$1,0))*IF(OR(F785="L",F785="S",F785="I"),-1,1)</f>
        <v>0</v>
      </c>
      <c r="AO785" s="853" t="str">
        <f>+VLOOKUP($AJ785,Data_Validation!$A:$D,1,0)</f>
        <v>G65602</v>
      </c>
      <c r="AP785" s="853" t="str">
        <f>+VLOOKUP($AJ785,Data_Validation!$A:$D,3,0)</f>
        <v>Wholesale autres</v>
      </c>
      <c r="AQ785" s="853" t="str">
        <f>+VLOOKUP($AJ785,Data_Validation!$A:$D,4,0)</f>
        <v>Wholesale USA</v>
      </c>
      <c r="AR785" s="853" t="s">
        <v>728</v>
      </c>
      <c r="AS785" s="853" t="str">
        <f>+VLOOKUP($AJ785,Data_Validation!$A:$E,5,0)</f>
        <v/>
      </c>
      <c r="AT785" s="794" t="str">
        <f t="shared" ref="AT785:AU785" si="1568">C785</f>
        <v>G65602</v>
      </c>
      <c r="AU785" s="854" t="str">
        <f t="shared" si="1568"/>
        <v>COUT VENTE USA -AJUSTMENT</v>
      </c>
      <c r="AV785" s="794">
        <f t="array" ref="AV785">IFERROR(INDEX(V785:AG785,1,MATCH(Parametres!$B$3,V$1:AG$1,0)-1)*IF(OR(C785="L",C785="S",C785="I"),-1,1),"")</f>
        <v>0</v>
      </c>
      <c r="AW785" s="794">
        <f t="shared" si="6"/>
        <v>0</v>
      </c>
      <c r="AX785" s="794">
        <f t="array" ref="AX785">INDEX(V785:AG785,1,MATCH(Parametres!$B$3,V$1:AG$1,0))*IF(OR(C785="L",C785="S",C785="I"),-1,1)</f>
        <v>0</v>
      </c>
      <c r="AY785" s="853" t="s">
        <v>772</v>
      </c>
      <c r="AZ785" s="853" t="str">
        <f>+VLOOKUP($AJ785,Data_Validation!$A:$E,5,0)</f>
        <v/>
      </c>
    </row>
    <row r="786" ht="15.0" customHeight="1">
      <c r="A786" s="849" t="s">
        <v>1239</v>
      </c>
      <c r="B786" s="849">
        <v>2025.0</v>
      </c>
      <c r="C786" s="849" t="s">
        <v>3135</v>
      </c>
      <c r="D786" s="849" t="s">
        <v>3136</v>
      </c>
      <c r="E786" s="849" t="s">
        <v>2072</v>
      </c>
      <c r="F786" s="849" t="s">
        <v>2855</v>
      </c>
      <c r="G786" s="849">
        <v>464346.31</v>
      </c>
      <c r="H786" s="849">
        <v>1277723.18</v>
      </c>
      <c r="I786" s="849">
        <v>4015863.9</v>
      </c>
      <c r="J786" s="849">
        <v>8500196.02</v>
      </c>
      <c r="K786" s="849">
        <v>1.497076751E7</v>
      </c>
      <c r="L786" s="849">
        <v>2.050942065E7</v>
      </c>
      <c r="M786" s="849">
        <v>2.250068584E7</v>
      </c>
      <c r="N786" s="849">
        <v>2.472578718E7</v>
      </c>
      <c r="O786" s="849">
        <v>2.528545194E7</v>
      </c>
      <c r="P786" s="849">
        <v>2.547722546E7</v>
      </c>
      <c r="Q786" s="849">
        <v>2.605827237E7</v>
      </c>
      <c r="R786" s="849">
        <v>2.687457713E7</v>
      </c>
      <c r="S786" s="849">
        <v>2368933.85</v>
      </c>
      <c r="T786" s="849">
        <v>2368933.85</v>
      </c>
      <c r="U786" s="849">
        <v>0.0</v>
      </c>
      <c r="V786" s="849">
        <v>0.0</v>
      </c>
      <c r="W786" s="849">
        <v>0.0</v>
      </c>
      <c r="X786" s="849">
        <v>0.0</v>
      </c>
      <c r="Y786" s="849">
        <v>0.0</v>
      </c>
      <c r="Z786" s="849">
        <v>0.0</v>
      </c>
      <c r="AA786" s="849">
        <v>0.0</v>
      </c>
      <c r="AB786" s="849">
        <v>0.0</v>
      </c>
      <c r="AC786" s="849">
        <v>0.0</v>
      </c>
      <c r="AD786" s="849">
        <v>0.0</v>
      </c>
      <c r="AE786" s="849">
        <v>0.0</v>
      </c>
      <c r="AF786" s="849">
        <v>0.0</v>
      </c>
      <c r="AG786" s="849">
        <v>0.0</v>
      </c>
      <c r="AH786" s="849">
        <v>0.0</v>
      </c>
      <c r="AI786" s="849">
        <v>0.0</v>
      </c>
      <c r="AJ786" s="794" t="str">
        <f t="shared" ref="AJ786:AK786" si="1569">C786</f>
        <v>G65603</v>
      </c>
      <c r="AK786" s="794" t="str">
        <f t="shared" si="1569"/>
        <v>COUTANT VENTES USA</v>
      </c>
      <c r="AL786" s="794">
        <f t="array" ref="AL786">IFERROR(INDEX(G786:R786,1,MATCH(Parametres!$B$3,G$1:R$1,0)-1)*IF(OR(F786="L",F786="S",F786="I"),-1,1),"")</f>
        <v>24725787.18</v>
      </c>
      <c r="AM786" s="794">
        <f t="shared" si="4"/>
        <v>559664.76</v>
      </c>
      <c r="AN786" s="794">
        <f t="array" ref="AN786">INDEX(G786:R786,1,MATCH(Parametres!$B$3,G$1:R$1,0))*IF(OR(F786="L",F786="S",F786="I"),-1,1)</f>
        <v>25285451.94</v>
      </c>
      <c r="AO786" s="853" t="str">
        <f>+VLOOKUP($AJ786,Data_Validation!$A:$D,1,0)</f>
        <v>G65603</v>
      </c>
      <c r="AP786" s="853" t="str">
        <f>+VLOOKUP($AJ786,Data_Validation!$A:$D,3,0)</f>
        <v>Wholesale autres</v>
      </c>
      <c r="AQ786" s="853" t="str">
        <f>+VLOOKUP($AJ786,Data_Validation!$A:$D,4,0)</f>
        <v>Wholesale USA</v>
      </c>
      <c r="AR786" s="853" t="s">
        <v>728</v>
      </c>
      <c r="AS786" s="853" t="str">
        <f>+VLOOKUP($AJ786,Data_Validation!$A:$E,5,0)</f>
        <v/>
      </c>
      <c r="AT786" s="794" t="str">
        <f t="shared" ref="AT786:AU786" si="1570">C786</f>
        <v>G65603</v>
      </c>
      <c r="AU786" s="854" t="str">
        <f t="shared" si="1570"/>
        <v>COUTANT VENTES USA</v>
      </c>
      <c r="AV786" s="794">
        <f t="array" ref="AV786">IFERROR(INDEX(V786:AG786,1,MATCH(Parametres!$B$3,V$1:AG$1,0)-1)*IF(OR(C786="L",C786="S",C786="I"),-1,1),"")</f>
        <v>0</v>
      </c>
      <c r="AW786" s="794">
        <f t="shared" si="6"/>
        <v>0</v>
      </c>
      <c r="AX786" s="794">
        <f t="array" ref="AX786">INDEX(V786:AG786,1,MATCH(Parametres!$B$3,V$1:AG$1,0))*IF(OR(C786="L",C786="S",C786="I"),-1,1)</f>
        <v>0</v>
      </c>
      <c r="AY786" s="853" t="s">
        <v>772</v>
      </c>
      <c r="AZ786" s="853" t="str">
        <f>+VLOOKUP($AJ786,Data_Validation!$A:$E,5,0)</f>
        <v/>
      </c>
    </row>
    <row r="787" ht="15.0" customHeight="1">
      <c r="A787" s="849" t="s">
        <v>1239</v>
      </c>
      <c r="B787" s="849">
        <v>2025.0</v>
      </c>
      <c r="C787" s="849" t="s">
        <v>3141</v>
      </c>
      <c r="D787" s="849" t="s">
        <v>3142</v>
      </c>
      <c r="E787" s="849" t="s">
        <v>768</v>
      </c>
      <c r="F787" s="849" t="s">
        <v>2855</v>
      </c>
      <c r="G787" s="849">
        <v>14474.16</v>
      </c>
      <c r="H787" s="849">
        <v>29346.1</v>
      </c>
      <c r="I787" s="849">
        <v>44467.79</v>
      </c>
      <c r="J787" s="849">
        <v>67298.93</v>
      </c>
      <c r="K787" s="849">
        <v>88268.58</v>
      </c>
      <c r="L787" s="849">
        <v>104775.46</v>
      </c>
      <c r="M787" s="849">
        <v>119621.1</v>
      </c>
      <c r="N787" s="849">
        <v>135408.21</v>
      </c>
      <c r="O787" s="849">
        <v>149631.84</v>
      </c>
      <c r="P787" s="849">
        <v>172492.56</v>
      </c>
      <c r="Q787" s="849">
        <v>202066.14</v>
      </c>
      <c r="R787" s="849">
        <v>219145.89</v>
      </c>
      <c r="S787" s="849">
        <v>18369.65</v>
      </c>
      <c r="T787" s="849">
        <v>18369.65</v>
      </c>
      <c r="U787" s="849">
        <v>0.0</v>
      </c>
      <c r="V787" s="849">
        <v>0.0</v>
      </c>
      <c r="W787" s="849">
        <v>0.0</v>
      </c>
      <c r="X787" s="849">
        <v>0.0</v>
      </c>
      <c r="Y787" s="849">
        <v>0.0</v>
      </c>
      <c r="Z787" s="849">
        <v>0.0</v>
      </c>
      <c r="AA787" s="849">
        <v>0.0</v>
      </c>
      <c r="AB787" s="849">
        <v>0.0</v>
      </c>
      <c r="AC787" s="849">
        <v>0.0</v>
      </c>
      <c r="AD787" s="849">
        <v>0.0</v>
      </c>
      <c r="AE787" s="849">
        <v>0.0</v>
      </c>
      <c r="AF787" s="849">
        <v>0.0</v>
      </c>
      <c r="AG787" s="849">
        <v>0.0</v>
      </c>
      <c r="AH787" s="849">
        <v>0.0</v>
      </c>
      <c r="AI787" s="849">
        <v>0.0</v>
      </c>
      <c r="AJ787" s="794" t="str">
        <f t="shared" ref="AJ787:AK787" si="1571">C787</f>
        <v>G66010</v>
      </c>
      <c r="AK787" s="794" t="str">
        <f t="shared" si="1571"/>
        <v>COUT CLIENT VOIT CAM LEG.</v>
      </c>
      <c r="AL787" s="794">
        <f t="array" ref="AL787">IFERROR(INDEX(G787:R787,1,MATCH(Parametres!$B$3,G$1:R$1,0)-1)*IF(OR(F787="L",F787="S",F787="I"),-1,1),"")</f>
        <v>135408.21</v>
      </c>
      <c r="AM787" s="794">
        <f t="shared" si="4"/>
        <v>14223.63</v>
      </c>
      <c r="AN787" s="794">
        <f t="array" ref="AN787">INDEX(G787:R787,1,MATCH(Parametres!$B$3,G$1:R$1,0))*IF(OR(F787="L",F787="S",F787="I"),-1,1)</f>
        <v>149631.84</v>
      </c>
      <c r="AO787" s="853" t="str">
        <f>+VLOOKUP($AJ787,Data_Validation!$A:$D,1,0)</f>
        <v>G66010</v>
      </c>
      <c r="AP787" s="853" t="str">
        <f>+VLOOKUP($AJ787,Data_Validation!$A:$D,3,0)</f>
        <v>Service</v>
      </c>
      <c r="AQ787" s="853" t="str">
        <f>+VLOOKUP($AJ787,Data_Validation!$A:$D,4,0)</f>
        <v>M/O Client</v>
      </c>
      <c r="AR787" s="853" t="s">
        <v>728</v>
      </c>
      <c r="AS787" s="853" t="str">
        <f>+VLOOKUP($AJ787,Data_Validation!$A:$E,5,0)</f>
        <v/>
      </c>
      <c r="AT787" s="794" t="str">
        <f t="shared" ref="AT787:AU787" si="1572">C787</f>
        <v>G66010</v>
      </c>
      <c r="AU787" s="854" t="str">
        <f t="shared" si="1572"/>
        <v>COUT CLIENT VOIT CAM LEG.</v>
      </c>
      <c r="AV787" s="794">
        <f t="array" ref="AV787">IFERROR(INDEX(V787:AG787,1,MATCH(Parametres!$B$3,V$1:AG$1,0)-1)*IF(OR(C787="L",C787="S",C787="I"),-1,1),"")</f>
        <v>0</v>
      </c>
      <c r="AW787" s="794">
        <f t="shared" si="6"/>
        <v>0</v>
      </c>
      <c r="AX787" s="794">
        <f t="array" ref="AX787">INDEX(V787:AG787,1,MATCH(Parametres!$B$3,V$1:AG$1,0))*IF(OR(C787="L",C787="S",C787="I"),-1,1)</f>
        <v>0</v>
      </c>
      <c r="AY787" s="853" t="s">
        <v>772</v>
      </c>
      <c r="AZ787" s="853" t="str">
        <f>+VLOOKUP($AJ787,Data_Validation!$A:$E,5,0)</f>
        <v/>
      </c>
    </row>
    <row r="788" ht="15.0" customHeight="1">
      <c r="A788" s="849" t="s">
        <v>1239</v>
      </c>
      <c r="B788" s="849">
        <v>2025.0</v>
      </c>
      <c r="C788" s="849" t="s">
        <v>3145</v>
      </c>
      <c r="D788" s="849" t="s">
        <v>3146</v>
      </c>
      <c r="E788" s="849" t="s">
        <v>768</v>
      </c>
      <c r="F788" s="849" t="s">
        <v>2855</v>
      </c>
      <c r="G788" s="849">
        <v>0.0</v>
      </c>
      <c r="H788" s="849">
        <v>0.0</v>
      </c>
      <c r="I788" s="849">
        <v>0.0</v>
      </c>
      <c r="J788" s="849">
        <v>0.0</v>
      </c>
      <c r="K788" s="849">
        <v>0.0</v>
      </c>
      <c r="L788" s="849">
        <v>0.0</v>
      </c>
      <c r="M788" s="849">
        <v>0.0</v>
      </c>
      <c r="N788" s="849">
        <v>0.0</v>
      </c>
      <c r="O788" s="849">
        <v>0.0</v>
      </c>
      <c r="P788" s="849">
        <v>0.0</v>
      </c>
      <c r="Q788" s="849">
        <v>0.0</v>
      </c>
      <c r="R788" s="849">
        <v>0.0</v>
      </c>
      <c r="S788" s="849">
        <v>0.0</v>
      </c>
      <c r="T788" s="849">
        <v>0.0</v>
      </c>
      <c r="U788" s="849">
        <v>0.0</v>
      </c>
      <c r="V788" s="849">
        <v>0.0</v>
      </c>
      <c r="W788" s="849">
        <v>0.0</v>
      </c>
      <c r="X788" s="849">
        <v>0.0</v>
      </c>
      <c r="Y788" s="849">
        <v>0.0</v>
      </c>
      <c r="Z788" s="849">
        <v>0.0</v>
      </c>
      <c r="AA788" s="849">
        <v>0.0</v>
      </c>
      <c r="AB788" s="849">
        <v>0.0</v>
      </c>
      <c r="AC788" s="849">
        <v>0.0</v>
      </c>
      <c r="AD788" s="849">
        <v>0.0</v>
      </c>
      <c r="AE788" s="849">
        <v>0.0</v>
      </c>
      <c r="AF788" s="849">
        <v>0.0</v>
      </c>
      <c r="AG788" s="849">
        <v>0.0</v>
      </c>
      <c r="AH788" s="849">
        <v>0.0</v>
      </c>
      <c r="AI788" s="849">
        <v>0.0</v>
      </c>
      <c r="AJ788" s="794" t="str">
        <f t="shared" ref="AJ788:AK788" si="1573">C788</f>
        <v>G66020</v>
      </c>
      <c r="AK788" s="794" t="str">
        <f t="shared" si="1573"/>
        <v>COUT CON.SER.VOIT CAM LEG</v>
      </c>
      <c r="AL788" s="794">
        <f t="array" ref="AL788">IFERROR(INDEX(G788:R788,1,MATCH(Parametres!$B$3,G$1:R$1,0)-1)*IF(OR(F788="L",F788="S",F788="I"),-1,1),"")</f>
        <v>0</v>
      </c>
      <c r="AM788" s="794">
        <f t="shared" si="4"/>
        <v>0</v>
      </c>
      <c r="AN788" s="794">
        <f t="array" ref="AN788">INDEX(G788:R788,1,MATCH(Parametres!$B$3,G$1:R$1,0))*IF(OR(F788="L",F788="S",F788="I"),-1,1)</f>
        <v>0</v>
      </c>
      <c r="AO788" s="853" t="str">
        <f>+VLOOKUP($AJ788,Data_Validation!$A:$D,1,0)</f>
        <v>G66020</v>
      </c>
      <c r="AP788" s="853" t="str">
        <f>+VLOOKUP($AJ788,Data_Validation!$A:$D,3,0)</f>
        <v>Service</v>
      </c>
      <c r="AQ788" s="853" t="str">
        <f>+VLOOKUP($AJ788,Data_Validation!$A:$D,4,0)</f>
        <v>M/O Garantie</v>
      </c>
      <c r="AR788" s="853" t="s">
        <v>728</v>
      </c>
      <c r="AS788" s="853" t="str">
        <f>+VLOOKUP($AJ788,Data_Validation!$A:$E,5,0)</f>
        <v/>
      </c>
      <c r="AT788" s="794" t="str">
        <f t="shared" ref="AT788:AU788" si="1574">C788</f>
        <v>G66020</v>
      </c>
      <c r="AU788" s="854" t="str">
        <f t="shared" si="1574"/>
        <v>COUT CON.SER.VOIT CAM LEG</v>
      </c>
      <c r="AV788" s="794">
        <f t="array" ref="AV788">IFERROR(INDEX(V788:AG788,1,MATCH(Parametres!$B$3,V$1:AG$1,0)-1)*IF(OR(C788="L",C788="S",C788="I"),-1,1),"")</f>
        <v>0</v>
      </c>
      <c r="AW788" s="794">
        <f t="shared" si="6"/>
        <v>0</v>
      </c>
      <c r="AX788" s="794">
        <f t="array" ref="AX788">INDEX(V788:AG788,1,MATCH(Parametres!$B$3,V$1:AG$1,0))*IF(OR(C788="L",C788="S",C788="I"),-1,1)</f>
        <v>0</v>
      </c>
      <c r="AY788" s="853" t="s">
        <v>772</v>
      </c>
      <c r="AZ788" s="853" t="str">
        <f>+VLOOKUP($AJ788,Data_Validation!$A:$E,5,0)</f>
        <v/>
      </c>
    </row>
    <row r="789" ht="15.0" customHeight="1">
      <c r="A789" s="849" t="s">
        <v>1239</v>
      </c>
      <c r="B789" s="849">
        <v>2025.0</v>
      </c>
      <c r="C789" s="849" t="s">
        <v>3147</v>
      </c>
      <c r="D789" s="849" t="s">
        <v>3148</v>
      </c>
      <c r="E789" s="849" t="s">
        <v>768</v>
      </c>
      <c r="F789" s="849" t="s">
        <v>2855</v>
      </c>
      <c r="G789" s="849">
        <v>0.0</v>
      </c>
      <c r="H789" s="849">
        <v>0.0</v>
      </c>
      <c r="I789" s="849">
        <v>0.0</v>
      </c>
      <c r="J789" s="849">
        <v>0.0</v>
      </c>
      <c r="K789" s="849">
        <v>0.0</v>
      </c>
      <c r="L789" s="849">
        <v>0.0</v>
      </c>
      <c r="M789" s="849">
        <v>0.0</v>
      </c>
      <c r="N789" s="849">
        <v>0.0</v>
      </c>
      <c r="O789" s="849">
        <v>0.0</v>
      </c>
      <c r="P789" s="849">
        <v>0.0</v>
      </c>
      <c r="Q789" s="849">
        <v>0.0</v>
      </c>
      <c r="R789" s="849">
        <v>0.0</v>
      </c>
      <c r="S789" s="849">
        <v>0.0</v>
      </c>
      <c r="T789" s="849">
        <v>0.0</v>
      </c>
      <c r="U789" s="849">
        <v>0.0</v>
      </c>
      <c r="V789" s="849">
        <v>0.0</v>
      </c>
      <c r="W789" s="849">
        <v>0.0</v>
      </c>
      <c r="X789" s="849">
        <v>0.0</v>
      </c>
      <c r="Y789" s="849">
        <v>0.0</v>
      </c>
      <c r="Z789" s="849">
        <v>0.0</v>
      </c>
      <c r="AA789" s="849">
        <v>0.0</v>
      </c>
      <c r="AB789" s="849">
        <v>0.0</v>
      </c>
      <c r="AC789" s="849">
        <v>0.0</v>
      </c>
      <c r="AD789" s="849">
        <v>0.0</v>
      </c>
      <c r="AE789" s="849">
        <v>0.0</v>
      </c>
      <c r="AF789" s="849">
        <v>0.0</v>
      </c>
      <c r="AG789" s="849">
        <v>0.0</v>
      </c>
      <c r="AH789" s="849">
        <v>0.0</v>
      </c>
      <c r="AI789" s="849">
        <v>0.0</v>
      </c>
      <c r="AJ789" s="794" t="str">
        <f t="shared" ref="AJ789:AK789" si="1575">C789</f>
        <v>G66030</v>
      </c>
      <c r="AK789" s="794" t="str">
        <f t="shared" si="1575"/>
        <v>COUT-M.D.PLAN PROT.A.AUTO</v>
      </c>
      <c r="AL789" s="794">
        <f t="array" ref="AL789">IFERROR(INDEX(G789:R789,1,MATCH(Parametres!$B$3,G$1:R$1,0)-1)*IF(OR(F789="L",F789="S",F789="I"),-1,1),"")</f>
        <v>0</v>
      </c>
      <c r="AM789" s="794">
        <f t="shared" si="4"/>
        <v>0</v>
      </c>
      <c r="AN789" s="794">
        <f t="array" ref="AN789">INDEX(G789:R789,1,MATCH(Parametres!$B$3,G$1:R$1,0))*IF(OR(F789="L",F789="S",F789="I"),-1,1)</f>
        <v>0</v>
      </c>
      <c r="AO789" s="853" t="str">
        <f>+VLOOKUP($AJ789,Data_Validation!$A:$D,1,0)</f>
        <v>#N/A</v>
      </c>
      <c r="AP789" s="853" t="str">
        <f>+VLOOKUP($AJ789,Data_Validation!$A:$D,3,0)</f>
        <v>#N/A</v>
      </c>
      <c r="AQ789" s="853" t="str">
        <f>+VLOOKUP($AJ789,Data_Validation!$A:$D,4,0)</f>
        <v>#N/A</v>
      </c>
      <c r="AR789" s="853" t="s">
        <v>728</v>
      </c>
      <c r="AS789" s="853" t="str">
        <f>+VLOOKUP($AJ789,Data_Validation!$A:$E,5,0)</f>
        <v>#N/A</v>
      </c>
      <c r="AT789" s="794" t="str">
        <f t="shared" ref="AT789:AU789" si="1576">C789</f>
        <v>G66030</v>
      </c>
      <c r="AU789" s="854" t="str">
        <f t="shared" si="1576"/>
        <v>COUT-M.D.PLAN PROT.A.AUTO</v>
      </c>
      <c r="AV789" s="794">
        <f t="array" ref="AV789">IFERROR(INDEX(V789:AG789,1,MATCH(Parametres!$B$3,V$1:AG$1,0)-1)*IF(OR(C789="L",C789="S",C789="I"),-1,1),"")</f>
        <v>0</v>
      </c>
      <c r="AW789" s="794">
        <f t="shared" si="6"/>
        <v>0</v>
      </c>
      <c r="AX789" s="794">
        <f t="array" ref="AX789">INDEX(V789:AG789,1,MATCH(Parametres!$B$3,V$1:AG$1,0))*IF(OR(C789="L",C789="S",C789="I"),-1,1)</f>
        <v>0</v>
      </c>
      <c r="AY789" s="853" t="s">
        <v>772</v>
      </c>
      <c r="AZ789" s="853" t="str">
        <f>+VLOOKUP($AJ789,Data_Validation!$A:$E,5,0)</f>
        <v>#N/A</v>
      </c>
    </row>
    <row r="790" ht="15.0" customHeight="1">
      <c r="A790" s="849" t="s">
        <v>1239</v>
      </c>
      <c r="B790" s="849">
        <v>2025.0</v>
      </c>
      <c r="C790" s="849" t="s">
        <v>3149</v>
      </c>
      <c r="D790" s="849" t="s">
        <v>3150</v>
      </c>
      <c r="E790" s="849" t="s">
        <v>768</v>
      </c>
      <c r="F790" s="849" t="s">
        <v>2855</v>
      </c>
      <c r="G790" s="849">
        <v>3485.2</v>
      </c>
      <c r="H790" s="849">
        <v>5758.36</v>
      </c>
      <c r="I790" s="849">
        <v>9061.88</v>
      </c>
      <c r="J790" s="849">
        <v>11597.44</v>
      </c>
      <c r="K790" s="849">
        <v>12845.2</v>
      </c>
      <c r="L790" s="849">
        <v>14036.59</v>
      </c>
      <c r="M790" s="849">
        <v>14508.64</v>
      </c>
      <c r="N790" s="849">
        <v>15042.91</v>
      </c>
      <c r="O790" s="849">
        <v>15535.29</v>
      </c>
      <c r="P790" s="849">
        <v>16182.42</v>
      </c>
      <c r="Q790" s="849">
        <v>16405.34</v>
      </c>
      <c r="R790" s="849">
        <v>16558.24</v>
      </c>
      <c r="S790" s="849">
        <v>1491.39</v>
      </c>
      <c r="T790" s="849">
        <v>1491.39</v>
      </c>
      <c r="U790" s="849">
        <v>0.0</v>
      </c>
      <c r="V790" s="849">
        <v>0.0</v>
      </c>
      <c r="W790" s="849">
        <v>0.0</v>
      </c>
      <c r="X790" s="849">
        <v>0.0</v>
      </c>
      <c r="Y790" s="849">
        <v>0.0</v>
      </c>
      <c r="Z790" s="849">
        <v>0.0</v>
      </c>
      <c r="AA790" s="849">
        <v>0.0</v>
      </c>
      <c r="AB790" s="849">
        <v>0.0</v>
      </c>
      <c r="AC790" s="849">
        <v>0.0</v>
      </c>
      <c r="AD790" s="849">
        <v>0.0</v>
      </c>
      <c r="AE790" s="849">
        <v>0.0</v>
      </c>
      <c r="AF790" s="849">
        <v>0.0</v>
      </c>
      <c r="AG790" s="849">
        <v>0.0</v>
      </c>
      <c r="AH790" s="849">
        <v>0.0</v>
      </c>
      <c r="AI790" s="849">
        <v>0.0</v>
      </c>
      <c r="AJ790" s="794" t="str">
        <f t="shared" ref="AJ790:AK790" si="1577">C790</f>
        <v>G66040</v>
      </c>
      <c r="AK790" s="794" t="str">
        <f t="shared" si="1577"/>
        <v>COUT SER RAP.VOIT CAM LEG</v>
      </c>
      <c r="AL790" s="794">
        <f t="array" ref="AL790">IFERROR(INDEX(G790:R790,1,MATCH(Parametres!$B$3,G$1:R$1,0)-1)*IF(OR(F790="L",F790="S",F790="I"),-1,1),"")</f>
        <v>15042.91</v>
      </c>
      <c r="AM790" s="794">
        <f t="shared" si="4"/>
        <v>492.38</v>
      </c>
      <c r="AN790" s="794">
        <f t="array" ref="AN790">INDEX(G790:R790,1,MATCH(Parametres!$B$3,G$1:R$1,0))*IF(OR(F790="L",F790="S",F790="I"),-1,1)</f>
        <v>15535.29</v>
      </c>
      <c r="AO790" s="853" t="str">
        <f>+VLOOKUP($AJ790,Data_Validation!$A:$D,1,0)</f>
        <v>G66040</v>
      </c>
      <c r="AP790" s="853" t="str">
        <f>+VLOOKUP($AJ790,Data_Validation!$A:$D,3,0)</f>
        <v>Service</v>
      </c>
      <c r="AQ790" s="853" t="str">
        <f>+VLOOKUP($AJ790,Data_Validation!$A:$D,4,0)</f>
        <v>M/O Client</v>
      </c>
      <c r="AR790" s="853" t="s">
        <v>728</v>
      </c>
      <c r="AS790" s="853" t="str">
        <f>+VLOOKUP($AJ790,Data_Validation!$A:$E,5,0)</f>
        <v/>
      </c>
      <c r="AT790" s="794" t="str">
        <f t="shared" ref="AT790:AU790" si="1578">C790</f>
        <v>G66040</v>
      </c>
      <c r="AU790" s="854" t="str">
        <f t="shared" si="1578"/>
        <v>COUT SER RAP.VOIT CAM LEG</v>
      </c>
      <c r="AV790" s="794">
        <f t="array" ref="AV790">IFERROR(INDEX(V790:AG790,1,MATCH(Parametres!$B$3,V$1:AG$1,0)-1)*IF(OR(C790="L",C790="S",C790="I"),-1,1),"")</f>
        <v>0</v>
      </c>
      <c r="AW790" s="794">
        <f t="shared" si="6"/>
        <v>0</v>
      </c>
      <c r="AX790" s="794">
        <f t="array" ref="AX790">INDEX(V790:AG790,1,MATCH(Parametres!$B$3,V$1:AG$1,0))*IF(OR(C790="L",C790="S",C790="I"),-1,1)</f>
        <v>0</v>
      </c>
      <c r="AY790" s="853" t="s">
        <v>772</v>
      </c>
      <c r="AZ790" s="853" t="str">
        <f>+VLOOKUP($AJ790,Data_Validation!$A:$E,5,0)</f>
        <v/>
      </c>
    </row>
    <row r="791" ht="15.0" customHeight="1">
      <c r="A791" s="849" t="s">
        <v>1239</v>
      </c>
      <c r="B791" s="849">
        <v>2025.0</v>
      </c>
      <c r="C791" s="849" t="s">
        <v>3153</v>
      </c>
      <c r="D791" s="849" t="s">
        <v>3491</v>
      </c>
      <c r="E791" s="849" t="s">
        <v>768</v>
      </c>
      <c r="F791" s="849" t="s">
        <v>2855</v>
      </c>
      <c r="G791" s="849">
        <v>23028.63</v>
      </c>
      <c r="H791" s="849">
        <v>42214.09</v>
      </c>
      <c r="I791" s="849">
        <v>68653.43</v>
      </c>
      <c r="J791" s="849">
        <v>90714.93</v>
      </c>
      <c r="K791" s="849">
        <v>109964.12</v>
      </c>
      <c r="L791" s="849">
        <v>130045.58</v>
      </c>
      <c r="M791" s="849">
        <v>151130.01</v>
      </c>
      <c r="N791" s="849">
        <v>167868.49</v>
      </c>
      <c r="O791" s="849">
        <v>185425.03</v>
      </c>
      <c r="P791" s="849">
        <v>208064.5</v>
      </c>
      <c r="Q791" s="849">
        <v>226710.22</v>
      </c>
      <c r="R791" s="849">
        <v>244174.49</v>
      </c>
      <c r="S791" s="849">
        <v>20610.02</v>
      </c>
      <c r="T791" s="849">
        <v>20610.02</v>
      </c>
      <c r="U791" s="849">
        <v>0.0</v>
      </c>
      <c r="V791" s="849">
        <v>0.0</v>
      </c>
      <c r="W791" s="849">
        <v>0.0</v>
      </c>
      <c r="X791" s="849">
        <v>0.0</v>
      </c>
      <c r="Y791" s="849">
        <v>0.0</v>
      </c>
      <c r="Z791" s="849">
        <v>0.0</v>
      </c>
      <c r="AA791" s="849">
        <v>0.0</v>
      </c>
      <c r="AB791" s="849">
        <v>0.0</v>
      </c>
      <c r="AC791" s="849">
        <v>0.0</v>
      </c>
      <c r="AD791" s="849">
        <v>0.0</v>
      </c>
      <c r="AE791" s="849">
        <v>0.0</v>
      </c>
      <c r="AF791" s="849">
        <v>0.0</v>
      </c>
      <c r="AG791" s="849">
        <v>0.0</v>
      </c>
      <c r="AH791" s="849">
        <v>0.0</v>
      </c>
      <c r="AI791" s="849">
        <v>0.0</v>
      </c>
      <c r="AJ791" s="794" t="str">
        <f t="shared" ref="AJ791:AK791" si="1579">C791</f>
        <v>G66110</v>
      </c>
      <c r="AK791" s="794" t="str">
        <f t="shared" si="1579"/>
        <v>COUT CLIENTS CAMION MOYEN</v>
      </c>
      <c r="AL791" s="794">
        <f t="array" ref="AL791">IFERROR(INDEX(G791:R791,1,MATCH(Parametres!$B$3,G$1:R$1,0)-1)*IF(OR(F791="L",F791="S",F791="I"),-1,1),"")</f>
        <v>167868.49</v>
      </c>
      <c r="AM791" s="794">
        <f t="shared" si="4"/>
        <v>17556.54</v>
      </c>
      <c r="AN791" s="794">
        <f t="array" ref="AN791">INDEX(G791:R791,1,MATCH(Parametres!$B$3,G$1:R$1,0))*IF(OR(F791="L",F791="S",F791="I"),-1,1)</f>
        <v>185425.03</v>
      </c>
      <c r="AO791" s="853" t="str">
        <f>+VLOOKUP($AJ791,Data_Validation!$A:$D,1,0)</f>
        <v>G66110</v>
      </c>
      <c r="AP791" s="853" t="str">
        <f>+VLOOKUP($AJ791,Data_Validation!$A:$D,3,0)</f>
        <v>SAAQ</v>
      </c>
      <c r="AQ791" s="853" t="str">
        <f>+VLOOKUP($AJ791,Data_Validation!$A:$D,4,0)</f>
        <v>Inspection - Véhicules Légers</v>
      </c>
      <c r="AR791" s="853" t="s">
        <v>728</v>
      </c>
      <c r="AS791" s="853" t="str">
        <f>+VLOOKUP($AJ791,Data_Validation!$A:$E,5,0)</f>
        <v/>
      </c>
      <c r="AT791" s="794" t="str">
        <f t="shared" ref="AT791:AU791" si="1580">C791</f>
        <v>G66110</v>
      </c>
      <c r="AU791" s="854" t="str">
        <f t="shared" si="1580"/>
        <v>COUT CLIENTS CAMION MOYEN</v>
      </c>
      <c r="AV791" s="794">
        <f t="array" ref="AV791">IFERROR(INDEX(V791:AG791,1,MATCH(Parametres!$B$3,V$1:AG$1,0)-1)*IF(OR(C791="L",C791="S",C791="I"),-1,1),"")</f>
        <v>0</v>
      </c>
      <c r="AW791" s="794">
        <f t="shared" si="6"/>
        <v>0</v>
      </c>
      <c r="AX791" s="794">
        <f t="array" ref="AX791">INDEX(V791:AG791,1,MATCH(Parametres!$B$3,V$1:AG$1,0))*IF(OR(C791="L",C791="S",C791="I"),-1,1)</f>
        <v>0</v>
      </c>
      <c r="AY791" s="853" t="s">
        <v>772</v>
      </c>
      <c r="AZ791" s="853" t="str">
        <f>+VLOOKUP($AJ791,Data_Validation!$A:$E,5,0)</f>
        <v/>
      </c>
    </row>
    <row r="792" ht="15.0" customHeight="1">
      <c r="A792" s="849" t="s">
        <v>1239</v>
      </c>
      <c r="B792" s="849">
        <v>2025.0</v>
      </c>
      <c r="C792" s="849" t="s">
        <v>3157</v>
      </c>
      <c r="D792" s="849" t="s">
        <v>3158</v>
      </c>
      <c r="E792" s="849" t="s">
        <v>768</v>
      </c>
      <c r="F792" s="849" t="s">
        <v>2855</v>
      </c>
      <c r="G792" s="849">
        <v>0.0</v>
      </c>
      <c r="H792" s="849">
        <v>0.0</v>
      </c>
      <c r="I792" s="849">
        <v>0.0</v>
      </c>
      <c r="J792" s="849">
        <v>0.0</v>
      </c>
      <c r="K792" s="849">
        <v>0.0</v>
      </c>
      <c r="L792" s="849">
        <v>0.0</v>
      </c>
      <c r="M792" s="849">
        <v>0.0</v>
      </c>
      <c r="N792" s="849">
        <v>0.0</v>
      </c>
      <c r="O792" s="849">
        <v>0.0</v>
      </c>
      <c r="P792" s="849">
        <v>0.0</v>
      </c>
      <c r="Q792" s="849">
        <v>0.0</v>
      </c>
      <c r="R792" s="849">
        <v>0.0</v>
      </c>
      <c r="S792" s="849">
        <v>0.0</v>
      </c>
      <c r="T792" s="849">
        <v>0.0</v>
      </c>
      <c r="U792" s="849">
        <v>0.0</v>
      </c>
      <c r="V792" s="849">
        <v>0.0</v>
      </c>
      <c r="W792" s="849">
        <v>0.0</v>
      </c>
      <c r="X792" s="849">
        <v>0.0</v>
      </c>
      <c r="Y792" s="849">
        <v>0.0</v>
      </c>
      <c r="Z792" s="849">
        <v>0.0</v>
      </c>
      <c r="AA792" s="849">
        <v>0.0</v>
      </c>
      <c r="AB792" s="849">
        <v>0.0</v>
      </c>
      <c r="AC792" s="849">
        <v>0.0</v>
      </c>
      <c r="AD792" s="849">
        <v>0.0</v>
      </c>
      <c r="AE792" s="849">
        <v>0.0</v>
      </c>
      <c r="AF792" s="849">
        <v>0.0</v>
      </c>
      <c r="AG792" s="849">
        <v>0.0</v>
      </c>
      <c r="AH792" s="849">
        <v>0.0</v>
      </c>
      <c r="AI792" s="849">
        <v>0.0</v>
      </c>
      <c r="AJ792" s="794" t="str">
        <f t="shared" ref="AJ792:AK792" si="1581">C792</f>
        <v>G66120</v>
      </c>
      <c r="AK792" s="794" t="str">
        <f t="shared" si="1581"/>
        <v>COUT CLAIM CAMIONS MOYEN</v>
      </c>
      <c r="AL792" s="794">
        <f t="array" ref="AL792">IFERROR(INDEX(G792:R792,1,MATCH(Parametres!$B$3,G$1:R$1,0)-1)*IF(OR(F792="L",F792="S",F792="I"),-1,1),"")</f>
        <v>0</v>
      </c>
      <c r="AM792" s="794">
        <f t="shared" si="4"/>
        <v>0</v>
      </c>
      <c r="AN792" s="794">
        <f t="array" ref="AN792">INDEX(G792:R792,1,MATCH(Parametres!$B$3,G$1:R$1,0))*IF(OR(F792="L",F792="S",F792="I"),-1,1)</f>
        <v>0</v>
      </c>
      <c r="AO792" s="853" t="str">
        <f>+VLOOKUP($AJ792,Data_Validation!$A:$D,1,0)</f>
        <v>G66120</v>
      </c>
      <c r="AP792" s="853" t="str">
        <f>+VLOOKUP($AJ792,Data_Validation!$A:$D,3,0)</f>
        <v>SAAQ</v>
      </c>
      <c r="AQ792" s="853" t="str">
        <f>+VLOOKUP($AJ792,Data_Validation!$A:$D,4,0)</f>
        <v>Inspection - Véhicules Interne</v>
      </c>
      <c r="AR792" s="853" t="s">
        <v>728</v>
      </c>
      <c r="AS792" s="853" t="str">
        <f>+VLOOKUP($AJ792,Data_Validation!$A:$E,5,0)</f>
        <v/>
      </c>
      <c r="AT792" s="794" t="str">
        <f t="shared" ref="AT792:AU792" si="1582">C792</f>
        <v>G66120</v>
      </c>
      <c r="AU792" s="854" t="str">
        <f t="shared" si="1582"/>
        <v>COUT CLAIM CAMIONS MOYEN</v>
      </c>
      <c r="AV792" s="794">
        <f t="array" ref="AV792">IFERROR(INDEX(V792:AG792,1,MATCH(Parametres!$B$3,V$1:AG$1,0)-1)*IF(OR(C792="L",C792="S",C792="I"),-1,1),"")</f>
        <v>0</v>
      </c>
      <c r="AW792" s="794">
        <f t="shared" si="6"/>
        <v>0</v>
      </c>
      <c r="AX792" s="794">
        <f t="array" ref="AX792">INDEX(V792:AG792,1,MATCH(Parametres!$B$3,V$1:AG$1,0))*IF(OR(C792="L",C792="S",C792="I"),-1,1)</f>
        <v>0</v>
      </c>
      <c r="AY792" s="853" t="s">
        <v>772</v>
      </c>
      <c r="AZ792" s="853" t="str">
        <f>+VLOOKUP($AJ792,Data_Validation!$A:$E,5,0)</f>
        <v/>
      </c>
    </row>
    <row r="793" ht="15.0" customHeight="1">
      <c r="A793" s="849" t="s">
        <v>1239</v>
      </c>
      <c r="B793" s="849">
        <v>2025.0</v>
      </c>
      <c r="C793" s="849" t="s">
        <v>3159</v>
      </c>
      <c r="D793" s="849" t="s">
        <v>3160</v>
      </c>
      <c r="E793" s="849" t="s">
        <v>768</v>
      </c>
      <c r="F793" s="849" t="s">
        <v>2855</v>
      </c>
      <c r="G793" s="849">
        <v>0.0</v>
      </c>
      <c r="H793" s="849">
        <v>0.0</v>
      </c>
      <c r="I793" s="849">
        <v>0.0</v>
      </c>
      <c r="J793" s="849">
        <v>0.0</v>
      </c>
      <c r="K793" s="849">
        <v>0.0</v>
      </c>
      <c r="L793" s="849">
        <v>0.0</v>
      </c>
      <c r="M793" s="849">
        <v>0.0</v>
      </c>
      <c r="N793" s="849">
        <v>0.0</v>
      </c>
      <c r="O793" s="849">
        <v>0.0</v>
      </c>
      <c r="P793" s="849">
        <v>0.0</v>
      </c>
      <c r="Q793" s="849">
        <v>0.0</v>
      </c>
      <c r="R793" s="849">
        <v>0.0</v>
      </c>
      <c r="S793" s="849">
        <v>0.0</v>
      </c>
      <c r="T793" s="849">
        <v>0.0</v>
      </c>
      <c r="U793" s="849">
        <v>0.0</v>
      </c>
      <c r="V793" s="849">
        <v>0.0</v>
      </c>
      <c r="W793" s="849">
        <v>0.0</v>
      </c>
      <c r="X793" s="849">
        <v>0.0</v>
      </c>
      <c r="Y793" s="849">
        <v>0.0</v>
      </c>
      <c r="Z793" s="849">
        <v>0.0</v>
      </c>
      <c r="AA793" s="849">
        <v>0.0</v>
      </c>
      <c r="AB793" s="849">
        <v>0.0</v>
      </c>
      <c r="AC793" s="849">
        <v>0.0</v>
      </c>
      <c r="AD793" s="849">
        <v>0.0</v>
      </c>
      <c r="AE793" s="849">
        <v>0.0</v>
      </c>
      <c r="AF793" s="849">
        <v>0.0</v>
      </c>
      <c r="AG793" s="849">
        <v>0.0</v>
      </c>
      <c r="AH793" s="849">
        <v>0.0</v>
      </c>
      <c r="AI793" s="849">
        <v>0.0</v>
      </c>
      <c r="AJ793" s="794" t="str">
        <f t="shared" ref="AJ793:AK793" si="1583">C793</f>
        <v>G66140</v>
      </c>
      <c r="AK793" s="794" t="str">
        <f t="shared" si="1583"/>
        <v>COUT SER RAP.CAMION MOYEN</v>
      </c>
      <c r="AL793" s="794">
        <f t="array" ref="AL793">IFERROR(INDEX(G793:R793,1,MATCH(Parametres!$B$3,G$1:R$1,0)-1)*IF(OR(F793="L",F793="S",F793="I"),-1,1),"")</f>
        <v>0</v>
      </c>
      <c r="AM793" s="794">
        <f t="shared" si="4"/>
        <v>0</v>
      </c>
      <c r="AN793" s="794">
        <f t="array" ref="AN793">INDEX(G793:R793,1,MATCH(Parametres!$B$3,G$1:R$1,0))*IF(OR(F793="L",F793="S",F793="I"),-1,1)</f>
        <v>0</v>
      </c>
      <c r="AO793" s="853" t="str">
        <f>+VLOOKUP($AJ793,Data_Validation!$A:$D,1,0)</f>
        <v>G66140</v>
      </c>
      <c r="AP793" s="853" t="str">
        <f>+VLOOKUP($AJ793,Data_Validation!$A:$D,3,0)</f>
        <v>SAAQ</v>
      </c>
      <c r="AQ793" s="853" t="str">
        <f>+VLOOKUP($AJ793,Data_Validation!$A:$D,4,0)</f>
        <v>Inspection - Véhicules Lourds</v>
      </c>
      <c r="AR793" s="853" t="s">
        <v>728</v>
      </c>
      <c r="AS793" s="853" t="str">
        <f>+VLOOKUP($AJ793,Data_Validation!$A:$E,5,0)</f>
        <v/>
      </c>
      <c r="AT793" s="794" t="str">
        <f t="shared" ref="AT793:AU793" si="1584">C793</f>
        <v>G66140</v>
      </c>
      <c r="AU793" s="854" t="str">
        <f t="shared" si="1584"/>
        <v>COUT SER RAP.CAMION MOYEN</v>
      </c>
      <c r="AV793" s="794">
        <f t="array" ref="AV793">IFERROR(INDEX(V793:AG793,1,MATCH(Parametres!$B$3,V$1:AG$1,0)-1)*IF(OR(C793="L",C793="S",C793="I"),-1,1),"")</f>
        <v>0</v>
      </c>
      <c r="AW793" s="794">
        <f t="shared" si="6"/>
        <v>0</v>
      </c>
      <c r="AX793" s="794">
        <f t="array" ref="AX793">INDEX(V793:AG793,1,MATCH(Parametres!$B$3,V$1:AG$1,0))*IF(OR(C793="L",C793="S",C793="I"),-1,1)</f>
        <v>0</v>
      </c>
      <c r="AY793" s="853" t="s">
        <v>772</v>
      </c>
      <c r="AZ793" s="853" t="str">
        <f>+VLOOKUP($AJ793,Data_Validation!$A:$E,5,0)</f>
        <v/>
      </c>
    </row>
    <row r="794" ht="15.0" customHeight="1">
      <c r="A794" s="849" t="s">
        <v>1239</v>
      </c>
      <c r="B794" s="849">
        <v>2025.0</v>
      </c>
      <c r="C794" s="849" t="s">
        <v>3163</v>
      </c>
      <c r="D794" s="849" t="s">
        <v>3164</v>
      </c>
      <c r="E794" s="849" t="s">
        <v>768</v>
      </c>
      <c r="F794" s="849" t="s">
        <v>2855</v>
      </c>
      <c r="G794" s="849">
        <v>12191.04</v>
      </c>
      <c r="H794" s="849">
        <v>26588.38</v>
      </c>
      <c r="I794" s="849">
        <v>49325.26</v>
      </c>
      <c r="J794" s="849">
        <v>62737.81</v>
      </c>
      <c r="K794" s="849">
        <v>83403.23</v>
      </c>
      <c r="L794" s="849">
        <v>98375.24</v>
      </c>
      <c r="M794" s="849">
        <v>110849.52</v>
      </c>
      <c r="N794" s="849">
        <v>127894.27</v>
      </c>
      <c r="O794" s="849">
        <v>147664.71</v>
      </c>
      <c r="P794" s="849">
        <v>163100.34</v>
      </c>
      <c r="Q794" s="849">
        <v>173106.43</v>
      </c>
      <c r="R794" s="849">
        <v>185246.93</v>
      </c>
      <c r="S794" s="849">
        <v>15736.95</v>
      </c>
      <c r="T794" s="849">
        <v>15736.95</v>
      </c>
      <c r="U794" s="849">
        <v>0.0</v>
      </c>
      <c r="V794" s="849">
        <v>0.0</v>
      </c>
      <c r="W794" s="849">
        <v>0.0</v>
      </c>
      <c r="X794" s="849">
        <v>0.0</v>
      </c>
      <c r="Y794" s="849">
        <v>0.0</v>
      </c>
      <c r="Z794" s="849">
        <v>0.0</v>
      </c>
      <c r="AA794" s="849">
        <v>0.0</v>
      </c>
      <c r="AB794" s="849">
        <v>0.0</v>
      </c>
      <c r="AC794" s="849">
        <v>0.0</v>
      </c>
      <c r="AD794" s="849">
        <v>0.0</v>
      </c>
      <c r="AE794" s="849">
        <v>0.0</v>
      </c>
      <c r="AF794" s="849">
        <v>0.0</v>
      </c>
      <c r="AG794" s="849">
        <v>0.0</v>
      </c>
      <c r="AH794" s="849">
        <v>0.0</v>
      </c>
      <c r="AI794" s="849">
        <v>0.0</v>
      </c>
      <c r="AJ794" s="794" t="str">
        <f t="shared" ref="AJ794:AK794" si="1585">C794</f>
        <v>G66200</v>
      </c>
      <c r="AK794" s="794" t="str">
        <f t="shared" si="1585"/>
        <v>COUT-M.D. GARANTIE</v>
      </c>
      <c r="AL794" s="794">
        <f t="array" ref="AL794">IFERROR(INDEX(G794:R794,1,MATCH(Parametres!$B$3,G$1:R$1,0)-1)*IF(OR(F794="L",F794="S",F794="I"),-1,1),"")</f>
        <v>127894.27</v>
      </c>
      <c r="AM794" s="794">
        <f t="shared" si="4"/>
        <v>19770.44</v>
      </c>
      <c r="AN794" s="794">
        <f t="array" ref="AN794">INDEX(G794:R794,1,MATCH(Parametres!$B$3,G$1:R$1,0))*IF(OR(F794="L",F794="S",F794="I"),-1,1)</f>
        <v>147664.71</v>
      </c>
      <c r="AO794" s="853" t="str">
        <f>+VLOOKUP($AJ794,Data_Validation!$A:$D,1,0)</f>
        <v>G66200</v>
      </c>
      <c r="AP794" s="853" t="str">
        <f>+VLOOKUP($AJ794,Data_Validation!$A:$D,3,0)</f>
        <v>Service</v>
      </c>
      <c r="AQ794" s="853" t="str">
        <f>+VLOOKUP($AJ794,Data_Validation!$A:$D,4,0)</f>
        <v>M/O Garantie</v>
      </c>
      <c r="AR794" s="853" t="s">
        <v>728</v>
      </c>
      <c r="AS794" s="853" t="str">
        <f>+VLOOKUP($AJ794,Data_Validation!$A:$E,5,0)</f>
        <v/>
      </c>
      <c r="AT794" s="794" t="str">
        <f t="shared" ref="AT794:AU794" si="1586">C794</f>
        <v>G66200</v>
      </c>
      <c r="AU794" s="854" t="str">
        <f t="shared" si="1586"/>
        <v>COUT-M.D. GARANTIE</v>
      </c>
      <c r="AV794" s="794">
        <f t="array" ref="AV794">IFERROR(INDEX(V794:AG794,1,MATCH(Parametres!$B$3,V$1:AG$1,0)-1)*IF(OR(C794="L",C794="S",C794="I"),-1,1),"")</f>
        <v>0</v>
      </c>
      <c r="AW794" s="794">
        <f t="shared" si="6"/>
        <v>0</v>
      </c>
      <c r="AX794" s="794">
        <f t="array" ref="AX794">INDEX(V794:AG794,1,MATCH(Parametres!$B$3,V$1:AG$1,0))*IF(OR(C794="L",C794="S",C794="I"),-1,1)</f>
        <v>0</v>
      </c>
      <c r="AY794" s="853" t="s">
        <v>772</v>
      </c>
      <c r="AZ794" s="853" t="str">
        <f>+VLOOKUP($AJ794,Data_Validation!$A:$E,5,0)</f>
        <v/>
      </c>
    </row>
    <row r="795" ht="15.0" customHeight="1">
      <c r="A795" s="849" t="s">
        <v>1239</v>
      </c>
      <c r="B795" s="849">
        <v>2025.0</v>
      </c>
      <c r="C795" s="849" t="s">
        <v>3165</v>
      </c>
      <c r="D795" s="849" t="s">
        <v>3166</v>
      </c>
      <c r="E795" s="849" t="s">
        <v>768</v>
      </c>
      <c r="F795" s="849" t="s">
        <v>2855</v>
      </c>
      <c r="G795" s="849">
        <v>18846.91</v>
      </c>
      <c r="H795" s="849">
        <v>28652.24</v>
      </c>
      <c r="I795" s="849">
        <v>42426.28</v>
      </c>
      <c r="J795" s="849">
        <v>61204.74</v>
      </c>
      <c r="K795" s="849">
        <v>76082.3</v>
      </c>
      <c r="L795" s="849">
        <v>86121.77</v>
      </c>
      <c r="M795" s="849">
        <v>96395.94</v>
      </c>
      <c r="N795" s="849">
        <v>110509.83</v>
      </c>
      <c r="O795" s="849">
        <v>123692.3</v>
      </c>
      <c r="P795" s="849">
        <v>138754.7</v>
      </c>
      <c r="Q795" s="849">
        <v>153565.18</v>
      </c>
      <c r="R795" s="849">
        <v>168606.74</v>
      </c>
      <c r="S795" s="849">
        <v>13960.47</v>
      </c>
      <c r="T795" s="849">
        <v>13960.47</v>
      </c>
      <c r="U795" s="849">
        <v>0.0</v>
      </c>
      <c r="V795" s="849">
        <v>0.0</v>
      </c>
      <c r="W795" s="849">
        <v>0.0</v>
      </c>
      <c r="X795" s="849">
        <v>0.0</v>
      </c>
      <c r="Y795" s="849">
        <v>0.0</v>
      </c>
      <c r="Z795" s="849">
        <v>0.0</v>
      </c>
      <c r="AA795" s="849">
        <v>0.0</v>
      </c>
      <c r="AB795" s="849">
        <v>0.0</v>
      </c>
      <c r="AC795" s="849">
        <v>0.0</v>
      </c>
      <c r="AD795" s="849">
        <v>0.0</v>
      </c>
      <c r="AE795" s="849">
        <v>0.0</v>
      </c>
      <c r="AF795" s="849">
        <v>0.0</v>
      </c>
      <c r="AG795" s="849">
        <v>0.0</v>
      </c>
      <c r="AH795" s="849">
        <v>0.0</v>
      </c>
      <c r="AI795" s="849">
        <v>0.0</v>
      </c>
      <c r="AJ795" s="794" t="str">
        <f t="shared" ref="AJ795:AK795" si="1587">C795</f>
        <v>G66300</v>
      </c>
      <c r="AK795" s="794" t="str">
        <f t="shared" si="1587"/>
        <v>COUT-M.D. INTERNE</v>
      </c>
      <c r="AL795" s="794">
        <f t="array" ref="AL795">IFERROR(INDEX(G795:R795,1,MATCH(Parametres!$B$3,G$1:R$1,0)-1)*IF(OR(F795="L",F795="S",F795="I"),-1,1),"")</f>
        <v>110509.83</v>
      </c>
      <c r="AM795" s="794">
        <f t="shared" si="4"/>
        <v>13182.47</v>
      </c>
      <c r="AN795" s="794">
        <f t="array" ref="AN795">INDEX(G795:R795,1,MATCH(Parametres!$B$3,G$1:R$1,0))*IF(OR(F795="L",F795="S",F795="I"),-1,1)</f>
        <v>123692.3</v>
      </c>
      <c r="AO795" s="853" t="str">
        <f>+VLOOKUP($AJ795,Data_Validation!$A:$D,1,0)</f>
        <v>G66300</v>
      </c>
      <c r="AP795" s="853" t="str">
        <f>+VLOOKUP($AJ795,Data_Validation!$A:$D,3,0)</f>
        <v>Service</v>
      </c>
      <c r="AQ795" s="853" t="str">
        <f>+VLOOKUP($AJ795,Data_Validation!$A:$D,4,0)</f>
        <v>M/O Interne</v>
      </c>
      <c r="AR795" s="853" t="s">
        <v>728</v>
      </c>
      <c r="AS795" s="853" t="str">
        <f>+VLOOKUP($AJ795,Data_Validation!$A:$E,5,0)</f>
        <v/>
      </c>
      <c r="AT795" s="794" t="str">
        <f t="shared" ref="AT795:AU795" si="1588">C795</f>
        <v>G66300</v>
      </c>
      <c r="AU795" s="854" t="str">
        <f t="shared" si="1588"/>
        <v>COUT-M.D. INTERNE</v>
      </c>
      <c r="AV795" s="794">
        <f t="array" ref="AV795">IFERROR(INDEX(V795:AG795,1,MATCH(Parametres!$B$3,V$1:AG$1,0)-1)*IF(OR(C795="L",C795="S",C795="I"),-1,1),"")</f>
        <v>0</v>
      </c>
      <c r="AW795" s="794">
        <f t="shared" si="6"/>
        <v>0</v>
      </c>
      <c r="AX795" s="794">
        <f t="array" ref="AX795">INDEX(V795:AG795,1,MATCH(Parametres!$B$3,V$1:AG$1,0))*IF(OR(C795="L",C795="S",C795="I"),-1,1)</f>
        <v>0</v>
      </c>
      <c r="AY795" s="853" t="s">
        <v>772</v>
      </c>
      <c r="AZ795" s="853" t="str">
        <f>+VLOOKUP($AJ795,Data_Validation!$A:$E,5,0)</f>
        <v/>
      </c>
    </row>
    <row r="796" ht="15.0" customHeight="1">
      <c r="A796" s="849" t="s">
        <v>1239</v>
      </c>
      <c r="B796" s="849">
        <v>2025.0</v>
      </c>
      <c r="C796" s="849" t="s">
        <v>3169</v>
      </c>
      <c r="D796" s="849" t="s">
        <v>3170</v>
      </c>
      <c r="E796" s="849" t="s">
        <v>768</v>
      </c>
      <c r="F796" s="849" t="s">
        <v>2855</v>
      </c>
      <c r="G796" s="849">
        <v>26.51</v>
      </c>
      <c r="H796" s="849">
        <v>26.51</v>
      </c>
      <c r="I796" s="849">
        <v>67.82</v>
      </c>
      <c r="J796" s="849">
        <v>162.23</v>
      </c>
      <c r="K796" s="849">
        <v>624.79</v>
      </c>
      <c r="L796" s="849">
        <v>1074.82</v>
      </c>
      <c r="M796" s="849">
        <v>1804.85</v>
      </c>
      <c r="N796" s="849">
        <v>2307.4</v>
      </c>
      <c r="O796" s="849">
        <v>2519.55</v>
      </c>
      <c r="P796" s="849">
        <v>2936.96</v>
      </c>
      <c r="Q796" s="849">
        <v>3410.42</v>
      </c>
      <c r="R796" s="849">
        <v>3461.35</v>
      </c>
      <c r="S796" s="849">
        <v>310.04</v>
      </c>
      <c r="T796" s="849">
        <v>310.04</v>
      </c>
      <c r="U796" s="849">
        <v>0.0</v>
      </c>
      <c r="V796" s="849">
        <v>0.0</v>
      </c>
      <c r="W796" s="849">
        <v>0.0</v>
      </c>
      <c r="X796" s="849">
        <v>0.0</v>
      </c>
      <c r="Y796" s="849">
        <v>0.0</v>
      </c>
      <c r="Z796" s="849">
        <v>0.0</v>
      </c>
      <c r="AA796" s="849">
        <v>0.0</v>
      </c>
      <c r="AB796" s="849">
        <v>0.0</v>
      </c>
      <c r="AC796" s="849">
        <v>0.0</v>
      </c>
      <c r="AD796" s="849">
        <v>0.0</v>
      </c>
      <c r="AE796" s="849">
        <v>0.0</v>
      </c>
      <c r="AF796" s="849">
        <v>0.0</v>
      </c>
      <c r="AG796" s="849">
        <v>0.0</v>
      </c>
      <c r="AH796" s="849">
        <v>0.0</v>
      </c>
      <c r="AI796" s="849">
        <v>0.0</v>
      </c>
      <c r="AJ796" s="794" t="str">
        <f t="shared" ref="AJ796:AK796" si="1589">C796</f>
        <v>G66320</v>
      </c>
      <c r="AK796" s="794" t="str">
        <f t="shared" si="1589"/>
        <v>COUT-MO INTERNE CAM MOYEN</v>
      </c>
      <c r="AL796" s="794">
        <f t="array" ref="AL796">IFERROR(INDEX(G796:R796,1,MATCH(Parametres!$B$3,G$1:R$1,0)-1)*IF(OR(F796="L",F796="S",F796="I"),-1,1),"")</f>
        <v>2307.4</v>
      </c>
      <c r="AM796" s="794">
        <f t="shared" si="4"/>
        <v>212.15</v>
      </c>
      <c r="AN796" s="794">
        <f t="array" ref="AN796">INDEX(G796:R796,1,MATCH(Parametres!$B$3,G$1:R$1,0))*IF(OR(F796="L",F796="S",F796="I"),-1,1)</f>
        <v>2519.55</v>
      </c>
      <c r="AO796" s="853" t="str">
        <f>+VLOOKUP($AJ796,Data_Validation!$A:$D,1,0)</f>
        <v>G66320</v>
      </c>
      <c r="AP796" s="853" t="str">
        <f>+VLOOKUP($AJ796,Data_Validation!$A:$D,3,0)</f>
        <v>SAAQ</v>
      </c>
      <c r="AQ796" s="853" t="str">
        <f>+VLOOKUP($AJ796,Data_Validation!$A:$D,4,0)</f>
        <v>Inspection - Véhicules Interne</v>
      </c>
      <c r="AR796" s="853" t="s">
        <v>728</v>
      </c>
      <c r="AS796" s="853" t="str">
        <f>+VLOOKUP($AJ796,Data_Validation!$A:$E,5,0)</f>
        <v/>
      </c>
      <c r="AT796" s="794" t="str">
        <f t="shared" ref="AT796:AU796" si="1590">C796</f>
        <v>G66320</v>
      </c>
      <c r="AU796" s="854" t="str">
        <f t="shared" si="1590"/>
        <v>COUT-MO INTERNE CAM MOYEN</v>
      </c>
      <c r="AV796" s="794">
        <f t="array" ref="AV796">IFERROR(INDEX(V796:AG796,1,MATCH(Parametres!$B$3,V$1:AG$1,0)-1)*IF(OR(C796="L",C796="S",C796="I"),-1,1),"")</f>
        <v>0</v>
      </c>
      <c r="AW796" s="794">
        <f t="shared" si="6"/>
        <v>0</v>
      </c>
      <c r="AX796" s="794">
        <f t="array" ref="AX796">INDEX(V796:AG796,1,MATCH(Parametres!$B$3,V$1:AG$1,0))*IF(OR(C796="L",C796="S",C796="I"),-1,1)</f>
        <v>0</v>
      </c>
      <c r="AY796" s="853" t="s">
        <v>772</v>
      </c>
      <c r="AZ796" s="853" t="str">
        <f>+VLOOKUP($AJ796,Data_Validation!$A:$E,5,0)</f>
        <v/>
      </c>
    </row>
    <row r="797" ht="15.0" customHeight="1">
      <c r="A797" s="849" t="s">
        <v>1239</v>
      </c>
      <c r="B797" s="849">
        <v>2025.0</v>
      </c>
      <c r="C797" s="849" t="s">
        <v>3171</v>
      </c>
      <c r="D797" s="849" t="s">
        <v>3172</v>
      </c>
      <c r="E797" s="849" t="s">
        <v>768</v>
      </c>
      <c r="F797" s="849" t="s">
        <v>2855</v>
      </c>
      <c r="G797" s="849">
        <v>5597.19</v>
      </c>
      <c r="H797" s="849">
        <v>10564.0</v>
      </c>
      <c r="I797" s="849">
        <v>18228.1</v>
      </c>
      <c r="J797" s="849">
        <v>25569.69</v>
      </c>
      <c r="K797" s="849">
        <v>33052.15</v>
      </c>
      <c r="L797" s="849">
        <v>41385.62</v>
      </c>
      <c r="M797" s="849">
        <v>45926.15</v>
      </c>
      <c r="N797" s="849">
        <v>47616.54</v>
      </c>
      <c r="O797" s="849">
        <v>51841.19</v>
      </c>
      <c r="P797" s="849">
        <v>57355.91</v>
      </c>
      <c r="Q797" s="849">
        <v>59595.54</v>
      </c>
      <c r="R797" s="849">
        <v>63401.06</v>
      </c>
      <c r="S797" s="849">
        <v>5417.78</v>
      </c>
      <c r="T797" s="849">
        <v>5417.78</v>
      </c>
      <c r="U797" s="849">
        <v>0.0</v>
      </c>
      <c r="V797" s="849">
        <v>0.0</v>
      </c>
      <c r="W797" s="849">
        <v>0.0</v>
      </c>
      <c r="X797" s="849">
        <v>0.0</v>
      </c>
      <c r="Y797" s="849">
        <v>0.0</v>
      </c>
      <c r="Z797" s="849">
        <v>0.0</v>
      </c>
      <c r="AA797" s="849">
        <v>0.0</v>
      </c>
      <c r="AB797" s="849">
        <v>0.0</v>
      </c>
      <c r="AC797" s="849">
        <v>0.0</v>
      </c>
      <c r="AD797" s="849">
        <v>0.0</v>
      </c>
      <c r="AE797" s="849">
        <v>0.0</v>
      </c>
      <c r="AF797" s="849">
        <v>0.0</v>
      </c>
      <c r="AG797" s="849">
        <v>0.0</v>
      </c>
      <c r="AH797" s="849">
        <v>0.0</v>
      </c>
      <c r="AI797" s="849">
        <v>0.0</v>
      </c>
      <c r="AJ797" s="794" t="str">
        <f t="shared" ref="AJ797:AK797" si="1591">C797</f>
        <v>G66400</v>
      </c>
      <c r="AK797" s="794" t="str">
        <f t="shared" si="1591"/>
        <v>COUT-M.D. INSP.</v>
      </c>
      <c r="AL797" s="794">
        <f t="array" ref="AL797">IFERROR(INDEX(G797:R797,1,MATCH(Parametres!$B$3,G$1:R$1,0)-1)*IF(OR(F797="L",F797="S",F797="I"),-1,1),"")</f>
        <v>47616.54</v>
      </c>
      <c r="AM797" s="794">
        <f t="shared" si="4"/>
        <v>4224.65</v>
      </c>
      <c r="AN797" s="794">
        <f t="array" ref="AN797">INDEX(G797:R797,1,MATCH(Parametres!$B$3,G$1:R$1,0))*IF(OR(F797="L",F797="S",F797="I"),-1,1)</f>
        <v>51841.19</v>
      </c>
      <c r="AO797" s="853" t="str">
        <f>+VLOOKUP($AJ797,Data_Validation!$A:$D,1,0)</f>
        <v>G66400</v>
      </c>
      <c r="AP797" s="853" t="str">
        <f>+VLOOKUP($AJ797,Data_Validation!$A:$D,3,0)</f>
        <v>Service</v>
      </c>
      <c r="AQ797" s="853" t="str">
        <f>+VLOOKUP($AJ797,Data_Validation!$A:$D,4,0)</f>
        <v>M/O Interne</v>
      </c>
      <c r="AR797" s="853" t="s">
        <v>728</v>
      </c>
      <c r="AS797" s="853" t="str">
        <f>+VLOOKUP($AJ797,Data_Validation!$A:$E,5,0)</f>
        <v/>
      </c>
      <c r="AT797" s="794" t="str">
        <f t="shared" ref="AT797:AU797" si="1592">C797</f>
        <v>G66400</v>
      </c>
      <c r="AU797" s="854" t="str">
        <f t="shared" si="1592"/>
        <v>COUT-M.D. INSP.</v>
      </c>
      <c r="AV797" s="794">
        <f t="array" ref="AV797">IFERROR(INDEX(V797:AG797,1,MATCH(Parametres!$B$3,V$1:AG$1,0)-1)*IF(OR(C797="L",C797="S",C797="I"),-1,1),"")</f>
        <v>0</v>
      </c>
      <c r="AW797" s="794">
        <f t="shared" si="6"/>
        <v>0</v>
      </c>
      <c r="AX797" s="794">
        <f t="array" ref="AX797">INDEX(V797:AG797,1,MATCH(Parametres!$B$3,V$1:AG$1,0))*IF(OR(C797="L",C797="S",C797="I"),-1,1)</f>
        <v>0</v>
      </c>
      <c r="AY797" s="853" t="s">
        <v>772</v>
      </c>
      <c r="AZ797" s="853" t="str">
        <f>+VLOOKUP($AJ797,Data_Validation!$A:$E,5,0)</f>
        <v/>
      </c>
    </row>
    <row r="798" ht="15.0" customHeight="1">
      <c r="A798" s="849" t="s">
        <v>1239</v>
      </c>
      <c r="B798" s="849">
        <v>2025.0</v>
      </c>
      <c r="C798" s="849" t="s">
        <v>3173</v>
      </c>
      <c r="D798" s="849" t="s">
        <v>3174</v>
      </c>
      <c r="E798" s="849" t="s">
        <v>768</v>
      </c>
      <c r="F798" s="849" t="s">
        <v>2855</v>
      </c>
      <c r="G798" s="849">
        <v>0.0</v>
      </c>
      <c r="H798" s="849">
        <v>0.0</v>
      </c>
      <c r="I798" s="849">
        <v>0.0</v>
      </c>
      <c r="J798" s="849">
        <v>0.0</v>
      </c>
      <c r="K798" s="849">
        <v>0.0</v>
      </c>
      <c r="L798" s="849">
        <v>0.0</v>
      </c>
      <c r="M798" s="849">
        <v>0.0</v>
      </c>
      <c r="N798" s="849">
        <v>0.0</v>
      </c>
      <c r="O798" s="849">
        <v>0.0</v>
      </c>
      <c r="P798" s="849">
        <v>0.0</v>
      </c>
      <c r="Q798" s="849">
        <v>0.0</v>
      </c>
      <c r="R798" s="849">
        <v>0.0</v>
      </c>
      <c r="S798" s="849">
        <v>0.0</v>
      </c>
      <c r="T798" s="849">
        <v>0.0</v>
      </c>
      <c r="U798" s="849">
        <v>0.0</v>
      </c>
      <c r="V798" s="849">
        <v>0.0</v>
      </c>
      <c r="W798" s="849">
        <v>0.0</v>
      </c>
      <c r="X798" s="849">
        <v>0.0</v>
      </c>
      <c r="Y798" s="849">
        <v>0.0</v>
      </c>
      <c r="Z798" s="849">
        <v>0.0</v>
      </c>
      <c r="AA798" s="849">
        <v>0.0</v>
      </c>
      <c r="AB798" s="849">
        <v>0.0</v>
      </c>
      <c r="AC798" s="849">
        <v>0.0</v>
      </c>
      <c r="AD798" s="849">
        <v>0.0</v>
      </c>
      <c r="AE798" s="849">
        <v>0.0</v>
      </c>
      <c r="AF798" s="849">
        <v>0.0</v>
      </c>
      <c r="AG798" s="849">
        <v>0.0</v>
      </c>
      <c r="AH798" s="849">
        <v>0.0</v>
      </c>
      <c r="AI798" s="849">
        <v>0.0</v>
      </c>
      <c r="AJ798" s="794" t="str">
        <f t="shared" ref="AJ798:AK798" si="1593">C798</f>
        <v>G66420</v>
      </c>
      <c r="AK798" s="794" t="str">
        <f t="shared" si="1593"/>
        <v>COUT-MO INSPECTON PDI</v>
      </c>
      <c r="AL798" s="794">
        <f t="array" ref="AL798">IFERROR(INDEX(G798:R798,1,MATCH(Parametres!$B$3,G$1:R$1,0)-1)*IF(OR(F798="L",F798="S",F798="I"),-1,1),"")</f>
        <v>0</v>
      </c>
      <c r="AM798" s="794">
        <f t="shared" si="4"/>
        <v>0</v>
      </c>
      <c r="AN798" s="794">
        <f t="array" ref="AN798">INDEX(G798:R798,1,MATCH(Parametres!$B$3,G$1:R$1,0))*IF(OR(F798="L",F798="S",F798="I"),-1,1)</f>
        <v>0</v>
      </c>
      <c r="AO798" s="853" t="str">
        <f>+VLOOKUP($AJ798,Data_Validation!$A:$D,1,0)</f>
        <v>#N/A</v>
      </c>
      <c r="AP798" s="853" t="str">
        <f>+VLOOKUP($AJ798,Data_Validation!$A:$D,3,0)</f>
        <v>#N/A</v>
      </c>
      <c r="AQ798" s="853" t="str">
        <f>+VLOOKUP($AJ798,Data_Validation!$A:$D,4,0)</f>
        <v>#N/A</v>
      </c>
      <c r="AR798" s="853" t="s">
        <v>728</v>
      </c>
      <c r="AS798" s="853" t="str">
        <f>+VLOOKUP($AJ798,Data_Validation!$A:$E,5,0)</f>
        <v>#N/A</v>
      </c>
      <c r="AT798" s="794" t="str">
        <f t="shared" ref="AT798:AU798" si="1594">C798</f>
        <v>G66420</v>
      </c>
      <c r="AU798" s="854" t="str">
        <f t="shared" si="1594"/>
        <v>COUT-MO INSPECTON PDI</v>
      </c>
      <c r="AV798" s="794">
        <f t="array" ref="AV798">IFERROR(INDEX(V798:AG798,1,MATCH(Parametres!$B$3,V$1:AG$1,0)-1)*IF(OR(C798="L",C798="S",C798="I"),-1,1),"")</f>
        <v>0</v>
      </c>
      <c r="AW798" s="794">
        <f t="shared" si="6"/>
        <v>0</v>
      </c>
      <c r="AX798" s="794">
        <f t="array" ref="AX798">INDEX(V798:AG798,1,MATCH(Parametres!$B$3,V$1:AG$1,0))*IF(OR(C798="L",C798="S",C798="I"),-1,1)</f>
        <v>0</v>
      </c>
      <c r="AY798" s="853" t="s">
        <v>772</v>
      </c>
      <c r="AZ798" s="853" t="str">
        <f>+VLOOKUP($AJ798,Data_Validation!$A:$E,5,0)</f>
        <v>#N/A</v>
      </c>
    </row>
    <row r="799" ht="15.0" customHeight="1">
      <c r="A799" s="849" t="s">
        <v>1239</v>
      </c>
      <c r="B799" s="849">
        <v>2025.0</v>
      </c>
      <c r="C799" s="849" t="s">
        <v>3175</v>
      </c>
      <c r="D799" s="849" t="s">
        <v>3176</v>
      </c>
      <c r="E799" s="849" t="s">
        <v>768</v>
      </c>
      <c r="F799" s="849" t="s">
        <v>2855</v>
      </c>
      <c r="G799" s="849">
        <v>-4351.97</v>
      </c>
      <c r="H799" s="849">
        <v>-9715.91</v>
      </c>
      <c r="I799" s="849">
        <v>-15388.43</v>
      </c>
      <c r="J799" s="849">
        <v>-16480.3</v>
      </c>
      <c r="K799" s="849">
        <v>-23942.25</v>
      </c>
      <c r="L799" s="849">
        <v>-20195.85</v>
      </c>
      <c r="M799" s="849">
        <v>-21987.74</v>
      </c>
      <c r="N799" s="849">
        <v>-23291.6</v>
      </c>
      <c r="O799" s="849">
        <v>-24960.49</v>
      </c>
      <c r="P799" s="849">
        <v>-24970.18</v>
      </c>
      <c r="Q799" s="849">
        <v>-18629.88</v>
      </c>
      <c r="R799" s="849">
        <v>-15617.08</v>
      </c>
      <c r="S799" s="849">
        <v>-1693.63</v>
      </c>
      <c r="T799" s="849">
        <v>-1693.63</v>
      </c>
      <c r="U799" s="849">
        <v>0.0</v>
      </c>
      <c r="V799" s="849">
        <v>0.0</v>
      </c>
      <c r="W799" s="849">
        <v>0.0</v>
      </c>
      <c r="X799" s="849">
        <v>0.0</v>
      </c>
      <c r="Y799" s="849">
        <v>0.0</v>
      </c>
      <c r="Z799" s="849">
        <v>0.0</v>
      </c>
      <c r="AA799" s="849">
        <v>0.0</v>
      </c>
      <c r="AB799" s="849">
        <v>0.0</v>
      </c>
      <c r="AC799" s="849">
        <v>0.0</v>
      </c>
      <c r="AD799" s="849">
        <v>0.0</v>
      </c>
      <c r="AE799" s="849">
        <v>0.0</v>
      </c>
      <c r="AF799" s="849">
        <v>0.0</v>
      </c>
      <c r="AG799" s="849">
        <v>0.0</v>
      </c>
      <c r="AH799" s="849">
        <v>0.0</v>
      </c>
      <c r="AI799" s="849">
        <v>0.0</v>
      </c>
      <c r="AJ799" s="794" t="str">
        <f t="shared" ref="AJ799:AK799" si="1595">C799</f>
        <v>G66500</v>
      </c>
      <c r="AK799" s="794" t="str">
        <f t="shared" si="1595"/>
        <v>TEMPS PERDU SERVICE</v>
      </c>
      <c r="AL799" s="794">
        <f t="array" ref="AL799">IFERROR(INDEX(G799:R799,1,MATCH(Parametres!$B$3,G$1:R$1,0)-1)*IF(OR(F799="L",F799="S",F799="I"),-1,1),"")</f>
        <v>-23291.6</v>
      </c>
      <c r="AM799" s="794">
        <f t="shared" si="4"/>
        <v>-1668.89</v>
      </c>
      <c r="AN799" s="794">
        <f t="array" ref="AN799">INDEX(G799:R799,1,MATCH(Parametres!$B$3,G$1:R$1,0))*IF(OR(F799="L",F799="S",F799="I"),-1,1)</f>
        <v>-24960.49</v>
      </c>
      <c r="AO799" s="853" t="str">
        <f>+VLOOKUP($AJ799,Data_Validation!$A:$D,1,0)</f>
        <v>G66500</v>
      </c>
      <c r="AP799" s="853" t="str">
        <f>+VLOOKUP($AJ799,Data_Validation!$A:$D,3,0)</f>
        <v>Service</v>
      </c>
      <c r="AQ799" s="853" t="str">
        <f>+VLOOKUP($AJ799,Data_Validation!$A:$D,4,0)</f>
        <v>Ajustement M/O</v>
      </c>
      <c r="AR799" s="853" t="s">
        <v>728</v>
      </c>
      <c r="AS799" s="853" t="str">
        <f>+VLOOKUP($AJ799,Data_Validation!$A:$E,5,0)</f>
        <v/>
      </c>
      <c r="AT799" s="794" t="str">
        <f t="shared" ref="AT799:AU799" si="1596">C799</f>
        <v>G66500</v>
      </c>
      <c r="AU799" s="854" t="str">
        <f t="shared" si="1596"/>
        <v>TEMPS PERDU SERVICE</v>
      </c>
      <c r="AV799" s="794">
        <f t="array" ref="AV799">IFERROR(INDEX(V799:AG799,1,MATCH(Parametres!$B$3,V$1:AG$1,0)-1)*IF(OR(C799="L",C799="S",C799="I"),-1,1),"")</f>
        <v>0</v>
      </c>
      <c r="AW799" s="794">
        <f t="shared" si="6"/>
        <v>0</v>
      </c>
      <c r="AX799" s="794">
        <f t="array" ref="AX799">INDEX(V799:AG799,1,MATCH(Parametres!$B$3,V$1:AG$1,0))*IF(OR(C799="L",C799="S",C799="I"),-1,1)</f>
        <v>0</v>
      </c>
      <c r="AY799" s="853" t="s">
        <v>772</v>
      </c>
      <c r="AZ799" s="853" t="str">
        <f>+VLOOKUP($AJ799,Data_Validation!$A:$E,5,0)</f>
        <v/>
      </c>
    </row>
    <row r="800" ht="15.0" customHeight="1">
      <c r="A800" s="849" t="s">
        <v>1239</v>
      </c>
      <c r="B800" s="849">
        <v>2025.0</v>
      </c>
      <c r="C800" s="849" t="s">
        <v>3179</v>
      </c>
      <c r="D800" s="849" t="s">
        <v>3180</v>
      </c>
      <c r="E800" s="849" t="s">
        <v>768</v>
      </c>
      <c r="F800" s="849" t="s">
        <v>2855</v>
      </c>
      <c r="G800" s="849">
        <v>13358.05</v>
      </c>
      <c r="H800" s="849">
        <v>23040.15</v>
      </c>
      <c r="I800" s="849">
        <v>33053.4</v>
      </c>
      <c r="J800" s="849">
        <v>59592.43</v>
      </c>
      <c r="K800" s="849">
        <v>75610.89</v>
      </c>
      <c r="L800" s="849">
        <v>103082.07</v>
      </c>
      <c r="M800" s="849">
        <v>119921.75</v>
      </c>
      <c r="N800" s="849">
        <v>140204.43</v>
      </c>
      <c r="O800" s="849">
        <v>154648.2</v>
      </c>
      <c r="P800" s="849">
        <v>175285.35</v>
      </c>
      <c r="Q800" s="849">
        <v>184039.23</v>
      </c>
      <c r="R800" s="849">
        <v>190263.18</v>
      </c>
      <c r="S800" s="849">
        <v>16730.84</v>
      </c>
      <c r="T800" s="849">
        <v>16730.84</v>
      </c>
      <c r="U800" s="849">
        <v>0.0</v>
      </c>
      <c r="V800" s="849">
        <v>0.0</v>
      </c>
      <c r="W800" s="849">
        <v>0.0</v>
      </c>
      <c r="X800" s="849">
        <v>0.0</v>
      </c>
      <c r="Y800" s="849">
        <v>0.0</v>
      </c>
      <c r="Z800" s="849">
        <v>0.0</v>
      </c>
      <c r="AA800" s="849">
        <v>0.0</v>
      </c>
      <c r="AB800" s="849">
        <v>0.0</v>
      </c>
      <c r="AC800" s="849">
        <v>0.0</v>
      </c>
      <c r="AD800" s="849">
        <v>0.0</v>
      </c>
      <c r="AE800" s="849">
        <v>0.0</v>
      </c>
      <c r="AF800" s="849">
        <v>0.0</v>
      </c>
      <c r="AG800" s="849">
        <v>0.0</v>
      </c>
      <c r="AH800" s="849">
        <v>0.0</v>
      </c>
      <c r="AI800" s="849">
        <v>0.0</v>
      </c>
      <c r="AJ800" s="794" t="str">
        <f t="shared" ref="AJ800:AK800" si="1597">C800</f>
        <v>G66600</v>
      </c>
      <c r="AK800" s="794" t="str">
        <f t="shared" si="1597"/>
        <v>COUT-SOUS-CONTRATS SERV.</v>
      </c>
      <c r="AL800" s="794">
        <f t="array" ref="AL800">IFERROR(INDEX(G800:R800,1,MATCH(Parametres!$B$3,G$1:R$1,0)-1)*IF(OR(F800="L",F800="S",F800="I"),-1,1),"")</f>
        <v>140204.43</v>
      </c>
      <c r="AM800" s="794">
        <f t="shared" si="4"/>
        <v>14443.77</v>
      </c>
      <c r="AN800" s="794">
        <f t="array" ref="AN800">INDEX(G800:R800,1,MATCH(Parametres!$B$3,G$1:R$1,0))*IF(OR(F800="L",F800="S",F800="I"),-1,1)</f>
        <v>154648.2</v>
      </c>
      <c r="AO800" s="853" t="str">
        <f>+VLOOKUP($AJ800,Data_Validation!$A:$D,1,0)</f>
        <v>G66600</v>
      </c>
      <c r="AP800" s="853" t="str">
        <f>+VLOOKUP($AJ800,Data_Validation!$A:$D,3,0)</f>
        <v>Service</v>
      </c>
      <c r="AQ800" s="853" t="str">
        <f>+VLOOKUP($AJ800,Data_Validation!$A:$D,4,0)</f>
        <v>Sous-traitement</v>
      </c>
      <c r="AR800" s="853" t="s">
        <v>728</v>
      </c>
      <c r="AS800" s="853" t="str">
        <f>+VLOOKUP($AJ800,Data_Validation!$A:$E,5,0)</f>
        <v/>
      </c>
      <c r="AT800" s="794" t="str">
        <f t="shared" ref="AT800:AU800" si="1598">C800</f>
        <v>G66600</v>
      </c>
      <c r="AU800" s="854" t="str">
        <f t="shared" si="1598"/>
        <v>COUT-SOUS-CONTRATS SERV.</v>
      </c>
      <c r="AV800" s="794">
        <f t="array" ref="AV800">IFERROR(INDEX(V800:AG800,1,MATCH(Parametres!$B$3,V$1:AG$1,0)-1)*IF(OR(C800="L",C800="S",C800="I"),-1,1),"")</f>
        <v>0</v>
      </c>
      <c r="AW800" s="794">
        <f t="shared" si="6"/>
        <v>0</v>
      </c>
      <c r="AX800" s="794">
        <f t="array" ref="AX800">INDEX(V800:AG800,1,MATCH(Parametres!$B$3,V$1:AG$1,0))*IF(OR(C800="L",C800="S",C800="I"),-1,1)</f>
        <v>0</v>
      </c>
      <c r="AY800" s="853" t="s">
        <v>772</v>
      </c>
      <c r="AZ800" s="853" t="str">
        <f>+VLOOKUP($AJ800,Data_Validation!$A:$E,5,0)</f>
        <v/>
      </c>
    </row>
    <row r="801" ht="15.0" customHeight="1">
      <c r="A801" s="849" t="s">
        <v>1239</v>
      </c>
      <c r="B801" s="849">
        <v>2025.0</v>
      </c>
      <c r="C801" s="849" t="s">
        <v>3181</v>
      </c>
      <c r="D801" s="849" t="s">
        <v>3508</v>
      </c>
      <c r="E801" s="849" t="s">
        <v>768</v>
      </c>
      <c r="F801" s="849" t="s">
        <v>2855</v>
      </c>
      <c r="G801" s="849">
        <v>0.0</v>
      </c>
      <c r="H801" s="849">
        <v>0.0</v>
      </c>
      <c r="I801" s="849">
        <v>0.0</v>
      </c>
      <c r="J801" s="849">
        <v>0.0</v>
      </c>
      <c r="K801" s="849">
        <v>0.0</v>
      </c>
      <c r="L801" s="849">
        <v>0.0</v>
      </c>
      <c r="M801" s="849">
        <v>0.0</v>
      </c>
      <c r="N801" s="849">
        <v>0.0</v>
      </c>
      <c r="O801" s="849">
        <v>0.0</v>
      </c>
      <c r="P801" s="849">
        <v>0.0</v>
      </c>
      <c r="Q801" s="849">
        <v>0.0</v>
      </c>
      <c r="R801" s="849">
        <v>0.0</v>
      </c>
      <c r="S801" s="849">
        <v>0.0</v>
      </c>
      <c r="T801" s="849">
        <v>0.0</v>
      </c>
      <c r="U801" s="849">
        <v>0.0</v>
      </c>
      <c r="V801" s="849">
        <v>0.0</v>
      </c>
      <c r="W801" s="849">
        <v>0.0</v>
      </c>
      <c r="X801" s="849">
        <v>0.0</v>
      </c>
      <c r="Y801" s="849">
        <v>0.0</v>
      </c>
      <c r="Z801" s="849">
        <v>0.0</v>
      </c>
      <c r="AA801" s="849">
        <v>0.0</v>
      </c>
      <c r="AB801" s="849">
        <v>0.0</v>
      </c>
      <c r="AC801" s="849">
        <v>0.0</v>
      </c>
      <c r="AD801" s="849">
        <v>0.0</v>
      </c>
      <c r="AE801" s="849">
        <v>0.0</v>
      </c>
      <c r="AF801" s="849">
        <v>0.0</v>
      </c>
      <c r="AG801" s="849">
        <v>0.0</v>
      </c>
      <c r="AH801" s="849">
        <v>0.0</v>
      </c>
      <c r="AI801" s="849">
        <v>0.0</v>
      </c>
      <c r="AJ801" s="794" t="str">
        <f t="shared" ref="AJ801:AK801" si="1599">C801</f>
        <v>G66610</v>
      </c>
      <c r="AK801" s="794" t="str">
        <f t="shared" si="1599"/>
        <v>COUT-REPAR. PARE-BRISES</v>
      </c>
      <c r="AL801" s="794">
        <f t="array" ref="AL801">IFERROR(INDEX(G801:R801,1,MATCH(Parametres!$B$3,G$1:R$1,0)-1)*IF(OR(F801="L",F801="S",F801="I"),-1,1),"")</f>
        <v>0</v>
      </c>
      <c r="AM801" s="794">
        <f t="shared" si="4"/>
        <v>0</v>
      </c>
      <c r="AN801" s="794">
        <f t="array" ref="AN801">INDEX(G801:R801,1,MATCH(Parametres!$B$3,G$1:R$1,0))*IF(OR(F801="L",F801="S",F801="I"),-1,1)</f>
        <v>0</v>
      </c>
      <c r="AO801" s="853" t="str">
        <f>+VLOOKUP($AJ801,Data_Validation!$A:$D,1,0)</f>
        <v>G66610</v>
      </c>
      <c r="AP801" s="853" t="str">
        <f>+VLOOKUP($AJ801,Data_Validation!$A:$D,3,0)</f>
        <v>SAAQ</v>
      </c>
      <c r="AQ801" s="853" t="str">
        <f>+VLOOKUP($AJ801,Data_Validation!$A:$D,4,0)</f>
        <v>Inspection - Véhicules Interne</v>
      </c>
      <c r="AR801" s="853" t="s">
        <v>728</v>
      </c>
      <c r="AS801" s="853" t="str">
        <f>+VLOOKUP($AJ801,Data_Validation!$A:$E,5,0)</f>
        <v/>
      </c>
      <c r="AT801" s="794" t="str">
        <f t="shared" ref="AT801:AU801" si="1600">C801</f>
        <v>G66610</v>
      </c>
      <c r="AU801" s="854" t="str">
        <f t="shared" si="1600"/>
        <v>COUT-REPAR. PARE-BRISES</v>
      </c>
      <c r="AV801" s="794">
        <f t="array" ref="AV801">IFERROR(INDEX(V801:AG801,1,MATCH(Parametres!$B$3,V$1:AG$1,0)-1)*IF(OR(C801="L",C801="S",C801="I"),-1,1),"")</f>
        <v>0</v>
      </c>
      <c r="AW801" s="794">
        <f t="shared" si="6"/>
        <v>0</v>
      </c>
      <c r="AX801" s="794">
        <f t="array" ref="AX801">INDEX(V801:AG801,1,MATCH(Parametres!$B$3,V$1:AG$1,0))*IF(OR(C801="L",C801="S",C801="I"),-1,1)</f>
        <v>0</v>
      </c>
      <c r="AY801" s="853" t="s">
        <v>772</v>
      </c>
      <c r="AZ801" s="853" t="str">
        <f>+VLOOKUP($AJ801,Data_Validation!$A:$E,5,0)</f>
        <v/>
      </c>
    </row>
    <row r="802" ht="15.0" customHeight="1">
      <c r="A802" s="849" t="s">
        <v>1239</v>
      </c>
      <c r="B802" s="849">
        <v>2025.0</v>
      </c>
      <c r="C802" s="849" t="s">
        <v>3183</v>
      </c>
      <c r="D802" s="849" t="s">
        <v>3184</v>
      </c>
      <c r="E802" s="849" t="s">
        <v>768</v>
      </c>
      <c r="F802" s="849" t="s">
        <v>2855</v>
      </c>
      <c r="G802" s="849">
        <v>0.0</v>
      </c>
      <c r="H802" s="849">
        <v>0.0</v>
      </c>
      <c r="I802" s="849">
        <v>0.0</v>
      </c>
      <c r="J802" s="849">
        <v>0.0</v>
      </c>
      <c r="K802" s="849">
        <v>0.0</v>
      </c>
      <c r="L802" s="849">
        <v>0.0</v>
      </c>
      <c r="M802" s="849">
        <v>0.0</v>
      </c>
      <c r="N802" s="849">
        <v>0.0</v>
      </c>
      <c r="O802" s="849">
        <v>0.0</v>
      </c>
      <c r="P802" s="849">
        <v>0.0</v>
      </c>
      <c r="Q802" s="849">
        <v>0.0</v>
      </c>
      <c r="R802" s="849">
        <v>0.0</v>
      </c>
      <c r="S802" s="849">
        <v>0.0</v>
      </c>
      <c r="T802" s="849">
        <v>0.0</v>
      </c>
      <c r="U802" s="849">
        <v>0.0</v>
      </c>
      <c r="V802" s="849">
        <v>0.0</v>
      </c>
      <c r="W802" s="849">
        <v>0.0</v>
      </c>
      <c r="X802" s="849">
        <v>0.0</v>
      </c>
      <c r="Y802" s="849">
        <v>0.0</v>
      </c>
      <c r="Z802" s="849">
        <v>0.0</v>
      </c>
      <c r="AA802" s="849">
        <v>0.0</v>
      </c>
      <c r="AB802" s="849">
        <v>0.0</v>
      </c>
      <c r="AC802" s="849">
        <v>0.0</v>
      </c>
      <c r="AD802" s="849">
        <v>0.0</v>
      </c>
      <c r="AE802" s="849">
        <v>0.0</v>
      </c>
      <c r="AF802" s="849">
        <v>0.0</v>
      </c>
      <c r="AG802" s="849">
        <v>0.0</v>
      </c>
      <c r="AH802" s="849">
        <v>0.0</v>
      </c>
      <c r="AI802" s="849">
        <v>0.0</v>
      </c>
      <c r="AJ802" s="794" t="str">
        <f t="shared" ref="AJ802:AK802" si="1601">C802</f>
        <v>G66611</v>
      </c>
      <c r="AK802" s="794" t="str">
        <f t="shared" si="1601"/>
        <v>SUPER VITRE COUT SUBLET</v>
      </c>
      <c r="AL802" s="794">
        <f t="array" ref="AL802">IFERROR(INDEX(G802:R802,1,MATCH(Parametres!$B$3,G$1:R$1,0)-1)*IF(OR(F802="L",F802="S",F802="I"),-1,1),"")</f>
        <v>0</v>
      </c>
      <c r="AM802" s="794">
        <f t="shared" si="4"/>
        <v>0</v>
      </c>
      <c r="AN802" s="794">
        <f t="array" ref="AN802">INDEX(G802:R802,1,MATCH(Parametres!$B$3,G$1:R$1,0))*IF(OR(F802="L",F802="S",F802="I"),-1,1)</f>
        <v>0</v>
      </c>
      <c r="AO802" s="853" t="str">
        <f>+VLOOKUP($AJ802,Data_Validation!$A:$D,1,0)</f>
        <v>#N/A</v>
      </c>
      <c r="AP802" s="853" t="str">
        <f>+VLOOKUP($AJ802,Data_Validation!$A:$D,3,0)</f>
        <v>#N/A</v>
      </c>
      <c r="AQ802" s="853" t="str">
        <f>+VLOOKUP($AJ802,Data_Validation!$A:$D,4,0)</f>
        <v>#N/A</v>
      </c>
      <c r="AR802" s="853" t="s">
        <v>728</v>
      </c>
      <c r="AS802" s="853" t="str">
        <f>+VLOOKUP($AJ802,Data_Validation!$A:$E,5,0)</f>
        <v>#N/A</v>
      </c>
      <c r="AT802" s="794" t="str">
        <f t="shared" ref="AT802:AU802" si="1602">C802</f>
        <v>G66611</v>
      </c>
      <c r="AU802" s="854" t="str">
        <f t="shared" si="1602"/>
        <v>SUPER VITRE COUT SUBLET</v>
      </c>
      <c r="AV802" s="794">
        <f t="array" ref="AV802">IFERROR(INDEX(V802:AG802,1,MATCH(Parametres!$B$3,V$1:AG$1,0)-1)*IF(OR(C802="L",C802="S",C802="I"),-1,1),"")</f>
        <v>0</v>
      </c>
      <c r="AW802" s="794">
        <f t="shared" si="6"/>
        <v>0</v>
      </c>
      <c r="AX802" s="794">
        <f t="array" ref="AX802">INDEX(V802:AG802,1,MATCH(Parametres!$B$3,V$1:AG$1,0))*IF(OR(C802="L",C802="S",C802="I"),-1,1)</f>
        <v>0</v>
      </c>
      <c r="AY802" s="853" t="s">
        <v>772</v>
      </c>
      <c r="AZ802" s="853" t="str">
        <f>+VLOOKUP($AJ802,Data_Validation!$A:$E,5,0)</f>
        <v>#N/A</v>
      </c>
    </row>
    <row r="803" ht="15.0" customHeight="1">
      <c r="A803" s="849" t="s">
        <v>1239</v>
      </c>
      <c r="B803" s="849">
        <v>2025.0</v>
      </c>
      <c r="C803" s="849" t="s">
        <v>3185</v>
      </c>
      <c r="D803" s="849" t="s">
        <v>3186</v>
      </c>
      <c r="E803" s="849" t="s">
        <v>768</v>
      </c>
      <c r="F803" s="849" t="s">
        <v>2855</v>
      </c>
      <c r="G803" s="849">
        <v>40369.55</v>
      </c>
      <c r="H803" s="849">
        <v>75167.4</v>
      </c>
      <c r="I803" s="849">
        <v>110077.19</v>
      </c>
      <c r="J803" s="849">
        <v>152298.59</v>
      </c>
      <c r="K803" s="849">
        <v>198181.41</v>
      </c>
      <c r="L803" s="849">
        <v>228054.64</v>
      </c>
      <c r="M803" s="849">
        <v>262957.72</v>
      </c>
      <c r="N803" s="849">
        <v>291425.81</v>
      </c>
      <c r="O803" s="849">
        <v>323914.54</v>
      </c>
      <c r="P803" s="849">
        <v>373354.22</v>
      </c>
      <c r="Q803" s="849">
        <v>423790.11</v>
      </c>
      <c r="R803" s="849">
        <v>468891.26</v>
      </c>
      <c r="S803" s="849">
        <v>38526.37</v>
      </c>
      <c r="T803" s="849">
        <v>38526.37</v>
      </c>
      <c r="U803" s="849">
        <v>0.0</v>
      </c>
      <c r="V803" s="849">
        <v>0.0</v>
      </c>
      <c r="W803" s="849">
        <v>0.0</v>
      </c>
      <c r="X803" s="849">
        <v>0.0</v>
      </c>
      <c r="Y803" s="849">
        <v>0.0</v>
      </c>
      <c r="Z803" s="849">
        <v>0.0</v>
      </c>
      <c r="AA803" s="849">
        <v>0.0</v>
      </c>
      <c r="AB803" s="849">
        <v>0.0</v>
      </c>
      <c r="AC803" s="849">
        <v>0.0</v>
      </c>
      <c r="AD803" s="849">
        <v>0.0</v>
      </c>
      <c r="AE803" s="849">
        <v>0.0</v>
      </c>
      <c r="AF803" s="849">
        <v>0.0</v>
      </c>
      <c r="AG803" s="849">
        <v>0.0</v>
      </c>
      <c r="AH803" s="849">
        <v>0.0</v>
      </c>
      <c r="AI803" s="849">
        <v>0.0</v>
      </c>
      <c r="AJ803" s="794" t="str">
        <f t="shared" ref="AJ803:AK803" si="1603">C803</f>
        <v>G66710</v>
      </c>
      <c r="AK803" s="794" t="str">
        <f t="shared" si="1603"/>
        <v>COUT P&amp;A SERV.CLIENT AUTO</v>
      </c>
      <c r="AL803" s="794">
        <f t="array" ref="AL803">IFERROR(INDEX(G803:R803,1,MATCH(Parametres!$B$3,G$1:R$1,0)-1)*IF(OR(F803="L",F803="S",F803="I"),-1,1),"")</f>
        <v>291425.81</v>
      </c>
      <c r="AM803" s="794">
        <f t="shared" si="4"/>
        <v>32488.73</v>
      </c>
      <c r="AN803" s="794">
        <f t="array" ref="AN803">INDEX(G803:R803,1,MATCH(Parametres!$B$3,G$1:R$1,0))*IF(OR(F803="L",F803="S",F803="I"),-1,1)</f>
        <v>323914.54</v>
      </c>
      <c r="AO803" s="853" t="str">
        <f>+VLOOKUP($AJ803,Data_Validation!$A:$D,1,0)</f>
        <v>G66710</v>
      </c>
      <c r="AP803" s="853" t="str">
        <f>+VLOOKUP($AJ803,Data_Validation!$A:$D,3,0)</f>
        <v>Pièces</v>
      </c>
      <c r="AQ803" s="853" t="str">
        <f>+VLOOKUP($AJ803,Data_Validation!$A:$D,4,0)</f>
        <v>Pièces Ro Clients</v>
      </c>
      <c r="AR803" s="853" t="s">
        <v>728</v>
      </c>
      <c r="AS803" s="853" t="str">
        <f>+VLOOKUP($AJ803,Data_Validation!$A:$E,5,0)</f>
        <v/>
      </c>
      <c r="AT803" s="794" t="str">
        <f t="shared" ref="AT803:AU803" si="1604">C803</f>
        <v>G66710</v>
      </c>
      <c r="AU803" s="854" t="str">
        <f t="shared" si="1604"/>
        <v>COUT P&amp;A SERV.CLIENT AUTO</v>
      </c>
      <c r="AV803" s="794">
        <f t="array" ref="AV803">IFERROR(INDEX(V803:AG803,1,MATCH(Parametres!$B$3,V$1:AG$1,0)-1)*IF(OR(C803="L",C803="S",C803="I"),-1,1),"")</f>
        <v>0</v>
      </c>
      <c r="AW803" s="794">
        <f t="shared" si="6"/>
        <v>0</v>
      </c>
      <c r="AX803" s="794">
        <f t="array" ref="AX803">INDEX(V803:AG803,1,MATCH(Parametres!$B$3,V$1:AG$1,0))*IF(OR(C803="L",C803="S",C803="I"),-1,1)</f>
        <v>0</v>
      </c>
      <c r="AY803" s="853" t="s">
        <v>772</v>
      </c>
      <c r="AZ803" s="853" t="str">
        <f>+VLOOKUP($AJ803,Data_Validation!$A:$E,5,0)</f>
        <v/>
      </c>
    </row>
    <row r="804" ht="15.0" customHeight="1">
      <c r="A804" s="849" t="s">
        <v>1239</v>
      </c>
      <c r="B804" s="849">
        <v>2025.0</v>
      </c>
      <c r="C804" s="849" t="s">
        <v>3187</v>
      </c>
      <c r="D804" s="849" t="s">
        <v>3188</v>
      </c>
      <c r="E804" s="849" t="s">
        <v>768</v>
      </c>
      <c r="F804" s="849" t="s">
        <v>2855</v>
      </c>
      <c r="G804" s="849">
        <v>0.0</v>
      </c>
      <c r="H804" s="849">
        <v>0.0</v>
      </c>
      <c r="I804" s="849">
        <v>0.0</v>
      </c>
      <c r="J804" s="849">
        <v>0.0</v>
      </c>
      <c r="K804" s="849">
        <v>0.0</v>
      </c>
      <c r="L804" s="849">
        <v>0.0</v>
      </c>
      <c r="M804" s="849">
        <v>0.0</v>
      </c>
      <c r="N804" s="849">
        <v>0.0</v>
      </c>
      <c r="O804" s="849">
        <v>0.0</v>
      </c>
      <c r="P804" s="849">
        <v>0.0</v>
      </c>
      <c r="Q804" s="849">
        <v>0.0</v>
      </c>
      <c r="R804" s="849">
        <v>0.0</v>
      </c>
      <c r="S804" s="849">
        <v>0.0</v>
      </c>
      <c r="T804" s="849">
        <v>0.0</v>
      </c>
      <c r="U804" s="849">
        <v>0.0</v>
      </c>
      <c r="V804" s="849">
        <v>0.0</v>
      </c>
      <c r="W804" s="849">
        <v>0.0</v>
      </c>
      <c r="X804" s="849">
        <v>0.0</v>
      </c>
      <c r="Y804" s="849">
        <v>0.0</v>
      </c>
      <c r="Z804" s="849">
        <v>0.0</v>
      </c>
      <c r="AA804" s="849">
        <v>0.0</v>
      </c>
      <c r="AB804" s="849">
        <v>0.0</v>
      </c>
      <c r="AC804" s="849">
        <v>0.0</v>
      </c>
      <c r="AD804" s="849">
        <v>0.0</v>
      </c>
      <c r="AE804" s="849">
        <v>0.0</v>
      </c>
      <c r="AF804" s="849">
        <v>0.0</v>
      </c>
      <c r="AG804" s="849">
        <v>0.0</v>
      </c>
      <c r="AH804" s="849">
        <v>0.0</v>
      </c>
      <c r="AI804" s="849">
        <v>0.0</v>
      </c>
      <c r="AJ804" s="794" t="str">
        <f t="shared" ref="AJ804:AK804" si="1605">C804</f>
        <v>G66720</v>
      </c>
      <c r="AK804" s="794" t="str">
        <f t="shared" si="1605"/>
        <v>COUT-P&amp;A SERV.PL.PROT.AUT</v>
      </c>
      <c r="AL804" s="794">
        <f t="array" ref="AL804">IFERROR(INDEX(G804:R804,1,MATCH(Parametres!$B$3,G$1:R$1,0)-1)*IF(OR(F804="L",F804="S",F804="I"),-1,1),"")</f>
        <v>0</v>
      </c>
      <c r="AM804" s="794">
        <f t="shared" si="4"/>
        <v>0</v>
      </c>
      <c r="AN804" s="794">
        <f t="array" ref="AN804">INDEX(G804:R804,1,MATCH(Parametres!$B$3,G$1:R$1,0))*IF(OR(F804="L",F804="S",F804="I"),-1,1)</f>
        <v>0</v>
      </c>
      <c r="AO804" s="853" t="str">
        <f>+VLOOKUP($AJ804,Data_Validation!$A:$D,1,0)</f>
        <v>G66720</v>
      </c>
      <c r="AP804" s="853" t="str">
        <f>+VLOOKUP($AJ804,Data_Validation!$A:$D,3,0)</f>
        <v>Pièces</v>
      </c>
      <c r="AQ804" s="853" t="str">
        <f>+VLOOKUP($AJ804,Data_Validation!$A:$D,4,0)</f>
        <v>Pièces Ro Clients</v>
      </c>
      <c r="AR804" s="853" t="s">
        <v>728</v>
      </c>
      <c r="AS804" s="853" t="str">
        <f>+VLOOKUP($AJ804,Data_Validation!$A:$E,5,0)</f>
        <v/>
      </c>
      <c r="AT804" s="794" t="str">
        <f t="shared" ref="AT804:AU804" si="1606">C804</f>
        <v>G66720</v>
      </c>
      <c r="AU804" s="854" t="str">
        <f t="shared" si="1606"/>
        <v>COUT-P&amp;A SERV.PL.PROT.AUT</v>
      </c>
      <c r="AV804" s="794">
        <f t="array" ref="AV804">IFERROR(INDEX(V804:AG804,1,MATCH(Parametres!$B$3,V$1:AG$1,0)-1)*IF(OR(C804="L",C804="S",C804="I"),-1,1),"")</f>
        <v>0</v>
      </c>
      <c r="AW804" s="794">
        <f t="shared" si="6"/>
        <v>0</v>
      </c>
      <c r="AX804" s="794">
        <f t="array" ref="AX804">INDEX(V804:AG804,1,MATCH(Parametres!$B$3,V$1:AG$1,0))*IF(OR(C804="L",C804="S",C804="I"),-1,1)</f>
        <v>0</v>
      </c>
      <c r="AY804" s="853" t="s">
        <v>772</v>
      </c>
      <c r="AZ804" s="853" t="str">
        <f>+VLOOKUP($AJ804,Data_Validation!$A:$E,5,0)</f>
        <v/>
      </c>
    </row>
    <row r="805" ht="15.0" customHeight="1">
      <c r="A805" s="849" t="s">
        <v>1239</v>
      </c>
      <c r="B805" s="849">
        <v>2025.0</v>
      </c>
      <c r="C805" s="849" t="s">
        <v>3189</v>
      </c>
      <c r="D805" s="849" t="s">
        <v>3190</v>
      </c>
      <c r="E805" s="849" t="s">
        <v>768</v>
      </c>
      <c r="F805" s="849" t="s">
        <v>2855</v>
      </c>
      <c r="G805" s="849">
        <v>0.0</v>
      </c>
      <c r="H805" s="849">
        <v>0.0</v>
      </c>
      <c r="I805" s="849">
        <v>0.0</v>
      </c>
      <c r="J805" s="849">
        <v>0.0</v>
      </c>
      <c r="K805" s="849">
        <v>0.0</v>
      </c>
      <c r="L805" s="849">
        <v>0.0</v>
      </c>
      <c r="M805" s="849">
        <v>0.0</v>
      </c>
      <c r="N805" s="849">
        <v>0.0</v>
      </c>
      <c r="O805" s="849">
        <v>0.0</v>
      </c>
      <c r="P805" s="849">
        <v>0.0</v>
      </c>
      <c r="Q805" s="849">
        <v>0.0</v>
      </c>
      <c r="R805" s="849">
        <v>0.0</v>
      </c>
      <c r="S805" s="849">
        <v>0.0</v>
      </c>
      <c r="T805" s="849">
        <v>0.0</v>
      </c>
      <c r="U805" s="849">
        <v>0.0</v>
      </c>
      <c r="V805" s="849">
        <v>0.0</v>
      </c>
      <c r="W805" s="849">
        <v>0.0</v>
      </c>
      <c r="X805" s="849">
        <v>0.0</v>
      </c>
      <c r="Y805" s="849">
        <v>0.0</v>
      </c>
      <c r="Z805" s="849">
        <v>0.0</v>
      </c>
      <c r="AA805" s="849">
        <v>0.0</v>
      </c>
      <c r="AB805" s="849">
        <v>0.0</v>
      </c>
      <c r="AC805" s="849">
        <v>0.0</v>
      </c>
      <c r="AD805" s="849">
        <v>0.0</v>
      </c>
      <c r="AE805" s="849">
        <v>0.0</v>
      </c>
      <c r="AF805" s="849">
        <v>0.0</v>
      </c>
      <c r="AG805" s="849">
        <v>0.0</v>
      </c>
      <c r="AH805" s="849">
        <v>0.0</v>
      </c>
      <c r="AI805" s="849">
        <v>0.0</v>
      </c>
      <c r="AJ805" s="794" t="str">
        <f t="shared" ref="AJ805:AK805" si="1607">C805</f>
        <v>G66740</v>
      </c>
      <c r="AK805" s="794" t="str">
        <f t="shared" si="1607"/>
        <v>P&amp;A GOOD VOIT CAM LEGER</v>
      </c>
      <c r="AL805" s="794">
        <f t="array" ref="AL805">IFERROR(INDEX(G805:R805,1,MATCH(Parametres!$B$3,G$1:R$1,0)-1)*IF(OR(F805="L",F805="S",F805="I"),-1,1),"")</f>
        <v>0</v>
      </c>
      <c r="AM805" s="794">
        <f t="shared" si="4"/>
        <v>0</v>
      </c>
      <c r="AN805" s="794">
        <f t="array" ref="AN805">INDEX(G805:R805,1,MATCH(Parametres!$B$3,G$1:R$1,0))*IF(OR(F805="L",F805="S",F805="I"),-1,1)</f>
        <v>0</v>
      </c>
      <c r="AO805" s="853" t="str">
        <f>+VLOOKUP($AJ805,Data_Validation!$A:$D,1,0)</f>
        <v>G66740</v>
      </c>
      <c r="AP805" s="853" t="str">
        <f>+VLOOKUP($AJ805,Data_Validation!$A:$D,3,0)</f>
        <v/>
      </c>
      <c r="AQ805" s="853" t="str">
        <f>+VLOOKUP($AJ805,Data_Validation!$A:$D,4,0)</f>
        <v/>
      </c>
      <c r="AR805" s="853" t="s">
        <v>728</v>
      </c>
      <c r="AS805" s="853" t="str">
        <f>+VLOOKUP($AJ805,Data_Validation!$A:$E,5,0)</f>
        <v/>
      </c>
      <c r="AT805" s="794" t="str">
        <f t="shared" ref="AT805:AU805" si="1608">C805</f>
        <v>G66740</v>
      </c>
      <c r="AU805" s="854" t="str">
        <f t="shared" si="1608"/>
        <v>P&amp;A GOOD VOIT CAM LEGER</v>
      </c>
      <c r="AV805" s="794">
        <f t="array" ref="AV805">IFERROR(INDEX(V805:AG805,1,MATCH(Parametres!$B$3,V$1:AG$1,0)-1)*IF(OR(C805="L",C805="S",C805="I"),-1,1),"")</f>
        <v>0</v>
      </c>
      <c r="AW805" s="794">
        <f t="shared" si="6"/>
        <v>0</v>
      </c>
      <c r="AX805" s="794">
        <f t="array" ref="AX805">INDEX(V805:AG805,1,MATCH(Parametres!$B$3,V$1:AG$1,0))*IF(OR(C805="L",C805="S",C805="I"),-1,1)</f>
        <v>0</v>
      </c>
      <c r="AY805" s="853" t="s">
        <v>772</v>
      </c>
      <c r="AZ805" s="853" t="str">
        <f>+VLOOKUP($AJ805,Data_Validation!$A:$E,5,0)</f>
        <v/>
      </c>
    </row>
    <row r="806" ht="15.0" customHeight="1">
      <c r="A806" s="849" t="s">
        <v>1239</v>
      </c>
      <c r="B806" s="849">
        <v>2025.0</v>
      </c>
      <c r="C806" s="849" t="s">
        <v>3191</v>
      </c>
      <c r="D806" s="849" t="s">
        <v>3192</v>
      </c>
      <c r="E806" s="849" t="s">
        <v>768</v>
      </c>
      <c r="F806" s="849" t="s">
        <v>2855</v>
      </c>
      <c r="G806" s="849">
        <v>0.0</v>
      </c>
      <c r="H806" s="849">
        <v>0.0</v>
      </c>
      <c r="I806" s="849">
        <v>0.0</v>
      </c>
      <c r="J806" s="849">
        <v>0.0</v>
      </c>
      <c r="K806" s="849">
        <v>0.0</v>
      </c>
      <c r="L806" s="849">
        <v>0.0</v>
      </c>
      <c r="M806" s="849">
        <v>0.0</v>
      </c>
      <c r="N806" s="849">
        <v>0.0</v>
      </c>
      <c r="O806" s="849">
        <v>0.0</v>
      </c>
      <c r="P806" s="849">
        <v>0.0</v>
      </c>
      <c r="Q806" s="849">
        <v>0.0</v>
      </c>
      <c r="R806" s="849">
        <v>0.0</v>
      </c>
      <c r="S806" s="849">
        <v>0.0</v>
      </c>
      <c r="T806" s="849">
        <v>0.0</v>
      </c>
      <c r="U806" s="849">
        <v>0.0</v>
      </c>
      <c r="V806" s="849">
        <v>0.0</v>
      </c>
      <c r="W806" s="849">
        <v>0.0</v>
      </c>
      <c r="X806" s="849">
        <v>0.0</v>
      </c>
      <c r="Y806" s="849">
        <v>0.0</v>
      </c>
      <c r="Z806" s="849">
        <v>0.0</v>
      </c>
      <c r="AA806" s="849">
        <v>0.0</v>
      </c>
      <c r="AB806" s="849">
        <v>0.0</v>
      </c>
      <c r="AC806" s="849">
        <v>0.0</v>
      </c>
      <c r="AD806" s="849">
        <v>0.0</v>
      </c>
      <c r="AE806" s="849">
        <v>0.0</v>
      </c>
      <c r="AF806" s="849">
        <v>0.0</v>
      </c>
      <c r="AG806" s="849">
        <v>0.0</v>
      </c>
      <c r="AH806" s="849">
        <v>0.0</v>
      </c>
      <c r="AI806" s="849">
        <v>0.0</v>
      </c>
      <c r="AJ806" s="794" t="str">
        <f t="shared" ref="AJ806:AK806" si="1609">C806</f>
        <v>G66800</v>
      </c>
      <c r="AK806" s="794" t="str">
        <f t="shared" si="1609"/>
        <v>COUT-VOIT.OCC.EN GROS-DET</v>
      </c>
      <c r="AL806" s="794">
        <f t="array" ref="AL806">IFERROR(INDEX(G806:R806,1,MATCH(Parametres!$B$3,G$1:R$1,0)-1)*IF(OR(F806="L",F806="S",F806="I"),-1,1),"")</f>
        <v>0</v>
      </c>
      <c r="AM806" s="794">
        <f t="shared" si="4"/>
        <v>0</v>
      </c>
      <c r="AN806" s="794">
        <f t="array" ref="AN806">INDEX(G806:R806,1,MATCH(Parametres!$B$3,G$1:R$1,0))*IF(OR(F806="L",F806="S",F806="I"),-1,1)</f>
        <v>0</v>
      </c>
      <c r="AO806" s="853" t="str">
        <f>+VLOOKUP($AJ806,Data_Validation!$A:$D,1,0)</f>
        <v>G66800</v>
      </c>
      <c r="AP806" s="853" t="str">
        <f>+VLOOKUP($AJ806,Data_Validation!$A:$D,3,0)</f>
        <v/>
      </c>
      <c r="AQ806" s="853" t="str">
        <f>+VLOOKUP($AJ806,Data_Validation!$A:$D,4,0)</f>
        <v/>
      </c>
      <c r="AR806" s="853" t="s">
        <v>728</v>
      </c>
      <c r="AS806" s="853" t="str">
        <f>+VLOOKUP($AJ806,Data_Validation!$A:$E,5,0)</f>
        <v/>
      </c>
      <c r="AT806" s="794" t="str">
        <f t="shared" ref="AT806:AU806" si="1610">C806</f>
        <v>G66800</v>
      </c>
      <c r="AU806" s="854" t="str">
        <f t="shared" si="1610"/>
        <v>COUT-VOIT.OCC.EN GROS-DET</v>
      </c>
      <c r="AV806" s="794">
        <f t="array" ref="AV806">IFERROR(INDEX(V806:AG806,1,MATCH(Parametres!$B$3,V$1:AG$1,0)-1)*IF(OR(C806="L",C806="S",C806="I"),-1,1),"")</f>
        <v>0</v>
      </c>
      <c r="AW806" s="794">
        <f t="shared" si="6"/>
        <v>0</v>
      </c>
      <c r="AX806" s="794">
        <f t="array" ref="AX806">INDEX(V806:AG806,1,MATCH(Parametres!$B$3,V$1:AG$1,0))*IF(OR(C806="L",C806="S",C806="I"),-1,1)</f>
        <v>0</v>
      </c>
      <c r="AY806" s="853" t="s">
        <v>772</v>
      </c>
      <c r="AZ806" s="853" t="str">
        <f>+VLOOKUP($AJ806,Data_Validation!$A:$E,5,0)</f>
        <v/>
      </c>
    </row>
    <row r="807" ht="15.0" customHeight="1">
      <c r="A807" s="849" t="s">
        <v>1239</v>
      </c>
      <c r="B807" s="849">
        <v>2025.0</v>
      </c>
      <c r="C807" s="849" t="s">
        <v>3193</v>
      </c>
      <c r="D807" s="849" t="s">
        <v>3194</v>
      </c>
      <c r="E807" s="849" t="s">
        <v>768</v>
      </c>
      <c r="F807" s="849" t="s">
        <v>2855</v>
      </c>
      <c r="G807" s="849">
        <v>0.0</v>
      </c>
      <c r="H807" s="849">
        <v>0.0</v>
      </c>
      <c r="I807" s="849">
        <v>0.0</v>
      </c>
      <c r="J807" s="849">
        <v>0.0</v>
      </c>
      <c r="K807" s="849">
        <v>0.0</v>
      </c>
      <c r="L807" s="849">
        <v>0.0</v>
      </c>
      <c r="M807" s="849">
        <v>0.0</v>
      </c>
      <c r="N807" s="849">
        <v>0.0</v>
      </c>
      <c r="O807" s="849">
        <v>0.0</v>
      </c>
      <c r="P807" s="849">
        <v>0.0</v>
      </c>
      <c r="Q807" s="849">
        <v>0.0</v>
      </c>
      <c r="R807" s="849">
        <v>0.0</v>
      </c>
      <c r="S807" s="849">
        <v>0.0</v>
      </c>
      <c r="T807" s="849">
        <v>0.0</v>
      </c>
      <c r="U807" s="849">
        <v>0.0</v>
      </c>
      <c r="V807" s="849">
        <v>0.0</v>
      </c>
      <c r="W807" s="849">
        <v>0.0</v>
      </c>
      <c r="X807" s="849">
        <v>0.0</v>
      </c>
      <c r="Y807" s="849">
        <v>0.0</v>
      </c>
      <c r="Z807" s="849">
        <v>0.0</v>
      </c>
      <c r="AA807" s="849">
        <v>0.0</v>
      </c>
      <c r="AB807" s="849">
        <v>0.0</v>
      </c>
      <c r="AC807" s="849">
        <v>0.0</v>
      </c>
      <c r="AD807" s="849">
        <v>0.0</v>
      </c>
      <c r="AE807" s="849">
        <v>0.0</v>
      </c>
      <c r="AF807" s="849">
        <v>0.0</v>
      </c>
      <c r="AG807" s="849">
        <v>0.0</v>
      </c>
      <c r="AH807" s="849">
        <v>0.0</v>
      </c>
      <c r="AI807" s="849">
        <v>0.0</v>
      </c>
      <c r="AJ807" s="794" t="str">
        <f t="shared" ref="AJ807:AK807" si="1611">C807</f>
        <v>G66810</v>
      </c>
      <c r="AK807" s="794" t="str">
        <f t="shared" si="1611"/>
        <v>COUT-P&amp;A SERV.CLIENT CAM.</v>
      </c>
      <c r="AL807" s="794">
        <f t="array" ref="AL807">IFERROR(INDEX(G807:R807,1,MATCH(Parametres!$B$3,G$1:R$1,0)-1)*IF(OR(F807="L",F807="S",F807="I"),-1,1),"")</f>
        <v>0</v>
      </c>
      <c r="AM807" s="794">
        <f t="shared" si="4"/>
        <v>0</v>
      </c>
      <c r="AN807" s="794">
        <f t="array" ref="AN807">INDEX(G807:R807,1,MATCH(Parametres!$B$3,G$1:R$1,0))*IF(OR(F807="L",F807="S",F807="I"),-1,1)</f>
        <v>0</v>
      </c>
      <c r="AO807" s="853" t="str">
        <f>+VLOOKUP($AJ807,Data_Validation!$A:$D,1,0)</f>
        <v>G66810</v>
      </c>
      <c r="AP807" s="853" t="str">
        <f>+VLOOKUP($AJ807,Data_Validation!$A:$D,3,0)</f>
        <v/>
      </c>
      <c r="AQ807" s="853" t="str">
        <f>+VLOOKUP($AJ807,Data_Validation!$A:$D,4,0)</f>
        <v/>
      </c>
      <c r="AR807" s="853" t="s">
        <v>728</v>
      </c>
      <c r="AS807" s="853" t="str">
        <f>+VLOOKUP($AJ807,Data_Validation!$A:$E,5,0)</f>
        <v/>
      </c>
      <c r="AT807" s="794" t="str">
        <f t="shared" ref="AT807:AU807" si="1612">C807</f>
        <v>G66810</v>
      </c>
      <c r="AU807" s="854" t="str">
        <f t="shared" si="1612"/>
        <v>COUT-P&amp;A SERV.CLIENT CAM.</v>
      </c>
      <c r="AV807" s="794">
        <f t="array" ref="AV807">IFERROR(INDEX(V807:AG807,1,MATCH(Parametres!$B$3,V$1:AG$1,0)-1)*IF(OR(C807="L",C807="S",C807="I"),-1,1),"")</f>
        <v>0</v>
      </c>
      <c r="AW807" s="794">
        <f t="shared" si="6"/>
        <v>0</v>
      </c>
      <c r="AX807" s="794">
        <f t="array" ref="AX807">INDEX(V807:AG807,1,MATCH(Parametres!$B$3,V$1:AG$1,0))*IF(OR(C807="L",C807="S",C807="I"),-1,1)</f>
        <v>0</v>
      </c>
      <c r="AY807" s="853" t="s">
        <v>772</v>
      </c>
      <c r="AZ807" s="853" t="str">
        <f>+VLOOKUP($AJ807,Data_Validation!$A:$E,5,0)</f>
        <v/>
      </c>
    </row>
    <row r="808" ht="15.0" customHeight="1">
      <c r="A808" s="849" t="s">
        <v>1239</v>
      </c>
      <c r="B808" s="849">
        <v>2025.0</v>
      </c>
      <c r="C808" s="849" t="s">
        <v>3195</v>
      </c>
      <c r="D808" s="849" t="s">
        <v>3196</v>
      </c>
      <c r="E808" s="849" t="s">
        <v>768</v>
      </c>
      <c r="F808" s="849" t="s">
        <v>2855</v>
      </c>
      <c r="G808" s="849">
        <v>0.0</v>
      </c>
      <c r="H808" s="849">
        <v>0.0</v>
      </c>
      <c r="I808" s="849">
        <v>0.0</v>
      </c>
      <c r="J808" s="849">
        <v>0.0</v>
      </c>
      <c r="K808" s="849">
        <v>0.0</v>
      </c>
      <c r="L808" s="849">
        <v>0.0</v>
      </c>
      <c r="M808" s="849">
        <v>0.0</v>
      </c>
      <c r="N808" s="849">
        <v>0.0</v>
      </c>
      <c r="O808" s="849">
        <v>0.0</v>
      </c>
      <c r="P808" s="849">
        <v>0.0</v>
      </c>
      <c r="Q808" s="849">
        <v>0.0</v>
      </c>
      <c r="R808" s="849">
        <v>0.0</v>
      </c>
      <c r="S808" s="849">
        <v>0.0</v>
      </c>
      <c r="T808" s="849">
        <v>0.0</v>
      </c>
      <c r="U808" s="849">
        <v>0.0</v>
      </c>
      <c r="V808" s="849">
        <v>0.0</v>
      </c>
      <c r="W808" s="849">
        <v>0.0</v>
      </c>
      <c r="X808" s="849">
        <v>0.0</v>
      </c>
      <c r="Y808" s="849">
        <v>0.0</v>
      </c>
      <c r="Z808" s="849">
        <v>0.0</v>
      </c>
      <c r="AA808" s="849">
        <v>0.0</v>
      </c>
      <c r="AB808" s="849">
        <v>0.0</v>
      </c>
      <c r="AC808" s="849">
        <v>0.0</v>
      </c>
      <c r="AD808" s="849">
        <v>0.0</v>
      </c>
      <c r="AE808" s="849">
        <v>0.0</v>
      </c>
      <c r="AF808" s="849">
        <v>0.0</v>
      </c>
      <c r="AG808" s="849">
        <v>0.0</v>
      </c>
      <c r="AH808" s="849">
        <v>0.0</v>
      </c>
      <c r="AI808" s="849">
        <v>0.0</v>
      </c>
      <c r="AJ808" s="794" t="str">
        <f t="shared" ref="AJ808:AK808" si="1613">C808</f>
        <v>G66840</v>
      </c>
      <c r="AK808" s="794" t="str">
        <f t="shared" si="1613"/>
        <v>COUT-P&amp;A GOODWRENCH CAM.</v>
      </c>
      <c r="AL808" s="794">
        <f t="array" ref="AL808">IFERROR(INDEX(G808:R808,1,MATCH(Parametres!$B$3,G$1:R$1,0)-1)*IF(OR(F808="L",F808="S",F808="I"),-1,1),"")</f>
        <v>0</v>
      </c>
      <c r="AM808" s="794">
        <f t="shared" si="4"/>
        <v>0</v>
      </c>
      <c r="AN808" s="794">
        <f t="array" ref="AN808">INDEX(G808:R808,1,MATCH(Parametres!$B$3,G$1:R$1,0))*IF(OR(F808="L",F808="S",F808="I"),-1,1)</f>
        <v>0</v>
      </c>
      <c r="AO808" s="853" t="str">
        <f>+VLOOKUP($AJ808,Data_Validation!$A:$D,1,0)</f>
        <v>#N/A</v>
      </c>
      <c r="AP808" s="853" t="str">
        <f>+VLOOKUP($AJ808,Data_Validation!$A:$D,3,0)</f>
        <v>#N/A</v>
      </c>
      <c r="AQ808" s="853" t="str">
        <f>+VLOOKUP($AJ808,Data_Validation!$A:$D,4,0)</f>
        <v>#N/A</v>
      </c>
      <c r="AR808" s="853" t="s">
        <v>728</v>
      </c>
      <c r="AS808" s="853" t="str">
        <f>+VLOOKUP($AJ808,Data_Validation!$A:$E,5,0)</f>
        <v>#N/A</v>
      </c>
      <c r="AT808" s="794" t="str">
        <f t="shared" ref="AT808:AU808" si="1614">C808</f>
        <v>G66840</v>
      </c>
      <c r="AU808" s="854" t="str">
        <f t="shared" si="1614"/>
        <v>COUT-P&amp;A GOODWRENCH CAM.</v>
      </c>
      <c r="AV808" s="794">
        <f t="array" ref="AV808">IFERROR(INDEX(V808:AG808,1,MATCH(Parametres!$B$3,V$1:AG$1,0)-1)*IF(OR(C808="L",C808="S",C808="I"),-1,1),"")</f>
        <v>0</v>
      </c>
      <c r="AW808" s="794">
        <f t="shared" si="6"/>
        <v>0</v>
      </c>
      <c r="AX808" s="794">
        <f t="array" ref="AX808">INDEX(V808:AG808,1,MATCH(Parametres!$B$3,V$1:AG$1,0))*IF(OR(C808="L",C808="S",C808="I"),-1,1)</f>
        <v>0</v>
      </c>
      <c r="AY808" s="853" t="s">
        <v>772</v>
      </c>
      <c r="AZ808" s="853" t="str">
        <f>+VLOOKUP($AJ808,Data_Validation!$A:$E,5,0)</f>
        <v>#N/A</v>
      </c>
    </row>
    <row r="809" ht="15.0" customHeight="1">
      <c r="A809" s="849" t="s">
        <v>1239</v>
      </c>
      <c r="B809" s="849">
        <v>2025.0</v>
      </c>
      <c r="C809" s="849" t="s">
        <v>3197</v>
      </c>
      <c r="D809" s="849" t="s">
        <v>3198</v>
      </c>
      <c r="E809" s="849" t="s">
        <v>768</v>
      </c>
      <c r="F809" s="849" t="s">
        <v>2855</v>
      </c>
      <c r="G809" s="849">
        <v>0.0</v>
      </c>
      <c r="H809" s="849">
        <v>0.0</v>
      </c>
      <c r="I809" s="849">
        <v>0.0</v>
      </c>
      <c r="J809" s="849">
        <v>0.0</v>
      </c>
      <c r="K809" s="849">
        <v>0.0</v>
      </c>
      <c r="L809" s="849">
        <v>8092.18</v>
      </c>
      <c r="M809" s="849">
        <v>9461.89</v>
      </c>
      <c r="N809" s="849">
        <v>12116.83</v>
      </c>
      <c r="O809" s="849">
        <v>12116.83</v>
      </c>
      <c r="P809" s="849">
        <v>12261.82</v>
      </c>
      <c r="Q809" s="849">
        <v>19058.4</v>
      </c>
      <c r="R809" s="849">
        <v>23238.87</v>
      </c>
      <c r="S809" s="849">
        <v>1732.58</v>
      </c>
      <c r="T809" s="849">
        <v>1732.58</v>
      </c>
      <c r="U809" s="849">
        <v>0.0</v>
      </c>
      <c r="V809" s="849">
        <v>0.0</v>
      </c>
      <c r="W809" s="849">
        <v>0.0</v>
      </c>
      <c r="X809" s="849">
        <v>0.0</v>
      </c>
      <c r="Y809" s="849">
        <v>0.0</v>
      </c>
      <c r="Z809" s="849">
        <v>0.0</v>
      </c>
      <c r="AA809" s="849">
        <v>0.0</v>
      </c>
      <c r="AB809" s="849">
        <v>0.0</v>
      </c>
      <c r="AC809" s="849">
        <v>0.0</v>
      </c>
      <c r="AD809" s="849">
        <v>0.0</v>
      </c>
      <c r="AE809" s="849">
        <v>0.0</v>
      </c>
      <c r="AF809" s="849">
        <v>0.0</v>
      </c>
      <c r="AG809" s="849">
        <v>0.0</v>
      </c>
      <c r="AH809" s="849">
        <v>0.0</v>
      </c>
      <c r="AI809" s="849">
        <v>0.0</v>
      </c>
      <c r="AJ809" s="794" t="str">
        <f t="shared" ref="AJ809:AK809" si="1615">C809</f>
        <v>G66900</v>
      </c>
      <c r="AK809" s="794" t="str">
        <f t="shared" si="1615"/>
        <v>COUT MATERIEL ATELIER</v>
      </c>
      <c r="AL809" s="794">
        <f t="array" ref="AL809">IFERROR(INDEX(G809:R809,1,MATCH(Parametres!$B$3,G$1:R$1,0)-1)*IF(OR(F809="L",F809="S",F809="I"),-1,1),"")</f>
        <v>12116.83</v>
      </c>
      <c r="AM809" s="794">
        <f t="shared" si="4"/>
        <v>0</v>
      </c>
      <c r="AN809" s="794">
        <f t="array" ref="AN809">INDEX(G809:R809,1,MATCH(Parametres!$B$3,G$1:R$1,0))*IF(OR(F809="L",F809="S",F809="I"),-1,1)</f>
        <v>12116.83</v>
      </c>
      <c r="AO809" s="853" t="str">
        <f>+VLOOKUP($AJ809,Data_Validation!$A:$D,1,0)</f>
        <v>G66900</v>
      </c>
      <c r="AP809" s="853" t="str">
        <f>+VLOOKUP($AJ809,Data_Validation!$A:$D,3,0)</f>
        <v>Service</v>
      </c>
      <c r="AQ809" s="853" t="str">
        <f>+VLOOKUP($AJ809,Data_Validation!$A:$D,4,0)</f>
        <v>Sous-traitement</v>
      </c>
      <c r="AR809" s="853" t="s">
        <v>728</v>
      </c>
      <c r="AS809" s="853" t="str">
        <f>+VLOOKUP($AJ809,Data_Validation!$A:$E,5,0)</f>
        <v/>
      </c>
      <c r="AT809" s="794" t="str">
        <f t="shared" ref="AT809:AU809" si="1616">C809</f>
        <v>G66900</v>
      </c>
      <c r="AU809" s="854" t="str">
        <f t="shared" si="1616"/>
        <v>COUT MATERIEL ATELIER</v>
      </c>
      <c r="AV809" s="794">
        <f t="array" ref="AV809">IFERROR(INDEX(V809:AG809,1,MATCH(Parametres!$B$3,V$1:AG$1,0)-1)*IF(OR(C809="L",C809="S",C809="I"),-1,1),"")</f>
        <v>0</v>
      </c>
      <c r="AW809" s="794">
        <f t="shared" si="6"/>
        <v>0</v>
      </c>
      <c r="AX809" s="794">
        <f t="array" ref="AX809">INDEX(V809:AG809,1,MATCH(Parametres!$B$3,V$1:AG$1,0))*IF(OR(C809="L",C809="S",C809="I"),-1,1)</f>
        <v>0</v>
      </c>
      <c r="AY809" s="853" t="s">
        <v>772</v>
      </c>
      <c r="AZ809" s="853" t="str">
        <f>+VLOOKUP($AJ809,Data_Validation!$A:$E,5,0)</f>
        <v/>
      </c>
    </row>
    <row r="810" ht="15.0" customHeight="1">
      <c r="A810" s="849" t="s">
        <v>1239</v>
      </c>
      <c r="B810" s="849">
        <v>2025.0</v>
      </c>
      <c r="C810" s="849" t="s">
        <v>1125</v>
      </c>
      <c r="D810" s="849" t="s">
        <v>3199</v>
      </c>
      <c r="E810" s="849" t="s">
        <v>768</v>
      </c>
      <c r="F810" s="849" t="s">
        <v>2855</v>
      </c>
      <c r="G810" s="849">
        <v>0.0</v>
      </c>
      <c r="H810" s="849">
        <v>0.0</v>
      </c>
      <c r="I810" s="849">
        <v>0.0</v>
      </c>
      <c r="J810" s="849">
        <v>0.0</v>
      </c>
      <c r="K810" s="849">
        <v>0.0</v>
      </c>
      <c r="L810" s="849">
        <v>0.0</v>
      </c>
      <c r="M810" s="849">
        <v>0.0</v>
      </c>
      <c r="N810" s="849">
        <v>0.0</v>
      </c>
      <c r="O810" s="849">
        <v>0.0</v>
      </c>
      <c r="P810" s="849">
        <v>0.0</v>
      </c>
      <c r="Q810" s="849">
        <v>0.0</v>
      </c>
      <c r="R810" s="849">
        <v>0.0</v>
      </c>
      <c r="S810" s="849">
        <v>0.0</v>
      </c>
      <c r="T810" s="849">
        <v>0.0</v>
      </c>
      <c r="U810" s="849">
        <v>0.0</v>
      </c>
      <c r="V810" s="849">
        <v>0.0</v>
      </c>
      <c r="W810" s="849">
        <v>0.0</v>
      </c>
      <c r="X810" s="849">
        <v>0.0</v>
      </c>
      <c r="Y810" s="849">
        <v>0.0</v>
      </c>
      <c r="Z810" s="849">
        <v>0.0</v>
      </c>
      <c r="AA810" s="849">
        <v>0.0</v>
      </c>
      <c r="AB810" s="849">
        <v>0.0</v>
      </c>
      <c r="AC810" s="849">
        <v>0.0</v>
      </c>
      <c r="AD810" s="849">
        <v>0.0</v>
      </c>
      <c r="AE810" s="849">
        <v>0.0</v>
      </c>
      <c r="AF810" s="849">
        <v>0.0</v>
      </c>
      <c r="AG810" s="849">
        <v>0.0</v>
      </c>
      <c r="AH810" s="849">
        <v>0.0</v>
      </c>
      <c r="AI810" s="849">
        <v>0.0</v>
      </c>
      <c r="AJ810" s="794" t="str">
        <f t="shared" ref="AJ810:AK810" si="1617">C810</f>
        <v>G67000</v>
      </c>
      <c r="AK810" s="794" t="str">
        <f t="shared" si="1617"/>
        <v>COUT-M.D. PEINTURE</v>
      </c>
      <c r="AL810" s="794">
        <f t="array" ref="AL810">IFERROR(INDEX(G810:R810,1,MATCH(Parametres!$B$3,G$1:R$1,0)-1)*IF(OR(F810="L",F810="S",F810="I"),-1,1),"")</f>
        <v>0</v>
      </c>
      <c r="AM810" s="794">
        <f t="shared" si="4"/>
        <v>0</v>
      </c>
      <c r="AN810" s="794">
        <f t="array" ref="AN810">INDEX(G810:R810,1,MATCH(Parametres!$B$3,G$1:R$1,0))*IF(OR(F810="L",F810="S",F810="I"),-1,1)</f>
        <v>0</v>
      </c>
      <c r="AO810" s="853" t="str">
        <f>+VLOOKUP($AJ810,Data_Validation!$A:$D,1,0)</f>
        <v>G67000</v>
      </c>
      <c r="AP810" s="853" t="str">
        <f>+VLOOKUP($AJ810,Data_Validation!$A:$D,3,0)</f>
        <v>Carrosserie</v>
      </c>
      <c r="AQ810" s="853" t="str">
        <f>+VLOOKUP($AJ810,Data_Validation!$A:$D,4,0)</f>
        <v>Carrosserie Clients</v>
      </c>
      <c r="AR810" s="853" t="s">
        <v>728</v>
      </c>
      <c r="AS810" s="853" t="str">
        <f>+VLOOKUP($AJ810,Data_Validation!$A:$E,5,0)</f>
        <v/>
      </c>
      <c r="AT810" s="794" t="str">
        <f t="shared" ref="AT810:AU810" si="1618">C810</f>
        <v>G67000</v>
      </c>
      <c r="AU810" s="854" t="str">
        <f t="shared" si="1618"/>
        <v>COUT-M.D. PEINTURE</v>
      </c>
      <c r="AV810" s="794">
        <f t="array" ref="AV810">IFERROR(INDEX(V810:AG810,1,MATCH(Parametres!$B$3,V$1:AG$1,0)-1)*IF(OR(C810="L",C810="S",C810="I"),-1,1),"")</f>
        <v>0</v>
      </c>
      <c r="AW810" s="794">
        <f t="shared" si="6"/>
        <v>0</v>
      </c>
      <c r="AX810" s="794">
        <f t="array" ref="AX810">INDEX(V810:AG810,1,MATCH(Parametres!$B$3,V$1:AG$1,0))*IF(OR(C810="L",C810="S",C810="I"),-1,1)</f>
        <v>0</v>
      </c>
      <c r="AY810" s="853" t="s">
        <v>772</v>
      </c>
      <c r="AZ810" s="853" t="str">
        <f>+VLOOKUP($AJ810,Data_Validation!$A:$E,5,0)</f>
        <v/>
      </c>
    </row>
    <row r="811" ht="15.0" customHeight="1">
      <c r="A811" s="849" t="s">
        <v>1239</v>
      </c>
      <c r="B811" s="849">
        <v>2025.0</v>
      </c>
      <c r="C811" s="849" t="s">
        <v>1122</v>
      </c>
      <c r="D811" s="849" t="s">
        <v>3201</v>
      </c>
      <c r="E811" s="849" t="s">
        <v>768</v>
      </c>
      <c r="F811" s="849" t="s">
        <v>2855</v>
      </c>
      <c r="G811" s="849">
        <v>18625.38</v>
      </c>
      <c r="H811" s="849">
        <v>40061.17</v>
      </c>
      <c r="I811" s="849">
        <v>58108.32</v>
      </c>
      <c r="J811" s="849">
        <v>75937.98</v>
      </c>
      <c r="K811" s="849">
        <v>95083.67</v>
      </c>
      <c r="L811" s="849">
        <v>107403.3</v>
      </c>
      <c r="M811" s="849">
        <v>130349.11</v>
      </c>
      <c r="N811" s="849">
        <v>149411.48</v>
      </c>
      <c r="O811" s="849">
        <v>170278.1</v>
      </c>
      <c r="P811" s="849">
        <v>190005.1</v>
      </c>
      <c r="Q811" s="849">
        <v>209144.07</v>
      </c>
      <c r="R811" s="849">
        <v>227806.02</v>
      </c>
      <c r="S811" s="849">
        <v>19013.1</v>
      </c>
      <c r="T811" s="849">
        <v>19013.1</v>
      </c>
      <c r="U811" s="849">
        <v>0.0</v>
      </c>
      <c r="V811" s="849">
        <v>0.0</v>
      </c>
      <c r="W811" s="849">
        <v>0.0</v>
      </c>
      <c r="X811" s="849">
        <v>0.0</v>
      </c>
      <c r="Y811" s="849">
        <v>0.0</v>
      </c>
      <c r="Z811" s="849">
        <v>0.0</v>
      </c>
      <c r="AA811" s="849">
        <v>0.0</v>
      </c>
      <c r="AB811" s="849">
        <v>0.0</v>
      </c>
      <c r="AC811" s="849">
        <v>0.0</v>
      </c>
      <c r="AD811" s="849">
        <v>0.0</v>
      </c>
      <c r="AE811" s="849">
        <v>0.0</v>
      </c>
      <c r="AF811" s="849">
        <v>0.0</v>
      </c>
      <c r="AG811" s="849">
        <v>0.0</v>
      </c>
      <c r="AH811" s="849">
        <v>0.0</v>
      </c>
      <c r="AI811" s="849">
        <v>0.0</v>
      </c>
      <c r="AJ811" s="794" t="str">
        <f t="shared" ref="AJ811:AK811" si="1619">C811</f>
        <v>G67100</v>
      </c>
      <c r="AK811" s="794" t="str">
        <f t="shared" si="1619"/>
        <v>COUT-M.D. CARROSSERIE</v>
      </c>
      <c r="AL811" s="794">
        <f t="array" ref="AL811">IFERROR(INDEX(G811:R811,1,MATCH(Parametres!$B$3,G$1:R$1,0)-1)*IF(OR(F811="L",F811="S",F811="I"),-1,1),"")</f>
        <v>149411.48</v>
      </c>
      <c r="AM811" s="794">
        <f t="shared" si="4"/>
        <v>20866.62</v>
      </c>
      <c r="AN811" s="794">
        <f t="array" ref="AN811">INDEX(G811:R811,1,MATCH(Parametres!$B$3,G$1:R$1,0))*IF(OR(F811="L",F811="S",F811="I"),-1,1)</f>
        <v>170278.1</v>
      </c>
      <c r="AO811" s="853" t="str">
        <f>+VLOOKUP($AJ811,Data_Validation!$A:$D,1,0)</f>
        <v>G67100</v>
      </c>
      <c r="AP811" s="853" t="str">
        <f>+VLOOKUP($AJ811,Data_Validation!$A:$D,3,0)</f>
        <v>Carrosserie</v>
      </c>
      <c r="AQ811" s="853" t="str">
        <f>+VLOOKUP($AJ811,Data_Validation!$A:$D,4,0)</f>
        <v>Carrosserie Clients</v>
      </c>
      <c r="AR811" s="853" t="s">
        <v>728</v>
      </c>
      <c r="AS811" s="853" t="str">
        <f>+VLOOKUP($AJ811,Data_Validation!$A:$E,5,0)</f>
        <v/>
      </c>
      <c r="AT811" s="794" t="str">
        <f t="shared" ref="AT811:AU811" si="1620">C811</f>
        <v>G67100</v>
      </c>
      <c r="AU811" s="854" t="str">
        <f t="shared" si="1620"/>
        <v>COUT-M.D. CARROSSERIE</v>
      </c>
      <c r="AV811" s="794">
        <f t="array" ref="AV811">IFERROR(INDEX(V811:AG811,1,MATCH(Parametres!$B$3,V$1:AG$1,0)-1)*IF(OR(C811="L",C811="S",C811="I"),-1,1),"")</f>
        <v>0</v>
      </c>
      <c r="AW811" s="794">
        <f t="shared" si="6"/>
        <v>0</v>
      </c>
      <c r="AX811" s="794">
        <f t="array" ref="AX811">INDEX(V811:AG811,1,MATCH(Parametres!$B$3,V$1:AG$1,0))*IF(OR(C811="L",C811="S",C811="I"),-1,1)</f>
        <v>0</v>
      </c>
      <c r="AY811" s="853" t="s">
        <v>772</v>
      </c>
      <c r="AZ811" s="853" t="str">
        <f>+VLOOKUP($AJ811,Data_Validation!$A:$E,5,0)</f>
        <v/>
      </c>
    </row>
    <row r="812" ht="15.0" customHeight="1">
      <c r="A812" s="849" t="s">
        <v>1239</v>
      </c>
      <c r="B812" s="849">
        <v>2025.0</v>
      </c>
      <c r="C812" s="849" t="s">
        <v>1167</v>
      </c>
      <c r="D812" s="849" t="s">
        <v>3206</v>
      </c>
      <c r="E812" s="849" t="s">
        <v>768</v>
      </c>
      <c r="F812" s="849" t="s">
        <v>2855</v>
      </c>
      <c r="G812" s="849">
        <v>0.0</v>
      </c>
      <c r="H812" s="849">
        <v>0.0</v>
      </c>
      <c r="I812" s="849">
        <v>0.0</v>
      </c>
      <c r="J812" s="849">
        <v>82.84</v>
      </c>
      <c r="K812" s="849">
        <v>82.84</v>
      </c>
      <c r="L812" s="849">
        <v>254.51</v>
      </c>
      <c r="M812" s="849">
        <v>254.51</v>
      </c>
      <c r="N812" s="849">
        <v>254.51</v>
      </c>
      <c r="O812" s="849">
        <v>254.51</v>
      </c>
      <c r="P812" s="849">
        <v>254.51</v>
      </c>
      <c r="Q812" s="849">
        <v>254.51</v>
      </c>
      <c r="R812" s="849">
        <v>627.15</v>
      </c>
      <c r="S812" s="849">
        <v>23.14</v>
      </c>
      <c r="T812" s="849">
        <v>23.14</v>
      </c>
      <c r="U812" s="849">
        <v>0.0</v>
      </c>
      <c r="V812" s="849">
        <v>0.0</v>
      </c>
      <c r="W812" s="849">
        <v>0.0</v>
      </c>
      <c r="X812" s="849">
        <v>0.0</v>
      </c>
      <c r="Y812" s="849">
        <v>0.0</v>
      </c>
      <c r="Z812" s="849">
        <v>0.0</v>
      </c>
      <c r="AA812" s="849">
        <v>0.0</v>
      </c>
      <c r="AB812" s="849">
        <v>0.0</v>
      </c>
      <c r="AC812" s="849">
        <v>0.0</v>
      </c>
      <c r="AD812" s="849">
        <v>0.0</v>
      </c>
      <c r="AE812" s="849">
        <v>0.0</v>
      </c>
      <c r="AF812" s="849">
        <v>0.0</v>
      </c>
      <c r="AG812" s="849">
        <v>0.0</v>
      </c>
      <c r="AH812" s="849">
        <v>0.0</v>
      </c>
      <c r="AI812" s="849">
        <v>0.0</v>
      </c>
      <c r="AJ812" s="794" t="str">
        <f t="shared" ref="AJ812:AK812" si="1621">C812</f>
        <v>G67200</v>
      </c>
      <c r="AK812" s="794" t="str">
        <f t="shared" si="1621"/>
        <v>COUT-M.D. B.CLAIM</v>
      </c>
      <c r="AL812" s="794">
        <f t="array" ref="AL812">IFERROR(INDEX(G812:R812,1,MATCH(Parametres!$B$3,G$1:R$1,0)-1)*IF(OR(F812="L",F812="S",F812="I"),-1,1),"")</f>
        <v>254.51</v>
      </c>
      <c r="AM812" s="794">
        <f t="shared" si="4"/>
        <v>0</v>
      </c>
      <c r="AN812" s="794">
        <f t="array" ref="AN812">INDEX(G812:R812,1,MATCH(Parametres!$B$3,G$1:R$1,0))*IF(OR(F812="L",F812="S",F812="I"),-1,1)</f>
        <v>254.51</v>
      </c>
      <c r="AO812" s="853" t="str">
        <f>+VLOOKUP($AJ812,Data_Validation!$A:$D,1,0)</f>
        <v>G67200</v>
      </c>
      <c r="AP812" s="853" t="str">
        <f>+VLOOKUP($AJ812,Data_Validation!$A:$D,3,0)</f>
        <v>Carrosserie</v>
      </c>
      <c r="AQ812" s="853" t="str">
        <f>+VLOOKUP($AJ812,Data_Validation!$A:$D,4,0)</f>
        <v>Carrosserie Interne</v>
      </c>
      <c r="AR812" s="853" t="s">
        <v>728</v>
      </c>
      <c r="AS812" s="853" t="str">
        <f>+VLOOKUP($AJ812,Data_Validation!$A:$E,5,0)</f>
        <v/>
      </c>
      <c r="AT812" s="794" t="str">
        <f t="shared" ref="AT812:AU812" si="1622">C812</f>
        <v>G67200</v>
      </c>
      <c r="AU812" s="854" t="str">
        <f t="shared" si="1622"/>
        <v>COUT-M.D. B.CLAIM</v>
      </c>
      <c r="AV812" s="794">
        <f t="array" ref="AV812">IFERROR(INDEX(V812:AG812,1,MATCH(Parametres!$B$3,V$1:AG$1,0)-1)*IF(OR(C812="L",C812="S",C812="I"),-1,1),"")</f>
        <v>0</v>
      </c>
      <c r="AW812" s="794">
        <f t="shared" si="6"/>
        <v>0</v>
      </c>
      <c r="AX812" s="794">
        <f t="array" ref="AX812">INDEX(V812:AG812,1,MATCH(Parametres!$B$3,V$1:AG$1,0))*IF(OR(C812="L",C812="S",C812="I"),-1,1)</f>
        <v>0</v>
      </c>
      <c r="AY812" s="853" t="s">
        <v>772</v>
      </c>
      <c r="AZ812" s="853" t="str">
        <f>+VLOOKUP($AJ812,Data_Validation!$A:$E,5,0)</f>
        <v/>
      </c>
    </row>
    <row r="813" ht="15.0" customHeight="1">
      <c r="A813" s="849" t="s">
        <v>1239</v>
      </c>
      <c r="B813" s="849">
        <v>2025.0</v>
      </c>
      <c r="C813" s="849" t="s">
        <v>1146</v>
      </c>
      <c r="D813" s="849" t="s">
        <v>3207</v>
      </c>
      <c r="E813" s="849" t="s">
        <v>768</v>
      </c>
      <c r="F813" s="849" t="s">
        <v>2855</v>
      </c>
      <c r="G813" s="849">
        <v>596.52</v>
      </c>
      <c r="H813" s="849">
        <v>1314.66</v>
      </c>
      <c r="I813" s="849">
        <v>1314.66</v>
      </c>
      <c r="J813" s="849">
        <v>3556.77</v>
      </c>
      <c r="K813" s="849">
        <v>6148.51</v>
      </c>
      <c r="L813" s="849">
        <v>9787.01</v>
      </c>
      <c r="M813" s="849">
        <v>12786.08</v>
      </c>
      <c r="N813" s="849">
        <v>4717.08</v>
      </c>
      <c r="O813" s="849">
        <v>9764.03</v>
      </c>
      <c r="P813" s="849">
        <v>12795.7</v>
      </c>
      <c r="Q813" s="849">
        <v>16029.54</v>
      </c>
      <c r="R813" s="849">
        <v>25256.39</v>
      </c>
      <c r="S813" s="849">
        <v>1457.23</v>
      </c>
      <c r="T813" s="849">
        <v>1457.23</v>
      </c>
      <c r="U813" s="849">
        <v>0.0</v>
      </c>
      <c r="V813" s="849">
        <v>0.0</v>
      </c>
      <c r="W813" s="849">
        <v>0.0</v>
      </c>
      <c r="X813" s="849">
        <v>0.0</v>
      </c>
      <c r="Y813" s="849">
        <v>0.0</v>
      </c>
      <c r="Z813" s="849">
        <v>0.0</v>
      </c>
      <c r="AA813" s="849">
        <v>0.0</v>
      </c>
      <c r="AB813" s="849">
        <v>0.0</v>
      </c>
      <c r="AC813" s="849">
        <v>0.0</v>
      </c>
      <c r="AD813" s="849">
        <v>0.0</v>
      </c>
      <c r="AE813" s="849">
        <v>0.0</v>
      </c>
      <c r="AF813" s="849">
        <v>0.0</v>
      </c>
      <c r="AG813" s="849">
        <v>0.0</v>
      </c>
      <c r="AH813" s="849">
        <v>0.0</v>
      </c>
      <c r="AI813" s="849">
        <v>0.0</v>
      </c>
      <c r="AJ813" s="794" t="str">
        <f t="shared" ref="AJ813:AK813" si="1623">C813</f>
        <v>G67300</v>
      </c>
      <c r="AK813" s="794" t="str">
        <f t="shared" si="1623"/>
        <v>COUT-M.D. BODY INT.</v>
      </c>
      <c r="AL813" s="794">
        <f t="array" ref="AL813">IFERROR(INDEX(G813:R813,1,MATCH(Parametres!$B$3,G$1:R$1,0)-1)*IF(OR(F813="L",F813="S",F813="I"),-1,1),"")</f>
        <v>4717.08</v>
      </c>
      <c r="AM813" s="794">
        <f t="shared" si="4"/>
        <v>5046.95</v>
      </c>
      <c r="AN813" s="794">
        <f t="array" ref="AN813">INDEX(G813:R813,1,MATCH(Parametres!$B$3,G$1:R$1,0))*IF(OR(F813="L",F813="S",F813="I"),-1,1)</f>
        <v>9764.03</v>
      </c>
      <c r="AO813" s="853" t="str">
        <f>+VLOOKUP($AJ813,Data_Validation!$A:$D,1,0)</f>
        <v>G67300</v>
      </c>
      <c r="AP813" s="853" t="str">
        <f>+VLOOKUP($AJ813,Data_Validation!$A:$D,3,0)</f>
        <v>Carrosserie</v>
      </c>
      <c r="AQ813" s="853" t="str">
        <f>+VLOOKUP($AJ813,Data_Validation!$A:$D,4,0)</f>
        <v>Carrosserie Interne</v>
      </c>
      <c r="AR813" s="853" t="s">
        <v>728</v>
      </c>
      <c r="AS813" s="853" t="str">
        <f>+VLOOKUP($AJ813,Data_Validation!$A:$E,5,0)</f>
        <v/>
      </c>
      <c r="AT813" s="794" t="str">
        <f t="shared" ref="AT813:AU813" si="1624">C813</f>
        <v>G67300</v>
      </c>
      <c r="AU813" s="854" t="str">
        <f t="shared" si="1624"/>
        <v>COUT-M.D. BODY INT.</v>
      </c>
      <c r="AV813" s="794">
        <f t="array" ref="AV813">IFERROR(INDEX(V813:AG813,1,MATCH(Parametres!$B$3,V$1:AG$1,0)-1)*IF(OR(C813="L",C813="S",C813="I"),-1,1),"")</f>
        <v>0</v>
      </c>
      <c r="AW813" s="794">
        <f t="shared" si="6"/>
        <v>0</v>
      </c>
      <c r="AX813" s="794">
        <f t="array" ref="AX813">INDEX(V813:AG813,1,MATCH(Parametres!$B$3,V$1:AG$1,0))*IF(OR(C813="L",C813="S",C813="I"),-1,1)</f>
        <v>0</v>
      </c>
      <c r="AY813" s="853" t="s">
        <v>772</v>
      </c>
      <c r="AZ813" s="853" t="str">
        <f>+VLOOKUP($AJ813,Data_Validation!$A:$E,5,0)</f>
        <v/>
      </c>
    </row>
    <row r="814" ht="15.0" customHeight="1">
      <c r="A814" s="849" t="s">
        <v>1239</v>
      </c>
      <c r="B814" s="849">
        <v>2025.0</v>
      </c>
      <c r="C814" s="849" t="s">
        <v>1196</v>
      </c>
      <c r="D814" s="849" t="s">
        <v>3210</v>
      </c>
      <c r="E814" s="849" t="s">
        <v>768</v>
      </c>
      <c r="F814" s="849" t="s">
        <v>2855</v>
      </c>
      <c r="G814" s="849">
        <v>5214.75</v>
      </c>
      <c r="H814" s="849">
        <v>6123.36</v>
      </c>
      <c r="I814" s="849">
        <v>6335.54</v>
      </c>
      <c r="J814" s="849">
        <v>10030.28</v>
      </c>
      <c r="K814" s="849">
        <v>2206.78</v>
      </c>
      <c r="L814" s="849">
        <v>2831.34</v>
      </c>
      <c r="M814" s="849">
        <v>-1205.89</v>
      </c>
      <c r="N814" s="849">
        <v>-5629.34</v>
      </c>
      <c r="O814" s="849">
        <v>-7326.93</v>
      </c>
      <c r="P814" s="849">
        <v>-13289.56</v>
      </c>
      <c r="Q814" s="849">
        <v>-9922.84</v>
      </c>
      <c r="R814" s="849">
        <v>-10741.94</v>
      </c>
      <c r="S814" s="849">
        <v>-902.08</v>
      </c>
      <c r="T814" s="849">
        <v>-902.08</v>
      </c>
      <c r="U814" s="849">
        <v>0.0</v>
      </c>
      <c r="V814" s="849">
        <v>0.0</v>
      </c>
      <c r="W814" s="849">
        <v>0.0</v>
      </c>
      <c r="X814" s="849">
        <v>0.0</v>
      </c>
      <c r="Y814" s="849">
        <v>0.0</v>
      </c>
      <c r="Z814" s="849">
        <v>0.0</v>
      </c>
      <c r="AA814" s="849">
        <v>0.0</v>
      </c>
      <c r="AB814" s="849">
        <v>0.0</v>
      </c>
      <c r="AC814" s="849">
        <v>0.0</v>
      </c>
      <c r="AD814" s="849">
        <v>0.0</v>
      </c>
      <c r="AE814" s="849">
        <v>0.0</v>
      </c>
      <c r="AF814" s="849">
        <v>0.0</v>
      </c>
      <c r="AG814" s="849">
        <v>0.0</v>
      </c>
      <c r="AH814" s="849">
        <v>0.0</v>
      </c>
      <c r="AI814" s="849">
        <v>0.0</v>
      </c>
      <c r="AJ814" s="794" t="str">
        <f t="shared" ref="AJ814:AK814" si="1625">C814</f>
        <v>G67500</v>
      </c>
      <c r="AK814" s="794" t="str">
        <f t="shared" si="1625"/>
        <v>TEMPS PERDU CARROSSERIE</v>
      </c>
      <c r="AL814" s="794">
        <f t="array" ref="AL814">IFERROR(INDEX(G814:R814,1,MATCH(Parametres!$B$3,G$1:R$1,0)-1)*IF(OR(F814="L",F814="S",F814="I"),-1,1),"")</f>
        <v>-5629.34</v>
      </c>
      <c r="AM814" s="794">
        <f t="shared" si="4"/>
        <v>-1697.59</v>
      </c>
      <c r="AN814" s="794">
        <f t="array" ref="AN814">INDEX(G814:R814,1,MATCH(Parametres!$B$3,G$1:R$1,0))*IF(OR(F814="L",F814="S",F814="I"),-1,1)</f>
        <v>-7326.93</v>
      </c>
      <c r="AO814" s="853" t="str">
        <f>+VLOOKUP($AJ814,Data_Validation!$A:$D,1,0)</f>
        <v>G67500</v>
      </c>
      <c r="AP814" s="853" t="str">
        <f>+VLOOKUP($AJ814,Data_Validation!$A:$D,3,0)</f>
        <v>Carrosserie</v>
      </c>
      <c r="AQ814" s="853" t="str">
        <f>+VLOOKUP($AJ814,Data_Validation!$A:$D,4,0)</f>
        <v>Ajustement M/O Carrosserie</v>
      </c>
      <c r="AR814" s="853" t="s">
        <v>728</v>
      </c>
      <c r="AS814" s="853" t="str">
        <f>+VLOOKUP($AJ814,Data_Validation!$A:$E,5,0)</f>
        <v/>
      </c>
      <c r="AT814" s="794" t="str">
        <f t="shared" ref="AT814:AU814" si="1626">C814</f>
        <v>G67500</v>
      </c>
      <c r="AU814" s="854" t="str">
        <f t="shared" si="1626"/>
        <v>TEMPS PERDU CARROSSERIE</v>
      </c>
      <c r="AV814" s="794">
        <f t="array" ref="AV814">IFERROR(INDEX(V814:AG814,1,MATCH(Parametres!$B$3,V$1:AG$1,0)-1)*IF(OR(C814="L",C814="S",C814="I"),-1,1),"")</f>
        <v>0</v>
      </c>
      <c r="AW814" s="794">
        <f t="shared" si="6"/>
        <v>0</v>
      </c>
      <c r="AX814" s="794">
        <f t="array" ref="AX814">INDEX(V814:AG814,1,MATCH(Parametres!$B$3,V$1:AG$1,0))*IF(OR(C814="L",C814="S",C814="I"),-1,1)</f>
        <v>0</v>
      </c>
      <c r="AY814" s="853" t="s">
        <v>772</v>
      </c>
      <c r="AZ814" s="853" t="str">
        <f>+VLOOKUP($AJ814,Data_Validation!$A:$E,5,0)</f>
        <v/>
      </c>
    </row>
    <row r="815" ht="15.0" customHeight="1">
      <c r="A815" s="849" t="s">
        <v>1239</v>
      </c>
      <c r="B815" s="849">
        <v>2025.0</v>
      </c>
      <c r="C815" s="849" t="s">
        <v>1140</v>
      </c>
      <c r="D815" s="849" t="s">
        <v>3211</v>
      </c>
      <c r="E815" s="849" t="s">
        <v>768</v>
      </c>
      <c r="F815" s="849" t="s">
        <v>2855</v>
      </c>
      <c r="G815" s="849">
        <v>56167.51</v>
      </c>
      <c r="H815" s="849">
        <v>123121.35</v>
      </c>
      <c r="I815" s="849">
        <v>195329.35</v>
      </c>
      <c r="J815" s="849">
        <v>247715.33</v>
      </c>
      <c r="K815" s="849">
        <v>301773.95</v>
      </c>
      <c r="L815" s="849">
        <v>360973.23</v>
      </c>
      <c r="M815" s="849">
        <v>452758.34</v>
      </c>
      <c r="N815" s="849">
        <v>528620.9</v>
      </c>
      <c r="O815" s="849">
        <v>595502.79</v>
      </c>
      <c r="P815" s="849">
        <v>648439.56</v>
      </c>
      <c r="Q815" s="849">
        <v>714401.97</v>
      </c>
      <c r="R815" s="849">
        <v>778639.31</v>
      </c>
      <c r="S815" s="849">
        <v>64945.63</v>
      </c>
      <c r="T815" s="849">
        <v>64945.63</v>
      </c>
      <c r="U815" s="849">
        <v>0.0</v>
      </c>
      <c r="V815" s="849">
        <v>0.0</v>
      </c>
      <c r="W815" s="849">
        <v>0.0</v>
      </c>
      <c r="X815" s="849">
        <v>0.0</v>
      </c>
      <c r="Y815" s="849">
        <v>0.0</v>
      </c>
      <c r="Z815" s="849">
        <v>0.0</v>
      </c>
      <c r="AA815" s="849">
        <v>0.0</v>
      </c>
      <c r="AB815" s="849">
        <v>0.0</v>
      </c>
      <c r="AC815" s="849">
        <v>0.0</v>
      </c>
      <c r="AD815" s="849">
        <v>0.0</v>
      </c>
      <c r="AE815" s="849">
        <v>0.0</v>
      </c>
      <c r="AF815" s="849">
        <v>0.0</v>
      </c>
      <c r="AG815" s="849">
        <v>0.0</v>
      </c>
      <c r="AH815" s="849">
        <v>0.0</v>
      </c>
      <c r="AI815" s="849">
        <v>0.0</v>
      </c>
      <c r="AJ815" s="794" t="str">
        <f t="shared" ref="AJ815:AK815" si="1627">C815</f>
        <v>G67600</v>
      </c>
      <c r="AK815" s="794" t="str">
        <f t="shared" si="1627"/>
        <v>COUT-REP.SOUS-TRAIT.BODY</v>
      </c>
      <c r="AL815" s="794">
        <f t="array" ref="AL815">IFERROR(INDEX(G815:R815,1,MATCH(Parametres!$B$3,G$1:R$1,0)-1)*IF(OR(F815="L",F815="S",F815="I"),-1,1),"")</f>
        <v>528620.9</v>
      </c>
      <c r="AM815" s="794">
        <f t="shared" si="4"/>
        <v>66881.89</v>
      </c>
      <c r="AN815" s="794">
        <f t="array" ref="AN815">INDEX(G815:R815,1,MATCH(Parametres!$B$3,G$1:R$1,0))*IF(OR(F815="L",F815="S",F815="I"),-1,1)</f>
        <v>595502.79</v>
      </c>
      <c r="AO815" s="853" t="str">
        <f>+VLOOKUP($AJ815,Data_Validation!$A:$D,1,0)</f>
        <v>G67600</v>
      </c>
      <c r="AP815" s="853" t="str">
        <f>+VLOOKUP($AJ815,Data_Validation!$A:$D,3,0)</f>
        <v>Carrosserie</v>
      </c>
      <c r="AQ815" s="853" t="str">
        <f>+VLOOKUP($AJ815,Data_Validation!$A:$D,4,0)</f>
        <v>Carrosserie Clients</v>
      </c>
      <c r="AR815" s="853" t="s">
        <v>728</v>
      </c>
      <c r="AS815" s="853" t="str">
        <f>+VLOOKUP($AJ815,Data_Validation!$A:$E,5,0)</f>
        <v/>
      </c>
      <c r="AT815" s="794" t="str">
        <f t="shared" ref="AT815:AU815" si="1628">C815</f>
        <v>G67600</v>
      </c>
      <c r="AU815" s="854" t="str">
        <f t="shared" si="1628"/>
        <v>COUT-REP.SOUS-TRAIT.BODY</v>
      </c>
      <c r="AV815" s="794">
        <f t="array" ref="AV815">IFERROR(INDEX(V815:AG815,1,MATCH(Parametres!$B$3,V$1:AG$1,0)-1)*IF(OR(C815="L",C815="S",C815="I"),-1,1),"")</f>
        <v>0</v>
      </c>
      <c r="AW815" s="794">
        <f t="shared" si="6"/>
        <v>0</v>
      </c>
      <c r="AX815" s="794">
        <f t="array" ref="AX815">INDEX(V815:AG815,1,MATCH(Parametres!$B$3,V$1:AG$1,0))*IF(OR(C815="L",C815="S",C815="I"),-1,1)</f>
        <v>0</v>
      </c>
      <c r="AY815" s="853" t="s">
        <v>772</v>
      </c>
      <c r="AZ815" s="853" t="str">
        <f>+VLOOKUP($AJ815,Data_Validation!$A:$E,5,0)</f>
        <v/>
      </c>
    </row>
    <row r="816" ht="15.0" customHeight="1">
      <c r="A816" s="849" t="s">
        <v>1239</v>
      </c>
      <c r="B816" s="849">
        <v>2025.0</v>
      </c>
      <c r="C816" s="849" t="s">
        <v>3220</v>
      </c>
      <c r="D816" s="849" t="s">
        <v>3221</v>
      </c>
      <c r="E816" s="849" t="s">
        <v>768</v>
      </c>
      <c r="F816" s="849" t="s">
        <v>2855</v>
      </c>
      <c r="G816" s="849">
        <v>0.0</v>
      </c>
      <c r="H816" s="849">
        <v>0.0</v>
      </c>
      <c r="I816" s="849">
        <v>0.0</v>
      </c>
      <c r="J816" s="849">
        <v>0.0</v>
      </c>
      <c r="K816" s="849">
        <v>11.84</v>
      </c>
      <c r="L816" s="849">
        <v>11.84</v>
      </c>
      <c r="M816" s="849">
        <v>11.84</v>
      </c>
      <c r="N816" s="849">
        <v>11.84</v>
      </c>
      <c r="O816" s="849">
        <v>11.84</v>
      </c>
      <c r="P816" s="849">
        <v>553.35</v>
      </c>
      <c r="Q816" s="849">
        <v>553.35</v>
      </c>
      <c r="R816" s="849">
        <v>553.35</v>
      </c>
      <c r="S816" s="849">
        <v>50.3</v>
      </c>
      <c r="T816" s="849">
        <v>50.3</v>
      </c>
      <c r="U816" s="849">
        <v>0.0</v>
      </c>
      <c r="V816" s="849">
        <v>0.0</v>
      </c>
      <c r="W816" s="849">
        <v>0.0</v>
      </c>
      <c r="X816" s="849">
        <v>0.0</v>
      </c>
      <c r="Y816" s="849">
        <v>0.0</v>
      </c>
      <c r="Z816" s="849">
        <v>0.0</v>
      </c>
      <c r="AA816" s="849">
        <v>0.0</v>
      </c>
      <c r="AB816" s="849">
        <v>0.0</v>
      </c>
      <c r="AC816" s="849">
        <v>0.0</v>
      </c>
      <c r="AD816" s="849">
        <v>0.0</v>
      </c>
      <c r="AE816" s="849">
        <v>0.0</v>
      </c>
      <c r="AF816" s="849">
        <v>0.0</v>
      </c>
      <c r="AG816" s="849">
        <v>0.0</v>
      </c>
      <c r="AH816" s="849">
        <v>0.0</v>
      </c>
      <c r="AI816" s="849">
        <v>0.0</v>
      </c>
      <c r="AJ816" s="794" t="str">
        <f t="shared" ref="AJ816:AK816" si="1629">C816</f>
        <v>G67700</v>
      </c>
      <c r="AK816" s="794" t="str">
        <f t="shared" si="1629"/>
        <v>COUT P&amp;A CLIENT CARROSSER</v>
      </c>
      <c r="AL816" s="794">
        <f t="array" ref="AL816">IFERROR(INDEX(G816:R816,1,MATCH(Parametres!$B$3,G$1:R$1,0)-1)*IF(OR(F816="L",F816="S",F816="I"),-1,1),"")</f>
        <v>11.84</v>
      </c>
      <c r="AM816" s="794">
        <f t="shared" si="4"/>
        <v>0</v>
      </c>
      <c r="AN816" s="794">
        <f t="array" ref="AN816">INDEX(G816:R816,1,MATCH(Parametres!$B$3,G$1:R$1,0))*IF(OR(F816="L",F816="S",F816="I"),-1,1)</f>
        <v>11.84</v>
      </c>
      <c r="AO816" s="853" t="str">
        <f>+VLOOKUP($AJ816,Data_Validation!$A:$D,1,0)</f>
        <v>G67700</v>
      </c>
      <c r="AP816" s="853" t="str">
        <f>+VLOOKUP($AJ816,Data_Validation!$A:$D,3,0)</f>
        <v>Pièces</v>
      </c>
      <c r="AQ816" s="853" t="str">
        <f>+VLOOKUP($AJ816,Data_Validation!$A:$D,4,0)</f>
        <v>Pièces Ro Carrosserie</v>
      </c>
      <c r="AR816" s="853" t="s">
        <v>728</v>
      </c>
      <c r="AS816" s="853" t="str">
        <f>+VLOOKUP($AJ816,Data_Validation!$A:$E,5,0)</f>
        <v/>
      </c>
      <c r="AT816" s="794" t="str">
        <f t="shared" ref="AT816:AU816" si="1630">C816</f>
        <v>G67700</v>
      </c>
      <c r="AU816" s="854" t="str">
        <f t="shared" si="1630"/>
        <v>COUT P&amp;A CLIENT CARROSSER</v>
      </c>
      <c r="AV816" s="794">
        <f t="array" ref="AV816">IFERROR(INDEX(V816:AG816,1,MATCH(Parametres!$B$3,V$1:AG$1,0)-1)*IF(OR(C816="L",C816="S",C816="I"),-1,1),"")</f>
        <v>0</v>
      </c>
      <c r="AW816" s="794">
        <f t="shared" si="6"/>
        <v>0</v>
      </c>
      <c r="AX816" s="794">
        <f t="array" ref="AX816">INDEX(V816:AG816,1,MATCH(Parametres!$B$3,V$1:AG$1,0))*IF(OR(C816="L",C816="S",C816="I"),-1,1)</f>
        <v>0</v>
      </c>
      <c r="AY816" s="853" t="s">
        <v>772</v>
      </c>
      <c r="AZ816" s="853" t="str">
        <f>+VLOOKUP($AJ816,Data_Validation!$A:$E,5,0)</f>
        <v/>
      </c>
    </row>
    <row r="817" ht="15.0" customHeight="1">
      <c r="A817" s="849" t="s">
        <v>1239</v>
      </c>
      <c r="B817" s="849">
        <v>2025.0</v>
      </c>
      <c r="C817" s="849" t="s">
        <v>3222</v>
      </c>
      <c r="D817" s="849" t="s">
        <v>3223</v>
      </c>
      <c r="E817" s="849" t="s">
        <v>768</v>
      </c>
      <c r="F817" s="849" t="s">
        <v>2855</v>
      </c>
      <c r="G817" s="849">
        <v>0.0</v>
      </c>
      <c r="H817" s="849">
        <v>0.0</v>
      </c>
      <c r="I817" s="849">
        <v>0.0</v>
      </c>
      <c r="J817" s="849">
        <v>0.0</v>
      </c>
      <c r="K817" s="849">
        <v>0.0</v>
      </c>
      <c r="L817" s="849">
        <v>0.0</v>
      </c>
      <c r="M817" s="849">
        <v>0.0</v>
      </c>
      <c r="N817" s="849">
        <v>0.0</v>
      </c>
      <c r="O817" s="849">
        <v>0.0</v>
      </c>
      <c r="P817" s="849">
        <v>0.0</v>
      </c>
      <c r="Q817" s="849">
        <v>0.0</v>
      </c>
      <c r="R817" s="849">
        <v>0.0</v>
      </c>
      <c r="S817" s="849">
        <v>0.0</v>
      </c>
      <c r="T817" s="849">
        <v>0.0</v>
      </c>
      <c r="U817" s="849">
        <v>0.0</v>
      </c>
      <c r="V817" s="849">
        <v>0.0</v>
      </c>
      <c r="W817" s="849">
        <v>0.0</v>
      </c>
      <c r="X817" s="849">
        <v>0.0</v>
      </c>
      <c r="Y817" s="849">
        <v>0.0</v>
      </c>
      <c r="Z817" s="849">
        <v>0.0</v>
      </c>
      <c r="AA817" s="849">
        <v>0.0</v>
      </c>
      <c r="AB817" s="849">
        <v>0.0</v>
      </c>
      <c r="AC817" s="849">
        <v>0.0</v>
      </c>
      <c r="AD817" s="849">
        <v>0.0</v>
      </c>
      <c r="AE817" s="849">
        <v>0.0</v>
      </c>
      <c r="AF817" s="849">
        <v>0.0</v>
      </c>
      <c r="AG817" s="849">
        <v>0.0</v>
      </c>
      <c r="AH817" s="849">
        <v>0.0</v>
      </c>
      <c r="AI817" s="849">
        <v>0.0</v>
      </c>
      <c r="AJ817" s="794" t="str">
        <f t="shared" ref="AJ817:AK817" si="1631">C817</f>
        <v>G67800</v>
      </c>
      <c r="AK817" s="794" t="str">
        <f t="shared" si="1631"/>
        <v>COUT-PCE BODY CLIENT CAM</v>
      </c>
      <c r="AL817" s="794">
        <f t="array" ref="AL817">IFERROR(INDEX(G817:R817,1,MATCH(Parametres!$B$3,G$1:R$1,0)-1)*IF(OR(F817="L",F817="S",F817="I"),-1,1),"")</f>
        <v>0</v>
      </c>
      <c r="AM817" s="794">
        <f t="shared" si="4"/>
        <v>0</v>
      </c>
      <c r="AN817" s="794">
        <f t="array" ref="AN817">INDEX(G817:R817,1,MATCH(Parametres!$B$3,G$1:R$1,0))*IF(OR(F817="L",F817="S",F817="I"),-1,1)</f>
        <v>0</v>
      </c>
      <c r="AO817" s="853" t="str">
        <f>+VLOOKUP($AJ817,Data_Validation!$A:$D,1,0)</f>
        <v>G67800</v>
      </c>
      <c r="AP817" s="853" t="str">
        <f>+VLOOKUP($AJ817,Data_Validation!$A:$D,3,0)</f>
        <v/>
      </c>
      <c r="AQ817" s="853" t="str">
        <f>+VLOOKUP($AJ817,Data_Validation!$A:$D,4,0)</f>
        <v/>
      </c>
      <c r="AR817" s="853" t="s">
        <v>728</v>
      </c>
      <c r="AS817" s="853" t="str">
        <f>+VLOOKUP($AJ817,Data_Validation!$A:$E,5,0)</f>
        <v/>
      </c>
      <c r="AT817" s="794" t="str">
        <f t="shared" ref="AT817:AU817" si="1632">C817</f>
        <v>G67800</v>
      </c>
      <c r="AU817" s="854" t="str">
        <f t="shared" si="1632"/>
        <v>COUT-PCE BODY CLIENT CAM</v>
      </c>
      <c r="AV817" s="794">
        <f t="array" ref="AV817">IFERROR(INDEX(V817:AG817,1,MATCH(Parametres!$B$3,V$1:AG$1,0)-1)*IF(OR(C817="L",C817="S",C817="I"),-1,1),"")</f>
        <v>0</v>
      </c>
      <c r="AW817" s="794">
        <f t="shared" si="6"/>
        <v>0</v>
      </c>
      <c r="AX817" s="794">
        <f t="array" ref="AX817">INDEX(V817:AG817,1,MATCH(Parametres!$B$3,V$1:AG$1,0))*IF(OR(C817="L",C817="S",C817="I"),-1,1)</f>
        <v>0</v>
      </c>
      <c r="AY817" s="853" t="s">
        <v>772</v>
      </c>
      <c r="AZ817" s="853" t="str">
        <f>+VLOOKUP($AJ817,Data_Validation!$A:$E,5,0)</f>
        <v/>
      </c>
    </row>
    <row r="818" ht="15.0" customHeight="1">
      <c r="A818" s="849" t="s">
        <v>1239</v>
      </c>
      <c r="B818" s="849">
        <v>2025.0</v>
      </c>
      <c r="C818" s="849" t="s">
        <v>3224</v>
      </c>
      <c r="D818" s="849" t="s">
        <v>3225</v>
      </c>
      <c r="E818" s="849" t="s">
        <v>768</v>
      </c>
      <c r="F818" s="849" t="s">
        <v>2855</v>
      </c>
      <c r="G818" s="849">
        <v>0.0</v>
      </c>
      <c r="H818" s="849">
        <v>0.0</v>
      </c>
      <c r="I818" s="849">
        <v>0.0</v>
      </c>
      <c r="J818" s="849">
        <v>0.0</v>
      </c>
      <c r="K818" s="849">
        <v>0.0</v>
      </c>
      <c r="L818" s="849">
        <v>0.0</v>
      </c>
      <c r="M818" s="849">
        <v>0.0</v>
      </c>
      <c r="N818" s="849">
        <v>0.0</v>
      </c>
      <c r="O818" s="849">
        <v>0.0</v>
      </c>
      <c r="P818" s="849">
        <v>0.0</v>
      </c>
      <c r="Q818" s="849">
        <v>0.0</v>
      </c>
      <c r="R818" s="849">
        <v>0.0</v>
      </c>
      <c r="S818" s="849">
        <v>0.0</v>
      </c>
      <c r="T818" s="849">
        <v>0.0</v>
      </c>
      <c r="U818" s="849">
        <v>0.0</v>
      </c>
      <c r="V818" s="849">
        <v>0.0</v>
      </c>
      <c r="W818" s="849">
        <v>0.0</v>
      </c>
      <c r="X818" s="849">
        <v>0.0</v>
      </c>
      <c r="Y818" s="849">
        <v>0.0</v>
      </c>
      <c r="Z818" s="849">
        <v>0.0</v>
      </c>
      <c r="AA818" s="849">
        <v>0.0</v>
      </c>
      <c r="AB818" s="849">
        <v>0.0</v>
      </c>
      <c r="AC818" s="849">
        <v>0.0</v>
      </c>
      <c r="AD818" s="849">
        <v>0.0</v>
      </c>
      <c r="AE818" s="849">
        <v>0.0</v>
      </c>
      <c r="AF818" s="849">
        <v>0.0</v>
      </c>
      <c r="AG818" s="849">
        <v>0.0</v>
      </c>
      <c r="AH818" s="849">
        <v>0.0</v>
      </c>
      <c r="AI818" s="849">
        <v>0.0</v>
      </c>
      <c r="AJ818" s="794" t="str">
        <f t="shared" ref="AJ818:AK818" si="1633">C818</f>
        <v>G67840</v>
      </c>
      <c r="AK818" s="794" t="str">
        <f t="shared" si="1633"/>
        <v>COUT-P&amp;A GOODW CAM MOYEN</v>
      </c>
      <c r="AL818" s="794">
        <f t="array" ref="AL818">IFERROR(INDEX(G818:R818,1,MATCH(Parametres!$B$3,G$1:R$1,0)-1)*IF(OR(F818="L",F818="S",F818="I"),-1,1),"")</f>
        <v>0</v>
      </c>
      <c r="AM818" s="794">
        <f t="shared" si="4"/>
        <v>0</v>
      </c>
      <c r="AN818" s="794">
        <f t="array" ref="AN818">INDEX(G818:R818,1,MATCH(Parametres!$B$3,G$1:R$1,0))*IF(OR(F818="L",F818="S",F818="I"),-1,1)</f>
        <v>0</v>
      </c>
      <c r="AO818" s="853" t="str">
        <f>+VLOOKUP($AJ818,Data_Validation!$A:$D,1,0)</f>
        <v>#N/A</v>
      </c>
      <c r="AP818" s="853" t="str">
        <f>+VLOOKUP($AJ818,Data_Validation!$A:$D,3,0)</f>
        <v>#N/A</v>
      </c>
      <c r="AQ818" s="853" t="str">
        <f>+VLOOKUP($AJ818,Data_Validation!$A:$D,4,0)</f>
        <v>#N/A</v>
      </c>
      <c r="AR818" s="853" t="s">
        <v>728</v>
      </c>
      <c r="AS818" s="853" t="str">
        <f>+VLOOKUP($AJ818,Data_Validation!$A:$E,5,0)</f>
        <v>#N/A</v>
      </c>
      <c r="AT818" s="794" t="str">
        <f t="shared" ref="AT818:AU818" si="1634">C818</f>
        <v>G67840</v>
      </c>
      <c r="AU818" s="854" t="str">
        <f t="shared" si="1634"/>
        <v>COUT-P&amp;A GOODW CAM MOYEN</v>
      </c>
      <c r="AV818" s="794">
        <f t="array" ref="AV818">IFERROR(INDEX(V818:AG818,1,MATCH(Parametres!$B$3,V$1:AG$1,0)-1)*IF(OR(C818="L",C818="S",C818="I"),-1,1),"")</f>
        <v>0</v>
      </c>
      <c r="AW818" s="794">
        <f t="shared" si="6"/>
        <v>0</v>
      </c>
      <c r="AX818" s="794">
        <f t="array" ref="AX818">INDEX(V818:AG818,1,MATCH(Parametres!$B$3,V$1:AG$1,0))*IF(OR(C818="L",C818="S",C818="I"),-1,1)</f>
        <v>0</v>
      </c>
      <c r="AY818" s="853" t="s">
        <v>772</v>
      </c>
      <c r="AZ818" s="853" t="str">
        <f>+VLOOKUP($AJ818,Data_Validation!$A:$E,5,0)</f>
        <v>#N/A</v>
      </c>
    </row>
    <row r="819" ht="15.0" customHeight="1">
      <c r="A819" s="849" t="s">
        <v>1239</v>
      </c>
      <c r="B819" s="849">
        <v>2025.0</v>
      </c>
      <c r="C819" s="849" t="s">
        <v>1134</v>
      </c>
      <c r="D819" s="849" t="s">
        <v>3226</v>
      </c>
      <c r="E819" s="849" t="s">
        <v>768</v>
      </c>
      <c r="F819" s="849" t="s">
        <v>2855</v>
      </c>
      <c r="G819" s="849">
        <v>4046.09</v>
      </c>
      <c r="H819" s="849">
        <v>9233.3</v>
      </c>
      <c r="I819" s="849">
        <v>15455.42</v>
      </c>
      <c r="J819" s="849">
        <v>19892.54</v>
      </c>
      <c r="K819" s="849">
        <v>26746.46</v>
      </c>
      <c r="L819" s="849">
        <v>33395.5</v>
      </c>
      <c r="M819" s="849">
        <v>38708.89</v>
      </c>
      <c r="N819" s="849">
        <v>45022.33</v>
      </c>
      <c r="O819" s="849">
        <v>51057.74</v>
      </c>
      <c r="P819" s="849">
        <v>56199.42</v>
      </c>
      <c r="Q819" s="849">
        <v>69852.99</v>
      </c>
      <c r="R819" s="849">
        <v>78963.67</v>
      </c>
      <c r="S819" s="849">
        <v>6350.27</v>
      </c>
      <c r="T819" s="849">
        <v>6350.27</v>
      </c>
      <c r="U819" s="849">
        <v>0.0</v>
      </c>
      <c r="V819" s="849">
        <v>0.0</v>
      </c>
      <c r="W819" s="849">
        <v>0.0</v>
      </c>
      <c r="X819" s="849">
        <v>0.0</v>
      </c>
      <c r="Y819" s="849">
        <v>0.0</v>
      </c>
      <c r="Z819" s="849">
        <v>0.0</v>
      </c>
      <c r="AA819" s="849">
        <v>0.0</v>
      </c>
      <c r="AB819" s="849">
        <v>0.0</v>
      </c>
      <c r="AC819" s="849">
        <v>0.0</v>
      </c>
      <c r="AD819" s="849">
        <v>0.0</v>
      </c>
      <c r="AE819" s="849">
        <v>0.0</v>
      </c>
      <c r="AF819" s="849">
        <v>0.0</v>
      </c>
      <c r="AG819" s="849">
        <v>0.0</v>
      </c>
      <c r="AH819" s="849">
        <v>0.0</v>
      </c>
      <c r="AI819" s="849">
        <v>0.0</v>
      </c>
      <c r="AJ819" s="794" t="str">
        <f t="shared" ref="AJ819:AK819" si="1635">C819</f>
        <v>G67900</v>
      </c>
      <c r="AK819" s="794" t="str">
        <f t="shared" si="1635"/>
        <v>COUT-PEINTURE CARROSSERIE</v>
      </c>
      <c r="AL819" s="794">
        <f t="array" ref="AL819">IFERROR(INDEX(G819:R819,1,MATCH(Parametres!$B$3,G$1:R$1,0)-1)*IF(OR(F819="L",F819="S",F819="I"),-1,1),"")</f>
        <v>45022.33</v>
      </c>
      <c r="AM819" s="794">
        <f t="shared" si="4"/>
        <v>6035.41</v>
      </c>
      <c r="AN819" s="794">
        <f t="array" ref="AN819">INDEX(G819:R819,1,MATCH(Parametres!$B$3,G$1:R$1,0))*IF(OR(F819="L",F819="S",F819="I"),-1,1)</f>
        <v>51057.74</v>
      </c>
      <c r="AO819" s="853" t="str">
        <f>+VLOOKUP($AJ819,Data_Validation!$A:$D,1,0)</f>
        <v>G67900</v>
      </c>
      <c r="AP819" s="853" t="str">
        <f>+VLOOKUP($AJ819,Data_Validation!$A:$D,3,0)</f>
        <v>Carrosserie</v>
      </c>
      <c r="AQ819" s="853" t="str">
        <f>+VLOOKUP($AJ819,Data_Validation!$A:$D,4,0)</f>
        <v>Carrosserie Clients</v>
      </c>
      <c r="AR819" s="853" t="s">
        <v>728</v>
      </c>
      <c r="AS819" s="853" t="str">
        <f>+VLOOKUP($AJ819,Data_Validation!$A:$E,5,0)</f>
        <v/>
      </c>
      <c r="AT819" s="794" t="str">
        <f t="shared" ref="AT819:AU819" si="1636">C819</f>
        <v>G67900</v>
      </c>
      <c r="AU819" s="854" t="str">
        <f t="shared" si="1636"/>
        <v>COUT-PEINTURE CARROSSERIE</v>
      </c>
      <c r="AV819" s="794">
        <f t="array" ref="AV819">IFERROR(INDEX(V819:AG819,1,MATCH(Parametres!$B$3,V$1:AG$1,0)-1)*IF(OR(C819="L",C819="S",C819="I"),-1,1),"")</f>
        <v>0</v>
      </c>
      <c r="AW819" s="794">
        <f t="shared" si="6"/>
        <v>0</v>
      </c>
      <c r="AX819" s="794">
        <f t="array" ref="AX819">INDEX(V819:AG819,1,MATCH(Parametres!$B$3,V$1:AG$1,0))*IF(OR(C819="L",C819="S",C819="I"),-1,1)</f>
        <v>0</v>
      </c>
      <c r="AY819" s="853" t="s">
        <v>772</v>
      </c>
      <c r="AZ819" s="853" t="str">
        <f>+VLOOKUP($AJ819,Data_Validation!$A:$E,5,0)</f>
        <v/>
      </c>
    </row>
    <row r="820" ht="15.0" customHeight="1">
      <c r="A820" s="849" t="s">
        <v>1239</v>
      </c>
      <c r="B820" s="849">
        <v>2025.0</v>
      </c>
      <c r="C820" s="849" t="s">
        <v>3232</v>
      </c>
      <c r="D820" s="849" t="s">
        <v>3233</v>
      </c>
      <c r="E820" s="849" t="s">
        <v>768</v>
      </c>
      <c r="F820" s="849" t="s">
        <v>2855</v>
      </c>
      <c r="G820" s="849">
        <v>30007.07</v>
      </c>
      <c r="H820" s="849">
        <v>62565.15</v>
      </c>
      <c r="I820" s="849">
        <v>122721.07</v>
      </c>
      <c r="J820" s="849">
        <v>145643.43</v>
      </c>
      <c r="K820" s="849">
        <v>193885.36</v>
      </c>
      <c r="L820" s="849">
        <v>240591.02</v>
      </c>
      <c r="M820" s="849">
        <v>263525.79</v>
      </c>
      <c r="N820" s="849">
        <v>308234.84</v>
      </c>
      <c r="O820" s="849">
        <v>363639.59</v>
      </c>
      <c r="P820" s="849">
        <v>397598.97</v>
      </c>
      <c r="Q820" s="849">
        <v>416461.67</v>
      </c>
      <c r="R820" s="849">
        <v>439798.1</v>
      </c>
      <c r="S820" s="849">
        <v>37860.15</v>
      </c>
      <c r="T820" s="849">
        <v>37860.15</v>
      </c>
      <c r="U820" s="849">
        <v>0.0</v>
      </c>
      <c r="V820" s="849">
        <v>0.0</v>
      </c>
      <c r="W820" s="849">
        <v>0.0</v>
      </c>
      <c r="X820" s="849">
        <v>0.0</v>
      </c>
      <c r="Y820" s="849">
        <v>0.0</v>
      </c>
      <c r="Z820" s="849">
        <v>0.0</v>
      </c>
      <c r="AA820" s="849">
        <v>0.0</v>
      </c>
      <c r="AB820" s="849">
        <v>0.0</v>
      </c>
      <c r="AC820" s="849">
        <v>0.0</v>
      </c>
      <c r="AD820" s="849">
        <v>0.0</v>
      </c>
      <c r="AE820" s="849">
        <v>0.0</v>
      </c>
      <c r="AF820" s="849">
        <v>0.0</v>
      </c>
      <c r="AG820" s="849">
        <v>0.0</v>
      </c>
      <c r="AH820" s="849">
        <v>0.0</v>
      </c>
      <c r="AI820" s="849">
        <v>0.0</v>
      </c>
      <c r="AJ820" s="794" t="str">
        <f t="shared" ref="AJ820:AK820" si="1637">C820</f>
        <v>G68000</v>
      </c>
      <c r="AK820" s="794" t="str">
        <f t="shared" si="1637"/>
        <v>COUT-PIECE GARANTIE</v>
      </c>
      <c r="AL820" s="794">
        <f t="array" ref="AL820">IFERROR(INDEX(G820:R820,1,MATCH(Parametres!$B$3,G$1:R$1,0)-1)*IF(OR(F820="L",F820="S",F820="I"),-1,1),"")</f>
        <v>308234.84</v>
      </c>
      <c r="AM820" s="794">
        <f t="shared" si="4"/>
        <v>55404.75</v>
      </c>
      <c r="AN820" s="794">
        <f t="array" ref="AN820">INDEX(G820:R820,1,MATCH(Parametres!$B$3,G$1:R$1,0))*IF(OR(F820="L",F820="S",F820="I"),-1,1)</f>
        <v>363639.59</v>
      </c>
      <c r="AO820" s="853" t="str">
        <f>+VLOOKUP($AJ820,Data_Validation!$A:$D,1,0)</f>
        <v>G68000</v>
      </c>
      <c r="AP820" s="853" t="str">
        <f>+VLOOKUP($AJ820,Data_Validation!$A:$D,3,0)</f>
        <v>Pièces</v>
      </c>
      <c r="AQ820" s="853" t="str">
        <f>+VLOOKUP($AJ820,Data_Validation!$A:$D,4,0)</f>
        <v>P/A Garantie</v>
      </c>
      <c r="AR820" s="853" t="s">
        <v>728</v>
      </c>
      <c r="AS820" s="853" t="str">
        <f>+VLOOKUP($AJ820,Data_Validation!$A:$E,5,0)</f>
        <v/>
      </c>
      <c r="AT820" s="794" t="str">
        <f t="shared" ref="AT820:AU820" si="1638">C820</f>
        <v>G68000</v>
      </c>
      <c r="AU820" s="854" t="str">
        <f t="shared" si="1638"/>
        <v>COUT-PIECE GARANTIE</v>
      </c>
      <c r="AV820" s="794">
        <f t="array" ref="AV820">IFERROR(INDEX(V820:AG820,1,MATCH(Parametres!$B$3,V$1:AG$1,0)-1)*IF(OR(C820="L",C820="S",C820="I"),-1,1),"")</f>
        <v>0</v>
      </c>
      <c r="AW820" s="794">
        <f t="shared" si="6"/>
        <v>0</v>
      </c>
      <c r="AX820" s="794">
        <f t="array" ref="AX820">INDEX(V820:AG820,1,MATCH(Parametres!$B$3,V$1:AG$1,0))*IF(OR(C820="L",C820="S",C820="I"),-1,1)</f>
        <v>0</v>
      </c>
      <c r="AY820" s="853" t="s">
        <v>772</v>
      </c>
      <c r="AZ820" s="853" t="str">
        <f>+VLOOKUP($AJ820,Data_Validation!$A:$E,5,0)</f>
        <v/>
      </c>
    </row>
    <row r="821" ht="15.0" customHeight="1">
      <c r="A821" s="849" t="s">
        <v>1239</v>
      </c>
      <c r="B821" s="849">
        <v>2025.0</v>
      </c>
      <c r="C821" s="849" t="s">
        <v>3234</v>
      </c>
      <c r="D821" s="849" t="s">
        <v>3235</v>
      </c>
      <c r="E821" s="849" t="s">
        <v>768</v>
      </c>
      <c r="F821" s="849" t="s">
        <v>2855</v>
      </c>
      <c r="G821" s="849">
        <v>0.0</v>
      </c>
      <c r="H821" s="849">
        <v>0.0</v>
      </c>
      <c r="I821" s="849">
        <v>0.0</v>
      </c>
      <c r="J821" s="849">
        <v>0.0</v>
      </c>
      <c r="K821" s="849">
        <v>0.0</v>
      </c>
      <c r="L821" s="849">
        <v>0.0</v>
      </c>
      <c r="M821" s="849">
        <v>0.0</v>
      </c>
      <c r="N821" s="849">
        <v>0.0</v>
      </c>
      <c r="O821" s="849">
        <v>0.0</v>
      </c>
      <c r="P821" s="849">
        <v>0.0</v>
      </c>
      <c r="Q821" s="849">
        <v>0.0</v>
      </c>
      <c r="R821" s="849">
        <v>0.0</v>
      </c>
      <c r="S821" s="849">
        <v>0.0</v>
      </c>
      <c r="T821" s="849">
        <v>0.0</v>
      </c>
      <c r="U821" s="849">
        <v>0.0</v>
      </c>
      <c r="V821" s="849">
        <v>0.0</v>
      </c>
      <c r="W821" s="849">
        <v>0.0</v>
      </c>
      <c r="X821" s="849">
        <v>0.0</v>
      </c>
      <c r="Y821" s="849">
        <v>0.0</v>
      </c>
      <c r="Z821" s="849">
        <v>0.0</v>
      </c>
      <c r="AA821" s="849">
        <v>0.0</v>
      </c>
      <c r="AB821" s="849">
        <v>0.0</v>
      </c>
      <c r="AC821" s="849">
        <v>0.0</v>
      </c>
      <c r="AD821" s="849">
        <v>0.0</v>
      </c>
      <c r="AE821" s="849">
        <v>0.0</v>
      </c>
      <c r="AF821" s="849">
        <v>0.0</v>
      </c>
      <c r="AG821" s="849">
        <v>0.0</v>
      </c>
      <c r="AH821" s="849">
        <v>0.0</v>
      </c>
      <c r="AI821" s="849">
        <v>0.0</v>
      </c>
      <c r="AJ821" s="794" t="str">
        <f t="shared" ref="AJ821:AK821" si="1639">C821</f>
        <v>G68020</v>
      </c>
      <c r="AK821" s="794" t="str">
        <f t="shared" si="1639"/>
        <v>COUT-P&amp;A RECLAM.CAM MOYEN</v>
      </c>
      <c r="AL821" s="794">
        <f t="array" ref="AL821">IFERROR(INDEX(G821:R821,1,MATCH(Parametres!$B$3,G$1:R$1,0)-1)*IF(OR(F821="L",F821="S",F821="I"),-1,1),"")</f>
        <v>0</v>
      </c>
      <c r="AM821" s="794">
        <f t="shared" si="4"/>
        <v>0</v>
      </c>
      <c r="AN821" s="794">
        <f t="array" ref="AN821">INDEX(G821:R821,1,MATCH(Parametres!$B$3,G$1:R$1,0))*IF(OR(F821="L",F821="S",F821="I"),-1,1)</f>
        <v>0</v>
      </c>
      <c r="AO821" s="853" t="str">
        <f>+VLOOKUP($AJ821,Data_Validation!$A:$D,1,0)</f>
        <v>G68020</v>
      </c>
      <c r="AP821" s="853" t="str">
        <f>+VLOOKUP($AJ821,Data_Validation!$A:$D,3,0)</f>
        <v>Pièces</v>
      </c>
      <c r="AQ821" s="853" t="str">
        <f>+VLOOKUP($AJ821,Data_Validation!$A:$D,4,0)</f>
        <v>P/A Garantie</v>
      </c>
      <c r="AR821" s="853" t="s">
        <v>728</v>
      </c>
      <c r="AS821" s="853" t="str">
        <f>+VLOOKUP($AJ821,Data_Validation!$A:$E,5,0)</f>
        <v/>
      </c>
      <c r="AT821" s="794" t="str">
        <f t="shared" ref="AT821:AU821" si="1640">C821</f>
        <v>G68020</v>
      </c>
      <c r="AU821" s="854" t="str">
        <f t="shared" si="1640"/>
        <v>COUT-P&amp;A RECLAM.CAM MOYEN</v>
      </c>
      <c r="AV821" s="794">
        <f t="array" ref="AV821">IFERROR(INDEX(V821:AG821,1,MATCH(Parametres!$B$3,V$1:AG$1,0)-1)*IF(OR(C821="L",C821="S",C821="I"),-1,1),"")</f>
        <v>0</v>
      </c>
      <c r="AW821" s="794">
        <f t="shared" si="6"/>
        <v>0</v>
      </c>
      <c r="AX821" s="794">
        <f t="array" ref="AX821">INDEX(V821:AG821,1,MATCH(Parametres!$B$3,V$1:AG$1,0))*IF(OR(C821="L",C821="S",C821="I"),-1,1)</f>
        <v>0</v>
      </c>
      <c r="AY821" s="853" t="s">
        <v>772</v>
      </c>
      <c r="AZ821" s="853" t="str">
        <f>+VLOOKUP($AJ821,Data_Validation!$A:$E,5,0)</f>
        <v/>
      </c>
    </row>
    <row r="822" ht="15.0" customHeight="1">
      <c r="A822" s="849" t="s">
        <v>1239</v>
      </c>
      <c r="B822" s="849">
        <v>2025.0</v>
      </c>
      <c r="C822" s="849" t="s">
        <v>3236</v>
      </c>
      <c r="D822" s="849" t="s">
        <v>3237</v>
      </c>
      <c r="E822" s="849" t="s">
        <v>768</v>
      </c>
      <c r="F822" s="849" t="s">
        <v>2855</v>
      </c>
      <c r="G822" s="849">
        <v>85696.17</v>
      </c>
      <c r="H822" s="849">
        <v>132071.09</v>
      </c>
      <c r="I822" s="849">
        <v>169149.15</v>
      </c>
      <c r="J822" s="849">
        <v>207938.83</v>
      </c>
      <c r="K822" s="849">
        <v>259750.99</v>
      </c>
      <c r="L822" s="849">
        <v>289396.02</v>
      </c>
      <c r="M822" s="849">
        <v>333434.98</v>
      </c>
      <c r="N822" s="849">
        <v>359862.83</v>
      </c>
      <c r="O822" s="849">
        <v>393397.43</v>
      </c>
      <c r="P822" s="849">
        <v>427763.53</v>
      </c>
      <c r="Q822" s="849">
        <v>459263.88</v>
      </c>
      <c r="R822" s="849">
        <v>488607.44</v>
      </c>
      <c r="S822" s="849">
        <v>41751.26</v>
      </c>
      <c r="T822" s="849">
        <v>41751.26</v>
      </c>
      <c r="U822" s="849">
        <v>0.0</v>
      </c>
      <c r="V822" s="849">
        <v>0.0</v>
      </c>
      <c r="W822" s="849">
        <v>0.0</v>
      </c>
      <c r="X822" s="849">
        <v>0.0</v>
      </c>
      <c r="Y822" s="849">
        <v>0.0</v>
      </c>
      <c r="Z822" s="849">
        <v>0.0</v>
      </c>
      <c r="AA822" s="849">
        <v>0.0</v>
      </c>
      <c r="AB822" s="849">
        <v>0.0</v>
      </c>
      <c r="AC822" s="849">
        <v>0.0</v>
      </c>
      <c r="AD822" s="849">
        <v>0.0</v>
      </c>
      <c r="AE822" s="849">
        <v>0.0</v>
      </c>
      <c r="AF822" s="849">
        <v>0.0</v>
      </c>
      <c r="AG822" s="849">
        <v>0.0</v>
      </c>
      <c r="AH822" s="849">
        <v>0.0</v>
      </c>
      <c r="AI822" s="849">
        <v>0.0</v>
      </c>
      <c r="AJ822" s="794" t="str">
        <f t="shared" ref="AJ822:AK822" si="1641">C822</f>
        <v>G68100</v>
      </c>
      <c r="AK822" s="794" t="str">
        <f t="shared" si="1641"/>
        <v>COUT-PIECES INTERNE</v>
      </c>
      <c r="AL822" s="794">
        <f t="array" ref="AL822">IFERROR(INDEX(G822:R822,1,MATCH(Parametres!$B$3,G$1:R$1,0)-1)*IF(OR(F822="L",F822="S",F822="I"),-1,1),"")</f>
        <v>359862.83</v>
      </c>
      <c r="AM822" s="794">
        <f t="shared" si="4"/>
        <v>33534.6</v>
      </c>
      <c r="AN822" s="794">
        <f t="array" ref="AN822">INDEX(G822:R822,1,MATCH(Parametres!$B$3,G$1:R$1,0))*IF(OR(F822="L",F822="S",F822="I"),-1,1)</f>
        <v>393397.43</v>
      </c>
      <c r="AO822" s="853" t="str">
        <f>+VLOOKUP($AJ822,Data_Validation!$A:$D,1,0)</f>
        <v>G68100</v>
      </c>
      <c r="AP822" s="853" t="str">
        <f>+VLOOKUP($AJ822,Data_Validation!$A:$D,3,0)</f>
        <v>Pièces</v>
      </c>
      <c r="AQ822" s="853" t="str">
        <f>+VLOOKUP($AJ822,Data_Validation!$A:$D,4,0)</f>
        <v>Ventes Internes</v>
      </c>
      <c r="AR822" s="853" t="s">
        <v>728</v>
      </c>
      <c r="AS822" s="853" t="str">
        <f>+VLOOKUP($AJ822,Data_Validation!$A:$E,5,0)</f>
        <v/>
      </c>
      <c r="AT822" s="794" t="str">
        <f t="shared" ref="AT822:AU822" si="1642">C822</f>
        <v>G68100</v>
      </c>
      <c r="AU822" s="854" t="str">
        <f t="shared" si="1642"/>
        <v>COUT-PIECES INTERNE</v>
      </c>
      <c r="AV822" s="794">
        <f t="array" ref="AV822">IFERROR(INDEX(V822:AG822,1,MATCH(Parametres!$B$3,V$1:AG$1,0)-1)*IF(OR(C822="L",C822="S",C822="I"),-1,1),"")</f>
        <v>0</v>
      </c>
      <c r="AW822" s="794">
        <f t="shared" si="6"/>
        <v>0</v>
      </c>
      <c r="AX822" s="794">
        <f t="array" ref="AX822">INDEX(V822:AG822,1,MATCH(Parametres!$B$3,V$1:AG$1,0))*IF(OR(C822="L",C822="S",C822="I"),-1,1)</f>
        <v>0</v>
      </c>
      <c r="AY822" s="853" t="s">
        <v>772</v>
      </c>
      <c r="AZ822" s="853" t="str">
        <f>+VLOOKUP($AJ822,Data_Validation!$A:$E,5,0)</f>
        <v/>
      </c>
    </row>
    <row r="823" ht="15.0" customHeight="1">
      <c r="A823" s="849" t="s">
        <v>1239</v>
      </c>
      <c r="B823" s="849">
        <v>2025.0</v>
      </c>
      <c r="C823" s="849" t="s">
        <v>3238</v>
      </c>
      <c r="D823" s="849" t="s">
        <v>3239</v>
      </c>
      <c r="E823" s="849" t="s">
        <v>768</v>
      </c>
      <c r="F823" s="849" t="s">
        <v>2855</v>
      </c>
      <c r="G823" s="849">
        <v>0.0</v>
      </c>
      <c r="H823" s="849">
        <v>0.0</v>
      </c>
      <c r="I823" s="849">
        <v>0.0</v>
      </c>
      <c r="J823" s="849">
        <v>0.0</v>
      </c>
      <c r="K823" s="849">
        <v>0.0</v>
      </c>
      <c r="L823" s="849">
        <v>0.0</v>
      </c>
      <c r="M823" s="849">
        <v>0.0</v>
      </c>
      <c r="N823" s="849">
        <v>0.0</v>
      </c>
      <c r="O823" s="849">
        <v>0.0</v>
      </c>
      <c r="P823" s="849">
        <v>0.0</v>
      </c>
      <c r="Q823" s="849">
        <v>0.0</v>
      </c>
      <c r="R823" s="849">
        <v>0.0</v>
      </c>
      <c r="S823" s="849">
        <v>0.0</v>
      </c>
      <c r="T823" s="849">
        <v>0.0</v>
      </c>
      <c r="U823" s="849">
        <v>0.0</v>
      </c>
      <c r="V823" s="849">
        <v>0.0</v>
      </c>
      <c r="W823" s="849">
        <v>0.0</v>
      </c>
      <c r="X823" s="849">
        <v>0.0</v>
      </c>
      <c r="Y823" s="849">
        <v>0.0</v>
      </c>
      <c r="Z823" s="849">
        <v>0.0</v>
      </c>
      <c r="AA823" s="849">
        <v>0.0</v>
      </c>
      <c r="AB823" s="849">
        <v>0.0</v>
      </c>
      <c r="AC823" s="849">
        <v>0.0</v>
      </c>
      <c r="AD823" s="849">
        <v>0.0</v>
      </c>
      <c r="AE823" s="849">
        <v>0.0</v>
      </c>
      <c r="AF823" s="849">
        <v>0.0</v>
      </c>
      <c r="AG823" s="849">
        <v>0.0</v>
      </c>
      <c r="AH823" s="849">
        <v>0.0</v>
      </c>
      <c r="AI823" s="849">
        <v>0.0</v>
      </c>
      <c r="AJ823" s="794" t="str">
        <f t="shared" ref="AJ823:AK823" si="1643">C823</f>
        <v>G68120</v>
      </c>
      <c r="AK823" s="794" t="str">
        <f t="shared" si="1643"/>
        <v>COUT-P&amp;A INTERN CAM MOYEN</v>
      </c>
      <c r="AL823" s="794">
        <f t="array" ref="AL823">IFERROR(INDEX(G823:R823,1,MATCH(Parametres!$B$3,G$1:R$1,0)-1)*IF(OR(F823="L",F823="S",F823="I"),-1,1),"")</f>
        <v>0</v>
      </c>
      <c r="AM823" s="794">
        <f t="shared" si="4"/>
        <v>0</v>
      </c>
      <c r="AN823" s="794">
        <f t="array" ref="AN823">INDEX(G823:R823,1,MATCH(Parametres!$B$3,G$1:R$1,0))*IF(OR(F823="L",F823="S",F823="I"),-1,1)</f>
        <v>0</v>
      </c>
      <c r="AO823" s="853" t="str">
        <f>+VLOOKUP($AJ823,Data_Validation!$A:$D,1,0)</f>
        <v>G68120</v>
      </c>
      <c r="AP823" s="853" t="str">
        <f>+VLOOKUP($AJ823,Data_Validation!$A:$D,3,0)</f>
        <v>Pièces</v>
      </c>
      <c r="AQ823" s="853" t="str">
        <f>+VLOOKUP($AJ823,Data_Validation!$A:$D,4,0)</f>
        <v>Ventes Internes</v>
      </c>
      <c r="AR823" s="853" t="s">
        <v>728</v>
      </c>
      <c r="AS823" s="853" t="str">
        <f>+VLOOKUP($AJ823,Data_Validation!$A:$E,5,0)</f>
        <v/>
      </c>
      <c r="AT823" s="794" t="str">
        <f t="shared" ref="AT823:AU823" si="1644">C823</f>
        <v>G68120</v>
      </c>
      <c r="AU823" s="854" t="str">
        <f t="shared" si="1644"/>
        <v>COUT-P&amp;A INTERN CAM MOYEN</v>
      </c>
      <c r="AV823" s="794">
        <f t="array" ref="AV823">IFERROR(INDEX(V823:AG823,1,MATCH(Parametres!$B$3,V$1:AG$1,0)-1)*IF(OR(C823="L",C823="S",C823="I"),-1,1),"")</f>
        <v>0</v>
      </c>
      <c r="AW823" s="794">
        <f t="shared" si="6"/>
        <v>0</v>
      </c>
      <c r="AX823" s="794">
        <f t="array" ref="AX823">INDEX(V823:AG823,1,MATCH(Parametres!$B$3,V$1:AG$1,0))*IF(OR(C823="L",C823="S",C823="I"),-1,1)</f>
        <v>0</v>
      </c>
      <c r="AY823" s="853" t="s">
        <v>772</v>
      </c>
      <c r="AZ823" s="853" t="str">
        <f>+VLOOKUP($AJ823,Data_Validation!$A:$E,5,0)</f>
        <v/>
      </c>
    </row>
    <row r="824" ht="15.0" customHeight="1">
      <c r="A824" s="849" t="s">
        <v>1239</v>
      </c>
      <c r="B824" s="849">
        <v>2025.0</v>
      </c>
      <c r="C824" s="849" t="s">
        <v>3240</v>
      </c>
      <c r="D824" s="849" t="s">
        <v>3241</v>
      </c>
      <c r="E824" s="849" t="s">
        <v>768</v>
      </c>
      <c r="F824" s="849" t="s">
        <v>2855</v>
      </c>
      <c r="G824" s="849">
        <v>31930.05</v>
      </c>
      <c r="H824" s="849">
        <v>50062.53</v>
      </c>
      <c r="I824" s="849">
        <v>76401.95</v>
      </c>
      <c r="J824" s="849">
        <v>92860.85</v>
      </c>
      <c r="K824" s="849">
        <v>121104.63</v>
      </c>
      <c r="L824" s="849">
        <v>146530.2</v>
      </c>
      <c r="M824" s="849">
        <v>164680.57</v>
      </c>
      <c r="N824" s="849">
        <v>194035.92</v>
      </c>
      <c r="O824" s="849">
        <v>215163.27</v>
      </c>
      <c r="P824" s="849">
        <v>235574.63</v>
      </c>
      <c r="Q824" s="849">
        <v>265114.04</v>
      </c>
      <c r="R824" s="849">
        <v>282602.95</v>
      </c>
      <c r="S824" s="849">
        <v>24101.28</v>
      </c>
      <c r="T824" s="849">
        <v>24101.28</v>
      </c>
      <c r="U824" s="849">
        <v>0.0</v>
      </c>
      <c r="V824" s="849">
        <v>0.0</v>
      </c>
      <c r="W824" s="849">
        <v>0.0</v>
      </c>
      <c r="X824" s="849">
        <v>0.0</v>
      </c>
      <c r="Y824" s="849">
        <v>0.0</v>
      </c>
      <c r="Z824" s="849">
        <v>0.0</v>
      </c>
      <c r="AA824" s="849">
        <v>0.0</v>
      </c>
      <c r="AB824" s="849">
        <v>0.0</v>
      </c>
      <c r="AC824" s="849">
        <v>0.0</v>
      </c>
      <c r="AD824" s="849">
        <v>0.0</v>
      </c>
      <c r="AE824" s="849">
        <v>0.0</v>
      </c>
      <c r="AF824" s="849">
        <v>0.0</v>
      </c>
      <c r="AG824" s="849">
        <v>0.0</v>
      </c>
      <c r="AH824" s="849">
        <v>0.0</v>
      </c>
      <c r="AI824" s="849">
        <v>0.0</v>
      </c>
      <c r="AJ824" s="794" t="str">
        <f t="shared" ref="AJ824:AK824" si="1645">C824</f>
        <v>G68200</v>
      </c>
      <c r="AK824" s="794" t="str">
        <f t="shared" si="1645"/>
        <v>COUT-PIECES AU DETAIL</v>
      </c>
      <c r="AL824" s="794">
        <f t="array" ref="AL824">IFERROR(INDEX(G824:R824,1,MATCH(Parametres!$B$3,G$1:R$1,0)-1)*IF(OR(F824="L",F824="S",F824="I"),-1,1),"")</f>
        <v>194035.92</v>
      </c>
      <c r="AM824" s="794">
        <f t="shared" si="4"/>
        <v>21127.35</v>
      </c>
      <c r="AN824" s="794">
        <f t="array" ref="AN824">INDEX(G824:R824,1,MATCH(Parametres!$B$3,G$1:R$1,0))*IF(OR(F824="L",F824="S",F824="I"),-1,1)</f>
        <v>215163.27</v>
      </c>
      <c r="AO824" s="853" t="str">
        <f>+VLOOKUP($AJ824,Data_Validation!$A:$D,1,0)</f>
        <v>G68200</v>
      </c>
      <c r="AP824" s="853" t="str">
        <f>+VLOOKUP($AJ824,Data_Validation!$A:$D,3,0)</f>
        <v>Pièces</v>
      </c>
      <c r="AQ824" s="853" t="str">
        <f>+VLOOKUP($AJ824,Data_Validation!$A:$D,4,0)</f>
        <v>Ventes Détails</v>
      </c>
      <c r="AR824" s="853" t="s">
        <v>728</v>
      </c>
      <c r="AS824" s="853" t="str">
        <f>+VLOOKUP($AJ824,Data_Validation!$A:$E,5,0)</f>
        <v/>
      </c>
      <c r="AT824" s="794" t="str">
        <f t="shared" ref="AT824:AU824" si="1646">C824</f>
        <v>G68200</v>
      </c>
      <c r="AU824" s="854" t="str">
        <f t="shared" si="1646"/>
        <v>COUT-PIECES AU DETAIL</v>
      </c>
      <c r="AV824" s="794">
        <f t="array" ref="AV824">IFERROR(INDEX(V824:AG824,1,MATCH(Parametres!$B$3,V$1:AG$1,0)-1)*IF(OR(C824="L",C824="S",C824="I"),-1,1),"")</f>
        <v>0</v>
      </c>
      <c r="AW824" s="794">
        <f t="shared" si="6"/>
        <v>0</v>
      </c>
      <c r="AX824" s="794">
        <f t="array" ref="AX824">INDEX(V824:AG824,1,MATCH(Parametres!$B$3,V$1:AG$1,0))*IF(OR(C824="L",C824="S",C824="I"),-1,1)</f>
        <v>0</v>
      </c>
      <c r="AY824" s="853" t="s">
        <v>772</v>
      </c>
      <c r="AZ824" s="853" t="str">
        <f>+VLOOKUP($AJ824,Data_Validation!$A:$E,5,0)</f>
        <v/>
      </c>
    </row>
    <row r="825" ht="15.0" customHeight="1">
      <c r="A825" s="849" t="s">
        <v>1239</v>
      </c>
      <c r="B825" s="849">
        <v>2025.0</v>
      </c>
      <c r="C825" s="849" t="s">
        <v>3242</v>
      </c>
      <c r="D825" s="849" t="s">
        <v>3243</v>
      </c>
      <c r="E825" s="849" t="s">
        <v>768</v>
      </c>
      <c r="F825" s="849" t="s">
        <v>2855</v>
      </c>
      <c r="G825" s="849">
        <v>99565.47</v>
      </c>
      <c r="H825" s="849">
        <v>232741.94</v>
      </c>
      <c r="I825" s="849">
        <v>361273.17</v>
      </c>
      <c r="J825" s="849">
        <v>517536.09</v>
      </c>
      <c r="K825" s="849">
        <v>644822.95</v>
      </c>
      <c r="L825" s="849">
        <v>758569.82</v>
      </c>
      <c r="M825" s="849">
        <v>851383.4</v>
      </c>
      <c r="N825" s="849">
        <v>970163.52</v>
      </c>
      <c r="O825" s="849">
        <v>1119693.37</v>
      </c>
      <c r="P825" s="849">
        <v>1192575.26</v>
      </c>
      <c r="Q825" s="849">
        <v>1278291.9</v>
      </c>
      <c r="R825" s="849">
        <v>1382002.55</v>
      </c>
      <c r="S825" s="849">
        <v>116208.35</v>
      </c>
      <c r="T825" s="849">
        <v>116208.35</v>
      </c>
      <c r="U825" s="849">
        <v>0.0</v>
      </c>
      <c r="V825" s="849">
        <v>0.0</v>
      </c>
      <c r="W825" s="849">
        <v>0.0</v>
      </c>
      <c r="X825" s="849">
        <v>0.0</v>
      </c>
      <c r="Y825" s="849">
        <v>0.0</v>
      </c>
      <c r="Z825" s="849">
        <v>0.0</v>
      </c>
      <c r="AA825" s="849">
        <v>0.0</v>
      </c>
      <c r="AB825" s="849">
        <v>0.0</v>
      </c>
      <c r="AC825" s="849">
        <v>0.0</v>
      </c>
      <c r="AD825" s="849">
        <v>0.0</v>
      </c>
      <c r="AE825" s="849">
        <v>0.0</v>
      </c>
      <c r="AF825" s="849">
        <v>0.0</v>
      </c>
      <c r="AG825" s="849">
        <v>0.0</v>
      </c>
      <c r="AH825" s="849">
        <v>0.0</v>
      </c>
      <c r="AI825" s="849">
        <v>0.0</v>
      </c>
      <c r="AJ825" s="794" t="str">
        <f t="shared" ref="AJ825:AK825" si="1647">C825</f>
        <v>G68300</v>
      </c>
      <c r="AK825" s="794" t="str">
        <f t="shared" si="1647"/>
        <v>COUT-PIECES EN GROS</v>
      </c>
      <c r="AL825" s="794">
        <f t="array" ref="AL825">IFERROR(INDEX(G825:R825,1,MATCH(Parametres!$B$3,G$1:R$1,0)-1)*IF(OR(F825="L",F825="S",F825="I"),-1,1),"")</f>
        <v>970163.52</v>
      </c>
      <c r="AM825" s="794">
        <f t="shared" si="4"/>
        <v>149529.85</v>
      </c>
      <c r="AN825" s="794">
        <f t="array" ref="AN825">INDEX(G825:R825,1,MATCH(Parametres!$B$3,G$1:R$1,0))*IF(OR(F825="L",F825="S",F825="I"),-1,1)</f>
        <v>1119693.37</v>
      </c>
      <c r="AO825" s="853" t="str">
        <f>+VLOOKUP($AJ825,Data_Validation!$A:$D,1,0)</f>
        <v>G68300</v>
      </c>
      <c r="AP825" s="853" t="str">
        <f>+VLOOKUP($AJ825,Data_Validation!$A:$D,3,0)</f>
        <v>Pièces</v>
      </c>
      <c r="AQ825" s="853" t="str">
        <f>+VLOOKUP($AJ825,Data_Validation!$A:$D,4,0)</f>
        <v>Ventes de Gros</v>
      </c>
      <c r="AR825" s="853" t="s">
        <v>728</v>
      </c>
      <c r="AS825" s="853" t="str">
        <f>+VLOOKUP($AJ825,Data_Validation!$A:$E,5,0)</f>
        <v/>
      </c>
      <c r="AT825" s="794" t="str">
        <f t="shared" ref="AT825:AU825" si="1648">C825</f>
        <v>G68300</v>
      </c>
      <c r="AU825" s="854" t="str">
        <f t="shared" si="1648"/>
        <v>COUT-PIECES EN GROS</v>
      </c>
      <c r="AV825" s="794">
        <f t="array" ref="AV825">IFERROR(INDEX(V825:AG825,1,MATCH(Parametres!$B$3,V$1:AG$1,0)-1)*IF(OR(C825="L",C825="S",C825="I"),-1,1),"")</f>
        <v>0</v>
      </c>
      <c r="AW825" s="794">
        <f t="shared" si="6"/>
        <v>0</v>
      </c>
      <c r="AX825" s="794">
        <f t="array" ref="AX825">INDEX(V825:AG825,1,MATCH(Parametres!$B$3,V$1:AG$1,0))*IF(OR(C825="L",C825="S",C825="I"),-1,1)</f>
        <v>0</v>
      </c>
      <c r="AY825" s="853" t="s">
        <v>772</v>
      </c>
      <c r="AZ825" s="853" t="str">
        <f>+VLOOKUP($AJ825,Data_Validation!$A:$E,5,0)</f>
        <v/>
      </c>
    </row>
    <row r="826" ht="15.0" customHeight="1">
      <c r="A826" s="849" t="s">
        <v>1239</v>
      </c>
      <c r="B826" s="849">
        <v>2025.0</v>
      </c>
      <c r="C826" s="849" t="s">
        <v>3244</v>
      </c>
      <c r="D826" s="849" t="s">
        <v>3245</v>
      </c>
      <c r="E826" s="849" t="s">
        <v>768</v>
      </c>
      <c r="F826" s="849" t="s">
        <v>2855</v>
      </c>
      <c r="G826" s="849">
        <v>-5848.93</v>
      </c>
      <c r="H826" s="849">
        <v>-9284.58</v>
      </c>
      <c r="I826" s="849">
        <v>-12174.06</v>
      </c>
      <c r="J826" s="849">
        <v>-28902.84</v>
      </c>
      <c r="K826" s="849">
        <v>-35948.54</v>
      </c>
      <c r="L826" s="849">
        <v>-44533.74</v>
      </c>
      <c r="M826" s="849">
        <v>-60359.64</v>
      </c>
      <c r="N826" s="849">
        <v>-60694.92</v>
      </c>
      <c r="O826" s="849">
        <v>-64362.8</v>
      </c>
      <c r="P826" s="849">
        <v>-84527.55</v>
      </c>
      <c r="Q826" s="849">
        <v>-85950.33</v>
      </c>
      <c r="R826" s="849">
        <v>-140165.95</v>
      </c>
      <c r="S826" s="849">
        <v>-7813.67</v>
      </c>
      <c r="T826" s="849">
        <v>-7813.67</v>
      </c>
      <c r="U826" s="849">
        <v>0.0</v>
      </c>
      <c r="V826" s="849">
        <v>0.0</v>
      </c>
      <c r="W826" s="849">
        <v>0.0</v>
      </c>
      <c r="X826" s="849">
        <v>0.0</v>
      </c>
      <c r="Y826" s="849">
        <v>0.0</v>
      </c>
      <c r="Z826" s="849">
        <v>0.0</v>
      </c>
      <c r="AA826" s="849">
        <v>0.0</v>
      </c>
      <c r="AB826" s="849">
        <v>0.0</v>
      </c>
      <c r="AC826" s="849">
        <v>0.0</v>
      </c>
      <c r="AD826" s="849">
        <v>0.0</v>
      </c>
      <c r="AE826" s="849">
        <v>0.0</v>
      </c>
      <c r="AF826" s="849">
        <v>0.0</v>
      </c>
      <c r="AG826" s="849">
        <v>0.0</v>
      </c>
      <c r="AH826" s="849">
        <v>0.0</v>
      </c>
      <c r="AI826" s="849">
        <v>0.0</v>
      </c>
      <c r="AJ826" s="794" t="str">
        <f t="shared" ref="AJ826:AK826" si="1649">C826</f>
        <v>G68700</v>
      </c>
      <c r="AK826" s="794" t="str">
        <f t="shared" si="1649"/>
        <v>ESCOMPTES DE VOLUME</v>
      </c>
      <c r="AL826" s="794">
        <f t="array" ref="AL826">IFERROR(INDEX(G826:R826,1,MATCH(Parametres!$B$3,G$1:R$1,0)-1)*IF(OR(F826="L",F826="S",F826="I"),-1,1),"")</f>
        <v>-60694.92</v>
      </c>
      <c r="AM826" s="794">
        <f t="shared" si="4"/>
        <v>-3667.88</v>
      </c>
      <c r="AN826" s="794">
        <f t="array" ref="AN826">INDEX(G826:R826,1,MATCH(Parametres!$B$3,G$1:R$1,0))*IF(OR(F826="L",F826="S",F826="I"),-1,1)</f>
        <v>-64362.8</v>
      </c>
      <c r="AO826" s="853" t="str">
        <f>+VLOOKUP($AJ826,Data_Validation!$A:$D,1,0)</f>
        <v>G68700</v>
      </c>
      <c r="AP826" s="853" t="str">
        <f>+VLOOKUP($AJ826,Data_Validation!$A:$D,3,0)</f>
        <v>Pièces</v>
      </c>
      <c r="AQ826" s="853" t="str">
        <f>+VLOOKUP($AJ826,Data_Validation!$A:$D,4,0)</f>
        <v>Escomptes</v>
      </c>
      <c r="AR826" s="853" t="s">
        <v>728</v>
      </c>
      <c r="AS826" s="853" t="str">
        <f>+VLOOKUP($AJ826,Data_Validation!$A:$E,5,0)</f>
        <v/>
      </c>
      <c r="AT826" s="794" t="str">
        <f t="shared" ref="AT826:AU826" si="1650">C826</f>
        <v>G68700</v>
      </c>
      <c r="AU826" s="854" t="str">
        <f t="shared" si="1650"/>
        <v>ESCOMPTES DE VOLUME</v>
      </c>
      <c r="AV826" s="794">
        <f t="array" ref="AV826">IFERROR(INDEX(V826:AG826,1,MATCH(Parametres!$B$3,V$1:AG$1,0)-1)*IF(OR(C826="L",C826="S",C826="I"),-1,1),"")</f>
        <v>0</v>
      </c>
      <c r="AW826" s="794">
        <f t="shared" si="6"/>
        <v>0</v>
      </c>
      <c r="AX826" s="794">
        <f t="array" ref="AX826">INDEX(V826:AG826,1,MATCH(Parametres!$B$3,V$1:AG$1,0))*IF(OR(C826="L",C826="S",C826="I"),-1,1)</f>
        <v>0</v>
      </c>
      <c r="AY826" s="853" t="s">
        <v>772</v>
      </c>
      <c r="AZ826" s="853" t="str">
        <f>+VLOOKUP($AJ826,Data_Validation!$A:$E,5,0)</f>
        <v/>
      </c>
    </row>
    <row r="827" ht="15.0" customHeight="1">
      <c r="A827" s="849" t="s">
        <v>1239</v>
      </c>
      <c r="B827" s="849">
        <v>2025.0</v>
      </c>
      <c r="C827" s="849" t="s">
        <v>3246</v>
      </c>
      <c r="D827" s="849" t="s">
        <v>3247</v>
      </c>
      <c r="E827" s="849" t="s">
        <v>768</v>
      </c>
      <c r="F827" s="849" t="s">
        <v>2855</v>
      </c>
      <c r="G827" s="849">
        <v>-7043.2</v>
      </c>
      <c r="H827" s="849">
        <v>-5270.52</v>
      </c>
      <c r="I827" s="849">
        <v>-6811.99</v>
      </c>
      <c r="J827" s="849">
        <v>-15602.56</v>
      </c>
      <c r="K827" s="849">
        <v>-15602.56</v>
      </c>
      <c r="L827" s="849">
        <v>-20889.11</v>
      </c>
      <c r="M827" s="849">
        <v>-23559.02</v>
      </c>
      <c r="N827" s="849">
        <v>-23569.45</v>
      </c>
      <c r="O827" s="849">
        <v>-24313.48</v>
      </c>
      <c r="P827" s="849">
        <v>-31365.13</v>
      </c>
      <c r="Q827" s="849">
        <v>-31255.41</v>
      </c>
      <c r="R827" s="849">
        <v>-29756.12</v>
      </c>
      <c r="S827" s="849">
        <v>-2841.4</v>
      </c>
      <c r="T827" s="849">
        <v>-2841.4</v>
      </c>
      <c r="U827" s="849">
        <v>0.0</v>
      </c>
      <c r="V827" s="849">
        <v>0.0</v>
      </c>
      <c r="W827" s="849">
        <v>0.0</v>
      </c>
      <c r="X827" s="849">
        <v>0.0</v>
      </c>
      <c r="Y827" s="849">
        <v>0.0</v>
      </c>
      <c r="Z827" s="849">
        <v>0.0</v>
      </c>
      <c r="AA827" s="849">
        <v>0.0</v>
      </c>
      <c r="AB827" s="849">
        <v>0.0</v>
      </c>
      <c r="AC827" s="849">
        <v>0.0</v>
      </c>
      <c r="AD827" s="849">
        <v>0.0</v>
      </c>
      <c r="AE827" s="849">
        <v>0.0</v>
      </c>
      <c r="AF827" s="849">
        <v>0.0</v>
      </c>
      <c r="AG827" s="849">
        <v>0.0</v>
      </c>
      <c r="AH827" s="849">
        <v>0.0</v>
      </c>
      <c r="AI827" s="849">
        <v>0.0</v>
      </c>
      <c r="AJ827" s="794" t="str">
        <f t="shared" ref="AJ827:AK827" si="1651">C827</f>
        <v>G68800</v>
      </c>
      <c r="AK827" s="794" t="str">
        <f t="shared" si="1651"/>
        <v>RECTIFIC.STOCK PIECES</v>
      </c>
      <c r="AL827" s="794">
        <f t="array" ref="AL827">IFERROR(INDEX(G827:R827,1,MATCH(Parametres!$B$3,G$1:R$1,0)-1)*IF(OR(F827="L",F827="S",F827="I"),-1,1),"")</f>
        <v>-23569.45</v>
      </c>
      <c r="AM827" s="794">
        <f t="shared" si="4"/>
        <v>-744.03</v>
      </c>
      <c r="AN827" s="794">
        <f t="array" ref="AN827">INDEX(G827:R827,1,MATCH(Parametres!$B$3,G$1:R$1,0))*IF(OR(F827="L",F827="S",F827="I"),-1,1)</f>
        <v>-24313.48</v>
      </c>
      <c r="AO827" s="853" t="str">
        <f>+VLOOKUP($AJ827,Data_Validation!$A:$D,1,0)</f>
        <v>G68800</v>
      </c>
      <c r="AP827" s="853" t="str">
        <f>+VLOOKUP($AJ827,Data_Validation!$A:$D,3,0)</f>
        <v>Pièces</v>
      </c>
      <c r="AQ827" s="853" t="str">
        <f>+VLOOKUP($AJ827,Data_Validation!$A:$D,4,0)</f>
        <v>Rectif. Inventaire</v>
      </c>
      <c r="AR827" s="853" t="s">
        <v>728</v>
      </c>
      <c r="AS827" s="853" t="str">
        <f>+VLOOKUP($AJ827,Data_Validation!$A:$E,5,0)</f>
        <v/>
      </c>
      <c r="AT827" s="794" t="str">
        <f t="shared" ref="AT827:AU827" si="1652">C827</f>
        <v>G68800</v>
      </c>
      <c r="AU827" s="854" t="str">
        <f t="shared" si="1652"/>
        <v>RECTIFIC.STOCK PIECES</v>
      </c>
      <c r="AV827" s="794">
        <f t="array" ref="AV827">IFERROR(INDEX(V827:AG827,1,MATCH(Parametres!$B$3,V$1:AG$1,0)-1)*IF(OR(C827="L",C827="S",C827="I"),-1,1),"")</f>
        <v>0</v>
      </c>
      <c r="AW827" s="794">
        <f t="shared" si="6"/>
        <v>0</v>
      </c>
      <c r="AX827" s="794">
        <f t="array" ref="AX827">INDEX(V827:AG827,1,MATCH(Parametres!$B$3,V$1:AG$1,0))*IF(OR(C827="L",C827="S",C827="I"),-1,1)</f>
        <v>0</v>
      </c>
      <c r="AY827" s="853" t="s">
        <v>772</v>
      </c>
      <c r="AZ827" s="853" t="str">
        <f>+VLOOKUP($AJ827,Data_Validation!$A:$E,5,0)</f>
        <v/>
      </c>
    </row>
    <row r="828" ht="15.0" customHeight="1">
      <c r="A828" s="849" t="s">
        <v>1239</v>
      </c>
      <c r="B828" s="849">
        <v>2025.0</v>
      </c>
      <c r="C828" s="849" t="s">
        <v>3248</v>
      </c>
      <c r="D828" s="849" t="s">
        <v>3249</v>
      </c>
      <c r="E828" s="849" t="s">
        <v>768</v>
      </c>
      <c r="F828" s="849" t="s">
        <v>2855</v>
      </c>
      <c r="G828" s="849">
        <v>14191.31</v>
      </c>
      <c r="H828" s="849">
        <v>19182.87</v>
      </c>
      <c r="I828" s="849">
        <v>21086.59</v>
      </c>
      <c r="J828" s="849">
        <v>34639.51</v>
      </c>
      <c r="K828" s="849">
        <v>48424.62</v>
      </c>
      <c r="L828" s="849">
        <v>51248.24</v>
      </c>
      <c r="M828" s="849">
        <v>54527.02</v>
      </c>
      <c r="N828" s="849">
        <v>69941.6</v>
      </c>
      <c r="O828" s="849">
        <v>88128.33</v>
      </c>
      <c r="P828" s="849">
        <v>127601.48</v>
      </c>
      <c r="Q828" s="849">
        <v>190966.87</v>
      </c>
      <c r="R828" s="849">
        <v>235645.83</v>
      </c>
      <c r="S828" s="849">
        <v>17360.62</v>
      </c>
      <c r="T828" s="849">
        <v>17360.62</v>
      </c>
      <c r="U828" s="849">
        <v>0.0</v>
      </c>
      <c r="V828" s="849">
        <v>0.0</v>
      </c>
      <c r="W828" s="849">
        <v>0.0</v>
      </c>
      <c r="X828" s="849">
        <v>0.0</v>
      </c>
      <c r="Y828" s="849">
        <v>0.0</v>
      </c>
      <c r="Z828" s="849">
        <v>0.0</v>
      </c>
      <c r="AA828" s="849">
        <v>0.0</v>
      </c>
      <c r="AB828" s="849">
        <v>0.0</v>
      </c>
      <c r="AC828" s="849">
        <v>0.0</v>
      </c>
      <c r="AD828" s="849">
        <v>0.0</v>
      </c>
      <c r="AE828" s="849">
        <v>0.0</v>
      </c>
      <c r="AF828" s="849">
        <v>0.0</v>
      </c>
      <c r="AG828" s="849">
        <v>0.0</v>
      </c>
      <c r="AH828" s="849">
        <v>0.0</v>
      </c>
      <c r="AI828" s="849">
        <v>0.0</v>
      </c>
      <c r="AJ828" s="794" t="str">
        <f t="shared" ref="AJ828:AK828" si="1653">C828</f>
        <v>G69000</v>
      </c>
      <c r="AK828" s="794" t="str">
        <f t="shared" si="1653"/>
        <v>COUT-PNEUS VENDUS</v>
      </c>
      <c r="AL828" s="794">
        <f t="array" ref="AL828">IFERROR(INDEX(G828:R828,1,MATCH(Parametres!$B$3,G$1:R$1,0)-1)*IF(OR(F828="L",F828="S",F828="I"),-1,1),"")</f>
        <v>69941.6</v>
      </c>
      <c r="AM828" s="794">
        <f t="shared" si="4"/>
        <v>18186.73</v>
      </c>
      <c r="AN828" s="794">
        <f t="array" ref="AN828">INDEX(G828:R828,1,MATCH(Parametres!$B$3,G$1:R$1,0))*IF(OR(F828="L",F828="S",F828="I"),-1,1)</f>
        <v>88128.33</v>
      </c>
      <c r="AO828" s="853" t="str">
        <f>+VLOOKUP($AJ828,Data_Validation!$A:$D,1,0)</f>
        <v>G69000</v>
      </c>
      <c r="AP828" s="853" t="str">
        <f>+VLOOKUP($AJ828,Data_Validation!$A:$D,3,0)</f>
        <v>Pièces</v>
      </c>
      <c r="AQ828" s="853" t="str">
        <f>+VLOOKUP($AJ828,Data_Validation!$A:$D,4,0)</f>
        <v>Ventes Pneus</v>
      </c>
      <c r="AR828" s="853" t="s">
        <v>728</v>
      </c>
      <c r="AS828" s="853" t="str">
        <f>+VLOOKUP($AJ828,Data_Validation!$A:$E,5,0)</f>
        <v/>
      </c>
      <c r="AT828" s="794" t="str">
        <f t="shared" ref="AT828:AU828" si="1654">C828</f>
        <v>G69000</v>
      </c>
      <c r="AU828" s="854" t="str">
        <f t="shared" si="1654"/>
        <v>COUT-PNEUS VENDUS</v>
      </c>
      <c r="AV828" s="794">
        <f t="array" ref="AV828">IFERROR(INDEX(V828:AG828,1,MATCH(Parametres!$B$3,V$1:AG$1,0)-1)*IF(OR(C828="L",C828="S",C828="I"),-1,1),"")</f>
        <v>0</v>
      </c>
      <c r="AW828" s="794">
        <f t="shared" si="6"/>
        <v>0</v>
      </c>
      <c r="AX828" s="794">
        <f t="array" ref="AX828">INDEX(V828:AG828,1,MATCH(Parametres!$B$3,V$1:AG$1,0))*IF(OR(C828="L",C828="S",C828="I"),-1,1)</f>
        <v>0</v>
      </c>
      <c r="AY828" s="853" t="s">
        <v>772</v>
      </c>
      <c r="AZ828" s="853" t="str">
        <f>+VLOOKUP($AJ828,Data_Validation!$A:$E,5,0)</f>
        <v/>
      </c>
    </row>
    <row r="829" ht="15.0" customHeight="1">
      <c r="A829" s="849" t="s">
        <v>1239</v>
      </c>
      <c r="B829" s="849">
        <v>2025.0</v>
      </c>
      <c r="C829" s="849" t="s">
        <v>3250</v>
      </c>
      <c r="D829" s="849" t="s">
        <v>3251</v>
      </c>
      <c r="E829" s="849" t="s">
        <v>768</v>
      </c>
      <c r="F829" s="849" t="s">
        <v>2855</v>
      </c>
      <c r="G829" s="849">
        <v>3029.67</v>
      </c>
      <c r="H829" s="849">
        <v>5498.29</v>
      </c>
      <c r="I829" s="849">
        <v>8415.75</v>
      </c>
      <c r="J829" s="849">
        <v>10916.43</v>
      </c>
      <c r="K829" s="849">
        <v>13946.1</v>
      </c>
      <c r="L829" s="849">
        <v>24277.89</v>
      </c>
      <c r="M829" s="849">
        <v>35397.22</v>
      </c>
      <c r="N829" s="849">
        <v>45436.64</v>
      </c>
      <c r="O829" s="849">
        <v>54016.72</v>
      </c>
      <c r="P829" s="849">
        <v>62427.8</v>
      </c>
      <c r="Q829" s="849">
        <v>68373.28</v>
      </c>
      <c r="R829" s="849">
        <v>76269.34</v>
      </c>
      <c r="S829" s="849">
        <v>6215.75</v>
      </c>
      <c r="T829" s="849">
        <v>6215.75</v>
      </c>
      <c r="U829" s="849">
        <v>0.0</v>
      </c>
      <c r="V829" s="849">
        <v>0.0</v>
      </c>
      <c r="W829" s="849">
        <v>0.0</v>
      </c>
      <c r="X829" s="849">
        <v>0.0</v>
      </c>
      <c r="Y829" s="849">
        <v>0.0</v>
      </c>
      <c r="Z829" s="849">
        <v>0.0</v>
      </c>
      <c r="AA829" s="849">
        <v>0.0</v>
      </c>
      <c r="AB829" s="849">
        <v>0.0</v>
      </c>
      <c r="AC829" s="849">
        <v>0.0</v>
      </c>
      <c r="AD829" s="849">
        <v>0.0</v>
      </c>
      <c r="AE829" s="849">
        <v>0.0</v>
      </c>
      <c r="AF829" s="849">
        <v>0.0</v>
      </c>
      <c r="AG829" s="849">
        <v>0.0</v>
      </c>
      <c r="AH829" s="849">
        <v>0.0</v>
      </c>
      <c r="AI829" s="849">
        <v>0.0</v>
      </c>
      <c r="AJ829" s="794" t="str">
        <f t="shared" ref="AJ829:AK829" si="1655">C829</f>
        <v>G69100</v>
      </c>
      <c r="AK829" s="794" t="str">
        <f t="shared" si="1655"/>
        <v>COUT-HUILES &amp; GRAISSE</v>
      </c>
      <c r="AL829" s="794">
        <f t="array" ref="AL829">IFERROR(INDEX(G829:R829,1,MATCH(Parametres!$B$3,G$1:R$1,0)-1)*IF(OR(F829="L",F829="S",F829="I"),-1,1),"")</f>
        <v>45436.64</v>
      </c>
      <c r="AM829" s="794">
        <f t="shared" si="4"/>
        <v>8580.08</v>
      </c>
      <c r="AN829" s="794">
        <f t="array" ref="AN829">INDEX(G829:R829,1,MATCH(Parametres!$B$3,G$1:R$1,0))*IF(OR(F829="L",F829="S",F829="I"),-1,1)</f>
        <v>54016.72</v>
      </c>
      <c r="AO829" s="853" t="str">
        <f>+VLOOKUP($AJ829,Data_Validation!$A:$D,1,0)</f>
        <v>G69100</v>
      </c>
      <c r="AP829" s="853" t="str">
        <f>+VLOOKUP($AJ829,Data_Validation!$A:$D,3,0)</f>
        <v>Pièces</v>
      </c>
      <c r="AQ829" s="853" t="str">
        <f>+VLOOKUP($AJ829,Data_Validation!$A:$D,4,0)</f>
        <v>Huiles et Graisse</v>
      </c>
      <c r="AR829" s="853" t="s">
        <v>728</v>
      </c>
      <c r="AS829" s="853" t="str">
        <f>+VLOOKUP($AJ829,Data_Validation!$A:$E,5,0)</f>
        <v/>
      </c>
      <c r="AT829" s="794" t="str">
        <f t="shared" ref="AT829:AU829" si="1656">C829</f>
        <v>G69100</v>
      </c>
      <c r="AU829" s="854" t="str">
        <f t="shared" si="1656"/>
        <v>COUT-HUILES &amp; GRAISSE</v>
      </c>
      <c r="AV829" s="794">
        <f t="array" ref="AV829">IFERROR(INDEX(V829:AG829,1,MATCH(Parametres!$B$3,V$1:AG$1,0)-1)*IF(OR(C829="L",C829="S",C829="I"),-1,1),"")</f>
        <v>0</v>
      </c>
      <c r="AW829" s="794">
        <f t="shared" si="6"/>
        <v>0</v>
      </c>
      <c r="AX829" s="794">
        <f t="array" ref="AX829">INDEX(V829:AG829,1,MATCH(Parametres!$B$3,V$1:AG$1,0))*IF(OR(C829="L",C829="S",C829="I"),-1,1)</f>
        <v>0</v>
      </c>
      <c r="AY829" s="853" t="s">
        <v>772</v>
      </c>
      <c r="AZ829" s="853" t="str">
        <f>+VLOOKUP($AJ829,Data_Validation!$A:$E,5,0)</f>
        <v/>
      </c>
    </row>
    <row r="830" ht="15.0" customHeight="1">
      <c r="A830" s="849" t="s">
        <v>1239</v>
      </c>
      <c r="B830" s="849">
        <v>2025.0</v>
      </c>
      <c r="C830" s="849" t="s">
        <v>3252</v>
      </c>
      <c r="D830" s="849" t="s">
        <v>3253</v>
      </c>
      <c r="E830" s="849" t="s">
        <v>768</v>
      </c>
      <c r="F830" s="849" t="s">
        <v>1200</v>
      </c>
      <c r="G830" s="849">
        <v>0.0</v>
      </c>
      <c r="H830" s="849">
        <v>0.0</v>
      </c>
      <c r="I830" s="849">
        <v>0.0</v>
      </c>
      <c r="J830" s="849">
        <v>0.0</v>
      </c>
      <c r="K830" s="849">
        <v>0.0</v>
      </c>
      <c r="L830" s="849">
        <v>0.0</v>
      </c>
      <c r="M830" s="849">
        <v>0.0</v>
      </c>
      <c r="N830" s="849">
        <v>0.0</v>
      </c>
      <c r="O830" s="849">
        <v>0.0</v>
      </c>
      <c r="P830" s="849">
        <v>0.0</v>
      </c>
      <c r="Q830" s="849">
        <v>0.0</v>
      </c>
      <c r="R830" s="849">
        <v>0.0</v>
      </c>
      <c r="S830" s="849">
        <v>0.0</v>
      </c>
      <c r="T830" s="849">
        <v>0.0</v>
      </c>
      <c r="U830" s="849">
        <v>0.0</v>
      </c>
      <c r="V830" s="849">
        <v>0.0</v>
      </c>
      <c r="W830" s="849">
        <v>0.0</v>
      </c>
      <c r="X830" s="849">
        <v>0.0</v>
      </c>
      <c r="Y830" s="849">
        <v>0.0</v>
      </c>
      <c r="Z830" s="849">
        <v>0.0</v>
      </c>
      <c r="AA830" s="849">
        <v>0.0</v>
      </c>
      <c r="AB830" s="849">
        <v>0.0</v>
      </c>
      <c r="AC830" s="849">
        <v>0.0</v>
      </c>
      <c r="AD830" s="849">
        <v>0.0</v>
      </c>
      <c r="AE830" s="849">
        <v>0.0</v>
      </c>
      <c r="AF830" s="849">
        <v>0.0</v>
      </c>
      <c r="AG830" s="849">
        <v>0.0</v>
      </c>
      <c r="AH830" s="849">
        <v>0.0</v>
      </c>
      <c r="AI830" s="849">
        <v>0.0</v>
      </c>
      <c r="AJ830" s="794" t="str">
        <f t="shared" ref="AJ830:AK830" si="1657">C830</f>
        <v>G711</v>
      </c>
      <c r="AK830" s="794" t="str">
        <f t="shared" si="1657"/>
        <v>INTERETS          -SIMPLE</v>
      </c>
      <c r="AL830" s="794">
        <f t="array" ref="AL830">IFERROR(INDEX(G830:R830,1,MATCH(Parametres!$B$3,G$1:R$1,0)-1)*IF(OR(F830="L",F830="S",F830="I"),-1,1),"")</f>
        <v>0</v>
      </c>
      <c r="AM830" s="794">
        <f t="shared" si="4"/>
        <v>0</v>
      </c>
      <c r="AN830" s="794">
        <f t="array" ref="AN830">INDEX(G830:R830,1,MATCH(Parametres!$B$3,G$1:R$1,0))*IF(OR(F830="L",F830="S",F830="I"),-1,1)</f>
        <v>0</v>
      </c>
      <c r="AO830" s="853" t="str">
        <f>+VLOOKUP($AJ830,Data_Validation!$A:$D,1,0)</f>
        <v>#N/A</v>
      </c>
      <c r="AP830" s="853" t="str">
        <f>+VLOOKUP($AJ830,Data_Validation!$A:$D,3,0)</f>
        <v>#N/A</v>
      </c>
      <c r="AQ830" s="853" t="str">
        <f>+VLOOKUP($AJ830,Data_Validation!$A:$D,4,0)</f>
        <v>#N/A</v>
      </c>
      <c r="AR830" s="853" t="s">
        <v>728</v>
      </c>
      <c r="AS830" s="853" t="str">
        <f>+VLOOKUP($AJ830,Data_Validation!$A:$E,5,0)</f>
        <v>#N/A</v>
      </c>
      <c r="AT830" s="794" t="str">
        <f t="shared" ref="AT830:AU830" si="1658">C830</f>
        <v>G711</v>
      </c>
      <c r="AU830" s="854" t="str">
        <f t="shared" si="1658"/>
        <v>INTERETS          -SIMPLE</v>
      </c>
      <c r="AV830" s="794">
        <f t="array" ref="AV830">IFERROR(INDEX(V830:AG830,1,MATCH(Parametres!$B$3,V$1:AG$1,0)-1)*IF(OR(C830="L",C830="S",C830="I"),-1,1),"")</f>
        <v>0</v>
      </c>
      <c r="AW830" s="794">
        <f t="shared" si="6"/>
        <v>0</v>
      </c>
      <c r="AX830" s="794">
        <f t="array" ref="AX830">INDEX(V830:AG830,1,MATCH(Parametres!$B$3,V$1:AG$1,0))*IF(OR(C830="L",C830="S",C830="I"),-1,1)</f>
        <v>0</v>
      </c>
      <c r="AY830" s="853" t="s">
        <v>772</v>
      </c>
      <c r="AZ830" s="853" t="str">
        <f>+VLOOKUP($AJ830,Data_Validation!$A:$E,5,0)</f>
        <v>#N/A</v>
      </c>
    </row>
    <row r="831" ht="15.0" customHeight="1">
      <c r="A831" s="849" t="s">
        <v>1239</v>
      </c>
      <c r="B831" s="849">
        <v>2025.0</v>
      </c>
      <c r="C831" s="849" t="s">
        <v>3254</v>
      </c>
      <c r="D831" s="849" t="s">
        <v>3255</v>
      </c>
      <c r="E831" s="849" t="s">
        <v>768</v>
      </c>
      <c r="F831" s="849" t="s">
        <v>1200</v>
      </c>
      <c r="G831" s="849">
        <v>0.0</v>
      </c>
      <c r="H831" s="849">
        <v>0.0</v>
      </c>
      <c r="I831" s="849">
        <v>0.0</v>
      </c>
      <c r="J831" s="849">
        <v>0.0</v>
      </c>
      <c r="K831" s="849">
        <v>0.0</v>
      </c>
      <c r="L831" s="849">
        <v>0.0</v>
      </c>
      <c r="M831" s="849">
        <v>0.0</v>
      </c>
      <c r="N831" s="849">
        <v>0.0</v>
      </c>
      <c r="O831" s="849">
        <v>0.0</v>
      </c>
      <c r="P831" s="849">
        <v>0.0</v>
      </c>
      <c r="Q831" s="849">
        <v>0.0</v>
      </c>
      <c r="R831" s="849">
        <v>0.0</v>
      </c>
      <c r="S831" s="849">
        <v>0.0</v>
      </c>
      <c r="T831" s="849">
        <v>0.0</v>
      </c>
      <c r="U831" s="849">
        <v>0.0</v>
      </c>
      <c r="V831" s="849">
        <v>0.0</v>
      </c>
      <c r="W831" s="849">
        <v>0.0</v>
      </c>
      <c r="X831" s="849">
        <v>0.0</v>
      </c>
      <c r="Y831" s="849">
        <v>0.0</v>
      </c>
      <c r="Z831" s="849">
        <v>0.0</v>
      </c>
      <c r="AA831" s="849">
        <v>0.0</v>
      </c>
      <c r="AB831" s="849">
        <v>0.0</v>
      </c>
      <c r="AC831" s="849">
        <v>0.0</v>
      </c>
      <c r="AD831" s="849">
        <v>0.0</v>
      </c>
      <c r="AE831" s="849">
        <v>0.0</v>
      </c>
      <c r="AF831" s="849">
        <v>0.0</v>
      </c>
      <c r="AG831" s="849">
        <v>0.0</v>
      </c>
      <c r="AH831" s="849">
        <v>0.0</v>
      </c>
      <c r="AI831" s="849">
        <v>0.0</v>
      </c>
      <c r="AJ831" s="794" t="str">
        <f t="shared" ref="AJ831:AK831" si="1659">C831</f>
        <v>G712</v>
      </c>
      <c r="AK831" s="794" t="str">
        <f t="shared" si="1659"/>
        <v>AMORTISSEMENT     -SIMPLE</v>
      </c>
      <c r="AL831" s="794">
        <f t="array" ref="AL831">IFERROR(INDEX(G831:R831,1,MATCH(Parametres!$B$3,G$1:R$1,0)-1)*IF(OR(F831="L",F831="S",F831="I"),-1,1),"")</f>
        <v>0</v>
      </c>
      <c r="AM831" s="794">
        <f t="shared" si="4"/>
        <v>0</v>
      </c>
      <c r="AN831" s="794">
        <f t="array" ref="AN831">INDEX(G831:R831,1,MATCH(Parametres!$B$3,G$1:R$1,0))*IF(OR(F831="L",F831="S",F831="I"),-1,1)</f>
        <v>0</v>
      </c>
      <c r="AO831" s="853" t="str">
        <f>+VLOOKUP($AJ831,Data_Validation!$A:$D,1,0)</f>
        <v>#N/A</v>
      </c>
      <c r="AP831" s="853" t="str">
        <f>+VLOOKUP($AJ831,Data_Validation!$A:$D,3,0)</f>
        <v>#N/A</v>
      </c>
      <c r="AQ831" s="853" t="str">
        <f>+VLOOKUP($AJ831,Data_Validation!$A:$D,4,0)</f>
        <v>#N/A</v>
      </c>
      <c r="AR831" s="853" t="s">
        <v>728</v>
      </c>
      <c r="AS831" s="853" t="str">
        <f>+VLOOKUP($AJ831,Data_Validation!$A:$E,5,0)</f>
        <v>#N/A</v>
      </c>
      <c r="AT831" s="794" t="str">
        <f t="shared" ref="AT831:AU831" si="1660">C831</f>
        <v>G712</v>
      </c>
      <c r="AU831" s="854" t="str">
        <f t="shared" si="1660"/>
        <v>AMORTISSEMENT     -SIMPLE</v>
      </c>
      <c r="AV831" s="794">
        <f t="array" ref="AV831">IFERROR(INDEX(V831:AG831,1,MATCH(Parametres!$B$3,V$1:AG$1,0)-1)*IF(OR(C831="L",C831="S",C831="I"),-1,1),"")</f>
        <v>0</v>
      </c>
      <c r="AW831" s="794">
        <f t="shared" si="6"/>
        <v>0</v>
      </c>
      <c r="AX831" s="794">
        <f t="array" ref="AX831">INDEX(V831:AG831,1,MATCH(Parametres!$B$3,V$1:AG$1,0))*IF(OR(C831="L",C831="S",C831="I"),-1,1)</f>
        <v>0</v>
      </c>
      <c r="AY831" s="853" t="s">
        <v>772</v>
      </c>
      <c r="AZ831" s="853" t="str">
        <f>+VLOOKUP($AJ831,Data_Validation!$A:$E,5,0)</f>
        <v>#N/A</v>
      </c>
    </row>
    <row r="832" ht="15.0" customHeight="1">
      <c r="A832" s="849" t="s">
        <v>1239</v>
      </c>
      <c r="B832" s="849">
        <v>2025.0</v>
      </c>
      <c r="C832" s="849" t="s">
        <v>3256</v>
      </c>
      <c r="D832" s="849" t="s">
        <v>3257</v>
      </c>
      <c r="E832" s="849" t="s">
        <v>768</v>
      </c>
      <c r="F832" s="849" t="s">
        <v>1200</v>
      </c>
      <c r="G832" s="849">
        <v>0.0</v>
      </c>
      <c r="H832" s="849">
        <v>0.0</v>
      </c>
      <c r="I832" s="849">
        <v>0.0</v>
      </c>
      <c r="J832" s="849">
        <v>0.0</v>
      </c>
      <c r="K832" s="849">
        <v>0.0</v>
      </c>
      <c r="L832" s="849">
        <v>0.0</v>
      </c>
      <c r="M832" s="849">
        <v>0.0</v>
      </c>
      <c r="N832" s="849">
        <v>0.0</v>
      </c>
      <c r="O832" s="849">
        <v>0.0</v>
      </c>
      <c r="P832" s="849">
        <v>0.0</v>
      </c>
      <c r="Q832" s="849">
        <v>0.0</v>
      </c>
      <c r="R832" s="849">
        <v>0.0</v>
      </c>
      <c r="S832" s="849">
        <v>0.0</v>
      </c>
      <c r="T832" s="849">
        <v>0.0</v>
      </c>
      <c r="U832" s="849">
        <v>0.0</v>
      </c>
      <c r="V832" s="849">
        <v>0.0</v>
      </c>
      <c r="W832" s="849">
        <v>0.0</v>
      </c>
      <c r="X832" s="849">
        <v>0.0</v>
      </c>
      <c r="Y832" s="849">
        <v>0.0</v>
      </c>
      <c r="Z832" s="849">
        <v>0.0</v>
      </c>
      <c r="AA832" s="849">
        <v>0.0</v>
      </c>
      <c r="AB832" s="849">
        <v>0.0</v>
      </c>
      <c r="AC832" s="849">
        <v>0.0</v>
      </c>
      <c r="AD832" s="849">
        <v>0.0</v>
      </c>
      <c r="AE832" s="849">
        <v>0.0</v>
      </c>
      <c r="AF832" s="849">
        <v>0.0</v>
      </c>
      <c r="AG832" s="849">
        <v>0.0</v>
      </c>
      <c r="AH832" s="849">
        <v>0.0</v>
      </c>
      <c r="AI832" s="849">
        <v>0.0</v>
      </c>
      <c r="AJ832" s="794" t="str">
        <f t="shared" ref="AJ832:AK832" si="1661">C832</f>
        <v>G713</v>
      </c>
      <c r="AK832" s="794" t="str">
        <f t="shared" si="1661"/>
        <v>ASSUR.VEH EN SERV.-SIMPLE</v>
      </c>
      <c r="AL832" s="794">
        <f t="array" ref="AL832">IFERROR(INDEX(G832:R832,1,MATCH(Parametres!$B$3,G$1:R$1,0)-1)*IF(OR(F832="L",F832="S",F832="I"),-1,1),"")</f>
        <v>0</v>
      </c>
      <c r="AM832" s="794">
        <f t="shared" si="4"/>
        <v>0</v>
      </c>
      <c r="AN832" s="794">
        <f t="array" ref="AN832">INDEX(G832:R832,1,MATCH(Parametres!$B$3,G$1:R$1,0))*IF(OR(F832="L",F832="S",F832="I"),-1,1)</f>
        <v>0</v>
      </c>
      <c r="AO832" s="853" t="str">
        <f>+VLOOKUP($AJ832,Data_Validation!$A:$D,1,0)</f>
        <v>#N/A</v>
      </c>
      <c r="AP832" s="853" t="str">
        <f>+VLOOKUP($AJ832,Data_Validation!$A:$D,3,0)</f>
        <v>#N/A</v>
      </c>
      <c r="AQ832" s="853" t="str">
        <f>+VLOOKUP($AJ832,Data_Validation!$A:$D,4,0)</f>
        <v>#N/A</v>
      </c>
      <c r="AR832" s="853" t="s">
        <v>728</v>
      </c>
      <c r="AS832" s="853" t="str">
        <f>+VLOOKUP($AJ832,Data_Validation!$A:$E,5,0)</f>
        <v>#N/A</v>
      </c>
      <c r="AT832" s="794" t="str">
        <f t="shared" ref="AT832:AU832" si="1662">C832</f>
        <v>G713</v>
      </c>
      <c r="AU832" s="854" t="str">
        <f t="shared" si="1662"/>
        <v>ASSUR.VEH EN SERV.-SIMPLE</v>
      </c>
      <c r="AV832" s="794">
        <f t="array" ref="AV832">IFERROR(INDEX(V832:AG832,1,MATCH(Parametres!$B$3,V$1:AG$1,0)-1)*IF(OR(C832="L",C832="S",C832="I"),-1,1),"")</f>
        <v>0</v>
      </c>
      <c r="AW832" s="794">
        <f t="shared" si="6"/>
        <v>0</v>
      </c>
      <c r="AX832" s="794">
        <f t="array" ref="AX832">INDEX(V832:AG832,1,MATCH(Parametres!$B$3,V$1:AG$1,0))*IF(OR(C832="L",C832="S",C832="I"),-1,1)</f>
        <v>0</v>
      </c>
      <c r="AY832" s="853" t="s">
        <v>772</v>
      </c>
      <c r="AZ832" s="853" t="str">
        <f>+VLOOKUP($AJ832,Data_Validation!$A:$E,5,0)</f>
        <v>#N/A</v>
      </c>
    </row>
    <row r="833" ht="15.0" customHeight="1">
      <c r="A833" s="849" t="s">
        <v>1239</v>
      </c>
      <c r="B833" s="849">
        <v>2025.0</v>
      </c>
      <c r="C833" s="849" t="s">
        <v>3258</v>
      </c>
      <c r="D833" s="849" t="s">
        <v>3259</v>
      </c>
      <c r="E833" s="849" t="s">
        <v>768</v>
      </c>
      <c r="F833" s="849" t="s">
        <v>1200</v>
      </c>
      <c r="G833" s="849">
        <v>0.0</v>
      </c>
      <c r="H833" s="849">
        <v>0.0</v>
      </c>
      <c r="I833" s="849">
        <v>0.0</v>
      </c>
      <c r="J833" s="849">
        <v>0.0</v>
      </c>
      <c r="K833" s="849">
        <v>0.0</v>
      </c>
      <c r="L833" s="849">
        <v>0.0</v>
      </c>
      <c r="M833" s="849">
        <v>0.0</v>
      </c>
      <c r="N833" s="849">
        <v>0.0</v>
      </c>
      <c r="O833" s="849">
        <v>0.0</v>
      </c>
      <c r="P833" s="849">
        <v>0.0</v>
      </c>
      <c r="Q833" s="849">
        <v>0.0</v>
      </c>
      <c r="R833" s="849">
        <v>0.0</v>
      </c>
      <c r="S833" s="849">
        <v>0.0</v>
      </c>
      <c r="T833" s="849">
        <v>0.0</v>
      </c>
      <c r="U833" s="849">
        <v>0.0</v>
      </c>
      <c r="V833" s="849">
        <v>0.0</v>
      </c>
      <c r="W833" s="849">
        <v>0.0</v>
      </c>
      <c r="X833" s="849">
        <v>0.0</v>
      </c>
      <c r="Y833" s="849">
        <v>0.0</v>
      </c>
      <c r="Z833" s="849">
        <v>0.0</v>
      </c>
      <c r="AA833" s="849">
        <v>0.0</v>
      </c>
      <c r="AB833" s="849">
        <v>0.0</v>
      </c>
      <c r="AC833" s="849">
        <v>0.0</v>
      </c>
      <c r="AD833" s="849">
        <v>0.0</v>
      </c>
      <c r="AE833" s="849">
        <v>0.0</v>
      </c>
      <c r="AF833" s="849">
        <v>0.0</v>
      </c>
      <c r="AG833" s="849">
        <v>0.0</v>
      </c>
      <c r="AH833" s="849">
        <v>0.0</v>
      </c>
      <c r="AI833" s="849">
        <v>0.0</v>
      </c>
      <c r="AJ833" s="794" t="str">
        <f t="shared" ref="AJ833:AK833" si="1663">C833</f>
        <v>G714</v>
      </c>
      <c r="AK833" s="794" t="str">
        <f t="shared" si="1663"/>
        <v>PLAQUE,TITRE,TAXES-SIMPLE</v>
      </c>
      <c r="AL833" s="794">
        <f t="array" ref="AL833">IFERROR(INDEX(G833:R833,1,MATCH(Parametres!$B$3,G$1:R$1,0)-1)*IF(OR(F833="L",F833="S",F833="I"),-1,1),"")</f>
        <v>0</v>
      </c>
      <c r="AM833" s="794">
        <f t="shared" si="4"/>
        <v>0</v>
      </c>
      <c r="AN833" s="794">
        <f t="array" ref="AN833">INDEX(G833:R833,1,MATCH(Parametres!$B$3,G$1:R$1,0))*IF(OR(F833="L",F833="S",F833="I"),-1,1)</f>
        <v>0</v>
      </c>
      <c r="AO833" s="853" t="str">
        <f>+VLOOKUP($AJ833,Data_Validation!$A:$D,1,0)</f>
        <v>#N/A</v>
      </c>
      <c r="AP833" s="853" t="str">
        <f>+VLOOKUP($AJ833,Data_Validation!$A:$D,3,0)</f>
        <v>#N/A</v>
      </c>
      <c r="AQ833" s="853" t="str">
        <f>+VLOOKUP($AJ833,Data_Validation!$A:$D,4,0)</f>
        <v>#N/A</v>
      </c>
      <c r="AR833" s="853" t="s">
        <v>728</v>
      </c>
      <c r="AS833" s="853" t="str">
        <f>+VLOOKUP($AJ833,Data_Validation!$A:$E,5,0)</f>
        <v>#N/A</v>
      </c>
      <c r="AT833" s="794" t="str">
        <f t="shared" ref="AT833:AU833" si="1664">C833</f>
        <v>G714</v>
      </c>
      <c r="AU833" s="854" t="str">
        <f t="shared" si="1664"/>
        <v>PLAQUE,TITRE,TAXES-SIMPLE</v>
      </c>
      <c r="AV833" s="794">
        <f t="array" ref="AV833">IFERROR(INDEX(V833:AG833,1,MATCH(Parametres!$B$3,V$1:AG$1,0)-1)*IF(OR(C833="L",C833="S",C833="I"),-1,1),"")</f>
        <v>0</v>
      </c>
      <c r="AW833" s="794">
        <f t="shared" si="6"/>
        <v>0</v>
      </c>
      <c r="AX833" s="794">
        <f t="array" ref="AX833">INDEX(V833:AG833,1,MATCH(Parametres!$B$3,V$1:AG$1,0))*IF(OR(C833="L",C833="S",C833="I"),-1,1)</f>
        <v>0</v>
      </c>
      <c r="AY833" s="853" t="s">
        <v>772</v>
      </c>
      <c r="AZ833" s="853" t="str">
        <f>+VLOOKUP($AJ833,Data_Validation!$A:$E,5,0)</f>
        <v>#N/A</v>
      </c>
    </row>
    <row r="834" ht="15.0" customHeight="1">
      <c r="A834" s="849" t="s">
        <v>1239</v>
      </c>
      <c r="B834" s="849">
        <v>2025.0</v>
      </c>
      <c r="C834" s="849" t="s">
        <v>3260</v>
      </c>
      <c r="D834" s="849" t="s">
        <v>3261</v>
      </c>
      <c r="E834" s="849" t="s">
        <v>768</v>
      </c>
      <c r="F834" s="849" t="s">
        <v>1200</v>
      </c>
      <c r="G834" s="849">
        <v>0.0</v>
      </c>
      <c r="H834" s="849">
        <v>0.0</v>
      </c>
      <c r="I834" s="849">
        <v>0.0</v>
      </c>
      <c r="J834" s="849">
        <v>0.0</v>
      </c>
      <c r="K834" s="849">
        <v>0.0</v>
      </c>
      <c r="L834" s="849">
        <v>0.0</v>
      </c>
      <c r="M834" s="849">
        <v>0.0</v>
      </c>
      <c r="N834" s="849">
        <v>0.0</v>
      </c>
      <c r="O834" s="849">
        <v>0.0</v>
      </c>
      <c r="P834" s="849">
        <v>0.0</v>
      </c>
      <c r="Q834" s="849">
        <v>0.0</v>
      </c>
      <c r="R834" s="849">
        <v>0.0</v>
      </c>
      <c r="S834" s="849">
        <v>0.0</v>
      </c>
      <c r="T834" s="849">
        <v>0.0</v>
      </c>
      <c r="U834" s="849">
        <v>0.0</v>
      </c>
      <c r="V834" s="849">
        <v>0.0</v>
      </c>
      <c r="W834" s="849">
        <v>0.0</v>
      </c>
      <c r="X834" s="849">
        <v>0.0</v>
      </c>
      <c r="Y834" s="849">
        <v>0.0</v>
      </c>
      <c r="Z834" s="849">
        <v>0.0</v>
      </c>
      <c r="AA834" s="849">
        <v>0.0</v>
      </c>
      <c r="AB834" s="849">
        <v>0.0</v>
      </c>
      <c r="AC834" s="849">
        <v>0.0</v>
      </c>
      <c r="AD834" s="849">
        <v>0.0</v>
      </c>
      <c r="AE834" s="849">
        <v>0.0</v>
      </c>
      <c r="AF834" s="849">
        <v>0.0</v>
      </c>
      <c r="AG834" s="849">
        <v>0.0</v>
      </c>
      <c r="AH834" s="849">
        <v>0.0</v>
      </c>
      <c r="AI834" s="849">
        <v>0.0</v>
      </c>
      <c r="AJ834" s="794" t="str">
        <f t="shared" ref="AJ834:AK834" si="1665">C834</f>
        <v>G715</v>
      </c>
      <c r="AK834" s="794" t="str">
        <f t="shared" si="1665"/>
        <v>TRAVAUX GRACIEUX  -SIMPLE</v>
      </c>
      <c r="AL834" s="794">
        <f t="array" ref="AL834">IFERROR(INDEX(G834:R834,1,MATCH(Parametres!$B$3,G$1:R$1,0)-1)*IF(OR(F834="L",F834="S",F834="I"),-1,1),"")</f>
        <v>0</v>
      </c>
      <c r="AM834" s="794">
        <f t="shared" si="4"/>
        <v>0</v>
      </c>
      <c r="AN834" s="794">
        <f t="array" ref="AN834">INDEX(G834:R834,1,MATCH(Parametres!$B$3,G$1:R$1,0))*IF(OR(F834="L",F834="S",F834="I"),-1,1)</f>
        <v>0</v>
      </c>
      <c r="AO834" s="853" t="str">
        <f>+VLOOKUP($AJ834,Data_Validation!$A:$D,1,0)</f>
        <v>#N/A</v>
      </c>
      <c r="AP834" s="853" t="str">
        <f>+VLOOKUP($AJ834,Data_Validation!$A:$D,3,0)</f>
        <v>#N/A</v>
      </c>
      <c r="AQ834" s="853" t="str">
        <f>+VLOOKUP($AJ834,Data_Validation!$A:$D,4,0)</f>
        <v>#N/A</v>
      </c>
      <c r="AR834" s="853" t="s">
        <v>728</v>
      </c>
      <c r="AS834" s="853" t="str">
        <f>+VLOOKUP($AJ834,Data_Validation!$A:$E,5,0)</f>
        <v>#N/A</v>
      </c>
      <c r="AT834" s="794" t="str">
        <f t="shared" ref="AT834:AU834" si="1666">C834</f>
        <v>G715</v>
      </c>
      <c r="AU834" s="854" t="str">
        <f t="shared" si="1666"/>
        <v>TRAVAUX GRACIEUX  -SIMPLE</v>
      </c>
      <c r="AV834" s="794">
        <f t="array" ref="AV834">IFERROR(INDEX(V834:AG834,1,MATCH(Parametres!$B$3,V$1:AG$1,0)-1)*IF(OR(C834="L",C834="S",C834="I"),-1,1),"")</f>
        <v>0</v>
      </c>
      <c r="AW834" s="794">
        <f t="shared" si="6"/>
        <v>0</v>
      </c>
      <c r="AX834" s="794">
        <f t="array" ref="AX834">INDEX(V834:AG834,1,MATCH(Parametres!$B$3,V$1:AG$1,0))*IF(OR(C834="L",C834="S",C834="I"),-1,1)</f>
        <v>0</v>
      </c>
      <c r="AY834" s="853" t="s">
        <v>772</v>
      </c>
      <c r="AZ834" s="853" t="str">
        <f>+VLOOKUP($AJ834,Data_Validation!$A:$E,5,0)</f>
        <v>#N/A</v>
      </c>
    </row>
    <row r="835" ht="15.0" customHeight="1">
      <c r="A835" s="849" t="s">
        <v>1239</v>
      </c>
      <c r="B835" s="849">
        <v>2025.0</v>
      </c>
      <c r="C835" s="849" t="s">
        <v>3262</v>
      </c>
      <c r="D835" s="849" t="s">
        <v>3263</v>
      </c>
      <c r="E835" s="849" t="s">
        <v>768</v>
      </c>
      <c r="F835" s="849" t="s">
        <v>1200</v>
      </c>
      <c r="G835" s="849">
        <v>0.0</v>
      </c>
      <c r="H835" s="849">
        <v>0.0</v>
      </c>
      <c r="I835" s="849">
        <v>0.0</v>
      </c>
      <c r="J835" s="849">
        <v>0.0</v>
      </c>
      <c r="K835" s="849">
        <v>0.0</v>
      </c>
      <c r="L835" s="849">
        <v>0.0</v>
      </c>
      <c r="M835" s="849">
        <v>0.0</v>
      </c>
      <c r="N835" s="849">
        <v>0.0</v>
      </c>
      <c r="O835" s="849">
        <v>0.0</v>
      </c>
      <c r="P835" s="849">
        <v>0.0</v>
      </c>
      <c r="Q835" s="849">
        <v>0.0</v>
      </c>
      <c r="R835" s="849">
        <v>0.0</v>
      </c>
      <c r="S835" s="849">
        <v>0.0</v>
      </c>
      <c r="T835" s="849">
        <v>0.0</v>
      </c>
      <c r="U835" s="849">
        <v>0.0</v>
      </c>
      <c r="V835" s="849">
        <v>0.0</v>
      </c>
      <c r="W835" s="849">
        <v>0.0</v>
      </c>
      <c r="X835" s="849">
        <v>0.0</v>
      </c>
      <c r="Y835" s="849">
        <v>0.0</v>
      </c>
      <c r="Z835" s="849">
        <v>0.0</v>
      </c>
      <c r="AA835" s="849">
        <v>0.0</v>
      </c>
      <c r="AB835" s="849">
        <v>0.0</v>
      </c>
      <c r="AC835" s="849">
        <v>0.0</v>
      </c>
      <c r="AD835" s="849">
        <v>0.0</v>
      </c>
      <c r="AE835" s="849">
        <v>0.0</v>
      </c>
      <c r="AF835" s="849">
        <v>0.0</v>
      </c>
      <c r="AG835" s="849">
        <v>0.0</v>
      </c>
      <c r="AH835" s="849">
        <v>0.0</v>
      </c>
      <c r="AI835" s="849">
        <v>0.0</v>
      </c>
      <c r="AJ835" s="794" t="str">
        <f t="shared" ref="AJ835:AK835" si="1667">C835</f>
        <v>G716</v>
      </c>
      <c r="AK835" s="794" t="str">
        <f t="shared" si="1667"/>
        <v>REPAR.&amp; ENTRETIEN -SIMPLE</v>
      </c>
      <c r="AL835" s="794">
        <f t="array" ref="AL835">IFERROR(INDEX(G835:R835,1,MATCH(Parametres!$B$3,G$1:R$1,0)-1)*IF(OR(F835="L",F835="S",F835="I"),-1,1),"")</f>
        <v>0</v>
      </c>
      <c r="AM835" s="794">
        <f t="shared" si="4"/>
        <v>0</v>
      </c>
      <c r="AN835" s="794">
        <f t="array" ref="AN835">INDEX(G835:R835,1,MATCH(Parametres!$B$3,G$1:R$1,0))*IF(OR(F835="L",F835="S",F835="I"),-1,1)</f>
        <v>0</v>
      </c>
      <c r="AO835" s="853" t="str">
        <f>+VLOOKUP($AJ835,Data_Validation!$A:$D,1,0)</f>
        <v>#N/A</v>
      </c>
      <c r="AP835" s="853" t="str">
        <f>+VLOOKUP($AJ835,Data_Validation!$A:$D,3,0)</f>
        <v>#N/A</v>
      </c>
      <c r="AQ835" s="853" t="str">
        <f>+VLOOKUP($AJ835,Data_Validation!$A:$D,4,0)</f>
        <v>#N/A</v>
      </c>
      <c r="AR835" s="853" t="s">
        <v>728</v>
      </c>
      <c r="AS835" s="853" t="str">
        <f>+VLOOKUP($AJ835,Data_Validation!$A:$E,5,0)</f>
        <v>#N/A</v>
      </c>
      <c r="AT835" s="794" t="str">
        <f t="shared" ref="AT835:AU835" si="1668">C835</f>
        <v>G716</v>
      </c>
      <c r="AU835" s="854" t="str">
        <f t="shared" si="1668"/>
        <v>REPAR.&amp; ENTRETIEN -SIMPLE</v>
      </c>
      <c r="AV835" s="794">
        <f t="array" ref="AV835">IFERROR(INDEX(V835:AG835,1,MATCH(Parametres!$B$3,V$1:AG$1,0)-1)*IF(OR(C835="L",C835="S",C835="I"),-1,1),"")</f>
        <v>0</v>
      </c>
      <c r="AW835" s="794">
        <f t="shared" si="6"/>
        <v>0</v>
      </c>
      <c r="AX835" s="794">
        <f t="array" ref="AX835">INDEX(V835:AG835,1,MATCH(Parametres!$B$3,V$1:AG$1,0))*IF(OR(C835="L",C835="S",C835="I"),-1,1)</f>
        <v>0</v>
      </c>
      <c r="AY835" s="853" t="s">
        <v>772</v>
      </c>
      <c r="AZ835" s="853" t="str">
        <f>+VLOOKUP($AJ835,Data_Validation!$A:$E,5,0)</f>
        <v>#N/A</v>
      </c>
    </row>
    <row r="836" ht="15.0" customHeight="1">
      <c r="A836" s="849" t="s">
        <v>1239</v>
      </c>
      <c r="B836" s="849">
        <v>2025.0</v>
      </c>
      <c r="C836" s="849" t="s">
        <v>3264</v>
      </c>
      <c r="D836" s="849" t="s">
        <v>3265</v>
      </c>
      <c r="E836" s="849" t="s">
        <v>768</v>
      </c>
      <c r="F836" s="849" t="s">
        <v>1200</v>
      </c>
      <c r="G836" s="849">
        <v>0.0</v>
      </c>
      <c r="H836" s="849">
        <v>0.0</v>
      </c>
      <c r="I836" s="849">
        <v>0.0</v>
      </c>
      <c r="J836" s="849">
        <v>0.0</v>
      </c>
      <c r="K836" s="849">
        <v>0.0</v>
      </c>
      <c r="L836" s="849">
        <v>0.0</v>
      </c>
      <c r="M836" s="849">
        <v>0.0</v>
      </c>
      <c r="N836" s="849">
        <v>0.0</v>
      </c>
      <c r="O836" s="849">
        <v>0.0</v>
      </c>
      <c r="P836" s="849">
        <v>0.0</v>
      </c>
      <c r="Q836" s="849">
        <v>0.0</v>
      </c>
      <c r="R836" s="849">
        <v>0.0</v>
      </c>
      <c r="S836" s="849">
        <v>0.0</v>
      </c>
      <c r="T836" s="849">
        <v>0.0</v>
      </c>
      <c r="U836" s="849">
        <v>0.0</v>
      </c>
      <c r="V836" s="849">
        <v>0.0</v>
      </c>
      <c r="W836" s="849">
        <v>0.0</v>
      </c>
      <c r="X836" s="849">
        <v>0.0</v>
      </c>
      <c r="Y836" s="849">
        <v>0.0</v>
      </c>
      <c r="Z836" s="849">
        <v>0.0</v>
      </c>
      <c r="AA836" s="849">
        <v>0.0</v>
      </c>
      <c r="AB836" s="849">
        <v>0.0</v>
      </c>
      <c r="AC836" s="849">
        <v>0.0</v>
      </c>
      <c r="AD836" s="849">
        <v>0.0</v>
      </c>
      <c r="AE836" s="849">
        <v>0.0</v>
      </c>
      <c r="AF836" s="849">
        <v>0.0</v>
      </c>
      <c r="AG836" s="849">
        <v>0.0</v>
      </c>
      <c r="AH836" s="849">
        <v>0.0</v>
      </c>
      <c r="AI836" s="849">
        <v>0.0</v>
      </c>
      <c r="AJ836" s="794" t="str">
        <f t="shared" ref="AJ836:AK836" si="1669">C836</f>
        <v>G717</v>
      </c>
      <c r="AK836" s="794" t="str">
        <f t="shared" si="1669"/>
        <v>PRIX LOC.UNIT.S-LOUE-SIMP</v>
      </c>
      <c r="AL836" s="794">
        <f t="array" ref="AL836">IFERROR(INDEX(G836:R836,1,MATCH(Parametres!$B$3,G$1:R$1,0)-1)*IF(OR(F836="L",F836="S",F836="I"),-1,1),"")</f>
        <v>0</v>
      </c>
      <c r="AM836" s="794">
        <f t="shared" si="4"/>
        <v>0</v>
      </c>
      <c r="AN836" s="794">
        <f t="array" ref="AN836">INDEX(G836:R836,1,MATCH(Parametres!$B$3,G$1:R$1,0))*IF(OR(F836="L",F836="S",F836="I"),-1,1)</f>
        <v>0</v>
      </c>
      <c r="AO836" s="853" t="str">
        <f>+VLOOKUP($AJ836,Data_Validation!$A:$D,1,0)</f>
        <v>#N/A</v>
      </c>
      <c r="AP836" s="853" t="str">
        <f>+VLOOKUP($AJ836,Data_Validation!$A:$D,3,0)</f>
        <v>#N/A</v>
      </c>
      <c r="AQ836" s="853" t="str">
        <f>+VLOOKUP($AJ836,Data_Validation!$A:$D,4,0)</f>
        <v>#N/A</v>
      </c>
      <c r="AR836" s="853" t="s">
        <v>728</v>
      </c>
      <c r="AS836" s="853" t="str">
        <f>+VLOOKUP($AJ836,Data_Validation!$A:$E,5,0)</f>
        <v>#N/A</v>
      </c>
      <c r="AT836" s="794" t="str">
        <f t="shared" ref="AT836:AU836" si="1670">C836</f>
        <v>G717</v>
      </c>
      <c r="AU836" s="854" t="str">
        <f t="shared" si="1670"/>
        <v>PRIX LOC.UNIT.S-LOUE-SIMP</v>
      </c>
      <c r="AV836" s="794">
        <f t="array" ref="AV836">IFERROR(INDEX(V836:AG836,1,MATCH(Parametres!$B$3,V$1:AG$1,0)-1)*IF(OR(C836="L",C836="S",C836="I"),-1,1),"")</f>
        <v>0</v>
      </c>
      <c r="AW836" s="794">
        <f t="shared" si="6"/>
        <v>0</v>
      </c>
      <c r="AX836" s="794">
        <f t="array" ref="AX836">INDEX(V836:AG836,1,MATCH(Parametres!$B$3,V$1:AG$1,0))*IF(OR(C836="L",C836="S",C836="I"),-1,1)</f>
        <v>0</v>
      </c>
      <c r="AY836" s="853" t="s">
        <v>772</v>
      </c>
      <c r="AZ836" s="853" t="str">
        <f>+VLOOKUP($AJ836,Data_Validation!$A:$E,5,0)</f>
        <v>#N/A</v>
      </c>
    </row>
    <row r="837" ht="15.0" customHeight="1">
      <c r="A837" s="849" t="s">
        <v>1239</v>
      </c>
      <c r="B837" s="849">
        <v>2025.0</v>
      </c>
      <c r="C837" s="849" t="s">
        <v>3266</v>
      </c>
      <c r="D837" s="849" t="s">
        <v>3267</v>
      </c>
      <c r="E837" s="849" t="s">
        <v>768</v>
      </c>
      <c r="F837" s="849" t="s">
        <v>1200</v>
      </c>
      <c r="G837" s="849">
        <v>0.0</v>
      </c>
      <c r="H837" s="849">
        <v>0.0</v>
      </c>
      <c r="I837" s="849">
        <v>0.0</v>
      </c>
      <c r="J837" s="849">
        <v>0.0</v>
      </c>
      <c r="K837" s="849">
        <v>0.0</v>
      </c>
      <c r="L837" s="849">
        <v>0.0</v>
      </c>
      <c r="M837" s="849">
        <v>0.0</v>
      </c>
      <c r="N837" s="849">
        <v>0.0</v>
      </c>
      <c r="O837" s="849">
        <v>0.0</v>
      </c>
      <c r="P837" s="849">
        <v>0.0</v>
      </c>
      <c r="Q837" s="849">
        <v>0.0</v>
      </c>
      <c r="R837" s="849">
        <v>0.0</v>
      </c>
      <c r="S837" s="849">
        <v>0.0</v>
      </c>
      <c r="T837" s="849">
        <v>0.0</v>
      </c>
      <c r="U837" s="849">
        <v>0.0</v>
      </c>
      <c r="V837" s="849">
        <v>0.0</v>
      </c>
      <c r="W837" s="849">
        <v>0.0</v>
      </c>
      <c r="X837" s="849">
        <v>0.0</v>
      </c>
      <c r="Y837" s="849">
        <v>0.0</v>
      </c>
      <c r="Z837" s="849">
        <v>0.0</v>
      </c>
      <c r="AA837" s="849">
        <v>0.0</v>
      </c>
      <c r="AB837" s="849">
        <v>0.0</v>
      </c>
      <c r="AC837" s="849">
        <v>0.0</v>
      </c>
      <c r="AD837" s="849">
        <v>0.0</v>
      </c>
      <c r="AE837" s="849">
        <v>0.0</v>
      </c>
      <c r="AF837" s="849">
        <v>0.0</v>
      </c>
      <c r="AG837" s="849">
        <v>0.0</v>
      </c>
      <c r="AH837" s="849">
        <v>0.0</v>
      </c>
      <c r="AI837" s="849">
        <v>0.0</v>
      </c>
      <c r="AJ837" s="794" t="str">
        <f t="shared" ref="AJ837:AK837" si="1671">C837</f>
        <v>G718</v>
      </c>
      <c r="AK837" s="794" t="str">
        <f t="shared" si="1671"/>
        <v>AUTRES            -SIMPLE</v>
      </c>
      <c r="AL837" s="794">
        <f t="array" ref="AL837">IFERROR(INDEX(G837:R837,1,MATCH(Parametres!$B$3,G$1:R$1,0)-1)*IF(OR(F837="L",F837="S",F837="I"),-1,1),"")</f>
        <v>0</v>
      </c>
      <c r="AM837" s="794">
        <f t="shared" si="4"/>
        <v>0</v>
      </c>
      <c r="AN837" s="794">
        <f t="array" ref="AN837">INDEX(G837:R837,1,MATCH(Parametres!$B$3,G$1:R$1,0))*IF(OR(F837="L",F837="S",F837="I"),-1,1)</f>
        <v>0</v>
      </c>
      <c r="AO837" s="853" t="str">
        <f>+VLOOKUP($AJ837,Data_Validation!$A:$D,1,0)</f>
        <v>#N/A</v>
      </c>
      <c r="AP837" s="853" t="str">
        <f>+VLOOKUP($AJ837,Data_Validation!$A:$D,3,0)</f>
        <v>#N/A</v>
      </c>
      <c r="AQ837" s="853" t="str">
        <f>+VLOOKUP($AJ837,Data_Validation!$A:$D,4,0)</f>
        <v>#N/A</v>
      </c>
      <c r="AR837" s="853" t="s">
        <v>728</v>
      </c>
      <c r="AS837" s="853" t="str">
        <f>+VLOOKUP($AJ837,Data_Validation!$A:$E,5,0)</f>
        <v>#N/A</v>
      </c>
      <c r="AT837" s="794" t="str">
        <f t="shared" ref="AT837:AU837" si="1672">C837</f>
        <v>G718</v>
      </c>
      <c r="AU837" s="854" t="str">
        <f t="shared" si="1672"/>
        <v>AUTRES            -SIMPLE</v>
      </c>
      <c r="AV837" s="794">
        <f t="array" ref="AV837">IFERROR(INDEX(V837:AG837,1,MATCH(Parametres!$B$3,V$1:AG$1,0)-1)*IF(OR(C837="L",C837="S",C837="I"),-1,1),"")</f>
        <v>0</v>
      </c>
      <c r="AW837" s="794">
        <f t="shared" si="6"/>
        <v>0</v>
      </c>
      <c r="AX837" s="794">
        <f t="array" ref="AX837">INDEX(V837:AG837,1,MATCH(Parametres!$B$3,V$1:AG$1,0))*IF(OR(C837="L",C837="S",C837="I"),-1,1)</f>
        <v>0</v>
      </c>
      <c r="AY837" s="853" t="s">
        <v>772</v>
      </c>
      <c r="AZ837" s="853" t="str">
        <f>+VLOOKUP($AJ837,Data_Validation!$A:$E,5,0)</f>
        <v>#N/A</v>
      </c>
    </row>
    <row r="838" ht="15.0" customHeight="1">
      <c r="A838" s="849" t="s">
        <v>1239</v>
      </c>
      <c r="B838" s="849">
        <v>2025.0</v>
      </c>
      <c r="C838" s="849" t="s">
        <v>3268</v>
      </c>
      <c r="D838" s="849" t="s">
        <v>3269</v>
      </c>
      <c r="E838" s="849" t="s">
        <v>768</v>
      </c>
      <c r="F838" s="849" t="s">
        <v>1200</v>
      </c>
      <c r="G838" s="849">
        <v>0.0</v>
      </c>
      <c r="H838" s="849">
        <v>0.0</v>
      </c>
      <c r="I838" s="849">
        <v>0.0</v>
      </c>
      <c r="J838" s="849">
        <v>0.0</v>
      </c>
      <c r="K838" s="849">
        <v>0.0</v>
      </c>
      <c r="L838" s="849">
        <v>0.0</v>
      </c>
      <c r="M838" s="849">
        <v>0.0</v>
      </c>
      <c r="N838" s="849">
        <v>0.0</v>
      </c>
      <c r="O838" s="849">
        <v>0.0</v>
      </c>
      <c r="P838" s="849">
        <v>0.0</v>
      </c>
      <c r="Q838" s="849">
        <v>0.0</v>
      </c>
      <c r="R838" s="849">
        <v>0.0</v>
      </c>
      <c r="S838" s="849">
        <v>0.0</v>
      </c>
      <c r="T838" s="849">
        <v>0.0</v>
      </c>
      <c r="U838" s="849">
        <v>0.0</v>
      </c>
      <c r="V838" s="849">
        <v>0.0</v>
      </c>
      <c r="W838" s="849">
        <v>0.0</v>
      </c>
      <c r="X838" s="849">
        <v>0.0</v>
      </c>
      <c r="Y838" s="849">
        <v>0.0</v>
      </c>
      <c r="Z838" s="849">
        <v>0.0</v>
      </c>
      <c r="AA838" s="849">
        <v>0.0</v>
      </c>
      <c r="AB838" s="849">
        <v>0.0</v>
      </c>
      <c r="AC838" s="849">
        <v>0.0</v>
      </c>
      <c r="AD838" s="849">
        <v>0.0</v>
      </c>
      <c r="AE838" s="849">
        <v>0.0</v>
      </c>
      <c r="AF838" s="849">
        <v>0.0</v>
      </c>
      <c r="AG838" s="849">
        <v>0.0</v>
      </c>
      <c r="AH838" s="849">
        <v>0.0</v>
      </c>
      <c r="AI838" s="849">
        <v>0.0</v>
      </c>
      <c r="AJ838" s="794" t="str">
        <f t="shared" ref="AJ838:AK838" si="1673">C838</f>
        <v>G721</v>
      </c>
      <c r="AK838" s="794" t="str">
        <f t="shared" si="1673"/>
        <v>INTERETS          -ALEATO</v>
      </c>
      <c r="AL838" s="794">
        <f t="array" ref="AL838">IFERROR(INDEX(G838:R838,1,MATCH(Parametres!$B$3,G$1:R$1,0)-1)*IF(OR(F838="L",F838="S",F838="I"),-1,1),"")</f>
        <v>0</v>
      </c>
      <c r="AM838" s="794">
        <f t="shared" si="4"/>
        <v>0</v>
      </c>
      <c r="AN838" s="794">
        <f t="array" ref="AN838">INDEX(G838:R838,1,MATCH(Parametres!$B$3,G$1:R$1,0))*IF(OR(F838="L",F838="S",F838="I"),-1,1)</f>
        <v>0</v>
      </c>
      <c r="AO838" s="853" t="str">
        <f>+VLOOKUP($AJ838,Data_Validation!$A:$D,1,0)</f>
        <v>#N/A</v>
      </c>
      <c r="AP838" s="853" t="str">
        <f>+VLOOKUP($AJ838,Data_Validation!$A:$D,3,0)</f>
        <v>#N/A</v>
      </c>
      <c r="AQ838" s="853" t="str">
        <f>+VLOOKUP($AJ838,Data_Validation!$A:$D,4,0)</f>
        <v>#N/A</v>
      </c>
      <c r="AR838" s="853" t="s">
        <v>728</v>
      </c>
      <c r="AS838" s="853" t="str">
        <f>+VLOOKUP($AJ838,Data_Validation!$A:$E,5,0)</f>
        <v>#N/A</v>
      </c>
      <c r="AT838" s="794" t="str">
        <f t="shared" ref="AT838:AU838" si="1674">C838</f>
        <v>G721</v>
      </c>
      <c r="AU838" s="854" t="str">
        <f t="shared" si="1674"/>
        <v>INTERETS          -ALEATO</v>
      </c>
      <c r="AV838" s="794">
        <f t="array" ref="AV838">IFERROR(INDEX(V838:AG838,1,MATCH(Parametres!$B$3,V$1:AG$1,0)-1)*IF(OR(C838="L",C838="S",C838="I"),-1,1),"")</f>
        <v>0</v>
      </c>
      <c r="AW838" s="794">
        <f t="shared" si="6"/>
        <v>0</v>
      </c>
      <c r="AX838" s="794">
        <f t="array" ref="AX838">INDEX(V838:AG838,1,MATCH(Parametres!$B$3,V$1:AG$1,0))*IF(OR(C838="L",C838="S",C838="I"),-1,1)</f>
        <v>0</v>
      </c>
      <c r="AY838" s="853" t="s">
        <v>772</v>
      </c>
      <c r="AZ838" s="853" t="str">
        <f>+VLOOKUP($AJ838,Data_Validation!$A:$E,5,0)</f>
        <v>#N/A</v>
      </c>
    </row>
    <row r="839" ht="15.0" customHeight="1">
      <c r="A839" s="849" t="s">
        <v>1239</v>
      </c>
      <c r="B839" s="849">
        <v>2025.0</v>
      </c>
      <c r="C839" s="849" t="s">
        <v>3270</v>
      </c>
      <c r="D839" s="849" t="s">
        <v>3271</v>
      </c>
      <c r="E839" s="849" t="s">
        <v>768</v>
      </c>
      <c r="F839" s="849" t="s">
        <v>1200</v>
      </c>
      <c r="G839" s="849">
        <v>0.0</v>
      </c>
      <c r="H839" s="849">
        <v>0.0</v>
      </c>
      <c r="I839" s="849">
        <v>0.0</v>
      </c>
      <c r="J839" s="849">
        <v>0.0</v>
      </c>
      <c r="K839" s="849">
        <v>0.0</v>
      </c>
      <c r="L839" s="849">
        <v>0.0</v>
      </c>
      <c r="M839" s="849">
        <v>0.0</v>
      </c>
      <c r="N839" s="849">
        <v>0.0</v>
      </c>
      <c r="O839" s="849">
        <v>0.0</v>
      </c>
      <c r="P839" s="849">
        <v>0.0</v>
      </c>
      <c r="Q839" s="849">
        <v>0.0</v>
      </c>
      <c r="R839" s="849">
        <v>0.0</v>
      </c>
      <c r="S839" s="849">
        <v>0.0</v>
      </c>
      <c r="T839" s="849">
        <v>0.0</v>
      </c>
      <c r="U839" s="849">
        <v>0.0</v>
      </c>
      <c r="V839" s="849">
        <v>0.0</v>
      </c>
      <c r="W839" s="849">
        <v>0.0</v>
      </c>
      <c r="X839" s="849">
        <v>0.0</v>
      </c>
      <c r="Y839" s="849">
        <v>0.0</v>
      </c>
      <c r="Z839" s="849">
        <v>0.0</v>
      </c>
      <c r="AA839" s="849">
        <v>0.0</v>
      </c>
      <c r="AB839" s="849">
        <v>0.0</v>
      </c>
      <c r="AC839" s="849">
        <v>0.0</v>
      </c>
      <c r="AD839" s="849">
        <v>0.0</v>
      </c>
      <c r="AE839" s="849">
        <v>0.0</v>
      </c>
      <c r="AF839" s="849">
        <v>0.0</v>
      </c>
      <c r="AG839" s="849">
        <v>0.0</v>
      </c>
      <c r="AH839" s="849">
        <v>0.0</v>
      </c>
      <c r="AI839" s="849">
        <v>0.0</v>
      </c>
      <c r="AJ839" s="794" t="str">
        <f t="shared" ref="AJ839:AK839" si="1675">C839</f>
        <v>G722</v>
      </c>
      <c r="AK839" s="794" t="str">
        <f t="shared" si="1675"/>
        <v>AMORTISSEMENT     -ALEATO</v>
      </c>
      <c r="AL839" s="794">
        <f t="array" ref="AL839">IFERROR(INDEX(G839:R839,1,MATCH(Parametres!$B$3,G$1:R$1,0)-1)*IF(OR(F839="L",F839="S",F839="I"),-1,1),"")</f>
        <v>0</v>
      </c>
      <c r="AM839" s="794">
        <f t="shared" si="4"/>
        <v>0</v>
      </c>
      <c r="AN839" s="794">
        <f t="array" ref="AN839">INDEX(G839:R839,1,MATCH(Parametres!$B$3,G$1:R$1,0))*IF(OR(F839="L",F839="S",F839="I"),-1,1)</f>
        <v>0</v>
      </c>
      <c r="AO839" s="853" t="str">
        <f>+VLOOKUP($AJ839,Data_Validation!$A:$D,1,0)</f>
        <v>#N/A</v>
      </c>
      <c r="AP839" s="853" t="str">
        <f>+VLOOKUP($AJ839,Data_Validation!$A:$D,3,0)</f>
        <v>#N/A</v>
      </c>
      <c r="AQ839" s="853" t="str">
        <f>+VLOOKUP($AJ839,Data_Validation!$A:$D,4,0)</f>
        <v>#N/A</v>
      </c>
      <c r="AR839" s="853" t="s">
        <v>728</v>
      </c>
      <c r="AS839" s="853" t="str">
        <f>+VLOOKUP($AJ839,Data_Validation!$A:$E,5,0)</f>
        <v>#N/A</v>
      </c>
      <c r="AT839" s="794" t="str">
        <f t="shared" ref="AT839:AU839" si="1676">C839</f>
        <v>G722</v>
      </c>
      <c r="AU839" s="854" t="str">
        <f t="shared" si="1676"/>
        <v>AMORTISSEMENT     -ALEATO</v>
      </c>
      <c r="AV839" s="794">
        <f t="array" ref="AV839">IFERROR(INDEX(V839:AG839,1,MATCH(Parametres!$B$3,V$1:AG$1,0)-1)*IF(OR(C839="L",C839="S",C839="I"),-1,1),"")</f>
        <v>0</v>
      </c>
      <c r="AW839" s="794">
        <f t="shared" si="6"/>
        <v>0</v>
      </c>
      <c r="AX839" s="794">
        <f t="array" ref="AX839">INDEX(V839:AG839,1,MATCH(Parametres!$B$3,V$1:AG$1,0))*IF(OR(C839="L",C839="S",C839="I"),-1,1)</f>
        <v>0</v>
      </c>
      <c r="AY839" s="853" t="s">
        <v>772</v>
      </c>
      <c r="AZ839" s="853" t="str">
        <f>+VLOOKUP($AJ839,Data_Validation!$A:$E,5,0)</f>
        <v>#N/A</v>
      </c>
    </row>
    <row r="840" ht="15.0" customHeight="1">
      <c r="A840" s="849" t="s">
        <v>1239</v>
      </c>
      <c r="B840" s="849">
        <v>2025.0</v>
      </c>
      <c r="C840" s="849" t="s">
        <v>3272</v>
      </c>
      <c r="D840" s="849" t="s">
        <v>3273</v>
      </c>
      <c r="E840" s="849" t="s">
        <v>768</v>
      </c>
      <c r="F840" s="849" t="s">
        <v>1200</v>
      </c>
      <c r="G840" s="849">
        <v>0.0</v>
      </c>
      <c r="H840" s="849">
        <v>0.0</v>
      </c>
      <c r="I840" s="849">
        <v>0.0</v>
      </c>
      <c r="J840" s="849">
        <v>0.0</v>
      </c>
      <c r="K840" s="849">
        <v>0.0</v>
      </c>
      <c r="L840" s="849">
        <v>0.0</v>
      </c>
      <c r="M840" s="849">
        <v>0.0</v>
      </c>
      <c r="N840" s="849">
        <v>0.0</v>
      </c>
      <c r="O840" s="849">
        <v>0.0</v>
      </c>
      <c r="P840" s="849">
        <v>0.0</v>
      </c>
      <c r="Q840" s="849">
        <v>0.0</v>
      </c>
      <c r="R840" s="849">
        <v>0.0</v>
      </c>
      <c r="S840" s="849">
        <v>0.0</v>
      </c>
      <c r="T840" s="849">
        <v>0.0</v>
      </c>
      <c r="U840" s="849">
        <v>0.0</v>
      </c>
      <c r="V840" s="849">
        <v>0.0</v>
      </c>
      <c r="W840" s="849">
        <v>0.0</v>
      </c>
      <c r="X840" s="849">
        <v>0.0</v>
      </c>
      <c r="Y840" s="849">
        <v>0.0</v>
      </c>
      <c r="Z840" s="849">
        <v>0.0</v>
      </c>
      <c r="AA840" s="849">
        <v>0.0</v>
      </c>
      <c r="AB840" s="849">
        <v>0.0</v>
      </c>
      <c r="AC840" s="849">
        <v>0.0</v>
      </c>
      <c r="AD840" s="849">
        <v>0.0</v>
      </c>
      <c r="AE840" s="849">
        <v>0.0</v>
      </c>
      <c r="AF840" s="849">
        <v>0.0</v>
      </c>
      <c r="AG840" s="849">
        <v>0.0</v>
      </c>
      <c r="AH840" s="849">
        <v>0.0</v>
      </c>
      <c r="AI840" s="849">
        <v>0.0</v>
      </c>
      <c r="AJ840" s="794" t="str">
        <f t="shared" ref="AJ840:AK840" si="1677">C840</f>
        <v>G723</v>
      </c>
      <c r="AK840" s="794" t="str">
        <f t="shared" si="1677"/>
        <v>ASSUR.VEH EN SERV.-ALEATO</v>
      </c>
      <c r="AL840" s="794">
        <f t="array" ref="AL840">IFERROR(INDEX(G840:R840,1,MATCH(Parametres!$B$3,G$1:R$1,0)-1)*IF(OR(F840="L",F840="S",F840="I"),-1,1),"")</f>
        <v>0</v>
      </c>
      <c r="AM840" s="794">
        <f t="shared" si="4"/>
        <v>0</v>
      </c>
      <c r="AN840" s="794">
        <f t="array" ref="AN840">INDEX(G840:R840,1,MATCH(Parametres!$B$3,G$1:R$1,0))*IF(OR(F840="L",F840="S",F840="I"),-1,1)</f>
        <v>0</v>
      </c>
      <c r="AO840" s="853" t="str">
        <f>+VLOOKUP($AJ840,Data_Validation!$A:$D,1,0)</f>
        <v>#N/A</v>
      </c>
      <c r="AP840" s="853" t="str">
        <f>+VLOOKUP($AJ840,Data_Validation!$A:$D,3,0)</f>
        <v>#N/A</v>
      </c>
      <c r="AQ840" s="853" t="str">
        <f>+VLOOKUP($AJ840,Data_Validation!$A:$D,4,0)</f>
        <v>#N/A</v>
      </c>
      <c r="AR840" s="853" t="s">
        <v>728</v>
      </c>
      <c r="AS840" s="853" t="str">
        <f>+VLOOKUP($AJ840,Data_Validation!$A:$E,5,0)</f>
        <v>#N/A</v>
      </c>
      <c r="AT840" s="794" t="str">
        <f t="shared" ref="AT840:AU840" si="1678">C840</f>
        <v>G723</v>
      </c>
      <c r="AU840" s="854" t="str">
        <f t="shared" si="1678"/>
        <v>ASSUR.VEH EN SERV.-ALEATO</v>
      </c>
      <c r="AV840" s="794">
        <f t="array" ref="AV840">IFERROR(INDEX(V840:AG840,1,MATCH(Parametres!$B$3,V$1:AG$1,0)-1)*IF(OR(C840="L",C840="S",C840="I"),-1,1),"")</f>
        <v>0</v>
      </c>
      <c r="AW840" s="794">
        <f t="shared" si="6"/>
        <v>0</v>
      </c>
      <c r="AX840" s="794">
        <f t="array" ref="AX840">INDEX(V840:AG840,1,MATCH(Parametres!$B$3,V$1:AG$1,0))*IF(OR(C840="L",C840="S",C840="I"),-1,1)</f>
        <v>0</v>
      </c>
      <c r="AY840" s="853" t="s">
        <v>772</v>
      </c>
      <c r="AZ840" s="853" t="str">
        <f>+VLOOKUP($AJ840,Data_Validation!$A:$E,5,0)</f>
        <v>#N/A</v>
      </c>
    </row>
    <row r="841" ht="15.0" customHeight="1">
      <c r="A841" s="849" t="s">
        <v>1239</v>
      </c>
      <c r="B841" s="849">
        <v>2025.0</v>
      </c>
      <c r="C841" s="849" t="s">
        <v>3274</v>
      </c>
      <c r="D841" s="849" t="s">
        <v>3275</v>
      </c>
      <c r="E841" s="849" t="s">
        <v>768</v>
      </c>
      <c r="F841" s="849" t="s">
        <v>1200</v>
      </c>
      <c r="G841" s="849">
        <v>0.0</v>
      </c>
      <c r="H841" s="849">
        <v>0.0</v>
      </c>
      <c r="I841" s="849">
        <v>0.0</v>
      </c>
      <c r="J841" s="849">
        <v>0.0</v>
      </c>
      <c r="K841" s="849">
        <v>0.0</v>
      </c>
      <c r="L841" s="849">
        <v>0.0</v>
      </c>
      <c r="M841" s="849">
        <v>0.0</v>
      </c>
      <c r="N841" s="849">
        <v>0.0</v>
      </c>
      <c r="O841" s="849">
        <v>0.0</v>
      </c>
      <c r="P841" s="849">
        <v>0.0</v>
      </c>
      <c r="Q841" s="849">
        <v>0.0</v>
      </c>
      <c r="R841" s="849">
        <v>0.0</v>
      </c>
      <c r="S841" s="849">
        <v>0.0</v>
      </c>
      <c r="T841" s="849">
        <v>0.0</v>
      </c>
      <c r="U841" s="849">
        <v>0.0</v>
      </c>
      <c r="V841" s="849">
        <v>0.0</v>
      </c>
      <c r="W841" s="849">
        <v>0.0</v>
      </c>
      <c r="X841" s="849">
        <v>0.0</v>
      </c>
      <c r="Y841" s="849">
        <v>0.0</v>
      </c>
      <c r="Z841" s="849">
        <v>0.0</v>
      </c>
      <c r="AA841" s="849">
        <v>0.0</v>
      </c>
      <c r="AB841" s="849">
        <v>0.0</v>
      </c>
      <c r="AC841" s="849">
        <v>0.0</v>
      </c>
      <c r="AD841" s="849">
        <v>0.0</v>
      </c>
      <c r="AE841" s="849">
        <v>0.0</v>
      </c>
      <c r="AF841" s="849">
        <v>0.0</v>
      </c>
      <c r="AG841" s="849">
        <v>0.0</v>
      </c>
      <c r="AH841" s="849">
        <v>0.0</v>
      </c>
      <c r="AI841" s="849">
        <v>0.0</v>
      </c>
      <c r="AJ841" s="794" t="str">
        <f t="shared" ref="AJ841:AK841" si="1679">C841</f>
        <v>G724</v>
      </c>
      <c r="AK841" s="794" t="str">
        <f t="shared" si="1679"/>
        <v>PLAQUE,TITRE,TAXES-ALEATO</v>
      </c>
      <c r="AL841" s="794">
        <f t="array" ref="AL841">IFERROR(INDEX(G841:R841,1,MATCH(Parametres!$B$3,G$1:R$1,0)-1)*IF(OR(F841="L",F841="S",F841="I"),-1,1),"")</f>
        <v>0</v>
      </c>
      <c r="AM841" s="794">
        <f t="shared" si="4"/>
        <v>0</v>
      </c>
      <c r="AN841" s="794">
        <f t="array" ref="AN841">INDEX(G841:R841,1,MATCH(Parametres!$B$3,G$1:R$1,0))*IF(OR(F841="L",F841="S",F841="I"),-1,1)</f>
        <v>0</v>
      </c>
      <c r="AO841" s="853" t="str">
        <f>+VLOOKUP($AJ841,Data_Validation!$A:$D,1,0)</f>
        <v>#N/A</v>
      </c>
      <c r="AP841" s="853" t="str">
        <f>+VLOOKUP($AJ841,Data_Validation!$A:$D,3,0)</f>
        <v>#N/A</v>
      </c>
      <c r="AQ841" s="853" t="str">
        <f>+VLOOKUP($AJ841,Data_Validation!$A:$D,4,0)</f>
        <v>#N/A</v>
      </c>
      <c r="AR841" s="853" t="s">
        <v>728</v>
      </c>
      <c r="AS841" s="853" t="str">
        <f>+VLOOKUP($AJ841,Data_Validation!$A:$E,5,0)</f>
        <v>#N/A</v>
      </c>
      <c r="AT841" s="794" t="str">
        <f t="shared" ref="AT841:AU841" si="1680">C841</f>
        <v>G724</v>
      </c>
      <c r="AU841" s="854" t="str">
        <f t="shared" si="1680"/>
        <v>PLAQUE,TITRE,TAXES-ALEATO</v>
      </c>
      <c r="AV841" s="794">
        <f t="array" ref="AV841">IFERROR(INDEX(V841:AG841,1,MATCH(Parametres!$B$3,V$1:AG$1,0)-1)*IF(OR(C841="L",C841="S",C841="I"),-1,1),"")</f>
        <v>0</v>
      </c>
      <c r="AW841" s="794">
        <f t="shared" si="6"/>
        <v>0</v>
      </c>
      <c r="AX841" s="794">
        <f t="array" ref="AX841">INDEX(V841:AG841,1,MATCH(Parametres!$B$3,V$1:AG$1,0))*IF(OR(C841="L",C841="S",C841="I"),-1,1)</f>
        <v>0</v>
      </c>
      <c r="AY841" s="853" t="s">
        <v>772</v>
      </c>
      <c r="AZ841" s="853" t="str">
        <f>+VLOOKUP($AJ841,Data_Validation!$A:$E,5,0)</f>
        <v>#N/A</v>
      </c>
    </row>
    <row r="842" ht="15.0" customHeight="1">
      <c r="A842" s="849" t="s">
        <v>1239</v>
      </c>
      <c r="B842" s="849">
        <v>2025.0</v>
      </c>
      <c r="C842" s="849" t="s">
        <v>3276</v>
      </c>
      <c r="D842" s="849" t="s">
        <v>3277</v>
      </c>
      <c r="E842" s="849" t="s">
        <v>768</v>
      </c>
      <c r="F842" s="849" t="s">
        <v>1200</v>
      </c>
      <c r="G842" s="849">
        <v>0.0</v>
      </c>
      <c r="H842" s="849">
        <v>0.0</v>
      </c>
      <c r="I842" s="849">
        <v>0.0</v>
      </c>
      <c r="J842" s="849">
        <v>0.0</v>
      </c>
      <c r="K842" s="849">
        <v>0.0</v>
      </c>
      <c r="L842" s="849">
        <v>0.0</v>
      </c>
      <c r="M842" s="849">
        <v>0.0</v>
      </c>
      <c r="N842" s="849">
        <v>0.0</v>
      </c>
      <c r="O842" s="849">
        <v>0.0</v>
      </c>
      <c r="P842" s="849">
        <v>0.0</v>
      </c>
      <c r="Q842" s="849">
        <v>0.0</v>
      </c>
      <c r="R842" s="849">
        <v>0.0</v>
      </c>
      <c r="S842" s="849">
        <v>0.0</v>
      </c>
      <c r="T842" s="849">
        <v>0.0</v>
      </c>
      <c r="U842" s="849">
        <v>0.0</v>
      </c>
      <c r="V842" s="849">
        <v>0.0</v>
      </c>
      <c r="W842" s="849">
        <v>0.0</v>
      </c>
      <c r="X842" s="849">
        <v>0.0</v>
      </c>
      <c r="Y842" s="849">
        <v>0.0</v>
      </c>
      <c r="Z842" s="849">
        <v>0.0</v>
      </c>
      <c r="AA842" s="849">
        <v>0.0</v>
      </c>
      <c r="AB842" s="849">
        <v>0.0</v>
      </c>
      <c r="AC842" s="849">
        <v>0.0</v>
      </c>
      <c r="AD842" s="849">
        <v>0.0</v>
      </c>
      <c r="AE842" s="849">
        <v>0.0</v>
      </c>
      <c r="AF842" s="849">
        <v>0.0</v>
      </c>
      <c r="AG842" s="849">
        <v>0.0</v>
      </c>
      <c r="AH842" s="849">
        <v>0.0</v>
      </c>
      <c r="AI842" s="849">
        <v>0.0</v>
      </c>
      <c r="AJ842" s="794" t="str">
        <f t="shared" ref="AJ842:AK842" si="1681">C842</f>
        <v>G72402</v>
      </c>
      <c r="AK842" s="794" t="str">
        <f t="shared" si="1681"/>
        <v>ENTRETIEN COURT TERME</v>
      </c>
      <c r="AL842" s="794">
        <f t="array" ref="AL842">IFERROR(INDEX(G842:R842,1,MATCH(Parametres!$B$3,G$1:R$1,0)-1)*IF(OR(F842="L",F842="S",F842="I"),-1,1),"")</f>
        <v>0</v>
      </c>
      <c r="AM842" s="794">
        <f t="shared" si="4"/>
        <v>0</v>
      </c>
      <c r="AN842" s="794">
        <f t="array" ref="AN842">INDEX(G842:R842,1,MATCH(Parametres!$B$3,G$1:R$1,0))*IF(OR(F842="L",F842="S",F842="I"),-1,1)</f>
        <v>0</v>
      </c>
      <c r="AO842" s="853" t="str">
        <f>+VLOOKUP($AJ842,Data_Validation!$A:$D,1,0)</f>
        <v>#N/A</v>
      </c>
      <c r="AP842" s="853" t="str">
        <f>+VLOOKUP($AJ842,Data_Validation!$A:$D,3,0)</f>
        <v>#N/A</v>
      </c>
      <c r="AQ842" s="853" t="str">
        <f>+VLOOKUP($AJ842,Data_Validation!$A:$D,4,0)</f>
        <v>#N/A</v>
      </c>
      <c r="AR842" s="853" t="s">
        <v>728</v>
      </c>
      <c r="AS842" s="853" t="str">
        <f>+VLOOKUP($AJ842,Data_Validation!$A:$E,5,0)</f>
        <v>#N/A</v>
      </c>
      <c r="AT842" s="794" t="str">
        <f t="shared" ref="AT842:AU842" si="1682">C842</f>
        <v>G72402</v>
      </c>
      <c r="AU842" s="854" t="str">
        <f t="shared" si="1682"/>
        <v>ENTRETIEN COURT TERME</v>
      </c>
      <c r="AV842" s="794">
        <f t="array" ref="AV842">IFERROR(INDEX(V842:AG842,1,MATCH(Parametres!$B$3,V$1:AG$1,0)-1)*IF(OR(C842="L",C842="S",C842="I"),-1,1),"")</f>
        <v>0</v>
      </c>
      <c r="AW842" s="794">
        <f t="shared" si="6"/>
        <v>0</v>
      </c>
      <c r="AX842" s="794">
        <f t="array" ref="AX842">INDEX(V842:AG842,1,MATCH(Parametres!$B$3,V$1:AG$1,0))*IF(OR(C842="L",C842="S",C842="I"),-1,1)</f>
        <v>0</v>
      </c>
      <c r="AY842" s="853" t="s">
        <v>772</v>
      </c>
      <c r="AZ842" s="853" t="str">
        <f>+VLOOKUP($AJ842,Data_Validation!$A:$E,5,0)</f>
        <v>#N/A</v>
      </c>
    </row>
    <row r="843" ht="15.0" customHeight="1">
      <c r="A843" s="849" t="s">
        <v>1239</v>
      </c>
      <c r="B843" s="849">
        <v>2025.0</v>
      </c>
      <c r="C843" s="849" t="s">
        <v>3278</v>
      </c>
      <c r="D843" s="849" t="s">
        <v>3279</v>
      </c>
      <c r="E843" s="849" t="s">
        <v>768</v>
      </c>
      <c r="F843" s="849" t="s">
        <v>1200</v>
      </c>
      <c r="G843" s="849">
        <v>0.0</v>
      </c>
      <c r="H843" s="849">
        <v>0.0</v>
      </c>
      <c r="I843" s="849">
        <v>0.0</v>
      </c>
      <c r="J843" s="849">
        <v>0.0</v>
      </c>
      <c r="K843" s="849">
        <v>0.0</v>
      </c>
      <c r="L843" s="849">
        <v>0.0</v>
      </c>
      <c r="M843" s="849">
        <v>0.0</v>
      </c>
      <c r="N843" s="849">
        <v>0.0</v>
      </c>
      <c r="O843" s="849">
        <v>0.0</v>
      </c>
      <c r="P843" s="849">
        <v>0.0</v>
      </c>
      <c r="Q843" s="849">
        <v>0.0</v>
      </c>
      <c r="R843" s="849">
        <v>0.0</v>
      </c>
      <c r="S843" s="849">
        <v>0.0</v>
      </c>
      <c r="T843" s="849">
        <v>0.0</v>
      </c>
      <c r="U843" s="849">
        <v>0.0</v>
      </c>
      <c r="V843" s="849">
        <v>0.0</v>
      </c>
      <c r="W843" s="849">
        <v>0.0</v>
      </c>
      <c r="X843" s="849">
        <v>0.0</v>
      </c>
      <c r="Y843" s="849">
        <v>0.0</v>
      </c>
      <c r="Z843" s="849">
        <v>0.0</v>
      </c>
      <c r="AA843" s="849">
        <v>0.0</v>
      </c>
      <c r="AB843" s="849">
        <v>0.0</v>
      </c>
      <c r="AC843" s="849">
        <v>0.0</v>
      </c>
      <c r="AD843" s="849">
        <v>0.0</v>
      </c>
      <c r="AE843" s="849">
        <v>0.0</v>
      </c>
      <c r="AF843" s="849">
        <v>0.0</v>
      </c>
      <c r="AG843" s="849">
        <v>0.0</v>
      </c>
      <c r="AH843" s="849">
        <v>0.0</v>
      </c>
      <c r="AI843" s="849">
        <v>0.0</v>
      </c>
      <c r="AJ843" s="794" t="str">
        <f t="shared" ref="AJ843:AK843" si="1683">C843</f>
        <v>G725</v>
      </c>
      <c r="AK843" s="794" t="str">
        <f t="shared" si="1683"/>
        <v>TRAVAUX GRACIEUX  -ALEATO</v>
      </c>
      <c r="AL843" s="794">
        <f t="array" ref="AL843">IFERROR(INDEX(G843:R843,1,MATCH(Parametres!$B$3,G$1:R$1,0)-1)*IF(OR(F843="L",F843="S",F843="I"),-1,1),"")</f>
        <v>0</v>
      </c>
      <c r="AM843" s="794">
        <f t="shared" si="4"/>
        <v>0</v>
      </c>
      <c r="AN843" s="794">
        <f t="array" ref="AN843">INDEX(G843:R843,1,MATCH(Parametres!$B$3,G$1:R$1,0))*IF(OR(F843="L",F843="S",F843="I"),-1,1)</f>
        <v>0</v>
      </c>
      <c r="AO843" s="853" t="str">
        <f>+VLOOKUP($AJ843,Data_Validation!$A:$D,1,0)</f>
        <v>#N/A</v>
      </c>
      <c r="AP843" s="853" t="str">
        <f>+VLOOKUP($AJ843,Data_Validation!$A:$D,3,0)</f>
        <v>#N/A</v>
      </c>
      <c r="AQ843" s="853" t="str">
        <f>+VLOOKUP($AJ843,Data_Validation!$A:$D,4,0)</f>
        <v>#N/A</v>
      </c>
      <c r="AR843" s="853" t="s">
        <v>728</v>
      </c>
      <c r="AS843" s="853" t="str">
        <f>+VLOOKUP($AJ843,Data_Validation!$A:$E,5,0)</f>
        <v>#N/A</v>
      </c>
      <c r="AT843" s="794" t="str">
        <f t="shared" ref="AT843:AU843" si="1684">C843</f>
        <v>G725</v>
      </c>
      <c r="AU843" s="854" t="str">
        <f t="shared" si="1684"/>
        <v>TRAVAUX GRACIEUX  -ALEATO</v>
      </c>
      <c r="AV843" s="794">
        <f t="array" ref="AV843">IFERROR(INDEX(V843:AG843,1,MATCH(Parametres!$B$3,V$1:AG$1,0)-1)*IF(OR(C843="L",C843="S",C843="I"),-1,1),"")</f>
        <v>0</v>
      </c>
      <c r="AW843" s="794">
        <f t="shared" si="6"/>
        <v>0</v>
      </c>
      <c r="AX843" s="794">
        <f t="array" ref="AX843">INDEX(V843:AG843,1,MATCH(Parametres!$B$3,V$1:AG$1,0))*IF(OR(C843="L",C843="S",C843="I"),-1,1)</f>
        <v>0</v>
      </c>
      <c r="AY843" s="853" t="s">
        <v>772</v>
      </c>
      <c r="AZ843" s="853" t="str">
        <f>+VLOOKUP($AJ843,Data_Validation!$A:$E,5,0)</f>
        <v>#N/A</v>
      </c>
    </row>
    <row r="844" ht="15.0" customHeight="1">
      <c r="A844" s="849" t="s">
        <v>1239</v>
      </c>
      <c r="B844" s="849">
        <v>2025.0</v>
      </c>
      <c r="C844" s="849" t="s">
        <v>3280</v>
      </c>
      <c r="D844" s="849" t="s">
        <v>3281</v>
      </c>
      <c r="E844" s="849" t="s">
        <v>768</v>
      </c>
      <c r="F844" s="849" t="s">
        <v>1200</v>
      </c>
      <c r="G844" s="849">
        <v>0.0</v>
      </c>
      <c r="H844" s="849">
        <v>0.0</v>
      </c>
      <c r="I844" s="849">
        <v>0.0</v>
      </c>
      <c r="J844" s="849">
        <v>0.0</v>
      </c>
      <c r="K844" s="849">
        <v>0.0</v>
      </c>
      <c r="L844" s="849">
        <v>0.0</v>
      </c>
      <c r="M844" s="849">
        <v>0.0</v>
      </c>
      <c r="N844" s="849">
        <v>0.0</v>
      </c>
      <c r="O844" s="849">
        <v>0.0</v>
      </c>
      <c r="P844" s="849">
        <v>0.0</v>
      </c>
      <c r="Q844" s="849">
        <v>0.0</v>
      </c>
      <c r="R844" s="849">
        <v>0.0</v>
      </c>
      <c r="S844" s="849">
        <v>0.0</v>
      </c>
      <c r="T844" s="849">
        <v>0.0</v>
      </c>
      <c r="U844" s="849">
        <v>0.0</v>
      </c>
      <c r="V844" s="849">
        <v>0.0</v>
      </c>
      <c r="W844" s="849">
        <v>0.0</v>
      </c>
      <c r="X844" s="849">
        <v>0.0</v>
      </c>
      <c r="Y844" s="849">
        <v>0.0</v>
      </c>
      <c r="Z844" s="849">
        <v>0.0</v>
      </c>
      <c r="AA844" s="849">
        <v>0.0</v>
      </c>
      <c r="AB844" s="849">
        <v>0.0</v>
      </c>
      <c r="AC844" s="849">
        <v>0.0</v>
      </c>
      <c r="AD844" s="849">
        <v>0.0</v>
      </c>
      <c r="AE844" s="849">
        <v>0.0</v>
      </c>
      <c r="AF844" s="849">
        <v>0.0</v>
      </c>
      <c r="AG844" s="849">
        <v>0.0</v>
      </c>
      <c r="AH844" s="849">
        <v>0.0</v>
      </c>
      <c r="AI844" s="849">
        <v>0.0</v>
      </c>
      <c r="AJ844" s="794" t="str">
        <f t="shared" ref="AJ844:AK844" si="1685">C844</f>
        <v>G726</v>
      </c>
      <c r="AK844" s="794" t="str">
        <f t="shared" si="1685"/>
        <v>REPAR.&amp; ENTRETIEN -ALEATO</v>
      </c>
      <c r="AL844" s="794">
        <f t="array" ref="AL844">IFERROR(INDEX(G844:R844,1,MATCH(Parametres!$B$3,G$1:R$1,0)-1)*IF(OR(F844="L",F844="S",F844="I"),-1,1),"")</f>
        <v>0</v>
      </c>
      <c r="AM844" s="794">
        <f t="shared" si="4"/>
        <v>0</v>
      </c>
      <c r="AN844" s="794">
        <f t="array" ref="AN844">INDEX(G844:R844,1,MATCH(Parametres!$B$3,G$1:R$1,0))*IF(OR(F844="L",F844="S",F844="I"),-1,1)</f>
        <v>0</v>
      </c>
      <c r="AO844" s="853" t="str">
        <f>+VLOOKUP($AJ844,Data_Validation!$A:$D,1,0)</f>
        <v>#N/A</v>
      </c>
      <c r="AP844" s="853" t="str">
        <f>+VLOOKUP($AJ844,Data_Validation!$A:$D,3,0)</f>
        <v>#N/A</v>
      </c>
      <c r="AQ844" s="853" t="str">
        <f>+VLOOKUP($AJ844,Data_Validation!$A:$D,4,0)</f>
        <v>#N/A</v>
      </c>
      <c r="AR844" s="853" t="s">
        <v>728</v>
      </c>
      <c r="AS844" s="853" t="str">
        <f>+VLOOKUP($AJ844,Data_Validation!$A:$E,5,0)</f>
        <v>#N/A</v>
      </c>
      <c r="AT844" s="794" t="str">
        <f t="shared" ref="AT844:AU844" si="1686">C844</f>
        <v>G726</v>
      </c>
      <c r="AU844" s="854" t="str">
        <f t="shared" si="1686"/>
        <v>REPAR.&amp; ENTRETIEN -ALEATO</v>
      </c>
      <c r="AV844" s="794">
        <f t="array" ref="AV844">IFERROR(INDEX(V844:AG844,1,MATCH(Parametres!$B$3,V$1:AG$1,0)-1)*IF(OR(C844="L",C844="S",C844="I"),-1,1),"")</f>
        <v>0</v>
      </c>
      <c r="AW844" s="794">
        <f t="shared" si="6"/>
        <v>0</v>
      </c>
      <c r="AX844" s="794">
        <f t="array" ref="AX844">INDEX(V844:AG844,1,MATCH(Parametres!$B$3,V$1:AG$1,0))*IF(OR(C844="L",C844="S",C844="I"),-1,1)</f>
        <v>0</v>
      </c>
      <c r="AY844" s="853" t="s">
        <v>772</v>
      </c>
      <c r="AZ844" s="853" t="str">
        <f>+VLOOKUP($AJ844,Data_Validation!$A:$E,5,0)</f>
        <v>#N/A</v>
      </c>
    </row>
    <row r="845" ht="15.0" customHeight="1">
      <c r="A845" s="849" t="s">
        <v>1239</v>
      </c>
      <c r="B845" s="849">
        <v>2025.0</v>
      </c>
      <c r="C845" s="849" t="s">
        <v>3282</v>
      </c>
      <c r="D845" s="849" t="s">
        <v>3283</v>
      </c>
      <c r="E845" s="849" t="s">
        <v>768</v>
      </c>
      <c r="F845" s="849" t="s">
        <v>1200</v>
      </c>
      <c r="G845" s="849">
        <v>0.0</v>
      </c>
      <c r="H845" s="849">
        <v>0.0</v>
      </c>
      <c r="I845" s="849">
        <v>0.0</v>
      </c>
      <c r="J845" s="849">
        <v>0.0</v>
      </c>
      <c r="K845" s="849">
        <v>0.0</v>
      </c>
      <c r="L845" s="849">
        <v>0.0</v>
      </c>
      <c r="M845" s="849">
        <v>0.0</v>
      </c>
      <c r="N845" s="849">
        <v>0.0</v>
      </c>
      <c r="O845" s="849">
        <v>0.0</v>
      </c>
      <c r="P845" s="849">
        <v>0.0</v>
      </c>
      <c r="Q845" s="849">
        <v>0.0</v>
      </c>
      <c r="R845" s="849">
        <v>0.0</v>
      </c>
      <c r="S845" s="849">
        <v>0.0</v>
      </c>
      <c r="T845" s="849">
        <v>0.0</v>
      </c>
      <c r="U845" s="849">
        <v>0.0</v>
      </c>
      <c r="V845" s="849">
        <v>0.0</v>
      </c>
      <c r="W845" s="849">
        <v>0.0</v>
      </c>
      <c r="X845" s="849">
        <v>0.0</v>
      </c>
      <c r="Y845" s="849">
        <v>0.0</v>
      </c>
      <c r="Z845" s="849">
        <v>0.0</v>
      </c>
      <c r="AA845" s="849">
        <v>0.0</v>
      </c>
      <c r="AB845" s="849">
        <v>0.0</v>
      </c>
      <c r="AC845" s="849">
        <v>0.0</v>
      </c>
      <c r="AD845" s="849">
        <v>0.0</v>
      </c>
      <c r="AE845" s="849">
        <v>0.0</v>
      </c>
      <c r="AF845" s="849">
        <v>0.0</v>
      </c>
      <c r="AG845" s="849">
        <v>0.0</v>
      </c>
      <c r="AH845" s="849">
        <v>0.0</v>
      </c>
      <c r="AI845" s="849">
        <v>0.0</v>
      </c>
      <c r="AJ845" s="794" t="str">
        <f t="shared" ref="AJ845:AK845" si="1687">C845</f>
        <v>G727</v>
      </c>
      <c r="AK845" s="794" t="str">
        <f t="shared" si="1687"/>
        <v>PRIX LOC.UNIT.S-LOUE-ALEA</v>
      </c>
      <c r="AL845" s="794">
        <f t="array" ref="AL845">IFERROR(INDEX(G845:R845,1,MATCH(Parametres!$B$3,G$1:R$1,0)-1)*IF(OR(F845="L",F845="S",F845="I"),-1,1),"")</f>
        <v>0</v>
      </c>
      <c r="AM845" s="794">
        <f t="shared" si="4"/>
        <v>0</v>
      </c>
      <c r="AN845" s="794">
        <f t="array" ref="AN845">INDEX(G845:R845,1,MATCH(Parametres!$B$3,G$1:R$1,0))*IF(OR(F845="L",F845="S",F845="I"),-1,1)</f>
        <v>0</v>
      </c>
      <c r="AO845" s="853" t="str">
        <f>+VLOOKUP($AJ845,Data_Validation!$A:$D,1,0)</f>
        <v>#N/A</v>
      </c>
      <c r="AP845" s="853" t="str">
        <f>+VLOOKUP($AJ845,Data_Validation!$A:$D,3,0)</f>
        <v>#N/A</v>
      </c>
      <c r="AQ845" s="853" t="str">
        <f>+VLOOKUP($AJ845,Data_Validation!$A:$D,4,0)</f>
        <v>#N/A</v>
      </c>
      <c r="AR845" s="853" t="s">
        <v>728</v>
      </c>
      <c r="AS845" s="853" t="str">
        <f>+VLOOKUP($AJ845,Data_Validation!$A:$E,5,0)</f>
        <v>#N/A</v>
      </c>
      <c r="AT845" s="794" t="str">
        <f t="shared" ref="AT845:AU845" si="1688">C845</f>
        <v>G727</v>
      </c>
      <c r="AU845" s="854" t="str">
        <f t="shared" si="1688"/>
        <v>PRIX LOC.UNIT.S-LOUE-ALEA</v>
      </c>
      <c r="AV845" s="794">
        <f t="array" ref="AV845">IFERROR(INDEX(V845:AG845,1,MATCH(Parametres!$B$3,V$1:AG$1,0)-1)*IF(OR(C845="L",C845="S",C845="I"),-1,1),"")</f>
        <v>0</v>
      </c>
      <c r="AW845" s="794">
        <f t="shared" si="6"/>
        <v>0</v>
      </c>
      <c r="AX845" s="794">
        <f t="array" ref="AX845">INDEX(V845:AG845,1,MATCH(Parametres!$B$3,V$1:AG$1,0))*IF(OR(C845="L",C845="S",C845="I"),-1,1)</f>
        <v>0</v>
      </c>
      <c r="AY845" s="853" t="s">
        <v>772</v>
      </c>
      <c r="AZ845" s="853" t="str">
        <f>+VLOOKUP($AJ845,Data_Validation!$A:$E,5,0)</f>
        <v>#N/A</v>
      </c>
    </row>
    <row r="846" ht="15.0" customHeight="1">
      <c r="A846" s="849" t="s">
        <v>1239</v>
      </c>
      <c r="B846" s="849">
        <v>2025.0</v>
      </c>
      <c r="C846" s="849" t="s">
        <v>3284</v>
      </c>
      <c r="D846" s="849" t="s">
        <v>3285</v>
      </c>
      <c r="E846" s="849" t="s">
        <v>768</v>
      </c>
      <c r="F846" s="849" t="s">
        <v>1200</v>
      </c>
      <c r="G846" s="849">
        <v>0.0</v>
      </c>
      <c r="H846" s="849">
        <v>0.0</v>
      </c>
      <c r="I846" s="849">
        <v>0.0</v>
      </c>
      <c r="J846" s="849">
        <v>0.0</v>
      </c>
      <c r="K846" s="849">
        <v>0.0</v>
      </c>
      <c r="L846" s="849">
        <v>0.0</v>
      </c>
      <c r="M846" s="849">
        <v>0.0</v>
      </c>
      <c r="N846" s="849">
        <v>0.0</v>
      </c>
      <c r="O846" s="849">
        <v>0.0</v>
      </c>
      <c r="P846" s="849">
        <v>0.0</v>
      </c>
      <c r="Q846" s="849">
        <v>0.0</v>
      </c>
      <c r="R846" s="849">
        <v>0.0</v>
      </c>
      <c r="S846" s="849">
        <v>0.0</v>
      </c>
      <c r="T846" s="849">
        <v>0.0</v>
      </c>
      <c r="U846" s="849">
        <v>0.0</v>
      </c>
      <c r="V846" s="849">
        <v>0.0</v>
      </c>
      <c r="W846" s="849">
        <v>0.0</v>
      </c>
      <c r="X846" s="849">
        <v>0.0</v>
      </c>
      <c r="Y846" s="849">
        <v>0.0</v>
      </c>
      <c r="Z846" s="849">
        <v>0.0</v>
      </c>
      <c r="AA846" s="849">
        <v>0.0</v>
      </c>
      <c r="AB846" s="849">
        <v>0.0</v>
      </c>
      <c r="AC846" s="849">
        <v>0.0</v>
      </c>
      <c r="AD846" s="849">
        <v>0.0</v>
      </c>
      <c r="AE846" s="849">
        <v>0.0</v>
      </c>
      <c r="AF846" s="849">
        <v>0.0</v>
      </c>
      <c r="AG846" s="849">
        <v>0.0</v>
      </c>
      <c r="AH846" s="849">
        <v>0.0</v>
      </c>
      <c r="AI846" s="849">
        <v>0.0</v>
      </c>
      <c r="AJ846" s="794" t="str">
        <f t="shared" ref="AJ846:AK846" si="1689">C846</f>
        <v>G728</v>
      </c>
      <c r="AK846" s="794" t="str">
        <f t="shared" si="1689"/>
        <v>AUTRES            -ALEATO</v>
      </c>
      <c r="AL846" s="794">
        <f t="array" ref="AL846">IFERROR(INDEX(G846:R846,1,MATCH(Parametres!$B$3,G$1:R$1,0)-1)*IF(OR(F846="L",F846="S",F846="I"),-1,1),"")</f>
        <v>0</v>
      </c>
      <c r="AM846" s="794">
        <f t="shared" si="4"/>
        <v>0</v>
      </c>
      <c r="AN846" s="794">
        <f t="array" ref="AN846">INDEX(G846:R846,1,MATCH(Parametres!$B$3,G$1:R$1,0))*IF(OR(F846="L",F846="S",F846="I"),-1,1)</f>
        <v>0</v>
      </c>
      <c r="AO846" s="853" t="str">
        <f>+VLOOKUP($AJ846,Data_Validation!$A:$D,1,0)</f>
        <v>#N/A</v>
      </c>
      <c r="AP846" s="853" t="str">
        <f>+VLOOKUP($AJ846,Data_Validation!$A:$D,3,0)</f>
        <v>#N/A</v>
      </c>
      <c r="AQ846" s="853" t="str">
        <f>+VLOOKUP($AJ846,Data_Validation!$A:$D,4,0)</f>
        <v>#N/A</v>
      </c>
      <c r="AR846" s="853" t="s">
        <v>728</v>
      </c>
      <c r="AS846" s="853" t="str">
        <f>+VLOOKUP($AJ846,Data_Validation!$A:$E,5,0)</f>
        <v>#N/A</v>
      </c>
      <c r="AT846" s="794" t="str">
        <f t="shared" ref="AT846:AU846" si="1690">C846</f>
        <v>G728</v>
      </c>
      <c r="AU846" s="854" t="str">
        <f t="shared" si="1690"/>
        <v>AUTRES            -ALEATO</v>
      </c>
      <c r="AV846" s="794">
        <f t="array" ref="AV846">IFERROR(INDEX(V846:AG846,1,MATCH(Parametres!$B$3,V$1:AG$1,0)-1)*IF(OR(C846="L",C846="S",C846="I"),-1,1),"")</f>
        <v>0</v>
      </c>
      <c r="AW846" s="794">
        <f t="shared" si="6"/>
        <v>0</v>
      </c>
      <c r="AX846" s="794">
        <f t="array" ref="AX846">INDEX(V846:AG846,1,MATCH(Parametres!$B$3,V$1:AG$1,0))*IF(OR(C846="L",C846="S",C846="I"),-1,1)</f>
        <v>0</v>
      </c>
      <c r="AY846" s="853" t="s">
        <v>772</v>
      </c>
      <c r="AZ846" s="853" t="str">
        <f>+VLOOKUP($AJ846,Data_Validation!$A:$E,5,0)</f>
        <v>#N/A</v>
      </c>
    </row>
    <row r="847" ht="15.0" customHeight="1">
      <c r="A847" s="849" t="s">
        <v>1239</v>
      </c>
      <c r="B847" s="849">
        <v>2025.0</v>
      </c>
      <c r="C847" s="849" t="s">
        <v>3286</v>
      </c>
      <c r="D847" s="849" t="s">
        <v>3287</v>
      </c>
      <c r="E847" s="849" t="s">
        <v>768</v>
      </c>
      <c r="F847" s="849" t="s">
        <v>1200</v>
      </c>
      <c r="G847" s="849">
        <v>0.0</v>
      </c>
      <c r="H847" s="849">
        <v>0.0</v>
      </c>
      <c r="I847" s="849">
        <v>0.0</v>
      </c>
      <c r="J847" s="849">
        <v>0.0</v>
      </c>
      <c r="K847" s="849">
        <v>0.0</v>
      </c>
      <c r="L847" s="849">
        <v>0.0</v>
      </c>
      <c r="M847" s="849">
        <v>0.0</v>
      </c>
      <c r="N847" s="849">
        <v>0.0</v>
      </c>
      <c r="O847" s="849">
        <v>0.0</v>
      </c>
      <c r="P847" s="849">
        <v>0.0</v>
      </c>
      <c r="Q847" s="849">
        <v>0.0</v>
      </c>
      <c r="R847" s="849">
        <v>0.0</v>
      </c>
      <c r="S847" s="849">
        <v>0.0</v>
      </c>
      <c r="T847" s="849">
        <v>0.0</v>
      </c>
      <c r="U847" s="849">
        <v>0.0</v>
      </c>
      <c r="V847" s="849">
        <v>0.0</v>
      </c>
      <c r="W847" s="849">
        <v>0.0</v>
      </c>
      <c r="X847" s="849">
        <v>0.0</v>
      </c>
      <c r="Y847" s="849">
        <v>0.0</v>
      </c>
      <c r="Z847" s="849">
        <v>0.0</v>
      </c>
      <c r="AA847" s="849">
        <v>0.0</v>
      </c>
      <c r="AB847" s="849">
        <v>0.0</v>
      </c>
      <c r="AC847" s="849">
        <v>0.0</v>
      </c>
      <c r="AD847" s="849">
        <v>0.0</v>
      </c>
      <c r="AE847" s="849">
        <v>0.0</v>
      </c>
      <c r="AF847" s="849">
        <v>0.0</v>
      </c>
      <c r="AG847" s="849">
        <v>0.0</v>
      </c>
      <c r="AH847" s="849">
        <v>0.0</v>
      </c>
      <c r="AI847" s="849">
        <v>0.0</v>
      </c>
      <c r="AJ847" s="794" t="str">
        <f t="shared" ref="AJ847:AK847" si="1691">C847</f>
        <v>G73000</v>
      </c>
      <c r="AK847" s="794" t="str">
        <f t="shared" si="1691"/>
        <v>COUT VTES VEHICULES CEDES</v>
      </c>
      <c r="AL847" s="794">
        <f t="array" ref="AL847">IFERROR(INDEX(G847:R847,1,MATCH(Parametres!$B$3,G$1:R$1,0)-1)*IF(OR(F847="L",F847="S",F847="I"),-1,1),"")</f>
        <v>0</v>
      </c>
      <c r="AM847" s="794">
        <f t="shared" si="4"/>
        <v>0</v>
      </c>
      <c r="AN847" s="794">
        <f t="array" ref="AN847">INDEX(G847:R847,1,MATCH(Parametres!$B$3,G$1:R$1,0))*IF(OR(F847="L",F847="S",F847="I"),-1,1)</f>
        <v>0</v>
      </c>
      <c r="AO847" s="853" t="str">
        <f>+VLOOKUP($AJ847,Data_Validation!$A:$D,1,0)</f>
        <v>G73000</v>
      </c>
      <c r="AP847" s="853" t="str">
        <f>+VLOOKUP($AJ847,Data_Validation!$A:$D,3,0)</f>
        <v/>
      </c>
      <c r="AQ847" s="853" t="str">
        <f>+VLOOKUP($AJ847,Data_Validation!$A:$D,4,0)</f>
        <v/>
      </c>
      <c r="AR847" s="853" t="s">
        <v>728</v>
      </c>
      <c r="AS847" s="853" t="str">
        <f>+VLOOKUP($AJ847,Data_Validation!$A:$E,5,0)</f>
        <v/>
      </c>
      <c r="AT847" s="794" t="str">
        <f t="shared" ref="AT847:AU847" si="1692">C847</f>
        <v>G73000</v>
      </c>
      <c r="AU847" s="854" t="str">
        <f t="shared" si="1692"/>
        <v>COUT VTES VEHICULES CEDES</v>
      </c>
      <c r="AV847" s="794">
        <f t="array" ref="AV847">IFERROR(INDEX(V847:AG847,1,MATCH(Parametres!$B$3,V$1:AG$1,0)-1)*IF(OR(C847="L",C847="S",C847="I"),-1,1),"")</f>
        <v>0</v>
      </c>
      <c r="AW847" s="794">
        <f t="shared" si="6"/>
        <v>0</v>
      </c>
      <c r="AX847" s="794">
        <f t="array" ref="AX847">INDEX(V847:AG847,1,MATCH(Parametres!$B$3,V$1:AG$1,0))*IF(OR(C847="L",C847="S",C847="I"),-1,1)</f>
        <v>0</v>
      </c>
      <c r="AY847" s="853" t="s">
        <v>772</v>
      </c>
      <c r="AZ847" s="853" t="str">
        <f>+VLOOKUP($AJ847,Data_Validation!$A:$E,5,0)</f>
        <v/>
      </c>
    </row>
    <row r="848" ht="15.0" customHeight="1">
      <c r="A848" s="849" t="s">
        <v>1239</v>
      </c>
      <c r="B848" s="849">
        <v>2025.0</v>
      </c>
      <c r="C848" s="849" t="s">
        <v>3288</v>
      </c>
      <c r="D848" s="849" t="s">
        <v>3289</v>
      </c>
      <c r="E848" s="849" t="s">
        <v>768</v>
      </c>
      <c r="F848" s="849" t="s">
        <v>1200</v>
      </c>
      <c r="G848" s="849">
        <v>0.0</v>
      </c>
      <c r="H848" s="849">
        <v>0.0</v>
      </c>
      <c r="I848" s="849">
        <v>0.0</v>
      </c>
      <c r="J848" s="849">
        <v>0.0</v>
      </c>
      <c r="K848" s="849">
        <v>0.0</v>
      </c>
      <c r="L848" s="849">
        <v>0.0</v>
      </c>
      <c r="M848" s="849">
        <v>0.0</v>
      </c>
      <c r="N848" s="849">
        <v>0.0</v>
      </c>
      <c r="O848" s="849">
        <v>0.0</v>
      </c>
      <c r="P848" s="849">
        <v>0.0</v>
      </c>
      <c r="Q848" s="849">
        <v>0.0</v>
      </c>
      <c r="R848" s="849">
        <v>0.0</v>
      </c>
      <c r="S848" s="849">
        <v>0.0</v>
      </c>
      <c r="T848" s="849">
        <v>0.0</v>
      </c>
      <c r="U848" s="849">
        <v>0.0</v>
      </c>
      <c r="V848" s="849">
        <v>0.0</v>
      </c>
      <c r="W848" s="849">
        <v>0.0</v>
      </c>
      <c r="X848" s="849">
        <v>0.0</v>
      </c>
      <c r="Y848" s="849">
        <v>0.0</v>
      </c>
      <c r="Z848" s="849">
        <v>0.0</v>
      </c>
      <c r="AA848" s="849">
        <v>0.0</v>
      </c>
      <c r="AB848" s="849">
        <v>0.0</v>
      </c>
      <c r="AC848" s="849">
        <v>0.0</v>
      </c>
      <c r="AD848" s="849">
        <v>0.0</v>
      </c>
      <c r="AE848" s="849">
        <v>0.0</v>
      </c>
      <c r="AF848" s="849">
        <v>0.0</v>
      </c>
      <c r="AG848" s="849">
        <v>0.0</v>
      </c>
      <c r="AH848" s="849">
        <v>0.0</v>
      </c>
      <c r="AI848" s="849">
        <v>0.0</v>
      </c>
      <c r="AJ848" s="794" t="str">
        <f t="shared" ref="AJ848:AK848" si="1693">C848</f>
        <v>G731</v>
      </c>
      <c r="AK848" s="794" t="str">
        <f t="shared" si="1693"/>
        <v>INTERETS             -C/T</v>
      </c>
      <c r="AL848" s="794">
        <f t="array" ref="AL848">IFERROR(INDEX(G848:R848,1,MATCH(Parametres!$B$3,G$1:R$1,0)-1)*IF(OR(F848="L",F848="S",F848="I"),-1,1),"")</f>
        <v>0</v>
      </c>
      <c r="AM848" s="794">
        <f t="shared" si="4"/>
        <v>0</v>
      </c>
      <c r="AN848" s="794">
        <f t="array" ref="AN848">INDEX(G848:R848,1,MATCH(Parametres!$B$3,G$1:R$1,0))*IF(OR(F848="L",F848="S",F848="I"),-1,1)</f>
        <v>0</v>
      </c>
      <c r="AO848" s="853" t="str">
        <f>+VLOOKUP($AJ848,Data_Validation!$A:$D,1,0)</f>
        <v>#N/A</v>
      </c>
      <c r="AP848" s="853" t="str">
        <f>+VLOOKUP($AJ848,Data_Validation!$A:$D,3,0)</f>
        <v>#N/A</v>
      </c>
      <c r="AQ848" s="853" t="str">
        <f>+VLOOKUP($AJ848,Data_Validation!$A:$D,4,0)</f>
        <v>#N/A</v>
      </c>
      <c r="AR848" s="853" t="s">
        <v>728</v>
      </c>
      <c r="AS848" s="853" t="str">
        <f>+VLOOKUP($AJ848,Data_Validation!$A:$E,5,0)</f>
        <v>#N/A</v>
      </c>
      <c r="AT848" s="794" t="str">
        <f t="shared" ref="AT848:AU848" si="1694">C848</f>
        <v>G731</v>
      </c>
      <c r="AU848" s="854" t="str">
        <f t="shared" si="1694"/>
        <v>INTERETS             -C/T</v>
      </c>
      <c r="AV848" s="794">
        <f t="array" ref="AV848">IFERROR(INDEX(V848:AG848,1,MATCH(Parametres!$B$3,V$1:AG$1,0)-1)*IF(OR(C848="L",C848="S",C848="I"),-1,1),"")</f>
        <v>0</v>
      </c>
      <c r="AW848" s="794">
        <f t="shared" si="6"/>
        <v>0</v>
      </c>
      <c r="AX848" s="794">
        <f t="array" ref="AX848">INDEX(V848:AG848,1,MATCH(Parametres!$B$3,V$1:AG$1,0))*IF(OR(C848="L",C848="S",C848="I"),-1,1)</f>
        <v>0</v>
      </c>
      <c r="AY848" s="853" t="s">
        <v>772</v>
      </c>
      <c r="AZ848" s="853" t="str">
        <f>+VLOOKUP($AJ848,Data_Validation!$A:$E,5,0)</f>
        <v>#N/A</v>
      </c>
    </row>
    <row r="849" ht="15.0" customHeight="1">
      <c r="A849" s="849" t="s">
        <v>1239</v>
      </c>
      <c r="B849" s="849">
        <v>2025.0</v>
      </c>
      <c r="C849" s="849" t="s">
        <v>3290</v>
      </c>
      <c r="D849" s="849" t="s">
        <v>3291</v>
      </c>
      <c r="E849" s="849" t="s">
        <v>768</v>
      </c>
      <c r="F849" s="849" t="s">
        <v>1200</v>
      </c>
      <c r="G849" s="849">
        <v>0.0</v>
      </c>
      <c r="H849" s="849">
        <v>0.0</v>
      </c>
      <c r="I849" s="849">
        <v>0.0</v>
      </c>
      <c r="J849" s="849">
        <v>0.0</v>
      </c>
      <c r="K849" s="849">
        <v>0.0</v>
      </c>
      <c r="L849" s="849">
        <v>0.0</v>
      </c>
      <c r="M849" s="849">
        <v>0.0</v>
      </c>
      <c r="N849" s="849">
        <v>0.0</v>
      </c>
      <c r="O849" s="849">
        <v>0.0</v>
      </c>
      <c r="P849" s="849">
        <v>0.0</v>
      </c>
      <c r="Q849" s="849">
        <v>0.0</v>
      </c>
      <c r="R849" s="849">
        <v>0.0</v>
      </c>
      <c r="S849" s="849">
        <v>0.0</v>
      </c>
      <c r="T849" s="849">
        <v>0.0</v>
      </c>
      <c r="U849" s="849">
        <v>0.0</v>
      </c>
      <c r="V849" s="849">
        <v>0.0</v>
      </c>
      <c r="W849" s="849">
        <v>0.0</v>
      </c>
      <c r="X849" s="849">
        <v>0.0</v>
      </c>
      <c r="Y849" s="849">
        <v>0.0</v>
      </c>
      <c r="Z849" s="849">
        <v>0.0</v>
      </c>
      <c r="AA849" s="849">
        <v>0.0</v>
      </c>
      <c r="AB849" s="849">
        <v>0.0</v>
      </c>
      <c r="AC849" s="849">
        <v>0.0</v>
      </c>
      <c r="AD849" s="849">
        <v>0.0</v>
      </c>
      <c r="AE849" s="849">
        <v>0.0</v>
      </c>
      <c r="AF849" s="849">
        <v>0.0</v>
      </c>
      <c r="AG849" s="849">
        <v>0.0</v>
      </c>
      <c r="AH849" s="849">
        <v>0.0</v>
      </c>
      <c r="AI849" s="849">
        <v>0.0</v>
      </c>
      <c r="AJ849" s="794" t="str">
        <f t="shared" ref="AJ849:AK849" si="1695">C849</f>
        <v>G73100</v>
      </c>
      <c r="AK849" s="794" t="str">
        <f t="shared" si="1695"/>
        <v>INTERETS LOCATION C/TERME</v>
      </c>
      <c r="AL849" s="794">
        <f t="array" ref="AL849">IFERROR(INDEX(G849:R849,1,MATCH(Parametres!$B$3,G$1:R$1,0)-1)*IF(OR(F849="L",F849="S",F849="I"),-1,1),"")</f>
        <v>0</v>
      </c>
      <c r="AM849" s="794">
        <f t="shared" si="4"/>
        <v>0</v>
      </c>
      <c r="AN849" s="794">
        <f t="array" ref="AN849">INDEX(G849:R849,1,MATCH(Parametres!$B$3,G$1:R$1,0))*IF(OR(F849="L",F849="S",F849="I"),-1,1)</f>
        <v>0</v>
      </c>
      <c r="AO849" s="853" t="str">
        <f>+VLOOKUP($AJ849,Data_Validation!$A:$D,1,0)</f>
        <v>G73100</v>
      </c>
      <c r="AP849" s="853" t="str">
        <f>+VLOOKUP($AJ849,Data_Validation!$A:$D,3,0)</f>
        <v/>
      </c>
      <c r="AQ849" s="853" t="str">
        <f>+VLOOKUP($AJ849,Data_Validation!$A:$D,4,0)</f>
        <v/>
      </c>
      <c r="AR849" s="853" t="s">
        <v>728</v>
      </c>
      <c r="AS849" s="853" t="str">
        <f>+VLOOKUP($AJ849,Data_Validation!$A:$E,5,0)</f>
        <v/>
      </c>
      <c r="AT849" s="794" t="str">
        <f t="shared" ref="AT849:AU849" si="1696">C849</f>
        <v>G73100</v>
      </c>
      <c r="AU849" s="854" t="str">
        <f t="shared" si="1696"/>
        <v>INTERETS LOCATION C/TERME</v>
      </c>
      <c r="AV849" s="794">
        <f t="array" ref="AV849">IFERROR(INDEX(V849:AG849,1,MATCH(Parametres!$B$3,V$1:AG$1,0)-1)*IF(OR(C849="L",C849="S",C849="I"),-1,1),"")</f>
        <v>0</v>
      </c>
      <c r="AW849" s="794">
        <f t="shared" si="6"/>
        <v>0</v>
      </c>
      <c r="AX849" s="794">
        <f t="array" ref="AX849">INDEX(V849:AG849,1,MATCH(Parametres!$B$3,V$1:AG$1,0))*IF(OR(C849="L",C849="S",C849="I"),-1,1)</f>
        <v>0</v>
      </c>
      <c r="AY849" s="853" t="s">
        <v>772</v>
      </c>
      <c r="AZ849" s="853" t="str">
        <f>+VLOOKUP($AJ849,Data_Validation!$A:$E,5,0)</f>
        <v/>
      </c>
    </row>
    <row r="850" ht="15.0" customHeight="1">
      <c r="A850" s="849" t="s">
        <v>1239</v>
      </c>
      <c r="B850" s="849">
        <v>2025.0</v>
      </c>
      <c r="C850" s="849" t="s">
        <v>3292</v>
      </c>
      <c r="D850" s="849" t="s">
        <v>3293</v>
      </c>
      <c r="E850" s="849" t="s">
        <v>768</v>
      </c>
      <c r="F850" s="849" t="s">
        <v>1200</v>
      </c>
      <c r="G850" s="849">
        <v>0.0</v>
      </c>
      <c r="H850" s="849">
        <v>0.0</v>
      </c>
      <c r="I850" s="849">
        <v>0.0</v>
      </c>
      <c r="J850" s="849">
        <v>0.0</v>
      </c>
      <c r="K850" s="849">
        <v>0.0</v>
      </c>
      <c r="L850" s="849">
        <v>0.0</v>
      </c>
      <c r="M850" s="849">
        <v>0.0</v>
      </c>
      <c r="N850" s="849">
        <v>0.0</v>
      </c>
      <c r="O850" s="849">
        <v>0.0</v>
      </c>
      <c r="P850" s="849">
        <v>0.0</v>
      </c>
      <c r="Q850" s="849">
        <v>0.0</v>
      </c>
      <c r="R850" s="849">
        <v>0.0</v>
      </c>
      <c r="S850" s="849">
        <v>0.0</v>
      </c>
      <c r="T850" s="849">
        <v>0.0</v>
      </c>
      <c r="U850" s="849">
        <v>0.0</v>
      </c>
      <c r="V850" s="849">
        <v>0.0</v>
      </c>
      <c r="W850" s="849">
        <v>0.0</v>
      </c>
      <c r="X850" s="849">
        <v>0.0</v>
      </c>
      <c r="Y850" s="849">
        <v>0.0</v>
      </c>
      <c r="Z850" s="849">
        <v>0.0</v>
      </c>
      <c r="AA850" s="849">
        <v>0.0</v>
      </c>
      <c r="AB850" s="849">
        <v>0.0</v>
      </c>
      <c r="AC850" s="849">
        <v>0.0</v>
      </c>
      <c r="AD850" s="849">
        <v>0.0</v>
      </c>
      <c r="AE850" s="849">
        <v>0.0</v>
      </c>
      <c r="AF850" s="849">
        <v>0.0</v>
      </c>
      <c r="AG850" s="849">
        <v>0.0</v>
      </c>
      <c r="AH850" s="849">
        <v>0.0</v>
      </c>
      <c r="AI850" s="849">
        <v>0.0</v>
      </c>
      <c r="AJ850" s="794" t="str">
        <f t="shared" ref="AJ850:AK850" si="1697">C850</f>
        <v>G732</v>
      </c>
      <c r="AK850" s="794" t="str">
        <f t="shared" si="1697"/>
        <v>AMORTISSEMENT        -C/T</v>
      </c>
      <c r="AL850" s="794">
        <f t="array" ref="AL850">IFERROR(INDEX(G850:R850,1,MATCH(Parametres!$B$3,G$1:R$1,0)-1)*IF(OR(F850="L",F850="S",F850="I"),-1,1),"")</f>
        <v>0</v>
      </c>
      <c r="AM850" s="794">
        <f t="shared" si="4"/>
        <v>0</v>
      </c>
      <c r="AN850" s="794">
        <f t="array" ref="AN850">INDEX(G850:R850,1,MATCH(Parametres!$B$3,G$1:R$1,0))*IF(OR(F850="L",F850="S",F850="I"),-1,1)</f>
        <v>0</v>
      </c>
      <c r="AO850" s="853" t="str">
        <f>+VLOOKUP($AJ850,Data_Validation!$A:$D,1,0)</f>
        <v>#N/A</v>
      </c>
      <c r="AP850" s="853" t="str">
        <f>+VLOOKUP($AJ850,Data_Validation!$A:$D,3,0)</f>
        <v>#N/A</v>
      </c>
      <c r="AQ850" s="853" t="str">
        <f>+VLOOKUP($AJ850,Data_Validation!$A:$D,4,0)</f>
        <v>#N/A</v>
      </c>
      <c r="AR850" s="853" t="s">
        <v>728</v>
      </c>
      <c r="AS850" s="853" t="str">
        <f>+VLOOKUP($AJ850,Data_Validation!$A:$E,5,0)</f>
        <v>#N/A</v>
      </c>
      <c r="AT850" s="794" t="str">
        <f t="shared" ref="AT850:AU850" si="1698">C850</f>
        <v>G732</v>
      </c>
      <c r="AU850" s="854" t="str">
        <f t="shared" si="1698"/>
        <v>AMORTISSEMENT        -C/T</v>
      </c>
      <c r="AV850" s="794">
        <f t="array" ref="AV850">IFERROR(INDEX(V850:AG850,1,MATCH(Parametres!$B$3,V$1:AG$1,0)-1)*IF(OR(C850="L",C850="S",C850="I"),-1,1),"")</f>
        <v>0</v>
      </c>
      <c r="AW850" s="794">
        <f t="shared" si="6"/>
        <v>0</v>
      </c>
      <c r="AX850" s="794">
        <f t="array" ref="AX850">INDEX(V850:AG850,1,MATCH(Parametres!$B$3,V$1:AG$1,0))*IF(OR(C850="L",C850="S",C850="I"),-1,1)</f>
        <v>0</v>
      </c>
      <c r="AY850" s="853" t="s">
        <v>772</v>
      </c>
      <c r="AZ850" s="853" t="str">
        <f>+VLOOKUP($AJ850,Data_Validation!$A:$E,5,0)</f>
        <v>#N/A</v>
      </c>
    </row>
    <row r="851" ht="15.0" customHeight="1">
      <c r="A851" s="849" t="s">
        <v>1239</v>
      </c>
      <c r="B851" s="849">
        <v>2025.0</v>
      </c>
      <c r="C851" s="849" t="s">
        <v>3294</v>
      </c>
      <c r="D851" s="849" t="s">
        <v>3295</v>
      </c>
      <c r="E851" s="849" t="s">
        <v>768</v>
      </c>
      <c r="F851" s="849" t="s">
        <v>1200</v>
      </c>
      <c r="G851" s="849">
        <v>0.0</v>
      </c>
      <c r="H851" s="849">
        <v>0.0</v>
      </c>
      <c r="I851" s="849">
        <v>0.0</v>
      </c>
      <c r="J851" s="849">
        <v>0.0</v>
      </c>
      <c r="K851" s="849">
        <v>0.0</v>
      </c>
      <c r="L851" s="849">
        <v>0.0</v>
      </c>
      <c r="M851" s="849">
        <v>0.0</v>
      </c>
      <c r="N851" s="849">
        <v>0.0</v>
      </c>
      <c r="O851" s="849">
        <v>0.0</v>
      </c>
      <c r="P851" s="849">
        <v>0.0</v>
      </c>
      <c r="Q851" s="849">
        <v>0.0</v>
      </c>
      <c r="R851" s="849">
        <v>0.0</v>
      </c>
      <c r="S851" s="849">
        <v>0.0</v>
      </c>
      <c r="T851" s="849">
        <v>0.0</v>
      </c>
      <c r="U851" s="849">
        <v>0.0</v>
      </c>
      <c r="V851" s="849">
        <v>0.0</v>
      </c>
      <c r="W851" s="849">
        <v>0.0</v>
      </c>
      <c r="X851" s="849">
        <v>0.0</v>
      </c>
      <c r="Y851" s="849">
        <v>0.0</v>
      </c>
      <c r="Z851" s="849">
        <v>0.0</v>
      </c>
      <c r="AA851" s="849">
        <v>0.0</v>
      </c>
      <c r="AB851" s="849">
        <v>0.0</v>
      </c>
      <c r="AC851" s="849">
        <v>0.0</v>
      </c>
      <c r="AD851" s="849">
        <v>0.0</v>
      </c>
      <c r="AE851" s="849">
        <v>0.0</v>
      </c>
      <c r="AF851" s="849">
        <v>0.0</v>
      </c>
      <c r="AG851" s="849">
        <v>0.0</v>
      </c>
      <c r="AH851" s="849">
        <v>0.0</v>
      </c>
      <c r="AI851" s="849">
        <v>0.0</v>
      </c>
      <c r="AJ851" s="794" t="str">
        <f t="shared" ref="AJ851:AK851" si="1699">C851</f>
        <v>G73200</v>
      </c>
      <c r="AK851" s="794" t="str">
        <f t="shared" si="1699"/>
        <v>AMORT. LOCATION C/TERME</v>
      </c>
      <c r="AL851" s="794">
        <f t="array" ref="AL851">IFERROR(INDEX(G851:R851,1,MATCH(Parametres!$B$3,G$1:R$1,0)-1)*IF(OR(F851="L",F851="S",F851="I"),-1,1),"")</f>
        <v>0</v>
      </c>
      <c r="AM851" s="794">
        <f t="shared" si="4"/>
        <v>0</v>
      </c>
      <c r="AN851" s="794">
        <f t="array" ref="AN851">INDEX(G851:R851,1,MATCH(Parametres!$B$3,G$1:R$1,0))*IF(OR(F851="L",F851="S",F851="I"),-1,1)</f>
        <v>0</v>
      </c>
      <c r="AO851" s="853" t="str">
        <f>+VLOOKUP($AJ851,Data_Validation!$A:$D,1,0)</f>
        <v>G73200</v>
      </c>
      <c r="AP851" s="853" t="str">
        <f>+VLOOKUP($AJ851,Data_Validation!$A:$D,3,0)</f>
        <v/>
      </c>
      <c r="AQ851" s="853" t="str">
        <f>+VLOOKUP($AJ851,Data_Validation!$A:$D,4,0)</f>
        <v/>
      </c>
      <c r="AR851" s="853" t="s">
        <v>728</v>
      </c>
      <c r="AS851" s="853" t="str">
        <f>+VLOOKUP($AJ851,Data_Validation!$A:$E,5,0)</f>
        <v/>
      </c>
      <c r="AT851" s="794" t="str">
        <f t="shared" ref="AT851:AU851" si="1700">C851</f>
        <v>G73200</v>
      </c>
      <c r="AU851" s="854" t="str">
        <f t="shared" si="1700"/>
        <v>AMORT. LOCATION C/TERME</v>
      </c>
      <c r="AV851" s="794">
        <f t="array" ref="AV851">IFERROR(INDEX(V851:AG851,1,MATCH(Parametres!$B$3,V$1:AG$1,0)-1)*IF(OR(C851="L",C851="S",C851="I"),-1,1),"")</f>
        <v>0</v>
      </c>
      <c r="AW851" s="794">
        <f t="shared" si="6"/>
        <v>0</v>
      </c>
      <c r="AX851" s="794">
        <f t="array" ref="AX851">INDEX(V851:AG851,1,MATCH(Parametres!$B$3,V$1:AG$1,0))*IF(OR(C851="L",C851="S",C851="I"),-1,1)</f>
        <v>0</v>
      </c>
      <c r="AY851" s="853" t="s">
        <v>772</v>
      </c>
      <c r="AZ851" s="853" t="str">
        <f>+VLOOKUP($AJ851,Data_Validation!$A:$E,5,0)</f>
        <v/>
      </c>
    </row>
    <row r="852" ht="15.0" customHeight="1">
      <c r="A852" s="849" t="s">
        <v>1239</v>
      </c>
      <c r="B852" s="849">
        <v>2025.0</v>
      </c>
      <c r="C852" s="849" t="s">
        <v>3296</v>
      </c>
      <c r="D852" s="849" t="s">
        <v>3297</v>
      </c>
      <c r="E852" s="849" t="s">
        <v>768</v>
      </c>
      <c r="F852" s="849" t="s">
        <v>1200</v>
      </c>
      <c r="G852" s="849">
        <v>0.0</v>
      </c>
      <c r="H852" s="849">
        <v>0.0</v>
      </c>
      <c r="I852" s="849">
        <v>0.0</v>
      </c>
      <c r="J852" s="849">
        <v>0.0</v>
      </c>
      <c r="K852" s="849">
        <v>0.0</v>
      </c>
      <c r="L852" s="849">
        <v>0.0</v>
      </c>
      <c r="M852" s="849">
        <v>0.0</v>
      </c>
      <c r="N852" s="849">
        <v>0.0</v>
      </c>
      <c r="O852" s="849">
        <v>0.0</v>
      </c>
      <c r="P852" s="849">
        <v>0.0</v>
      </c>
      <c r="Q852" s="849">
        <v>0.0</v>
      </c>
      <c r="R852" s="849">
        <v>0.0</v>
      </c>
      <c r="S852" s="849">
        <v>0.0</v>
      </c>
      <c r="T852" s="849">
        <v>0.0</v>
      </c>
      <c r="U852" s="849">
        <v>0.0</v>
      </c>
      <c r="V852" s="849">
        <v>0.0</v>
      </c>
      <c r="W852" s="849">
        <v>0.0</v>
      </c>
      <c r="X852" s="849">
        <v>0.0</v>
      </c>
      <c r="Y852" s="849">
        <v>0.0</v>
      </c>
      <c r="Z852" s="849">
        <v>0.0</v>
      </c>
      <c r="AA852" s="849">
        <v>0.0</v>
      </c>
      <c r="AB852" s="849">
        <v>0.0</v>
      </c>
      <c r="AC852" s="849">
        <v>0.0</v>
      </c>
      <c r="AD852" s="849">
        <v>0.0</v>
      </c>
      <c r="AE852" s="849">
        <v>0.0</v>
      </c>
      <c r="AF852" s="849">
        <v>0.0</v>
      </c>
      <c r="AG852" s="849">
        <v>0.0</v>
      </c>
      <c r="AH852" s="849">
        <v>0.0</v>
      </c>
      <c r="AI852" s="849">
        <v>0.0</v>
      </c>
      <c r="AJ852" s="794" t="str">
        <f t="shared" ref="AJ852:AK852" si="1701">C852</f>
        <v>G733</v>
      </c>
      <c r="AK852" s="794" t="str">
        <f t="shared" si="1701"/>
        <v>ASSUR.VEH EN SERV.   -C/T</v>
      </c>
      <c r="AL852" s="794">
        <f t="array" ref="AL852">IFERROR(INDEX(G852:R852,1,MATCH(Parametres!$B$3,G$1:R$1,0)-1)*IF(OR(F852="L",F852="S",F852="I"),-1,1),"")</f>
        <v>0</v>
      </c>
      <c r="AM852" s="794">
        <f t="shared" si="4"/>
        <v>0</v>
      </c>
      <c r="AN852" s="794">
        <f t="array" ref="AN852">INDEX(G852:R852,1,MATCH(Parametres!$B$3,G$1:R$1,0))*IF(OR(F852="L",F852="S",F852="I"),-1,1)</f>
        <v>0</v>
      </c>
      <c r="AO852" s="853" t="str">
        <f>+VLOOKUP($AJ852,Data_Validation!$A:$D,1,0)</f>
        <v>#N/A</v>
      </c>
      <c r="AP852" s="853" t="str">
        <f>+VLOOKUP($AJ852,Data_Validation!$A:$D,3,0)</f>
        <v>#N/A</v>
      </c>
      <c r="AQ852" s="853" t="str">
        <f>+VLOOKUP($AJ852,Data_Validation!$A:$D,4,0)</f>
        <v>#N/A</v>
      </c>
      <c r="AR852" s="853" t="s">
        <v>728</v>
      </c>
      <c r="AS852" s="853" t="str">
        <f>+VLOOKUP($AJ852,Data_Validation!$A:$E,5,0)</f>
        <v>#N/A</v>
      </c>
      <c r="AT852" s="794" t="str">
        <f t="shared" ref="AT852:AU852" si="1702">C852</f>
        <v>G733</v>
      </c>
      <c r="AU852" s="854" t="str">
        <f t="shared" si="1702"/>
        <v>ASSUR.VEH EN SERV.   -C/T</v>
      </c>
      <c r="AV852" s="794">
        <f t="array" ref="AV852">IFERROR(INDEX(V852:AG852,1,MATCH(Parametres!$B$3,V$1:AG$1,0)-1)*IF(OR(C852="L",C852="S",C852="I"),-1,1),"")</f>
        <v>0</v>
      </c>
      <c r="AW852" s="794">
        <f t="shared" si="6"/>
        <v>0</v>
      </c>
      <c r="AX852" s="794">
        <f t="array" ref="AX852">INDEX(V852:AG852,1,MATCH(Parametres!$B$3,V$1:AG$1,0))*IF(OR(C852="L",C852="S",C852="I"),-1,1)</f>
        <v>0</v>
      </c>
      <c r="AY852" s="853" t="s">
        <v>772</v>
      </c>
      <c r="AZ852" s="853" t="str">
        <f>+VLOOKUP($AJ852,Data_Validation!$A:$E,5,0)</f>
        <v>#N/A</v>
      </c>
    </row>
    <row r="853" ht="15.0" customHeight="1">
      <c r="A853" s="849" t="s">
        <v>1239</v>
      </c>
      <c r="B853" s="849">
        <v>2025.0</v>
      </c>
      <c r="C853" s="849" t="s">
        <v>3298</v>
      </c>
      <c r="D853" s="849" t="s">
        <v>3299</v>
      </c>
      <c r="E853" s="849" t="s">
        <v>768</v>
      </c>
      <c r="F853" s="849" t="s">
        <v>1200</v>
      </c>
      <c r="G853" s="849">
        <v>0.0</v>
      </c>
      <c r="H853" s="849">
        <v>0.0</v>
      </c>
      <c r="I853" s="849">
        <v>0.0</v>
      </c>
      <c r="J853" s="849">
        <v>0.0</v>
      </c>
      <c r="K853" s="849">
        <v>0.0</v>
      </c>
      <c r="L853" s="849">
        <v>0.0</v>
      </c>
      <c r="M853" s="849">
        <v>0.0</v>
      </c>
      <c r="N853" s="849">
        <v>0.0</v>
      </c>
      <c r="O853" s="849">
        <v>0.0</v>
      </c>
      <c r="P853" s="849">
        <v>0.0</v>
      </c>
      <c r="Q853" s="849">
        <v>0.0</v>
      </c>
      <c r="R853" s="849">
        <v>0.0</v>
      </c>
      <c r="S853" s="849">
        <v>0.0</v>
      </c>
      <c r="T853" s="849">
        <v>0.0</v>
      </c>
      <c r="U853" s="849">
        <v>0.0</v>
      </c>
      <c r="V853" s="849">
        <v>0.0</v>
      </c>
      <c r="W853" s="849">
        <v>0.0</v>
      </c>
      <c r="X853" s="849">
        <v>0.0</v>
      </c>
      <c r="Y853" s="849">
        <v>0.0</v>
      </c>
      <c r="Z853" s="849">
        <v>0.0</v>
      </c>
      <c r="AA853" s="849">
        <v>0.0</v>
      </c>
      <c r="AB853" s="849">
        <v>0.0</v>
      </c>
      <c r="AC853" s="849">
        <v>0.0</v>
      </c>
      <c r="AD853" s="849">
        <v>0.0</v>
      </c>
      <c r="AE853" s="849">
        <v>0.0</v>
      </c>
      <c r="AF853" s="849">
        <v>0.0</v>
      </c>
      <c r="AG853" s="849">
        <v>0.0</v>
      </c>
      <c r="AH853" s="849">
        <v>0.0</v>
      </c>
      <c r="AI853" s="849">
        <v>0.0</v>
      </c>
      <c r="AJ853" s="794" t="str">
        <f t="shared" ref="AJ853:AK853" si="1703">C853</f>
        <v>G73300</v>
      </c>
      <c r="AK853" s="794" t="str">
        <f t="shared" si="1703"/>
        <v>ASSURANCES COURTOISIES</v>
      </c>
      <c r="AL853" s="794">
        <f t="array" ref="AL853">IFERROR(INDEX(G853:R853,1,MATCH(Parametres!$B$3,G$1:R$1,0)-1)*IF(OR(F853="L",F853="S",F853="I"),-1,1),"")</f>
        <v>0</v>
      </c>
      <c r="AM853" s="794">
        <f t="shared" si="4"/>
        <v>0</v>
      </c>
      <c r="AN853" s="794">
        <f t="array" ref="AN853">INDEX(G853:R853,1,MATCH(Parametres!$B$3,G$1:R$1,0))*IF(OR(F853="L",F853="S",F853="I"),-1,1)</f>
        <v>0</v>
      </c>
      <c r="AO853" s="853" t="str">
        <f>+VLOOKUP($AJ853,Data_Validation!$A:$D,1,0)</f>
        <v>#N/A</v>
      </c>
      <c r="AP853" s="853" t="str">
        <f>+VLOOKUP($AJ853,Data_Validation!$A:$D,3,0)</f>
        <v>#N/A</v>
      </c>
      <c r="AQ853" s="853" t="str">
        <f>+VLOOKUP($AJ853,Data_Validation!$A:$D,4,0)</f>
        <v>#N/A</v>
      </c>
      <c r="AR853" s="853" t="s">
        <v>728</v>
      </c>
      <c r="AS853" s="853" t="str">
        <f>+VLOOKUP($AJ853,Data_Validation!$A:$E,5,0)</f>
        <v>#N/A</v>
      </c>
      <c r="AT853" s="794" t="str">
        <f t="shared" ref="AT853:AU853" si="1704">C853</f>
        <v>G73300</v>
      </c>
      <c r="AU853" s="854" t="str">
        <f t="shared" si="1704"/>
        <v>ASSURANCES COURTOISIES</v>
      </c>
      <c r="AV853" s="794">
        <f t="array" ref="AV853">IFERROR(INDEX(V853:AG853,1,MATCH(Parametres!$B$3,V$1:AG$1,0)-1)*IF(OR(C853="L",C853="S",C853="I"),-1,1),"")</f>
        <v>0</v>
      </c>
      <c r="AW853" s="794">
        <f t="shared" si="6"/>
        <v>0</v>
      </c>
      <c r="AX853" s="794">
        <f t="array" ref="AX853">INDEX(V853:AG853,1,MATCH(Parametres!$B$3,V$1:AG$1,0))*IF(OR(C853="L",C853="S",C853="I"),-1,1)</f>
        <v>0</v>
      </c>
      <c r="AY853" s="853" t="s">
        <v>772</v>
      </c>
      <c r="AZ853" s="853" t="str">
        <f>+VLOOKUP($AJ853,Data_Validation!$A:$E,5,0)</f>
        <v>#N/A</v>
      </c>
    </row>
    <row r="854" ht="15.0" customHeight="1">
      <c r="A854" s="849" t="s">
        <v>1239</v>
      </c>
      <c r="B854" s="849">
        <v>2025.0</v>
      </c>
      <c r="C854" s="849" t="s">
        <v>3300</v>
      </c>
      <c r="D854" s="849" t="s">
        <v>3301</v>
      </c>
      <c r="E854" s="849" t="s">
        <v>768</v>
      </c>
      <c r="F854" s="849" t="s">
        <v>1200</v>
      </c>
      <c r="G854" s="849">
        <v>0.0</v>
      </c>
      <c r="H854" s="849">
        <v>0.0</v>
      </c>
      <c r="I854" s="849">
        <v>0.0</v>
      </c>
      <c r="J854" s="849">
        <v>0.0</v>
      </c>
      <c r="K854" s="849">
        <v>0.0</v>
      </c>
      <c r="L854" s="849">
        <v>0.0</v>
      </c>
      <c r="M854" s="849">
        <v>0.0</v>
      </c>
      <c r="N854" s="849">
        <v>0.0</v>
      </c>
      <c r="O854" s="849">
        <v>0.0</v>
      </c>
      <c r="P854" s="849">
        <v>0.0</v>
      </c>
      <c r="Q854" s="849">
        <v>0.0</v>
      </c>
      <c r="R854" s="849">
        <v>0.0</v>
      </c>
      <c r="S854" s="849">
        <v>0.0</v>
      </c>
      <c r="T854" s="849">
        <v>0.0</v>
      </c>
      <c r="U854" s="849">
        <v>0.0</v>
      </c>
      <c r="V854" s="849">
        <v>0.0</v>
      </c>
      <c r="W854" s="849">
        <v>0.0</v>
      </c>
      <c r="X854" s="849">
        <v>0.0</v>
      </c>
      <c r="Y854" s="849">
        <v>0.0</v>
      </c>
      <c r="Z854" s="849">
        <v>0.0</v>
      </c>
      <c r="AA854" s="849">
        <v>0.0</v>
      </c>
      <c r="AB854" s="849">
        <v>0.0</v>
      </c>
      <c r="AC854" s="849">
        <v>0.0</v>
      </c>
      <c r="AD854" s="849">
        <v>0.0</v>
      </c>
      <c r="AE854" s="849">
        <v>0.0</v>
      </c>
      <c r="AF854" s="849">
        <v>0.0</v>
      </c>
      <c r="AG854" s="849">
        <v>0.0</v>
      </c>
      <c r="AH854" s="849">
        <v>0.0</v>
      </c>
      <c r="AI854" s="849">
        <v>0.0</v>
      </c>
      <c r="AJ854" s="794" t="str">
        <f t="shared" ref="AJ854:AK854" si="1705">C854</f>
        <v>G734</v>
      </c>
      <c r="AK854" s="794" t="str">
        <f t="shared" si="1705"/>
        <v>PLAQUE,TITRE,TAXES   -C/T</v>
      </c>
      <c r="AL854" s="794">
        <f t="array" ref="AL854">IFERROR(INDEX(G854:R854,1,MATCH(Parametres!$B$3,G$1:R$1,0)-1)*IF(OR(F854="L",F854="S",F854="I"),-1,1),"")</f>
        <v>0</v>
      </c>
      <c r="AM854" s="794">
        <f t="shared" si="4"/>
        <v>0</v>
      </c>
      <c r="AN854" s="794">
        <f t="array" ref="AN854">INDEX(G854:R854,1,MATCH(Parametres!$B$3,G$1:R$1,0))*IF(OR(F854="L",F854="S",F854="I"),-1,1)</f>
        <v>0</v>
      </c>
      <c r="AO854" s="853" t="str">
        <f>+VLOOKUP($AJ854,Data_Validation!$A:$D,1,0)</f>
        <v>#N/A</v>
      </c>
      <c r="AP854" s="853" t="str">
        <f>+VLOOKUP($AJ854,Data_Validation!$A:$D,3,0)</f>
        <v>#N/A</v>
      </c>
      <c r="AQ854" s="853" t="str">
        <f>+VLOOKUP($AJ854,Data_Validation!$A:$D,4,0)</f>
        <v>#N/A</v>
      </c>
      <c r="AR854" s="853" t="s">
        <v>728</v>
      </c>
      <c r="AS854" s="853" t="str">
        <f>+VLOOKUP($AJ854,Data_Validation!$A:$E,5,0)</f>
        <v>#N/A</v>
      </c>
      <c r="AT854" s="794" t="str">
        <f t="shared" ref="AT854:AU854" si="1706">C854</f>
        <v>G734</v>
      </c>
      <c r="AU854" s="854" t="str">
        <f t="shared" si="1706"/>
        <v>PLAQUE,TITRE,TAXES   -C/T</v>
      </c>
      <c r="AV854" s="794">
        <f t="array" ref="AV854">IFERROR(INDEX(V854:AG854,1,MATCH(Parametres!$B$3,V$1:AG$1,0)-1)*IF(OR(C854="L",C854="S",C854="I"),-1,1),"")</f>
        <v>0</v>
      </c>
      <c r="AW854" s="794">
        <f t="shared" si="6"/>
        <v>0</v>
      </c>
      <c r="AX854" s="794">
        <f t="array" ref="AX854">INDEX(V854:AG854,1,MATCH(Parametres!$B$3,V$1:AG$1,0))*IF(OR(C854="L",C854="S",C854="I"),-1,1)</f>
        <v>0</v>
      </c>
      <c r="AY854" s="853" t="s">
        <v>772</v>
      </c>
      <c r="AZ854" s="853" t="str">
        <f>+VLOOKUP($AJ854,Data_Validation!$A:$E,5,0)</f>
        <v>#N/A</v>
      </c>
    </row>
    <row r="855" ht="15.0" customHeight="1">
      <c r="A855" s="849" t="s">
        <v>1239</v>
      </c>
      <c r="B855" s="849">
        <v>2025.0</v>
      </c>
      <c r="C855" s="849" t="s">
        <v>3302</v>
      </c>
      <c r="D855" s="849" t="s">
        <v>3303</v>
      </c>
      <c r="E855" s="849" t="s">
        <v>768</v>
      </c>
      <c r="F855" s="849" t="s">
        <v>1200</v>
      </c>
      <c r="G855" s="849">
        <v>0.0</v>
      </c>
      <c r="H855" s="849">
        <v>0.0</v>
      </c>
      <c r="I855" s="849">
        <v>0.0</v>
      </c>
      <c r="J855" s="849">
        <v>0.0</v>
      </c>
      <c r="K855" s="849">
        <v>0.0</v>
      </c>
      <c r="L855" s="849">
        <v>0.0</v>
      </c>
      <c r="M855" s="849">
        <v>0.0</v>
      </c>
      <c r="N855" s="849">
        <v>0.0</v>
      </c>
      <c r="O855" s="849">
        <v>0.0</v>
      </c>
      <c r="P855" s="849">
        <v>0.0</v>
      </c>
      <c r="Q855" s="849">
        <v>0.0</v>
      </c>
      <c r="R855" s="849">
        <v>0.0</v>
      </c>
      <c r="S855" s="849">
        <v>0.0</v>
      </c>
      <c r="T855" s="849">
        <v>0.0</v>
      </c>
      <c r="U855" s="849">
        <v>0.0</v>
      </c>
      <c r="V855" s="849">
        <v>0.0</v>
      </c>
      <c r="W855" s="849">
        <v>0.0</v>
      </c>
      <c r="X855" s="849">
        <v>0.0</v>
      </c>
      <c r="Y855" s="849">
        <v>0.0</v>
      </c>
      <c r="Z855" s="849">
        <v>0.0</v>
      </c>
      <c r="AA855" s="849">
        <v>0.0</v>
      </c>
      <c r="AB855" s="849">
        <v>0.0</v>
      </c>
      <c r="AC855" s="849">
        <v>0.0</v>
      </c>
      <c r="AD855" s="849">
        <v>0.0</v>
      </c>
      <c r="AE855" s="849">
        <v>0.0</v>
      </c>
      <c r="AF855" s="849">
        <v>0.0</v>
      </c>
      <c r="AG855" s="849">
        <v>0.0</v>
      </c>
      <c r="AH855" s="849">
        <v>0.0</v>
      </c>
      <c r="AI855" s="849">
        <v>0.0</v>
      </c>
      <c r="AJ855" s="794" t="str">
        <f t="shared" ref="AJ855:AK855" si="1707">C855</f>
        <v>G73400</v>
      </c>
      <c r="AK855" s="794" t="str">
        <f t="shared" si="1707"/>
        <v>PLAQUES TITRES LOC.C/TERM</v>
      </c>
      <c r="AL855" s="794">
        <f t="array" ref="AL855">IFERROR(INDEX(G855:R855,1,MATCH(Parametres!$B$3,G$1:R$1,0)-1)*IF(OR(F855="L",F855="S",F855="I"),-1,1),"")</f>
        <v>0</v>
      </c>
      <c r="AM855" s="794">
        <f t="shared" si="4"/>
        <v>0</v>
      </c>
      <c r="AN855" s="794">
        <f t="array" ref="AN855">INDEX(G855:R855,1,MATCH(Parametres!$B$3,G$1:R$1,0))*IF(OR(F855="L",F855="S",F855="I"),-1,1)</f>
        <v>0</v>
      </c>
      <c r="AO855" s="853" t="str">
        <f>+VLOOKUP($AJ855,Data_Validation!$A:$D,1,0)</f>
        <v>G73400</v>
      </c>
      <c r="AP855" s="853" t="str">
        <f>+VLOOKUP($AJ855,Data_Validation!$A:$D,3,0)</f>
        <v/>
      </c>
      <c r="AQ855" s="853" t="str">
        <f>+VLOOKUP($AJ855,Data_Validation!$A:$D,4,0)</f>
        <v/>
      </c>
      <c r="AR855" s="853" t="s">
        <v>728</v>
      </c>
      <c r="AS855" s="853" t="str">
        <f>+VLOOKUP($AJ855,Data_Validation!$A:$E,5,0)</f>
        <v/>
      </c>
      <c r="AT855" s="794" t="str">
        <f t="shared" ref="AT855:AU855" si="1708">C855</f>
        <v>G73400</v>
      </c>
      <c r="AU855" s="854" t="str">
        <f t="shared" si="1708"/>
        <v>PLAQUES TITRES LOC.C/TERM</v>
      </c>
      <c r="AV855" s="794">
        <f t="array" ref="AV855">IFERROR(INDEX(V855:AG855,1,MATCH(Parametres!$B$3,V$1:AG$1,0)-1)*IF(OR(C855="L",C855="S",C855="I"),-1,1),"")</f>
        <v>0</v>
      </c>
      <c r="AW855" s="794">
        <f t="shared" si="6"/>
        <v>0</v>
      </c>
      <c r="AX855" s="794">
        <f t="array" ref="AX855">INDEX(V855:AG855,1,MATCH(Parametres!$B$3,V$1:AG$1,0))*IF(OR(C855="L",C855="S",C855="I"),-1,1)</f>
        <v>0</v>
      </c>
      <c r="AY855" s="853" t="s">
        <v>772</v>
      </c>
      <c r="AZ855" s="853" t="str">
        <f>+VLOOKUP($AJ855,Data_Validation!$A:$E,5,0)</f>
        <v/>
      </c>
    </row>
    <row r="856" ht="15.0" customHeight="1">
      <c r="A856" s="849" t="s">
        <v>1239</v>
      </c>
      <c r="B856" s="849">
        <v>2025.0</v>
      </c>
      <c r="C856" s="849" t="s">
        <v>3304</v>
      </c>
      <c r="D856" s="849" t="s">
        <v>3305</v>
      </c>
      <c r="E856" s="849" t="s">
        <v>768</v>
      </c>
      <c r="F856" s="849" t="s">
        <v>1200</v>
      </c>
      <c r="G856" s="849">
        <v>0.0</v>
      </c>
      <c r="H856" s="849">
        <v>0.0</v>
      </c>
      <c r="I856" s="849">
        <v>0.0</v>
      </c>
      <c r="J856" s="849">
        <v>0.0</v>
      </c>
      <c r="K856" s="849">
        <v>0.0</v>
      </c>
      <c r="L856" s="849">
        <v>0.0</v>
      </c>
      <c r="M856" s="849">
        <v>0.0</v>
      </c>
      <c r="N856" s="849">
        <v>0.0</v>
      </c>
      <c r="O856" s="849">
        <v>0.0</v>
      </c>
      <c r="P856" s="849">
        <v>0.0</v>
      </c>
      <c r="Q856" s="849">
        <v>0.0</v>
      </c>
      <c r="R856" s="849">
        <v>0.0</v>
      </c>
      <c r="S856" s="849">
        <v>0.0</v>
      </c>
      <c r="T856" s="849">
        <v>0.0</v>
      </c>
      <c r="U856" s="849">
        <v>0.0</v>
      </c>
      <c r="V856" s="849">
        <v>0.0</v>
      </c>
      <c r="W856" s="849">
        <v>0.0</v>
      </c>
      <c r="X856" s="849">
        <v>0.0</v>
      </c>
      <c r="Y856" s="849">
        <v>0.0</v>
      </c>
      <c r="Z856" s="849">
        <v>0.0</v>
      </c>
      <c r="AA856" s="849">
        <v>0.0</v>
      </c>
      <c r="AB856" s="849">
        <v>0.0</v>
      </c>
      <c r="AC856" s="849">
        <v>0.0</v>
      </c>
      <c r="AD856" s="849">
        <v>0.0</v>
      </c>
      <c r="AE856" s="849">
        <v>0.0</v>
      </c>
      <c r="AF856" s="849">
        <v>0.0</v>
      </c>
      <c r="AG856" s="849">
        <v>0.0</v>
      </c>
      <c r="AH856" s="849">
        <v>0.0</v>
      </c>
      <c r="AI856" s="849">
        <v>0.0</v>
      </c>
      <c r="AJ856" s="794" t="str">
        <f t="shared" ref="AJ856:AK856" si="1709">C856</f>
        <v>G735</v>
      </c>
      <c r="AK856" s="794" t="str">
        <f t="shared" si="1709"/>
        <v>TRAVAUX GRACIEUX     -C/T</v>
      </c>
      <c r="AL856" s="794">
        <f t="array" ref="AL856">IFERROR(INDEX(G856:R856,1,MATCH(Parametres!$B$3,G$1:R$1,0)-1)*IF(OR(F856="L",F856="S",F856="I"),-1,1),"")</f>
        <v>0</v>
      </c>
      <c r="AM856" s="794">
        <f t="shared" si="4"/>
        <v>0</v>
      </c>
      <c r="AN856" s="794">
        <f t="array" ref="AN856">INDEX(G856:R856,1,MATCH(Parametres!$B$3,G$1:R$1,0))*IF(OR(F856="L",F856="S",F856="I"),-1,1)</f>
        <v>0</v>
      </c>
      <c r="AO856" s="853" t="str">
        <f>+VLOOKUP($AJ856,Data_Validation!$A:$D,1,0)</f>
        <v>#N/A</v>
      </c>
      <c r="AP856" s="853" t="str">
        <f>+VLOOKUP($AJ856,Data_Validation!$A:$D,3,0)</f>
        <v>#N/A</v>
      </c>
      <c r="AQ856" s="853" t="str">
        <f>+VLOOKUP($AJ856,Data_Validation!$A:$D,4,0)</f>
        <v>#N/A</v>
      </c>
      <c r="AR856" s="853" t="s">
        <v>728</v>
      </c>
      <c r="AS856" s="853" t="str">
        <f>+VLOOKUP($AJ856,Data_Validation!$A:$E,5,0)</f>
        <v>#N/A</v>
      </c>
      <c r="AT856" s="794" t="str">
        <f t="shared" ref="AT856:AU856" si="1710">C856</f>
        <v>G735</v>
      </c>
      <c r="AU856" s="854" t="str">
        <f t="shared" si="1710"/>
        <v>TRAVAUX GRACIEUX     -C/T</v>
      </c>
      <c r="AV856" s="794">
        <f t="array" ref="AV856">IFERROR(INDEX(V856:AG856,1,MATCH(Parametres!$B$3,V$1:AG$1,0)-1)*IF(OR(C856="L",C856="S",C856="I"),-1,1),"")</f>
        <v>0</v>
      </c>
      <c r="AW856" s="794">
        <f t="shared" si="6"/>
        <v>0</v>
      </c>
      <c r="AX856" s="794">
        <f t="array" ref="AX856">INDEX(V856:AG856,1,MATCH(Parametres!$B$3,V$1:AG$1,0))*IF(OR(C856="L",C856="S",C856="I"),-1,1)</f>
        <v>0</v>
      </c>
      <c r="AY856" s="853" t="s">
        <v>772</v>
      </c>
      <c r="AZ856" s="853" t="str">
        <f>+VLOOKUP($AJ856,Data_Validation!$A:$E,5,0)</f>
        <v>#N/A</v>
      </c>
    </row>
    <row r="857" ht="15.0" customHeight="1">
      <c r="A857" s="849" t="s">
        <v>1239</v>
      </c>
      <c r="B857" s="849">
        <v>2025.0</v>
      </c>
      <c r="C857" s="849" t="s">
        <v>3306</v>
      </c>
      <c r="D857" s="849" t="s">
        <v>3307</v>
      </c>
      <c r="E857" s="849" t="s">
        <v>768</v>
      </c>
      <c r="F857" s="849" t="s">
        <v>1200</v>
      </c>
      <c r="G857" s="849">
        <v>0.0</v>
      </c>
      <c r="H857" s="849">
        <v>0.0</v>
      </c>
      <c r="I857" s="849">
        <v>0.0</v>
      </c>
      <c r="J857" s="849">
        <v>0.0</v>
      </c>
      <c r="K857" s="849">
        <v>0.0</v>
      </c>
      <c r="L857" s="849">
        <v>0.0</v>
      </c>
      <c r="M857" s="849">
        <v>0.0</v>
      </c>
      <c r="N857" s="849">
        <v>0.0</v>
      </c>
      <c r="O857" s="849">
        <v>0.0</v>
      </c>
      <c r="P857" s="849">
        <v>0.0</v>
      </c>
      <c r="Q857" s="849">
        <v>0.0</v>
      </c>
      <c r="R857" s="849">
        <v>0.0</v>
      </c>
      <c r="S857" s="849">
        <v>0.0</v>
      </c>
      <c r="T857" s="849">
        <v>0.0</v>
      </c>
      <c r="U857" s="849">
        <v>0.0</v>
      </c>
      <c r="V857" s="849">
        <v>0.0</v>
      </c>
      <c r="W857" s="849">
        <v>0.0</v>
      </c>
      <c r="X857" s="849">
        <v>0.0</v>
      </c>
      <c r="Y857" s="849">
        <v>0.0</v>
      </c>
      <c r="Z857" s="849">
        <v>0.0</v>
      </c>
      <c r="AA857" s="849">
        <v>0.0</v>
      </c>
      <c r="AB857" s="849">
        <v>0.0</v>
      </c>
      <c r="AC857" s="849">
        <v>0.0</v>
      </c>
      <c r="AD857" s="849">
        <v>0.0</v>
      </c>
      <c r="AE857" s="849">
        <v>0.0</v>
      </c>
      <c r="AF857" s="849">
        <v>0.0</v>
      </c>
      <c r="AG857" s="849">
        <v>0.0</v>
      </c>
      <c r="AH857" s="849">
        <v>0.0</v>
      </c>
      <c r="AI857" s="849">
        <v>0.0</v>
      </c>
      <c r="AJ857" s="794" t="str">
        <f t="shared" ref="AJ857:AK857" si="1711">C857</f>
        <v>G736</v>
      </c>
      <c r="AK857" s="794" t="str">
        <f t="shared" si="1711"/>
        <v>REPAR.&amp; ENTRETIEN    -C/T</v>
      </c>
      <c r="AL857" s="794">
        <f t="array" ref="AL857">IFERROR(INDEX(G857:R857,1,MATCH(Parametres!$B$3,G$1:R$1,0)-1)*IF(OR(F857="L",F857="S",F857="I"),-1,1),"")</f>
        <v>0</v>
      </c>
      <c r="AM857" s="794">
        <f t="shared" si="4"/>
        <v>0</v>
      </c>
      <c r="AN857" s="794">
        <f t="array" ref="AN857">INDEX(G857:R857,1,MATCH(Parametres!$B$3,G$1:R$1,0))*IF(OR(F857="L",F857="S",F857="I"),-1,1)</f>
        <v>0</v>
      </c>
      <c r="AO857" s="853" t="str">
        <f>+VLOOKUP($AJ857,Data_Validation!$A:$D,1,0)</f>
        <v>#N/A</v>
      </c>
      <c r="AP857" s="853" t="str">
        <f>+VLOOKUP($AJ857,Data_Validation!$A:$D,3,0)</f>
        <v>#N/A</v>
      </c>
      <c r="AQ857" s="853" t="str">
        <f>+VLOOKUP($AJ857,Data_Validation!$A:$D,4,0)</f>
        <v>#N/A</v>
      </c>
      <c r="AR857" s="853" t="s">
        <v>728</v>
      </c>
      <c r="AS857" s="853" t="str">
        <f>+VLOOKUP($AJ857,Data_Validation!$A:$E,5,0)</f>
        <v>#N/A</v>
      </c>
      <c r="AT857" s="794" t="str">
        <f t="shared" ref="AT857:AU857" si="1712">C857</f>
        <v>G736</v>
      </c>
      <c r="AU857" s="854" t="str">
        <f t="shared" si="1712"/>
        <v>REPAR.&amp; ENTRETIEN    -C/T</v>
      </c>
      <c r="AV857" s="794">
        <f t="array" ref="AV857">IFERROR(INDEX(V857:AG857,1,MATCH(Parametres!$B$3,V$1:AG$1,0)-1)*IF(OR(C857="L",C857="S",C857="I"),-1,1),"")</f>
        <v>0</v>
      </c>
      <c r="AW857" s="794">
        <f t="shared" si="6"/>
        <v>0</v>
      </c>
      <c r="AX857" s="794">
        <f t="array" ref="AX857">INDEX(V857:AG857,1,MATCH(Parametres!$B$3,V$1:AG$1,0))*IF(OR(C857="L",C857="S",C857="I"),-1,1)</f>
        <v>0</v>
      </c>
      <c r="AY857" s="853" t="s">
        <v>772</v>
      </c>
      <c r="AZ857" s="853" t="str">
        <f>+VLOOKUP($AJ857,Data_Validation!$A:$E,5,0)</f>
        <v>#N/A</v>
      </c>
    </row>
    <row r="858" ht="15.0" customHeight="1">
      <c r="A858" s="849" t="s">
        <v>1239</v>
      </c>
      <c r="B858" s="849">
        <v>2025.0</v>
      </c>
      <c r="C858" s="849" t="s">
        <v>3308</v>
      </c>
      <c r="D858" s="849" t="s">
        <v>3309</v>
      </c>
      <c r="E858" s="849" t="s">
        <v>768</v>
      </c>
      <c r="F858" s="849" t="s">
        <v>1200</v>
      </c>
      <c r="G858" s="849">
        <v>0.0</v>
      </c>
      <c r="H858" s="849">
        <v>0.0</v>
      </c>
      <c r="I858" s="849">
        <v>0.0</v>
      </c>
      <c r="J858" s="849">
        <v>0.0</v>
      </c>
      <c r="K858" s="849">
        <v>0.0</v>
      </c>
      <c r="L858" s="849">
        <v>0.0</v>
      </c>
      <c r="M858" s="849">
        <v>0.0</v>
      </c>
      <c r="N858" s="849">
        <v>0.0</v>
      </c>
      <c r="O858" s="849">
        <v>0.0</v>
      </c>
      <c r="P858" s="849">
        <v>0.0</v>
      </c>
      <c r="Q858" s="849">
        <v>0.0</v>
      </c>
      <c r="R858" s="849">
        <v>0.0</v>
      </c>
      <c r="S858" s="849">
        <v>0.0</v>
      </c>
      <c r="T858" s="849">
        <v>0.0</v>
      </c>
      <c r="U858" s="849">
        <v>0.0</v>
      </c>
      <c r="V858" s="849">
        <v>0.0</v>
      </c>
      <c r="W858" s="849">
        <v>0.0</v>
      </c>
      <c r="X858" s="849">
        <v>0.0</v>
      </c>
      <c r="Y858" s="849">
        <v>0.0</v>
      </c>
      <c r="Z858" s="849">
        <v>0.0</v>
      </c>
      <c r="AA858" s="849">
        <v>0.0</v>
      </c>
      <c r="AB858" s="849">
        <v>0.0</v>
      </c>
      <c r="AC858" s="849">
        <v>0.0</v>
      </c>
      <c r="AD858" s="849">
        <v>0.0</v>
      </c>
      <c r="AE858" s="849">
        <v>0.0</v>
      </c>
      <c r="AF858" s="849">
        <v>0.0</v>
      </c>
      <c r="AG858" s="849">
        <v>0.0</v>
      </c>
      <c r="AH858" s="849">
        <v>0.0</v>
      </c>
      <c r="AI858" s="849">
        <v>0.0</v>
      </c>
      <c r="AJ858" s="794" t="str">
        <f t="shared" ref="AJ858:AK858" si="1713">C858</f>
        <v>G73600</v>
      </c>
      <c r="AK858" s="794" t="str">
        <f t="shared" si="1713"/>
        <v>REPAR. ENTRETIEN LOC C/T</v>
      </c>
      <c r="AL858" s="794">
        <f t="array" ref="AL858">IFERROR(INDEX(G858:R858,1,MATCH(Parametres!$B$3,G$1:R$1,0)-1)*IF(OR(F858="L",F858="S",F858="I"),-1,1),"")</f>
        <v>0</v>
      </c>
      <c r="AM858" s="794">
        <f t="shared" si="4"/>
        <v>0</v>
      </c>
      <c r="AN858" s="794">
        <f t="array" ref="AN858">INDEX(G858:R858,1,MATCH(Parametres!$B$3,G$1:R$1,0))*IF(OR(F858="L",F858="S",F858="I"),-1,1)</f>
        <v>0</v>
      </c>
      <c r="AO858" s="853" t="str">
        <f>+VLOOKUP($AJ858,Data_Validation!$A:$D,1,0)</f>
        <v>G73600</v>
      </c>
      <c r="AP858" s="853" t="str">
        <f>+VLOOKUP($AJ858,Data_Validation!$A:$D,3,0)</f>
        <v/>
      </c>
      <c r="AQ858" s="853" t="str">
        <f>+VLOOKUP($AJ858,Data_Validation!$A:$D,4,0)</f>
        <v/>
      </c>
      <c r="AR858" s="853" t="s">
        <v>728</v>
      </c>
      <c r="AS858" s="853" t="str">
        <f>+VLOOKUP($AJ858,Data_Validation!$A:$E,5,0)</f>
        <v/>
      </c>
      <c r="AT858" s="794" t="str">
        <f t="shared" ref="AT858:AU858" si="1714">C858</f>
        <v>G73600</v>
      </c>
      <c r="AU858" s="854" t="str">
        <f t="shared" si="1714"/>
        <v>REPAR. ENTRETIEN LOC C/T</v>
      </c>
      <c r="AV858" s="794">
        <f t="array" ref="AV858">IFERROR(INDEX(V858:AG858,1,MATCH(Parametres!$B$3,V$1:AG$1,0)-1)*IF(OR(C858="L",C858="S",C858="I"),-1,1),"")</f>
        <v>0</v>
      </c>
      <c r="AW858" s="794">
        <f t="shared" si="6"/>
        <v>0</v>
      </c>
      <c r="AX858" s="794">
        <f t="array" ref="AX858">INDEX(V858:AG858,1,MATCH(Parametres!$B$3,V$1:AG$1,0))*IF(OR(C858="L",C858="S",C858="I"),-1,1)</f>
        <v>0</v>
      </c>
      <c r="AY858" s="853" t="s">
        <v>772</v>
      </c>
      <c r="AZ858" s="853" t="str">
        <f>+VLOOKUP($AJ858,Data_Validation!$A:$E,5,0)</f>
        <v/>
      </c>
    </row>
    <row r="859" ht="15.0" customHeight="1">
      <c r="A859" s="849" t="s">
        <v>1239</v>
      </c>
      <c r="B859" s="849">
        <v>2025.0</v>
      </c>
      <c r="C859" s="849" t="s">
        <v>3310</v>
      </c>
      <c r="D859" s="849" t="s">
        <v>3311</v>
      </c>
      <c r="E859" s="849" t="s">
        <v>768</v>
      </c>
      <c r="F859" s="849" t="s">
        <v>1200</v>
      </c>
      <c r="G859" s="849">
        <v>0.0</v>
      </c>
      <c r="H859" s="849">
        <v>0.0</v>
      </c>
      <c r="I859" s="849">
        <v>0.0</v>
      </c>
      <c r="J859" s="849">
        <v>0.0</v>
      </c>
      <c r="K859" s="849">
        <v>0.0</v>
      </c>
      <c r="L859" s="849">
        <v>0.0</v>
      </c>
      <c r="M859" s="849">
        <v>0.0</v>
      </c>
      <c r="N859" s="849">
        <v>0.0</v>
      </c>
      <c r="O859" s="849">
        <v>0.0</v>
      </c>
      <c r="P859" s="849">
        <v>0.0</v>
      </c>
      <c r="Q859" s="849">
        <v>0.0</v>
      </c>
      <c r="R859" s="849">
        <v>0.0</v>
      </c>
      <c r="S859" s="849">
        <v>0.0</v>
      </c>
      <c r="T859" s="849">
        <v>0.0</v>
      </c>
      <c r="U859" s="849">
        <v>0.0</v>
      </c>
      <c r="V859" s="849">
        <v>0.0</v>
      </c>
      <c r="W859" s="849">
        <v>0.0</v>
      </c>
      <c r="X859" s="849">
        <v>0.0</v>
      </c>
      <c r="Y859" s="849">
        <v>0.0</v>
      </c>
      <c r="Z859" s="849">
        <v>0.0</v>
      </c>
      <c r="AA859" s="849">
        <v>0.0</v>
      </c>
      <c r="AB859" s="849">
        <v>0.0</v>
      </c>
      <c r="AC859" s="849">
        <v>0.0</v>
      </c>
      <c r="AD859" s="849">
        <v>0.0</v>
      </c>
      <c r="AE859" s="849">
        <v>0.0</v>
      </c>
      <c r="AF859" s="849">
        <v>0.0</v>
      </c>
      <c r="AG859" s="849">
        <v>0.0</v>
      </c>
      <c r="AH859" s="849">
        <v>0.0</v>
      </c>
      <c r="AI859" s="849">
        <v>0.0</v>
      </c>
      <c r="AJ859" s="794" t="str">
        <f t="shared" ref="AJ859:AK859" si="1715">C859</f>
        <v>G737</v>
      </c>
      <c r="AK859" s="794" t="str">
        <f t="shared" si="1715"/>
        <v>PRIX LOC.UNIT.S-LOUE -C/T</v>
      </c>
      <c r="AL859" s="794">
        <f t="array" ref="AL859">IFERROR(INDEX(G859:R859,1,MATCH(Parametres!$B$3,G$1:R$1,0)-1)*IF(OR(F859="L",F859="S",F859="I"),-1,1),"")</f>
        <v>0</v>
      </c>
      <c r="AM859" s="794">
        <f t="shared" si="4"/>
        <v>0</v>
      </c>
      <c r="AN859" s="794">
        <f t="array" ref="AN859">INDEX(G859:R859,1,MATCH(Parametres!$B$3,G$1:R$1,0))*IF(OR(F859="L",F859="S",F859="I"),-1,1)</f>
        <v>0</v>
      </c>
      <c r="AO859" s="853" t="str">
        <f>+VLOOKUP($AJ859,Data_Validation!$A:$D,1,0)</f>
        <v>#N/A</v>
      </c>
      <c r="AP859" s="853" t="str">
        <f>+VLOOKUP($AJ859,Data_Validation!$A:$D,3,0)</f>
        <v>#N/A</v>
      </c>
      <c r="AQ859" s="853" t="str">
        <f>+VLOOKUP($AJ859,Data_Validation!$A:$D,4,0)</f>
        <v>#N/A</v>
      </c>
      <c r="AR859" s="853" t="s">
        <v>728</v>
      </c>
      <c r="AS859" s="853" t="str">
        <f>+VLOOKUP($AJ859,Data_Validation!$A:$E,5,0)</f>
        <v>#N/A</v>
      </c>
      <c r="AT859" s="794" t="str">
        <f t="shared" ref="AT859:AU859" si="1716">C859</f>
        <v>G737</v>
      </c>
      <c r="AU859" s="854" t="str">
        <f t="shared" si="1716"/>
        <v>PRIX LOC.UNIT.S-LOUE -C/T</v>
      </c>
      <c r="AV859" s="794">
        <f t="array" ref="AV859">IFERROR(INDEX(V859:AG859,1,MATCH(Parametres!$B$3,V$1:AG$1,0)-1)*IF(OR(C859="L",C859="S",C859="I"),-1,1),"")</f>
        <v>0</v>
      </c>
      <c r="AW859" s="794">
        <f t="shared" si="6"/>
        <v>0</v>
      </c>
      <c r="AX859" s="794">
        <f t="array" ref="AX859">INDEX(V859:AG859,1,MATCH(Parametres!$B$3,V$1:AG$1,0))*IF(OR(C859="L",C859="S",C859="I"),-1,1)</f>
        <v>0</v>
      </c>
      <c r="AY859" s="853" t="s">
        <v>772</v>
      </c>
      <c r="AZ859" s="853" t="str">
        <f>+VLOOKUP($AJ859,Data_Validation!$A:$E,5,0)</f>
        <v>#N/A</v>
      </c>
    </row>
    <row r="860" ht="15.0" customHeight="1">
      <c r="A860" s="849" t="s">
        <v>1239</v>
      </c>
      <c r="B860" s="849">
        <v>2025.0</v>
      </c>
      <c r="C860" s="849" t="s">
        <v>3312</v>
      </c>
      <c r="D860" s="849" t="s">
        <v>3313</v>
      </c>
      <c r="E860" s="849" t="s">
        <v>768</v>
      </c>
      <c r="F860" s="849" t="s">
        <v>1200</v>
      </c>
      <c r="G860" s="849">
        <v>0.0</v>
      </c>
      <c r="H860" s="849">
        <v>0.0</v>
      </c>
      <c r="I860" s="849">
        <v>0.0</v>
      </c>
      <c r="J860" s="849">
        <v>0.0</v>
      </c>
      <c r="K860" s="849">
        <v>0.0</v>
      </c>
      <c r="L860" s="849">
        <v>0.0</v>
      </c>
      <c r="M860" s="849">
        <v>0.0</v>
      </c>
      <c r="N860" s="849">
        <v>0.0</v>
      </c>
      <c r="O860" s="849">
        <v>0.0</v>
      </c>
      <c r="P860" s="849">
        <v>0.0</v>
      </c>
      <c r="Q860" s="849">
        <v>0.0</v>
      </c>
      <c r="R860" s="849">
        <v>0.0</v>
      </c>
      <c r="S860" s="849">
        <v>0.0</v>
      </c>
      <c r="T860" s="849">
        <v>0.0</v>
      </c>
      <c r="U860" s="849">
        <v>0.0</v>
      </c>
      <c r="V860" s="849">
        <v>0.0</v>
      </c>
      <c r="W860" s="849">
        <v>0.0</v>
      </c>
      <c r="X860" s="849">
        <v>0.0</v>
      </c>
      <c r="Y860" s="849">
        <v>0.0</v>
      </c>
      <c r="Z860" s="849">
        <v>0.0</v>
      </c>
      <c r="AA860" s="849">
        <v>0.0</v>
      </c>
      <c r="AB860" s="849">
        <v>0.0</v>
      </c>
      <c r="AC860" s="849">
        <v>0.0</v>
      </c>
      <c r="AD860" s="849">
        <v>0.0</v>
      </c>
      <c r="AE860" s="849">
        <v>0.0</v>
      </c>
      <c r="AF860" s="849">
        <v>0.0</v>
      </c>
      <c r="AG860" s="849">
        <v>0.0</v>
      </c>
      <c r="AH860" s="849">
        <v>0.0</v>
      </c>
      <c r="AI860" s="849">
        <v>0.0</v>
      </c>
      <c r="AJ860" s="794" t="str">
        <f t="shared" ref="AJ860:AK860" si="1717">C860</f>
        <v>G738</v>
      </c>
      <c r="AK860" s="794" t="str">
        <f t="shared" si="1717"/>
        <v>AUTRES               -C/T</v>
      </c>
      <c r="AL860" s="794">
        <f t="array" ref="AL860">IFERROR(INDEX(G860:R860,1,MATCH(Parametres!$B$3,G$1:R$1,0)-1)*IF(OR(F860="L",F860="S",F860="I"),-1,1),"")</f>
        <v>0</v>
      </c>
      <c r="AM860" s="794">
        <f t="shared" si="4"/>
        <v>0</v>
      </c>
      <c r="AN860" s="794">
        <f t="array" ref="AN860">INDEX(G860:R860,1,MATCH(Parametres!$B$3,G$1:R$1,0))*IF(OR(F860="L",F860="S",F860="I"),-1,1)</f>
        <v>0</v>
      </c>
      <c r="AO860" s="853" t="str">
        <f>+VLOOKUP($AJ860,Data_Validation!$A:$D,1,0)</f>
        <v>#N/A</v>
      </c>
      <c r="AP860" s="853" t="str">
        <f>+VLOOKUP($AJ860,Data_Validation!$A:$D,3,0)</f>
        <v>#N/A</v>
      </c>
      <c r="AQ860" s="853" t="str">
        <f>+VLOOKUP($AJ860,Data_Validation!$A:$D,4,0)</f>
        <v>#N/A</v>
      </c>
      <c r="AR860" s="853" t="s">
        <v>728</v>
      </c>
      <c r="AS860" s="853" t="str">
        <f>+VLOOKUP($AJ860,Data_Validation!$A:$E,5,0)</f>
        <v>#N/A</v>
      </c>
      <c r="AT860" s="794" t="str">
        <f t="shared" ref="AT860:AU860" si="1718">C860</f>
        <v>G738</v>
      </c>
      <c r="AU860" s="854" t="str">
        <f t="shared" si="1718"/>
        <v>AUTRES               -C/T</v>
      </c>
      <c r="AV860" s="794">
        <f t="array" ref="AV860">IFERROR(INDEX(V860:AG860,1,MATCH(Parametres!$B$3,V$1:AG$1,0)-1)*IF(OR(C860="L",C860="S",C860="I"),-1,1),"")</f>
        <v>0</v>
      </c>
      <c r="AW860" s="794">
        <f t="shared" si="6"/>
        <v>0</v>
      </c>
      <c r="AX860" s="794">
        <f t="array" ref="AX860">INDEX(V860:AG860,1,MATCH(Parametres!$B$3,V$1:AG$1,0))*IF(OR(C860="L",C860="S",C860="I"),-1,1)</f>
        <v>0</v>
      </c>
      <c r="AY860" s="853" t="s">
        <v>772</v>
      </c>
      <c r="AZ860" s="853" t="str">
        <f>+VLOOKUP($AJ860,Data_Validation!$A:$E,5,0)</f>
        <v>#N/A</v>
      </c>
    </row>
    <row r="861" ht="15.0" customHeight="1">
      <c r="A861" s="849" t="s">
        <v>1239</v>
      </c>
      <c r="B861" s="849">
        <v>2025.0</v>
      </c>
      <c r="C861" s="849" t="s">
        <v>3314</v>
      </c>
      <c r="D861" s="849" t="s">
        <v>3315</v>
      </c>
      <c r="E861" s="849" t="s">
        <v>768</v>
      </c>
      <c r="F861" s="849" t="s">
        <v>1200</v>
      </c>
      <c r="G861" s="849">
        <v>0.0</v>
      </c>
      <c r="H861" s="849">
        <v>0.0</v>
      </c>
      <c r="I861" s="849">
        <v>0.0</v>
      </c>
      <c r="J861" s="849">
        <v>0.0</v>
      </c>
      <c r="K861" s="849">
        <v>0.0</v>
      </c>
      <c r="L861" s="849">
        <v>0.0</v>
      </c>
      <c r="M861" s="849">
        <v>0.0</v>
      </c>
      <c r="N861" s="849">
        <v>0.0</v>
      </c>
      <c r="O861" s="849">
        <v>0.0</v>
      </c>
      <c r="P861" s="849">
        <v>0.0</v>
      </c>
      <c r="Q861" s="849">
        <v>0.0</v>
      </c>
      <c r="R861" s="849">
        <v>0.0</v>
      </c>
      <c r="S861" s="849">
        <v>0.0</v>
      </c>
      <c r="T861" s="849">
        <v>0.0</v>
      </c>
      <c r="U861" s="849">
        <v>0.0</v>
      </c>
      <c r="V861" s="849">
        <v>0.0</v>
      </c>
      <c r="W861" s="849">
        <v>0.0</v>
      </c>
      <c r="X861" s="849">
        <v>0.0</v>
      </c>
      <c r="Y861" s="849">
        <v>0.0</v>
      </c>
      <c r="Z861" s="849">
        <v>0.0</v>
      </c>
      <c r="AA861" s="849">
        <v>0.0</v>
      </c>
      <c r="AB861" s="849">
        <v>0.0</v>
      </c>
      <c r="AC861" s="849">
        <v>0.0</v>
      </c>
      <c r="AD861" s="849">
        <v>0.0</v>
      </c>
      <c r="AE861" s="849">
        <v>0.0</v>
      </c>
      <c r="AF861" s="849">
        <v>0.0</v>
      </c>
      <c r="AG861" s="849">
        <v>0.0</v>
      </c>
      <c r="AH861" s="849">
        <v>0.0</v>
      </c>
      <c r="AI861" s="849">
        <v>0.0</v>
      </c>
      <c r="AJ861" s="794" t="str">
        <f t="shared" ref="AJ861:AK861" si="1719">C861</f>
        <v>G740</v>
      </c>
      <c r="AK861" s="794" t="str">
        <f t="shared" si="1719"/>
        <v>COMM.DIRECT.F&amp;A LOC C&amp;L</v>
      </c>
      <c r="AL861" s="794">
        <f t="array" ref="AL861">IFERROR(INDEX(G861:R861,1,MATCH(Parametres!$B$3,G$1:R$1,0)-1)*IF(OR(F861="L",F861="S",F861="I"),-1,1),"")</f>
        <v>0</v>
      </c>
      <c r="AM861" s="794">
        <f t="shared" si="4"/>
        <v>0</v>
      </c>
      <c r="AN861" s="794">
        <f t="array" ref="AN861">INDEX(G861:R861,1,MATCH(Parametres!$B$3,G$1:R$1,0))*IF(OR(F861="L",F861="S",F861="I"),-1,1)</f>
        <v>0</v>
      </c>
      <c r="AO861" s="853" t="str">
        <f>+VLOOKUP($AJ861,Data_Validation!$A:$D,1,0)</f>
        <v>#N/A</v>
      </c>
      <c r="AP861" s="853" t="str">
        <f>+VLOOKUP($AJ861,Data_Validation!$A:$D,3,0)</f>
        <v>#N/A</v>
      </c>
      <c r="AQ861" s="853" t="str">
        <f>+VLOOKUP($AJ861,Data_Validation!$A:$D,4,0)</f>
        <v>#N/A</v>
      </c>
      <c r="AR861" s="853" t="s">
        <v>728</v>
      </c>
      <c r="AS861" s="853" t="str">
        <f>+VLOOKUP($AJ861,Data_Validation!$A:$E,5,0)</f>
        <v>#N/A</v>
      </c>
      <c r="AT861" s="794" t="str">
        <f t="shared" ref="AT861:AU861" si="1720">C861</f>
        <v>G740</v>
      </c>
      <c r="AU861" s="854" t="str">
        <f t="shared" si="1720"/>
        <v>COMM.DIRECT.F&amp;A LOC C&amp;L</v>
      </c>
      <c r="AV861" s="794">
        <f t="array" ref="AV861">IFERROR(INDEX(V861:AG861,1,MATCH(Parametres!$B$3,V$1:AG$1,0)-1)*IF(OR(C861="L",C861="S",C861="I"),-1,1),"")</f>
        <v>0</v>
      </c>
      <c r="AW861" s="794">
        <f t="shared" si="6"/>
        <v>0</v>
      </c>
      <c r="AX861" s="794">
        <f t="array" ref="AX861">INDEX(V861:AG861,1,MATCH(Parametres!$B$3,V$1:AG$1,0))*IF(OR(C861="L",C861="S",C861="I"),-1,1)</f>
        <v>0</v>
      </c>
      <c r="AY861" s="853" t="s">
        <v>772</v>
      </c>
      <c r="AZ861" s="853" t="str">
        <f>+VLOOKUP($AJ861,Data_Validation!$A:$E,5,0)</f>
        <v>#N/A</v>
      </c>
    </row>
    <row r="862" ht="15.0" customHeight="1">
      <c r="A862" s="849" t="s">
        <v>1239</v>
      </c>
      <c r="B862" s="849">
        <v>2025.0</v>
      </c>
      <c r="C862" s="849" t="s">
        <v>3316</v>
      </c>
      <c r="D862" s="849" t="s">
        <v>3317</v>
      </c>
      <c r="E862" s="849" t="s">
        <v>768</v>
      </c>
      <c r="F862" s="849" t="s">
        <v>1200</v>
      </c>
      <c r="G862" s="849">
        <v>0.0</v>
      </c>
      <c r="H862" s="849">
        <v>0.0</v>
      </c>
      <c r="I862" s="849">
        <v>0.0</v>
      </c>
      <c r="J862" s="849">
        <v>0.0</v>
      </c>
      <c r="K862" s="849">
        <v>0.0</v>
      </c>
      <c r="L862" s="849">
        <v>0.0</v>
      </c>
      <c r="M862" s="849">
        <v>0.0</v>
      </c>
      <c r="N862" s="849">
        <v>0.0</v>
      </c>
      <c r="O862" s="849">
        <v>0.0</v>
      </c>
      <c r="P862" s="849">
        <v>0.0</v>
      </c>
      <c r="Q862" s="849">
        <v>0.0</v>
      </c>
      <c r="R862" s="849">
        <v>0.0</v>
      </c>
      <c r="S862" s="849">
        <v>0.0</v>
      </c>
      <c r="T862" s="849">
        <v>0.0</v>
      </c>
      <c r="U862" s="849">
        <v>0.0</v>
      </c>
      <c r="V862" s="849">
        <v>0.0</v>
      </c>
      <c r="W862" s="849">
        <v>0.0</v>
      </c>
      <c r="X862" s="849">
        <v>0.0</v>
      </c>
      <c r="Y862" s="849">
        <v>0.0</v>
      </c>
      <c r="Z862" s="849">
        <v>0.0</v>
      </c>
      <c r="AA862" s="849">
        <v>0.0</v>
      </c>
      <c r="AB862" s="849">
        <v>0.0</v>
      </c>
      <c r="AC862" s="849">
        <v>0.0</v>
      </c>
      <c r="AD862" s="849">
        <v>0.0</v>
      </c>
      <c r="AE862" s="849">
        <v>0.0</v>
      </c>
      <c r="AF862" s="849">
        <v>0.0</v>
      </c>
      <c r="AG862" s="849">
        <v>0.0</v>
      </c>
      <c r="AH862" s="849">
        <v>0.0</v>
      </c>
      <c r="AI862" s="849">
        <v>0.0</v>
      </c>
      <c r="AJ862" s="794" t="str">
        <f t="shared" ref="AJ862:AK862" si="1721">C862</f>
        <v>G741</v>
      </c>
      <c r="AK862" s="794" t="str">
        <f t="shared" si="1721"/>
        <v>RETROFACT.F&amp;A LOC C&amp;L TER</v>
      </c>
      <c r="AL862" s="794">
        <f t="array" ref="AL862">IFERROR(INDEX(G862:R862,1,MATCH(Parametres!$B$3,G$1:R$1,0)-1)*IF(OR(F862="L",F862="S",F862="I"),-1,1),"")</f>
        <v>0</v>
      </c>
      <c r="AM862" s="794">
        <f t="shared" si="4"/>
        <v>0</v>
      </c>
      <c r="AN862" s="794">
        <f t="array" ref="AN862">INDEX(G862:R862,1,MATCH(Parametres!$B$3,G$1:R$1,0))*IF(OR(F862="L",F862="S",F862="I"),-1,1)</f>
        <v>0</v>
      </c>
      <c r="AO862" s="853" t="str">
        <f>+VLOOKUP($AJ862,Data_Validation!$A:$D,1,0)</f>
        <v>#N/A</v>
      </c>
      <c r="AP862" s="853" t="str">
        <f>+VLOOKUP($AJ862,Data_Validation!$A:$D,3,0)</f>
        <v>#N/A</v>
      </c>
      <c r="AQ862" s="853" t="str">
        <f>+VLOOKUP($AJ862,Data_Validation!$A:$D,4,0)</f>
        <v>#N/A</v>
      </c>
      <c r="AR862" s="853" t="s">
        <v>728</v>
      </c>
      <c r="AS862" s="853" t="str">
        <f>+VLOOKUP($AJ862,Data_Validation!$A:$E,5,0)</f>
        <v>#N/A</v>
      </c>
      <c r="AT862" s="794" t="str">
        <f t="shared" ref="AT862:AU862" si="1722">C862</f>
        <v>G741</v>
      </c>
      <c r="AU862" s="854" t="str">
        <f t="shared" si="1722"/>
        <v>RETROFACT.F&amp;A LOC C&amp;L TER</v>
      </c>
      <c r="AV862" s="794">
        <f t="array" ref="AV862">IFERROR(INDEX(V862:AG862,1,MATCH(Parametres!$B$3,V$1:AG$1,0)-1)*IF(OR(C862="L",C862="S",C862="I"),-1,1),"")</f>
        <v>0</v>
      </c>
      <c r="AW862" s="794">
        <f t="shared" si="6"/>
        <v>0</v>
      </c>
      <c r="AX862" s="794">
        <f t="array" ref="AX862">INDEX(V862:AG862,1,MATCH(Parametres!$B$3,V$1:AG$1,0))*IF(OR(C862="L",C862="S",C862="I"),-1,1)</f>
        <v>0</v>
      </c>
      <c r="AY862" s="853" t="s">
        <v>772</v>
      </c>
      <c r="AZ862" s="853" t="str">
        <f>+VLOOKUP($AJ862,Data_Validation!$A:$E,5,0)</f>
        <v>#N/A</v>
      </c>
    </row>
    <row r="863" ht="15.0" customHeight="1">
      <c r="A863" s="849" t="s">
        <v>1239</v>
      </c>
      <c r="B863" s="849">
        <v>2025.0</v>
      </c>
      <c r="C863" s="849" t="s">
        <v>3318</v>
      </c>
      <c r="D863" s="849" t="s">
        <v>3319</v>
      </c>
      <c r="E863" s="849" t="s">
        <v>768</v>
      </c>
      <c r="F863" s="849" t="s">
        <v>2814</v>
      </c>
      <c r="G863" s="849">
        <v>0.0</v>
      </c>
      <c r="H863" s="849">
        <v>0.0</v>
      </c>
      <c r="I863" s="849">
        <v>0.0</v>
      </c>
      <c r="J863" s="849">
        <v>0.0</v>
      </c>
      <c r="K863" s="849">
        <v>0.0</v>
      </c>
      <c r="L863" s="849">
        <v>0.0</v>
      </c>
      <c r="M863" s="849">
        <v>0.0</v>
      </c>
      <c r="N863" s="849">
        <v>0.0</v>
      </c>
      <c r="O863" s="849">
        <v>0.0</v>
      </c>
      <c r="P863" s="849">
        <v>0.0</v>
      </c>
      <c r="Q863" s="849">
        <v>0.0</v>
      </c>
      <c r="R863" s="849">
        <v>0.0</v>
      </c>
      <c r="S863" s="849">
        <v>0.0</v>
      </c>
      <c r="T863" s="849">
        <v>0.0</v>
      </c>
      <c r="U863" s="849">
        <v>0.0</v>
      </c>
      <c r="V863" s="849">
        <v>0.0</v>
      </c>
      <c r="W863" s="849">
        <v>0.0</v>
      </c>
      <c r="X863" s="849">
        <v>0.0</v>
      </c>
      <c r="Y863" s="849">
        <v>0.0</v>
      </c>
      <c r="Z863" s="849">
        <v>0.0</v>
      </c>
      <c r="AA863" s="849">
        <v>0.0</v>
      </c>
      <c r="AB863" s="849">
        <v>0.0</v>
      </c>
      <c r="AC863" s="849">
        <v>0.0</v>
      </c>
      <c r="AD863" s="849">
        <v>0.0</v>
      </c>
      <c r="AE863" s="849">
        <v>0.0</v>
      </c>
      <c r="AF863" s="849">
        <v>0.0</v>
      </c>
      <c r="AG863" s="849">
        <v>0.0</v>
      </c>
      <c r="AH863" s="849">
        <v>0.0</v>
      </c>
      <c r="AI863" s="849">
        <v>0.0</v>
      </c>
      <c r="AJ863" s="794" t="str">
        <f t="shared" ref="AJ863:AK863" si="1723">C863</f>
        <v>G806</v>
      </c>
      <c r="AK863" s="794" t="str">
        <f t="shared" si="1723"/>
        <v>REVENU FINANCE - NEUF</v>
      </c>
      <c r="AL863" s="794">
        <f t="array" ref="AL863">IFERROR(INDEX(G863:R863,1,MATCH(Parametres!$B$3,G$1:R$1,0)-1)*IF(OR(F863="L",F863="S",F863="I"),-1,1),"")</f>
        <v>0</v>
      </c>
      <c r="AM863" s="794">
        <f t="shared" si="4"/>
        <v>0</v>
      </c>
      <c r="AN863" s="794">
        <f t="array" ref="AN863">INDEX(G863:R863,1,MATCH(Parametres!$B$3,G$1:R$1,0))*IF(OR(F863="L",F863="S",F863="I"),-1,1)</f>
        <v>0</v>
      </c>
      <c r="AO863" s="853" t="str">
        <f>+VLOOKUP($AJ863,Data_Validation!$A:$D,1,0)</f>
        <v>#N/A</v>
      </c>
      <c r="AP863" s="853" t="str">
        <f>+VLOOKUP($AJ863,Data_Validation!$A:$D,3,0)</f>
        <v>#N/A</v>
      </c>
      <c r="AQ863" s="853" t="str">
        <f>+VLOOKUP($AJ863,Data_Validation!$A:$D,4,0)</f>
        <v>#N/A</v>
      </c>
      <c r="AR863" s="853" t="s">
        <v>728</v>
      </c>
      <c r="AS863" s="853" t="str">
        <f>+VLOOKUP($AJ863,Data_Validation!$A:$E,5,0)</f>
        <v>#N/A</v>
      </c>
      <c r="AT863" s="794" t="str">
        <f t="shared" ref="AT863:AU863" si="1724">C863</f>
        <v>G806</v>
      </c>
      <c r="AU863" s="854" t="str">
        <f t="shared" si="1724"/>
        <v>REVENU FINANCE - NEUF</v>
      </c>
      <c r="AV863" s="794">
        <f t="array" ref="AV863">IFERROR(INDEX(V863:AG863,1,MATCH(Parametres!$B$3,V$1:AG$1,0)-1)*IF(OR(C863="L",C863="S",C863="I"),-1,1),"")</f>
        <v>0</v>
      </c>
      <c r="AW863" s="794">
        <f t="shared" si="6"/>
        <v>0</v>
      </c>
      <c r="AX863" s="794">
        <f t="array" ref="AX863">INDEX(V863:AG863,1,MATCH(Parametres!$B$3,V$1:AG$1,0))*IF(OR(C863="L",C863="S",C863="I"),-1,1)</f>
        <v>0</v>
      </c>
      <c r="AY863" s="853" t="s">
        <v>772</v>
      </c>
      <c r="AZ863" s="853" t="str">
        <f>+VLOOKUP($AJ863,Data_Validation!$A:$E,5,0)</f>
        <v>#N/A</v>
      </c>
    </row>
    <row r="864" ht="15.0" customHeight="1">
      <c r="A864" s="849" t="s">
        <v>1239</v>
      </c>
      <c r="B864" s="849">
        <v>2025.0</v>
      </c>
      <c r="C864" s="849" t="s">
        <v>3320</v>
      </c>
      <c r="D864" s="849" t="s">
        <v>3321</v>
      </c>
      <c r="E864" s="849" t="s">
        <v>768</v>
      </c>
      <c r="F864" s="849" t="s">
        <v>2814</v>
      </c>
      <c r="G864" s="849">
        <v>2212.44</v>
      </c>
      <c r="H864" s="849">
        <v>2462.44</v>
      </c>
      <c r="I864" s="849">
        <v>2154.53</v>
      </c>
      <c r="J864" s="849">
        <v>2375.37</v>
      </c>
      <c r="K864" s="849">
        <v>3088.92</v>
      </c>
      <c r="L864" s="849">
        <v>3577.17</v>
      </c>
      <c r="M864" s="849">
        <v>5226.93</v>
      </c>
      <c r="N864" s="849">
        <v>5332.73</v>
      </c>
      <c r="O864" s="849">
        <v>5332.73</v>
      </c>
      <c r="P864" s="849">
        <v>6414.43</v>
      </c>
      <c r="Q864" s="849">
        <v>6414.43</v>
      </c>
      <c r="R864" s="849">
        <v>7614.43</v>
      </c>
      <c r="S864" s="849">
        <v>583.13</v>
      </c>
      <c r="T864" s="849">
        <v>583.13</v>
      </c>
      <c r="U864" s="849">
        <v>0.0</v>
      </c>
      <c r="V864" s="849">
        <v>6.0</v>
      </c>
      <c r="W864" s="849">
        <v>7.0</v>
      </c>
      <c r="X864" s="849">
        <v>7.0</v>
      </c>
      <c r="Y864" s="849">
        <v>8.0</v>
      </c>
      <c r="Z864" s="849">
        <v>9.0</v>
      </c>
      <c r="AA864" s="849">
        <v>10.0</v>
      </c>
      <c r="AB864" s="849">
        <v>13.0</v>
      </c>
      <c r="AC864" s="849">
        <v>13.0</v>
      </c>
      <c r="AD864" s="849">
        <v>13.0</v>
      </c>
      <c r="AE864" s="849">
        <v>15.0</v>
      </c>
      <c r="AF864" s="849">
        <v>15.0</v>
      </c>
      <c r="AG864" s="849">
        <v>16.0</v>
      </c>
      <c r="AH864" s="849">
        <v>1.0</v>
      </c>
      <c r="AI864" s="849">
        <v>1.0</v>
      </c>
      <c r="AJ864" s="794" t="str">
        <f t="shared" ref="AJ864:AK864" si="1725">C864</f>
        <v>G80600</v>
      </c>
      <c r="AK864" s="794" t="str">
        <f t="shared" si="1725"/>
        <v>REVENUS FINANCE VEH. NEUF</v>
      </c>
      <c r="AL864" s="794">
        <f t="array" ref="AL864">IFERROR(INDEX(G864:R864,1,MATCH(Parametres!$B$3,G$1:R$1,0)-1)*IF(OR(F864="L",F864="S",F864="I"),-1,1),"")</f>
        <v>-5332.73</v>
      </c>
      <c r="AM864" s="794">
        <f t="shared" si="4"/>
        <v>0</v>
      </c>
      <c r="AN864" s="794">
        <f t="array" ref="AN864">INDEX(G864:R864,1,MATCH(Parametres!$B$3,G$1:R$1,0))*IF(OR(F864="L",F864="S",F864="I"),-1,1)</f>
        <v>-5332.73</v>
      </c>
      <c r="AO864" s="853" t="str">
        <f>+VLOOKUP($AJ864,Data_Validation!$A:$D,1,0)</f>
        <v>G80600</v>
      </c>
      <c r="AP864" s="853" t="str">
        <f>+VLOOKUP($AJ864,Data_Validation!$A:$D,3,0)</f>
        <v>Véhicules neufs</v>
      </c>
      <c r="AQ864" s="853" t="str">
        <f>+VLOOKUP($AJ864,Data_Validation!$A:$D,4,0)</f>
        <v>Rev. Finances</v>
      </c>
      <c r="AR864" s="853" t="s">
        <v>728</v>
      </c>
      <c r="AS864" s="853" t="str">
        <f>+VLOOKUP($AJ864,Data_Validation!$A:$E,5,0)</f>
        <v>Oui</v>
      </c>
      <c r="AT864" s="794" t="str">
        <f t="shared" ref="AT864:AU864" si="1726">C864</f>
        <v>G80600</v>
      </c>
      <c r="AU864" s="854" t="str">
        <f t="shared" si="1726"/>
        <v>REVENUS FINANCE VEH. NEUF</v>
      </c>
      <c r="AV864" s="794">
        <f t="array" ref="AV864">IFERROR(INDEX(V864:AG864,1,MATCH(Parametres!$B$3,V$1:AG$1,0)-1)*IF(OR(C864="L",C864="S",C864="I"),-1,1),"")</f>
        <v>13</v>
      </c>
      <c r="AW864" s="794">
        <f t="shared" si="6"/>
        <v>0</v>
      </c>
      <c r="AX864" s="794">
        <f t="array" ref="AX864">INDEX(V864:AG864,1,MATCH(Parametres!$B$3,V$1:AG$1,0))*IF(OR(C864="L",C864="S",C864="I"),-1,1)</f>
        <v>13</v>
      </c>
      <c r="AY864" s="853" t="s">
        <v>772</v>
      </c>
      <c r="AZ864" s="853" t="str">
        <f>+VLOOKUP($AJ864,Data_Validation!$A:$E,5,0)</f>
        <v>Oui</v>
      </c>
    </row>
    <row r="865" ht="15.0" customHeight="1">
      <c r="A865" s="849" t="s">
        <v>1239</v>
      </c>
      <c r="B865" s="849">
        <v>2025.0</v>
      </c>
      <c r="C865" s="849" t="s">
        <v>3322</v>
      </c>
      <c r="D865" s="849" t="s">
        <v>3323</v>
      </c>
      <c r="E865" s="849" t="s">
        <v>768</v>
      </c>
      <c r="F865" s="849" t="s">
        <v>2814</v>
      </c>
      <c r="G865" s="849">
        <v>0.0</v>
      </c>
      <c r="H865" s="849">
        <v>0.0</v>
      </c>
      <c r="I865" s="849">
        <v>0.0</v>
      </c>
      <c r="J865" s="849">
        <v>0.0</v>
      </c>
      <c r="K865" s="849">
        <v>0.0</v>
      </c>
      <c r="L865" s="849">
        <v>0.0</v>
      </c>
      <c r="M865" s="849">
        <v>0.0</v>
      </c>
      <c r="N865" s="849">
        <v>0.0</v>
      </c>
      <c r="O865" s="849">
        <v>0.0</v>
      </c>
      <c r="P865" s="849">
        <v>0.0</v>
      </c>
      <c r="Q865" s="849">
        <v>0.0</v>
      </c>
      <c r="R865" s="849">
        <v>0.0</v>
      </c>
      <c r="S865" s="849">
        <v>0.0</v>
      </c>
      <c r="T865" s="849">
        <v>0.0</v>
      </c>
      <c r="U865" s="849">
        <v>0.0</v>
      </c>
      <c r="V865" s="849">
        <v>0.0</v>
      </c>
      <c r="W865" s="849">
        <v>0.0</v>
      </c>
      <c r="X865" s="849">
        <v>0.0</v>
      </c>
      <c r="Y865" s="849">
        <v>0.0</v>
      </c>
      <c r="Z865" s="849">
        <v>0.0</v>
      </c>
      <c r="AA865" s="849">
        <v>0.0</v>
      </c>
      <c r="AB865" s="849">
        <v>0.0</v>
      </c>
      <c r="AC865" s="849">
        <v>0.0</v>
      </c>
      <c r="AD865" s="849">
        <v>0.0</v>
      </c>
      <c r="AE865" s="849">
        <v>0.0</v>
      </c>
      <c r="AF865" s="849">
        <v>0.0</v>
      </c>
      <c r="AG865" s="849">
        <v>0.0</v>
      </c>
      <c r="AH865" s="849">
        <v>0.0</v>
      </c>
      <c r="AI865" s="849">
        <v>0.0</v>
      </c>
      <c r="AJ865" s="794" t="str">
        <f t="shared" ref="AJ865:AK865" si="1727">C865</f>
        <v>G807</v>
      </c>
      <c r="AK865" s="794" t="str">
        <f t="shared" si="1727"/>
        <v>COMM/ASSURANCE - NEUF</v>
      </c>
      <c r="AL865" s="794">
        <f t="array" ref="AL865">IFERROR(INDEX(G865:R865,1,MATCH(Parametres!$B$3,G$1:R$1,0)-1)*IF(OR(F865="L",F865="S",F865="I"),-1,1),"")</f>
        <v>0</v>
      </c>
      <c r="AM865" s="794">
        <f t="shared" si="4"/>
        <v>0</v>
      </c>
      <c r="AN865" s="794">
        <f t="array" ref="AN865">INDEX(G865:R865,1,MATCH(Parametres!$B$3,G$1:R$1,0))*IF(OR(F865="L",F865="S",F865="I"),-1,1)</f>
        <v>0</v>
      </c>
      <c r="AO865" s="853" t="str">
        <f>+VLOOKUP($AJ865,Data_Validation!$A:$D,1,0)</f>
        <v>#N/A</v>
      </c>
      <c r="AP865" s="853" t="str">
        <f>+VLOOKUP($AJ865,Data_Validation!$A:$D,3,0)</f>
        <v>#N/A</v>
      </c>
      <c r="AQ865" s="853" t="str">
        <f>+VLOOKUP($AJ865,Data_Validation!$A:$D,4,0)</f>
        <v>#N/A</v>
      </c>
      <c r="AR865" s="853" t="s">
        <v>728</v>
      </c>
      <c r="AS865" s="853" t="str">
        <f>+VLOOKUP($AJ865,Data_Validation!$A:$E,5,0)</f>
        <v>#N/A</v>
      </c>
      <c r="AT865" s="794" t="str">
        <f t="shared" ref="AT865:AU865" si="1728">C865</f>
        <v>G807</v>
      </c>
      <c r="AU865" s="854" t="str">
        <f t="shared" si="1728"/>
        <v>COMM/ASSURANCE - NEUF</v>
      </c>
      <c r="AV865" s="794">
        <f t="array" ref="AV865">IFERROR(INDEX(V865:AG865,1,MATCH(Parametres!$B$3,V$1:AG$1,0)-1)*IF(OR(C865="L",C865="S",C865="I"),-1,1),"")</f>
        <v>0</v>
      </c>
      <c r="AW865" s="794">
        <f t="shared" si="6"/>
        <v>0</v>
      </c>
      <c r="AX865" s="794">
        <f t="array" ref="AX865">INDEX(V865:AG865,1,MATCH(Parametres!$B$3,V$1:AG$1,0))*IF(OR(C865="L",C865="S",C865="I"),-1,1)</f>
        <v>0</v>
      </c>
      <c r="AY865" s="853" t="s">
        <v>772</v>
      </c>
      <c r="AZ865" s="853" t="str">
        <f>+VLOOKUP($AJ865,Data_Validation!$A:$E,5,0)</f>
        <v>#N/A</v>
      </c>
    </row>
    <row r="866" ht="15.0" customHeight="1">
      <c r="A866" s="849" t="s">
        <v>1239</v>
      </c>
      <c r="B866" s="849">
        <v>2025.0</v>
      </c>
      <c r="C866" s="849" t="s">
        <v>3324</v>
      </c>
      <c r="D866" s="849" t="s">
        <v>3325</v>
      </c>
      <c r="E866" s="849" t="s">
        <v>768</v>
      </c>
      <c r="F866" s="849" t="s">
        <v>2814</v>
      </c>
      <c r="G866" s="849">
        <v>2951.91</v>
      </c>
      <c r="H866" s="849">
        <v>7601.83</v>
      </c>
      <c r="I866" s="849">
        <v>8686.13</v>
      </c>
      <c r="J866" s="849">
        <v>11788.37</v>
      </c>
      <c r="K866" s="849">
        <v>15831.85</v>
      </c>
      <c r="L866" s="849">
        <v>18732.04</v>
      </c>
      <c r="M866" s="849">
        <v>31739.26</v>
      </c>
      <c r="N866" s="849">
        <v>42511.77</v>
      </c>
      <c r="O866" s="849">
        <v>45560.79</v>
      </c>
      <c r="P866" s="849">
        <v>53571.88</v>
      </c>
      <c r="Q866" s="849">
        <v>56614.78</v>
      </c>
      <c r="R866" s="849">
        <v>62748.71</v>
      </c>
      <c r="S866" s="849">
        <v>5146.8</v>
      </c>
      <c r="T866" s="849">
        <v>5146.8</v>
      </c>
      <c r="U866" s="849">
        <v>0.0</v>
      </c>
      <c r="V866" s="849">
        <v>0.0</v>
      </c>
      <c r="W866" s="849">
        <v>-1.0</v>
      </c>
      <c r="X866" s="849">
        <v>-1.0</v>
      </c>
      <c r="Y866" s="849">
        <v>-1.0</v>
      </c>
      <c r="Z866" s="849">
        <v>-1.0</v>
      </c>
      <c r="AA866" s="849">
        <v>-1.0</v>
      </c>
      <c r="AB866" s="849">
        <v>-1.0</v>
      </c>
      <c r="AC866" s="849">
        <v>-1.0</v>
      </c>
      <c r="AD866" s="849">
        <v>-1.0</v>
      </c>
      <c r="AE866" s="849">
        <v>-1.0</v>
      </c>
      <c r="AF866" s="849">
        <v>-1.0</v>
      </c>
      <c r="AG866" s="849">
        <v>-1.0</v>
      </c>
      <c r="AH866" s="849">
        <v>0.0</v>
      </c>
      <c r="AI866" s="849">
        <v>0.0</v>
      </c>
      <c r="AJ866" s="794" t="str">
        <f t="shared" ref="AJ866:AK866" si="1729">C866</f>
        <v>G80700</v>
      </c>
      <c r="AK866" s="794" t="str">
        <f t="shared" si="1729"/>
        <v>REV. ASS-VIE INVAL. NEUF</v>
      </c>
      <c r="AL866" s="794">
        <f t="array" ref="AL866">IFERROR(INDEX(G866:R866,1,MATCH(Parametres!$B$3,G$1:R$1,0)-1)*IF(OR(F866="L",F866="S",F866="I"),-1,1),"")</f>
        <v>-42511.77</v>
      </c>
      <c r="AM866" s="794">
        <f t="shared" si="4"/>
        <v>-3049.02</v>
      </c>
      <c r="AN866" s="794">
        <f t="array" ref="AN866">INDEX(G866:R866,1,MATCH(Parametres!$B$3,G$1:R$1,0))*IF(OR(F866="L",F866="S",F866="I"),-1,1)</f>
        <v>-45560.79</v>
      </c>
      <c r="AO866" s="853" t="str">
        <f>+VLOOKUP($AJ866,Data_Validation!$A:$D,1,0)</f>
        <v>G80700</v>
      </c>
      <c r="AP866" s="853" t="str">
        <f>+VLOOKUP($AJ866,Data_Validation!$A:$D,3,0)</f>
        <v>Véhicules neufs</v>
      </c>
      <c r="AQ866" s="853" t="str">
        <f>+VLOOKUP($AJ866,Data_Validation!$A:$D,4,0)</f>
        <v>Rev. Protections</v>
      </c>
      <c r="AR866" s="853" t="s">
        <v>728</v>
      </c>
      <c r="AS866" s="853" t="str">
        <f>+VLOOKUP($AJ866,Data_Validation!$A:$E,5,0)</f>
        <v>Oui</v>
      </c>
      <c r="AT866" s="794" t="str">
        <f t="shared" ref="AT866:AU866" si="1730">C866</f>
        <v>G80700</v>
      </c>
      <c r="AU866" s="854" t="str">
        <f t="shared" si="1730"/>
        <v>REV. ASS-VIE INVAL. NEUF</v>
      </c>
      <c r="AV866" s="794">
        <f t="array" ref="AV866">IFERROR(INDEX(V866:AG866,1,MATCH(Parametres!$B$3,V$1:AG$1,0)-1)*IF(OR(C866="L",C866="S",C866="I"),-1,1),"")</f>
        <v>-1</v>
      </c>
      <c r="AW866" s="794">
        <f t="shared" si="6"/>
        <v>0</v>
      </c>
      <c r="AX866" s="794">
        <f t="array" ref="AX866">INDEX(V866:AG866,1,MATCH(Parametres!$B$3,V$1:AG$1,0))*IF(OR(C866="L",C866="S",C866="I"),-1,1)</f>
        <v>-1</v>
      </c>
      <c r="AY866" s="853" t="s">
        <v>772</v>
      </c>
      <c r="AZ866" s="853" t="str">
        <f>+VLOOKUP($AJ866,Data_Validation!$A:$E,5,0)</f>
        <v>Oui</v>
      </c>
    </row>
    <row r="867" ht="15.0" customHeight="1">
      <c r="A867" s="849" t="s">
        <v>1239</v>
      </c>
      <c r="B867" s="849">
        <v>2025.0</v>
      </c>
      <c r="C867" s="849" t="s">
        <v>3326</v>
      </c>
      <c r="D867" s="849" t="s">
        <v>3327</v>
      </c>
      <c r="E867" s="849" t="s">
        <v>768</v>
      </c>
      <c r="F867" s="849" t="s">
        <v>2814</v>
      </c>
      <c r="G867" s="849">
        <v>0.0</v>
      </c>
      <c r="H867" s="849">
        <v>0.0</v>
      </c>
      <c r="I867" s="849">
        <v>0.0</v>
      </c>
      <c r="J867" s="849">
        <v>0.0</v>
      </c>
      <c r="K867" s="849">
        <v>0.0</v>
      </c>
      <c r="L867" s="849">
        <v>0.0</v>
      </c>
      <c r="M867" s="849">
        <v>0.0</v>
      </c>
      <c r="N867" s="849">
        <v>0.0</v>
      </c>
      <c r="O867" s="849">
        <v>0.0</v>
      </c>
      <c r="P867" s="849">
        <v>0.0</v>
      </c>
      <c r="Q867" s="849">
        <v>0.0</v>
      </c>
      <c r="R867" s="849">
        <v>0.0</v>
      </c>
      <c r="S867" s="849">
        <v>0.0</v>
      </c>
      <c r="T867" s="849">
        <v>0.0</v>
      </c>
      <c r="U867" s="849">
        <v>0.0</v>
      </c>
      <c r="V867" s="849">
        <v>0.0</v>
      </c>
      <c r="W867" s="849">
        <v>0.0</v>
      </c>
      <c r="X867" s="849">
        <v>0.0</v>
      </c>
      <c r="Y867" s="849">
        <v>0.0</v>
      </c>
      <c r="Z867" s="849">
        <v>0.0</v>
      </c>
      <c r="AA867" s="849">
        <v>0.0</v>
      </c>
      <c r="AB867" s="849">
        <v>0.0</v>
      </c>
      <c r="AC867" s="849">
        <v>0.0</v>
      </c>
      <c r="AD867" s="849">
        <v>0.0</v>
      </c>
      <c r="AE867" s="849">
        <v>0.0</v>
      </c>
      <c r="AF867" s="849">
        <v>0.0</v>
      </c>
      <c r="AG867" s="849">
        <v>0.0</v>
      </c>
      <c r="AH867" s="849">
        <v>0.0</v>
      </c>
      <c r="AI867" s="849">
        <v>0.0</v>
      </c>
      <c r="AJ867" s="794" t="str">
        <f t="shared" ref="AJ867:AK867" si="1731">C867</f>
        <v>G808</v>
      </c>
      <c r="AK867" s="794" t="str">
        <f t="shared" si="1731"/>
        <v>REVENU FINANCEMENT USAGES</v>
      </c>
      <c r="AL867" s="794">
        <f t="array" ref="AL867">IFERROR(INDEX(G867:R867,1,MATCH(Parametres!$B$3,G$1:R$1,0)-1)*IF(OR(F867="L",F867="S",F867="I"),-1,1),"")</f>
        <v>0</v>
      </c>
      <c r="AM867" s="794">
        <f t="shared" si="4"/>
        <v>0</v>
      </c>
      <c r="AN867" s="794">
        <f t="array" ref="AN867">INDEX(G867:R867,1,MATCH(Parametres!$B$3,G$1:R$1,0))*IF(OR(F867="L",F867="S",F867="I"),-1,1)</f>
        <v>0</v>
      </c>
      <c r="AO867" s="853" t="str">
        <f>+VLOOKUP($AJ867,Data_Validation!$A:$D,1,0)</f>
        <v>#N/A</v>
      </c>
      <c r="AP867" s="853" t="str">
        <f>+VLOOKUP($AJ867,Data_Validation!$A:$D,3,0)</f>
        <v>#N/A</v>
      </c>
      <c r="AQ867" s="853" t="str">
        <f>+VLOOKUP($AJ867,Data_Validation!$A:$D,4,0)</f>
        <v>#N/A</v>
      </c>
      <c r="AR867" s="853" t="s">
        <v>728</v>
      </c>
      <c r="AS867" s="853" t="str">
        <f>+VLOOKUP($AJ867,Data_Validation!$A:$E,5,0)</f>
        <v>#N/A</v>
      </c>
      <c r="AT867" s="794" t="str">
        <f t="shared" ref="AT867:AU867" si="1732">C867</f>
        <v>G808</v>
      </c>
      <c r="AU867" s="854" t="str">
        <f t="shared" si="1732"/>
        <v>REVENU FINANCEMENT USAGES</v>
      </c>
      <c r="AV867" s="794">
        <f t="array" ref="AV867">IFERROR(INDEX(V867:AG867,1,MATCH(Parametres!$B$3,V$1:AG$1,0)-1)*IF(OR(C867="L",C867="S",C867="I"),-1,1),"")</f>
        <v>0</v>
      </c>
      <c r="AW867" s="794">
        <f t="shared" si="6"/>
        <v>0</v>
      </c>
      <c r="AX867" s="794">
        <f t="array" ref="AX867">INDEX(V867:AG867,1,MATCH(Parametres!$B$3,V$1:AG$1,0))*IF(OR(C867="L",C867="S",C867="I"),-1,1)</f>
        <v>0</v>
      </c>
      <c r="AY867" s="853" t="s">
        <v>772</v>
      </c>
      <c r="AZ867" s="853" t="str">
        <f>+VLOOKUP($AJ867,Data_Validation!$A:$E,5,0)</f>
        <v>#N/A</v>
      </c>
    </row>
    <row r="868" ht="15.0" customHeight="1">
      <c r="A868" s="849" t="s">
        <v>1239</v>
      </c>
      <c r="B868" s="849">
        <v>2025.0</v>
      </c>
      <c r="C868" s="849" t="s">
        <v>3328</v>
      </c>
      <c r="D868" s="849" t="s">
        <v>3329</v>
      </c>
      <c r="E868" s="849" t="s">
        <v>768</v>
      </c>
      <c r="F868" s="849" t="s">
        <v>2814</v>
      </c>
      <c r="G868" s="849">
        <v>840.52</v>
      </c>
      <c r="H868" s="849">
        <v>3035.78</v>
      </c>
      <c r="I868" s="849">
        <v>2850.48</v>
      </c>
      <c r="J868" s="849">
        <v>3938.48</v>
      </c>
      <c r="K868" s="849">
        <v>7440.39</v>
      </c>
      <c r="L868" s="849">
        <v>11500.87</v>
      </c>
      <c r="M868" s="849">
        <v>17374.86</v>
      </c>
      <c r="N868" s="849">
        <v>24704.34</v>
      </c>
      <c r="O868" s="849">
        <v>29346.73</v>
      </c>
      <c r="P868" s="849">
        <v>34264.61</v>
      </c>
      <c r="Q868" s="849">
        <v>34264.61</v>
      </c>
      <c r="R868" s="849">
        <v>36446.72</v>
      </c>
      <c r="S868" s="849">
        <v>3114.96</v>
      </c>
      <c r="T868" s="849">
        <v>3114.96</v>
      </c>
      <c r="U868" s="849">
        <v>0.0</v>
      </c>
      <c r="V868" s="849">
        <v>1.0</v>
      </c>
      <c r="W868" s="849">
        <v>2.0</v>
      </c>
      <c r="X868" s="849">
        <v>5.0</v>
      </c>
      <c r="Y868" s="849">
        <v>6.0</v>
      </c>
      <c r="Z868" s="849">
        <v>12.0</v>
      </c>
      <c r="AA868" s="849">
        <v>14.0</v>
      </c>
      <c r="AB868" s="849">
        <v>20.0</v>
      </c>
      <c r="AC868" s="849">
        <v>30.0</v>
      </c>
      <c r="AD868" s="849">
        <v>34.0</v>
      </c>
      <c r="AE868" s="849">
        <v>39.0</v>
      </c>
      <c r="AF868" s="849">
        <v>39.0</v>
      </c>
      <c r="AG868" s="849">
        <v>42.0</v>
      </c>
      <c r="AH868" s="849">
        <v>4.0</v>
      </c>
      <c r="AI868" s="849">
        <v>4.0</v>
      </c>
      <c r="AJ868" s="794" t="str">
        <f t="shared" ref="AJ868:AK868" si="1733">C868</f>
        <v>G80800</v>
      </c>
      <c r="AK868" s="794" t="str">
        <f t="shared" si="1733"/>
        <v>REVENUS FINANCE VEH.USAGE</v>
      </c>
      <c r="AL868" s="794">
        <f t="array" ref="AL868">IFERROR(INDEX(G868:R868,1,MATCH(Parametres!$B$3,G$1:R$1,0)-1)*IF(OR(F868="L",F868="S",F868="I"),-1,1),"")</f>
        <v>-24704.34</v>
      </c>
      <c r="AM868" s="794">
        <f t="shared" si="4"/>
        <v>-4642.39</v>
      </c>
      <c r="AN868" s="794">
        <f t="array" ref="AN868">INDEX(G868:R868,1,MATCH(Parametres!$B$3,G$1:R$1,0))*IF(OR(F868="L",F868="S",F868="I"),-1,1)</f>
        <v>-29346.73</v>
      </c>
      <c r="AO868" s="853" t="str">
        <f>+VLOOKUP($AJ868,Data_Validation!$A:$D,1,0)</f>
        <v>G80800</v>
      </c>
      <c r="AP868" s="853" t="str">
        <f>+VLOOKUP($AJ868,Data_Validation!$A:$D,3,0)</f>
        <v>Véhicules usagés</v>
      </c>
      <c r="AQ868" s="853" t="str">
        <f>+VLOOKUP($AJ868,Data_Validation!$A:$D,4,0)</f>
        <v>Rev. Finances</v>
      </c>
      <c r="AR868" s="853" t="s">
        <v>728</v>
      </c>
      <c r="AS868" s="853" t="str">
        <f>+VLOOKUP($AJ868,Data_Validation!$A:$E,5,0)</f>
        <v>Oui</v>
      </c>
      <c r="AT868" s="794" t="str">
        <f t="shared" ref="AT868:AU868" si="1734">C868</f>
        <v>G80800</v>
      </c>
      <c r="AU868" s="854" t="str">
        <f t="shared" si="1734"/>
        <v>REVENUS FINANCE VEH.USAGE</v>
      </c>
      <c r="AV868" s="794">
        <f t="array" ref="AV868">IFERROR(INDEX(V868:AG868,1,MATCH(Parametres!$B$3,V$1:AG$1,0)-1)*IF(OR(C868="L",C868="S",C868="I"),-1,1),"")</f>
        <v>30</v>
      </c>
      <c r="AW868" s="794">
        <f t="shared" si="6"/>
        <v>4</v>
      </c>
      <c r="AX868" s="794">
        <f t="array" ref="AX868">INDEX(V868:AG868,1,MATCH(Parametres!$B$3,V$1:AG$1,0))*IF(OR(C868="L",C868="S",C868="I"),-1,1)</f>
        <v>34</v>
      </c>
      <c r="AY868" s="853" t="s">
        <v>772</v>
      </c>
      <c r="AZ868" s="853" t="str">
        <f>+VLOOKUP($AJ868,Data_Validation!$A:$E,5,0)</f>
        <v>Oui</v>
      </c>
    </row>
    <row r="869" ht="15.0" customHeight="1">
      <c r="A869" s="849" t="s">
        <v>1239</v>
      </c>
      <c r="B869" s="849">
        <v>2025.0</v>
      </c>
      <c r="C869" s="849" t="s">
        <v>3330</v>
      </c>
      <c r="D869" s="849" t="s">
        <v>3331</v>
      </c>
      <c r="E869" s="849" t="s">
        <v>768</v>
      </c>
      <c r="F869" s="849" t="s">
        <v>2814</v>
      </c>
      <c r="G869" s="849">
        <v>0.0</v>
      </c>
      <c r="H869" s="849">
        <v>0.0</v>
      </c>
      <c r="I869" s="849">
        <v>0.0</v>
      </c>
      <c r="J869" s="849">
        <v>0.0</v>
      </c>
      <c r="K869" s="849">
        <v>0.0</v>
      </c>
      <c r="L869" s="849">
        <v>0.0</v>
      </c>
      <c r="M869" s="849">
        <v>0.0</v>
      </c>
      <c r="N869" s="849">
        <v>0.0</v>
      </c>
      <c r="O869" s="849">
        <v>0.0</v>
      </c>
      <c r="P869" s="849">
        <v>0.0</v>
      </c>
      <c r="Q869" s="849">
        <v>0.0</v>
      </c>
      <c r="R869" s="849">
        <v>0.0</v>
      </c>
      <c r="S869" s="849">
        <v>0.0</v>
      </c>
      <c r="T869" s="849">
        <v>0.0</v>
      </c>
      <c r="U869" s="849">
        <v>0.0</v>
      </c>
      <c r="V869" s="849">
        <v>0.0</v>
      </c>
      <c r="W869" s="849">
        <v>0.0</v>
      </c>
      <c r="X869" s="849">
        <v>0.0</v>
      </c>
      <c r="Y869" s="849">
        <v>0.0</v>
      </c>
      <c r="Z869" s="849">
        <v>0.0</v>
      </c>
      <c r="AA869" s="849">
        <v>0.0</v>
      </c>
      <c r="AB869" s="849">
        <v>0.0</v>
      </c>
      <c r="AC869" s="849">
        <v>0.0</v>
      </c>
      <c r="AD869" s="849">
        <v>0.0</v>
      </c>
      <c r="AE869" s="849">
        <v>0.0</v>
      </c>
      <c r="AF869" s="849">
        <v>0.0</v>
      </c>
      <c r="AG869" s="849">
        <v>0.0</v>
      </c>
      <c r="AH869" s="849">
        <v>0.0</v>
      </c>
      <c r="AI869" s="849">
        <v>0.0</v>
      </c>
      <c r="AJ869" s="794" t="str">
        <f t="shared" ref="AJ869:AK869" si="1735">C869</f>
        <v>G809</v>
      </c>
      <c r="AK869" s="794" t="str">
        <f t="shared" si="1735"/>
        <v>COMM/ASSURANCE USAGES</v>
      </c>
      <c r="AL869" s="794">
        <f t="array" ref="AL869">IFERROR(INDEX(G869:R869,1,MATCH(Parametres!$B$3,G$1:R$1,0)-1)*IF(OR(F869="L",F869="S",F869="I"),-1,1),"")</f>
        <v>0</v>
      </c>
      <c r="AM869" s="794">
        <f t="shared" si="4"/>
        <v>0</v>
      </c>
      <c r="AN869" s="794">
        <f t="array" ref="AN869">INDEX(G869:R869,1,MATCH(Parametres!$B$3,G$1:R$1,0))*IF(OR(F869="L",F869="S",F869="I"),-1,1)</f>
        <v>0</v>
      </c>
      <c r="AO869" s="853" t="str">
        <f>+VLOOKUP($AJ869,Data_Validation!$A:$D,1,0)</f>
        <v>#N/A</v>
      </c>
      <c r="AP869" s="853" t="str">
        <f>+VLOOKUP($AJ869,Data_Validation!$A:$D,3,0)</f>
        <v>#N/A</v>
      </c>
      <c r="AQ869" s="853" t="str">
        <f>+VLOOKUP($AJ869,Data_Validation!$A:$D,4,0)</f>
        <v>#N/A</v>
      </c>
      <c r="AR869" s="853" t="s">
        <v>728</v>
      </c>
      <c r="AS869" s="853" t="str">
        <f>+VLOOKUP($AJ869,Data_Validation!$A:$E,5,0)</f>
        <v>#N/A</v>
      </c>
      <c r="AT869" s="794" t="str">
        <f t="shared" ref="AT869:AU869" si="1736">C869</f>
        <v>G809</v>
      </c>
      <c r="AU869" s="854" t="str">
        <f t="shared" si="1736"/>
        <v>COMM/ASSURANCE USAGES</v>
      </c>
      <c r="AV869" s="794">
        <f t="array" ref="AV869">IFERROR(INDEX(V869:AG869,1,MATCH(Parametres!$B$3,V$1:AG$1,0)-1)*IF(OR(C869="L",C869="S",C869="I"),-1,1),"")</f>
        <v>0</v>
      </c>
      <c r="AW869" s="794">
        <f t="shared" si="6"/>
        <v>0</v>
      </c>
      <c r="AX869" s="794">
        <f t="array" ref="AX869">INDEX(V869:AG869,1,MATCH(Parametres!$B$3,V$1:AG$1,0))*IF(OR(C869="L",C869="S",C869="I"),-1,1)</f>
        <v>0</v>
      </c>
      <c r="AY869" s="853" t="s">
        <v>772</v>
      </c>
      <c r="AZ869" s="853" t="str">
        <f>+VLOOKUP($AJ869,Data_Validation!$A:$E,5,0)</f>
        <v>#N/A</v>
      </c>
    </row>
    <row r="870" ht="15.0" customHeight="1">
      <c r="A870" s="849" t="s">
        <v>1239</v>
      </c>
      <c r="B870" s="849">
        <v>2025.0</v>
      </c>
      <c r="C870" s="849" t="s">
        <v>3332</v>
      </c>
      <c r="D870" s="849" t="s">
        <v>3333</v>
      </c>
      <c r="E870" s="849" t="s">
        <v>768</v>
      </c>
      <c r="F870" s="849" t="s">
        <v>2814</v>
      </c>
      <c r="G870" s="849">
        <v>0.0</v>
      </c>
      <c r="H870" s="849">
        <v>0.0</v>
      </c>
      <c r="I870" s="849">
        <v>762.02</v>
      </c>
      <c r="J870" s="849">
        <v>762.02</v>
      </c>
      <c r="K870" s="849">
        <v>762.02</v>
      </c>
      <c r="L870" s="849">
        <v>762.02</v>
      </c>
      <c r="M870" s="849">
        <v>762.02</v>
      </c>
      <c r="N870" s="849">
        <v>1153.73</v>
      </c>
      <c r="O870" s="849">
        <v>1153.73</v>
      </c>
      <c r="P870" s="849">
        <v>2378.46</v>
      </c>
      <c r="Q870" s="849">
        <v>2378.46</v>
      </c>
      <c r="R870" s="849">
        <v>3688.8</v>
      </c>
      <c r="S870" s="849">
        <v>216.22</v>
      </c>
      <c r="T870" s="849">
        <v>216.22</v>
      </c>
      <c r="U870" s="849">
        <v>0.0</v>
      </c>
      <c r="V870" s="849">
        <v>0.0</v>
      </c>
      <c r="W870" s="849">
        <v>0.0</v>
      </c>
      <c r="X870" s="849">
        <v>0.0</v>
      </c>
      <c r="Y870" s="849">
        <v>0.0</v>
      </c>
      <c r="Z870" s="849">
        <v>0.0</v>
      </c>
      <c r="AA870" s="849">
        <v>0.0</v>
      </c>
      <c r="AB870" s="849">
        <v>0.0</v>
      </c>
      <c r="AC870" s="849">
        <v>0.0</v>
      </c>
      <c r="AD870" s="849">
        <v>0.0</v>
      </c>
      <c r="AE870" s="849">
        <v>0.0</v>
      </c>
      <c r="AF870" s="849">
        <v>0.0</v>
      </c>
      <c r="AG870" s="849">
        <v>0.0</v>
      </c>
      <c r="AH870" s="849">
        <v>0.0</v>
      </c>
      <c r="AI870" s="849">
        <v>0.0</v>
      </c>
      <c r="AJ870" s="794" t="str">
        <f t="shared" ref="AJ870:AK870" si="1737">C870</f>
        <v>G80900</v>
      </c>
      <c r="AK870" s="794" t="str">
        <f t="shared" si="1737"/>
        <v>REV. ASS-VIE INVAL. USAGE</v>
      </c>
      <c r="AL870" s="794">
        <f t="array" ref="AL870">IFERROR(INDEX(G870:R870,1,MATCH(Parametres!$B$3,G$1:R$1,0)-1)*IF(OR(F870="L",F870="S",F870="I"),-1,1),"")</f>
        <v>-1153.73</v>
      </c>
      <c r="AM870" s="794">
        <f t="shared" si="4"/>
        <v>0</v>
      </c>
      <c r="AN870" s="794">
        <f t="array" ref="AN870">INDEX(G870:R870,1,MATCH(Parametres!$B$3,G$1:R$1,0))*IF(OR(F870="L",F870="S",F870="I"),-1,1)</f>
        <v>-1153.73</v>
      </c>
      <c r="AO870" s="853" t="str">
        <f>+VLOOKUP($AJ870,Data_Validation!$A:$D,1,0)</f>
        <v>G80900</v>
      </c>
      <c r="AP870" s="853" t="str">
        <f>+VLOOKUP($AJ870,Data_Validation!$A:$D,3,0)</f>
        <v>Véhicules usagés</v>
      </c>
      <c r="AQ870" s="853" t="str">
        <f>+VLOOKUP($AJ870,Data_Validation!$A:$D,4,0)</f>
        <v>Rev. Protections</v>
      </c>
      <c r="AR870" s="853" t="s">
        <v>728</v>
      </c>
      <c r="AS870" s="853" t="str">
        <f>+VLOOKUP($AJ870,Data_Validation!$A:$E,5,0)</f>
        <v>Oui</v>
      </c>
      <c r="AT870" s="794" t="str">
        <f t="shared" ref="AT870:AU870" si="1738">C870</f>
        <v>G80900</v>
      </c>
      <c r="AU870" s="854" t="str">
        <f t="shared" si="1738"/>
        <v>REV. ASS-VIE INVAL. USAGE</v>
      </c>
      <c r="AV870" s="794">
        <f t="array" ref="AV870">IFERROR(INDEX(V870:AG870,1,MATCH(Parametres!$B$3,V$1:AG$1,0)-1)*IF(OR(C870="L",C870="S",C870="I"),-1,1),"")</f>
        <v>0</v>
      </c>
      <c r="AW870" s="794">
        <f t="shared" si="6"/>
        <v>0</v>
      </c>
      <c r="AX870" s="794">
        <f t="array" ref="AX870">INDEX(V870:AG870,1,MATCH(Parametres!$B$3,V$1:AG$1,0))*IF(OR(C870="L",C870="S",C870="I"),-1,1)</f>
        <v>0</v>
      </c>
      <c r="AY870" s="853" t="s">
        <v>772</v>
      </c>
      <c r="AZ870" s="853" t="str">
        <f>+VLOOKUP($AJ870,Data_Validation!$A:$E,5,0)</f>
        <v>Oui</v>
      </c>
    </row>
    <row r="871" ht="15.0" customHeight="1">
      <c r="A871" s="849" t="s">
        <v>1239</v>
      </c>
      <c r="B871" s="849">
        <v>2025.0</v>
      </c>
      <c r="C871" s="849" t="s">
        <v>3334</v>
      </c>
      <c r="D871" s="849" t="s">
        <v>3335</v>
      </c>
      <c r="E871" s="849" t="s">
        <v>768</v>
      </c>
      <c r="F871" s="849" t="s">
        <v>2426</v>
      </c>
      <c r="G871" s="849">
        <v>0.0</v>
      </c>
      <c r="H871" s="849">
        <v>0.0</v>
      </c>
      <c r="I871" s="849">
        <v>0.0</v>
      </c>
      <c r="J871" s="849">
        <v>0.0</v>
      </c>
      <c r="K871" s="849">
        <v>0.0</v>
      </c>
      <c r="L871" s="849">
        <v>0.0</v>
      </c>
      <c r="M871" s="849">
        <v>0.0</v>
      </c>
      <c r="N871" s="849">
        <v>0.0</v>
      </c>
      <c r="O871" s="849">
        <v>0.0</v>
      </c>
      <c r="P871" s="849">
        <v>0.0</v>
      </c>
      <c r="Q871" s="849">
        <v>0.0</v>
      </c>
      <c r="R871" s="849">
        <v>0.0</v>
      </c>
      <c r="S871" s="849">
        <v>0.0</v>
      </c>
      <c r="T871" s="849">
        <v>0.0</v>
      </c>
      <c r="U871" s="849">
        <v>0.0</v>
      </c>
      <c r="V871" s="849">
        <v>0.0</v>
      </c>
      <c r="W871" s="849">
        <v>0.0</v>
      </c>
      <c r="X871" s="849">
        <v>0.0</v>
      </c>
      <c r="Y871" s="849">
        <v>0.0</v>
      </c>
      <c r="Z871" s="849">
        <v>0.0</v>
      </c>
      <c r="AA871" s="849">
        <v>0.0</v>
      </c>
      <c r="AB871" s="849">
        <v>0.0</v>
      </c>
      <c r="AC871" s="849">
        <v>0.0</v>
      </c>
      <c r="AD871" s="849">
        <v>0.0</v>
      </c>
      <c r="AE871" s="849">
        <v>0.0</v>
      </c>
      <c r="AF871" s="849">
        <v>0.0</v>
      </c>
      <c r="AG871" s="849">
        <v>0.0</v>
      </c>
      <c r="AH871" s="849">
        <v>0.0</v>
      </c>
      <c r="AI871" s="849">
        <v>0.0</v>
      </c>
      <c r="AJ871" s="794" t="str">
        <f t="shared" ref="AJ871:AK871" si="1739">C871</f>
        <v>G810</v>
      </c>
      <c r="AK871" s="794" t="str">
        <f t="shared" si="1739"/>
        <v>VTES-ACCESSOIRES NEUF</v>
      </c>
      <c r="AL871" s="794">
        <f t="array" ref="AL871">IFERROR(INDEX(G871:R871,1,MATCH(Parametres!$B$3,G$1:R$1,0)-1)*IF(OR(F871="L",F871="S",F871="I"),-1,1),"")</f>
        <v>0</v>
      </c>
      <c r="AM871" s="794">
        <f t="shared" si="4"/>
        <v>0</v>
      </c>
      <c r="AN871" s="794">
        <f t="array" ref="AN871">INDEX(G871:R871,1,MATCH(Parametres!$B$3,G$1:R$1,0))*IF(OR(F871="L",F871="S",F871="I"),-1,1)</f>
        <v>0</v>
      </c>
      <c r="AO871" s="853" t="str">
        <f>+VLOOKUP($AJ871,Data_Validation!$A:$D,1,0)</f>
        <v>#N/A</v>
      </c>
      <c r="AP871" s="853" t="str">
        <f>+VLOOKUP($AJ871,Data_Validation!$A:$D,3,0)</f>
        <v>#N/A</v>
      </c>
      <c r="AQ871" s="853" t="str">
        <f>+VLOOKUP($AJ871,Data_Validation!$A:$D,4,0)</f>
        <v>#N/A</v>
      </c>
      <c r="AR871" s="853" t="s">
        <v>728</v>
      </c>
      <c r="AS871" s="853" t="str">
        <f>+VLOOKUP($AJ871,Data_Validation!$A:$E,5,0)</f>
        <v>#N/A</v>
      </c>
      <c r="AT871" s="794" t="str">
        <f t="shared" ref="AT871:AU871" si="1740">C871</f>
        <v>G810</v>
      </c>
      <c r="AU871" s="854" t="str">
        <f t="shared" si="1740"/>
        <v>VTES-ACCESSOIRES NEUF</v>
      </c>
      <c r="AV871" s="794">
        <f t="array" ref="AV871">IFERROR(INDEX(V871:AG871,1,MATCH(Parametres!$B$3,V$1:AG$1,0)-1)*IF(OR(C871="L",C871="S",C871="I"),-1,1),"")</f>
        <v>0</v>
      </c>
      <c r="AW871" s="794">
        <f t="shared" si="6"/>
        <v>0</v>
      </c>
      <c r="AX871" s="794">
        <f t="array" ref="AX871">INDEX(V871:AG871,1,MATCH(Parametres!$B$3,V$1:AG$1,0))*IF(OR(C871="L",C871="S",C871="I"),-1,1)</f>
        <v>0</v>
      </c>
      <c r="AY871" s="853" t="s">
        <v>772</v>
      </c>
      <c r="AZ871" s="853" t="str">
        <f>+VLOOKUP($AJ871,Data_Validation!$A:$E,5,0)</f>
        <v>#N/A</v>
      </c>
    </row>
    <row r="872" ht="15.0" customHeight="1">
      <c r="A872" s="849" t="s">
        <v>1239</v>
      </c>
      <c r="B872" s="849">
        <v>2025.0</v>
      </c>
      <c r="C872" s="849" t="s">
        <v>3336</v>
      </c>
      <c r="D872" s="849" t="s">
        <v>3337</v>
      </c>
      <c r="E872" s="849" t="s">
        <v>768</v>
      </c>
      <c r="F872" s="849" t="s">
        <v>2855</v>
      </c>
      <c r="G872" s="849">
        <v>0.0</v>
      </c>
      <c r="H872" s="849">
        <v>0.0</v>
      </c>
      <c r="I872" s="849">
        <v>0.0</v>
      </c>
      <c r="J872" s="849">
        <v>0.0</v>
      </c>
      <c r="K872" s="849">
        <v>0.0</v>
      </c>
      <c r="L872" s="849">
        <v>0.0</v>
      </c>
      <c r="M872" s="849">
        <v>0.0</v>
      </c>
      <c r="N872" s="849">
        <v>0.0</v>
      </c>
      <c r="O872" s="849">
        <v>0.0</v>
      </c>
      <c r="P872" s="849">
        <v>0.0</v>
      </c>
      <c r="Q872" s="849">
        <v>0.0</v>
      </c>
      <c r="R872" s="849">
        <v>0.0</v>
      </c>
      <c r="S872" s="849">
        <v>0.0</v>
      </c>
      <c r="T872" s="849">
        <v>0.0</v>
      </c>
      <c r="U872" s="849">
        <v>0.0</v>
      </c>
      <c r="V872" s="849">
        <v>0.0</v>
      </c>
      <c r="W872" s="849">
        <v>0.0</v>
      </c>
      <c r="X872" s="849">
        <v>0.0</v>
      </c>
      <c r="Y872" s="849">
        <v>0.0</v>
      </c>
      <c r="Z872" s="849">
        <v>0.0</v>
      </c>
      <c r="AA872" s="849">
        <v>0.0</v>
      </c>
      <c r="AB872" s="849">
        <v>0.0</v>
      </c>
      <c r="AC872" s="849">
        <v>0.0</v>
      </c>
      <c r="AD872" s="849">
        <v>0.0</v>
      </c>
      <c r="AE872" s="849">
        <v>0.0</v>
      </c>
      <c r="AF872" s="849">
        <v>0.0</v>
      </c>
      <c r="AG872" s="849">
        <v>0.0</v>
      </c>
      <c r="AH872" s="849">
        <v>0.0</v>
      </c>
      <c r="AI872" s="849">
        <v>0.0</v>
      </c>
      <c r="AJ872" s="794" t="str">
        <f t="shared" ref="AJ872:AK872" si="1741">C872</f>
        <v>G810C</v>
      </c>
      <c r="AK872" s="794" t="str">
        <f t="shared" si="1741"/>
        <v>COUT-ACCESSOIRES NEUF</v>
      </c>
      <c r="AL872" s="794">
        <f t="array" ref="AL872">IFERROR(INDEX(G872:R872,1,MATCH(Parametres!$B$3,G$1:R$1,0)-1)*IF(OR(F872="L",F872="S",F872="I"),-1,1),"")</f>
        <v>0</v>
      </c>
      <c r="AM872" s="794">
        <f t="shared" si="4"/>
        <v>0</v>
      </c>
      <c r="AN872" s="794">
        <f t="array" ref="AN872">INDEX(G872:R872,1,MATCH(Parametres!$B$3,G$1:R$1,0))*IF(OR(F872="L",F872="S",F872="I"),-1,1)</f>
        <v>0</v>
      </c>
      <c r="AO872" s="853" t="str">
        <f>+VLOOKUP($AJ872,Data_Validation!$A:$D,1,0)</f>
        <v>#N/A</v>
      </c>
      <c r="AP872" s="853" t="str">
        <f>+VLOOKUP($AJ872,Data_Validation!$A:$D,3,0)</f>
        <v>#N/A</v>
      </c>
      <c r="AQ872" s="853" t="str">
        <f>+VLOOKUP($AJ872,Data_Validation!$A:$D,4,0)</f>
        <v>#N/A</v>
      </c>
      <c r="AR872" s="853" t="s">
        <v>728</v>
      </c>
      <c r="AS872" s="853" t="str">
        <f>+VLOOKUP($AJ872,Data_Validation!$A:$E,5,0)</f>
        <v>#N/A</v>
      </c>
      <c r="AT872" s="794" t="str">
        <f t="shared" ref="AT872:AU872" si="1742">C872</f>
        <v>G810C</v>
      </c>
      <c r="AU872" s="854" t="str">
        <f t="shared" si="1742"/>
        <v>COUT-ACCESSOIRES NEUF</v>
      </c>
      <c r="AV872" s="794">
        <f t="array" ref="AV872">IFERROR(INDEX(V872:AG872,1,MATCH(Parametres!$B$3,V$1:AG$1,0)-1)*IF(OR(C872="L",C872="S",C872="I"),-1,1),"")</f>
        <v>0</v>
      </c>
      <c r="AW872" s="794">
        <f t="shared" si="6"/>
        <v>0</v>
      </c>
      <c r="AX872" s="794">
        <f t="array" ref="AX872">INDEX(V872:AG872,1,MATCH(Parametres!$B$3,V$1:AG$1,0))*IF(OR(C872="L",C872="S",C872="I"),-1,1)</f>
        <v>0</v>
      </c>
      <c r="AY872" s="853" t="s">
        <v>772</v>
      </c>
      <c r="AZ872" s="853" t="str">
        <f>+VLOOKUP($AJ872,Data_Validation!$A:$E,5,0)</f>
        <v>#N/A</v>
      </c>
    </row>
    <row r="873" ht="15.0" customHeight="1">
      <c r="A873" s="849" t="s">
        <v>1239</v>
      </c>
      <c r="B873" s="849">
        <v>2025.0</v>
      </c>
      <c r="C873" s="849" t="s">
        <v>3338</v>
      </c>
      <c r="D873" s="849" t="s">
        <v>3339</v>
      </c>
      <c r="E873" s="849" t="s">
        <v>768</v>
      </c>
      <c r="F873" s="849" t="s">
        <v>2426</v>
      </c>
      <c r="G873" s="849">
        <v>0.0</v>
      </c>
      <c r="H873" s="849">
        <v>0.0</v>
      </c>
      <c r="I873" s="849">
        <v>0.0</v>
      </c>
      <c r="J873" s="849">
        <v>0.0</v>
      </c>
      <c r="K873" s="849">
        <v>0.0</v>
      </c>
      <c r="L873" s="849">
        <v>0.0</v>
      </c>
      <c r="M873" s="849">
        <v>0.0</v>
      </c>
      <c r="N873" s="849">
        <v>0.0</v>
      </c>
      <c r="O873" s="849">
        <v>0.0</v>
      </c>
      <c r="P873" s="849">
        <v>0.0</v>
      </c>
      <c r="Q873" s="849">
        <v>0.0</v>
      </c>
      <c r="R873" s="849">
        <v>0.0</v>
      </c>
      <c r="S873" s="849">
        <v>0.0</v>
      </c>
      <c r="T873" s="849">
        <v>0.0</v>
      </c>
      <c r="U873" s="849">
        <v>0.0</v>
      </c>
      <c r="V873" s="849">
        <v>0.0</v>
      </c>
      <c r="W873" s="849">
        <v>0.0</v>
      </c>
      <c r="X873" s="849">
        <v>0.0</v>
      </c>
      <c r="Y873" s="849">
        <v>0.0</v>
      </c>
      <c r="Z873" s="849">
        <v>0.0</v>
      </c>
      <c r="AA873" s="849">
        <v>0.0</v>
      </c>
      <c r="AB873" s="849">
        <v>0.0</v>
      </c>
      <c r="AC873" s="849">
        <v>0.0</v>
      </c>
      <c r="AD873" s="849">
        <v>0.0</v>
      </c>
      <c r="AE873" s="849">
        <v>0.0</v>
      </c>
      <c r="AF873" s="849">
        <v>0.0</v>
      </c>
      <c r="AG873" s="849">
        <v>0.0</v>
      </c>
      <c r="AH873" s="849">
        <v>0.0</v>
      </c>
      <c r="AI873" s="849">
        <v>0.0</v>
      </c>
      <c r="AJ873" s="794" t="str">
        <f t="shared" ref="AJ873:AK873" si="1743">C873</f>
        <v>G811</v>
      </c>
      <c r="AK873" s="794" t="str">
        <f t="shared" si="1743"/>
        <v>VTES-ACCESSOIRES USAGE</v>
      </c>
      <c r="AL873" s="794">
        <f t="array" ref="AL873">IFERROR(INDEX(G873:R873,1,MATCH(Parametres!$B$3,G$1:R$1,0)-1)*IF(OR(F873="L",F873="S",F873="I"),-1,1),"")</f>
        <v>0</v>
      </c>
      <c r="AM873" s="794">
        <f t="shared" si="4"/>
        <v>0</v>
      </c>
      <c r="AN873" s="794">
        <f t="array" ref="AN873">INDEX(G873:R873,1,MATCH(Parametres!$B$3,G$1:R$1,0))*IF(OR(F873="L",F873="S",F873="I"),-1,1)</f>
        <v>0</v>
      </c>
      <c r="AO873" s="853" t="str">
        <f>+VLOOKUP($AJ873,Data_Validation!$A:$D,1,0)</f>
        <v>#N/A</v>
      </c>
      <c r="AP873" s="853" t="str">
        <f>+VLOOKUP($AJ873,Data_Validation!$A:$D,3,0)</f>
        <v>#N/A</v>
      </c>
      <c r="AQ873" s="853" t="str">
        <f>+VLOOKUP($AJ873,Data_Validation!$A:$D,4,0)</f>
        <v>#N/A</v>
      </c>
      <c r="AR873" s="853" t="s">
        <v>728</v>
      </c>
      <c r="AS873" s="853" t="str">
        <f>+VLOOKUP($AJ873,Data_Validation!$A:$E,5,0)</f>
        <v>#N/A</v>
      </c>
      <c r="AT873" s="794" t="str">
        <f t="shared" ref="AT873:AU873" si="1744">C873</f>
        <v>G811</v>
      </c>
      <c r="AU873" s="854" t="str">
        <f t="shared" si="1744"/>
        <v>VTES-ACCESSOIRES USAGE</v>
      </c>
      <c r="AV873" s="794">
        <f t="array" ref="AV873">IFERROR(INDEX(V873:AG873,1,MATCH(Parametres!$B$3,V$1:AG$1,0)-1)*IF(OR(C873="L",C873="S",C873="I"),-1,1),"")</f>
        <v>0</v>
      </c>
      <c r="AW873" s="794">
        <f t="shared" si="6"/>
        <v>0</v>
      </c>
      <c r="AX873" s="794">
        <f t="array" ref="AX873">INDEX(V873:AG873,1,MATCH(Parametres!$B$3,V$1:AG$1,0))*IF(OR(C873="L",C873="S",C873="I"),-1,1)</f>
        <v>0</v>
      </c>
      <c r="AY873" s="853" t="s">
        <v>772</v>
      </c>
      <c r="AZ873" s="853" t="str">
        <f>+VLOOKUP($AJ873,Data_Validation!$A:$E,5,0)</f>
        <v>#N/A</v>
      </c>
    </row>
    <row r="874" ht="15.0" customHeight="1">
      <c r="A874" s="849" t="s">
        <v>1239</v>
      </c>
      <c r="B874" s="849">
        <v>2025.0</v>
      </c>
      <c r="C874" s="849" t="s">
        <v>3340</v>
      </c>
      <c r="D874" s="849" t="s">
        <v>3341</v>
      </c>
      <c r="E874" s="849" t="s">
        <v>768</v>
      </c>
      <c r="F874" s="849" t="s">
        <v>2855</v>
      </c>
      <c r="G874" s="849">
        <v>0.0</v>
      </c>
      <c r="H874" s="849">
        <v>0.0</v>
      </c>
      <c r="I874" s="849">
        <v>0.0</v>
      </c>
      <c r="J874" s="849">
        <v>0.0</v>
      </c>
      <c r="K874" s="849">
        <v>0.0</v>
      </c>
      <c r="L874" s="849">
        <v>0.0</v>
      </c>
      <c r="M874" s="849">
        <v>0.0</v>
      </c>
      <c r="N874" s="849">
        <v>0.0</v>
      </c>
      <c r="O874" s="849">
        <v>0.0</v>
      </c>
      <c r="P874" s="849">
        <v>0.0</v>
      </c>
      <c r="Q874" s="849">
        <v>0.0</v>
      </c>
      <c r="R874" s="849">
        <v>0.0</v>
      </c>
      <c r="S874" s="849">
        <v>0.0</v>
      </c>
      <c r="T874" s="849">
        <v>0.0</v>
      </c>
      <c r="U874" s="849">
        <v>0.0</v>
      </c>
      <c r="V874" s="849">
        <v>0.0</v>
      </c>
      <c r="W874" s="849">
        <v>0.0</v>
      </c>
      <c r="X874" s="849">
        <v>0.0</v>
      </c>
      <c r="Y874" s="849">
        <v>0.0</v>
      </c>
      <c r="Z874" s="849">
        <v>0.0</v>
      </c>
      <c r="AA874" s="849">
        <v>0.0</v>
      </c>
      <c r="AB874" s="849">
        <v>0.0</v>
      </c>
      <c r="AC874" s="849">
        <v>0.0</v>
      </c>
      <c r="AD874" s="849">
        <v>0.0</v>
      </c>
      <c r="AE874" s="849">
        <v>0.0</v>
      </c>
      <c r="AF874" s="849">
        <v>0.0</v>
      </c>
      <c r="AG874" s="849">
        <v>0.0</v>
      </c>
      <c r="AH874" s="849">
        <v>0.0</v>
      </c>
      <c r="AI874" s="849">
        <v>0.0</v>
      </c>
      <c r="AJ874" s="794" t="str">
        <f t="shared" ref="AJ874:AK874" si="1745">C874</f>
        <v>G811C</v>
      </c>
      <c r="AK874" s="794" t="str">
        <f t="shared" si="1745"/>
        <v>COUT-ACCESSOIRES USAGE</v>
      </c>
      <c r="AL874" s="794">
        <f t="array" ref="AL874">IFERROR(INDEX(G874:R874,1,MATCH(Parametres!$B$3,G$1:R$1,0)-1)*IF(OR(F874="L",F874="S",F874="I"),-1,1),"")</f>
        <v>0</v>
      </c>
      <c r="AM874" s="794">
        <f t="shared" si="4"/>
        <v>0</v>
      </c>
      <c r="AN874" s="794">
        <f t="array" ref="AN874">INDEX(G874:R874,1,MATCH(Parametres!$B$3,G$1:R$1,0))*IF(OR(F874="L",F874="S",F874="I"),-1,1)</f>
        <v>0</v>
      </c>
      <c r="AO874" s="853" t="str">
        <f>+VLOOKUP($AJ874,Data_Validation!$A:$D,1,0)</f>
        <v>#N/A</v>
      </c>
      <c r="AP874" s="853" t="str">
        <f>+VLOOKUP($AJ874,Data_Validation!$A:$D,3,0)</f>
        <v>#N/A</v>
      </c>
      <c r="AQ874" s="853" t="str">
        <f>+VLOOKUP($AJ874,Data_Validation!$A:$D,4,0)</f>
        <v>#N/A</v>
      </c>
      <c r="AR874" s="853" t="s">
        <v>728</v>
      </c>
      <c r="AS874" s="853" t="str">
        <f>+VLOOKUP($AJ874,Data_Validation!$A:$E,5,0)</f>
        <v>#N/A</v>
      </c>
      <c r="AT874" s="794" t="str">
        <f t="shared" ref="AT874:AU874" si="1746">C874</f>
        <v>G811C</v>
      </c>
      <c r="AU874" s="854" t="str">
        <f t="shared" si="1746"/>
        <v>COUT-ACCESSOIRES USAGE</v>
      </c>
      <c r="AV874" s="794">
        <f t="array" ref="AV874">IFERROR(INDEX(V874:AG874,1,MATCH(Parametres!$B$3,V$1:AG$1,0)-1)*IF(OR(C874="L",C874="S",C874="I"),-1,1),"")</f>
        <v>0</v>
      </c>
      <c r="AW874" s="794">
        <f t="shared" si="6"/>
        <v>0</v>
      </c>
      <c r="AX874" s="794">
        <f t="array" ref="AX874">INDEX(V874:AG874,1,MATCH(Parametres!$B$3,V$1:AG$1,0))*IF(OR(C874="L",C874="S",C874="I"),-1,1)</f>
        <v>0</v>
      </c>
      <c r="AY874" s="853" t="s">
        <v>772</v>
      </c>
      <c r="AZ874" s="853" t="str">
        <f>+VLOOKUP($AJ874,Data_Validation!$A:$E,5,0)</f>
        <v>#N/A</v>
      </c>
    </row>
    <row r="875" ht="15.0" customHeight="1">
      <c r="A875" s="849" t="s">
        <v>1239</v>
      </c>
      <c r="B875" s="849">
        <v>2025.0</v>
      </c>
      <c r="C875" s="849" t="s">
        <v>3342</v>
      </c>
      <c r="D875" s="849" t="s">
        <v>3343</v>
      </c>
      <c r="E875" s="849" t="s">
        <v>768</v>
      </c>
      <c r="F875" s="849" t="s">
        <v>2814</v>
      </c>
      <c r="G875" s="849">
        <v>0.0</v>
      </c>
      <c r="H875" s="849">
        <v>0.0</v>
      </c>
      <c r="I875" s="849">
        <v>0.0</v>
      </c>
      <c r="J875" s="849">
        <v>0.0</v>
      </c>
      <c r="K875" s="849">
        <v>0.0</v>
      </c>
      <c r="L875" s="849">
        <v>0.0</v>
      </c>
      <c r="M875" s="849">
        <v>0.0</v>
      </c>
      <c r="N875" s="849">
        <v>0.0</v>
      </c>
      <c r="O875" s="849">
        <v>0.0</v>
      </c>
      <c r="P875" s="849">
        <v>0.0</v>
      </c>
      <c r="Q875" s="849">
        <v>0.0</v>
      </c>
      <c r="R875" s="849">
        <v>0.0</v>
      </c>
      <c r="S875" s="849">
        <v>0.0</v>
      </c>
      <c r="T875" s="849">
        <v>0.0</v>
      </c>
      <c r="U875" s="849">
        <v>0.0</v>
      </c>
      <c r="V875" s="849">
        <v>0.0</v>
      </c>
      <c r="W875" s="849">
        <v>0.0</v>
      </c>
      <c r="X875" s="849">
        <v>0.0</v>
      </c>
      <c r="Y875" s="849">
        <v>0.0</v>
      </c>
      <c r="Z875" s="849">
        <v>0.0</v>
      </c>
      <c r="AA875" s="849">
        <v>0.0</v>
      </c>
      <c r="AB875" s="849">
        <v>0.0</v>
      </c>
      <c r="AC875" s="849">
        <v>0.0</v>
      </c>
      <c r="AD875" s="849">
        <v>0.0</v>
      </c>
      <c r="AE875" s="849">
        <v>0.0</v>
      </c>
      <c r="AF875" s="849">
        <v>0.0</v>
      </c>
      <c r="AG875" s="849">
        <v>0.0</v>
      </c>
      <c r="AH875" s="849">
        <v>0.0</v>
      </c>
      <c r="AI875" s="849">
        <v>0.0</v>
      </c>
      <c r="AJ875" s="794" t="str">
        <f t="shared" ref="AJ875:AK875" si="1747">C875</f>
        <v>G82200</v>
      </c>
      <c r="AK875" s="794" t="str">
        <f t="shared" si="1747"/>
        <v>AUTRES REVENUS VEH. NEUFS</v>
      </c>
      <c r="AL875" s="794">
        <f t="array" ref="AL875">IFERROR(INDEX(G875:R875,1,MATCH(Parametres!$B$3,G$1:R$1,0)-1)*IF(OR(F875="L",F875="S",F875="I"),-1,1),"")</f>
        <v>0</v>
      </c>
      <c r="AM875" s="794">
        <f t="shared" si="4"/>
        <v>0</v>
      </c>
      <c r="AN875" s="794">
        <f t="array" ref="AN875">INDEX(G875:R875,1,MATCH(Parametres!$B$3,G$1:R$1,0))*IF(OR(F875="L",F875="S",F875="I"),-1,1)</f>
        <v>0</v>
      </c>
      <c r="AO875" s="853" t="str">
        <f>+VLOOKUP($AJ875,Data_Validation!$A:$D,1,0)</f>
        <v>#N/A</v>
      </c>
      <c r="AP875" s="853" t="str">
        <f>+VLOOKUP($AJ875,Data_Validation!$A:$D,3,0)</f>
        <v>#N/A</v>
      </c>
      <c r="AQ875" s="853" t="str">
        <f>+VLOOKUP($AJ875,Data_Validation!$A:$D,4,0)</f>
        <v>#N/A</v>
      </c>
      <c r="AR875" s="853" t="s">
        <v>728</v>
      </c>
      <c r="AS875" s="853" t="str">
        <f>+VLOOKUP($AJ875,Data_Validation!$A:$E,5,0)</f>
        <v>#N/A</v>
      </c>
      <c r="AT875" s="794" t="str">
        <f t="shared" ref="AT875:AU875" si="1748">C875</f>
        <v>G82200</v>
      </c>
      <c r="AU875" s="854" t="str">
        <f t="shared" si="1748"/>
        <v>AUTRES REVENUS VEH. NEUFS</v>
      </c>
      <c r="AV875" s="794">
        <f t="array" ref="AV875">IFERROR(INDEX(V875:AG875,1,MATCH(Parametres!$B$3,V$1:AG$1,0)-1)*IF(OR(C875="L",C875="S",C875="I"),-1,1),"")</f>
        <v>0</v>
      </c>
      <c r="AW875" s="794">
        <f t="shared" si="6"/>
        <v>0</v>
      </c>
      <c r="AX875" s="794">
        <f t="array" ref="AX875">INDEX(V875:AG875,1,MATCH(Parametres!$B$3,V$1:AG$1,0))*IF(OR(C875="L",C875="S",C875="I"),-1,1)</f>
        <v>0</v>
      </c>
      <c r="AY875" s="853" t="s">
        <v>772</v>
      </c>
      <c r="AZ875" s="853" t="str">
        <f>+VLOOKUP($AJ875,Data_Validation!$A:$E,5,0)</f>
        <v>#N/A</v>
      </c>
    </row>
    <row r="876" ht="15.0" customHeight="1">
      <c r="A876" s="849" t="s">
        <v>1239</v>
      </c>
      <c r="B876" s="849">
        <v>2025.0</v>
      </c>
      <c r="C876" s="849" t="s">
        <v>3344</v>
      </c>
      <c r="D876" s="849" t="s">
        <v>3345</v>
      </c>
      <c r="E876" s="849" t="s">
        <v>768</v>
      </c>
      <c r="F876" s="849" t="s">
        <v>2814</v>
      </c>
      <c r="G876" s="849">
        <v>0.0</v>
      </c>
      <c r="H876" s="849">
        <v>0.0</v>
      </c>
      <c r="I876" s="849">
        <v>0.0</v>
      </c>
      <c r="J876" s="849">
        <v>0.0</v>
      </c>
      <c r="K876" s="849">
        <v>0.0</v>
      </c>
      <c r="L876" s="849">
        <v>0.0</v>
      </c>
      <c r="M876" s="849">
        <v>0.0</v>
      </c>
      <c r="N876" s="849">
        <v>0.0</v>
      </c>
      <c r="O876" s="849">
        <v>0.0</v>
      </c>
      <c r="P876" s="849">
        <v>0.0</v>
      </c>
      <c r="Q876" s="849">
        <v>0.0</v>
      </c>
      <c r="R876" s="849">
        <v>0.0</v>
      </c>
      <c r="S876" s="849">
        <v>0.0</v>
      </c>
      <c r="T876" s="849">
        <v>0.0</v>
      </c>
      <c r="U876" s="849">
        <v>0.0</v>
      </c>
      <c r="V876" s="849">
        <v>0.0</v>
      </c>
      <c r="W876" s="849">
        <v>0.0</v>
      </c>
      <c r="X876" s="849">
        <v>0.0</v>
      </c>
      <c r="Y876" s="849">
        <v>0.0</v>
      </c>
      <c r="Z876" s="849">
        <v>0.0</v>
      </c>
      <c r="AA876" s="849">
        <v>0.0</v>
      </c>
      <c r="AB876" s="849">
        <v>0.0</v>
      </c>
      <c r="AC876" s="849">
        <v>0.0</v>
      </c>
      <c r="AD876" s="849">
        <v>0.0</v>
      </c>
      <c r="AE876" s="849">
        <v>0.0</v>
      </c>
      <c r="AF876" s="849">
        <v>0.0</v>
      </c>
      <c r="AG876" s="849">
        <v>0.0</v>
      </c>
      <c r="AH876" s="849">
        <v>0.0</v>
      </c>
      <c r="AI876" s="849">
        <v>0.0</v>
      </c>
      <c r="AJ876" s="794" t="str">
        <f t="shared" ref="AJ876:AK876" si="1749">C876</f>
        <v>G82300</v>
      </c>
      <c r="AK876" s="794" t="str">
        <f t="shared" si="1749"/>
        <v>AUTRES REVENUS VEH.USAGÉS</v>
      </c>
      <c r="AL876" s="794">
        <f t="array" ref="AL876">IFERROR(INDEX(G876:R876,1,MATCH(Parametres!$B$3,G$1:R$1,0)-1)*IF(OR(F876="L",F876="S",F876="I"),-1,1),"")</f>
        <v>0</v>
      </c>
      <c r="AM876" s="794">
        <f t="shared" si="4"/>
        <v>0</v>
      </c>
      <c r="AN876" s="794">
        <f t="array" ref="AN876">INDEX(G876:R876,1,MATCH(Parametres!$B$3,G$1:R$1,0))*IF(OR(F876="L",F876="S",F876="I"),-1,1)</f>
        <v>0</v>
      </c>
      <c r="AO876" s="853" t="str">
        <f>+VLOOKUP($AJ876,Data_Validation!$A:$D,1,0)</f>
        <v>#N/A</v>
      </c>
      <c r="AP876" s="853" t="str">
        <f>+VLOOKUP($AJ876,Data_Validation!$A:$D,3,0)</f>
        <v>#N/A</v>
      </c>
      <c r="AQ876" s="853" t="str">
        <f>+VLOOKUP($AJ876,Data_Validation!$A:$D,4,0)</f>
        <v>#N/A</v>
      </c>
      <c r="AR876" s="853" t="s">
        <v>728</v>
      </c>
      <c r="AS876" s="853" t="str">
        <f>+VLOOKUP($AJ876,Data_Validation!$A:$E,5,0)</f>
        <v>#N/A</v>
      </c>
      <c r="AT876" s="794" t="str">
        <f t="shared" ref="AT876:AU876" si="1750">C876</f>
        <v>G82300</v>
      </c>
      <c r="AU876" s="854" t="str">
        <f t="shared" si="1750"/>
        <v>AUTRES REVENUS VEH.USAGÉS</v>
      </c>
      <c r="AV876" s="794">
        <f t="array" ref="AV876">IFERROR(INDEX(V876:AG876,1,MATCH(Parametres!$B$3,V$1:AG$1,0)-1)*IF(OR(C876="L",C876="S",C876="I"),-1,1),"")</f>
        <v>0</v>
      </c>
      <c r="AW876" s="794">
        <f t="shared" si="6"/>
        <v>0</v>
      </c>
      <c r="AX876" s="794">
        <f t="array" ref="AX876">INDEX(V876:AG876,1,MATCH(Parametres!$B$3,V$1:AG$1,0))*IF(OR(C876="L",C876="S",C876="I"),-1,1)</f>
        <v>0</v>
      </c>
      <c r="AY876" s="853" t="s">
        <v>772</v>
      </c>
      <c r="AZ876" s="853" t="str">
        <f>+VLOOKUP($AJ876,Data_Validation!$A:$E,5,0)</f>
        <v>#N/A</v>
      </c>
    </row>
    <row r="877" ht="15.0" customHeight="1">
      <c r="A877" s="849" t="s">
        <v>1239</v>
      </c>
      <c r="B877" s="849">
        <v>2025.0</v>
      </c>
      <c r="C877" s="849" t="s">
        <v>3346</v>
      </c>
      <c r="D877" s="849" t="s">
        <v>3347</v>
      </c>
      <c r="E877" s="849" t="s">
        <v>768</v>
      </c>
      <c r="F877" s="849" t="s">
        <v>1200</v>
      </c>
      <c r="G877" s="849">
        <v>0.0</v>
      </c>
      <c r="H877" s="849">
        <v>0.0</v>
      </c>
      <c r="I877" s="849">
        <v>0.0</v>
      </c>
      <c r="J877" s="849">
        <v>0.0</v>
      </c>
      <c r="K877" s="849">
        <v>0.0</v>
      </c>
      <c r="L877" s="849">
        <v>0.0</v>
      </c>
      <c r="M877" s="849">
        <v>0.0</v>
      </c>
      <c r="N877" s="849">
        <v>0.0</v>
      </c>
      <c r="O877" s="849">
        <v>0.0</v>
      </c>
      <c r="P877" s="849">
        <v>0.0</v>
      </c>
      <c r="Q877" s="849">
        <v>0.0</v>
      </c>
      <c r="R877" s="849">
        <v>0.0</v>
      </c>
      <c r="S877" s="849">
        <v>0.0</v>
      </c>
      <c r="T877" s="849">
        <v>0.0</v>
      </c>
      <c r="U877" s="849">
        <v>0.0</v>
      </c>
      <c r="V877" s="849">
        <v>0.0</v>
      </c>
      <c r="W877" s="849">
        <v>0.0</v>
      </c>
      <c r="X877" s="849">
        <v>0.0</v>
      </c>
      <c r="Y877" s="849">
        <v>0.0</v>
      </c>
      <c r="Z877" s="849">
        <v>0.0</v>
      </c>
      <c r="AA877" s="849">
        <v>0.0</v>
      </c>
      <c r="AB877" s="849">
        <v>0.0</v>
      </c>
      <c r="AC877" s="849">
        <v>0.0</v>
      </c>
      <c r="AD877" s="849">
        <v>0.0</v>
      </c>
      <c r="AE877" s="849">
        <v>0.0</v>
      </c>
      <c r="AF877" s="849">
        <v>0.0</v>
      </c>
      <c r="AG877" s="849">
        <v>0.0</v>
      </c>
      <c r="AH877" s="849">
        <v>0.0</v>
      </c>
      <c r="AI877" s="849">
        <v>0.0</v>
      </c>
      <c r="AJ877" s="794" t="str">
        <f t="shared" ref="AJ877:AK877" si="1751">C877</f>
        <v>G850</v>
      </c>
      <c r="AK877" s="794" t="str">
        <f t="shared" si="1751"/>
        <v>RETROFACTURATION F&amp;A NEUF</v>
      </c>
      <c r="AL877" s="794">
        <f t="array" ref="AL877">IFERROR(INDEX(G877:R877,1,MATCH(Parametres!$B$3,G$1:R$1,0)-1)*IF(OR(F877="L",F877="S",F877="I"),-1,1),"")</f>
        <v>0</v>
      </c>
      <c r="AM877" s="794">
        <f t="shared" si="4"/>
        <v>0</v>
      </c>
      <c r="AN877" s="794">
        <f t="array" ref="AN877">INDEX(G877:R877,1,MATCH(Parametres!$B$3,G$1:R$1,0))*IF(OR(F877="L",F877="S",F877="I"),-1,1)</f>
        <v>0</v>
      </c>
      <c r="AO877" s="853" t="str">
        <f>+VLOOKUP($AJ877,Data_Validation!$A:$D,1,0)</f>
        <v>#N/A</v>
      </c>
      <c r="AP877" s="853" t="str">
        <f>+VLOOKUP($AJ877,Data_Validation!$A:$D,3,0)</f>
        <v>#N/A</v>
      </c>
      <c r="AQ877" s="853" t="str">
        <f>+VLOOKUP($AJ877,Data_Validation!$A:$D,4,0)</f>
        <v>#N/A</v>
      </c>
      <c r="AR877" s="853" t="s">
        <v>728</v>
      </c>
      <c r="AS877" s="853" t="str">
        <f>+VLOOKUP($AJ877,Data_Validation!$A:$E,5,0)</f>
        <v>#N/A</v>
      </c>
      <c r="AT877" s="794" t="str">
        <f t="shared" ref="AT877:AU877" si="1752">C877</f>
        <v>G850</v>
      </c>
      <c r="AU877" s="854" t="str">
        <f t="shared" si="1752"/>
        <v>RETROFACTURATION F&amp;A NEUF</v>
      </c>
      <c r="AV877" s="794">
        <f t="array" ref="AV877">IFERROR(INDEX(V877:AG877,1,MATCH(Parametres!$B$3,V$1:AG$1,0)-1)*IF(OR(C877="L",C877="S",C877="I"),-1,1),"")</f>
        <v>0</v>
      </c>
      <c r="AW877" s="794">
        <f t="shared" si="6"/>
        <v>0</v>
      </c>
      <c r="AX877" s="794">
        <f t="array" ref="AX877">INDEX(V877:AG877,1,MATCH(Parametres!$B$3,V$1:AG$1,0))*IF(OR(C877="L",C877="S",C877="I"),-1,1)</f>
        <v>0</v>
      </c>
      <c r="AY877" s="853" t="s">
        <v>772</v>
      </c>
      <c r="AZ877" s="853" t="str">
        <f>+VLOOKUP($AJ877,Data_Validation!$A:$E,5,0)</f>
        <v>#N/A</v>
      </c>
    </row>
    <row r="878" ht="15.0" customHeight="1">
      <c r="A878" s="849" t="s">
        <v>1239</v>
      </c>
      <c r="B878" s="849">
        <v>2025.0</v>
      </c>
      <c r="C878" s="849" t="s">
        <v>3348</v>
      </c>
      <c r="D878" s="849" t="s">
        <v>3349</v>
      </c>
      <c r="E878" s="849" t="s">
        <v>768</v>
      </c>
      <c r="F878" s="849" t="s">
        <v>1200</v>
      </c>
      <c r="G878" s="849">
        <v>0.0</v>
      </c>
      <c r="H878" s="849">
        <v>0.0</v>
      </c>
      <c r="I878" s="849">
        <v>0.0</v>
      </c>
      <c r="J878" s="849">
        <v>0.0</v>
      </c>
      <c r="K878" s="849">
        <v>0.0</v>
      </c>
      <c r="L878" s="849">
        <v>0.0</v>
      </c>
      <c r="M878" s="849">
        <v>0.0</v>
      </c>
      <c r="N878" s="849">
        <v>0.0</v>
      </c>
      <c r="O878" s="849">
        <v>0.0</v>
      </c>
      <c r="P878" s="849">
        <v>0.0</v>
      </c>
      <c r="Q878" s="849">
        <v>0.0</v>
      </c>
      <c r="R878" s="849">
        <v>0.0</v>
      </c>
      <c r="S878" s="849">
        <v>0.0</v>
      </c>
      <c r="T878" s="849">
        <v>0.0</v>
      </c>
      <c r="U878" s="849">
        <v>0.0</v>
      </c>
      <c r="V878" s="849">
        <v>0.0</v>
      </c>
      <c r="W878" s="849">
        <v>0.0</v>
      </c>
      <c r="X878" s="849">
        <v>0.0</v>
      </c>
      <c r="Y878" s="849">
        <v>0.0</v>
      </c>
      <c r="Z878" s="849">
        <v>0.0</v>
      </c>
      <c r="AA878" s="849">
        <v>0.0</v>
      </c>
      <c r="AB878" s="849">
        <v>0.0</v>
      </c>
      <c r="AC878" s="849">
        <v>0.0</v>
      </c>
      <c r="AD878" s="849">
        <v>0.0</v>
      </c>
      <c r="AE878" s="849">
        <v>0.0</v>
      </c>
      <c r="AF878" s="849">
        <v>0.0</v>
      </c>
      <c r="AG878" s="849">
        <v>0.0</v>
      </c>
      <c r="AH878" s="849">
        <v>0.0</v>
      </c>
      <c r="AI878" s="849">
        <v>0.0</v>
      </c>
      <c r="AJ878" s="794" t="str">
        <f t="shared" ref="AJ878:AK878" si="1753">C878</f>
        <v>G851</v>
      </c>
      <c r="AK878" s="794" t="str">
        <f t="shared" si="1753"/>
        <v>RETROFACTURATION F&amp;A USAG</v>
      </c>
      <c r="AL878" s="794">
        <f t="array" ref="AL878">IFERROR(INDEX(G878:R878,1,MATCH(Parametres!$B$3,G$1:R$1,0)-1)*IF(OR(F878="L",F878="S",F878="I"),-1,1),"")</f>
        <v>0</v>
      </c>
      <c r="AM878" s="794">
        <f t="shared" si="4"/>
        <v>0</v>
      </c>
      <c r="AN878" s="794">
        <f t="array" ref="AN878">INDEX(G878:R878,1,MATCH(Parametres!$B$3,G$1:R$1,0))*IF(OR(F878="L",F878="S",F878="I"),-1,1)</f>
        <v>0</v>
      </c>
      <c r="AO878" s="853" t="str">
        <f>+VLOOKUP($AJ878,Data_Validation!$A:$D,1,0)</f>
        <v>#N/A</v>
      </c>
      <c r="AP878" s="853" t="str">
        <f>+VLOOKUP($AJ878,Data_Validation!$A:$D,3,0)</f>
        <v>#N/A</v>
      </c>
      <c r="AQ878" s="853" t="str">
        <f>+VLOOKUP($AJ878,Data_Validation!$A:$D,4,0)</f>
        <v>#N/A</v>
      </c>
      <c r="AR878" s="853" t="s">
        <v>728</v>
      </c>
      <c r="AS878" s="853" t="str">
        <f>+VLOOKUP($AJ878,Data_Validation!$A:$E,5,0)</f>
        <v>#N/A</v>
      </c>
      <c r="AT878" s="794" t="str">
        <f t="shared" ref="AT878:AU878" si="1754">C878</f>
        <v>G851</v>
      </c>
      <c r="AU878" s="854" t="str">
        <f t="shared" si="1754"/>
        <v>RETROFACTURATION F&amp;A USAG</v>
      </c>
      <c r="AV878" s="794">
        <f t="array" ref="AV878">IFERROR(INDEX(V878:AG878,1,MATCH(Parametres!$B$3,V$1:AG$1,0)-1)*IF(OR(C878="L",C878="S",C878="I"),-1,1),"")</f>
        <v>0</v>
      </c>
      <c r="AW878" s="794">
        <f t="shared" si="6"/>
        <v>0</v>
      </c>
      <c r="AX878" s="794">
        <f t="array" ref="AX878">INDEX(V878:AG878,1,MATCH(Parametres!$B$3,V$1:AG$1,0))*IF(OR(C878="L",C878="S",C878="I"),-1,1)</f>
        <v>0</v>
      </c>
      <c r="AY878" s="853" t="s">
        <v>772</v>
      </c>
      <c r="AZ878" s="853" t="str">
        <f>+VLOOKUP($AJ878,Data_Validation!$A:$E,5,0)</f>
        <v>#N/A</v>
      </c>
    </row>
    <row r="879" ht="15.0" customHeight="1">
      <c r="A879" s="849" t="s">
        <v>1239</v>
      </c>
      <c r="B879" s="849">
        <v>2025.0</v>
      </c>
      <c r="C879" s="849" t="s">
        <v>3350</v>
      </c>
      <c r="D879" s="849" t="s">
        <v>3351</v>
      </c>
      <c r="E879" s="849" t="s">
        <v>768</v>
      </c>
      <c r="F879" s="849" t="s">
        <v>1200</v>
      </c>
      <c r="G879" s="849">
        <v>0.0</v>
      </c>
      <c r="H879" s="849">
        <v>0.0</v>
      </c>
      <c r="I879" s="849">
        <v>0.0</v>
      </c>
      <c r="J879" s="849">
        <v>0.0</v>
      </c>
      <c r="K879" s="849">
        <v>0.0</v>
      </c>
      <c r="L879" s="849">
        <v>0.0</v>
      </c>
      <c r="M879" s="849">
        <v>0.0</v>
      </c>
      <c r="N879" s="849">
        <v>0.0</v>
      </c>
      <c r="O879" s="849">
        <v>0.0</v>
      </c>
      <c r="P879" s="849">
        <v>0.0</v>
      </c>
      <c r="Q879" s="849">
        <v>0.0</v>
      </c>
      <c r="R879" s="849">
        <v>0.0</v>
      </c>
      <c r="S879" s="849">
        <v>0.0</v>
      </c>
      <c r="T879" s="849">
        <v>0.0</v>
      </c>
      <c r="U879" s="849">
        <v>0.0</v>
      </c>
      <c r="V879" s="849">
        <v>0.0</v>
      </c>
      <c r="W879" s="849">
        <v>0.0</v>
      </c>
      <c r="X879" s="849">
        <v>0.0</v>
      </c>
      <c r="Y879" s="849">
        <v>0.0</v>
      </c>
      <c r="Z879" s="849">
        <v>0.0</v>
      </c>
      <c r="AA879" s="849">
        <v>0.0</v>
      </c>
      <c r="AB879" s="849">
        <v>0.0</v>
      </c>
      <c r="AC879" s="849">
        <v>0.0</v>
      </c>
      <c r="AD879" s="849">
        <v>0.0</v>
      </c>
      <c r="AE879" s="849">
        <v>0.0</v>
      </c>
      <c r="AF879" s="849">
        <v>0.0</v>
      </c>
      <c r="AG879" s="849">
        <v>0.0</v>
      </c>
      <c r="AH879" s="849">
        <v>0.0</v>
      </c>
      <c r="AI879" s="849">
        <v>0.0</v>
      </c>
      <c r="AJ879" s="794" t="str">
        <f t="shared" ref="AJ879:AK879" si="1755">C879</f>
        <v>G853</v>
      </c>
      <c r="AK879" s="794" t="str">
        <f t="shared" si="1755"/>
        <v>PERTE REPOSSESSION NEUF</v>
      </c>
      <c r="AL879" s="794">
        <f t="array" ref="AL879">IFERROR(INDEX(G879:R879,1,MATCH(Parametres!$B$3,G$1:R$1,0)-1)*IF(OR(F879="L",F879="S",F879="I"),-1,1),"")</f>
        <v>0</v>
      </c>
      <c r="AM879" s="794">
        <f t="shared" si="4"/>
        <v>0</v>
      </c>
      <c r="AN879" s="794">
        <f t="array" ref="AN879">INDEX(G879:R879,1,MATCH(Parametres!$B$3,G$1:R$1,0))*IF(OR(F879="L",F879="S",F879="I"),-1,1)</f>
        <v>0</v>
      </c>
      <c r="AO879" s="853" t="str">
        <f>+VLOOKUP($AJ879,Data_Validation!$A:$D,1,0)</f>
        <v>#N/A</v>
      </c>
      <c r="AP879" s="853" t="str">
        <f>+VLOOKUP($AJ879,Data_Validation!$A:$D,3,0)</f>
        <v>#N/A</v>
      </c>
      <c r="AQ879" s="853" t="str">
        <f>+VLOOKUP($AJ879,Data_Validation!$A:$D,4,0)</f>
        <v>#N/A</v>
      </c>
      <c r="AR879" s="853" t="s">
        <v>728</v>
      </c>
      <c r="AS879" s="853" t="str">
        <f>+VLOOKUP($AJ879,Data_Validation!$A:$E,5,0)</f>
        <v>#N/A</v>
      </c>
      <c r="AT879" s="794" t="str">
        <f t="shared" ref="AT879:AU879" si="1756">C879</f>
        <v>G853</v>
      </c>
      <c r="AU879" s="854" t="str">
        <f t="shared" si="1756"/>
        <v>PERTE REPOSSESSION NEUF</v>
      </c>
      <c r="AV879" s="794">
        <f t="array" ref="AV879">IFERROR(INDEX(V879:AG879,1,MATCH(Parametres!$B$3,V$1:AG$1,0)-1)*IF(OR(C879="L",C879="S",C879="I"),-1,1),"")</f>
        <v>0</v>
      </c>
      <c r="AW879" s="794">
        <f t="shared" si="6"/>
        <v>0</v>
      </c>
      <c r="AX879" s="794">
        <f t="array" ref="AX879">INDEX(V879:AG879,1,MATCH(Parametres!$B$3,V$1:AG$1,0))*IF(OR(C879="L",C879="S",C879="I"),-1,1)</f>
        <v>0</v>
      </c>
      <c r="AY879" s="853" t="s">
        <v>772</v>
      </c>
      <c r="AZ879" s="853" t="str">
        <f>+VLOOKUP($AJ879,Data_Validation!$A:$E,5,0)</f>
        <v>#N/A</v>
      </c>
    </row>
    <row r="880" ht="15.0" customHeight="1">
      <c r="A880" s="849" t="s">
        <v>1239</v>
      </c>
      <c r="B880" s="849">
        <v>2025.0</v>
      </c>
      <c r="C880" s="849" t="s">
        <v>3352</v>
      </c>
      <c r="D880" s="849" t="s">
        <v>3351</v>
      </c>
      <c r="E880" s="849" t="s">
        <v>768</v>
      </c>
      <c r="F880" s="849" t="s">
        <v>1200</v>
      </c>
      <c r="G880" s="849">
        <v>0.0</v>
      </c>
      <c r="H880" s="849">
        <v>0.0</v>
      </c>
      <c r="I880" s="849">
        <v>0.0</v>
      </c>
      <c r="J880" s="849">
        <v>0.0</v>
      </c>
      <c r="K880" s="849">
        <v>0.0</v>
      </c>
      <c r="L880" s="849">
        <v>0.0</v>
      </c>
      <c r="M880" s="849">
        <v>0.0</v>
      </c>
      <c r="N880" s="849">
        <v>0.0</v>
      </c>
      <c r="O880" s="849">
        <v>0.0</v>
      </c>
      <c r="P880" s="849">
        <v>0.0</v>
      </c>
      <c r="Q880" s="849">
        <v>0.0</v>
      </c>
      <c r="R880" s="849">
        <v>0.0</v>
      </c>
      <c r="S880" s="849">
        <v>0.0</v>
      </c>
      <c r="T880" s="849">
        <v>0.0</v>
      </c>
      <c r="U880" s="849">
        <v>0.0</v>
      </c>
      <c r="V880" s="849">
        <v>0.0</v>
      </c>
      <c r="W880" s="849">
        <v>0.0</v>
      </c>
      <c r="X880" s="849">
        <v>0.0</v>
      </c>
      <c r="Y880" s="849">
        <v>0.0</v>
      </c>
      <c r="Z880" s="849">
        <v>0.0</v>
      </c>
      <c r="AA880" s="849">
        <v>0.0</v>
      </c>
      <c r="AB880" s="849">
        <v>0.0</v>
      </c>
      <c r="AC880" s="849">
        <v>0.0</v>
      </c>
      <c r="AD880" s="849">
        <v>0.0</v>
      </c>
      <c r="AE880" s="849">
        <v>0.0</v>
      </c>
      <c r="AF880" s="849">
        <v>0.0</v>
      </c>
      <c r="AG880" s="849">
        <v>0.0</v>
      </c>
      <c r="AH880" s="849">
        <v>0.0</v>
      </c>
      <c r="AI880" s="849">
        <v>0.0</v>
      </c>
      <c r="AJ880" s="794" t="str">
        <f t="shared" ref="AJ880:AK880" si="1757">C880</f>
        <v>G85300</v>
      </c>
      <c r="AK880" s="794" t="str">
        <f t="shared" si="1757"/>
        <v>PERTE REPOSSESSION NEUF</v>
      </c>
      <c r="AL880" s="794">
        <f t="array" ref="AL880">IFERROR(INDEX(G880:R880,1,MATCH(Parametres!$B$3,G$1:R$1,0)-1)*IF(OR(F880="L",F880="S",F880="I"),-1,1),"")</f>
        <v>0</v>
      </c>
      <c r="AM880" s="794">
        <f t="shared" si="4"/>
        <v>0</v>
      </c>
      <c r="AN880" s="794">
        <f t="array" ref="AN880">INDEX(G880:R880,1,MATCH(Parametres!$B$3,G$1:R$1,0))*IF(OR(F880="L",F880="S",F880="I"),-1,1)</f>
        <v>0</v>
      </c>
      <c r="AO880" s="853" t="str">
        <f>+VLOOKUP($AJ880,Data_Validation!$A:$D,1,0)</f>
        <v>G85300</v>
      </c>
      <c r="AP880" s="853" t="str">
        <f>+VLOOKUP($AJ880,Data_Validation!$A:$D,3,0)</f>
        <v/>
      </c>
      <c r="AQ880" s="853" t="str">
        <f>+VLOOKUP($AJ880,Data_Validation!$A:$D,4,0)</f>
        <v/>
      </c>
      <c r="AR880" s="853" t="s">
        <v>728</v>
      </c>
      <c r="AS880" s="853" t="str">
        <f>+VLOOKUP($AJ880,Data_Validation!$A:$E,5,0)</f>
        <v/>
      </c>
      <c r="AT880" s="794" t="str">
        <f t="shared" ref="AT880:AU880" si="1758">C880</f>
        <v>G85300</v>
      </c>
      <c r="AU880" s="854" t="str">
        <f t="shared" si="1758"/>
        <v>PERTE REPOSSESSION NEUF</v>
      </c>
      <c r="AV880" s="794">
        <f t="array" ref="AV880">IFERROR(INDEX(V880:AG880,1,MATCH(Parametres!$B$3,V$1:AG$1,0)-1)*IF(OR(C880="L",C880="S",C880="I"),-1,1),"")</f>
        <v>0</v>
      </c>
      <c r="AW880" s="794">
        <f t="shared" si="6"/>
        <v>0</v>
      </c>
      <c r="AX880" s="794">
        <f t="array" ref="AX880">INDEX(V880:AG880,1,MATCH(Parametres!$B$3,V$1:AG$1,0))*IF(OR(C880="L",C880="S",C880="I"),-1,1)</f>
        <v>0</v>
      </c>
      <c r="AY880" s="853" t="s">
        <v>772</v>
      </c>
      <c r="AZ880" s="853" t="str">
        <f>+VLOOKUP($AJ880,Data_Validation!$A:$E,5,0)</f>
        <v/>
      </c>
    </row>
    <row r="881" ht="15.0" customHeight="1">
      <c r="A881" s="849" t="s">
        <v>1239</v>
      </c>
      <c r="B881" s="849">
        <v>2025.0</v>
      </c>
      <c r="C881" s="849" t="s">
        <v>3353</v>
      </c>
      <c r="D881" s="849" t="s">
        <v>3354</v>
      </c>
      <c r="E881" s="849" t="s">
        <v>768</v>
      </c>
      <c r="F881" s="849" t="s">
        <v>1200</v>
      </c>
      <c r="G881" s="849">
        <v>0.0</v>
      </c>
      <c r="H881" s="849">
        <v>0.0</v>
      </c>
      <c r="I881" s="849">
        <v>0.0</v>
      </c>
      <c r="J881" s="849">
        <v>0.0</v>
      </c>
      <c r="K881" s="849">
        <v>0.0</v>
      </c>
      <c r="L881" s="849">
        <v>0.0</v>
      </c>
      <c r="M881" s="849">
        <v>0.0</v>
      </c>
      <c r="N881" s="849">
        <v>0.0</v>
      </c>
      <c r="O881" s="849">
        <v>0.0</v>
      </c>
      <c r="P881" s="849">
        <v>0.0</v>
      </c>
      <c r="Q881" s="849">
        <v>0.0</v>
      </c>
      <c r="R881" s="849">
        <v>0.0</v>
      </c>
      <c r="S881" s="849">
        <v>0.0</v>
      </c>
      <c r="T881" s="849">
        <v>0.0</v>
      </c>
      <c r="U881" s="849">
        <v>0.0</v>
      </c>
      <c r="V881" s="849">
        <v>0.0</v>
      </c>
      <c r="W881" s="849">
        <v>0.0</v>
      </c>
      <c r="X881" s="849">
        <v>0.0</v>
      </c>
      <c r="Y881" s="849">
        <v>0.0</v>
      </c>
      <c r="Z881" s="849">
        <v>0.0</v>
      </c>
      <c r="AA881" s="849">
        <v>0.0</v>
      </c>
      <c r="AB881" s="849">
        <v>0.0</v>
      </c>
      <c r="AC881" s="849">
        <v>0.0</v>
      </c>
      <c r="AD881" s="849">
        <v>0.0</v>
      </c>
      <c r="AE881" s="849">
        <v>0.0</v>
      </c>
      <c r="AF881" s="849">
        <v>0.0</v>
      </c>
      <c r="AG881" s="849">
        <v>0.0</v>
      </c>
      <c r="AH881" s="849">
        <v>0.0</v>
      </c>
      <c r="AI881" s="849">
        <v>0.0</v>
      </c>
      <c r="AJ881" s="794" t="str">
        <f t="shared" ref="AJ881:AK881" si="1759">C881</f>
        <v>G854</v>
      </c>
      <c r="AK881" s="794" t="str">
        <f t="shared" si="1759"/>
        <v>PERTE REPOSSESSION USAG</v>
      </c>
      <c r="AL881" s="794">
        <f t="array" ref="AL881">IFERROR(INDEX(G881:R881,1,MATCH(Parametres!$B$3,G$1:R$1,0)-1)*IF(OR(F881="L",F881="S",F881="I"),-1,1),"")</f>
        <v>0</v>
      </c>
      <c r="AM881" s="794">
        <f t="shared" si="4"/>
        <v>0</v>
      </c>
      <c r="AN881" s="794">
        <f t="array" ref="AN881">INDEX(G881:R881,1,MATCH(Parametres!$B$3,G$1:R$1,0))*IF(OR(F881="L",F881="S",F881="I"),-1,1)</f>
        <v>0</v>
      </c>
      <c r="AO881" s="853" t="str">
        <f>+VLOOKUP($AJ881,Data_Validation!$A:$D,1,0)</f>
        <v>#N/A</v>
      </c>
      <c r="AP881" s="853" t="str">
        <f>+VLOOKUP($AJ881,Data_Validation!$A:$D,3,0)</f>
        <v>#N/A</v>
      </c>
      <c r="AQ881" s="853" t="str">
        <f>+VLOOKUP($AJ881,Data_Validation!$A:$D,4,0)</f>
        <v>#N/A</v>
      </c>
      <c r="AR881" s="853" t="s">
        <v>728</v>
      </c>
      <c r="AS881" s="853" t="str">
        <f>+VLOOKUP($AJ881,Data_Validation!$A:$E,5,0)</f>
        <v>#N/A</v>
      </c>
      <c r="AT881" s="794" t="str">
        <f t="shared" ref="AT881:AU881" si="1760">C881</f>
        <v>G854</v>
      </c>
      <c r="AU881" s="854" t="str">
        <f t="shared" si="1760"/>
        <v>PERTE REPOSSESSION USAG</v>
      </c>
      <c r="AV881" s="794">
        <f t="array" ref="AV881">IFERROR(INDEX(V881:AG881,1,MATCH(Parametres!$B$3,V$1:AG$1,0)-1)*IF(OR(C881="L",C881="S",C881="I"),-1,1),"")</f>
        <v>0</v>
      </c>
      <c r="AW881" s="794">
        <f t="shared" si="6"/>
        <v>0</v>
      </c>
      <c r="AX881" s="794">
        <f t="array" ref="AX881">INDEX(V881:AG881,1,MATCH(Parametres!$B$3,V$1:AG$1,0))*IF(OR(C881="L",C881="S",C881="I"),-1,1)</f>
        <v>0</v>
      </c>
      <c r="AY881" s="853" t="s">
        <v>772</v>
      </c>
      <c r="AZ881" s="853" t="str">
        <f>+VLOOKUP($AJ881,Data_Validation!$A:$E,5,0)</f>
        <v>#N/A</v>
      </c>
    </row>
    <row r="882" ht="15.0" customHeight="1">
      <c r="A882" s="849" t="s">
        <v>1239</v>
      </c>
      <c r="B882" s="849">
        <v>2025.0</v>
      </c>
      <c r="C882" s="849" t="s">
        <v>3355</v>
      </c>
      <c r="D882" s="849" t="s">
        <v>3356</v>
      </c>
      <c r="E882" s="849" t="s">
        <v>768</v>
      </c>
      <c r="F882" s="849" t="s">
        <v>1200</v>
      </c>
      <c r="G882" s="849">
        <v>0.0</v>
      </c>
      <c r="H882" s="849">
        <v>0.0</v>
      </c>
      <c r="I882" s="849">
        <v>0.0</v>
      </c>
      <c r="J882" s="849">
        <v>0.0</v>
      </c>
      <c r="K882" s="849">
        <v>0.0</v>
      </c>
      <c r="L882" s="849">
        <v>0.0</v>
      </c>
      <c r="M882" s="849">
        <v>0.0</v>
      </c>
      <c r="N882" s="849">
        <v>0.0</v>
      </c>
      <c r="O882" s="849">
        <v>0.0</v>
      </c>
      <c r="P882" s="849">
        <v>0.0</v>
      </c>
      <c r="Q882" s="849">
        <v>0.0</v>
      </c>
      <c r="R882" s="849">
        <v>0.0</v>
      </c>
      <c r="S882" s="849">
        <v>0.0</v>
      </c>
      <c r="T882" s="849">
        <v>0.0</v>
      </c>
      <c r="U882" s="849">
        <v>0.0</v>
      </c>
      <c r="V882" s="849">
        <v>0.0</v>
      </c>
      <c r="W882" s="849">
        <v>0.0</v>
      </c>
      <c r="X882" s="849">
        <v>0.0</v>
      </c>
      <c r="Y882" s="849">
        <v>0.0</v>
      </c>
      <c r="Z882" s="849">
        <v>0.0</v>
      </c>
      <c r="AA882" s="849">
        <v>0.0</v>
      </c>
      <c r="AB882" s="849">
        <v>0.0</v>
      </c>
      <c r="AC882" s="849">
        <v>0.0</v>
      </c>
      <c r="AD882" s="849">
        <v>0.0</v>
      </c>
      <c r="AE882" s="849">
        <v>0.0</v>
      </c>
      <c r="AF882" s="849">
        <v>0.0</v>
      </c>
      <c r="AG882" s="849">
        <v>0.0</v>
      </c>
      <c r="AH882" s="849">
        <v>0.0</v>
      </c>
      <c r="AI882" s="849">
        <v>0.0</v>
      </c>
      <c r="AJ882" s="794" t="str">
        <f t="shared" ref="AJ882:AK882" si="1761">C882</f>
        <v>G85400</v>
      </c>
      <c r="AK882" s="794" t="str">
        <f t="shared" si="1761"/>
        <v>PERTE REPOSSESSION USAGE</v>
      </c>
      <c r="AL882" s="794">
        <f t="array" ref="AL882">IFERROR(INDEX(G882:R882,1,MATCH(Parametres!$B$3,G$1:R$1,0)-1)*IF(OR(F882="L",F882="S",F882="I"),-1,1),"")</f>
        <v>0</v>
      </c>
      <c r="AM882" s="794">
        <f t="shared" si="4"/>
        <v>0</v>
      </c>
      <c r="AN882" s="794">
        <f t="array" ref="AN882">INDEX(G882:R882,1,MATCH(Parametres!$B$3,G$1:R$1,0))*IF(OR(F882="L",F882="S",F882="I"),-1,1)</f>
        <v>0</v>
      </c>
      <c r="AO882" s="853" t="str">
        <f>+VLOOKUP($AJ882,Data_Validation!$A:$D,1,0)</f>
        <v>G85400</v>
      </c>
      <c r="AP882" s="853" t="str">
        <f>+VLOOKUP($AJ882,Data_Validation!$A:$D,3,0)</f>
        <v/>
      </c>
      <c r="AQ882" s="853" t="str">
        <f>+VLOOKUP($AJ882,Data_Validation!$A:$D,4,0)</f>
        <v/>
      </c>
      <c r="AR882" s="853" t="s">
        <v>728</v>
      </c>
      <c r="AS882" s="853" t="str">
        <f>+VLOOKUP($AJ882,Data_Validation!$A:$E,5,0)</f>
        <v/>
      </c>
      <c r="AT882" s="794" t="str">
        <f t="shared" ref="AT882:AU882" si="1762">C882</f>
        <v>G85400</v>
      </c>
      <c r="AU882" s="854" t="str">
        <f t="shared" si="1762"/>
        <v>PERTE REPOSSESSION USAGE</v>
      </c>
      <c r="AV882" s="794">
        <f t="array" ref="AV882">IFERROR(INDEX(V882:AG882,1,MATCH(Parametres!$B$3,V$1:AG$1,0)-1)*IF(OR(C882="L",C882="S",C882="I"),-1,1),"")</f>
        <v>0</v>
      </c>
      <c r="AW882" s="794">
        <f t="shared" si="6"/>
        <v>0</v>
      </c>
      <c r="AX882" s="794">
        <f t="array" ref="AX882">INDEX(V882:AG882,1,MATCH(Parametres!$B$3,V$1:AG$1,0))*IF(OR(C882="L",C882="S",C882="I"),-1,1)</f>
        <v>0</v>
      </c>
      <c r="AY882" s="853" t="s">
        <v>772</v>
      </c>
      <c r="AZ882" s="853" t="str">
        <f>+VLOOKUP($AJ882,Data_Validation!$A:$E,5,0)</f>
        <v/>
      </c>
    </row>
    <row r="883" ht="15.0" customHeight="1">
      <c r="A883" s="849" t="s">
        <v>1239</v>
      </c>
      <c r="B883" s="849">
        <v>2025.0</v>
      </c>
      <c r="C883" s="849" t="s">
        <v>3357</v>
      </c>
      <c r="D883" s="849" t="s">
        <v>3358</v>
      </c>
      <c r="E883" s="849" t="s">
        <v>768</v>
      </c>
      <c r="F883" s="849" t="s">
        <v>1200</v>
      </c>
      <c r="G883" s="849">
        <v>0.0</v>
      </c>
      <c r="H883" s="849">
        <v>0.0</v>
      </c>
      <c r="I883" s="849">
        <v>0.0</v>
      </c>
      <c r="J883" s="849">
        <v>0.0</v>
      </c>
      <c r="K883" s="849">
        <v>0.0</v>
      </c>
      <c r="L883" s="849">
        <v>0.0</v>
      </c>
      <c r="M883" s="849">
        <v>0.0</v>
      </c>
      <c r="N883" s="849">
        <v>0.0</v>
      </c>
      <c r="O883" s="849">
        <v>0.0</v>
      </c>
      <c r="P883" s="849">
        <v>0.0</v>
      </c>
      <c r="Q883" s="849">
        <v>0.0</v>
      </c>
      <c r="R883" s="849">
        <v>0.0</v>
      </c>
      <c r="S883" s="849">
        <v>0.0</v>
      </c>
      <c r="T883" s="849">
        <v>0.0</v>
      </c>
      <c r="U883" s="849">
        <v>0.0</v>
      </c>
      <c r="V883" s="849">
        <v>0.0</v>
      </c>
      <c r="W883" s="849">
        <v>0.0</v>
      </c>
      <c r="X883" s="849">
        <v>0.0</v>
      </c>
      <c r="Y883" s="849">
        <v>0.0</v>
      </c>
      <c r="Z883" s="849">
        <v>0.0</v>
      </c>
      <c r="AA883" s="849">
        <v>0.0</v>
      </c>
      <c r="AB883" s="849">
        <v>0.0</v>
      </c>
      <c r="AC883" s="849">
        <v>0.0</v>
      </c>
      <c r="AD883" s="849">
        <v>0.0</v>
      </c>
      <c r="AE883" s="849">
        <v>0.0</v>
      </c>
      <c r="AF883" s="849">
        <v>0.0</v>
      </c>
      <c r="AG883" s="849">
        <v>0.0</v>
      </c>
      <c r="AH883" s="849">
        <v>0.0</v>
      </c>
      <c r="AI883" s="849">
        <v>0.0</v>
      </c>
      <c r="AJ883" s="794" t="str">
        <f t="shared" ref="AJ883:AK883" si="1763">C883</f>
        <v>G855</v>
      </c>
      <c r="AK883" s="794" t="str">
        <f t="shared" si="1763"/>
        <v>REMUNERATION F&amp;A NEUF</v>
      </c>
      <c r="AL883" s="794">
        <f t="array" ref="AL883">IFERROR(INDEX(G883:R883,1,MATCH(Parametres!$B$3,G$1:R$1,0)-1)*IF(OR(F883="L",F883="S",F883="I"),-1,1),"")</f>
        <v>0</v>
      </c>
      <c r="AM883" s="794">
        <f t="shared" si="4"/>
        <v>0</v>
      </c>
      <c r="AN883" s="794">
        <f t="array" ref="AN883">INDEX(G883:R883,1,MATCH(Parametres!$B$3,G$1:R$1,0))*IF(OR(F883="L",F883="S",F883="I"),-1,1)</f>
        <v>0</v>
      </c>
      <c r="AO883" s="853" t="str">
        <f>+VLOOKUP($AJ883,Data_Validation!$A:$D,1,0)</f>
        <v>#N/A</v>
      </c>
      <c r="AP883" s="853" t="str">
        <f>+VLOOKUP($AJ883,Data_Validation!$A:$D,3,0)</f>
        <v>#N/A</v>
      </c>
      <c r="AQ883" s="853" t="str">
        <f>+VLOOKUP($AJ883,Data_Validation!$A:$D,4,0)</f>
        <v>#N/A</v>
      </c>
      <c r="AR883" s="853" t="s">
        <v>728</v>
      </c>
      <c r="AS883" s="853" t="str">
        <f>+VLOOKUP($AJ883,Data_Validation!$A:$E,5,0)</f>
        <v>#N/A</v>
      </c>
      <c r="AT883" s="794" t="str">
        <f t="shared" ref="AT883:AU883" si="1764">C883</f>
        <v>G855</v>
      </c>
      <c r="AU883" s="854" t="str">
        <f t="shared" si="1764"/>
        <v>REMUNERATION F&amp;A NEUF</v>
      </c>
      <c r="AV883" s="794">
        <f t="array" ref="AV883">IFERROR(INDEX(V883:AG883,1,MATCH(Parametres!$B$3,V$1:AG$1,0)-1)*IF(OR(C883="L",C883="S",C883="I"),-1,1),"")</f>
        <v>0</v>
      </c>
      <c r="AW883" s="794">
        <f t="shared" si="6"/>
        <v>0</v>
      </c>
      <c r="AX883" s="794">
        <f t="array" ref="AX883">INDEX(V883:AG883,1,MATCH(Parametres!$B$3,V$1:AG$1,0))*IF(OR(C883="L",C883="S",C883="I"),-1,1)</f>
        <v>0</v>
      </c>
      <c r="AY883" s="853" t="s">
        <v>772</v>
      </c>
      <c r="AZ883" s="853" t="str">
        <f>+VLOOKUP($AJ883,Data_Validation!$A:$E,5,0)</f>
        <v>#N/A</v>
      </c>
    </row>
    <row r="884" ht="15.0" customHeight="1">
      <c r="A884" s="849" t="s">
        <v>1239</v>
      </c>
      <c r="B884" s="849">
        <v>2025.0</v>
      </c>
      <c r="C884" s="849" t="s">
        <v>3359</v>
      </c>
      <c r="D884" s="849" t="s">
        <v>3360</v>
      </c>
      <c r="E884" s="849" t="s">
        <v>768</v>
      </c>
      <c r="F884" s="849" t="s">
        <v>1200</v>
      </c>
      <c r="G884" s="849">
        <v>14513.14</v>
      </c>
      <c r="H884" s="849">
        <v>26681.82</v>
      </c>
      <c r="I884" s="849">
        <v>41392.67</v>
      </c>
      <c r="J884" s="849">
        <v>51290.28</v>
      </c>
      <c r="K884" s="849">
        <v>60180.22</v>
      </c>
      <c r="L884" s="849">
        <v>75619.18</v>
      </c>
      <c r="M884" s="849">
        <v>87668.55</v>
      </c>
      <c r="N884" s="849">
        <v>105699.01</v>
      </c>
      <c r="O884" s="849">
        <v>122702.1</v>
      </c>
      <c r="P884" s="849">
        <v>131431.07</v>
      </c>
      <c r="Q884" s="849">
        <v>144298.65</v>
      </c>
      <c r="R884" s="849">
        <v>156349.24</v>
      </c>
      <c r="S884" s="849">
        <v>13118.06</v>
      </c>
      <c r="T884" s="849">
        <v>13118.06</v>
      </c>
      <c r="U884" s="849">
        <v>0.0</v>
      </c>
      <c r="V884" s="849">
        <v>0.0</v>
      </c>
      <c r="W884" s="849">
        <v>0.0</v>
      </c>
      <c r="X884" s="849">
        <v>0.0</v>
      </c>
      <c r="Y884" s="849">
        <v>0.0</v>
      </c>
      <c r="Z884" s="849">
        <v>0.0</v>
      </c>
      <c r="AA884" s="849">
        <v>0.0</v>
      </c>
      <c r="AB884" s="849">
        <v>0.0</v>
      </c>
      <c r="AC884" s="849">
        <v>0.0</v>
      </c>
      <c r="AD884" s="849">
        <v>0.0</v>
      </c>
      <c r="AE884" s="849">
        <v>0.0</v>
      </c>
      <c r="AF884" s="849">
        <v>0.0</v>
      </c>
      <c r="AG884" s="849">
        <v>0.0</v>
      </c>
      <c r="AH884" s="849">
        <v>0.0</v>
      </c>
      <c r="AI884" s="849">
        <v>0.0</v>
      </c>
      <c r="AJ884" s="794" t="str">
        <f t="shared" ref="AJ884:AK884" si="1765">C884</f>
        <v>G85500</v>
      </c>
      <c r="AK884" s="794" t="str">
        <f t="shared" si="1765"/>
        <v>REMUNERATION F&amp;I NEUF</v>
      </c>
      <c r="AL884" s="794">
        <f t="array" ref="AL884">IFERROR(INDEX(G884:R884,1,MATCH(Parametres!$B$3,G$1:R$1,0)-1)*IF(OR(F884="L",F884="S",F884="I"),-1,1),"")</f>
        <v>105699.01</v>
      </c>
      <c r="AM884" s="794">
        <f t="shared" si="4"/>
        <v>17003.09</v>
      </c>
      <c r="AN884" s="794">
        <f t="array" ref="AN884">INDEX(G884:R884,1,MATCH(Parametres!$B$3,G$1:R$1,0))*IF(OR(F884="L",F884="S",F884="I"),-1,1)</f>
        <v>122702.1</v>
      </c>
      <c r="AO884" s="853" t="str">
        <f>+VLOOKUP($AJ884,Data_Validation!$A:$D,1,0)</f>
        <v>G85500</v>
      </c>
      <c r="AP884" s="853" t="str">
        <f>+VLOOKUP($AJ884,Data_Validation!$A:$D,3,0)</f>
        <v>Véhicules neufs</v>
      </c>
      <c r="AQ884" s="853" t="str">
        <f>+VLOOKUP($AJ884,Data_Validation!$A:$D,4,0)</f>
        <v>Comm. F&amp;I</v>
      </c>
      <c r="AR884" s="853" t="s">
        <v>728</v>
      </c>
      <c r="AS884" s="853" t="str">
        <f>+VLOOKUP($AJ884,Data_Validation!$A:$E,5,0)</f>
        <v/>
      </c>
      <c r="AT884" s="794" t="str">
        <f t="shared" ref="AT884:AU884" si="1766">C884</f>
        <v>G85500</v>
      </c>
      <c r="AU884" s="854" t="str">
        <f t="shared" si="1766"/>
        <v>REMUNERATION F&amp;I NEUF</v>
      </c>
      <c r="AV884" s="794">
        <f t="array" ref="AV884">IFERROR(INDEX(V884:AG884,1,MATCH(Parametres!$B$3,V$1:AG$1,0)-1)*IF(OR(C884="L",C884="S",C884="I"),-1,1),"")</f>
        <v>0</v>
      </c>
      <c r="AW884" s="794">
        <f t="shared" si="6"/>
        <v>0</v>
      </c>
      <c r="AX884" s="794">
        <f t="array" ref="AX884">INDEX(V884:AG884,1,MATCH(Parametres!$B$3,V$1:AG$1,0))*IF(OR(C884="L",C884="S",C884="I"),-1,1)</f>
        <v>0</v>
      </c>
      <c r="AY884" s="853" t="s">
        <v>772</v>
      </c>
      <c r="AZ884" s="853" t="str">
        <f>+VLOOKUP($AJ884,Data_Validation!$A:$E,5,0)</f>
        <v/>
      </c>
    </row>
    <row r="885" ht="15.0" customHeight="1">
      <c r="A885" s="849" t="s">
        <v>1239</v>
      </c>
      <c r="B885" s="849">
        <v>2025.0</v>
      </c>
      <c r="C885" s="849" t="s">
        <v>3361</v>
      </c>
      <c r="D885" s="849" t="s">
        <v>3362</v>
      </c>
      <c r="E885" s="849" t="s">
        <v>768</v>
      </c>
      <c r="F885" s="849" t="s">
        <v>1200</v>
      </c>
      <c r="G885" s="849">
        <v>0.0</v>
      </c>
      <c r="H885" s="849">
        <v>0.0</v>
      </c>
      <c r="I885" s="849">
        <v>0.0</v>
      </c>
      <c r="J885" s="849">
        <v>0.0</v>
      </c>
      <c r="K885" s="849">
        <v>0.0</v>
      </c>
      <c r="L885" s="849">
        <v>0.0</v>
      </c>
      <c r="M885" s="849">
        <v>0.0</v>
      </c>
      <c r="N885" s="849">
        <v>0.0</v>
      </c>
      <c r="O885" s="849">
        <v>0.0</v>
      </c>
      <c r="P885" s="849">
        <v>0.0</v>
      </c>
      <c r="Q885" s="849">
        <v>0.0</v>
      </c>
      <c r="R885" s="849">
        <v>0.0</v>
      </c>
      <c r="S885" s="849">
        <v>0.0</v>
      </c>
      <c r="T885" s="849">
        <v>0.0</v>
      </c>
      <c r="U885" s="849">
        <v>0.0</v>
      </c>
      <c r="V885" s="849">
        <v>0.0</v>
      </c>
      <c r="W885" s="849">
        <v>0.0</v>
      </c>
      <c r="X885" s="849">
        <v>0.0</v>
      </c>
      <c r="Y885" s="849">
        <v>0.0</v>
      </c>
      <c r="Z885" s="849">
        <v>0.0</v>
      </c>
      <c r="AA885" s="849">
        <v>0.0</v>
      </c>
      <c r="AB885" s="849">
        <v>0.0</v>
      </c>
      <c r="AC885" s="849">
        <v>0.0</v>
      </c>
      <c r="AD885" s="849">
        <v>0.0</v>
      </c>
      <c r="AE885" s="849">
        <v>0.0</v>
      </c>
      <c r="AF885" s="849">
        <v>0.0</v>
      </c>
      <c r="AG885" s="849">
        <v>0.0</v>
      </c>
      <c r="AH885" s="849">
        <v>0.0</v>
      </c>
      <c r="AI885" s="849">
        <v>0.0</v>
      </c>
      <c r="AJ885" s="794" t="str">
        <f t="shared" ref="AJ885:AK885" si="1767">C885</f>
        <v>G856</v>
      </c>
      <c r="AK885" s="794" t="str">
        <f t="shared" si="1767"/>
        <v>REMUNERATION F&amp;A USAGE</v>
      </c>
      <c r="AL885" s="794">
        <f t="array" ref="AL885">IFERROR(INDEX(G885:R885,1,MATCH(Parametres!$B$3,G$1:R$1,0)-1)*IF(OR(F885="L",F885="S",F885="I"),-1,1),"")</f>
        <v>0</v>
      </c>
      <c r="AM885" s="794">
        <f t="shared" si="4"/>
        <v>0</v>
      </c>
      <c r="AN885" s="794">
        <f t="array" ref="AN885">INDEX(G885:R885,1,MATCH(Parametres!$B$3,G$1:R$1,0))*IF(OR(F885="L",F885="S",F885="I"),-1,1)</f>
        <v>0</v>
      </c>
      <c r="AO885" s="853" t="str">
        <f>+VLOOKUP($AJ885,Data_Validation!$A:$D,1,0)</f>
        <v>#N/A</v>
      </c>
      <c r="AP885" s="853" t="str">
        <f>+VLOOKUP($AJ885,Data_Validation!$A:$D,3,0)</f>
        <v>#N/A</v>
      </c>
      <c r="AQ885" s="853" t="str">
        <f>+VLOOKUP($AJ885,Data_Validation!$A:$D,4,0)</f>
        <v>#N/A</v>
      </c>
      <c r="AR885" s="853" t="s">
        <v>728</v>
      </c>
      <c r="AS885" s="853" t="str">
        <f>+VLOOKUP($AJ885,Data_Validation!$A:$E,5,0)</f>
        <v>#N/A</v>
      </c>
      <c r="AT885" s="794" t="str">
        <f t="shared" ref="AT885:AU885" si="1768">C885</f>
        <v>G856</v>
      </c>
      <c r="AU885" s="854" t="str">
        <f t="shared" si="1768"/>
        <v>REMUNERATION F&amp;A USAGE</v>
      </c>
      <c r="AV885" s="794">
        <f t="array" ref="AV885">IFERROR(INDEX(V885:AG885,1,MATCH(Parametres!$B$3,V$1:AG$1,0)-1)*IF(OR(C885="L",C885="S",C885="I"),-1,1),"")</f>
        <v>0</v>
      </c>
      <c r="AW885" s="794">
        <f t="shared" si="6"/>
        <v>0</v>
      </c>
      <c r="AX885" s="794">
        <f t="array" ref="AX885">INDEX(V885:AG885,1,MATCH(Parametres!$B$3,V$1:AG$1,0))*IF(OR(C885="L",C885="S",C885="I"),-1,1)</f>
        <v>0</v>
      </c>
      <c r="AY885" s="853" t="s">
        <v>772</v>
      </c>
      <c r="AZ885" s="853" t="str">
        <f>+VLOOKUP($AJ885,Data_Validation!$A:$E,5,0)</f>
        <v>#N/A</v>
      </c>
    </row>
    <row r="886" ht="15.0" customHeight="1">
      <c r="A886" s="849" t="s">
        <v>1239</v>
      </c>
      <c r="B886" s="849">
        <v>2025.0</v>
      </c>
      <c r="C886" s="849" t="s">
        <v>3363</v>
      </c>
      <c r="D886" s="849" t="s">
        <v>3364</v>
      </c>
      <c r="E886" s="849" t="s">
        <v>768</v>
      </c>
      <c r="F886" s="849" t="s">
        <v>1200</v>
      </c>
      <c r="G886" s="849">
        <v>2623.36</v>
      </c>
      <c r="H886" s="849">
        <v>4950.19</v>
      </c>
      <c r="I886" s="849">
        <v>9087.15</v>
      </c>
      <c r="J886" s="849">
        <v>11479.9</v>
      </c>
      <c r="K886" s="849">
        <v>12388.15</v>
      </c>
      <c r="L886" s="849">
        <v>12589.77</v>
      </c>
      <c r="M886" s="849">
        <v>14778.14</v>
      </c>
      <c r="N886" s="849">
        <v>17787.69</v>
      </c>
      <c r="O886" s="849">
        <v>21963.92</v>
      </c>
      <c r="P886" s="849">
        <v>26071.04</v>
      </c>
      <c r="Q886" s="849">
        <v>26773.74</v>
      </c>
      <c r="R886" s="849">
        <v>33609.31</v>
      </c>
      <c r="S886" s="849">
        <v>2433.98</v>
      </c>
      <c r="T886" s="849">
        <v>2433.98</v>
      </c>
      <c r="U886" s="849">
        <v>0.0</v>
      </c>
      <c r="V886" s="849">
        <v>0.0</v>
      </c>
      <c r="W886" s="849">
        <v>0.0</v>
      </c>
      <c r="X886" s="849">
        <v>0.0</v>
      </c>
      <c r="Y886" s="849">
        <v>0.0</v>
      </c>
      <c r="Z886" s="849">
        <v>0.0</v>
      </c>
      <c r="AA886" s="849">
        <v>0.0</v>
      </c>
      <c r="AB886" s="849">
        <v>0.0</v>
      </c>
      <c r="AC886" s="849">
        <v>0.0</v>
      </c>
      <c r="AD886" s="849">
        <v>0.0</v>
      </c>
      <c r="AE886" s="849">
        <v>0.0</v>
      </c>
      <c r="AF886" s="849">
        <v>0.0</v>
      </c>
      <c r="AG886" s="849">
        <v>0.0</v>
      </c>
      <c r="AH886" s="849">
        <v>0.0</v>
      </c>
      <c r="AI886" s="849">
        <v>0.0</v>
      </c>
      <c r="AJ886" s="794" t="str">
        <f t="shared" ref="AJ886:AK886" si="1769">C886</f>
        <v>G85600</v>
      </c>
      <c r="AK886" s="794" t="str">
        <f t="shared" si="1769"/>
        <v>REMUNERATION F&amp;I USAGE</v>
      </c>
      <c r="AL886" s="794">
        <f t="array" ref="AL886">IFERROR(INDEX(G886:R886,1,MATCH(Parametres!$B$3,G$1:R$1,0)-1)*IF(OR(F886="L",F886="S",F886="I"),-1,1),"")</f>
        <v>17787.69</v>
      </c>
      <c r="AM886" s="794">
        <f t="shared" si="4"/>
        <v>4176.23</v>
      </c>
      <c r="AN886" s="794">
        <f t="array" ref="AN886">INDEX(G886:R886,1,MATCH(Parametres!$B$3,G$1:R$1,0))*IF(OR(F886="L",F886="S",F886="I"),-1,1)</f>
        <v>21963.92</v>
      </c>
      <c r="AO886" s="853" t="str">
        <f>+VLOOKUP($AJ886,Data_Validation!$A:$D,1,0)</f>
        <v>G85600</v>
      </c>
      <c r="AP886" s="853" t="str">
        <f>+VLOOKUP($AJ886,Data_Validation!$A:$D,3,0)</f>
        <v>Véhicules usagés</v>
      </c>
      <c r="AQ886" s="853" t="str">
        <f>+VLOOKUP($AJ886,Data_Validation!$A:$D,4,0)</f>
        <v>Comm. F&amp;I</v>
      </c>
      <c r="AR886" s="853" t="s">
        <v>728</v>
      </c>
      <c r="AS886" s="853" t="str">
        <f>+VLOOKUP($AJ886,Data_Validation!$A:$E,5,0)</f>
        <v/>
      </c>
      <c r="AT886" s="794" t="str">
        <f t="shared" ref="AT886:AU886" si="1770">C886</f>
        <v>G85600</v>
      </c>
      <c r="AU886" s="854" t="str">
        <f t="shared" si="1770"/>
        <v>REMUNERATION F&amp;I USAGE</v>
      </c>
      <c r="AV886" s="794">
        <f t="array" ref="AV886">IFERROR(INDEX(V886:AG886,1,MATCH(Parametres!$B$3,V$1:AG$1,0)-1)*IF(OR(C886="L",C886="S",C886="I"),-1,1),"")</f>
        <v>0</v>
      </c>
      <c r="AW886" s="794">
        <f t="shared" si="6"/>
        <v>0</v>
      </c>
      <c r="AX886" s="794">
        <f t="array" ref="AX886">INDEX(V886:AG886,1,MATCH(Parametres!$B$3,V$1:AG$1,0))*IF(OR(C886="L",C886="S",C886="I"),-1,1)</f>
        <v>0</v>
      </c>
      <c r="AY886" s="853" t="s">
        <v>772</v>
      </c>
      <c r="AZ886" s="853" t="str">
        <f>+VLOOKUP($AJ886,Data_Validation!$A:$E,5,0)</f>
        <v/>
      </c>
    </row>
    <row r="887" ht="15.0" customHeight="1">
      <c r="A887" s="849" t="s">
        <v>1239</v>
      </c>
      <c r="B887" s="849">
        <v>2025.0</v>
      </c>
      <c r="C887" s="849" t="s">
        <v>3365</v>
      </c>
      <c r="D887" s="849" t="s">
        <v>3343</v>
      </c>
      <c r="E887" s="849" t="s">
        <v>768</v>
      </c>
      <c r="F887" s="849" t="s">
        <v>1200</v>
      </c>
      <c r="G887" s="849">
        <v>0.0</v>
      </c>
      <c r="H887" s="849">
        <v>0.0</v>
      </c>
      <c r="I887" s="849">
        <v>0.0</v>
      </c>
      <c r="J887" s="849">
        <v>0.0</v>
      </c>
      <c r="K887" s="849">
        <v>0.0</v>
      </c>
      <c r="L887" s="849">
        <v>0.0</v>
      </c>
      <c r="M887" s="849">
        <v>0.0</v>
      </c>
      <c r="N887" s="849">
        <v>0.0</v>
      </c>
      <c r="O887" s="849">
        <v>0.0</v>
      </c>
      <c r="P887" s="849">
        <v>0.0</v>
      </c>
      <c r="Q887" s="849">
        <v>0.0</v>
      </c>
      <c r="R887" s="849">
        <v>0.0</v>
      </c>
      <c r="S887" s="849">
        <v>0.0</v>
      </c>
      <c r="T887" s="849">
        <v>0.0</v>
      </c>
      <c r="U887" s="849">
        <v>0.0</v>
      </c>
      <c r="V887" s="849">
        <v>0.0</v>
      </c>
      <c r="W887" s="849">
        <v>0.0</v>
      </c>
      <c r="X887" s="849">
        <v>0.0</v>
      </c>
      <c r="Y887" s="849">
        <v>0.0</v>
      </c>
      <c r="Z887" s="849">
        <v>0.0</v>
      </c>
      <c r="AA887" s="849">
        <v>0.0</v>
      </c>
      <c r="AB887" s="849">
        <v>0.0</v>
      </c>
      <c r="AC887" s="849">
        <v>0.0</v>
      </c>
      <c r="AD887" s="849">
        <v>0.0</v>
      </c>
      <c r="AE887" s="849">
        <v>0.0</v>
      </c>
      <c r="AF887" s="849">
        <v>0.0</v>
      </c>
      <c r="AG887" s="849">
        <v>0.0</v>
      </c>
      <c r="AH887" s="849">
        <v>0.0</v>
      </c>
      <c r="AI887" s="849">
        <v>0.0</v>
      </c>
      <c r="AJ887" s="794" t="str">
        <f t="shared" ref="AJ887:AK887" si="1771">C887</f>
        <v>G87200</v>
      </c>
      <c r="AK887" s="794" t="str">
        <f t="shared" si="1771"/>
        <v>AUTRES REVENUS VEH. NEUFS</v>
      </c>
      <c r="AL887" s="794">
        <f t="array" ref="AL887">IFERROR(INDEX(G887:R887,1,MATCH(Parametres!$B$3,G$1:R$1,0)-1)*IF(OR(F887="L",F887="S",F887="I"),-1,1),"")</f>
        <v>0</v>
      </c>
      <c r="AM887" s="794">
        <f t="shared" si="4"/>
        <v>0</v>
      </c>
      <c r="AN887" s="794">
        <f t="array" ref="AN887">INDEX(G887:R887,1,MATCH(Parametres!$B$3,G$1:R$1,0))*IF(OR(F887="L",F887="S",F887="I"),-1,1)</f>
        <v>0</v>
      </c>
      <c r="AO887" s="853" t="str">
        <f>+VLOOKUP($AJ887,Data_Validation!$A:$D,1,0)</f>
        <v>#N/A</v>
      </c>
      <c r="AP887" s="853" t="str">
        <f>+VLOOKUP($AJ887,Data_Validation!$A:$D,3,0)</f>
        <v>#N/A</v>
      </c>
      <c r="AQ887" s="853" t="str">
        <f>+VLOOKUP($AJ887,Data_Validation!$A:$D,4,0)</f>
        <v>#N/A</v>
      </c>
      <c r="AR887" s="853" t="s">
        <v>728</v>
      </c>
      <c r="AS887" s="853" t="str">
        <f>+VLOOKUP($AJ887,Data_Validation!$A:$E,5,0)</f>
        <v>#N/A</v>
      </c>
      <c r="AT887" s="794" t="str">
        <f t="shared" ref="AT887:AU887" si="1772">C887</f>
        <v>G87200</v>
      </c>
      <c r="AU887" s="854" t="str">
        <f t="shared" si="1772"/>
        <v>AUTRES REVENUS VEH. NEUFS</v>
      </c>
      <c r="AV887" s="794">
        <f t="array" ref="AV887">IFERROR(INDEX(V887:AG887,1,MATCH(Parametres!$B$3,V$1:AG$1,0)-1)*IF(OR(C887="L",C887="S",C887="I"),-1,1),"")</f>
        <v>0</v>
      </c>
      <c r="AW887" s="794">
        <f t="shared" si="6"/>
        <v>0</v>
      </c>
      <c r="AX887" s="794">
        <f t="array" ref="AX887">INDEX(V887:AG887,1,MATCH(Parametres!$B$3,V$1:AG$1,0))*IF(OR(C887="L",C887="S",C887="I"),-1,1)</f>
        <v>0</v>
      </c>
      <c r="AY887" s="853" t="s">
        <v>772</v>
      </c>
      <c r="AZ887" s="853" t="str">
        <f>+VLOOKUP($AJ887,Data_Validation!$A:$E,5,0)</f>
        <v>#N/A</v>
      </c>
    </row>
    <row r="888" ht="15.0" customHeight="1">
      <c r="A888" s="849" t="s">
        <v>1239</v>
      </c>
      <c r="B888" s="849">
        <v>2025.0</v>
      </c>
      <c r="C888" s="849" t="s">
        <v>3366</v>
      </c>
      <c r="D888" s="849" t="s">
        <v>3367</v>
      </c>
      <c r="E888" s="849" t="s">
        <v>768</v>
      </c>
      <c r="F888" s="849" t="s">
        <v>1200</v>
      </c>
      <c r="G888" s="849">
        <v>0.0</v>
      </c>
      <c r="H888" s="849">
        <v>0.0</v>
      </c>
      <c r="I888" s="849">
        <v>0.0</v>
      </c>
      <c r="J888" s="849">
        <v>0.0</v>
      </c>
      <c r="K888" s="849">
        <v>0.0</v>
      </c>
      <c r="L888" s="849">
        <v>0.0</v>
      </c>
      <c r="M888" s="849">
        <v>0.0</v>
      </c>
      <c r="N888" s="849">
        <v>0.0</v>
      </c>
      <c r="O888" s="849">
        <v>0.0</v>
      </c>
      <c r="P888" s="849">
        <v>0.0</v>
      </c>
      <c r="Q888" s="849">
        <v>0.0</v>
      </c>
      <c r="R888" s="849">
        <v>0.0</v>
      </c>
      <c r="S888" s="849">
        <v>0.0</v>
      </c>
      <c r="T888" s="849">
        <v>0.0</v>
      </c>
      <c r="U888" s="849">
        <v>0.0</v>
      </c>
      <c r="V888" s="849">
        <v>0.0</v>
      </c>
      <c r="W888" s="849">
        <v>0.0</v>
      </c>
      <c r="X888" s="849">
        <v>0.0</v>
      </c>
      <c r="Y888" s="849">
        <v>0.0</v>
      </c>
      <c r="Z888" s="849">
        <v>0.0</v>
      </c>
      <c r="AA888" s="849">
        <v>0.0</v>
      </c>
      <c r="AB888" s="849">
        <v>0.0</v>
      </c>
      <c r="AC888" s="849">
        <v>0.0</v>
      </c>
      <c r="AD888" s="849">
        <v>0.0</v>
      </c>
      <c r="AE888" s="849">
        <v>0.0</v>
      </c>
      <c r="AF888" s="849">
        <v>0.0</v>
      </c>
      <c r="AG888" s="849">
        <v>0.0</v>
      </c>
      <c r="AH888" s="849">
        <v>0.0</v>
      </c>
      <c r="AI888" s="849">
        <v>0.0</v>
      </c>
      <c r="AJ888" s="794" t="str">
        <f t="shared" ref="AJ888:AK888" si="1773">C888</f>
        <v>G87300</v>
      </c>
      <c r="AK888" s="794" t="str">
        <f t="shared" si="1773"/>
        <v>AUTRES REVENUS VEH.USAGES</v>
      </c>
      <c r="AL888" s="794">
        <f t="array" ref="AL888">IFERROR(INDEX(G888:R888,1,MATCH(Parametres!$B$3,G$1:R$1,0)-1)*IF(OR(F888="L",F888="S",F888="I"),-1,1),"")</f>
        <v>0</v>
      </c>
      <c r="AM888" s="794">
        <f t="shared" si="4"/>
        <v>0</v>
      </c>
      <c r="AN888" s="794">
        <f t="array" ref="AN888">INDEX(G888:R888,1,MATCH(Parametres!$B$3,G$1:R$1,0))*IF(OR(F888="L",F888="S",F888="I"),-1,1)</f>
        <v>0</v>
      </c>
      <c r="AO888" s="853" t="str">
        <f>+VLOOKUP($AJ888,Data_Validation!$A:$D,1,0)</f>
        <v>#N/A</v>
      </c>
      <c r="AP888" s="853" t="str">
        <f>+VLOOKUP($AJ888,Data_Validation!$A:$D,3,0)</f>
        <v>#N/A</v>
      </c>
      <c r="AQ888" s="853" t="str">
        <f>+VLOOKUP($AJ888,Data_Validation!$A:$D,4,0)</f>
        <v>#N/A</v>
      </c>
      <c r="AR888" s="853" t="s">
        <v>728</v>
      </c>
      <c r="AS888" s="853" t="str">
        <f>+VLOOKUP($AJ888,Data_Validation!$A:$E,5,0)</f>
        <v>#N/A</v>
      </c>
      <c r="AT888" s="794" t="str">
        <f t="shared" ref="AT888:AU888" si="1774">C888</f>
        <v>G87300</v>
      </c>
      <c r="AU888" s="854" t="str">
        <f t="shared" si="1774"/>
        <v>AUTRES REVENUS VEH.USAGES</v>
      </c>
      <c r="AV888" s="794">
        <f t="array" ref="AV888">IFERROR(INDEX(V888:AG888,1,MATCH(Parametres!$B$3,V$1:AG$1,0)-1)*IF(OR(C888="L",C888="S",C888="I"),-1,1),"")</f>
        <v>0</v>
      </c>
      <c r="AW888" s="794">
        <f t="shared" si="6"/>
        <v>0</v>
      </c>
      <c r="AX888" s="794">
        <f t="array" ref="AX888">INDEX(V888:AG888,1,MATCH(Parametres!$B$3,V$1:AG$1,0))*IF(OR(C888="L",C888="S",C888="I"),-1,1)</f>
        <v>0</v>
      </c>
      <c r="AY888" s="853" t="s">
        <v>772</v>
      </c>
      <c r="AZ888" s="853" t="str">
        <f>+VLOOKUP($AJ888,Data_Validation!$A:$E,5,0)</f>
        <v>#N/A</v>
      </c>
    </row>
    <row r="889" ht="15.0" customHeight="1">
      <c r="A889" s="849" t="s">
        <v>1239</v>
      </c>
      <c r="B889" s="849">
        <v>2025.0</v>
      </c>
      <c r="C889" s="849" t="s">
        <v>3368</v>
      </c>
      <c r="D889" s="849" t="s">
        <v>3369</v>
      </c>
      <c r="E889" s="849" t="s">
        <v>768</v>
      </c>
      <c r="F889" s="849" t="s">
        <v>2814</v>
      </c>
      <c r="G889" s="849">
        <v>0.0</v>
      </c>
      <c r="H889" s="849">
        <v>0.0</v>
      </c>
      <c r="I889" s="849">
        <v>0.0</v>
      </c>
      <c r="J889" s="849">
        <v>0.0</v>
      </c>
      <c r="K889" s="849">
        <v>0.0</v>
      </c>
      <c r="L889" s="849">
        <v>0.0</v>
      </c>
      <c r="M889" s="849">
        <v>0.0</v>
      </c>
      <c r="N889" s="849">
        <v>0.0</v>
      </c>
      <c r="O889" s="849">
        <v>0.0</v>
      </c>
      <c r="P889" s="849">
        <v>0.0</v>
      </c>
      <c r="Q889" s="849">
        <v>0.0</v>
      </c>
      <c r="R889" s="849">
        <v>0.0</v>
      </c>
      <c r="S889" s="849">
        <v>0.0</v>
      </c>
      <c r="T889" s="849">
        <v>0.0</v>
      </c>
      <c r="U889" s="849">
        <v>0.0</v>
      </c>
      <c r="V889" s="849">
        <v>0.0</v>
      </c>
      <c r="W889" s="849">
        <v>0.0</v>
      </c>
      <c r="X889" s="849">
        <v>0.0</v>
      </c>
      <c r="Y889" s="849">
        <v>0.0</v>
      </c>
      <c r="Z889" s="849">
        <v>0.0</v>
      </c>
      <c r="AA889" s="849">
        <v>0.0</v>
      </c>
      <c r="AB889" s="849">
        <v>0.0</v>
      </c>
      <c r="AC889" s="849">
        <v>0.0</v>
      </c>
      <c r="AD889" s="849">
        <v>0.0</v>
      </c>
      <c r="AE889" s="849">
        <v>0.0</v>
      </c>
      <c r="AF889" s="849">
        <v>0.0</v>
      </c>
      <c r="AG889" s="849">
        <v>0.0</v>
      </c>
      <c r="AH889" s="849">
        <v>0.0</v>
      </c>
      <c r="AI889" s="849">
        <v>0.0</v>
      </c>
      <c r="AJ889" s="794" t="str">
        <f t="shared" ref="AJ889:AK889" si="1775">C889</f>
        <v>G902</v>
      </c>
      <c r="AK889" s="794" t="str">
        <f t="shared" si="1775"/>
        <v>MAUVAISES CREANCES RECOUV</v>
      </c>
      <c r="AL889" s="794">
        <f t="array" ref="AL889">IFERROR(INDEX(G889:R889,1,MATCH(Parametres!$B$3,G$1:R$1,0)-1)*IF(OR(F889="L",F889="S",F889="I"),-1,1),"")</f>
        <v>0</v>
      </c>
      <c r="AM889" s="794">
        <f t="shared" si="4"/>
        <v>0</v>
      </c>
      <c r="AN889" s="794">
        <f t="array" ref="AN889">INDEX(G889:R889,1,MATCH(Parametres!$B$3,G$1:R$1,0))*IF(OR(F889="L",F889="S",F889="I"),-1,1)</f>
        <v>0</v>
      </c>
      <c r="AO889" s="853" t="str">
        <f>+VLOOKUP($AJ889,Data_Validation!$A:$D,1,0)</f>
        <v>#N/A</v>
      </c>
      <c r="AP889" s="853" t="str">
        <f>+VLOOKUP($AJ889,Data_Validation!$A:$D,3,0)</f>
        <v>#N/A</v>
      </c>
      <c r="AQ889" s="853" t="str">
        <f>+VLOOKUP($AJ889,Data_Validation!$A:$D,4,0)</f>
        <v>#N/A</v>
      </c>
      <c r="AR889" s="853" t="s">
        <v>728</v>
      </c>
      <c r="AS889" s="853" t="str">
        <f>+VLOOKUP($AJ889,Data_Validation!$A:$E,5,0)</f>
        <v>#N/A</v>
      </c>
      <c r="AT889" s="794" t="str">
        <f t="shared" ref="AT889:AU889" si="1776">C889</f>
        <v>G902</v>
      </c>
      <c r="AU889" s="854" t="str">
        <f t="shared" si="1776"/>
        <v>MAUVAISES CREANCES RECOUV</v>
      </c>
      <c r="AV889" s="794">
        <f t="array" ref="AV889">IFERROR(INDEX(V889:AG889,1,MATCH(Parametres!$B$3,V$1:AG$1,0)-1)*IF(OR(C889="L",C889="S",C889="I"),-1,1),"")</f>
        <v>0</v>
      </c>
      <c r="AW889" s="794">
        <f t="shared" si="6"/>
        <v>0</v>
      </c>
      <c r="AX889" s="794">
        <f t="array" ref="AX889">INDEX(V889:AG889,1,MATCH(Parametres!$B$3,V$1:AG$1,0))*IF(OR(C889="L",C889="S",C889="I"),-1,1)</f>
        <v>0</v>
      </c>
      <c r="AY889" s="853" t="s">
        <v>772</v>
      </c>
      <c r="AZ889" s="853" t="str">
        <f>+VLOOKUP($AJ889,Data_Validation!$A:$E,5,0)</f>
        <v>#N/A</v>
      </c>
    </row>
    <row r="890" ht="15.0" customHeight="1">
      <c r="A890" s="849" t="s">
        <v>1239</v>
      </c>
      <c r="B890" s="849">
        <v>2025.0</v>
      </c>
      <c r="C890" s="849" t="s">
        <v>3370</v>
      </c>
      <c r="D890" s="849" t="s">
        <v>3371</v>
      </c>
      <c r="E890" s="849" t="s">
        <v>768</v>
      </c>
      <c r="F890" s="849" t="s">
        <v>2814</v>
      </c>
      <c r="G890" s="849">
        <v>0.0</v>
      </c>
      <c r="H890" s="849">
        <v>0.0</v>
      </c>
      <c r="I890" s="849">
        <v>0.0</v>
      </c>
      <c r="J890" s="849">
        <v>0.0</v>
      </c>
      <c r="K890" s="849">
        <v>0.0</v>
      </c>
      <c r="L890" s="849">
        <v>0.0</v>
      </c>
      <c r="M890" s="849">
        <v>0.0</v>
      </c>
      <c r="N890" s="849">
        <v>0.0</v>
      </c>
      <c r="O890" s="849">
        <v>0.0</v>
      </c>
      <c r="P890" s="849">
        <v>0.0</v>
      </c>
      <c r="Q890" s="849">
        <v>0.0</v>
      </c>
      <c r="R890" s="849">
        <v>0.0</v>
      </c>
      <c r="S890" s="849">
        <v>0.0</v>
      </c>
      <c r="T890" s="849">
        <v>0.0</v>
      </c>
      <c r="U890" s="849">
        <v>0.0</v>
      </c>
      <c r="V890" s="849">
        <v>0.0</v>
      </c>
      <c r="W890" s="849">
        <v>0.0</v>
      </c>
      <c r="X890" s="849">
        <v>0.0</v>
      </c>
      <c r="Y890" s="849">
        <v>0.0</v>
      </c>
      <c r="Z890" s="849">
        <v>0.0</v>
      </c>
      <c r="AA890" s="849">
        <v>0.0</v>
      </c>
      <c r="AB890" s="849">
        <v>0.0</v>
      </c>
      <c r="AC890" s="849">
        <v>0.0</v>
      </c>
      <c r="AD890" s="849">
        <v>0.0</v>
      </c>
      <c r="AE890" s="849">
        <v>0.0</v>
      </c>
      <c r="AF890" s="849">
        <v>0.0</v>
      </c>
      <c r="AG890" s="849">
        <v>0.0</v>
      </c>
      <c r="AH890" s="849">
        <v>0.0</v>
      </c>
      <c r="AI890" s="849">
        <v>0.0</v>
      </c>
      <c r="AJ890" s="794" t="str">
        <f t="shared" ref="AJ890:AK890" si="1777">C890</f>
        <v>G90200</v>
      </c>
      <c r="AK890" s="794" t="str">
        <f t="shared" si="1777"/>
        <v>RENTREES CREANCES RADIEES</v>
      </c>
      <c r="AL890" s="794">
        <f t="array" ref="AL890">IFERROR(INDEX(G890:R890,1,MATCH(Parametres!$B$3,G$1:R$1,0)-1)*IF(OR(F890="L",F890="S",F890="I"),-1,1),"")</f>
        <v>0</v>
      </c>
      <c r="AM890" s="794">
        <f t="shared" si="4"/>
        <v>0</v>
      </c>
      <c r="AN890" s="794">
        <f t="array" ref="AN890">INDEX(G890:R890,1,MATCH(Parametres!$B$3,G$1:R$1,0))*IF(OR(F890="L",F890="S",F890="I"),-1,1)</f>
        <v>0</v>
      </c>
      <c r="AO890" s="853" t="str">
        <f>+VLOOKUP($AJ890,Data_Validation!$A:$D,1,0)</f>
        <v>G90200</v>
      </c>
      <c r="AP890" s="853" t="str">
        <f>+VLOOKUP($AJ890,Data_Validation!$A:$D,3,0)</f>
        <v/>
      </c>
      <c r="AQ890" s="853" t="str">
        <f>+VLOOKUP($AJ890,Data_Validation!$A:$D,4,0)</f>
        <v/>
      </c>
      <c r="AR890" s="853" t="s">
        <v>728</v>
      </c>
      <c r="AS890" s="853" t="str">
        <f>+VLOOKUP($AJ890,Data_Validation!$A:$E,5,0)</f>
        <v/>
      </c>
      <c r="AT890" s="794" t="str">
        <f t="shared" ref="AT890:AU890" si="1778">C890</f>
        <v>G90200</v>
      </c>
      <c r="AU890" s="854" t="str">
        <f t="shared" si="1778"/>
        <v>RENTREES CREANCES RADIEES</v>
      </c>
      <c r="AV890" s="794">
        <f t="array" ref="AV890">IFERROR(INDEX(V890:AG890,1,MATCH(Parametres!$B$3,V$1:AG$1,0)-1)*IF(OR(C890="L",C890="S",C890="I"),-1,1),"")</f>
        <v>0</v>
      </c>
      <c r="AW890" s="794">
        <f t="shared" si="6"/>
        <v>0</v>
      </c>
      <c r="AX890" s="794">
        <f t="array" ref="AX890">INDEX(V890:AG890,1,MATCH(Parametres!$B$3,V$1:AG$1,0))*IF(OR(C890="L",C890="S",C890="I"),-1,1)</f>
        <v>0</v>
      </c>
      <c r="AY890" s="853" t="s">
        <v>772</v>
      </c>
      <c r="AZ890" s="853" t="str">
        <f>+VLOOKUP($AJ890,Data_Validation!$A:$E,5,0)</f>
        <v/>
      </c>
    </row>
    <row r="891" ht="15.0" customHeight="1">
      <c r="A891" s="849" t="s">
        <v>1239</v>
      </c>
      <c r="B891" s="849">
        <v>2025.0</v>
      </c>
      <c r="C891" s="849" t="s">
        <v>3372</v>
      </c>
      <c r="D891" s="849" t="s">
        <v>3373</v>
      </c>
      <c r="E891" s="849" t="s">
        <v>768</v>
      </c>
      <c r="F891" s="849" t="s">
        <v>2814</v>
      </c>
      <c r="G891" s="849">
        <v>0.0</v>
      </c>
      <c r="H891" s="849">
        <v>0.0</v>
      </c>
      <c r="I891" s="849">
        <v>0.0</v>
      </c>
      <c r="J891" s="849">
        <v>0.0</v>
      </c>
      <c r="K891" s="849">
        <v>0.0</v>
      </c>
      <c r="L891" s="849">
        <v>0.0</v>
      </c>
      <c r="M891" s="849">
        <v>0.0</v>
      </c>
      <c r="N891" s="849">
        <v>0.0</v>
      </c>
      <c r="O891" s="849">
        <v>0.0</v>
      </c>
      <c r="P891" s="849">
        <v>0.0</v>
      </c>
      <c r="Q891" s="849">
        <v>0.0</v>
      </c>
      <c r="R891" s="849">
        <v>0.0</v>
      </c>
      <c r="S891" s="849">
        <v>0.0</v>
      </c>
      <c r="T891" s="849">
        <v>0.0</v>
      </c>
      <c r="U891" s="849">
        <v>0.0</v>
      </c>
      <c r="V891" s="849">
        <v>0.0</v>
      </c>
      <c r="W891" s="849">
        <v>0.0</v>
      </c>
      <c r="X891" s="849">
        <v>0.0</v>
      </c>
      <c r="Y891" s="849">
        <v>0.0</v>
      </c>
      <c r="Z891" s="849">
        <v>0.0</v>
      </c>
      <c r="AA891" s="849">
        <v>0.0</v>
      </c>
      <c r="AB891" s="849">
        <v>0.0</v>
      </c>
      <c r="AC891" s="849">
        <v>0.0</v>
      </c>
      <c r="AD891" s="849">
        <v>0.0</v>
      </c>
      <c r="AE891" s="849">
        <v>0.0</v>
      </c>
      <c r="AF891" s="849">
        <v>0.0</v>
      </c>
      <c r="AG891" s="849">
        <v>0.0</v>
      </c>
      <c r="AH891" s="849">
        <v>0.0</v>
      </c>
      <c r="AI891" s="849">
        <v>0.0</v>
      </c>
      <c r="AJ891" s="794" t="str">
        <f t="shared" ref="AJ891:AK891" si="1779">C891</f>
        <v>G903</v>
      </c>
      <c r="AK891" s="794" t="str">
        <f t="shared" si="1779"/>
        <v>ESCOMPTE DE CAISSE GAGNE</v>
      </c>
      <c r="AL891" s="794">
        <f t="array" ref="AL891">IFERROR(INDEX(G891:R891,1,MATCH(Parametres!$B$3,G$1:R$1,0)-1)*IF(OR(F891="L",F891="S",F891="I"),-1,1),"")</f>
        <v>0</v>
      </c>
      <c r="AM891" s="794">
        <f t="shared" si="4"/>
        <v>0</v>
      </c>
      <c r="AN891" s="794">
        <f t="array" ref="AN891">INDEX(G891:R891,1,MATCH(Parametres!$B$3,G$1:R$1,0))*IF(OR(F891="L",F891="S",F891="I"),-1,1)</f>
        <v>0</v>
      </c>
      <c r="AO891" s="853" t="str">
        <f>+VLOOKUP($AJ891,Data_Validation!$A:$D,1,0)</f>
        <v>#N/A</v>
      </c>
      <c r="AP891" s="853" t="str">
        <f>+VLOOKUP($AJ891,Data_Validation!$A:$D,3,0)</f>
        <v>#N/A</v>
      </c>
      <c r="AQ891" s="853" t="str">
        <f>+VLOOKUP($AJ891,Data_Validation!$A:$D,4,0)</f>
        <v>#N/A</v>
      </c>
      <c r="AR891" s="853" t="s">
        <v>728</v>
      </c>
      <c r="AS891" s="853" t="str">
        <f>+VLOOKUP($AJ891,Data_Validation!$A:$E,5,0)</f>
        <v>#N/A</v>
      </c>
      <c r="AT891" s="794" t="str">
        <f t="shared" ref="AT891:AU891" si="1780">C891</f>
        <v>G903</v>
      </c>
      <c r="AU891" s="854" t="str">
        <f t="shared" si="1780"/>
        <v>ESCOMPTE DE CAISSE GAGNE</v>
      </c>
      <c r="AV891" s="794">
        <f t="array" ref="AV891">IFERROR(INDEX(V891:AG891,1,MATCH(Parametres!$B$3,V$1:AG$1,0)-1)*IF(OR(C891="L",C891="S",C891="I"),-1,1),"")</f>
        <v>0</v>
      </c>
      <c r="AW891" s="794">
        <f t="shared" si="6"/>
        <v>0</v>
      </c>
      <c r="AX891" s="794">
        <f t="array" ref="AX891">INDEX(V891:AG891,1,MATCH(Parametres!$B$3,V$1:AG$1,0))*IF(OR(C891="L",C891="S",C891="I"),-1,1)</f>
        <v>0</v>
      </c>
      <c r="AY891" s="853" t="s">
        <v>772</v>
      </c>
      <c r="AZ891" s="853" t="str">
        <f>+VLOOKUP($AJ891,Data_Validation!$A:$E,5,0)</f>
        <v>#N/A</v>
      </c>
    </row>
    <row r="892" ht="15.0" customHeight="1">
      <c r="A892" s="849" t="s">
        <v>1239</v>
      </c>
      <c r="B892" s="849">
        <v>2025.0</v>
      </c>
      <c r="C892" s="849" t="s">
        <v>3374</v>
      </c>
      <c r="D892" s="849" t="s">
        <v>3375</v>
      </c>
      <c r="E892" s="849" t="s">
        <v>768</v>
      </c>
      <c r="F892" s="849" t="s">
        <v>2814</v>
      </c>
      <c r="G892" s="849">
        <v>0.0</v>
      </c>
      <c r="H892" s="849">
        <v>0.0</v>
      </c>
      <c r="I892" s="849">
        <v>0.0</v>
      </c>
      <c r="J892" s="849">
        <v>0.0</v>
      </c>
      <c r="K892" s="849">
        <v>0.0</v>
      </c>
      <c r="L892" s="849">
        <v>0.0</v>
      </c>
      <c r="M892" s="849">
        <v>0.0</v>
      </c>
      <c r="N892" s="849">
        <v>0.0</v>
      </c>
      <c r="O892" s="849">
        <v>0.0</v>
      </c>
      <c r="P892" s="849">
        <v>0.0</v>
      </c>
      <c r="Q892" s="849">
        <v>0.0</v>
      </c>
      <c r="R892" s="849">
        <v>0.0</v>
      </c>
      <c r="S892" s="849">
        <v>0.0</v>
      </c>
      <c r="T892" s="849">
        <v>0.0</v>
      </c>
      <c r="U892" s="849">
        <v>0.0</v>
      </c>
      <c r="V892" s="849">
        <v>0.0</v>
      </c>
      <c r="W892" s="849">
        <v>0.0</v>
      </c>
      <c r="X892" s="849">
        <v>0.0</v>
      </c>
      <c r="Y892" s="849">
        <v>0.0</v>
      </c>
      <c r="Z892" s="849">
        <v>0.0</v>
      </c>
      <c r="AA892" s="849">
        <v>0.0</v>
      </c>
      <c r="AB892" s="849">
        <v>0.0</v>
      </c>
      <c r="AC892" s="849">
        <v>0.0</v>
      </c>
      <c r="AD892" s="849">
        <v>0.0</v>
      </c>
      <c r="AE892" s="849">
        <v>0.0</v>
      </c>
      <c r="AF892" s="849">
        <v>0.0</v>
      </c>
      <c r="AG892" s="849">
        <v>0.0</v>
      </c>
      <c r="AH892" s="849">
        <v>0.0</v>
      </c>
      <c r="AI892" s="849">
        <v>0.0</v>
      </c>
      <c r="AJ892" s="794" t="str">
        <f t="shared" ref="AJ892:AK892" si="1781">C892</f>
        <v>G905</v>
      </c>
      <c r="AK892" s="794" t="str">
        <f t="shared" si="1781"/>
        <v>AUTRES REVENUS DIVERS</v>
      </c>
      <c r="AL892" s="794">
        <f t="array" ref="AL892">IFERROR(INDEX(G892:R892,1,MATCH(Parametres!$B$3,G$1:R$1,0)-1)*IF(OR(F892="L",F892="S",F892="I"),-1,1),"")</f>
        <v>0</v>
      </c>
      <c r="AM892" s="794">
        <f t="shared" si="4"/>
        <v>0</v>
      </c>
      <c r="AN892" s="794">
        <f t="array" ref="AN892">INDEX(G892:R892,1,MATCH(Parametres!$B$3,G$1:R$1,0))*IF(OR(F892="L",F892="S",F892="I"),-1,1)</f>
        <v>0</v>
      </c>
      <c r="AO892" s="853" t="str">
        <f>+VLOOKUP($AJ892,Data_Validation!$A:$D,1,0)</f>
        <v>#N/A</v>
      </c>
      <c r="AP892" s="853" t="str">
        <f>+VLOOKUP($AJ892,Data_Validation!$A:$D,3,0)</f>
        <v>#N/A</v>
      </c>
      <c r="AQ892" s="853" t="str">
        <f>+VLOOKUP($AJ892,Data_Validation!$A:$D,4,0)</f>
        <v>#N/A</v>
      </c>
      <c r="AR892" s="853" t="s">
        <v>728</v>
      </c>
      <c r="AS892" s="853" t="str">
        <f>+VLOOKUP($AJ892,Data_Validation!$A:$E,5,0)</f>
        <v>#N/A</v>
      </c>
      <c r="AT892" s="794" t="str">
        <f t="shared" ref="AT892:AU892" si="1782">C892</f>
        <v>G905</v>
      </c>
      <c r="AU892" s="854" t="str">
        <f t="shared" si="1782"/>
        <v>AUTRES REVENUS DIVERS</v>
      </c>
      <c r="AV892" s="794">
        <f t="array" ref="AV892">IFERROR(INDEX(V892:AG892,1,MATCH(Parametres!$B$3,V$1:AG$1,0)-1)*IF(OR(C892="L",C892="S",C892="I"),-1,1),"")</f>
        <v>0</v>
      </c>
      <c r="AW892" s="794">
        <f t="shared" si="6"/>
        <v>0</v>
      </c>
      <c r="AX892" s="794">
        <f t="array" ref="AX892">INDEX(V892:AG892,1,MATCH(Parametres!$B$3,V$1:AG$1,0))*IF(OR(C892="L",C892="S",C892="I"),-1,1)</f>
        <v>0</v>
      </c>
      <c r="AY892" s="853" t="s">
        <v>772</v>
      </c>
      <c r="AZ892" s="853" t="str">
        <f>+VLOOKUP($AJ892,Data_Validation!$A:$E,5,0)</f>
        <v>#N/A</v>
      </c>
    </row>
    <row r="893" ht="15.0" customHeight="1">
      <c r="A893" s="849" t="s">
        <v>1239</v>
      </c>
      <c r="B893" s="849">
        <v>2025.0</v>
      </c>
      <c r="C893" s="849" t="s">
        <v>3376</v>
      </c>
      <c r="D893" s="849" t="s">
        <v>3375</v>
      </c>
      <c r="E893" s="849" t="s">
        <v>768</v>
      </c>
      <c r="F893" s="849" t="s">
        <v>2814</v>
      </c>
      <c r="G893" s="849">
        <v>9200.92</v>
      </c>
      <c r="H893" s="849">
        <v>25416.37</v>
      </c>
      <c r="I893" s="849">
        <v>81395.02</v>
      </c>
      <c r="J893" s="849">
        <v>147113.78</v>
      </c>
      <c r="K893" s="849">
        <v>147338.01</v>
      </c>
      <c r="L893" s="849">
        <v>243648.3</v>
      </c>
      <c r="M893" s="849">
        <v>282236.84</v>
      </c>
      <c r="N893" s="849">
        <v>263170.24</v>
      </c>
      <c r="O893" s="849">
        <v>403132.56</v>
      </c>
      <c r="P893" s="849">
        <v>427595.42</v>
      </c>
      <c r="Q893" s="849">
        <v>461158.49</v>
      </c>
      <c r="R893" s="849">
        <v>1057498.86</v>
      </c>
      <c r="S893" s="849">
        <v>41923.5</v>
      </c>
      <c r="T893" s="849">
        <v>41923.5</v>
      </c>
      <c r="U893" s="849">
        <v>0.0</v>
      </c>
      <c r="V893" s="849">
        <v>6.0</v>
      </c>
      <c r="W893" s="849">
        <v>20.0</v>
      </c>
      <c r="X893" s="849">
        <v>34.0</v>
      </c>
      <c r="Y893" s="849">
        <v>45.0</v>
      </c>
      <c r="Z893" s="849">
        <v>47.0</v>
      </c>
      <c r="AA893" s="849">
        <v>59.0</v>
      </c>
      <c r="AB893" s="849">
        <v>65.0</v>
      </c>
      <c r="AC893" s="849">
        <v>51.0</v>
      </c>
      <c r="AD893" s="849">
        <v>49.0</v>
      </c>
      <c r="AE893" s="849">
        <v>53.0</v>
      </c>
      <c r="AF893" s="849">
        <v>54.0</v>
      </c>
      <c r="AG893" s="849">
        <v>69.0</v>
      </c>
      <c r="AH893" s="849">
        <v>5.0</v>
      </c>
      <c r="AI893" s="849">
        <v>5.0</v>
      </c>
      <c r="AJ893" s="794" t="str">
        <f t="shared" ref="AJ893:AK893" si="1783">C893</f>
        <v>G90500</v>
      </c>
      <c r="AK893" s="794" t="str">
        <f t="shared" si="1783"/>
        <v>AUTRES REVENUS DIVERS</v>
      </c>
      <c r="AL893" s="794">
        <f t="array" ref="AL893">IFERROR(INDEX(G893:R893,1,MATCH(Parametres!$B$3,G$1:R$1,0)-1)*IF(OR(F893="L",F893="S",F893="I"),-1,1),"")</f>
        <v>-263170.24</v>
      </c>
      <c r="AM893" s="794">
        <f t="shared" si="4"/>
        <v>-139962.32</v>
      </c>
      <c r="AN893" s="794">
        <f t="array" ref="AN893">INDEX(G893:R893,1,MATCH(Parametres!$B$3,G$1:R$1,0))*IF(OR(F893="L",F893="S",F893="I"),-1,1)</f>
        <v>-403132.56</v>
      </c>
      <c r="AO893" s="853" t="str">
        <f>+VLOOKUP($AJ893,Data_Validation!$A:$D,1,0)</f>
        <v>G90500</v>
      </c>
      <c r="AP893" s="853" t="str">
        <f>+VLOOKUP($AJ893,Data_Validation!$A:$D,3,0)</f>
        <v>TOTAL DES REVENUS ET DÉPENSES</v>
      </c>
      <c r="AQ893" s="853" t="str">
        <f>+VLOOKUP($AJ893,Data_Validation!$A:$D,4,0)</f>
        <v>Revenus autres</v>
      </c>
      <c r="AR893" s="853" t="s">
        <v>728</v>
      </c>
      <c r="AS893" s="853" t="str">
        <f>+VLOOKUP($AJ893,Data_Validation!$A:$E,5,0)</f>
        <v/>
      </c>
      <c r="AT893" s="794" t="str">
        <f t="shared" ref="AT893:AU893" si="1784">C893</f>
        <v>G90500</v>
      </c>
      <c r="AU893" s="854" t="str">
        <f t="shared" si="1784"/>
        <v>AUTRES REVENUS DIVERS</v>
      </c>
      <c r="AV893" s="794">
        <f t="array" ref="AV893">IFERROR(INDEX(V893:AG893,1,MATCH(Parametres!$B$3,V$1:AG$1,0)-1)*IF(OR(C893="L",C893="S",C893="I"),-1,1),"")</f>
        <v>51</v>
      </c>
      <c r="AW893" s="794">
        <f t="shared" si="6"/>
        <v>-2</v>
      </c>
      <c r="AX893" s="794">
        <f t="array" ref="AX893">INDEX(V893:AG893,1,MATCH(Parametres!$B$3,V$1:AG$1,0))*IF(OR(C893="L",C893="S",C893="I"),-1,1)</f>
        <v>49</v>
      </c>
      <c r="AY893" s="853" t="s">
        <v>772</v>
      </c>
      <c r="AZ893" s="853" t="str">
        <f>+VLOOKUP($AJ893,Data_Validation!$A:$E,5,0)</f>
        <v/>
      </c>
    </row>
    <row r="894" ht="15.0" customHeight="1">
      <c r="A894" s="849" t="s">
        <v>1239</v>
      </c>
      <c r="B894" s="849">
        <v>2025.0</v>
      </c>
      <c r="C894" s="849" t="s">
        <v>3391</v>
      </c>
      <c r="D894" s="849" t="s">
        <v>3392</v>
      </c>
      <c r="E894" s="849" t="s">
        <v>768</v>
      </c>
      <c r="F894" s="849" t="s">
        <v>2814</v>
      </c>
      <c r="G894" s="849">
        <v>0.0</v>
      </c>
      <c r="H894" s="849">
        <v>0.0</v>
      </c>
      <c r="I894" s="849">
        <v>45532.19</v>
      </c>
      <c r="J894" s="849">
        <v>46855.12</v>
      </c>
      <c r="K894" s="849">
        <v>142305.12</v>
      </c>
      <c r="L894" s="849">
        <v>153188.49</v>
      </c>
      <c r="M894" s="849">
        <v>178283.49</v>
      </c>
      <c r="N894" s="849">
        <v>203730.07</v>
      </c>
      <c r="O894" s="849">
        <v>230561.58</v>
      </c>
      <c r="P894" s="849">
        <v>284966.53</v>
      </c>
      <c r="Q894" s="849">
        <v>326879.89</v>
      </c>
      <c r="R894" s="849">
        <v>332501.82</v>
      </c>
      <c r="S894" s="849">
        <v>29716.35</v>
      </c>
      <c r="T894" s="849">
        <v>29716.35</v>
      </c>
      <c r="U894" s="849">
        <v>0.0</v>
      </c>
      <c r="V894" s="849">
        <v>0.0</v>
      </c>
      <c r="W894" s="849">
        <v>0.0</v>
      </c>
      <c r="X894" s="849">
        <v>8.0</v>
      </c>
      <c r="Y894" s="849">
        <v>10.0</v>
      </c>
      <c r="Z894" s="849">
        <v>2.0</v>
      </c>
      <c r="AA894" s="849">
        <v>5.0</v>
      </c>
      <c r="AB894" s="849">
        <v>8.0</v>
      </c>
      <c r="AC894" s="849">
        <v>12.0</v>
      </c>
      <c r="AD894" s="849">
        <v>13.0</v>
      </c>
      <c r="AE894" s="849">
        <v>22.0</v>
      </c>
      <c r="AF894" s="849">
        <v>26.0</v>
      </c>
      <c r="AG894" s="849">
        <v>32.0</v>
      </c>
      <c r="AH894" s="849">
        <v>2.0</v>
      </c>
      <c r="AI894" s="849">
        <v>2.0</v>
      </c>
      <c r="AJ894" s="794" t="str">
        <f t="shared" ref="AJ894:AK894" si="1785">C894</f>
        <v>G90900</v>
      </c>
      <c r="AK894" s="794" t="str">
        <f t="shared" si="1785"/>
        <v>REMBOURSEMENTS DE GMCL</v>
      </c>
      <c r="AL894" s="794">
        <f t="array" ref="AL894">IFERROR(INDEX(G894:R894,1,MATCH(Parametres!$B$3,G$1:R$1,0)-1)*IF(OR(F894="L",F894="S",F894="I"),-1,1),"")</f>
        <v>-203730.07</v>
      </c>
      <c r="AM894" s="794">
        <f t="shared" si="4"/>
        <v>-26831.51</v>
      </c>
      <c r="AN894" s="794">
        <f t="array" ref="AN894">INDEX(G894:R894,1,MATCH(Parametres!$B$3,G$1:R$1,0))*IF(OR(F894="L",F894="S",F894="I"),-1,1)</f>
        <v>-230561.58</v>
      </c>
      <c r="AO894" s="853" t="str">
        <f>+VLOOKUP($AJ894,Data_Validation!$A:$D,1,0)</f>
        <v>G90900</v>
      </c>
      <c r="AP894" s="853" t="str">
        <f>+VLOOKUP($AJ894,Data_Validation!$A:$D,3,0)</f>
        <v>Véhicules neufs</v>
      </c>
      <c r="AQ894" s="853" t="str">
        <f>+VLOOKUP($AJ894,Data_Validation!$A:$D,4,0)</f>
        <v>Programme Excellence</v>
      </c>
      <c r="AR894" s="853" t="s">
        <v>728</v>
      </c>
      <c r="AS894" s="853" t="str">
        <f>+VLOOKUP($AJ894,Data_Validation!$A:$E,5,0)</f>
        <v/>
      </c>
      <c r="AT894" s="794" t="str">
        <f t="shared" ref="AT894:AU894" si="1786">C894</f>
        <v>G90900</v>
      </c>
      <c r="AU894" s="854" t="str">
        <f t="shared" si="1786"/>
        <v>REMBOURSEMENTS DE GMCL</v>
      </c>
      <c r="AV894" s="794">
        <f t="array" ref="AV894">IFERROR(INDEX(V894:AG894,1,MATCH(Parametres!$B$3,V$1:AG$1,0)-1)*IF(OR(C894="L",C894="S",C894="I"),-1,1),"")</f>
        <v>12</v>
      </c>
      <c r="AW894" s="794">
        <f t="shared" si="6"/>
        <v>1</v>
      </c>
      <c r="AX894" s="794">
        <f t="array" ref="AX894">INDEX(V894:AG894,1,MATCH(Parametres!$B$3,V$1:AG$1,0))*IF(OR(C894="L",C894="S",C894="I"),-1,1)</f>
        <v>13</v>
      </c>
      <c r="AY894" s="853" t="s">
        <v>772</v>
      </c>
      <c r="AZ894" s="853" t="str">
        <f>+VLOOKUP($AJ894,Data_Validation!$A:$E,5,0)</f>
        <v/>
      </c>
    </row>
    <row r="895" ht="15.0" customHeight="1">
      <c r="A895" s="849" t="s">
        <v>1239</v>
      </c>
      <c r="B895" s="849">
        <v>2025.0</v>
      </c>
      <c r="C895" s="849" t="s">
        <v>3393</v>
      </c>
      <c r="D895" s="849" t="s">
        <v>3394</v>
      </c>
      <c r="E895" s="849" t="s">
        <v>768</v>
      </c>
      <c r="F895" s="849" t="s">
        <v>1200</v>
      </c>
      <c r="G895" s="849">
        <v>0.0</v>
      </c>
      <c r="H895" s="849">
        <v>0.0</v>
      </c>
      <c r="I895" s="849">
        <v>0.0</v>
      </c>
      <c r="J895" s="849">
        <v>0.0</v>
      </c>
      <c r="K895" s="849">
        <v>0.0</v>
      </c>
      <c r="L895" s="849">
        <v>0.0</v>
      </c>
      <c r="M895" s="849">
        <v>0.0</v>
      </c>
      <c r="N895" s="849">
        <v>0.0</v>
      </c>
      <c r="O895" s="849">
        <v>0.0</v>
      </c>
      <c r="P895" s="849">
        <v>0.0</v>
      </c>
      <c r="Q895" s="849">
        <v>0.0</v>
      </c>
      <c r="R895" s="849">
        <v>0.0</v>
      </c>
      <c r="S895" s="849">
        <v>0.0</v>
      </c>
      <c r="T895" s="849">
        <v>0.0</v>
      </c>
      <c r="U895" s="849">
        <v>0.0</v>
      </c>
      <c r="V895" s="849">
        <v>0.0</v>
      </c>
      <c r="W895" s="849">
        <v>0.0</v>
      </c>
      <c r="X895" s="849">
        <v>0.0</v>
      </c>
      <c r="Y895" s="849">
        <v>0.0</v>
      </c>
      <c r="Z895" s="849">
        <v>0.0</v>
      </c>
      <c r="AA895" s="849">
        <v>0.0</v>
      </c>
      <c r="AB895" s="849">
        <v>0.0</v>
      </c>
      <c r="AC895" s="849">
        <v>0.0</v>
      </c>
      <c r="AD895" s="849">
        <v>0.0</v>
      </c>
      <c r="AE895" s="849">
        <v>0.0</v>
      </c>
      <c r="AF895" s="849">
        <v>0.0</v>
      </c>
      <c r="AG895" s="849">
        <v>0.0</v>
      </c>
      <c r="AH895" s="849">
        <v>0.0</v>
      </c>
      <c r="AI895" s="849">
        <v>0.0</v>
      </c>
      <c r="AJ895" s="794" t="str">
        <f t="shared" ref="AJ895:AK895" si="1787">C895</f>
        <v>G953</v>
      </c>
      <c r="AK895" s="794" t="str">
        <f t="shared" si="1787"/>
        <v>ESCOMPTE ACCORDE</v>
      </c>
      <c r="AL895" s="794">
        <f t="array" ref="AL895">IFERROR(INDEX(G895:R895,1,MATCH(Parametres!$B$3,G$1:R$1,0)-1)*IF(OR(F895="L",F895="S",F895="I"),-1,1),"")</f>
        <v>0</v>
      </c>
      <c r="AM895" s="794">
        <f t="shared" si="4"/>
        <v>0</v>
      </c>
      <c r="AN895" s="794">
        <f t="array" ref="AN895">INDEX(G895:R895,1,MATCH(Parametres!$B$3,G$1:R$1,0))*IF(OR(F895="L",F895="S",F895="I"),-1,1)</f>
        <v>0</v>
      </c>
      <c r="AO895" s="853" t="str">
        <f>+VLOOKUP($AJ895,Data_Validation!$A:$D,1,0)</f>
        <v>#N/A</v>
      </c>
      <c r="AP895" s="853" t="str">
        <f>+VLOOKUP($AJ895,Data_Validation!$A:$D,3,0)</f>
        <v>#N/A</v>
      </c>
      <c r="AQ895" s="853" t="str">
        <f>+VLOOKUP($AJ895,Data_Validation!$A:$D,4,0)</f>
        <v>#N/A</v>
      </c>
      <c r="AR895" s="853" t="s">
        <v>728</v>
      </c>
      <c r="AS895" s="853" t="str">
        <f>+VLOOKUP($AJ895,Data_Validation!$A:$E,5,0)</f>
        <v>#N/A</v>
      </c>
      <c r="AT895" s="794" t="str">
        <f t="shared" ref="AT895:AU895" si="1788">C895</f>
        <v>G953</v>
      </c>
      <c r="AU895" s="854" t="str">
        <f t="shared" si="1788"/>
        <v>ESCOMPTE ACCORDE</v>
      </c>
      <c r="AV895" s="794">
        <f t="array" ref="AV895">IFERROR(INDEX(V895:AG895,1,MATCH(Parametres!$B$3,V$1:AG$1,0)-1)*IF(OR(C895="L",C895="S",C895="I"),-1,1),"")</f>
        <v>0</v>
      </c>
      <c r="AW895" s="794">
        <f t="shared" si="6"/>
        <v>0</v>
      </c>
      <c r="AX895" s="794">
        <f t="array" ref="AX895">INDEX(V895:AG895,1,MATCH(Parametres!$B$3,V$1:AG$1,0))*IF(OR(C895="L",C895="S",C895="I"),-1,1)</f>
        <v>0</v>
      </c>
      <c r="AY895" s="853" t="s">
        <v>772</v>
      </c>
      <c r="AZ895" s="853" t="str">
        <f>+VLOOKUP($AJ895,Data_Validation!$A:$E,5,0)</f>
        <v>#N/A</v>
      </c>
    </row>
    <row r="896" ht="15.0" customHeight="1">
      <c r="A896" s="849" t="s">
        <v>1239</v>
      </c>
      <c r="B896" s="849">
        <v>2025.0</v>
      </c>
      <c r="C896" s="849" t="s">
        <v>3395</v>
      </c>
      <c r="D896" s="849" t="s">
        <v>3396</v>
      </c>
      <c r="E896" s="849" t="s">
        <v>768</v>
      </c>
      <c r="F896" s="849" t="s">
        <v>1200</v>
      </c>
      <c r="G896" s="849">
        <v>0.0</v>
      </c>
      <c r="H896" s="849">
        <v>0.0</v>
      </c>
      <c r="I896" s="849">
        <v>0.0</v>
      </c>
      <c r="J896" s="849">
        <v>0.0</v>
      </c>
      <c r="K896" s="849">
        <v>0.0</v>
      </c>
      <c r="L896" s="849">
        <v>0.0</v>
      </c>
      <c r="M896" s="849">
        <v>0.0</v>
      </c>
      <c r="N896" s="849">
        <v>0.0</v>
      </c>
      <c r="O896" s="849">
        <v>0.0</v>
      </c>
      <c r="P896" s="849">
        <v>0.0</v>
      </c>
      <c r="Q896" s="849">
        <v>0.0</v>
      </c>
      <c r="R896" s="849">
        <v>0.0</v>
      </c>
      <c r="S896" s="849">
        <v>0.0</v>
      </c>
      <c r="T896" s="849">
        <v>0.0</v>
      </c>
      <c r="U896" s="849">
        <v>0.0</v>
      </c>
      <c r="V896" s="849">
        <v>0.0</v>
      </c>
      <c r="W896" s="849">
        <v>0.0</v>
      </c>
      <c r="X896" s="849">
        <v>0.0</v>
      </c>
      <c r="Y896" s="849">
        <v>0.0</v>
      </c>
      <c r="Z896" s="849">
        <v>0.0</v>
      </c>
      <c r="AA896" s="849">
        <v>0.0</v>
      </c>
      <c r="AB896" s="849">
        <v>0.0</v>
      </c>
      <c r="AC896" s="849">
        <v>0.0</v>
      </c>
      <c r="AD896" s="849">
        <v>0.0</v>
      </c>
      <c r="AE896" s="849">
        <v>0.0</v>
      </c>
      <c r="AF896" s="849">
        <v>0.0</v>
      </c>
      <c r="AG896" s="849">
        <v>0.0</v>
      </c>
      <c r="AH896" s="849">
        <v>0.0</v>
      </c>
      <c r="AI896" s="849">
        <v>0.0</v>
      </c>
      <c r="AJ896" s="794" t="str">
        <f t="shared" ref="AJ896:AK896" si="1789">C896</f>
        <v>G955</v>
      </c>
      <c r="AK896" s="794" t="str">
        <f t="shared" si="1789"/>
        <v>AUTRES DEDUCTIONS</v>
      </c>
      <c r="AL896" s="794">
        <f t="array" ref="AL896">IFERROR(INDEX(G896:R896,1,MATCH(Parametres!$B$3,G$1:R$1,0)-1)*IF(OR(F896="L",F896="S",F896="I"),-1,1),"")</f>
        <v>0</v>
      </c>
      <c r="AM896" s="794">
        <f t="shared" si="4"/>
        <v>0</v>
      </c>
      <c r="AN896" s="794">
        <f t="array" ref="AN896">INDEX(G896:R896,1,MATCH(Parametres!$B$3,G$1:R$1,0))*IF(OR(F896="L",F896="S",F896="I"),-1,1)</f>
        <v>0</v>
      </c>
      <c r="AO896" s="853" t="str">
        <f>+VLOOKUP($AJ896,Data_Validation!$A:$D,1,0)</f>
        <v>#N/A</v>
      </c>
      <c r="AP896" s="853" t="str">
        <f>+VLOOKUP($AJ896,Data_Validation!$A:$D,3,0)</f>
        <v>#N/A</v>
      </c>
      <c r="AQ896" s="853" t="str">
        <f>+VLOOKUP($AJ896,Data_Validation!$A:$D,4,0)</f>
        <v>#N/A</v>
      </c>
      <c r="AR896" s="853" t="s">
        <v>728</v>
      </c>
      <c r="AS896" s="853" t="str">
        <f>+VLOOKUP($AJ896,Data_Validation!$A:$E,5,0)</f>
        <v>#N/A</v>
      </c>
      <c r="AT896" s="794" t="str">
        <f t="shared" ref="AT896:AU896" si="1790">C896</f>
        <v>G955</v>
      </c>
      <c r="AU896" s="854" t="str">
        <f t="shared" si="1790"/>
        <v>AUTRES DEDUCTIONS</v>
      </c>
      <c r="AV896" s="794">
        <f t="array" ref="AV896">IFERROR(INDEX(V896:AG896,1,MATCH(Parametres!$B$3,V$1:AG$1,0)-1)*IF(OR(C896="L",C896="S",C896="I"),-1,1),"")</f>
        <v>0</v>
      </c>
      <c r="AW896" s="794">
        <f t="shared" si="6"/>
        <v>0</v>
      </c>
      <c r="AX896" s="794">
        <f t="array" ref="AX896">INDEX(V896:AG896,1,MATCH(Parametres!$B$3,V$1:AG$1,0))*IF(OR(C896="L",C896="S",C896="I"),-1,1)</f>
        <v>0</v>
      </c>
      <c r="AY896" s="853" t="s">
        <v>772</v>
      </c>
      <c r="AZ896" s="853" t="str">
        <f>+VLOOKUP($AJ896,Data_Validation!$A:$E,5,0)</f>
        <v>#N/A</v>
      </c>
    </row>
    <row r="897" ht="15.0" customHeight="1">
      <c r="A897" s="849" t="s">
        <v>1239</v>
      </c>
      <c r="B897" s="849">
        <v>2025.0</v>
      </c>
      <c r="C897" s="849" t="s">
        <v>3397</v>
      </c>
      <c r="D897" s="849" t="s">
        <v>3396</v>
      </c>
      <c r="E897" s="849" t="s">
        <v>768</v>
      </c>
      <c r="F897" s="849" t="s">
        <v>1200</v>
      </c>
      <c r="G897" s="849">
        <v>386.63</v>
      </c>
      <c r="H897" s="849">
        <v>1131.45</v>
      </c>
      <c r="I897" s="849">
        <v>1803.49</v>
      </c>
      <c r="J897" s="849">
        <v>2326.88</v>
      </c>
      <c r="K897" s="849">
        <v>3018.51</v>
      </c>
      <c r="L897" s="849">
        <v>3314.29</v>
      </c>
      <c r="M897" s="849">
        <v>3574.51</v>
      </c>
      <c r="N897" s="849">
        <v>3690.16</v>
      </c>
      <c r="O897" s="849">
        <v>3670.72</v>
      </c>
      <c r="P897" s="849">
        <v>3723.44</v>
      </c>
      <c r="Q897" s="849">
        <v>3764.29</v>
      </c>
      <c r="R897" s="849">
        <v>3797.9</v>
      </c>
      <c r="S897" s="849">
        <v>342.21</v>
      </c>
      <c r="T897" s="849">
        <v>342.21</v>
      </c>
      <c r="U897" s="849">
        <v>0.0</v>
      </c>
      <c r="V897" s="849">
        <v>0.0</v>
      </c>
      <c r="W897" s="849">
        <v>0.0</v>
      </c>
      <c r="X897" s="849">
        <v>0.0</v>
      </c>
      <c r="Y897" s="849">
        <v>0.0</v>
      </c>
      <c r="Z897" s="849">
        <v>0.0</v>
      </c>
      <c r="AA897" s="849">
        <v>0.0</v>
      </c>
      <c r="AB897" s="849">
        <v>0.0</v>
      </c>
      <c r="AC897" s="849">
        <v>0.0</v>
      </c>
      <c r="AD897" s="849">
        <v>0.0</v>
      </c>
      <c r="AE897" s="849">
        <v>0.0</v>
      </c>
      <c r="AF897" s="849">
        <v>0.0</v>
      </c>
      <c r="AG897" s="849">
        <v>0.0</v>
      </c>
      <c r="AH897" s="849">
        <v>0.0</v>
      </c>
      <c r="AI897" s="849">
        <v>0.0</v>
      </c>
      <c r="AJ897" s="794" t="str">
        <f t="shared" ref="AJ897:AK897" si="1791">C897</f>
        <v>G95500</v>
      </c>
      <c r="AK897" s="794" t="str">
        <f t="shared" si="1791"/>
        <v>AUTRES DEDUCTIONS</v>
      </c>
      <c r="AL897" s="794">
        <f t="array" ref="AL897">IFERROR(INDEX(G897:R897,1,MATCH(Parametres!$B$3,G$1:R$1,0)-1)*IF(OR(F897="L",F897="S",F897="I"),-1,1),"")</f>
        <v>3690.16</v>
      </c>
      <c r="AM897" s="794">
        <f t="shared" si="4"/>
        <v>-19.44</v>
      </c>
      <c r="AN897" s="794">
        <f t="array" ref="AN897">INDEX(G897:R897,1,MATCH(Parametres!$B$3,G$1:R$1,0))*IF(OR(F897="L",F897="S",F897="I"),-1,1)</f>
        <v>3670.72</v>
      </c>
      <c r="AO897" s="853" t="str">
        <f>+VLOOKUP($AJ897,Data_Validation!$A:$D,1,0)</f>
        <v>G95500</v>
      </c>
      <c r="AP897" s="853" t="str">
        <f>+VLOOKUP($AJ897,Data_Validation!$A:$D,3,0)</f>
        <v>TOTAL DES REVENUS ET DÉPENSES</v>
      </c>
      <c r="AQ897" s="853" t="str">
        <f>+VLOOKUP($AJ897,Data_Validation!$A:$D,4,0)</f>
        <v>Revenus autres</v>
      </c>
      <c r="AR897" s="853" t="s">
        <v>728</v>
      </c>
      <c r="AS897" s="853" t="str">
        <f>+VLOOKUP($AJ897,Data_Validation!$A:$E,5,0)</f>
        <v/>
      </c>
      <c r="AT897" s="794" t="str">
        <f t="shared" ref="AT897:AU897" si="1792">C897</f>
        <v>G95500</v>
      </c>
      <c r="AU897" s="854" t="str">
        <f t="shared" si="1792"/>
        <v>AUTRES DEDUCTIONS</v>
      </c>
      <c r="AV897" s="794">
        <f t="array" ref="AV897">IFERROR(INDEX(V897:AG897,1,MATCH(Parametres!$B$3,V$1:AG$1,0)-1)*IF(OR(C897="L",C897="S",C897="I"),-1,1),"")</f>
        <v>0</v>
      </c>
      <c r="AW897" s="794">
        <f t="shared" si="6"/>
        <v>0</v>
      </c>
      <c r="AX897" s="794">
        <f t="array" ref="AX897">INDEX(V897:AG897,1,MATCH(Parametres!$B$3,V$1:AG$1,0))*IF(OR(C897="L",C897="S",C897="I"),-1,1)</f>
        <v>0</v>
      </c>
      <c r="AY897" s="853" t="s">
        <v>772</v>
      </c>
      <c r="AZ897" s="853" t="str">
        <f>+VLOOKUP($AJ897,Data_Validation!$A:$E,5,0)</f>
        <v/>
      </c>
    </row>
    <row r="898" ht="15.0" customHeight="1">
      <c r="A898" s="849" t="s">
        <v>1239</v>
      </c>
      <c r="B898" s="849">
        <v>2025.0</v>
      </c>
      <c r="C898" s="849" t="s">
        <v>3402</v>
      </c>
      <c r="D898" s="849" t="s">
        <v>1923</v>
      </c>
      <c r="E898" s="849" t="s">
        <v>768</v>
      </c>
      <c r="F898" s="849" t="s">
        <v>1200</v>
      </c>
      <c r="G898" s="849">
        <v>0.0</v>
      </c>
      <c r="H898" s="849">
        <v>0.0</v>
      </c>
      <c r="I898" s="849">
        <v>0.0</v>
      </c>
      <c r="J898" s="849">
        <v>0.0</v>
      </c>
      <c r="K898" s="849">
        <v>0.0</v>
      </c>
      <c r="L898" s="849">
        <v>0.0</v>
      </c>
      <c r="M898" s="849">
        <v>0.0</v>
      </c>
      <c r="N898" s="849">
        <v>0.0</v>
      </c>
      <c r="O898" s="849">
        <v>0.0</v>
      </c>
      <c r="P898" s="849">
        <v>0.0</v>
      </c>
      <c r="Q898" s="849">
        <v>0.0</v>
      </c>
      <c r="R898" s="849">
        <v>0.0</v>
      </c>
      <c r="S898" s="849">
        <v>0.0</v>
      </c>
      <c r="T898" s="849">
        <v>0.0</v>
      </c>
      <c r="U898" s="849">
        <v>0.0</v>
      </c>
      <c r="V898" s="849">
        <v>0.0</v>
      </c>
      <c r="W898" s="849">
        <v>0.0</v>
      </c>
      <c r="X898" s="849">
        <v>0.0</v>
      </c>
      <c r="Y898" s="849">
        <v>0.0</v>
      </c>
      <c r="Z898" s="849">
        <v>0.0</v>
      </c>
      <c r="AA898" s="849">
        <v>0.0</v>
      </c>
      <c r="AB898" s="849">
        <v>0.0</v>
      </c>
      <c r="AC898" s="849">
        <v>0.0</v>
      </c>
      <c r="AD898" s="849">
        <v>0.0</v>
      </c>
      <c r="AE898" s="849">
        <v>0.0</v>
      </c>
      <c r="AF898" s="849">
        <v>0.0</v>
      </c>
      <c r="AG898" s="849">
        <v>0.0</v>
      </c>
      <c r="AH898" s="849">
        <v>0.0</v>
      </c>
      <c r="AI898" s="849">
        <v>0.0</v>
      </c>
      <c r="AJ898" s="794" t="str">
        <f t="shared" ref="AJ898:AK898" si="1793">C898</f>
        <v>G99960</v>
      </c>
      <c r="AK898" s="794" t="str">
        <f t="shared" si="1793"/>
        <v>IN &amp; OUT PAYROLL</v>
      </c>
      <c r="AL898" s="794">
        <f t="array" ref="AL898">IFERROR(INDEX(G898:R898,1,MATCH(Parametres!$B$3,G$1:R$1,0)-1)*IF(OR(F898="L",F898="S",F898="I"),-1,1),"")</f>
        <v>0</v>
      </c>
      <c r="AM898" s="794">
        <f t="shared" si="4"/>
        <v>0</v>
      </c>
      <c r="AN898" s="794">
        <f t="array" ref="AN898">INDEX(G898:R898,1,MATCH(Parametres!$B$3,G$1:R$1,0))*IF(OR(F898="L",F898="S",F898="I"),-1,1)</f>
        <v>0</v>
      </c>
      <c r="AO898" s="853" t="str">
        <f>+VLOOKUP($AJ898,Data_Validation!$A:$D,1,0)</f>
        <v>#N/A</v>
      </c>
      <c r="AP898" s="853" t="str">
        <f>+VLOOKUP($AJ898,Data_Validation!$A:$D,3,0)</f>
        <v>#N/A</v>
      </c>
      <c r="AQ898" s="853" t="str">
        <f>+VLOOKUP($AJ898,Data_Validation!$A:$D,4,0)</f>
        <v>#N/A</v>
      </c>
      <c r="AR898" s="853" t="s">
        <v>728</v>
      </c>
      <c r="AS898" s="853" t="str">
        <f>+VLOOKUP($AJ898,Data_Validation!$A:$E,5,0)</f>
        <v>#N/A</v>
      </c>
      <c r="AT898" s="794" t="str">
        <f t="shared" ref="AT898:AU898" si="1794">C898</f>
        <v>G99960</v>
      </c>
      <c r="AU898" s="854" t="str">
        <f t="shared" si="1794"/>
        <v>IN &amp; OUT PAYROLL</v>
      </c>
      <c r="AV898" s="794">
        <f t="array" ref="AV898">IFERROR(INDEX(V898:AG898,1,MATCH(Parametres!$B$3,V$1:AG$1,0)-1)*IF(OR(C898="L",C898="S",C898="I"),-1,1),"")</f>
        <v>0</v>
      </c>
      <c r="AW898" s="794">
        <f t="shared" si="6"/>
        <v>0</v>
      </c>
      <c r="AX898" s="794">
        <f t="array" ref="AX898">INDEX(V898:AG898,1,MATCH(Parametres!$B$3,V$1:AG$1,0))*IF(OR(C898="L",C898="S",C898="I"),-1,1)</f>
        <v>0</v>
      </c>
      <c r="AY898" s="853" t="s">
        <v>772</v>
      </c>
      <c r="AZ898" s="853" t="str">
        <f>+VLOOKUP($AJ898,Data_Validation!$A:$E,5,0)</f>
        <v>#N/A</v>
      </c>
    </row>
    <row r="899" ht="15.0" customHeight="1">
      <c r="A899" s="849" t="s">
        <v>1239</v>
      </c>
      <c r="B899" s="849">
        <v>2025.0</v>
      </c>
      <c r="C899" s="849" t="s">
        <v>3403</v>
      </c>
      <c r="D899" s="849" t="s">
        <v>3404</v>
      </c>
      <c r="E899" s="849" t="s">
        <v>2115</v>
      </c>
      <c r="F899" s="849" t="s">
        <v>1200</v>
      </c>
      <c r="G899" s="849">
        <v>0.0</v>
      </c>
      <c r="H899" s="849">
        <v>0.0</v>
      </c>
      <c r="I899" s="849">
        <v>0.0</v>
      </c>
      <c r="J899" s="849">
        <v>23889.82</v>
      </c>
      <c r="K899" s="849">
        <v>26446.45</v>
      </c>
      <c r="L899" s="849">
        <v>26446.45</v>
      </c>
      <c r="M899" s="849">
        <v>4832.51</v>
      </c>
      <c r="N899" s="849">
        <v>0.0</v>
      </c>
      <c r="O899" s="849">
        <v>0.0</v>
      </c>
      <c r="P899" s="849">
        <v>0.0</v>
      </c>
      <c r="Q899" s="849">
        <v>0.0</v>
      </c>
      <c r="R899" s="849">
        <v>0.0</v>
      </c>
      <c r="S899" s="849">
        <v>0.0</v>
      </c>
      <c r="T899" s="849">
        <v>0.0</v>
      </c>
      <c r="U899" s="849">
        <v>0.0</v>
      </c>
      <c r="V899" s="849">
        <v>0.0</v>
      </c>
      <c r="W899" s="849">
        <v>0.0</v>
      </c>
      <c r="X899" s="849">
        <v>0.0</v>
      </c>
      <c r="Y899" s="849">
        <v>0.0</v>
      </c>
      <c r="Z899" s="849">
        <v>0.0</v>
      </c>
      <c r="AA899" s="849">
        <v>0.0</v>
      </c>
      <c r="AB899" s="849">
        <v>0.0</v>
      </c>
      <c r="AC899" s="849">
        <v>0.0</v>
      </c>
      <c r="AD899" s="849">
        <v>0.0</v>
      </c>
      <c r="AE899" s="849">
        <v>0.0</v>
      </c>
      <c r="AF899" s="849">
        <v>0.0</v>
      </c>
      <c r="AG899" s="849">
        <v>0.0</v>
      </c>
      <c r="AH899" s="849">
        <v>0.0</v>
      </c>
      <c r="AI899" s="849">
        <v>0.0</v>
      </c>
      <c r="AJ899" s="794" t="str">
        <f t="shared" ref="AJ899:AK899" si="1795">C899</f>
        <v>G9999</v>
      </c>
      <c r="AK899" s="794" t="str">
        <f t="shared" si="1795"/>
        <v>CHARGES A REFACTURER</v>
      </c>
      <c r="AL899" s="794">
        <f t="array" ref="AL899">IFERROR(INDEX(G899:R899,1,MATCH(Parametres!$B$3,G$1:R$1,0)-1)*IF(OR(F899="L",F899="S",F899="I"),-1,1),"")</f>
        <v>0</v>
      </c>
      <c r="AM899" s="794">
        <f t="shared" si="4"/>
        <v>0</v>
      </c>
      <c r="AN899" s="794">
        <f t="array" ref="AN899">INDEX(G899:R899,1,MATCH(Parametres!$B$3,G$1:R$1,0))*IF(OR(F899="L",F899="S",F899="I"),-1,1)</f>
        <v>0</v>
      </c>
      <c r="AO899" s="853" t="str">
        <f>+VLOOKUP($AJ899,Data_Validation!$A:$D,1,0)</f>
        <v>G9999</v>
      </c>
      <c r="AP899" s="853" t="str">
        <f>+VLOOKUP($AJ899,Data_Validation!$A:$D,3,0)</f>
        <v>Wholesale autres</v>
      </c>
      <c r="AQ899" s="853" t="str">
        <f>+VLOOKUP($AJ899,Data_Validation!$A:$D,4,0)</f>
        <v>Frais de livraison</v>
      </c>
      <c r="AR899" s="853" t="s">
        <v>728</v>
      </c>
      <c r="AS899" s="853" t="str">
        <f>+VLOOKUP($AJ899,Data_Validation!$A:$E,5,0)</f>
        <v/>
      </c>
      <c r="AT899" s="794" t="str">
        <f t="shared" ref="AT899:AU899" si="1796">C899</f>
        <v>G9999</v>
      </c>
      <c r="AU899" s="854" t="str">
        <f t="shared" si="1796"/>
        <v>CHARGES A REFACTURER</v>
      </c>
      <c r="AV899" s="794">
        <f t="array" ref="AV899">IFERROR(INDEX(V899:AG899,1,MATCH(Parametres!$B$3,V$1:AG$1,0)-1)*IF(OR(C899="L",C899="S",C899="I"),-1,1),"")</f>
        <v>0</v>
      </c>
      <c r="AW899" s="794">
        <f t="shared" si="6"/>
        <v>0</v>
      </c>
      <c r="AX899" s="794">
        <f t="array" ref="AX899">INDEX(V899:AG899,1,MATCH(Parametres!$B$3,V$1:AG$1,0))*IF(OR(C899="L",C899="S",C899="I"),-1,1)</f>
        <v>0</v>
      </c>
      <c r="AY899" s="853" t="s">
        <v>772</v>
      </c>
      <c r="AZ899" s="853" t="str">
        <f>+VLOOKUP($AJ899,Data_Validation!$A:$E,5,0)</f>
        <v/>
      </c>
    </row>
  </sheetData>
  <autoFilter ref="$A$2:$AZ$899"/>
  <dataValidations>
    <dataValidation type="list" allowBlank="1" showErrorMessage="1" sqref="AP2">
      <formula1>$D$1:$D$26</formula1>
    </dataValidation>
  </dataValidations>
  <printOptions/>
  <pageMargins bottom="0.75" footer="0.0" header="0.0" left="0.7" right="0.7" top="0.75"/>
  <pageSetup scale="63" orientation="landscape"/>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showGridLines="0" workbookViewId="0"/>
  </sheetViews>
  <sheetFormatPr customHeight="1" defaultColWidth="12.63" defaultRowHeight="15.0"/>
  <cols>
    <col customWidth="1" min="1" max="1" width="11.0"/>
    <col customWidth="1" min="2" max="2" width="23.25"/>
    <col customWidth="1" min="3" max="3" width="13.25"/>
    <col customWidth="1" hidden="1" min="4" max="5" width="13.25"/>
    <col customWidth="1" min="6" max="8" width="13.25"/>
    <col customWidth="1" min="9" max="26" width="11.0"/>
  </cols>
  <sheetData>
    <row r="1" ht="14.25" customHeight="1">
      <c r="A1" s="5"/>
      <c r="B1" s="5"/>
      <c r="C1" s="4"/>
      <c r="D1" s="4"/>
      <c r="E1" s="5"/>
      <c r="F1" s="5"/>
      <c r="G1" s="5"/>
      <c r="H1" s="5"/>
      <c r="I1" s="5"/>
      <c r="J1" s="5"/>
      <c r="K1" s="5"/>
      <c r="L1" s="5"/>
      <c r="M1" s="5"/>
      <c r="N1" s="5"/>
      <c r="O1" s="5"/>
      <c r="P1" s="5"/>
      <c r="Q1" s="5"/>
      <c r="R1" s="5"/>
      <c r="S1" s="5"/>
      <c r="T1" s="5"/>
      <c r="U1" s="5"/>
      <c r="V1" s="5"/>
      <c r="W1" s="5"/>
      <c r="X1" s="5"/>
      <c r="Y1" s="5"/>
      <c r="Z1" s="5"/>
    </row>
    <row r="2" ht="15.0" customHeight="1">
      <c r="A2" s="5"/>
      <c r="B2" s="5"/>
      <c r="C2" s="4"/>
      <c r="D2" s="4"/>
      <c r="E2" s="5"/>
      <c r="F2" s="5"/>
      <c r="G2" s="5"/>
      <c r="H2" s="5"/>
      <c r="I2" s="5"/>
      <c r="J2" s="5"/>
      <c r="K2" s="5"/>
      <c r="L2" s="5"/>
      <c r="M2" s="5"/>
      <c r="N2" s="5"/>
      <c r="O2" s="5"/>
      <c r="P2" s="5"/>
      <c r="Q2" s="5"/>
      <c r="R2" s="5"/>
      <c r="S2" s="5"/>
      <c r="T2" s="5"/>
      <c r="U2" s="5"/>
      <c r="V2" s="5"/>
      <c r="W2" s="5"/>
      <c r="X2" s="5"/>
      <c r="Y2" s="5"/>
      <c r="Z2" s="5"/>
    </row>
    <row r="3" ht="14.25" customHeight="1">
      <c r="A3" s="5"/>
      <c r="B3" s="5"/>
      <c r="C3" s="4"/>
      <c r="D3" s="4"/>
      <c r="E3" s="5"/>
      <c r="F3" s="5"/>
      <c r="G3" s="5"/>
      <c r="H3" s="5"/>
      <c r="I3" s="5"/>
      <c r="J3" s="5"/>
      <c r="K3" s="5"/>
      <c r="L3" s="5"/>
      <c r="M3" s="5"/>
      <c r="N3" s="5"/>
      <c r="O3" s="5"/>
      <c r="P3" s="5"/>
      <c r="Q3" s="5"/>
      <c r="R3" s="5"/>
      <c r="S3" s="5"/>
      <c r="T3" s="5"/>
      <c r="U3" s="5"/>
      <c r="V3" s="5"/>
      <c r="W3" s="5"/>
      <c r="X3" s="5"/>
      <c r="Y3" s="5"/>
      <c r="Z3" s="5"/>
    </row>
    <row r="4" ht="14.25" customHeight="1">
      <c r="A4" s="5"/>
      <c r="B4" s="5"/>
      <c r="C4" s="868" t="s">
        <v>16</v>
      </c>
      <c r="D4" s="869"/>
      <c r="E4" s="869"/>
      <c r="F4" s="869"/>
      <c r="G4" s="276"/>
      <c r="H4" s="5"/>
      <c r="I4" s="5"/>
      <c r="J4" s="5"/>
      <c r="K4" s="5"/>
      <c r="L4" s="5"/>
      <c r="M4" s="5"/>
      <c r="N4" s="5"/>
      <c r="O4" s="5"/>
      <c r="P4" s="5"/>
      <c r="Q4" s="5"/>
      <c r="R4" s="5"/>
      <c r="S4" s="5"/>
      <c r="T4" s="5"/>
      <c r="U4" s="5"/>
      <c r="V4" s="5"/>
      <c r="W4" s="5"/>
      <c r="X4" s="5"/>
      <c r="Y4" s="5"/>
      <c r="Z4" s="5"/>
    </row>
    <row r="5" ht="14.25" customHeight="1">
      <c r="A5" s="870"/>
      <c r="B5" s="870"/>
      <c r="C5" s="871" t="s">
        <v>3509</v>
      </c>
      <c r="D5" s="872" t="s">
        <v>708</v>
      </c>
      <c r="E5" s="873" t="s">
        <v>3510</v>
      </c>
      <c r="F5" s="872">
        <v>2025.0</v>
      </c>
      <c r="G5" s="873" t="s">
        <v>3511</v>
      </c>
      <c r="H5" s="870"/>
      <c r="I5" s="870"/>
      <c r="J5" s="870"/>
      <c r="K5" s="870"/>
      <c r="L5" s="870"/>
      <c r="M5" s="870"/>
      <c r="N5" s="870"/>
      <c r="O5" s="870"/>
      <c r="P5" s="870"/>
      <c r="Q5" s="870"/>
      <c r="R5" s="870"/>
      <c r="S5" s="870"/>
      <c r="T5" s="870"/>
      <c r="U5" s="870"/>
      <c r="V5" s="870"/>
      <c r="W5" s="870"/>
      <c r="X5" s="870"/>
      <c r="Y5" s="870"/>
      <c r="Z5" s="870"/>
    </row>
    <row r="6" ht="14.25" customHeight="1">
      <c r="A6" s="870"/>
      <c r="B6" s="874" t="s">
        <v>3512</v>
      </c>
      <c r="C6" s="875">
        <f>Print_Mois!J13</f>
        <v>79</v>
      </c>
      <c r="D6" s="876"/>
      <c r="E6" s="877">
        <f t="shared" ref="E6:E10" si="1">C6-D6</f>
        <v>79</v>
      </c>
      <c r="F6" s="878">
        <f>Print_Mois!O13</f>
        <v>62</v>
      </c>
      <c r="G6" s="877">
        <f t="shared" ref="G6:G19" si="2">C6-F6</f>
        <v>17</v>
      </c>
      <c r="H6" s="870"/>
      <c r="I6" s="870"/>
      <c r="J6" s="870"/>
      <c r="K6" s="870"/>
      <c r="L6" s="870"/>
      <c r="M6" s="870"/>
      <c r="N6" s="870"/>
      <c r="O6" s="870"/>
      <c r="P6" s="870"/>
      <c r="Q6" s="870"/>
      <c r="R6" s="870"/>
      <c r="S6" s="870"/>
      <c r="T6" s="870"/>
      <c r="U6" s="870"/>
      <c r="V6" s="870"/>
      <c r="W6" s="870"/>
      <c r="X6" s="870"/>
      <c r="Y6" s="870"/>
      <c r="Z6" s="870"/>
    </row>
    <row r="7" ht="14.25" customHeight="1">
      <c r="A7" s="870"/>
      <c r="B7" s="879" t="s">
        <v>3513</v>
      </c>
      <c r="C7" s="880">
        <f>Print_Mois!J17</f>
        <v>51</v>
      </c>
      <c r="D7" s="881"/>
      <c r="E7" s="877">
        <f t="shared" si="1"/>
        <v>51</v>
      </c>
      <c r="F7" s="882">
        <f>Print_Mois!O17</f>
        <v>82</v>
      </c>
      <c r="G7" s="883">
        <f t="shared" si="2"/>
        <v>-31</v>
      </c>
      <c r="H7" s="870"/>
      <c r="I7" s="870"/>
      <c r="J7" s="870"/>
      <c r="K7" s="870"/>
      <c r="L7" s="870"/>
      <c r="M7" s="870"/>
      <c r="N7" s="870"/>
      <c r="O7" s="870"/>
      <c r="P7" s="870"/>
      <c r="Q7" s="870"/>
      <c r="R7" s="870"/>
      <c r="S7" s="870"/>
      <c r="T7" s="870"/>
      <c r="U7" s="870"/>
      <c r="V7" s="870"/>
      <c r="W7" s="870"/>
      <c r="X7" s="870"/>
      <c r="Y7" s="870"/>
      <c r="Z7" s="870"/>
    </row>
    <row r="8" ht="14.25" customHeight="1">
      <c r="A8" s="870"/>
      <c r="B8" s="884" t="s">
        <v>3514</v>
      </c>
      <c r="C8" s="885">
        <f>Print_Mois!J97</f>
        <v>22</v>
      </c>
      <c r="D8" s="886"/>
      <c r="E8" s="887">
        <f t="shared" si="1"/>
        <v>22</v>
      </c>
      <c r="F8" s="888">
        <f>Print_Mois!O97</f>
        <v>14</v>
      </c>
      <c r="G8" s="887">
        <f t="shared" si="2"/>
        <v>8</v>
      </c>
      <c r="H8" s="870"/>
      <c r="I8" s="870"/>
      <c r="J8" s="870"/>
      <c r="K8" s="870"/>
      <c r="L8" s="870"/>
      <c r="M8" s="870"/>
      <c r="N8" s="870"/>
      <c r="O8" s="870"/>
      <c r="P8" s="870"/>
      <c r="Q8" s="870"/>
      <c r="R8" s="870"/>
      <c r="S8" s="870"/>
      <c r="T8" s="870"/>
      <c r="U8" s="870"/>
      <c r="V8" s="870"/>
      <c r="W8" s="870"/>
      <c r="X8" s="870"/>
      <c r="Y8" s="870"/>
      <c r="Z8" s="870"/>
    </row>
    <row r="9" ht="14.25" customHeight="1">
      <c r="A9" s="5"/>
      <c r="B9" s="889" t="s">
        <v>3515</v>
      </c>
      <c r="C9" s="890">
        <f>Print_Mois!L27</f>
        <v>208229.46</v>
      </c>
      <c r="D9" s="891"/>
      <c r="E9" s="892">
        <f t="shared" si="1"/>
        <v>208229.46</v>
      </c>
      <c r="F9" s="891">
        <f>Print_Mois!Q27</f>
        <v>251703.21</v>
      </c>
      <c r="G9" s="892">
        <f t="shared" si="2"/>
        <v>-43473.75</v>
      </c>
      <c r="H9" s="5"/>
      <c r="I9" s="5"/>
      <c r="J9" s="5"/>
      <c r="K9" s="5"/>
      <c r="L9" s="5"/>
      <c r="M9" s="5"/>
      <c r="N9" s="5"/>
      <c r="O9" s="5"/>
      <c r="P9" s="5"/>
      <c r="Q9" s="5"/>
      <c r="R9" s="5"/>
      <c r="S9" s="5"/>
      <c r="T9" s="5"/>
      <c r="U9" s="5"/>
      <c r="V9" s="5"/>
      <c r="W9" s="5"/>
      <c r="X9" s="5"/>
      <c r="Y9" s="5"/>
      <c r="Z9" s="5"/>
    </row>
    <row r="10" ht="14.25" customHeight="1">
      <c r="A10" s="5"/>
      <c r="B10" s="889" t="s">
        <v>3516</v>
      </c>
      <c r="C10" s="890">
        <f>Print_Mois!L109</f>
        <v>39324.43</v>
      </c>
      <c r="D10" s="891"/>
      <c r="E10" s="892">
        <f t="shared" si="1"/>
        <v>39324.43</v>
      </c>
      <c r="F10" s="891">
        <f>Print_Mois!Q109</f>
        <v>121884.5</v>
      </c>
      <c r="G10" s="892">
        <f t="shared" si="2"/>
        <v>-82560.07</v>
      </c>
      <c r="H10" s="5"/>
      <c r="I10" s="5"/>
      <c r="J10" s="5"/>
      <c r="K10" s="5"/>
      <c r="L10" s="5"/>
      <c r="M10" s="5"/>
      <c r="N10" s="5"/>
      <c r="O10" s="5"/>
      <c r="P10" s="5"/>
      <c r="Q10" s="5"/>
      <c r="R10" s="5"/>
      <c r="S10" s="5"/>
      <c r="T10" s="5"/>
      <c r="U10" s="5"/>
      <c r="V10" s="5"/>
      <c r="W10" s="5"/>
      <c r="X10" s="5"/>
      <c r="Y10" s="5"/>
      <c r="Z10" s="5"/>
    </row>
    <row r="11" ht="14.25" customHeight="1">
      <c r="A11" s="5"/>
      <c r="B11" s="889" t="s">
        <v>3517</v>
      </c>
      <c r="C11" s="890">
        <f>Print_Mois!L182</f>
        <v>-44043.82</v>
      </c>
      <c r="D11" s="891"/>
      <c r="E11" s="892"/>
      <c r="F11" s="891">
        <f>Print_Mois!Q182</f>
        <v>56234.75</v>
      </c>
      <c r="G11" s="892">
        <f t="shared" si="2"/>
        <v>-100278.57</v>
      </c>
      <c r="H11" s="5"/>
      <c r="I11" s="5"/>
      <c r="J11" s="5"/>
      <c r="K11" s="5"/>
      <c r="L11" s="5"/>
      <c r="M11" s="5"/>
      <c r="N11" s="5"/>
      <c r="O11" s="5"/>
      <c r="P11" s="5"/>
      <c r="Q11" s="5"/>
      <c r="R11" s="5"/>
      <c r="S11" s="5"/>
      <c r="T11" s="5"/>
      <c r="U11" s="5"/>
      <c r="V11" s="5"/>
      <c r="W11" s="5"/>
      <c r="X11" s="5"/>
      <c r="Y11" s="5"/>
      <c r="Z11" s="5"/>
    </row>
    <row r="12" ht="14.25" customHeight="1">
      <c r="A12" s="5"/>
      <c r="B12" s="889" t="s">
        <v>3518</v>
      </c>
      <c r="C12" s="890">
        <f>Print_Mois!L268</f>
        <v>107821.07</v>
      </c>
      <c r="D12" s="891"/>
      <c r="E12" s="892">
        <f>C12-D12</f>
        <v>107821.07</v>
      </c>
      <c r="F12" s="891">
        <f>Print_Mois!Q268</f>
        <v>152404.22</v>
      </c>
      <c r="G12" s="892">
        <f t="shared" si="2"/>
        <v>-44583.15</v>
      </c>
      <c r="H12" s="5"/>
      <c r="I12" s="5"/>
      <c r="J12" s="5"/>
      <c r="K12" s="5"/>
      <c r="L12" s="5"/>
      <c r="M12" s="5"/>
      <c r="N12" s="5"/>
      <c r="O12" s="5"/>
      <c r="P12" s="5"/>
      <c r="Q12" s="5"/>
      <c r="R12" s="5"/>
      <c r="S12" s="5"/>
      <c r="T12" s="5"/>
      <c r="U12" s="5"/>
      <c r="V12" s="5"/>
      <c r="W12" s="5"/>
      <c r="X12" s="5"/>
      <c r="Y12" s="5"/>
      <c r="Z12" s="5"/>
    </row>
    <row r="13" ht="14.25" customHeight="1">
      <c r="A13" s="5"/>
      <c r="B13" s="889" t="s">
        <v>3519</v>
      </c>
      <c r="C13" s="890">
        <f>Print_Mois!L448</f>
        <v>68237.71</v>
      </c>
      <c r="D13" s="891"/>
      <c r="E13" s="892"/>
      <c r="F13" s="891">
        <f>Print_Mois!Q448</f>
        <v>54634.71</v>
      </c>
      <c r="G13" s="892">
        <f t="shared" si="2"/>
        <v>13603</v>
      </c>
      <c r="H13" s="5"/>
      <c r="I13" s="5"/>
      <c r="J13" s="5"/>
      <c r="K13" s="5"/>
      <c r="L13" s="5"/>
      <c r="M13" s="5"/>
      <c r="N13" s="5"/>
      <c r="O13" s="5"/>
      <c r="P13" s="5"/>
      <c r="Q13" s="5"/>
      <c r="R13" s="5"/>
      <c r="S13" s="5"/>
      <c r="T13" s="5"/>
      <c r="U13" s="5"/>
      <c r="V13" s="5"/>
      <c r="W13" s="5"/>
      <c r="X13" s="5"/>
      <c r="Y13" s="5"/>
      <c r="Z13" s="5"/>
    </row>
    <row r="14" ht="14.25" customHeight="1">
      <c r="A14" s="5"/>
      <c r="B14" s="889" t="s">
        <v>3520</v>
      </c>
      <c r="C14" s="890">
        <f>Print_Mois!L326</f>
        <v>90104.36</v>
      </c>
      <c r="D14" s="891"/>
      <c r="E14" s="892"/>
      <c r="F14" s="891">
        <f>Print_Mois!Q326</f>
        <v>75487.76</v>
      </c>
      <c r="G14" s="892">
        <f t="shared" si="2"/>
        <v>14616.6</v>
      </c>
      <c r="H14" s="5"/>
      <c r="I14" s="5"/>
      <c r="J14" s="5"/>
      <c r="K14" s="5"/>
      <c r="L14" s="5"/>
      <c r="M14" s="5"/>
      <c r="N14" s="5"/>
      <c r="O14" s="5"/>
      <c r="P14" s="5"/>
      <c r="Q14" s="5"/>
      <c r="R14" s="5"/>
      <c r="S14" s="5"/>
      <c r="T14" s="5"/>
      <c r="U14" s="5"/>
      <c r="V14" s="5"/>
      <c r="W14" s="5"/>
      <c r="X14" s="5"/>
      <c r="Y14" s="5"/>
      <c r="Z14" s="5"/>
    </row>
    <row r="15" ht="14.25" customHeight="1">
      <c r="A15" s="5"/>
      <c r="B15" s="889" t="s">
        <v>3521</v>
      </c>
      <c r="C15" s="890">
        <f>Print_Mois!L390</f>
        <v>95793.36</v>
      </c>
      <c r="D15" s="891"/>
      <c r="E15" s="892">
        <f t="shared" ref="E15:E19" si="4">C15-D15</f>
        <v>95793.36</v>
      </c>
      <c r="F15" s="891">
        <f>Print_Mois!Q390</f>
        <v>116102.02</v>
      </c>
      <c r="G15" s="892">
        <f t="shared" si="2"/>
        <v>-20308.66</v>
      </c>
      <c r="H15" s="5"/>
      <c r="I15" s="5"/>
      <c r="J15" s="5"/>
      <c r="K15" s="5"/>
      <c r="L15" s="5"/>
      <c r="M15" s="5"/>
      <c r="N15" s="5"/>
      <c r="O15" s="5"/>
      <c r="P15" s="5"/>
      <c r="Q15" s="5"/>
      <c r="R15" s="5"/>
      <c r="S15" s="5"/>
      <c r="T15" s="5"/>
      <c r="U15" s="5"/>
      <c r="V15" s="5"/>
      <c r="W15" s="5"/>
      <c r="X15" s="5"/>
      <c r="Y15" s="5"/>
      <c r="Z15" s="5"/>
    </row>
    <row r="16" ht="14.25" customHeight="1">
      <c r="A16" s="5"/>
      <c r="B16" s="893" t="s">
        <v>3522</v>
      </c>
      <c r="C16" s="894">
        <f t="shared" ref="C16:D16" si="3">SUM(C9:C15)</f>
        <v>565466.57</v>
      </c>
      <c r="D16" s="895">
        <f t="shared" si="3"/>
        <v>0</v>
      </c>
      <c r="E16" s="896">
        <f t="shared" si="4"/>
        <v>565466.57</v>
      </c>
      <c r="F16" s="895">
        <f>SUM(F9:F15)</f>
        <v>828451.17</v>
      </c>
      <c r="G16" s="896">
        <f t="shared" si="2"/>
        <v>-262984.6</v>
      </c>
      <c r="H16" s="5"/>
      <c r="I16" s="5"/>
      <c r="J16" s="5"/>
      <c r="K16" s="5"/>
      <c r="L16" s="5"/>
      <c r="M16" s="5"/>
      <c r="N16" s="5"/>
      <c r="O16" s="5"/>
      <c r="P16" s="5"/>
      <c r="Q16" s="5"/>
      <c r="R16" s="5"/>
      <c r="S16" s="5"/>
      <c r="T16" s="5"/>
      <c r="U16" s="5"/>
      <c r="V16" s="5"/>
      <c r="W16" s="5"/>
      <c r="X16" s="5"/>
      <c r="Y16" s="5"/>
      <c r="Z16" s="5"/>
    </row>
    <row r="17" ht="14.25" customHeight="1">
      <c r="A17" s="5"/>
      <c r="B17" s="889" t="s">
        <v>3523</v>
      </c>
      <c r="C17" s="890">
        <f>Print_Mois!AF568</f>
        <v>107149.73</v>
      </c>
      <c r="D17" s="891"/>
      <c r="E17" s="892">
        <f t="shared" si="4"/>
        <v>107149.73</v>
      </c>
      <c r="F17" s="891">
        <f>Print_Mois!AL568</f>
        <v>166813.27</v>
      </c>
      <c r="G17" s="892">
        <f t="shared" si="2"/>
        <v>-59663.54</v>
      </c>
      <c r="H17" s="5"/>
      <c r="I17" s="5"/>
      <c r="J17" s="5"/>
      <c r="K17" s="5"/>
      <c r="L17" s="5"/>
      <c r="M17" s="5"/>
      <c r="N17" s="5"/>
      <c r="O17" s="5"/>
      <c r="P17" s="5"/>
      <c r="Q17" s="5"/>
      <c r="R17" s="5"/>
      <c r="S17" s="5"/>
      <c r="T17" s="5"/>
      <c r="U17" s="5"/>
      <c r="V17" s="5"/>
      <c r="W17" s="5"/>
      <c r="X17" s="5"/>
      <c r="Y17" s="5"/>
      <c r="Z17" s="5"/>
    </row>
    <row r="18" ht="14.25" customHeight="1">
      <c r="A18" s="5"/>
      <c r="B18" s="889" t="s">
        <v>3524</v>
      </c>
      <c r="C18" s="890">
        <f>-Print_Mois!AF555</f>
        <v>-539643.7</v>
      </c>
      <c r="D18" s="891"/>
      <c r="E18" s="892">
        <f t="shared" si="4"/>
        <v>-539643.7</v>
      </c>
      <c r="F18" s="891">
        <f>-Print_Mois!AL555</f>
        <v>-498162.35</v>
      </c>
      <c r="G18" s="892">
        <f t="shared" si="2"/>
        <v>-41481.35</v>
      </c>
      <c r="H18" s="5"/>
      <c r="I18" s="5"/>
      <c r="J18" s="5"/>
      <c r="K18" s="5"/>
      <c r="L18" s="5"/>
      <c r="M18" s="5"/>
      <c r="N18" s="5"/>
      <c r="O18" s="5"/>
      <c r="P18" s="5"/>
      <c r="Q18" s="5"/>
      <c r="R18" s="5"/>
      <c r="S18" s="5"/>
      <c r="T18" s="5"/>
      <c r="U18" s="5"/>
      <c r="V18" s="5"/>
      <c r="W18" s="5"/>
      <c r="X18" s="5"/>
      <c r="Y18" s="5"/>
      <c r="Z18" s="5"/>
    </row>
    <row r="19" ht="14.25" customHeight="1">
      <c r="A19" s="5"/>
      <c r="B19" s="889" t="s">
        <v>3525</v>
      </c>
      <c r="C19" s="890">
        <f>-Print_Mois!AF578-Print_Mois!AF579-Print_Mois!AF580-Print_Mois!AF581-Print_Mois!AF583</f>
        <v>-18519.14</v>
      </c>
      <c r="D19" s="891"/>
      <c r="E19" s="892">
        <f t="shared" si="4"/>
        <v>-18519.14</v>
      </c>
      <c r="F19" s="891">
        <f>-Print_Mois!AL578-Print_Mois!AL579-Print_Mois!AL580-Print_Mois!AL581-Print_Mois!AL583</f>
        <v>-10786.23</v>
      </c>
      <c r="G19" s="892">
        <f t="shared" si="2"/>
        <v>-7732.91</v>
      </c>
      <c r="H19" s="5"/>
      <c r="I19" s="5"/>
      <c r="J19" s="5"/>
      <c r="K19" s="5"/>
      <c r="L19" s="5"/>
      <c r="M19" s="5"/>
      <c r="N19" s="5"/>
      <c r="O19" s="5"/>
      <c r="P19" s="5"/>
      <c r="Q19" s="5"/>
      <c r="R19" s="5"/>
      <c r="S19" s="5"/>
      <c r="T19" s="5"/>
      <c r="U19" s="5"/>
      <c r="V19" s="5"/>
      <c r="W19" s="5"/>
      <c r="X19" s="5"/>
      <c r="Y19" s="5"/>
      <c r="Z19" s="5"/>
    </row>
    <row r="20" ht="14.25" customHeight="1">
      <c r="A20" s="5"/>
      <c r="B20" s="897" t="s">
        <v>3526</v>
      </c>
      <c r="C20" s="898">
        <f t="shared" ref="C20:G20" si="5">SUM(C16:C19)</f>
        <v>114453.46</v>
      </c>
      <c r="D20" s="899">
        <f t="shared" si="5"/>
        <v>0</v>
      </c>
      <c r="E20" s="900">
        <f t="shared" si="5"/>
        <v>114453.46</v>
      </c>
      <c r="F20" s="899">
        <f t="shared" si="5"/>
        <v>486315.86</v>
      </c>
      <c r="G20" s="900">
        <f t="shared" si="5"/>
        <v>-371862.4</v>
      </c>
      <c r="H20" s="5"/>
      <c r="I20" s="5"/>
      <c r="J20" s="5"/>
      <c r="K20" s="5"/>
      <c r="L20" s="5"/>
      <c r="M20" s="5"/>
      <c r="N20" s="5"/>
      <c r="O20" s="5"/>
      <c r="P20" s="5"/>
      <c r="Q20" s="5"/>
      <c r="R20" s="5"/>
      <c r="S20" s="5"/>
      <c r="T20" s="5"/>
      <c r="U20" s="5"/>
      <c r="V20" s="5"/>
      <c r="W20" s="5"/>
      <c r="X20" s="5"/>
      <c r="Y20" s="5"/>
      <c r="Z20" s="5"/>
    </row>
    <row r="21" ht="14.25" customHeight="1">
      <c r="A21" s="5"/>
      <c r="B21" s="5"/>
      <c r="C21" s="4"/>
      <c r="D21" s="4"/>
      <c r="E21" s="5"/>
      <c r="F21" s="5"/>
      <c r="G21" s="5"/>
      <c r="H21" s="5"/>
      <c r="I21" s="5"/>
      <c r="J21" s="5"/>
      <c r="K21" s="5"/>
      <c r="L21" s="5"/>
      <c r="M21" s="5"/>
      <c r="N21" s="5"/>
      <c r="O21" s="5"/>
      <c r="P21" s="5"/>
      <c r="Q21" s="5"/>
      <c r="R21" s="5"/>
      <c r="S21" s="5"/>
      <c r="T21" s="5"/>
      <c r="U21" s="5"/>
      <c r="V21" s="5"/>
      <c r="W21" s="5"/>
      <c r="X21" s="5"/>
      <c r="Y21" s="5"/>
      <c r="Z21" s="5"/>
    </row>
    <row r="22" ht="14.25" customHeight="1">
      <c r="A22" s="5"/>
      <c r="B22" s="5"/>
      <c r="C22" s="868" t="s">
        <v>3527</v>
      </c>
      <c r="D22" s="869"/>
      <c r="E22" s="869"/>
      <c r="F22" s="869"/>
      <c r="G22" s="276"/>
      <c r="H22" s="5"/>
      <c r="I22" s="5"/>
      <c r="J22" s="5"/>
      <c r="K22" s="5"/>
      <c r="L22" s="5"/>
      <c r="M22" s="5"/>
      <c r="N22" s="5"/>
      <c r="O22" s="5"/>
      <c r="P22" s="5"/>
      <c r="Q22" s="5"/>
      <c r="R22" s="5"/>
      <c r="S22" s="5"/>
      <c r="T22" s="5"/>
      <c r="U22" s="5"/>
      <c r="V22" s="5"/>
      <c r="W22" s="5"/>
      <c r="X22" s="5"/>
      <c r="Y22" s="5"/>
      <c r="Z22" s="5"/>
    </row>
    <row r="23" ht="14.25" customHeight="1">
      <c r="A23" s="5"/>
      <c r="B23" s="870"/>
      <c r="C23" s="871" t="s">
        <v>3528</v>
      </c>
      <c r="D23" s="872" t="s">
        <v>3529</v>
      </c>
      <c r="E23" s="873" t="s">
        <v>3510</v>
      </c>
      <c r="F23" s="872" t="s">
        <v>3530</v>
      </c>
      <c r="G23" s="873" t="s">
        <v>3511</v>
      </c>
      <c r="H23" s="5"/>
      <c r="I23" s="5"/>
      <c r="J23" s="5"/>
      <c r="K23" s="5"/>
      <c r="L23" s="5"/>
      <c r="M23" s="5"/>
      <c r="N23" s="5"/>
      <c r="O23" s="5"/>
      <c r="P23" s="5"/>
      <c r="Q23" s="5"/>
      <c r="R23" s="5"/>
      <c r="S23" s="5"/>
      <c r="T23" s="5"/>
      <c r="U23" s="5"/>
      <c r="V23" s="5"/>
      <c r="W23" s="5"/>
      <c r="X23" s="5"/>
      <c r="Y23" s="5"/>
      <c r="Z23" s="5"/>
    </row>
    <row r="24" ht="14.25" customHeight="1">
      <c r="A24" s="5"/>
      <c r="B24" s="874" t="s">
        <v>3512</v>
      </c>
      <c r="C24" s="875">
        <f>Print_AAD!J13</f>
        <v>435</v>
      </c>
      <c r="D24" s="876"/>
      <c r="E24" s="877">
        <f t="shared" ref="E24:E28" si="6">C24-D24</f>
        <v>435</v>
      </c>
      <c r="F24" s="878">
        <f>Print_AAD!O13</f>
        <v>589</v>
      </c>
      <c r="G24" s="877">
        <f t="shared" ref="G24:G37" si="7">C24-F24</f>
        <v>-154</v>
      </c>
      <c r="H24" s="5"/>
      <c r="I24" s="5"/>
      <c r="J24" s="5"/>
      <c r="K24" s="5"/>
      <c r="L24" s="5"/>
      <c r="M24" s="5"/>
      <c r="N24" s="5"/>
      <c r="O24" s="5"/>
      <c r="P24" s="5"/>
      <c r="Q24" s="5"/>
      <c r="R24" s="5"/>
      <c r="S24" s="5"/>
      <c r="T24" s="5"/>
      <c r="U24" s="5"/>
      <c r="V24" s="5"/>
      <c r="W24" s="5"/>
      <c r="X24" s="5"/>
      <c r="Y24" s="5"/>
      <c r="Z24" s="5"/>
    </row>
    <row r="25" ht="14.25" customHeight="1">
      <c r="A25" s="5"/>
      <c r="B25" s="879" t="s">
        <v>3513</v>
      </c>
      <c r="C25" s="880">
        <f>Print_AAD!J17</f>
        <v>989</v>
      </c>
      <c r="D25" s="881"/>
      <c r="E25" s="877">
        <f t="shared" si="6"/>
        <v>989</v>
      </c>
      <c r="F25" s="882">
        <f>Print_AAD!O17</f>
        <v>1252</v>
      </c>
      <c r="G25" s="883">
        <f t="shared" si="7"/>
        <v>-263</v>
      </c>
      <c r="H25" s="5"/>
      <c r="I25" s="5"/>
      <c r="J25" s="5"/>
      <c r="K25" s="5"/>
      <c r="L25" s="5"/>
      <c r="M25" s="5"/>
      <c r="N25" s="5"/>
      <c r="O25" s="5"/>
      <c r="P25" s="5"/>
      <c r="Q25" s="5"/>
      <c r="R25" s="5"/>
      <c r="S25" s="5"/>
      <c r="T25" s="5"/>
      <c r="U25" s="5"/>
      <c r="V25" s="5"/>
      <c r="W25" s="5"/>
      <c r="X25" s="5"/>
      <c r="Y25" s="5"/>
      <c r="Z25" s="5"/>
    </row>
    <row r="26" ht="14.25" customHeight="1">
      <c r="A26" s="5"/>
      <c r="B26" s="884" t="s">
        <v>3514</v>
      </c>
      <c r="C26" s="885">
        <f>Print_AAD!J97</f>
        <v>193</v>
      </c>
      <c r="D26" s="886"/>
      <c r="E26" s="887">
        <f t="shared" si="6"/>
        <v>193</v>
      </c>
      <c r="F26" s="888">
        <f>Print_AAD!O97</f>
        <v>83</v>
      </c>
      <c r="G26" s="887">
        <f t="shared" si="7"/>
        <v>110</v>
      </c>
      <c r="H26" s="5"/>
      <c r="I26" s="5"/>
      <c r="J26" s="5"/>
      <c r="K26" s="5"/>
      <c r="L26" s="5"/>
      <c r="M26" s="5"/>
      <c r="N26" s="5"/>
      <c r="O26" s="5"/>
      <c r="P26" s="5"/>
      <c r="Q26" s="5"/>
      <c r="R26" s="5"/>
      <c r="S26" s="5"/>
      <c r="T26" s="5"/>
      <c r="U26" s="5"/>
      <c r="V26" s="5"/>
      <c r="W26" s="5"/>
      <c r="X26" s="5"/>
      <c r="Y26" s="5"/>
      <c r="Z26" s="5"/>
    </row>
    <row r="27" ht="14.25" customHeight="1">
      <c r="A27" s="5"/>
      <c r="B27" s="889" t="s">
        <v>3515</v>
      </c>
      <c r="C27" s="890">
        <f>Print_AAD!L27</f>
        <v>1831907.13</v>
      </c>
      <c r="D27" s="891"/>
      <c r="E27" s="892">
        <f t="shared" si="6"/>
        <v>1831907.13</v>
      </c>
      <c r="F27" s="891">
        <f>Print_AAD!Q27</f>
        <v>2759193.44</v>
      </c>
      <c r="G27" s="892">
        <f t="shared" si="7"/>
        <v>-927286.31</v>
      </c>
      <c r="H27" s="5"/>
      <c r="I27" s="5"/>
      <c r="J27" s="5"/>
      <c r="K27" s="5"/>
      <c r="L27" s="5"/>
      <c r="M27" s="5"/>
      <c r="N27" s="5"/>
      <c r="O27" s="5"/>
      <c r="P27" s="5"/>
      <c r="Q27" s="5"/>
      <c r="R27" s="5"/>
      <c r="S27" s="5"/>
      <c r="T27" s="5"/>
      <c r="U27" s="5"/>
      <c r="V27" s="5"/>
      <c r="W27" s="5"/>
      <c r="X27" s="5"/>
      <c r="Y27" s="5"/>
      <c r="Z27" s="5"/>
    </row>
    <row r="28" ht="14.25" customHeight="1">
      <c r="A28" s="5"/>
      <c r="B28" s="889" t="s">
        <v>3516</v>
      </c>
      <c r="C28" s="890">
        <f>Print_AAD!L109</f>
        <v>521865.26</v>
      </c>
      <c r="D28" s="891"/>
      <c r="E28" s="892">
        <f t="shared" si="6"/>
        <v>521865.26</v>
      </c>
      <c r="F28" s="891">
        <f>Print_AAD!Q109</f>
        <v>586353.82</v>
      </c>
      <c r="G28" s="892">
        <f t="shared" si="7"/>
        <v>-64488.56</v>
      </c>
      <c r="H28" s="5"/>
      <c r="I28" s="5"/>
      <c r="J28" s="5"/>
      <c r="K28" s="5"/>
      <c r="L28" s="5"/>
      <c r="M28" s="5"/>
      <c r="N28" s="5"/>
      <c r="O28" s="5"/>
      <c r="P28" s="5"/>
      <c r="Q28" s="5"/>
      <c r="R28" s="5"/>
      <c r="S28" s="5"/>
      <c r="T28" s="5"/>
      <c r="U28" s="5"/>
      <c r="V28" s="5"/>
      <c r="W28" s="5"/>
      <c r="X28" s="5"/>
      <c r="Y28" s="5"/>
      <c r="Z28" s="5"/>
    </row>
    <row r="29" ht="14.25" customHeight="1">
      <c r="A29" s="5"/>
      <c r="B29" s="889" t="s">
        <v>3517</v>
      </c>
      <c r="C29" s="890">
        <f>Print_AAD!L182</f>
        <v>1102528</v>
      </c>
      <c r="D29" s="891"/>
      <c r="E29" s="892"/>
      <c r="F29" s="891">
        <f>Print_AAD!Q182</f>
        <v>1204328.97</v>
      </c>
      <c r="G29" s="892">
        <f t="shared" si="7"/>
        <v>-101800.97</v>
      </c>
      <c r="H29" s="5"/>
      <c r="I29" s="5"/>
      <c r="J29" s="5"/>
      <c r="K29" s="5"/>
      <c r="L29" s="5"/>
      <c r="M29" s="5"/>
      <c r="N29" s="5"/>
      <c r="O29" s="5"/>
      <c r="P29" s="5"/>
      <c r="Q29" s="5"/>
      <c r="R29" s="5"/>
      <c r="S29" s="5"/>
      <c r="T29" s="5"/>
      <c r="U29" s="5"/>
      <c r="V29" s="5"/>
      <c r="W29" s="5"/>
      <c r="X29" s="5"/>
      <c r="Y29" s="5"/>
      <c r="Z29" s="5"/>
    </row>
    <row r="30" ht="14.25" customHeight="1">
      <c r="A30" s="5"/>
      <c r="B30" s="889" t="s">
        <v>3518</v>
      </c>
      <c r="C30" s="890">
        <f>Print_AAD!L268</f>
        <v>1193728.7</v>
      </c>
      <c r="D30" s="891"/>
      <c r="E30" s="892"/>
      <c r="F30" s="891">
        <f>Print_AAD!Q268</f>
        <v>1440907.41</v>
      </c>
      <c r="G30" s="892">
        <f t="shared" si="7"/>
        <v>-247178.71</v>
      </c>
      <c r="H30" s="5"/>
      <c r="I30" s="5"/>
      <c r="J30" s="5"/>
      <c r="K30" s="5"/>
      <c r="L30" s="5"/>
      <c r="M30" s="5"/>
      <c r="N30" s="5"/>
      <c r="O30" s="5"/>
      <c r="P30" s="5"/>
      <c r="Q30" s="5"/>
      <c r="R30" s="5"/>
      <c r="S30" s="5"/>
      <c r="T30" s="5"/>
      <c r="U30" s="5"/>
      <c r="V30" s="5"/>
      <c r="W30" s="5"/>
      <c r="X30" s="5"/>
      <c r="Y30" s="5"/>
      <c r="Z30" s="5"/>
    </row>
    <row r="31" ht="14.25" customHeight="1">
      <c r="A31" s="5"/>
      <c r="B31" s="889" t="s">
        <v>3519</v>
      </c>
      <c r="C31" s="890">
        <f>Print_AAD!L448</f>
        <v>616909.24</v>
      </c>
      <c r="D31" s="891"/>
      <c r="E31" s="892"/>
      <c r="F31" s="891">
        <f>Print_AAD!Q448</f>
        <v>565981.3</v>
      </c>
      <c r="G31" s="892">
        <f t="shared" si="7"/>
        <v>50927.94</v>
      </c>
      <c r="H31" s="5"/>
      <c r="I31" s="5"/>
      <c r="J31" s="5"/>
      <c r="K31" s="5"/>
      <c r="L31" s="5"/>
      <c r="M31" s="5"/>
      <c r="N31" s="5"/>
      <c r="O31" s="5"/>
      <c r="P31" s="5"/>
      <c r="Q31" s="5"/>
      <c r="R31" s="5"/>
      <c r="S31" s="5"/>
      <c r="T31" s="5"/>
      <c r="U31" s="5"/>
      <c r="V31" s="5"/>
      <c r="W31" s="5"/>
      <c r="X31" s="5"/>
      <c r="Y31" s="5"/>
      <c r="Z31" s="5"/>
    </row>
    <row r="32" ht="14.25" customHeight="1">
      <c r="A32" s="5"/>
      <c r="B32" s="889" t="s">
        <v>3520</v>
      </c>
      <c r="C32" s="890">
        <f>Print_AAD!L326</f>
        <v>638893.72</v>
      </c>
      <c r="D32" s="891"/>
      <c r="E32" s="892">
        <f t="shared" ref="E32:E37" si="8">C32-D32</f>
        <v>638893.72</v>
      </c>
      <c r="F32" s="891">
        <f>Print_AAD!Q326</f>
        <v>593583.27</v>
      </c>
      <c r="G32" s="892">
        <f t="shared" si="7"/>
        <v>45310.45</v>
      </c>
      <c r="H32" s="5"/>
      <c r="I32" s="5"/>
      <c r="J32" s="5"/>
      <c r="K32" s="5"/>
      <c r="L32" s="5"/>
      <c r="M32" s="5"/>
      <c r="N32" s="5"/>
      <c r="O32" s="5"/>
      <c r="P32" s="5"/>
      <c r="Q32" s="5"/>
      <c r="R32" s="5"/>
      <c r="S32" s="5"/>
      <c r="T32" s="5"/>
      <c r="U32" s="5"/>
      <c r="V32" s="5"/>
      <c r="W32" s="5"/>
      <c r="X32" s="5"/>
      <c r="Y32" s="5"/>
      <c r="Z32" s="5"/>
    </row>
    <row r="33" ht="14.25" customHeight="1">
      <c r="A33" s="5"/>
      <c r="B33" s="889" t="s">
        <v>3521</v>
      </c>
      <c r="C33" s="890">
        <f>Print_AAD!L390</f>
        <v>882110.65</v>
      </c>
      <c r="D33" s="891"/>
      <c r="E33" s="892">
        <f t="shared" si="8"/>
        <v>882110.65</v>
      </c>
      <c r="F33" s="891">
        <f>Print_AAD!Q390</f>
        <v>892489.22</v>
      </c>
      <c r="G33" s="892">
        <f t="shared" si="7"/>
        <v>-10378.57</v>
      </c>
      <c r="H33" s="5"/>
      <c r="I33" s="5"/>
      <c r="J33" s="5"/>
      <c r="K33" s="5"/>
      <c r="L33" s="5"/>
      <c r="M33" s="5"/>
      <c r="N33" s="5"/>
      <c r="O33" s="5"/>
      <c r="P33" s="5"/>
      <c r="Q33" s="5"/>
      <c r="R33" s="5"/>
      <c r="S33" s="5"/>
      <c r="T33" s="5"/>
      <c r="U33" s="5"/>
      <c r="V33" s="5"/>
      <c r="W33" s="5"/>
      <c r="X33" s="5"/>
      <c r="Y33" s="5"/>
      <c r="Z33" s="5"/>
    </row>
    <row r="34" ht="14.25" customHeight="1">
      <c r="A34" s="5"/>
      <c r="B34" s="893" t="s">
        <v>3522</v>
      </c>
      <c r="C34" s="894">
        <f t="shared" ref="C34:D34" si="9">SUM(C27:C33)</f>
        <v>6787942.7</v>
      </c>
      <c r="D34" s="895">
        <f t="shared" si="9"/>
        <v>0</v>
      </c>
      <c r="E34" s="896">
        <f t="shared" si="8"/>
        <v>6787942.7</v>
      </c>
      <c r="F34" s="895">
        <f>SUM(F27:F33)</f>
        <v>8042837.43</v>
      </c>
      <c r="G34" s="896">
        <f t="shared" si="7"/>
        <v>-1254894.73</v>
      </c>
      <c r="H34" s="5"/>
      <c r="I34" s="5"/>
      <c r="J34" s="5"/>
      <c r="K34" s="5"/>
      <c r="L34" s="5"/>
      <c r="M34" s="5"/>
      <c r="N34" s="5"/>
      <c r="O34" s="5"/>
      <c r="P34" s="5"/>
      <c r="Q34" s="5"/>
      <c r="R34" s="5"/>
      <c r="S34" s="5"/>
      <c r="T34" s="5"/>
      <c r="U34" s="5"/>
      <c r="V34" s="5"/>
      <c r="W34" s="5"/>
      <c r="X34" s="5"/>
      <c r="Y34" s="5"/>
      <c r="Z34" s="5"/>
    </row>
    <row r="35" ht="14.25" customHeight="1">
      <c r="A35" s="5"/>
      <c r="B35" s="889" t="s">
        <v>3523</v>
      </c>
      <c r="C35" s="890">
        <f>Print_AAD!AF568</f>
        <v>509221.16</v>
      </c>
      <c r="D35" s="891"/>
      <c r="E35" s="892">
        <f t="shared" si="8"/>
        <v>509221.16</v>
      </c>
      <c r="F35" s="891">
        <f>Print_AAD!AL568</f>
        <v>630023.42</v>
      </c>
      <c r="G35" s="892">
        <f t="shared" si="7"/>
        <v>-120802.26</v>
      </c>
      <c r="H35" s="5"/>
      <c r="I35" s="5"/>
      <c r="J35" s="5"/>
      <c r="K35" s="5"/>
      <c r="L35" s="5"/>
      <c r="M35" s="5"/>
      <c r="N35" s="5"/>
      <c r="O35" s="5"/>
      <c r="P35" s="5"/>
      <c r="Q35" s="5"/>
      <c r="R35" s="5"/>
      <c r="S35" s="5"/>
      <c r="T35" s="5"/>
      <c r="U35" s="5"/>
      <c r="V35" s="5"/>
      <c r="W35" s="5"/>
      <c r="X35" s="5"/>
      <c r="Y35" s="5"/>
      <c r="Z35" s="5"/>
    </row>
    <row r="36" ht="14.25" customHeight="1">
      <c r="A36" s="5"/>
      <c r="B36" s="889" t="s">
        <v>3524</v>
      </c>
      <c r="C36" s="890">
        <f>-Print_AAD!AF555</f>
        <v>-5163679.97</v>
      </c>
      <c r="D36" s="891"/>
      <c r="E36" s="892">
        <f t="shared" si="8"/>
        <v>-5163679.97</v>
      </c>
      <c r="F36" s="891">
        <f>-Print_AAD!AL555</f>
        <v>-5501492.16</v>
      </c>
      <c r="G36" s="892">
        <f t="shared" si="7"/>
        <v>337812.19</v>
      </c>
      <c r="H36" s="5" t="s">
        <v>3531</v>
      </c>
      <c r="I36" s="5"/>
      <c r="J36" s="5"/>
      <c r="K36" s="5"/>
      <c r="L36" s="5"/>
      <c r="M36" s="5"/>
      <c r="N36" s="5"/>
      <c r="O36" s="5"/>
      <c r="P36" s="5"/>
      <c r="Q36" s="5"/>
      <c r="R36" s="5"/>
      <c r="S36" s="5"/>
      <c r="T36" s="5"/>
      <c r="U36" s="5"/>
      <c r="V36" s="5"/>
      <c r="W36" s="5"/>
      <c r="X36" s="5"/>
      <c r="Y36" s="5"/>
      <c r="Z36" s="5"/>
    </row>
    <row r="37" ht="14.25" customHeight="1">
      <c r="A37" s="5"/>
      <c r="B37" s="889" t="s">
        <v>3532</v>
      </c>
      <c r="C37" s="890">
        <f>-Print_AAD!AF578-Print_AAD!AF579-Print_AAD!AF580-Print_AAD!AF581-Print_AAD!AF583</f>
        <v>-139259.9</v>
      </c>
      <c r="D37" s="891"/>
      <c r="E37" s="892">
        <f t="shared" si="8"/>
        <v>-139259.9</v>
      </c>
      <c r="F37" s="891">
        <f>-Print_AAD!AL578-Print_AAD!AL579-Print_AAD!AL580-Print_AAD!AL581-Print_AAD!AL583</f>
        <v>-101488.8</v>
      </c>
      <c r="G37" s="892">
        <f t="shared" si="7"/>
        <v>-37771.1</v>
      </c>
      <c r="H37" s="5"/>
      <c r="I37" s="5"/>
      <c r="J37" s="5"/>
      <c r="K37" s="5"/>
      <c r="L37" s="5"/>
      <c r="M37" s="5"/>
      <c r="N37" s="5"/>
      <c r="O37" s="5"/>
      <c r="P37" s="5"/>
      <c r="Q37" s="5"/>
      <c r="R37" s="5"/>
      <c r="S37" s="5"/>
      <c r="T37" s="5"/>
      <c r="U37" s="5"/>
      <c r="V37" s="5"/>
      <c r="W37" s="5"/>
      <c r="X37" s="5"/>
      <c r="Y37" s="5"/>
      <c r="Z37" s="5"/>
    </row>
    <row r="38" ht="14.25" customHeight="1">
      <c r="A38" s="5"/>
      <c r="B38" s="897" t="s">
        <v>3526</v>
      </c>
      <c r="C38" s="898">
        <f t="shared" ref="C38:G38" si="10">SUM(C34:C37)</f>
        <v>1994223.99</v>
      </c>
      <c r="D38" s="899">
        <f t="shared" si="10"/>
        <v>0</v>
      </c>
      <c r="E38" s="900">
        <f t="shared" si="10"/>
        <v>1994223.99</v>
      </c>
      <c r="F38" s="899">
        <f t="shared" si="10"/>
        <v>3069879.89</v>
      </c>
      <c r="G38" s="900">
        <f t="shared" si="10"/>
        <v>-1075655.9</v>
      </c>
      <c r="H38" s="5"/>
      <c r="I38" s="5"/>
      <c r="J38" s="5"/>
      <c r="K38" s="5"/>
      <c r="L38" s="5"/>
      <c r="M38" s="5"/>
      <c r="N38" s="5"/>
      <c r="O38" s="5"/>
      <c r="P38" s="5"/>
      <c r="Q38" s="5"/>
      <c r="R38" s="5"/>
      <c r="S38" s="5"/>
      <c r="T38" s="5"/>
      <c r="U38" s="5"/>
      <c r="V38" s="5"/>
      <c r="W38" s="5"/>
      <c r="X38" s="5"/>
      <c r="Y38" s="5"/>
      <c r="Z38" s="5"/>
    </row>
    <row r="39" ht="14.25" customHeight="1">
      <c r="A39" s="5"/>
      <c r="B39" s="5"/>
      <c r="C39" s="4"/>
      <c r="D39" s="4"/>
      <c r="E39" s="5"/>
      <c r="F39" s="5"/>
      <c r="G39" s="5"/>
      <c r="H39" s="5"/>
      <c r="I39" s="5"/>
      <c r="J39" s="5"/>
      <c r="K39" s="5"/>
      <c r="L39" s="5"/>
      <c r="M39" s="5"/>
      <c r="N39" s="5"/>
      <c r="O39" s="5"/>
      <c r="P39" s="5"/>
      <c r="Q39" s="5"/>
      <c r="R39" s="5"/>
      <c r="S39" s="5"/>
      <c r="T39" s="5"/>
      <c r="U39" s="5"/>
      <c r="V39" s="5"/>
      <c r="W39" s="5"/>
      <c r="X39" s="5"/>
      <c r="Y39" s="5"/>
      <c r="Z39" s="5"/>
    </row>
    <row r="40" ht="14.25" hidden="1" customHeight="1">
      <c r="A40" s="5"/>
      <c r="B40" s="5"/>
      <c r="C40" s="868" t="s">
        <v>3533</v>
      </c>
      <c r="D40" s="869"/>
      <c r="E40" s="869"/>
      <c r="F40" s="869"/>
      <c r="G40" s="276"/>
      <c r="H40" s="5"/>
      <c r="I40" s="5"/>
      <c r="J40" s="5"/>
      <c r="K40" s="5"/>
      <c r="L40" s="5"/>
      <c r="M40" s="5"/>
      <c r="N40" s="5"/>
      <c r="O40" s="5"/>
      <c r="P40" s="5"/>
      <c r="Q40" s="5"/>
      <c r="R40" s="5"/>
      <c r="S40" s="5"/>
      <c r="T40" s="5"/>
      <c r="U40" s="5"/>
      <c r="V40" s="5"/>
      <c r="W40" s="5"/>
      <c r="X40" s="5"/>
      <c r="Y40" s="5"/>
      <c r="Z40" s="5"/>
    </row>
    <row r="41" ht="14.25" hidden="1" customHeight="1">
      <c r="A41" s="5"/>
      <c r="B41" s="870"/>
      <c r="C41" s="901" t="s">
        <v>3534</v>
      </c>
      <c r="D41" s="901" t="s">
        <v>3535</v>
      </c>
      <c r="E41" s="873" t="s">
        <v>3510</v>
      </c>
      <c r="F41" s="872" t="s">
        <v>3536</v>
      </c>
      <c r="G41" s="873" t="s">
        <v>3537</v>
      </c>
      <c r="H41" s="5"/>
      <c r="I41" s="5"/>
      <c r="J41" s="5"/>
      <c r="K41" s="5"/>
      <c r="L41" s="5"/>
      <c r="M41" s="5"/>
      <c r="N41" s="5"/>
      <c r="O41" s="5"/>
      <c r="P41" s="5"/>
      <c r="Q41" s="5"/>
      <c r="R41" s="5"/>
      <c r="S41" s="5"/>
      <c r="T41" s="5"/>
      <c r="U41" s="5"/>
      <c r="V41" s="5"/>
      <c r="W41" s="5"/>
      <c r="X41" s="5"/>
      <c r="Y41" s="5"/>
      <c r="Z41" s="5"/>
    </row>
    <row r="42" ht="14.25" hidden="1" customHeight="1">
      <c r="A42" s="5"/>
      <c r="B42" s="874" t="s">
        <v>3512</v>
      </c>
      <c r="C42" s="875">
        <v>56.0</v>
      </c>
      <c r="D42" s="876">
        <v>65.0</v>
      </c>
      <c r="E42" s="877">
        <f t="shared" ref="E42:E51" si="11">C42-D42</f>
        <v>-9</v>
      </c>
      <c r="F42" s="878">
        <v>58.0</v>
      </c>
      <c r="G42" s="877">
        <f t="shared" ref="G42:G51" si="12">C42-F42</f>
        <v>-2</v>
      </c>
      <c r="H42" s="5"/>
      <c r="I42" s="5"/>
      <c r="J42" s="5"/>
      <c r="K42" s="5"/>
      <c r="L42" s="5"/>
      <c r="M42" s="5"/>
      <c r="N42" s="5"/>
      <c r="O42" s="5"/>
      <c r="P42" s="5"/>
      <c r="Q42" s="5"/>
      <c r="R42" s="5"/>
      <c r="S42" s="5"/>
      <c r="T42" s="5"/>
      <c r="U42" s="5"/>
      <c r="V42" s="5"/>
      <c r="W42" s="5"/>
      <c r="X42" s="5"/>
      <c r="Y42" s="5"/>
      <c r="Z42" s="5"/>
    </row>
    <row r="43" ht="14.25" hidden="1" customHeight="1">
      <c r="A43" s="5"/>
      <c r="B43" s="884" t="s">
        <v>3514</v>
      </c>
      <c r="C43" s="885">
        <v>44.0</v>
      </c>
      <c r="D43" s="886">
        <v>63.0</v>
      </c>
      <c r="E43" s="887">
        <f t="shared" si="11"/>
        <v>-19</v>
      </c>
      <c r="F43" s="888">
        <v>54.0</v>
      </c>
      <c r="G43" s="887">
        <f t="shared" si="12"/>
        <v>-10</v>
      </c>
      <c r="H43" s="5"/>
      <c r="I43" s="5"/>
      <c r="J43" s="5"/>
      <c r="K43" s="5"/>
      <c r="L43" s="5"/>
      <c r="M43" s="5"/>
      <c r="N43" s="5"/>
      <c r="O43" s="5"/>
      <c r="P43" s="5"/>
      <c r="Q43" s="5"/>
      <c r="R43" s="5"/>
      <c r="S43" s="5"/>
      <c r="T43" s="5"/>
      <c r="U43" s="5"/>
      <c r="V43" s="5"/>
      <c r="W43" s="5"/>
      <c r="X43" s="5"/>
      <c r="Y43" s="5"/>
      <c r="Z43" s="5"/>
    </row>
    <row r="44" ht="14.25" hidden="1" customHeight="1">
      <c r="A44" s="5"/>
      <c r="B44" s="902" t="s">
        <v>3515</v>
      </c>
      <c r="C44" s="903">
        <v>326564.4</v>
      </c>
      <c r="D44" s="903">
        <v>348933.47566909145</v>
      </c>
      <c r="E44" s="904">
        <f t="shared" si="11"/>
        <v>-22369.07567</v>
      </c>
      <c r="F44" s="905">
        <v>341892.3899999994</v>
      </c>
      <c r="G44" s="904">
        <f t="shared" si="12"/>
        <v>-15327.99</v>
      </c>
      <c r="H44" s="5"/>
      <c r="I44" s="5"/>
      <c r="J44" s="5"/>
      <c r="K44" s="5"/>
      <c r="L44" s="5"/>
      <c r="M44" s="5"/>
      <c r="N44" s="5"/>
      <c r="O44" s="5"/>
      <c r="P44" s="5"/>
      <c r="Q44" s="5"/>
      <c r="R44" s="5"/>
      <c r="S44" s="5"/>
      <c r="T44" s="5"/>
      <c r="U44" s="5"/>
      <c r="V44" s="5"/>
      <c r="W44" s="5"/>
      <c r="X44" s="5"/>
      <c r="Y44" s="5"/>
      <c r="Z44" s="5"/>
    </row>
    <row r="45" ht="14.25" hidden="1" customHeight="1">
      <c r="A45" s="5"/>
      <c r="B45" s="889" t="s">
        <v>3516</v>
      </c>
      <c r="C45" s="906">
        <v>147940.90999999997</v>
      </c>
      <c r="D45" s="906">
        <v>226800.0</v>
      </c>
      <c r="E45" s="892">
        <f t="shared" si="11"/>
        <v>-78859.09</v>
      </c>
      <c r="F45" s="891">
        <v>184032.50999999978</v>
      </c>
      <c r="G45" s="892">
        <f t="shared" si="12"/>
        <v>-36091.6</v>
      </c>
      <c r="H45" s="5"/>
      <c r="I45" s="5"/>
      <c r="J45" s="5"/>
      <c r="K45" s="5"/>
      <c r="L45" s="5"/>
      <c r="M45" s="5"/>
      <c r="N45" s="5"/>
      <c r="O45" s="5"/>
      <c r="P45" s="5"/>
      <c r="Q45" s="5"/>
      <c r="R45" s="5"/>
      <c r="S45" s="5"/>
      <c r="T45" s="5"/>
      <c r="U45" s="5"/>
      <c r="V45" s="5"/>
      <c r="W45" s="5"/>
      <c r="X45" s="5"/>
      <c r="Y45" s="5"/>
      <c r="Z45" s="5"/>
    </row>
    <row r="46" ht="14.25" hidden="1" customHeight="1">
      <c r="A46" s="5"/>
      <c r="B46" s="889" t="s">
        <v>3518</v>
      </c>
      <c r="C46" s="906">
        <v>359854.26999999996</v>
      </c>
      <c r="D46" s="906">
        <v>288781.92808234587</v>
      </c>
      <c r="E46" s="892">
        <f t="shared" si="11"/>
        <v>71072.34192</v>
      </c>
      <c r="F46" s="891">
        <v>264658.05999999976</v>
      </c>
      <c r="G46" s="892">
        <f t="shared" si="12"/>
        <v>95196.21</v>
      </c>
      <c r="H46" s="5"/>
      <c r="I46" s="5"/>
      <c r="J46" s="5"/>
      <c r="K46" s="5"/>
      <c r="L46" s="5"/>
      <c r="M46" s="5"/>
      <c r="N46" s="5"/>
      <c r="O46" s="5"/>
      <c r="P46" s="5"/>
      <c r="Q46" s="5"/>
      <c r="R46" s="5"/>
      <c r="S46" s="5"/>
      <c r="T46" s="5"/>
      <c r="U46" s="5"/>
      <c r="V46" s="5"/>
      <c r="W46" s="5"/>
      <c r="X46" s="5"/>
      <c r="Y46" s="5"/>
      <c r="Z46" s="5"/>
    </row>
    <row r="47" ht="14.25" hidden="1" customHeight="1">
      <c r="A47" s="5"/>
      <c r="B47" s="889" t="s">
        <v>3521</v>
      </c>
      <c r="C47" s="906">
        <v>284289.85000000003</v>
      </c>
      <c r="D47" s="906">
        <v>267554.7264035435</v>
      </c>
      <c r="E47" s="892">
        <f t="shared" si="11"/>
        <v>16735.1236</v>
      </c>
      <c r="F47" s="891">
        <v>242648.2399999993</v>
      </c>
      <c r="G47" s="892">
        <f t="shared" si="12"/>
        <v>41641.61</v>
      </c>
      <c r="H47" s="5"/>
      <c r="I47" s="5"/>
      <c r="J47" s="5"/>
      <c r="K47" s="5"/>
      <c r="L47" s="5"/>
      <c r="M47" s="5"/>
      <c r="N47" s="5"/>
      <c r="O47" s="5"/>
      <c r="P47" s="5"/>
      <c r="Q47" s="5"/>
      <c r="R47" s="5"/>
      <c r="S47" s="5"/>
      <c r="T47" s="5"/>
      <c r="U47" s="5"/>
      <c r="V47" s="5"/>
      <c r="W47" s="5"/>
      <c r="X47" s="5"/>
      <c r="Y47" s="5"/>
      <c r="Z47" s="5"/>
    </row>
    <row r="48" ht="14.25" hidden="1" customHeight="1">
      <c r="A48" s="5"/>
      <c r="B48" s="893" t="s">
        <v>3522</v>
      </c>
      <c r="C48" s="907">
        <f t="shared" ref="C48:D48" si="13">SUM(C44:C47)</f>
        <v>1118649.43</v>
      </c>
      <c r="D48" s="907">
        <f t="shared" si="13"/>
        <v>1132070.13</v>
      </c>
      <c r="E48" s="896">
        <f t="shared" si="11"/>
        <v>-13420.70015</v>
      </c>
      <c r="F48" s="895">
        <f>SUM(F44:F47)</f>
        <v>1033231.2</v>
      </c>
      <c r="G48" s="896">
        <f t="shared" si="12"/>
        <v>85418.23</v>
      </c>
      <c r="H48" s="5"/>
      <c r="I48" s="5"/>
      <c r="J48" s="5"/>
      <c r="K48" s="5"/>
      <c r="L48" s="5"/>
      <c r="M48" s="5"/>
      <c r="N48" s="5"/>
      <c r="O48" s="5"/>
      <c r="P48" s="5"/>
      <c r="Q48" s="5"/>
      <c r="R48" s="5"/>
      <c r="S48" s="5"/>
      <c r="T48" s="5"/>
      <c r="U48" s="5"/>
      <c r="V48" s="5"/>
      <c r="W48" s="5"/>
      <c r="X48" s="5"/>
      <c r="Y48" s="5"/>
      <c r="Z48" s="5"/>
    </row>
    <row r="49" ht="14.25" hidden="1" customHeight="1">
      <c r="A49" s="5"/>
      <c r="B49" s="889" t="s">
        <v>3523</v>
      </c>
      <c r="C49" s="906">
        <v>286755.76</v>
      </c>
      <c r="D49" s="906">
        <v>351835.41934545455</v>
      </c>
      <c r="E49" s="892">
        <f t="shared" si="11"/>
        <v>-65079.65935</v>
      </c>
      <c r="F49" s="891">
        <v>321148.83999999997</v>
      </c>
      <c r="G49" s="892">
        <f t="shared" si="12"/>
        <v>-34393.08</v>
      </c>
      <c r="H49" s="5"/>
      <c r="I49" s="5"/>
      <c r="J49" s="5"/>
      <c r="K49" s="5"/>
      <c r="L49" s="5"/>
      <c r="M49" s="5"/>
      <c r="N49" s="5"/>
      <c r="O49" s="5"/>
      <c r="P49" s="5"/>
      <c r="Q49" s="5"/>
      <c r="R49" s="5"/>
      <c r="S49" s="5"/>
      <c r="T49" s="5"/>
      <c r="U49" s="5"/>
      <c r="V49" s="5"/>
      <c r="W49" s="5"/>
      <c r="X49" s="5"/>
      <c r="Y49" s="5"/>
      <c r="Z49" s="5"/>
    </row>
    <row r="50" ht="14.25" hidden="1" customHeight="1">
      <c r="A50" s="5"/>
      <c r="B50" s="889" t="s">
        <v>3524</v>
      </c>
      <c r="C50" s="906">
        <v>-1173970.97</v>
      </c>
      <c r="D50" s="906">
        <v>-1205682.9484484862</v>
      </c>
      <c r="E50" s="892">
        <f t="shared" si="11"/>
        <v>31711.97845</v>
      </c>
      <c r="F50" s="891">
        <v>-1114700.0099999998</v>
      </c>
      <c r="G50" s="892">
        <f t="shared" si="12"/>
        <v>-59270.96</v>
      </c>
      <c r="H50" s="5"/>
      <c r="I50" s="5"/>
      <c r="J50" s="5"/>
      <c r="K50" s="5"/>
      <c r="L50" s="5"/>
      <c r="M50" s="5"/>
      <c r="N50" s="5"/>
      <c r="O50" s="5"/>
      <c r="P50" s="5"/>
      <c r="Q50" s="5"/>
      <c r="R50" s="5"/>
      <c r="S50" s="5"/>
      <c r="T50" s="5"/>
      <c r="U50" s="5"/>
      <c r="V50" s="5"/>
      <c r="W50" s="5"/>
      <c r="X50" s="5"/>
      <c r="Y50" s="5"/>
      <c r="Z50" s="5"/>
    </row>
    <row r="51" ht="14.25" hidden="1" customHeight="1">
      <c r="A51" s="5"/>
      <c r="B51" s="889" t="s">
        <v>3532</v>
      </c>
      <c r="C51" s="906">
        <v>-123080.80000000002</v>
      </c>
      <c r="D51" s="906">
        <v>-145151.28674768884</v>
      </c>
      <c r="E51" s="892">
        <f t="shared" si="11"/>
        <v>22070.48675</v>
      </c>
      <c r="F51" s="891">
        <v>-156754.43999999997</v>
      </c>
      <c r="G51" s="892">
        <f t="shared" si="12"/>
        <v>33673.64</v>
      </c>
      <c r="H51" s="5"/>
      <c r="I51" s="5"/>
      <c r="J51" s="5"/>
      <c r="K51" s="5"/>
      <c r="L51" s="5"/>
      <c r="M51" s="5"/>
      <c r="N51" s="5"/>
      <c r="O51" s="5"/>
      <c r="P51" s="5"/>
      <c r="Q51" s="5"/>
      <c r="R51" s="5"/>
      <c r="S51" s="5"/>
      <c r="T51" s="5"/>
      <c r="U51" s="5"/>
      <c r="V51" s="5"/>
      <c r="W51" s="5"/>
      <c r="X51" s="5"/>
      <c r="Y51" s="5"/>
      <c r="Z51" s="5"/>
    </row>
    <row r="52" ht="14.25" hidden="1" customHeight="1">
      <c r="A52" s="5"/>
      <c r="B52" s="897" t="s">
        <v>3526</v>
      </c>
      <c r="C52" s="908">
        <f t="shared" ref="C52:G52" si="14">SUM(C48:C51)</f>
        <v>108353.42</v>
      </c>
      <c r="D52" s="908">
        <f t="shared" si="14"/>
        <v>133071.3143</v>
      </c>
      <c r="E52" s="900">
        <f t="shared" si="14"/>
        <v>-24717.8943</v>
      </c>
      <c r="F52" s="899">
        <f t="shared" si="14"/>
        <v>82925.59</v>
      </c>
      <c r="G52" s="900">
        <f t="shared" si="14"/>
        <v>25427.83</v>
      </c>
      <c r="H52" s="5"/>
      <c r="I52" s="5"/>
      <c r="J52" s="5"/>
      <c r="K52" s="5"/>
      <c r="L52" s="5"/>
      <c r="M52" s="5"/>
      <c r="N52" s="5"/>
      <c r="O52" s="5"/>
      <c r="P52" s="5"/>
      <c r="Q52" s="5"/>
      <c r="R52" s="5"/>
      <c r="S52" s="5"/>
      <c r="T52" s="5"/>
      <c r="U52" s="5"/>
      <c r="V52" s="5"/>
      <c r="W52" s="5"/>
      <c r="X52" s="5"/>
      <c r="Y52" s="5"/>
      <c r="Z52" s="5"/>
    </row>
    <row r="53" ht="14.25" hidden="1" customHeight="1">
      <c r="A53" s="5"/>
      <c r="B53" s="5"/>
      <c r="C53" s="4"/>
      <c r="D53" s="4"/>
      <c r="E53" s="5"/>
      <c r="F53" s="5"/>
      <c r="G53" s="5"/>
      <c r="H53" s="5"/>
      <c r="I53" s="5"/>
      <c r="J53" s="5"/>
      <c r="K53" s="5"/>
      <c r="L53" s="5"/>
      <c r="M53" s="5"/>
      <c r="N53" s="5"/>
      <c r="O53" s="5"/>
      <c r="P53" s="5"/>
      <c r="Q53" s="5"/>
      <c r="R53" s="5"/>
      <c r="S53" s="5"/>
      <c r="T53" s="5"/>
      <c r="U53" s="5"/>
      <c r="V53" s="5"/>
      <c r="W53" s="5"/>
      <c r="X53" s="5"/>
      <c r="Y53" s="5"/>
      <c r="Z53" s="5"/>
    </row>
    <row r="54" ht="14.25" hidden="1" customHeight="1">
      <c r="A54" s="5"/>
      <c r="B54" s="5"/>
      <c r="C54" s="868" t="s">
        <v>3538</v>
      </c>
      <c r="D54" s="869"/>
      <c r="E54" s="869"/>
      <c r="F54" s="869"/>
      <c r="G54" s="276"/>
      <c r="H54" s="5"/>
      <c r="I54" s="5"/>
      <c r="J54" s="5"/>
      <c r="K54" s="5"/>
      <c r="L54" s="5"/>
      <c r="M54" s="5"/>
      <c r="N54" s="5"/>
      <c r="O54" s="5"/>
      <c r="P54" s="5"/>
      <c r="Q54" s="5"/>
      <c r="R54" s="5"/>
      <c r="S54" s="5"/>
      <c r="T54" s="5"/>
      <c r="U54" s="5"/>
      <c r="V54" s="5"/>
      <c r="W54" s="5"/>
      <c r="X54" s="5"/>
      <c r="Y54" s="5"/>
      <c r="Z54" s="5"/>
    </row>
    <row r="55" ht="14.25" hidden="1" customHeight="1">
      <c r="A55" s="5"/>
      <c r="B55" s="870"/>
      <c r="C55" s="871" t="s">
        <v>3528</v>
      </c>
      <c r="D55" s="872" t="s">
        <v>3529</v>
      </c>
      <c r="E55" s="873" t="s">
        <v>3510</v>
      </c>
      <c r="F55" s="872" t="s">
        <v>3530</v>
      </c>
      <c r="G55" s="873" t="s">
        <v>3511</v>
      </c>
      <c r="H55" s="5"/>
      <c r="I55" s="5"/>
      <c r="J55" s="5"/>
      <c r="K55" s="5"/>
      <c r="L55" s="5"/>
      <c r="M55" s="5"/>
      <c r="N55" s="5"/>
      <c r="O55" s="5"/>
      <c r="P55" s="5"/>
      <c r="Q55" s="5"/>
      <c r="R55" s="5"/>
      <c r="S55" s="5"/>
      <c r="T55" s="5"/>
      <c r="U55" s="5"/>
      <c r="V55" s="5"/>
      <c r="W55" s="5"/>
      <c r="X55" s="5"/>
      <c r="Y55" s="5"/>
      <c r="Z55" s="5"/>
    </row>
    <row r="56" ht="14.25" hidden="1" customHeight="1">
      <c r="A56" s="5"/>
      <c r="B56" s="874" t="s">
        <v>3512</v>
      </c>
      <c r="C56" s="875">
        <f>'Q2'!J13</f>
        <v>151</v>
      </c>
      <c r="D56" s="876"/>
      <c r="E56" s="877">
        <f t="shared" ref="E56:E60" si="15">C56-D56</f>
        <v>151</v>
      </c>
      <c r="F56" s="878">
        <f>'Q2'!O13</f>
        <v>221</v>
      </c>
      <c r="G56" s="909">
        <f t="shared" ref="G56:G69" si="16">C56-F56</f>
        <v>-70</v>
      </c>
      <c r="H56" s="5"/>
      <c r="I56" s="5"/>
      <c r="J56" s="5"/>
      <c r="K56" s="5"/>
      <c r="L56" s="5"/>
      <c r="M56" s="5"/>
      <c r="N56" s="5"/>
      <c r="O56" s="5"/>
      <c r="P56" s="5"/>
      <c r="Q56" s="5"/>
      <c r="R56" s="5"/>
      <c r="S56" s="5"/>
      <c r="T56" s="5"/>
      <c r="U56" s="5"/>
      <c r="V56" s="5"/>
      <c r="W56" s="5"/>
      <c r="X56" s="5"/>
      <c r="Y56" s="5"/>
      <c r="Z56" s="5"/>
    </row>
    <row r="57" ht="14.25" hidden="1" customHeight="1">
      <c r="A57" s="5"/>
      <c r="B57" s="879" t="s">
        <v>3513</v>
      </c>
      <c r="C57" s="880">
        <f>'Q2'!J17</f>
        <v>453</v>
      </c>
      <c r="D57" s="881"/>
      <c r="E57" s="877">
        <f t="shared" si="15"/>
        <v>453</v>
      </c>
      <c r="F57" s="882">
        <f>'Q2'!O17</f>
        <v>665</v>
      </c>
      <c r="G57" s="883">
        <f t="shared" si="16"/>
        <v>-212</v>
      </c>
      <c r="H57" s="5"/>
      <c r="I57" s="5"/>
      <c r="J57" s="5"/>
      <c r="K57" s="5"/>
      <c r="L57" s="5"/>
      <c r="M57" s="5"/>
      <c r="N57" s="5"/>
      <c r="O57" s="5"/>
      <c r="P57" s="5"/>
      <c r="Q57" s="5"/>
      <c r="R57" s="5"/>
      <c r="S57" s="5"/>
      <c r="T57" s="5"/>
      <c r="U57" s="5"/>
      <c r="V57" s="5"/>
      <c r="W57" s="5"/>
      <c r="X57" s="5"/>
      <c r="Y57" s="5"/>
      <c r="Z57" s="5"/>
    </row>
    <row r="58" ht="14.25" hidden="1" customHeight="1">
      <c r="A58" s="5"/>
      <c r="B58" s="884" t="s">
        <v>3514</v>
      </c>
      <c r="C58" s="885">
        <f>'Q2'!J97</f>
        <v>78</v>
      </c>
      <c r="D58" s="886"/>
      <c r="E58" s="887">
        <f t="shared" si="15"/>
        <v>78</v>
      </c>
      <c r="F58" s="888">
        <f>'Q2'!O97</f>
        <v>25</v>
      </c>
      <c r="G58" s="887">
        <f t="shared" si="16"/>
        <v>53</v>
      </c>
      <c r="H58" s="5"/>
      <c r="I58" s="5"/>
      <c r="J58" s="5"/>
      <c r="K58" s="5"/>
      <c r="L58" s="5"/>
      <c r="M58" s="5"/>
      <c r="N58" s="5"/>
      <c r="O58" s="5"/>
      <c r="P58" s="5"/>
      <c r="Q58" s="5"/>
      <c r="R58" s="5"/>
      <c r="S58" s="5"/>
      <c r="T58" s="5"/>
      <c r="U58" s="5"/>
      <c r="V58" s="5"/>
      <c r="W58" s="5"/>
      <c r="X58" s="5"/>
      <c r="Y58" s="5"/>
      <c r="Z58" s="5"/>
    </row>
    <row r="59" ht="14.25" hidden="1" customHeight="1">
      <c r="A59" s="5"/>
      <c r="B59" s="889" t="s">
        <v>3515</v>
      </c>
      <c r="C59" s="890">
        <f>'Q2'!L27</f>
        <v>689777.05</v>
      </c>
      <c r="D59" s="891"/>
      <c r="E59" s="892">
        <f t="shared" si="15"/>
        <v>689777.05</v>
      </c>
      <c r="F59" s="891">
        <f>'Q2'!Q27</f>
        <v>1052725.37</v>
      </c>
      <c r="G59" s="892">
        <f t="shared" si="16"/>
        <v>-362948.32</v>
      </c>
      <c r="H59" s="5"/>
      <c r="I59" s="5"/>
      <c r="J59" s="5"/>
      <c r="K59" s="5"/>
      <c r="L59" s="5"/>
      <c r="M59" s="5"/>
      <c r="N59" s="5"/>
      <c r="O59" s="5"/>
      <c r="P59" s="5"/>
      <c r="Q59" s="5"/>
      <c r="R59" s="5"/>
      <c r="S59" s="5"/>
      <c r="T59" s="5"/>
      <c r="U59" s="5"/>
      <c r="V59" s="5"/>
      <c r="W59" s="5"/>
      <c r="X59" s="5"/>
      <c r="Y59" s="5"/>
      <c r="Z59" s="5"/>
    </row>
    <row r="60" ht="14.25" hidden="1" customHeight="1">
      <c r="A60" s="5"/>
      <c r="B60" s="889" t="s">
        <v>3516</v>
      </c>
      <c r="C60" s="890">
        <f>'Q2'!L109</f>
        <v>54454.92</v>
      </c>
      <c r="D60" s="891"/>
      <c r="E60" s="892">
        <f t="shared" si="15"/>
        <v>54454.92</v>
      </c>
      <c r="F60" s="891">
        <f>'Q2'!Q109</f>
        <v>98989.49</v>
      </c>
      <c r="G60" s="892">
        <f t="shared" si="16"/>
        <v>-44534.57</v>
      </c>
      <c r="H60" s="5"/>
      <c r="I60" s="5"/>
      <c r="J60" s="5"/>
      <c r="K60" s="5"/>
      <c r="L60" s="5"/>
      <c r="M60" s="5"/>
      <c r="N60" s="5"/>
      <c r="O60" s="5"/>
      <c r="P60" s="5"/>
      <c r="Q60" s="5"/>
      <c r="R60" s="5"/>
      <c r="S60" s="5"/>
      <c r="T60" s="5"/>
      <c r="U60" s="5"/>
      <c r="V60" s="5"/>
      <c r="W60" s="5"/>
      <c r="X60" s="5"/>
      <c r="Y60" s="5"/>
      <c r="Z60" s="5"/>
    </row>
    <row r="61" ht="14.25" hidden="1" customHeight="1">
      <c r="A61" s="5"/>
      <c r="B61" s="889" t="s">
        <v>3517</v>
      </c>
      <c r="C61" s="890">
        <f>'Q2'!L182</f>
        <v>706801.81</v>
      </c>
      <c r="D61" s="891"/>
      <c r="E61" s="892"/>
      <c r="F61" s="891">
        <f>'Q2'!Q182</f>
        <v>772829.45</v>
      </c>
      <c r="G61" s="892">
        <f t="shared" si="16"/>
        <v>-66027.64</v>
      </c>
      <c r="H61" s="5"/>
      <c r="I61" s="5"/>
      <c r="J61" s="5"/>
      <c r="K61" s="5"/>
      <c r="L61" s="5"/>
      <c r="M61" s="5"/>
      <c r="N61" s="5"/>
      <c r="O61" s="5"/>
      <c r="P61" s="5"/>
      <c r="Q61" s="5"/>
      <c r="R61" s="5"/>
      <c r="S61" s="5"/>
      <c r="T61" s="5"/>
      <c r="U61" s="5"/>
      <c r="V61" s="5"/>
      <c r="W61" s="5"/>
      <c r="X61" s="5"/>
      <c r="Y61" s="5"/>
      <c r="Z61" s="5"/>
    </row>
    <row r="62" ht="14.25" hidden="1" customHeight="1">
      <c r="A62" s="5"/>
      <c r="B62" s="889" t="s">
        <v>3518</v>
      </c>
      <c r="C62" s="890">
        <f>'Q2'!L268</f>
        <v>392209.56</v>
      </c>
      <c r="D62" s="891"/>
      <c r="E62" s="892"/>
      <c r="F62" s="891">
        <f>'Q2'!Q268</f>
        <v>557481.5</v>
      </c>
      <c r="G62" s="892">
        <f t="shared" si="16"/>
        <v>-165271.94</v>
      </c>
      <c r="H62" s="5"/>
      <c r="I62" s="5"/>
      <c r="J62" s="5"/>
      <c r="K62" s="5"/>
      <c r="L62" s="5"/>
      <c r="M62" s="5"/>
      <c r="N62" s="5"/>
      <c r="O62" s="5"/>
      <c r="P62" s="5"/>
      <c r="Q62" s="5"/>
      <c r="R62" s="5"/>
      <c r="S62" s="5"/>
      <c r="T62" s="5"/>
      <c r="U62" s="5"/>
      <c r="V62" s="5"/>
      <c r="W62" s="5"/>
      <c r="X62" s="5"/>
      <c r="Y62" s="5"/>
      <c r="Z62" s="5"/>
    </row>
    <row r="63" ht="14.25" hidden="1" customHeight="1">
      <c r="A63" s="5"/>
      <c r="B63" s="889" t="s">
        <v>3519</v>
      </c>
      <c r="C63" s="890">
        <f>'Q2'!L448</f>
        <v>225140.03</v>
      </c>
      <c r="D63" s="891"/>
      <c r="E63" s="892"/>
      <c r="F63" s="891">
        <f>'Q2'!Q448</f>
        <v>200189.35</v>
      </c>
      <c r="G63" s="892">
        <f t="shared" si="16"/>
        <v>24950.68</v>
      </c>
      <c r="H63" s="5"/>
      <c r="I63" s="5"/>
      <c r="J63" s="5"/>
      <c r="K63" s="5"/>
      <c r="L63" s="5"/>
      <c r="M63" s="5"/>
      <c r="N63" s="5"/>
      <c r="O63" s="5"/>
      <c r="P63" s="5"/>
      <c r="Q63" s="5"/>
      <c r="R63" s="5"/>
      <c r="S63" s="5"/>
      <c r="T63" s="5"/>
      <c r="U63" s="5"/>
      <c r="V63" s="5"/>
      <c r="W63" s="5"/>
      <c r="X63" s="5"/>
      <c r="Y63" s="5"/>
      <c r="Z63" s="5"/>
    </row>
    <row r="64" ht="14.25" hidden="1" customHeight="1">
      <c r="A64" s="5"/>
      <c r="B64" s="889" t="s">
        <v>3520</v>
      </c>
      <c r="C64" s="890">
        <f>'Q2'!L326</f>
        <v>214717.93</v>
      </c>
      <c r="D64" s="891"/>
      <c r="E64" s="892">
        <f t="shared" ref="E64:E69" si="17">C64-D64</f>
        <v>214717.93</v>
      </c>
      <c r="F64" s="891">
        <f>'Q2'!Q326</f>
        <v>188746.04</v>
      </c>
      <c r="G64" s="892">
        <f t="shared" si="16"/>
        <v>25971.89</v>
      </c>
      <c r="H64" s="5"/>
      <c r="I64" s="5"/>
      <c r="J64" s="5"/>
      <c r="K64" s="5"/>
      <c r="L64" s="5"/>
      <c r="M64" s="5"/>
      <c r="N64" s="5"/>
      <c r="O64" s="5"/>
      <c r="P64" s="5"/>
      <c r="Q64" s="5"/>
      <c r="R64" s="5"/>
      <c r="S64" s="5"/>
      <c r="T64" s="5"/>
      <c r="U64" s="5"/>
      <c r="V64" s="5"/>
      <c r="W64" s="5"/>
      <c r="X64" s="5"/>
      <c r="Y64" s="5"/>
      <c r="Z64" s="5"/>
    </row>
    <row r="65" ht="14.25" hidden="1" customHeight="1">
      <c r="A65" s="5"/>
      <c r="B65" s="889" t="s">
        <v>3521</v>
      </c>
      <c r="C65" s="890">
        <f>'Q2'!L390</f>
        <v>298770.58</v>
      </c>
      <c r="D65" s="891"/>
      <c r="E65" s="892">
        <f t="shared" si="17"/>
        <v>298770.58</v>
      </c>
      <c r="F65" s="891">
        <f>'Q2'!Q390</f>
        <v>295186.98</v>
      </c>
      <c r="G65" s="892">
        <f t="shared" si="16"/>
        <v>3583.6</v>
      </c>
      <c r="H65" s="5"/>
      <c r="I65" s="5"/>
      <c r="J65" s="5"/>
      <c r="K65" s="5"/>
      <c r="L65" s="5"/>
      <c r="M65" s="5"/>
      <c r="N65" s="5"/>
      <c r="O65" s="5"/>
      <c r="P65" s="5"/>
      <c r="Q65" s="5"/>
      <c r="R65" s="5"/>
      <c r="S65" s="5"/>
      <c r="T65" s="5"/>
      <c r="U65" s="5"/>
      <c r="V65" s="5"/>
      <c r="W65" s="5"/>
      <c r="X65" s="5"/>
      <c r="Y65" s="5"/>
      <c r="Z65" s="5"/>
    </row>
    <row r="66" ht="14.25" hidden="1" customHeight="1">
      <c r="A66" s="5"/>
      <c r="B66" s="893" t="s">
        <v>3522</v>
      </c>
      <c r="C66" s="894">
        <f t="shared" ref="C66:D66" si="18">SUM(C59:C65)</f>
        <v>2581871.88</v>
      </c>
      <c r="D66" s="895">
        <f t="shared" si="18"/>
        <v>0</v>
      </c>
      <c r="E66" s="896">
        <f t="shared" si="17"/>
        <v>2581871.88</v>
      </c>
      <c r="F66" s="895">
        <f>SUM(F59:F65)</f>
        <v>3166148.18</v>
      </c>
      <c r="G66" s="896">
        <f t="shared" si="16"/>
        <v>-584276.3</v>
      </c>
      <c r="H66" s="5"/>
      <c r="I66" s="5"/>
      <c r="J66" s="5"/>
      <c r="K66" s="5"/>
      <c r="L66" s="5"/>
      <c r="M66" s="5"/>
      <c r="N66" s="5"/>
      <c r="O66" s="5"/>
      <c r="P66" s="5"/>
      <c r="Q66" s="5"/>
      <c r="R66" s="5"/>
      <c r="S66" s="5"/>
      <c r="T66" s="5"/>
      <c r="U66" s="5"/>
      <c r="V66" s="5"/>
      <c r="W66" s="5"/>
      <c r="X66" s="5"/>
      <c r="Y66" s="5"/>
      <c r="Z66" s="5"/>
    </row>
    <row r="67" ht="14.25" hidden="1" customHeight="1">
      <c r="A67" s="5"/>
      <c r="B67" s="889" t="s">
        <v>3523</v>
      </c>
      <c r="C67" s="890">
        <f>'Q2'!AF568</f>
        <v>125604.01</v>
      </c>
      <c r="D67" s="891"/>
      <c r="E67" s="892">
        <f t="shared" si="17"/>
        <v>125604.01</v>
      </c>
      <c r="F67" s="891">
        <f>'Q2'!AL568</f>
        <v>268398.78</v>
      </c>
      <c r="G67" s="892">
        <f t="shared" si="16"/>
        <v>-142794.77</v>
      </c>
      <c r="H67" s="5"/>
      <c r="I67" s="5"/>
      <c r="J67" s="5"/>
      <c r="K67" s="5"/>
      <c r="L67" s="5"/>
      <c r="M67" s="5"/>
      <c r="N67" s="5"/>
      <c r="O67" s="5"/>
      <c r="P67" s="5"/>
      <c r="Q67" s="5"/>
      <c r="R67" s="5"/>
      <c r="S67" s="5"/>
      <c r="T67" s="5"/>
      <c r="U67" s="5"/>
      <c r="V67" s="5"/>
      <c r="W67" s="5"/>
      <c r="X67" s="5"/>
      <c r="Y67" s="5"/>
      <c r="Z67" s="5"/>
    </row>
    <row r="68" ht="14.25" hidden="1" customHeight="1">
      <c r="A68" s="5"/>
      <c r="B68" s="889" t="s">
        <v>3524</v>
      </c>
      <c r="C68" s="890">
        <f>-'Q2'!AF555</f>
        <v>-1771686.61</v>
      </c>
      <c r="D68" s="891"/>
      <c r="E68" s="892">
        <f t="shared" si="17"/>
        <v>-1771686.61</v>
      </c>
      <c r="F68" s="891">
        <f>-'Q2'!AL555</f>
        <v>-2344906.94</v>
      </c>
      <c r="G68" s="892">
        <f t="shared" si="16"/>
        <v>573220.33</v>
      </c>
      <c r="H68" s="5"/>
      <c r="I68" s="5"/>
      <c r="J68" s="5"/>
      <c r="K68" s="5"/>
      <c r="L68" s="5"/>
      <c r="M68" s="5"/>
      <c r="N68" s="5"/>
      <c r="O68" s="5"/>
      <c r="P68" s="5"/>
      <c r="Q68" s="5"/>
      <c r="R68" s="5"/>
      <c r="S68" s="5"/>
      <c r="T68" s="5"/>
      <c r="U68" s="5"/>
      <c r="V68" s="5"/>
      <c r="W68" s="5"/>
      <c r="X68" s="5"/>
      <c r="Y68" s="5"/>
      <c r="Z68" s="5"/>
    </row>
    <row r="69" ht="14.25" hidden="1" customHeight="1">
      <c r="A69" s="5"/>
      <c r="B69" s="889" t="s">
        <v>3532</v>
      </c>
      <c r="C69" s="890">
        <f>-'Q2'!AF578-'Q2'!AF579-'Q2'!AF580-'Q2'!AF581-'Q2'!AF583</f>
        <v>-50805.22</v>
      </c>
      <c r="D69" s="891"/>
      <c r="E69" s="892">
        <f t="shared" si="17"/>
        <v>-50805.22</v>
      </c>
      <c r="F69" s="891">
        <f>-'Q2'!AL578-'Q2'!AL579-'Q2'!AL580-'Q2'!AL581-'Q2'!AL583</f>
        <v>-36006.64</v>
      </c>
      <c r="G69" s="892">
        <f t="shared" si="16"/>
        <v>-14798.58</v>
      </c>
      <c r="H69" s="5"/>
      <c r="I69" s="5"/>
      <c r="J69" s="5"/>
      <c r="K69" s="5"/>
      <c r="L69" s="5"/>
      <c r="M69" s="5"/>
      <c r="N69" s="5"/>
      <c r="O69" s="5"/>
      <c r="P69" s="5"/>
      <c r="Q69" s="5"/>
      <c r="R69" s="5"/>
      <c r="S69" s="5"/>
      <c r="T69" s="5"/>
      <c r="U69" s="5"/>
      <c r="V69" s="5"/>
      <c r="W69" s="5"/>
      <c r="X69" s="5"/>
      <c r="Y69" s="5"/>
      <c r="Z69" s="5"/>
    </row>
    <row r="70" ht="14.25" hidden="1" customHeight="1">
      <c r="A70" s="5"/>
      <c r="B70" s="897" t="s">
        <v>3526</v>
      </c>
      <c r="C70" s="898">
        <f t="shared" ref="C70:G70" si="19">SUM(C66:C69)</f>
        <v>884984.06</v>
      </c>
      <c r="D70" s="899">
        <f t="shared" si="19"/>
        <v>0</v>
      </c>
      <c r="E70" s="900">
        <f t="shared" si="19"/>
        <v>884984.06</v>
      </c>
      <c r="F70" s="899">
        <f t="shared" si="19"/>
        <v>1053633.38</v>
      </c>
      <c r="G70" s="900">
        <f t="shared" si="19"/>
        <v>-168649.32</v>
      </c>
      <c r="H70" s="5"/>
      <c r="I70" s="5"/>
      <c r="J70" s="5"/>
      <c r="K70" s="5"/>
      <c r="L70" s="5"/>
      <c r="M70" s="5"/>
      <c r="N70" s="5"/>
      <c r="O70" s="5"/>
      <c r="P70" s="5"/>
      <c r="Q70" s="5"/>
      <c r="R70" s="5"/>
      <c r="S70" s="5"/>
      <c r="T70" s="5"/>
      <c r="U70" s="5"/>
      <c r="V70" s="5"/>
      <c r="W70" s="5"/>
      <c r="X70" s="5"/>
      <c r="Y70" s="5"/>
      <c r="Z70" s="5"/>
    </row>
    <row r="71" ht="14.25" customHeight="1">
      <c r="A71" s="5"/>
      <c r="B71" s="5"/>
      <c r="C71" s="4"/>
      <c r="D71" s="4"/>
      <c r="E71" s="5"/>
      <c r="F71" s="5"/>
      <c r="G71" s="5"/>
      <c r="H71" s="5"/>
      <c r="I71" s="5"/>
      <c r="J71" s="5"/>
      <c r="K71" s="5"/>
      <c r="L71" s="5"/>
      <c r="M71" s="5"/>
      <c r="N71" s="5"/>
      <c r="O71" s="5"/>
      <c r="P71" s="5"/>
      <c r="Q71" s="5"/>
      <c r="R71" s="5"/>
      <c r="S71" s="5"/>
      <c r="T71" s="5"/>
      <c r="U71" s="5"/>
      <c r="V71" s="5"/>
      <c r="W71" s="5"/>
      <c r="X71" s="5"/>
      <c r="Y71" s="5"/>
      <c r="Z71" s="5"/>
    </row>
    <row r="72" ht="14.25" customHeight="1">
      <c r="A72" s="5"/>
      <c r="B72" s="5"/>
      <c r="C72" s="4"/>
      <c r="D72" s="4"/>
      <c r="E72" s="5"/>
      <c r="F72" s="5"/>
      <c r="G72" s="5"/>
      <c r="H72" s="5"/>
      <c r="I72" s="5"/>
      <c r="J72" s="5"/>
      <c r="K72" s="5"/>
      <c r="L72" s="5"/>
      <c r="M72" s="5"/>
      <c r="N72" s="5"/>
      <c r="O72" s="5"/>
      <c r="P72" s="5"/>
      <c r="Q72" s="5"/>
      <c r="R72" s="5"/>
      <c r="S72" s="5"/>
      <c r="T72" s="5"/>
      <c r="U72" s="5"/>
      <c r="V72" s="5"/>
      <c r="W72" s="5"/>
      <c r="X72" s="5"/>
      <c r="Y72" s="5"/>
      <c r="Z72" s="5"/>
    </row>
    <row r="73" ht="14.25" customHeight="1">
      <c r="A73" s="5"/>
      <c r="B73" s="5"/>
      <c r="C73" s="4"/>
      <c r="D73" s="4"/>
      <c r="E73" s="5"/>
      <c r="F73" s="5"/>
      <c r="G73" s="5"/>
      <c r="H73" s="5"/>
      <c r="I73" s="5"/>
      <c r="J73" s="5"/>
      <c r="K73" s="5"/>
      <c r="L73" s="5"/>
      <c r="M73" s="5"/>
      <c r="N73" s="5"/>
      <c r="O73" s="5"/>
      <c r="P73" s="5"/>
      <c r="Q73" s="5"/>
      <c r="R73" s="5"/>
      <c r="S73" s="5"/>
      <c r="T73" s="5"/>
      <c r="U73" s="5"/>
      <c r="V73" s="5"/>
      <c r="W73" s="5"/>
      <c r="X73" s="5"/>
      <c r="Y73" s="5"/>
      <c r="Z73" s="5"/>
    </row>
    <row r="74" ht="14.25" customHeight="1">
      <c r="A74" s="5"/>
      <c r="B74" s="5"/>
      <c r="C74" s="4"/>
      <c r="D74" s="4"/>
      <c r="E74" s="5"/>
      <c r="F74" s="5"/>
      <c r="G74" s="5"/>
      <c r="H74" s="5"/>
      <c r="I74" s="5"/>
      <c r="J74" s="5"/>
      <c r="K74" s="5"/>
      <c r="L74" s="5"/>
      <c r="M74" s="5"/>
      <c r="N74" s="5"/>
      <c r="O74" s="5"/>
      <c r="P74" s="5"/>
      <c r="Q74" s="5"/>
      <c r="R74" s="5"/>
      <c r="S74" s="5"/>
      <c r="T74" s="5"/>
      <c r="U74" s="5"/>
      <c r="V74" s="5"/>
      <c r="W74" s="5"/>
      <c r="X74" s="5"/>
      <c r="Y74" s="5"/>
      <c r="Z74" s="5"/>
    </row>
    <row r="75" ht="14.25" customHeight="1">
      <c r="A75" s="5"/>
      <c r="B75" s="5"/>
      <c r="C75" s="4"/>
      <c r="D75" s="4"/>
      <c r="E75" s="5"/>
      <c r="F75" s="5"/>
      <c r="G75" s="5"/>
      <c r="H75" s="5"/>
      <c r="I75" s="5"/>
      <c r="J75" s="5"/>
      <c r="K75" s="5"/>
      <c r="L75" s="5"/>
      <c r="M75" s="5"/>
      <c r="N75" s="5"/>
      <c r="O75" s="5"/>
      <c r="P75" s="5"/>
      <c r="Q75" s="5"/>
      <c r="R75" s="5"/>
      <c r="S75" s="5"/>
      <c r="T75" s="5"/>
      <c r="U75" s="5"/>
      <c r="V75" s="5"/>
      <c r="W75" s="5"/>
      <c r="X75" s="5"/>
      <c r="Y75" s="5"/>
      <c r="Z75" s="5"/>
    </row>
    <row r="76" ht="14.25" customHeight="1">
      <c r="A76" s="5"/>
      <c r="B76" s="5"/>
      <c r="C76" s="4"/>
      <c r="D76" s="4"/>
      <c r="E76" s="5"/>
      <c r="F76" s="5"/>
      <c r="G76" s="5"/>
      <c r="H76" s="5"/>
      <c r="I76" s="5"/>
      <c r="J76" s="5"/>
      <c r="K76" s="5"/>
      <c r="L76" s="5"/>
      <c r="M76" s="5"/>
      <c r="N76" s="5"/>
      <c r="O76" s="5"/>
      <c r="P76" s="5"/>
      <c r="Q76" s="5"/>
      <c r="R76" s="5"/>
      <c r="S76" s="5"/>
      <c r="T76" s="5"/>
      <c r="U76" s="5"/>
      <c r="V76" s="5"/>
      <c r="W76" s="5"/>
      <c r="X76" s="5"/>
      <c r="Y76" s="5"/>
      <c r="Z76" s="5"/>
    </row>
    <row r="77" ht="14.25" customHeight="1">
      <c r="A77" s="5"/>
      <c r="B77" s="5"/>
      <c r="C77" s="4"/>
      <c r="D77" s="4"/>
      <c r="E77" s="5"/>
      <c r="F77" s="5"/>
      <c r="G77" s="5"/>
      <c r="H77" s="5"/>
      <c r="I77" s="5"/>
      <c r="J77" s="5"/>
      <c r="K77" s="5"/>
      <c r="L77" s="5"/>
      <c r="M77" s="5"/>
      <c r="N77" s="5"/>
      <c r="O77" s="5"/>
      <c r="P77" s="5"/>
      <c r="Q77" s="5"/>
      <c r="R77" s="5"/>
      <c r="S77" s="5"/>
      <c r="T77" s="5"/>
      <c r="U77" s="5"/>
      <c r="V77" s="5"/>
      <c r="W77" s="5"/>
      <c r="X77" s="5"/>
      <c r="Y77" s="5"/>
      <c r="Z77" s="5"/>
    </row>
    <row r="78" ht="14.25" customHeight="1">
      <c r="A78" s="5"/>
      <c r="B78" s="5"/>
      <c r="C78" s="4"/>
      <c r="D78" s="4"/>
      <c r="E78" s="5"/>
      <c r="F78" s="5"/>
      <c r="G78" s="5"/>
      <c r="H78" s="5"/>
      <c r="I78" s="5"/>
      <c r="J78" s="5"/>
      <c r="K78" s="5"/>
      <c r="L78" s="5"/>
      <c r="M78" s="5"/>
      <c r="N78" s="5"/>
      <c r="O78" s="5"/>
      <c r="P78" s="5"/>
      <c r="Q78" s="5"/>
      <c r="R78" s="5"/>
      <c r="S78" s="5"/>
      <c r="T78" s="5"/>
      <c r="U78" s="5"/>
      <c r="V78" s="5"/>
      <c r="W78" s="5"/>
      <c r="X78" s="5"/>
      <c r="Y78" s="5"/>
      <c r="Z78" s="5"/>
    </row>
    <row r="79" ht="14.25" customHeight="1">
      <c r="A79" s="5"/>
      <c r="B79" s="5"/>
      <c r="C79" s="4"/>
      <c r="D79" s="4"/>
      <c r="E79" s="5"/>
      <c r="F79" s="5"/>
      <c r="G79" s="5"/>
      <c r="H79" s="5"/>
      <c r="I79" s="5"/>
      <c r="J79" s="5"/>
      <c r="K79" s="5"/>
      <c r="L79" s="5"/>
      <c r="M79" s="5"/>
      <c r="N79" s="5"/>
      <c r="O79" s="5"/>
      <c r="P79" s="5"/>
      <c r="Q79" s="5"/>
      <c r="R79" s="5"/>
      <c r="S79" s="5"/>
      <c r="T79" s="5"/>
      <c r="U79" s="5"/>
      <c r="V79" s="5"/>
      <c r="W79" s="5"/>
      <c r="X79" s="5"/>
      <c r="Y79" s="5"/>
      <c r="Z79" s="5"/>
    </row>
    <row r="80" ht="14.25" customHeight="1">
      <c r="A80" s="5"/>
      <c r="B80" s="5"/>
      <c r="C80" s="4"/>
      <c r="D80" s="4"/>
      <c r="E80" s="5"/>
      <c r="F80" s="5"/>
      <c r="G80" s="5"/>
      <c r="H80" s="5"/>
      <c r="I80" s="5"/>
      <c r="J80" s="5"/>
      <c r="K80" s="5"/>
      <c r="L80" s="5"/>
      <c r="M80" s="5"/>
      <c r="N80" s="5"/>
      <c r="O80" s="5"/>
      <c r="P80" s="5"/>
      <c r="Q80" s="5"/>
      <c r="R80" s="5"/>
      <c r="S80" s="5"/>
      <c r="T80" s="5"/>
      <c r="U80" s="5"/>
      <c r="V80" s="5"/>
      <c r="W80" s="5"/>
      <c r="X80" s="5"/>
      <c r="Y80" s="5"/>
      <c r="Z80" s="5"/>
    </row>
    <row r="81" ht="14.25" customHeight="1">
      <c r="A81" s="5"/>
      <c r="B81" s="5"/>
      <c r="C81" s="4"/>
      <c r="D81" s="4"/>
      <c r="E81" s="5"/>
      <c r="F81" s="5"/>
      <c r="G81" s="5"/>
      <c r="H81" s="5"/>
      <c r="I81" s="5"/>
      <c r="J81" s="5"/>
      <c r="K81" s="5"/>
      <c r="L81" s="5"/>
      <c r="M81" s="5"/>
      <c r="N81" s="5"/>
      <c r="O81" s="5"/>
      <c r="P81" s="5"/>
      <c r="Q81" s="5"/>
      <c r="R81" s="5"/>
      <c r="S81" s="5"/>
      <c r="T81" s="5"/>
      <c r="U81" s="5"/>
      <c r="V81" s="5"/>
      <c r="W81" s="5"/>
      <c r="X81" s="5"/>
      <c r="Y81" s="5"/>
      <c r="Z81" s="5"/>
    </row>
    <row r="82" ht="14.25" customHeight="1">
      <c r="A82" s="5"/>
      <c r="B82" s="5"/>
      <c r="C82" s="4"/>
      <c r="D82" s="4"/>
      <c r="E82" s="5"/>
      <c r="F82" s="5"/>
      <c r="G82" s="5"/>
      <c r="H82" s="5"/>
      <c r="I82" s="5"/>
      <c r="J82" s="5"/>
      <c r="K82" s="5"/>
      <c r="L82" s="5"/>
      <c r="M82" s="5"/>
      <c r="N82" s="5"/>
      <c r="O82" s="5"/>
      <c r="P82" s="5"/>
      <c r="Q82" s="5"/>
      <c r="R82" s="5"/>
      <c r="S82" s="5"/>
      <c r="T82" s="5"/>
      <c r="U82" s="5"/>
      <c r="V82" s="5"/>
      <c r="W82" s="5"/>
      <c r="X82" s="5"/>
      <c r="Y82" s="5"/>
      <c r="Z82" s="5"/>
    </row>
    <row r="83" ht="14.25" customHeight="1">
      <c r="A83" s="5"/>
      <c r="B83" s="5"/>
      <c r="C83" s="4"/>
      <c r="D83" s="4"/>
      <c r="E83" s="5"/>
      <c r="F83" s="5"/>
      <c r="G83" s="5"/>
      <c r="H83" s="5"/>
      <c r="I83" s="5"/>
      <c r="J83" s="5"/>
      <c r="K83" s="5"/>
      <c r="L83" s="5"/>
      <c r="M83" s="5"/>
      <c r="N83" s="5"/>
      <c r="O83" s="5"/>
      <c r="P83" s="5"/>
      <c r="Q83" s="5"/>
      <c r="R83" s="5"/>
      <c r="S83" s="5"/>
      <c r="T83" s="5"/>
      <c r="U83" s="5"/>
      <c r="V83" s="5"/>
      <c r="W83" s="5"/>
      <c r="X83" s="5"/>
      <c r="Y83" s="5"/>
      <c r="Z83" s="5"/>
    </row>
    <row r="84" ht="14.25" customHeight="1">
      <c r="A84" s="5"/>
      <c r="B84" s="5"/>
      <c r="C84" s="4"/>
      <c r="D84" s="4"/>
      <c r="E84" s="5"/>
      <c r="F84" s="5"/>
      <c r="G84" s="5"/>
      <c r="H84" s="5"/>
      <c r="I84" s="5"/>
      <c r="J84" s="5"/>
      <c r="K84" s="5"/>
      <c r="L84" s="5"/>
      <c r="M84" s="5"/>
      <c r="N84" s="5"/>
      <c r="O84" s="5"/>
      <c r="P84" s="5"/>
      <c r="Q84" s="5"/>
      <c r="R84" s="5"/>
      <c r="S84" s="5"/>
      <c r="T84" s="5"/>
      <c r="U84" s="5"/>
      <c r="V84" s="5"/>
      <c r="W84" s="5"/>
      <c r="X84" s="5"/>
      <c r="Y84" s="5"/>
      <c r="Z84" s="5"/>
    </row>
    <row r="85" ht="14.25" customHeight="1">
      <c r="A85" s="5"/>
      <c r="B85" s="5"/>
      <c r="C85" s="4"/>
      <c r="D85" s="4"/>
      <c r="E85" s="5"/>
      <c r="F85" s="5"/>
      <c r="G85" s="5"/>
      <c r="H85" s="5"/>
      <c r="I85" s="5"/>
      <c r="J85" s="5"/>
      <c r="K85" s="5"/>
      <c r="L85" s="5"/>
      <c r="M85" s="5"/>
      <c r="N85" s="5"/>
      <c r="O85" s="5"/>
      <c r="P85" s="5"/>
      <c r="Q85" s="5"/>
      <c r="R85" s="5"/>
      <c r="S85" s="5"/>
      <c r="T85" s="5"/>
      <c r="U85" s="5"/>
      <c r="V85" s="5"/>
      <c r="W85" s="5"/>
      <c r="X85" s="5"/>
      <c r="Y85" s="5"/>
      <c r="Z85" s="5"/>
    </row>
    <row r="86" ht="14.25" customHeight="1">
      <c r="A86" s="5"/>
      <c r="B86" s="5"/>
      <c r="C86" s="4"/>
      <c r="D86" s="4"/>
      <c r="E86" s="5"/>
      <c r="F86" s="5"/>
      <c r="G86" s="5"/>
      <c r="H86" s="5"/>
      <c r="I86" s="5"/>
      <c r="J86" s="5"/>
      <c r="K86" s="5"/>
      <c r="L86" s="5"/>
      <c r="M86" s="5"/>
      <c r="N86" s="5"/>
      <c r="O86" s="5"/>
      <c r="P86" s="5"/>
      <c r="Q86" s="5"/>
      <c r="R86" s="5"/>
      <c r="S86" s="5"/>
      <c r="T86" s="5"/>
      <c r="U86" s="5"/>
      <c r="V86" s="5"/>
      <c r="W86" s="5"/>
      <c r="X86" s="5"/>
      <c r="Y86" s="5"/>
      <c r="Z86" s="5"/>
    </row>
    <row r="87" ht="14.25" customHeight="1">
      <c r="A87" s="5"/>
      <c r="B87" s="5"/>
      <c r="C87" s="4"/>
      <c r="D87" s="4"/>
      <c r="E87" s="5"/>
      <c r="F87" s="5"/>
      <c r="G87" s="5"/>
      <c r="H87" s="5"/>
      <c r="I87" s="5"/>
      <c r="J87" s="5"/>
      <c r="K87" s="5"/>
      <c r="L87" s="5"/>
      <c r="M87" s="5"/>
      <c r="N87" s="5"/>
      <c r="O87" s="5"/>
      <c r="P87" s="5"/>
      <c r="Q87" s="5"/>
      <c r="R87" s="5"/>
      <c r="S87" s="5"/>
      <c r="T87" s="5"/>
      <c r="U87" s="5"/>
      <c r="V87" s="5"/>
      <c r="W87" s="5"/>
      <c r="X87" s="5"/>
      <c r="Y87" s="5"/>
      <c r="Z87" s="5"/>
    </row>
    <row r="88" ht="14.25" customHeight="1">
      <c r="A88" s="5"/>
      <c r="B88" s="5"/>
      <c r="C88" s="4"/>
      <c r="D88" s="4"/>
      <c r="E88" s="5"/>
      <c r="F88" s="5"/>
      <c r="G88" s="5"/>
      <c r="H88" s="5"/>
      <c r="I88" s="5"/>
      <c r="J88" s="5"/>
      <c r="K88" s="5"/>
      <c r="L88" s="5"/>
      <c r="M88" s="5"/>
      <c r="N88" s="5"/>
      <c r="O88" s="5"/>
      <c r="P88" s="5"/>
      <c r="Q88" s="5"/>
      <c r="R88" s="5"/>
      <c r="S88" s="5"/>
      <c r="T88" s="5"/>
      <c r="U88" s="5"/>
      <c r="V88" s="5"/>
      <c r="W88" s="5"/>
      <c r="X88" s="5"/>
      <c r="Y88" s="5"/>
      <c r="Z88" s="5"/>
    </row>
    <row r="89" ht="14.25" customHeight="1">
      <c r="A89" s="5"/>
      <c r="B89" s="5"/>
      <c r="C89" s="4"/>
      <c r="D89" s="4"/>
      <c r="E89" s="5"/>
      <c r="F89" s="5"/>
      <c r="G89" s="5"/>
      <c r="H89" s="5"/>
      <c r="I89" s="5"/>
      <c r="J89" s="5"/>
      <c r="K89" s="5"/>
      <c r="L89" s="5"/>
      <c r="M89" s="5"/>
      <c r="N89" s="5"/>
      <c r="O89" s="5"/>
      <c r="P89" s="5"/>
      <c r="Q89" s="5"/>
      <c r="R89" s="5"/>
      <c r="S89" s="5"/>
      <c r="T89" s="5"/>
      <c r="U89" s="5"/>
      <c r="V89" s="5"/>
      <c r="W89" s="5"/>
      <c r="X89" s="5"/>
      <c r="Y89" s="5"/>
      <c r="Z89" s="5"/>
    </row>
    <row r="90" ht="14.25" customHeight="1">
      <c r="A90" s="5"/>
      <c r="B90" s="5"/>
      <c r="C90" s="4"/>
      <c r="D90" s="4"/>
      <c r="E90" s="5"/>
      <c r="F90" s="5"/>
      <c r="G90" s="5"/>
      <c r="H90" s="5"/>
      <c r="I90" s="5"/>
      <c r="J90" s="5"/>
      <c r="K90" s="5"/>
      <c r="L90" s="5"/>
      <c r="M90" s="5"/>
      <c r="N90" s="5"/>
      <c r="O90" s="5"/>
      <c r="P90" s="5"/>
      <c r="Q90" s="5"/>
      <c r="R90" s="5"/>
      <c r="S90" s="5"/>
      <c r="T90" s="5"/>
      <c r="U90" s="5"/>
      <c r="V90" s="5"/>
      <c r="W90" s="5"/>
      <c r="X90" s="5"/>
      <c r="Y90" s="5"/>
      <c r="Z90" s="5"/>
    </row>
    <row r="91" ht="14.25" customHeight="1">
      <c r="A91" s="5"/>
      <c r="B91" s="5"/>
      <c r="C91" s="4"/>
      <c r="D91" s="4"/>
      <c r="E91" s="5"/>
      <c r="F91" s="5"/>
      <c r="G91" s="5"/>
      <c r="H91" s="5"/>
      <c r="I91" s="5"/>
      <c r="J91" s="5"/>
      <c r="K91" s="5"/>
      <c r="L91" s="5"/>
      <c r="M91" s="5"/>
      <c r="N91" s="5"/>
      <c r="O91" s="5"/>
      <c r="P91" s="5"/>
      <c r="Q91" s="5"/>
      <c r="R91" s="5"/>
      <c r="S91" s="5"/>
      <c r="T91" s="5"/>
      <c r="U91" s="5"/>
      <c r="V91" s="5"/>
      <c r="W91" s="5"/>
      <c r="X91" s="5"/>
      <c r="Y91" s="5"/>
      <c r="Z91" s="5"/>
    </row>
    <row r="92" ht="14.25" customHeight="1">
      <c r="A92" s="5"/>
      <c r="B92" s="5"/>
      <c r="C92" s="4"/>
      <c r="D92" s="4"/>
      <c r="E92" s="5"/>
      <c r="F92" s="5"/>
      <c r="G92" s="5"/>
      <c r="H92" s="5"/>
      <c r="I92" s="5"/>
      <c r="J92" s="5"/>
      <c r="K92" s="5"/>
      <c r="L92" s="5"/>
      <c r="M92" s="5"/>
      <c r="N92" s="5"/>
      <c r="O92" s="5"/>
      <c r="P92" s="5"/>
      <c r="Q92" s="5"/>
      <c r="R92" s="5"/>
      <c r="S92" s="5"/>
      <c r="T92" s="5"/>
      <c r="U92" s="5"/>
      <c r="V92" s="5"/>
      <c r="W92" s="5"/>
      <c r="X92" s="5"/>
      <c r="Y92" s="5"/>
      <c r="Z92" s="5"/>
    </row>
    <row r="93" ht="14.25" customHeight="1">
      <c r="A93" s="5"/>
      <c r="B93" s="5"/>
      <c r="C93" s="4"/>
      <c r="D93" s="4"/>
      <c r="E93" s="5"/>
      <c r="F93" s="5"/>
      <c r="G93" s="5"/>
      <c r="H93" s="5"/>
      <c r="I93" s="5"/>
      <c r="J93" s="5"/>
      <c r="K93" s="5"/>
      <c r="L93" s="5"/>
      <c r="M93" s="5"/>
      <c r="N93" s="5"/>
      <c r="O93" s="5"/>
      <c r="P93" s="5"/>
      <c r="Q93" s="5"/>
      <c r="R93" s="5"/>
      <c r="S93" s="5"/>
      <c r="T93" s="5"/>
      <c r="U93" s="5"/>
      <c r="V93" s="5"/>
      <c r="W93" s="5"/>
      <c r="X93" s="5"/>
      <c r="Y93" s="5"/>
      <c r="Z93" s="5"/>
    </row>
    <row r="94" ht="14.25" customHeight="1">
      <c r="A94" s="5"/>
      <c r="B94" s="5"/>
      <c r="C94" s="4"/>
      <c r="D94" s="4"/>
      <c r="E94" s="5"/>
      <c r="F94" s="5"/>
      <c r="G94" s="5"/>
      <c r="H94" s="5"/>
      <c r="I94" s="5"/>
      <c r="J94" s="5"/>
      <c r="K94" s="5"/>
      <c r="L94" s="5"/>
      <c r="M94" s="5"/>
      <c r="N94" s="5"/>
      <c r="O94" s="5"/>
      <c r="P94" s="5"/>
      <c r="Q94" s="5"/>
      <c r="R94" s="5"/>
      <c r="S94" s="5"/>
      <c r="T94" s="5"/>
      <c r="U94" s="5"/>
      <c r="V94" s="5"/>
      <c r="W94" s="5"/>
      <c r="X94" s="5"/>
      <c r="Y94" s="5"/>
      <c r="Z94" s="5"/>
    </row>
    <row r="95" ht="14.25" customHeight="1">
      <c r="A95" s="5"/>
      <c r="B95" s="5"/>
      <c r="C95" s="4"/>
      <c r="D95" s="4"/>
      <c r="E95" s="5"/>
      <c r="F95" s="5"/>
      <c r="G95" s="5"/>
      <c r="H95" s="5"/>
      <c r="I95" s="5"/>
      <c r="J95" s="5"/>
      <c r="K95" s="5"/>
      <c r="L95" s="5"/>
      <c r="M95" s="5"/>
      <c r="N95" s="5"/>
      <c r="O95" s="5"/>
      <c r="P95" s="5"/>
      <c r="Q95" s="5"/>
      <c r="R95" s="5"/>
      <c r="S95" s="5"/>
      <c r="T95" s="5"/>
      <c r="U95" s="5"/>
      <c r="V95" s="5"/>
      <c r="W95" s="5"/>
      <c r="X95" s="5"/>
      <c r="Y95" s="5"/>
      <c r="Z95" s="5"/>
    </row>
    <row r="96" ht="14.25" customHeight="1">
      <c r="A96" s="5"/>
      <c r="B96" s="5"/>
      <c r="C96" s="4"/>
      <c r="D96" s="4"/>
      <c r="E96" s="5"/>
      <c r="F96" s="5"/>
      <c r="G96" s="5"/>
      <c r="H96" s="5"/>
      <c r="I96" s="5"/>
      <c r="J96" s="5"/>
      <c r="K96" s="5"/>
      <c r="L96" s="5"/>
      <c r="M96" s="5"/>
      <c r="N96" s="5"/>
      <c r="O96" s="5"/>
      <c r="P96" s="5"/>
      <c r="Q96" s="5"/>
      <c r="R96" s="5"/>
      <c r="S96" s="5"/>
      <c r="T96" s="5"/>
      <c r="U96" s="5"/>
      <c r="V96" s="5"/>
      <c r="W96" s="5"/>
      <c r="X96" s="5"/>
      <c r="Y96" s="5"/>
      <c r="Z96" s="5"/>
    </row>
    <row r="97" ht="14.25" customHeight="1">
      <c r="A97" s="5"/>
      <c r="B97" s="5"/>
      <c r="C97" s="4"/>
      <c r="D97" s="4"/>
      <c r="E97" s="5"/>
      <c r="F97" s="5"/>
      <c r="G97" s="5"/>
      <c r="H97" s="5"/>
      <c r="I97" s="5"/>
      <c r="J97" s="5"/>
      <c r="K97" s="5"/>
      <c r="L97" s="5"/>
      <c r="M97" s="5"/>
      <c r="N97" s="5"/>
      <c r="O97" s="5"/>
      <c r="P97" s="5"/>
      <c r="Q97" s="5"/>
      <c r="R97" s="5"/>
      <c r="S97" s="5"/>
      <c r="T97" s="5"/>
      <c r="U97" s="5"/>
      <c r="V97" s="5"/>
      <c r="W97" s="5"/>
      <c r="X97" s="5"/>
      <c r="Y97" s="5"/>
      <c r="Z97" s="5"/>
    </row>
    <row r="98" ht="14.25" customHeight="1">
      <c r="A98" s="5"/>
      <c r="B98" s="5"/>
      <c r="C98" s="4"/>
      <c r="D98" s="4"/>
      <c r="E98" s="5"/>
      <c r="F98" s="5"/>
      <c r="G98" s="5"/>
      <c r="H98" s="5"/>
      <c r="I98" s="5"/>
      <c r="J98" s="5"/>
      <c r="K98" s="5"/>
      <c r="L98" s="5"/>
      <c r="M98" s="5"/>
      <c r="N98" s="5"/>
      <c r="O98" s="5"/>
      <c r="P98" s="5"/>
      <c r="Q98" s="5"/>
      <c r="R98" s="5"/>
      <c r="S98" s="5"/>
      <c r="T98" s="5"/>
      <c r="U98" s="5"/>
      <c r="V98" s="5"/>
      <c r="W98" s="5"/>
      <c r="X98" s="5"/>
      <c r="Y98" s="5"/>
      <c r="Z98" s="5"/>
    </row>
    <row r="99" ht="14.25" customHeight="1">
      <c r="A99" s="5"/>
      <c r="B99" s="5"/>
      <c r="C99" s="4"/>
      <c r="D99" s="4"/>
      <c r="E99" s="5"/>
      <c r="F99" s="5"/>
      <c r="G99" s="5"/>
      <c r="H99" s="5"/>
      <c r="I99" s="5"/>
      <c r="J99" s="5"/>
      <c r="K99" s="5"/>
      <c r="L99" s="5"/>
      <c r="M99" s="5"/>
      <c r="N99" s="5"/>
      <c r="O99" s="5"/>
      <c r="P99" s="5"/>
      <c r="Q99" s="5"/>
      <c r="R99" s="5"/>
      <c r="S99" s="5"/>
      <c r="T99" s="5"/>
      <c r="U99" s="5"/>
      <c r="V99" s="5"/>
      <c r="W99" s="5"/>
      <c r="X99" s="5"/>
      <c r="Y99" s="5"/>
      <c r="Z99" s="5"/>
    </row>
    <row r="100" ht="14.25" customHeight="1">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ht="14.25" customHeight="1">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ht="14.25" customHeight="1">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ht="14.25" customHeight="1">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ht="14.25" customHeight="1">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ht="14.25" customHeight="1">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ht="14.25" customHeight="1">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ht="14.25" customHeight="1">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ht="14.25" customHeight="1">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ht="14.25" customHeight="1">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ht="14.25" customHeight="1">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ht="14.25" customHeight="1">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ht="14.25" customHeight="1">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ht="14.25" customHeight="1">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ht="14.25" customHeight="1">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ht="14.25" customHeight="1">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ht="14.25" customHeight="1">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ht="14.25" customHeight="1">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ht="14.25" customHeight="1">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ht="14.25" customHeight="1">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ht="14.25" customHeight="1">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ht="14.25" customHeight="1">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ht="14.25" customHeight="1">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ht="14.25" customHeight="1">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ht="14.25" customHeight="1">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ht="14.25" customHeight="1">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ht="14.25" customHeight="1">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ht="14.25" customHeight="1">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ht="14.25" customHeight="1">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ht="14.25" customHeight="1">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ht="14.25" customHeight="1">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ht="14.25" customHeight="1">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ht="14.25" customHeight="1">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ht="14.25" customHeight="1">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ht="14.25" customHeight="1">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ht="14.25" customHeight="1">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ht="14.25" customHeight="1">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ht="14.25" customHeight="1">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ht="14.25" customHeight="1">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ht="14.25" customHeight="1">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ht="14.25" customHeight="1">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ht="14.25" customHeight="1">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ht="14.25" customHeight="1">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ht="14.25" customHeight="1">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ht="14.25" customHeight="1">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ht="14.25" customHeight="1">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ht="14.25" customHeight="1">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ht="14.25" customHeight="1">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ht="14.25" customHeight="1">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ht="14.25" customHeight="1">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ht="14.25" customHeight="1">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ht="14.25" customHeight="1">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ht="14.25" customHeight="1">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ht="14.25" customHeight="1">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ht="14.25" customHeight="1">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ht="14.25" customHeight="1">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ht="14.25" customHeight="1">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ht="14.25" customHeight="1">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ht="14.25" customHeight="1">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ht="14.25" customHeight="1">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ht="14.25" customHeight="1">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ht="14.25" customHeight="1">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ht="14.25" customHeight="1">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ht="14.25" customHeight="1">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ht="14.25" customHeight="1">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ht="14.25" customHeight="1">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ht="14.25" customHeight="1">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ht="14.25" customHeight="1">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ht="14.25" customHeight="1">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ht="14.25" customHeight="1">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ht="14.25" customHeight="1">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ht="14.25" customHeight="1">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ht="14.25" customHeight="1">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ht="14.25" customHeight="1">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ht="14.25" customHeight="1">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ht="14.25" customHeight="1">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ht="14.25" customHeight="1">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ht="14.25" customHeight="1">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ht="14.25" customHeight="1">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ht="14.25" customHeight="1">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ht="14.25" customHeight="1">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ht="14.25" customHeight="1">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ht="14.25" customHeight="1">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ht="14.25" customHeight="1">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ht="14.25" customHeight="1">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ht="14.25" customHeight="1">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ht="14.25" customHeight="1">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ht="14.25" customHeight="1">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ht="14.25" customHeight="1">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ht="14.25" customHeight="1">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ht="14.25" customHeight="1">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ht="14.25" customHeight="1">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ht="14.25" customHeight="1">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ht="14.25" customHeight="1">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ht="14.25" customHeight="1">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ht="14.25" customHeight="1">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ht="14.25" customHeight="1">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ht="14.25" customHeight="1">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ht="14.25" customHeight="1">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ht="14.25" customHeight="1">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ht="14.25" customHeight="1">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ht="14.25" customHeight="1">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ht="14.25" customHeight="1">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ht="14.25" customHeight="1">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ht="14.25" customHeight="1">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ht="14.25" customHeight="1">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ht="14.25" customHeight="1">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ht="14.25" customHeight="1">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ht="14.25" customHeight="1">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ht="14.25" customHeight="1">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ht="14.25" customHeight="1">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ht="14.25" customHeight="1">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ht="14.25" customHeight="1">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ht="14.25" customHeight="1">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ht="14.25" customHeight="1">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ht="14.25" customHeight="1">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ht="14.25" customHeight="1">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ht="14.25" customHeight="1">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ht="14.25" customHeight="1">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ht="14.25" customHeight="1">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ht="14.25" customHeight="1">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ht="14.25" customHeight="1">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ht="14.25" customHeight="1">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ht="14.25" customHeight="1">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ht="14.25" customHeight="1">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ht="14.25" customHeight="1">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ht="14.25" customHeight="1">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ht="14.25" customHeight="1">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ht="14.25" customHeight="1">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ht="14.25" customHeight="1">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ht="14.25" customHeight="1">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ht="14.25" customHeight="1">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ht="14.25" customHeight="1">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ht="14.25" customHeight="1">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ht="14.25" customHeight="1">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ht="14.25" customHeight="1">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ht="14.25" customHeight="1">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ht="14.25" customHeight="1">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ht="14.25" customHeight="1">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ht="14.25" customHeight="1">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ht="14.25" customHeight="1">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ht="14.25" customHeight="1">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ht="14.25" customHeight="1">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ht="14.25" customHeight="1">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ht="14.25" customHeight="1">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ht="14.25" customHeight="1">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ht="14.25" customHeight="1">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ht="14.25" customHeight="1">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ht="14.25" customHeight="1">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ht="14.25" customHeight="1">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ht="14.25" customHeight="1">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ht="14.25" customHeight="1">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ht="14.25" customHeight="1">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ht="14.25" customHeight="1">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ht="14.25" customHeight="1">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ht="14.25" customHeight="1">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ht="14.25" customHeight="1">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ht="14.25" customHeight="1">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ht="14.25" customHeight="1">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ht="14.25" customHeight="1">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ht="14.25" customHeight="1">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ht="14.25" customHeight="1">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ht="14.25" customHeight="1">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ht="14.25" customHeight="1">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ht="14.25" customHeight="1">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ht="14.25" customHeight="1">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ht="14.25" customHeight="1">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ht="14.25" customHeight="1">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ht="14.25" customHeight="1">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ht="14.25" customHeight="1">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ht="14.25" customHeight="1">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ht="14.25" customHeight="1">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ht="14.25" customHeight="1">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ht="14.25" customHeight="1">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ht="14.25" customHeight="1">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ht="14.25" customHeight="1">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ht="14.25" customHeight="1">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ht="14.25" customHeight="1">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ht="14.25" customHeight="1">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ht="14.25" customHeight="1">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ht="14.25" customHeight="1">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ht="14.25" customHeight="1">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ht="14.25" customHeight="1">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ht="14.25" customHeight="1">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ht="14.25" customHeight="1">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ht="14.25" customHeight="1">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ht="14.25" customHeight="1">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ht="14.25" customHeight="1">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ht="14.25" customHeight="1">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ht="14.25" customHeight="1">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ht="14.25" customHeight="1">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ht="14.25" customHeight="1">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ht="14.25" customHeight="1">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ht="14.25" customHeight="1">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ht="14.25" customHeight="1">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ht="14.25" customHeight="1">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ht="14.25" customHeight="1">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ht="14.25" customHeight="1">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ht="14.25" customHeight="1">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ht="14.25" customHeight="1">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ht="14.25" customHeight="1">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ht="14.25" customHeight="1">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ht="14.25" customHeight="1">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ht="14.25" customHeight="1">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ht="14.25" customHeight="1">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ht="14.25" customHeight="1">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ht="14.25" customHeight="1">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ht="14.25" customHeight="1">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ht="14.25" customHeight="1">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ht="14.25" customHeight="1">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ht="14.25" customHeight="1">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ht="14.25" customHeight="1">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ht="14.25" customHeight="1">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ht="14.25" customHeight="1">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ht="14.25" customHeight="1">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ht="14.25" customHeight="1">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ht="14.25" customHeight="1">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ht="14.25" customHeight="1">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ht="14.25" customHeight="1">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ht="14.25" customHeight="1">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ht="14.25" customHeight="1">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ht="14.25" customHeight="1">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ht="14.25" customHeight="1">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ht="14.25" customHeight="1">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ht="14.25" customHeight="1">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ht="14.25" customHeight="1">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ht="14.25" customHeight="1">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ht="14.25" customHeight="1">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ht="14.25" customHeight="1">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ht="14.25" customHeight="1">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ht="14.25" customHeight="1">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ht="14.25" customHeight="1">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ht="14.25" customHeight="1">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ht="14.25" customHeight="1">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ht="14.25" customHeight="1">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ht="14.25" customHeight="1">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ht="14.25" customHeight="1">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ht="14.25" customHeight="1">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ht="14.25" customHeight="1">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ht="14.25" customHeight="1">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ht="14.25" customHeight="1">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ht="14.25" customHeight="1">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ht="14.25" customHeight="1">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ht="14.25" customHeight="1">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ht="14.25" customHeight="1">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ht="14.25" customHeight="1">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ht="14.25" customHeight="1">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ht="14.25" customHeight="1">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ht="14.25" customHeight="1">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ht="14.25" customHeight="1">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ht="14.25" customHeight="1">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ht="14.25" customHeight="1">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ht="14.25" customHeight="1">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ht="14.25" customHeight="1">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ht="14.25" customHeight="1">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ht="14.25" customHeight="1">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ht="14.25" customHeight="1">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ht="14.25" customHeight="1">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ht="14.25" customHeight="1">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ht="14.25" customHeight="1">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ht="14.25" customHeight="1">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ht="14.25" customHeight="1">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ht="14.25" customHeight="1">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ht="14.25" customHeight="1">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ht="14.25" customHeight="1">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ht="14.25" customHeight="1">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ht="14.25" customHeight="1">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ht="14.25" customHeight="1">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ht="14.25" customHeight="1">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ht="14.25" customHeight="1">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ht="14.25" customHeight="1">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ht="14.25" customHeight="1">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ht="14.25" customHeight="1">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ht="14.25" customHeight="1">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ht="14.25" customHeight="1">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ht="14.25" customHeight="1">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ht="14.25" customHeight="1">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ht="14.25" customHeight="1">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ht="14.25" customHeight="1">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ht="14.25" customHeight="1">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ht="14.25" customHeight="1">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ht="14.25" customHeight="1">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ht="14.25" customHeight="1">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ht="14.25" customHeight="1">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ht="14.25" customHeight="1">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ht="14.25" customHeight="1">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ht="14.25" customHeight="1">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ht="14.25" customHeight="1">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ht="14.25" customHeight="1">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ht="14.25" customHeight="1">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ht="14.25" customHeight="1">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ht="14.25" customHeight="1">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ht="14.25" customHeight="1">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ht="14.25" customHeight="1">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ht="14.25" customHeight="1">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ht="14.25" customHeight="1">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ht="14.25" customHeight="1">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ht="14.25" customHeight="1">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ht="14.25" customHeight="1">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ht="14.25" customHeight="1">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ht="14.25" customHeight="1">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ht="14.25" customHeight="1">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ht="14.25" customHeight="1">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ht="14.25" customHeight="1">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ht="14.25" customHeight="1">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ht="14.25" customHeight="1">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ht="14.25" customHeight="1">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ht="14.25" customHeight="1">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ht="14.25" customHeight="1">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ht="14.25" customHeight="1">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ht="14.25" customHeight="1">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ht="14.25" customHeight="1">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ht="14.25" customHeight="1">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ht="14.25" customHeight="1">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ht="14.25" customHeight="1">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ht="14.25" customHeight="1">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ht="14.25" customHeight="1">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ht="14.25" customHeight="1">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ht="14.25" customHeight="1">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ht="14.25" customHeight="1">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ht="14.25" customHeight="1">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ht="14.25" customHeight="1">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ht="14.25" customHeight="1">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ht="14.25" customHeight="1">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ht="14.25" customHeight="1">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ht="14.25" customHeight="1">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ht="14.25" customHeight="1">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ht="14.25" customHeight="1">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ht="14.25" customHeight="1">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ht="14.25" customHeight="1">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ht="14.25" customHeight="1">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ht="14.25" customHeight="1">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ht="14.25" customHeight="1">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ht="14.25" customHeight="1">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ht="14.25" customHeight="1">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ht="14.25" customHeight="1">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ht="14.25" customHeight="1">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ht="14.25" customHeight="1">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ht="14.25" customHeight="1">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ht="14.25" customHeight="1">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ht="14.25" customHeight="1">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ht="14.25" customHeight="1">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ht="14.25" customHeight="1">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ht="14.25" customHeight="1">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ht="14.25" customHeight="1">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ht="14.25" customHeight="1">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ht="14.25" customHeight="1">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ht="14.25" customHeight="1">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ht="14.25" customHeight="1">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ht="14.25" customHeight="1">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ht="14.25" customHeight="1">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ht="14.25" customHeight="1">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ht="14.25" customHeight="1">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ht="14.25" customHeight="1">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ht="14.25" customHeight="1">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ht="14.25" customHeight="1">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ht="14.25" customHeight="1">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ht="14.25" customHeight="1">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ht="14.25" customHeight="1">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ht="14.25" customHeight="1">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ht="14.25" customHeight="1">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ht="14.25" customHeight="1">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ht="14.25" customHeight="1">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ht="14.25" customHeight="1">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ht="14.25" customHeight="1">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ht="14.25" customHeight="1">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ht="14.25" customHeight="1">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ht="14.25" customHeight="1">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ht="14.25" customHeight="1">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ht="14.25" customHeight="1">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ht="14.25" customHeight="1">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ht="14.25" customHeight="1">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ht="14.25" customHeight="1">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ht="14.25" customHeight="1">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ht="14.25" customHeight="1">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ht="14.25" customHeight="1">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ht="14.25" customHeight="1">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ht="14.25" customHeight="1">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ht="14.25" customHeight="1">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ht="14.25" customHeight="1">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ht="14.25" customHeight="1">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ht="14.25" customHeight="1">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ht="14.25" customHeight="1">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ht="14.25" customHeight="1">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ht="14.25" customHeight="1">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ht="14.25" customHeight="1">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ht="14.25" customHeight="1">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ht="14.25" customHeight="1">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ht="14.25" customHeight="1">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ht="14.25" customHeight="1">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ht="14.25" customHeight="1">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ht="14.25" customHeight="1">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ht="14.25" customHeight="1">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ht="14.25" customHeight="1">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ht="14.25" customHeight="1">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ht="14.25" customHeight="1">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ht="14.25" customHeight="1">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ht="14.25" customHeight="1">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ht="14.25" customHeight="1">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ht="14.25" customHeight="1">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ht="14.25" customHeight="1">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ht="14.25" customHeight="1">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ht="14.25" customHeight="1">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ht="14.25" customHeight="1">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ht="14.25" customHeight="1">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ht="14.25" customHeight="1">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ht="14.25" customHeight="1">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ht="14.25" customHeight="1">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ht="14.25" customHeight="1">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ht="14.25" customHeight="1">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ht="14.25" customHeight="1">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ht="14.25" customHeight="1">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ht="14.25" customHeight="1">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ht="14.25" customHeight="1">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ht="14.25" customHeight="1">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ht="14.25" customHeight="1">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ht="14.25" customHeight="1">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ht="14.25" customHeight="1">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ht="14.25" customHeight="1">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ht="14.25" customHeight="1">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ht="14.25" customHeight="1">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ht="14.25" customHeight="1">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ht="14.25" customHeight="1">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ht="14.25" customHeight="1">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ht="14.25" customHeight="1">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ht="14.25" customHeight="1">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ht="14.25" customHeight="1">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ht="14.25" customHeight="1">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ht="14.25" customHeight="1">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ht="14.25" customHeight="1">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ht="14.25" customHeight="1">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ht="14.25" customHeight="1">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ht="14.25" customHeight="1">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ht="14.25" customHeight="1">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ht="14.25" customHeight="1">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ht="14.25" customHeight="1">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ht="14.25" customHeight="1">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ht="14.25" customHeight="1">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ht="14.25" customHeight="1">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ht="14.25" customHeight="1">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ht="14.25" customHeight="1">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ht="14.25" customHeight="1">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ht="14.25" customHeight="1">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ht="14.25" customHeight="1">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ht="14.25" customHeight="1">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ht="14.25" customHeight="1">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ht="14.25" customHeight="1">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ht="14.25" customHeight="1">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ht="14.25" customHeight="1">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ht="14.25" customHeight="1">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ht="14.25" customHeight="1">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ht="14.25" customHeight="1">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ht="14.25" customHeight="1">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ht="14.25" customHeight="1">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ht="14.25" customHeight="1">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ht="14.25" customHeight="1">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ht="14.25" customHeight="1">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ht="14.25" customHeight="1">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ht="14.25" customHeight="1">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ht="14.25" customHeight="1">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ht="14.25" customHeight="1">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ht="14.25" customHeight="1">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ht="14.25" customHeight="1">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ht="14.25" customHeight="1">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ht="14.25" customHeight="1">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ht="14.25" customHeight="1">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ht="14.25" customHeight="1">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ht="14.25" customHeight="1">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ht="14.25" customHeight="1">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ht="14.25" customHeight="1">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ht="14.25" customHeight="1">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ht="14.25" customHeight="1">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ht="14.25" customHeight="1">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ht="14.25" customHeight="1">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ht="14.25" customHeight="1">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ht="14.25" customHeight="1">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ht="14.25" customHeight="1">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ht="14.25" customHeight="1">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ht="14.25" customHeight="1">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ht="14.25" customHeight="1">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ht="14.25" customHeight="1">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ht="14.25" customHeight="1">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ht="14.25" customHeight="1">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ht="14.25" customHeight="1">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ht="14.25" customHeight="1">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ht="14.25" customHeight="1">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ht="14.25" customHeight="1">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ht="14.25" customHeight="1">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ht="14.25" customHeight="1">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ht="14.25" customHeight="1">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ht="14.25" customHeight="1">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ht="14.25" customHeight="1">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ht="14.25" customHeight="1">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ht="14.25" customHeight="1">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ht="14.25" customHeight="1">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ht="14.25" customHeight="1">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ht="14.25" customHeight="1">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ht="14.25" customHeight="1">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ht="14.25" customHeight="1">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ht="14.25" customHeight="1">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ht="14.25" customHeight="1">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ht="14.25" customHeight="1">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ht="14.25" customHeight="1">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ht="14.25" customHeight="1">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ht="14.25" customHeight="1">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ht="14.25" customHeight="1">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ht="14.25" customHeight="1">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ht="14.25" customHeight="1">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ht="14.25" customHeight="1">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ht="14.25" customHeight="1">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ht="14.25" customHeight="1">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ht="14.25" customHeight="1">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ht="14.25" customHeight="1">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ht="14.25" customHeight="1">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ht="14.25" customHeight="1">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ht="14.25" customHeight="1">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ht="14.25" customHeight="1">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ht="14.25" customHeight="1">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ht="14.25" customHeight="1">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ht="14.25" customHeight="1">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ht="14.25" customHeight="1">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ht="14.25" customHeight="1">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ht="14.25" customHeight="1">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ht="14.25" customHeight="1">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ht="14.25" customHeight="1">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ht="14.25" customHeight="1">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ht="14.25" customHeight="1">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ht="14.25" customHeight="1">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ht="14.25" customHeight="1">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ht="14.25" customHeight="1">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ht="14.25" customHeight="1">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ht="14.25" customHeight="1">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ht="14.25" customHeight="1">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ht="14.25" customHeight="1">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ht="14.25" customHeight="1">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ht="14.25" customHeight="1">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ht="14.25" customHeight="1">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ht="14.25" customHeight="1">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ht="14.25" customHeight="1">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ht="14.25" customHeight="1">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ht="14.25" customHeight="1">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ht="14.25" customHeight="1">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ht="14.25" customHeight="1">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ht="14.25" customHeight="1">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ht="14.25" customHeight="1">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ht="14.25" customHeight="1">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ht="14.25" customHeight="1">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ht="14.25" customHeight="1">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ht="14.25" customHeight="1">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ht="14.25" customHeight="1">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ht="14.25" customHeight="1">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ht="14.25" customHeight="1">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ht="14.25" customHeight="1">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ht="14.25" customHeight="1">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ht="14.25" customHeight="1">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ht="14.25" customHeight="1">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ht="14.25" customHeight="1">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ht="14.25" customHeight="1">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ht="14.25" customHeight="1">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ht="14.25" customHeight="1">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ht="14.25" customHeight="1">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ht="14.25" customHeight="1">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ht="14.25" customHeight="1">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ht="14.25" customHeight="1">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ht="14.25" customHeight="1">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ht="14.25" customHeight="1">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ht="14.25" customHeight="1">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ht="14.25" customHeight="1">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ht="14.25" customHeight="1">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ht="14.25" customHeight="1">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ht="14.25" customHeight="1">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ht="14.25" customHeight="1">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ht="14.25" customHeight="1">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ht="14.25" customHeight="1">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ht="14.25" customHeight="1">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ht="14.25" customHeight="1">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ht="14.25" customHeight="1">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ht="14.25" customHeight="1">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ht="14.25" customHeight="1">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ht="14.25" customHeight="1">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ht="14.25" customHeight="1">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ht="14.25" customHeight="1">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ht="14.25" customHeight="1">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ht="14.25" customHeight="1">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ht="14.25" customHeight="1">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ht="14.25" customHeight="1">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ht="14.25" customHeight="1">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ht="14.25" customHeight="1">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ht="14.25" customHeight="1">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ht="14.25" customHeight="1">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ht="14.25" customHeight="1">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ht="14.25" customHeight="1">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ht="14.25" customHeight="1">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ht="14.25" customHeight="1">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ht="14.25" customHeight="1">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ht="14.25" customHeight="1">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ht="14.25" customHeight="1">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ht="14.25" customHeight="1">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ht="14.25" customHeight="1">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ht="14.25" customHeight="1">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ht="14.25" customHeight="1">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ht="14.25" customHeight="1">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ht="14.25" customHeight="1">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ht="14.25" customHeight="1">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ht="14.25" customHeight="1">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ht="14.25" customHeight="1">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ht="14.25" customHeight="1">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ht="14.25" customHeight="1">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ht="14.25" customHeight="1">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ht="14.25" customHeight="1">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ht="14.25" customHeight="1">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ht="14.25" customHeight="1">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ht="14.25" customHeight="1">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ht="14.25" customHeight="1">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ht="14.25" customHeight="1">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ht="14.25" customHeight="1">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ht="14.25" customHeight="1">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ht="14.25" customHeight="1">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ht="14.25" customHeight="1">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ht="14.25" customHeight="1">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ht="14.25" customHeight="1">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ht="14.25" customHeight="1">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ht="14.25" customHeight="1">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ht="14.25" customHeight="1">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ht="14.25" customHeight="1">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ht="14.25" customHeight="1">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ht="14.25" customHeight="1">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ht="14.25" customHeight="1">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ht="14.25" customHeight="1">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ht="14.25" customHeight="1">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ht="14.25" customHeight="1">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ht="14.25" customHeight="1">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ht="14.25" customHeight="1">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ht="14.25" customHeight="1">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ht="14.25" customHeight="1">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ht="14.25" customHeight="1">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ht="14.25" customHeight="1">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ht="14.25" customHeight="1">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ht="14.25" customHeight="1">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ht="14.25" customHeight="1">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ht="14.25" customHeight="1">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ht="14.25" customHeight="1">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ht="14.25" customHeight="1">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ht="14.25" customHeight="1">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ht="14.25" customHeight="1">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ht="14.25" customHeight="1">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ht="14.25" customHeight="1">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ht="14.25" customHeight="1">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ht="14.25" customHeight="1">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ht="14.25" customHeight="1">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ht="14.25" customHeight="1">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ht="14.25" customHeight="1">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ht="14.25" customHeight="1">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ht="14.25" customHeight="1">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ht="14.25" customHeight="1">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ht="14.25" customHeight="1">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ht="14.25" customHeight="1">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ht="14.25" customHeight="1">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ht="14.25" customHeight="1">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ht="14.25" customHeight="1">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ht="14.25" customHeight="1">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ht="14.25" customHeight="1">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ht="14.25" customHeight="1">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ht="14.25" customHeight="1">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ht="14.25" customHeight="1">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ht="14.25" customHeight="1">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ht="14.25" customHeight="1">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ht="14.25" customHeight="1">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ht="14.25" customHeight="1">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ht="14.25" customHeight="1">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ht="14.25" customHeight="1">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ht="14.25" customHeight="1">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ht="14.25" customHeight="1">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ht="14.25" customHeight="1">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ht="14.25" customHeight="1">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ht="14.25" customHeight="1">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ht="14.25" customHeight="1">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ht="14.25" customHeight="1">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ht="14.25" customHeight="1">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ht="14.25" customHeight="1">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ht="14.25" customHeight="1">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ht="14.25" customHeight="1">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ht="14.25" customHeight="1">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ht="14.25" customHeight="1">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ht="14.25" customHeight="1">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ht="14.25" customHeight="1">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ht="14.25" customHeight="1">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ht="14.25" customHeight="1">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ht="14.25" customHeight="1">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ht="14.25" customHeight="1">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ht="14.25" customHeight="1">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ht="14.25" customHeight="1">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ht="14.25" customHeight="1">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ht="14.25" customHeight="1">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ht="14.25" customHeight="1">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ht="14.25" customHeight="1">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ht="14.25" customHeight="1">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ht="14.25" customHeight="1">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ht="14.25" customHeight="1">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ht="14.25" customHeight="1">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ht="14.25" customHeight="1">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ht="14.25" customHeight="1">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ht="14.25" customHeight="1">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ht="14.25" customHeight="1">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ht="14.25" customHeight="1">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ht="14.25" customHeight="1">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ht="14.25" customHeight="1">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ht="14.25" customHeight="1">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ht="14.25" customHeight="1">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ht="14.25" customHeight="1">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ht="14.25" customHeight="1">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ht="14.25" customHeight="1">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ht="14.25" customHeight="1">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ht="14.25" customHeight="1">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ht="14.25" customHeight="1">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ht="14.25" customHeight="1">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ht="14.25" customHeight="1">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ht="14.25" customHeight="1">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ht="14.25" customHeight="1">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ht="14.25" customHeight="1">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ht="14.25" customHeight="1">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ht="14.25" customHeight="1">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ht="14.25" customHeight="1">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ht="14.25" customHeight="1">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ht="14.25" customHeight="1">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ht="14.25" customHeight="1">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ht="14.25" customHeight="1">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ht="14.25" customHeight="1">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ht="14.25" customHeight="1">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ht="14.25" customHeight="1">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ht="14.25" customHeight="1">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ht="14.25" customHeight="1">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ht="14.25" customHeight="1">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ht="14.25" customHeight="1">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ht="14.25" customHeight="1">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ht="14.25" customHeight="1">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ht="14.25" customHeight="1">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ht="14.25" customHeight="1">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ht="14.25" customHeight="1">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ht="14.25" customHeight="1">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ht="14.25" customHeight="1">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ht="14.25" customHeight="1">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ht="14.25" customHeight="1">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ht="14.25" customHeight="1">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ht="14.25" customHeight="1">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ht="14.25" customHeight="1">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ht="14.25" customHeight="1">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ht="14.25" customHeight="1">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ht="14.25" customHeight="1">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ht="14.25" customHeight="1">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ht="14.25" customHeight="1">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ht="14.25" customHeight="1">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ht="14.25" customHeight="1">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ht="14.25" customHeight="1">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ht="14.25" customHeight="1">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ht="14.25" customHeight="1">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ht="14.25" customHeight="1">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ht="14.25" customHeight="1">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ht="14.25" customHeight="1">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ht="14.25" customHeight="1">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ht="14.25" customHeight="1">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ht="14.25" customHeight="1">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ht="14.25" customHeight="1">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ht="14.25" customHeight="1">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ht="14.25" customHeight="1">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ht="14.25" customHeight="1">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ht="14.25" customHeight="1">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ht="14.25" customHeight="1">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ht="14.25" customHeight="1">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ht="14.25" customHeight="1">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ht="14.25" customHeight="1">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ht="14.25" customHeight="1">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ht="14.25" customHeight="1">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ht="14.25" customHeight="1">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ht="14.25" customHeight="1">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ht="14.25" customHeight="1">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ht="14.25" customHeight="1">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ht="14.25" customHeight="1">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ht="14.25" customHeight="1">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ht="14.25" customHeight="1">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ht="14.25" customHeight="1">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ht="14.25" customHeight="1">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ht="14.25" customHeight="1">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ht="14.25" customHeight="1">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ht="14.25" customHeight="1">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ht="14.25" customHeight="1">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ht="14.25" customHeight="1">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ht="14.25" customHeight="1">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ht="14.25" customHeight="1">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ht="14.25" customHeight="1">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ht="14.25" customHeight="1">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ht="14.25" customHeight="1">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ht="14.25" customHeight="1">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ht="14.25" customHeight="1">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ht="14.25" customHeight="1">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ht="14.25" customHeight="1">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ht="14.25" customHeight="1">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ht="14.25" customHeight="1">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ht="14.25" customHeight="1">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ht="14.25" customHeight="1">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ht="14.25" customHeight="1">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ht="14.25" customHeight="1">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ht="14.25" customHeight="1">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ht="14.25" customHeight="1">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ht="14.25" customHeight="1">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ht="14.25" customHeight="1">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ht="14.25" customHeight="1">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ht="14.25" customHeight="1">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ht="14.25" customHeight="1">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ht="14.25" customHeight="1">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ht="14.25" customHeight="1">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ht="14.25" customHeight="1">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ht="14.25" customHeight="1">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ht="14.25" customHeight="1">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ht="14.25" customHeight="1">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ht="14.25" customHeight="1">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ht="14.25" customHeight="1">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ht="14.25" customHeight="1">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ht="14.25" customHeight="1">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ht="14.25" customHeight="1">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ht="14.25" customHeight="1">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ht="14.25" customHeight="1">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ht="14.25" customHeight="1">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ht="14.25" customHeight="1">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ht="14.25" customHeight="1">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ht="14.25" customHeight="1">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ht="14.25" customHeight="1">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ht="14.25" customHeight="1">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ht="14.25" customHeight="1">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ht="14.25" customHeight="1">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ht="14.25" customHeight="1">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ht="14.25" customHeight="1">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ht="14.25" customHeight="1">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ht="14.25" customHeight="1">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ht="14.25" customHeight="1">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ht="14.25" customHeight="1">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ht="14.25" customHeight="1">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ht="14.25" customHeight="1">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ht="14.25" customHeight="1">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ht="14.25" customHeight="1">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ht="14.25" customHeight="1">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ht="14.25" customHeight="1">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ht="14.25" customHeight="1">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ht="14.25" customHeight="1">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ht="14.25" customHeight="1">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ht="14.25" customHeight="1">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ht="14.25" customHeight="1">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ht="14.25" customHeight="1">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ht="14.25" customHeight="1">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ht="14.25" customHeight="1">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ht="14.25" customHeight="1">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ht="14.25" customHeight="1">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ht="14.25" customHeight="1">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ht="14.25" customHeight="1">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ht="14.25" customHeight="1">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ht="14.25" customHeight="1">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ht="14.25" customHeight="1">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ht="14.25" customHeight="1">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ht="14.25" customHeight="1">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ht="14.25" customHeight="1">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ht="14.25" customHeight="1">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ht="14.25" customHeight="1">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ht="14.25" customHeight="1">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ht="14.25" customHeight="1">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ht="14.25" customHeight="1">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ht="14.25" customHeight="1">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ht="14.25" customHeight="1">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ht="14.25" customHeight="1">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ht="14.25" customHeight="1">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ht="14.25" customHeight="1">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ht="14.25" customHeight="1">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ht="14.25" customHeight="1">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ht="14.25" customHeight="1">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ht="14.25" customHeight="1">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ht="14.25" customHeight="1">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ht="14.25" customHeight="1">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ht="14.25" customHeight="1">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ht="14.25" customHeight="1">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ht="14.25" customHeight="1">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ht="14.25" customHeight="1">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ht="14.25" customHeight="1">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ht="14.25" customHeight="1">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ht="14.25" customHeight="1">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ht="14.25" customHeight="1">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ht="14.25" customHeight="1">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ht="14.25" customHeight="1">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ht="14.25" customHeight="1">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ht="14.25" customHeight="1">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ht="14.25" customHeight="1">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ht="14.25" customHeight="1">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ht="14.25" customHeight="1">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ht="14.25" customHeight="1">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ht="14.25" customHeight="1">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ht="14.25" customHeight="1">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ht="14.25" customHeight="1">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ht="14.25" customHeight="1">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ht="14.25" customHeight="1">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ht="14.25" customHeight="1">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ht="14.25" customHeight="1">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ht="14.25" customHeight="1">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ht="14.25" customHeight="1">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pane xSplit="1.0" topLeftCell="B1" activePane="topRight" state="frozen"/>
      <selection activeCell="C2" sqref="C2" pane="topRight"/>
    </sheetView>
  </sheetViews>
  <sheetFormatPr customHeight="1" defaultColWidth="12.63" defaultRowHeight="15.0"/>
  <cols>
    <col customWidth="1" min="1" max="1" width="39.38"/>
    <col customWidth="1" min="2" max="25" width="17.25"/>
    <col customWidth="1" min="26" max="26" width="11.0"/>
  </cols>
  <sheetData>
    <row r="1" ht="14.25" customHeight="1">
      <c r="A1" s="778"/>
      <c r="B1" s="778"/>
      <c r="C1" s="778" t="s">
        <v>3539</v>
      </c>
      <c r="D1" s="778"/>
      <c r="E1" s="778"/>
      <c r="F1" s="778" t="s">
        <v>3540</v>
      </c>
      <c r="G1" s="778"/>
      <c r="H1" s="778"/>
      <c r="I1" s="778" t="s">
        <v>3541</v>
      </c>
      <c r="J1" s="778"/>
      <c r="K1" s="778"/>
      <c r="L1" s="778" t="s">
        <v>3542</v>
      </c>
      <c r="M1" s="778"/>
      <c r="N1" s="778"/>
      <c r="O1" s="778" t="s">
        <v>3543</v>
      </c>
      <c r="P1" s="778"/>
      <c r="Q1" s="778"/>
      <c r="R1" s="778" t="s">
        <v>3544</v>
      </c>
      <c r="S1" s="778"/>
      <c r="T1" s="778"/>
      <c r="U1" s="778" t="s">
        <v>3545</v>
      </c>
      <c r="V1" s="778"/>
      <c r="W1" s="778"/>
      <c r="X1" s="778" t="s">
        <v>3546</v>
      </c>
      <c r="Y1" s="778"/>
      <c r="Z1" s="778"/>
    </row>
    <row r="2" ht="14.25" customHeight="1"/>
    <row r="3" ht="14.25" customHeight="1">
      <c r="A3" s="450" t="s">
        <v>1</v>
      </c>
      <c r="B3" s="450"/>
      <c r="C3" s="453" t="s">
        <v>90</v>
      </c>
      <c r="D3" s="451"/>
      <c r="E3" s="450"/>
      <c r="F3" s="453" t="s">
        <v>90</v>
      </c>
      <c r="G3" s="451"/>
      <c r="H3" s="450"/>
      <c r="I3" s="453" t="s">
        <v>90</v>
      </c>
      <c r="J3" s="451"/>
      <c r="K3" s="450"/>
      <c r="L3" s="453" t="s">
        <v>90</v>
      </c>
      <c r="M3" s="451"/>
      <c r="N3" s="450"/>
      <c r="O3" s="453" t="s">
        <v>90</v>
      </c>
      <c r="P3" s="451"/>
      <c r="Q3" s="450"/>
      <c r="R3" s="453" t="s">
        <v>90</v>
      </c>
      <c r="S3" s="451"/>
      <c r="T3" s="450"/>
      <c r="U3" s="453" t="s">
        <v>90</v>
      </c>
      <c r="V3" s="451"/>
      <c r="W3" s="450"/>
      <c r="X3" s="453" t="s">
        <v>90</v>
      </c>
      <c r="Y3" s="451"/>
    </row>
    <row r="4" ht="14.25" customHeight="1">
      <c r="A4" s="39"/>
      <c r="B4" s="458" t="s">
        <v>772</v>
      </c>
      <c r="C4" s="458"/>
      <c r="D4" s="458" t="s">
        <v>728</v>
      </c>
      <c r="E4" s="458" t="s">
        <v>772</v>
      </c>
      <c r="F4" s="458"/>
      <c r="G4" s="458" t="s">
        <v>728</v>
      </c>
      <c r="H4" s="458" t="s">
        <v>772</v>
      </c>
      <c r="I4" s="458"/>
      <c r="J4" s="458" t="s">
        <v>728</v>
      </c>
      <c r="K4" s="458" t="s">
        <v>772</v>
      </c>
      <c r="L4" s="458"/>
      <c r="M4" s="458" t="s">
        <v>728</v>
      </c>
      <c r="N4" s="458" t="s">
        <v>772</v>
      </c>
      <c r="O4" s="458"/>
      <c r="P4" s="458" t="s">
        <v>728</v>
      </c>
      <c r="Q4" s="458" t="s">
        <v>772</v>
      </c>
      <c r="R4" s="458"/>
      <c r="S4" s="458" t="s">
        <v>728</v>
      </c>
      <c r="T4" s="458" t="s">
        <v>772</v>
      </c>
      <c r="U4" s="458"/>
      <c r="V4" s="458" t="s">
        <v>728</v>
      </c>
      <c r="W4" s="458" t="s">
        <v>772</v>
      </c>
      <c r="X4" s="458"/>
      <c r="Y4" s="458" t="s">
        <v>728</v>
      </c>
    </row>
    <row r="5" ht="14.25" customHeight="1">
      <c r="A5" s="461"/>
      <c r="B5" s="910" t="s">
        <v>775</v>
      </c>
      <c r="C5" s="911"/>
      <c r="D5" s="912"/>
      <c r="E5" s="910" t="s">
        <v>775</v>
      </c>
      <c r="F5" s="911"/>
      <c r="G5" s="912"/>
      <c r="H5" s="910" t="s">
        <v>775</v>
      </c>
      <c r="I5" s="911"/>
      <c r="J5" s="912"/>
      <c r="K5" s="910" t="s">
        <v>775</v>
      </c>
      <c r="L5" s="911"/>
      <c r="M5" s="912"/>
      <c r="N5" s="910" t="s">
        <v>775</v>
      </c>
      <c r="O5" s="911"/>
      <c r="P5" s="912"/>
      <c r="Q5" s="910" t="s">
        <v>775</v>
      </c>
      <c r="R5" s="911"/>
      <c r="S5" s="912"/>
      <c r="T5" s="910" t="s">
        <v>775</v>
      </c>
      <c r="U5" s="911"/>
      <c r="V5" s="912"/>
      <c r="W5" s="910" t="s">
        <v>775</v>
      </c>
      <c r="X5" s="911"/>
      <c r="Y5" s="912"/>
    </row>
    <row r="6" ht="14.25" customHeight="1">
      <c r="A6" s="466"/>
      <c r="B6" s="470" t="s">
        <v>781</v>
      </c>
      <c r="C6" s="468" t="s">
        <v>94</v>
      </c>
      <c r="D6" s="469" t="s">
        <v>95</v>
      </c>
      <c r="E6" s="470" t="s">
        <v>781</v>
      </c>
      <c r="F6" s="468" t="s">
        <v>94</v>
      </c>
      <c r="G6" s="469" t="s">
        <v>95</v>
      </c>
      <c r="H6" s="470" t="s">
        <v>781</v>
      </c>
      <c r="I6" s="468" t="s">
        <v>94</v>
      </c>
      <c r="J6" s="469" t="s">
        <v>95</v>
      </c>
      <c r="K6" s="470" t="s">
        <v>781</v>
      </c>
      <c r="L6" s="468" t="s">
        <v>94</v>
      </c>
      <c r="M6" s="469" t="s">
        <v>95</v>
      </c>
      <c r="N6" s="470" t="s">
        <v>781</v>
      </c>
      <c r="O6" s="468" t="s">
        <v>94</v>
      </c>
      <c r="P6" s="469" t="s">
        <v>95</v>
      </c>
      <c r="Q6" s="470" t="s">
        <v>781</v>
      </c>
      <c r="R6" s="468" t="s">
        <v>94</v>
      </c>
      <c r="S6" s="469" t="s">
        <v>95</v>
      </c>
      <c r="T6" s="470" t="s">
        <v>781</v>
      </c>
      <c r="U6" s="468" t="s">
        <v>94</v>
      </c>
      <c r="V6" s="469" t="s">
        <v>95</v>
      </c>
      <c r="W6" s="470" t="s">
        <v>781</v>
      </c>
      <c r="X6" s="468" t="s">
        <v>94</v>
      </c>
      <c r="Y6" s="469" t="s">
        <v>95</v>
      </c>
    </row>
    <row r="7" ht="14.25" customHeight="1">
      <c r="A7" s="471" t="s">
        <v>96</v>
      </c>
      <c r="B7" s="471"/>
      <c r="C7" s="475"/>
      <c r="D7" s="476">
        <v>9620477.530000001</v>
      </c>
      <c r="E7" s="471"/>
      <c r="F7" s="475"/>
      <c r="G7" s="476">
        <v>1.0923451549999999E7</v>
      </c>
      <c r="H7" s="471"/>
      <c r="I7" s="475"/>
      <c r="J7" s="476">
        <v>1.0790539569999997E7</v>
      </c>
      <c r="K7" s="471"/>
      <c r="L7" s="475"/>
      <c r="M7" s="476">
        <v>1.53972963E7</v>
      </c>
      <c r="N7" s="471"/>
      <c r="O7" s="475"/>
      <c r="P7" s="476">
        <v>1.4674011389999997E7</v>
      </c>
      <c r="Q7" s="471"/>
      <c r="R7" s="475"/>
      <c r="S7" s="476">
        <v>1.1351720910000004E7</v>
      </c>
      <c r="T7" s="471"/>
      <c r="U7" s="475"/>
      <c r="V7" s="476">
        <v>7544009.919999999</v>
      </c>
      <c r="W7" s="471"/>
      <c r="X7" s="475"/>
      <c r="Y7" s="476">
        <v>5549753.389999996</v>
      </c>
    </row>
    <row r="8" ht="14.25" customHeight="1">
      <c r="A8" s="480" t="s">
        <v>97</v>
      </c>
      <c r="B8" s="482">
        <v>0.0</v>
      </c>
      <c r="C8" s="483">
        <v>0.0</v>
      </c>
      <c r="D8" s="484">
        <v>0.0</v>
      </c>
      <c r="E8" s="482">
        <v>0.0</v>
      </c>
      <c r="F8" s="483">
        <v>0.0</v>
      </c>
      <c r="G8" s="484">
        <v>0.0</v>
      </c>
      <c r="H8" s="482">
        <v>0.0</v>
      </c>
      <c r="I8" s="483">
        <v>0.0</v>
      </c>
      <c r="J8" s="484">
        <v>0.0</v>
      </c>
      <c r="K8" s="482">
        <v>1.0</v>
      </c>
      <c r="L8" s="483">
        <v>3961.600000000006</v>
      </c>
      <c r="M8" s="484">
        <v>3961.600000000006</v>
      </c>
      <c r="N8" s="482">
        <v>1.0</v>
      </c>
      <c r="O8" s="483">
        <v>2415.9100000000035</v>
      </c>
      <c r="P8" s="484">
        <v>2415.9100000000035</v>
      </c>
      <c r="Q8" s="482">
        <v>1.0</v>
      </c>
      <c r="R8" s="483">
        <v>4210.0</v>
      </c>
      <c r="S8" s="484">
        <v>4210.0</v>
      </c>
      <c r="T8" s="482">
        <v>1.0</v>
      </c>
      <c r="U8" s="483">
        <v>1519.0</v>
      </c>
      <c r="V8" s="484">
        <v>1519.0</v>
      </c>
      <c r="W8" s="482">
        <v>0.0</v>
      </c>
      <c r="X8" s="483">
        <v>0.0</v>
      </c>
      <c r="Y8" s="484">
        <v>0.0</v>
      </c>
    </row>
    <row r="9" ht="14.25" customHeight="1">
      <c r="A9" s="480" t="s">
        <v>98</v>
      </c>
      <c r="B9" s="482">
        <v>30.0</v>
      </c>
      <c r="C9" s="483">
        <v>2764.127666666681</v>
      </c>
      <c r="D9" s="484">
        <v>82923.83000000042</v>
      </c>
      <c r="E9" s="482">
        <v>26.0</v>
      </c>
      <c r="F9" s="483">
        <v>2874.4380769230743</v>
      </c>
      <c r="G9" s="484">
        <v>74735.38999999993</v>
      </c>
      <c r="H9" s="482">
        <v>30.0</v>
      </c>
      <c r="I9" s="483">
        <v>3179.3626666666514</v>
      </c>
      <c r="J9" s="484">
        <v>95380.87999999954</v>
      </c>
      <c r="K9" s="482">
        <v>38.0</v>
      </c>
      <c r="L9" s="483">
        <v>2129.362105263139</v>
      </c>
      <c r="M9" s="484">
        <v>80915.75999999927</v>
      </c>
      <c r="N9" s="482">
        <v>31.0</v>
      </c>
      <c r="O9" s="483">
        <v>2322.7338709677424</v>
      </c>
      <c r="P9" s="484">
        <v>72004.75000000001</v>
      </c>
      <c r="Q9" s="482">
        <v>27.0</v>
      </c>
      <c r="R9" s="483">
        <v>2253.3266666666887</v>
      </c>
      <c r="S9" s="484">
        <v>60839.82000000059</v>
      </c>
      <c r="T9" s="482">
        <v>32.0</v>
      </c>
      <c r="U9" s="483">
        <v>2924.1746875000063</v>
      </c>
      <c r="V9" s="484">
        <v>93573.5900000002</v>
      </c>
      <c r="W9" s="482">
        <v>26.0</v>
      </c>
      <c r="X9" s="483">
        <v>2497.6038461538546</v>
      </c>
      <c r="Y9" s="484">
        <v>64937.700000000215</v>
      </c>
    </row>
    <row r="10" ht="14.25" customHeight="1">
      <c r="A10" s="480" t="s">
        <v>790</v>
      </c>
      <c r="B10" s="482">
        <v>0.0</v>
      </c>
      <c r="C10" s="483">
        <v>0.0</v>
      </c>
      <c r="D10" s="484">
        <v>0.0</v>
      </c>
      <c r="E10" s="482">
        <v>0.0</v>
      </c>
      <c r="F10" s="483">
        <v>0.0</v>
      </c>
      <c r="G10" s="484">
        <v>0.0</v>
      </c>
      <c r="H10" s="482">
        <v>0.0</v>
      </c>
      <c r="I10" s="483">
        <v>0.0</v>
      </c>
      <c r="J10" s="484">
        <v>0.0</v>
      </c>
      <c r="K10" s="482">
        <v>0.0</v>
      </c>
      <c r="L10" s="483">
        <v>0.0</v>
      </c>
      <c r="M10" s="484">
        <v>0.0</v>
      </c>
      <c r="N10" s="482">
        <v>0.0</v>
      </c>
      <c r="O10" s="483">
        <v>0.0</v>
      </c>
      <c r="P10" s="484">
        <v>0.0</v>
      </c>
      <c r="Q10" s="482">
        <v>0.0</v>
      </c>
      <c r="R10" s="483">
        <v>0.0</v>
      </c>
      <c r="S10" s="484">
        <v>0.0</v>
      </c>
      <c r="T10" s="482">
        <v>0.0</v>
      </c>
      <c r="U10" s="483">
        <v>0.0</v>
      </c>
      <c r="V10" s="484">
        <v>0.0</v>
      </c>
      <c r="W10" s="482">
        <v>0.0</v>
      </c>
      <c r="X10" s="483">
        <v>0.0</v>
      </c>
      <c r="Y10" s="484">
        <v>0.0</v>
      </c>
    </row>
    <row r="11" ht="14.25" customHeight="1">
      <c r="A11" s="480" t="s">
        <v>792</v>
      </c>
      <c r="B11" s="482">
        <v>1.0</v>
      </c>
      <c r="C11" s="483">
        <v>4023.949999999997</v>
      </c>
      <c r="D11" s="484">
        <v>4023.949999999997</v>
      </c>
      <c r="E11" s="482">
        <v>3.0</v>
      </c>
      <c r="F11" s="483">
        <v>2043.5466666666664</v>
      </c>
      <c r="G11" s="484">
        <v>6130.639999999999</v>
      </c>
      <c r="H11" s="482">
        <v>8.0</v>
      </c>
      <c r="I11" s="483">
        <v>407.6187499999978</v>
      </c>
      <c r="J11" s="484">
        <v>3260.9499999999825</v>
      </c>
      <c r="K11" s="482">
        <v>28.0</v>
      </c>
      <c r="L11" s="483">
        <v>1489.2682142857145</v>
      </c>
      <c r="M11" s="484">
        <v>41699.51000000001</v>
      </c>
      <c r="N11" s="482">
        <v>16.0</v>
      </c>
      <c r="O11" s="483">
        <v>1261.0493749999914</v>
      </c>
      <c r="P11" s="484">
        <v>20176.789999999863</v>
      </c>
      <c r="Q11" s="482">
        <v>8.0</v>
      </c>
      <c r="R11" s="483">
        <v>1021.3512499999997</v>
      </c>
      <c r="S11" s="484">
        <v>8170.809999999998</v>
      </c>
      <c r="T11" s="482">
        <v>21.0</v>
      </c>
      <c r="U11" s="483">
        <v>1565.2623809523745</v>
      </c>
      <c r="V11" s="484">
        <v>32870.509999999864</v>
      </c>
      <c r="W11" s="482">
        <v>27.0</v>
      </c>
      <c r="X11" s="483">
        <v>1229.7707407407515</v>
      </c>
      <c r="Y11" s="484">
        <v>33203.81000000029</v>
      </c>
    </row>
    <row r="12" ht="14.25" customHeight="1">
      <c r="A12" s="480" t="s">
        <v>56</v>
      </c>
      <c r="B12" s="482">
        <v>0.0</v>
      </c>
      <c r="C12" s="483">
        <v>0.0</v>
      </c>
      <c r="D12" s="484">
        <v>0.0</v>
      </c>
      <c r="E12" s="482">
        <v>0.0</v>
      </c>
      <c r="F12" s="483">
        <v>0.0</v>
      </c>
      <c r="G12" s="484">
        <v>0.0</v>
      </c>
      <c r="H12" s="482">
        <v>0.0</v>
      </c>
      <c r="I12" s="483">
        <v>0.0</v>
      </c>
      <c r="J12" s="484">
        <v>0.0</v>
      </c>
      <c r="K12" s="482">
        <v>0.0</v>
      </c>
      <c r="L12" s="483">
        <v>0.0</v>
      </c>
      <c r="M12" s="484">
        <v>0.0</v>
      </c>
      <c r="N12" s="482">
        <v>0.0</v>
      </c>
      <c r="O12" s="483">
        <v>0.0</v>
      </c>
      <c r="P12" s="484">
        <v>0.0</v>
      </c>
      <c r="Q12" s="482">
        <v>0.0</v>
      </c>
      <c r="R12" s="483">
        <v>0.0</v>
      </c>
      <c r="S12" s="484">
        <v>0.0</v>
      </c>
      <c r="T12" s="482">
        <v>0.0</v>
      </c>
      <c r="U12" s="483">
        <v>0.0</v>
      </c>
      <c r="V12" s="484">
        <v>0.0</v>
      </c>
      <c r="W12" s="482">
        <v>0.0</v>
      </c>
      <c r="X12" s="483">
        <v>0.0</v>
      </c>
      <c r="Y12" s="484">
        <v>0.0</v>
      </c>
    </row>
    <row r="13" ht="14.25" customHeight="1">
      <c r="A13" s="480" t="s">
        <v>56</v>
      </c>
      <c r="B13" s="482">
        <v>0.0</v>
      </c>
      <c r="C13" s="483">
        <v>0.0</v>
      </c>
      <c r="D13" s="484">
        <v>0.0</v>
      </c>
      <c r="E13" s="482">
        <v>0.0</v>
      </c>
      <c r="F13" s="483">
        <v>0.0</v>
      </c>
      <c r="G13" s="484">
        <v>0.0</v>
      </c>
      <c r="H13" s="482">
        <v>0.0</v>
      </c>
      <c r="I13" s="483">
        <v>0.0</v>
      </c>
      <c r="J13" s="484">
        <v>0.0</v>
      </c>
      <c r="K13" s="482">
        <v>0.0</v>
      </c>
      <c r="L13" s="483">
        <v>0.0</v>
      </c>
      <c r="M13" s="484">
        <v>0.0</v>
      </c>
      <c r="N13" s="482">
        <v>0.0</v>
      </c>
      <c r="O13" s="483">
        <v>0.0</v>
      </c>
      <c r="P13" s="484">
        <v>0.0</v>
      </c>
      <c r="Q13" s="482">
        <v>0.0</v>
      </c>
      <c r="R13" s="483">
        <v>0.0</v>
      </c>
      <c r="S13" s="484">
        <v>0.0</v>
      </c>
      <c r="T13" s="482">
        <v>0.0</v>
      </c>
      <c r="U13" s="483">
        <v>0.0</v>
      </c>
      <c r="V13" s="484">
        <v>0.0</v>
      </c>
      <c r="W13" s="482">
        <v>0.0</v>
      </c>
      <c r="X13" s="483">
        <v>0.0</v>
      </c>
      <c r="Y13" s="484">
        <v>0.0</v>
      </c>
    </row>
    <row r="14" ht="14.25" customHeight="1">
      <c r="A14" s="480" t="s">
        <v>56</v>
      </c>
      <c r="B14" s="482">
        <v>0.0</v>
      </c>
      <c r="C14" s="483">
        <v>0.0</v>
      </c>
      <c r="D14" s="484">
        <v>0.0</v>
      </c>
      <c r="E14" s="482">
        <v>0.0</v>
      </c>
      <c r="F14" s="483">
        <v>0.0</v>
      </c>
      <c r="G14" s="484">
        <v>0.0</v>
      </c>
      <c r="H14" s="482">
        <v>0.0</v>
      </c>
      <c r="I14" s="483">
        <v>0.0</v>
      </c>
      <c r="J14" s="484">
        <v>0.0</v>
      </c>
      <c r="K14" s="482">
        <v>0.0</v>
      </c>
      <c r="L14" s="483">
        <v>0.0</v>
      </c>
      <c r="M14" s="484">
        <v>0.0</v>
      </c>
      <c r="N14" s="482">
        <v>0.0</v>
      </c>
      <c r="O14" s="483">
        <v>0.0</v>
      </c>
      <c r="P14" s="484">
        <v>0.0</v>
      </c>
      <c r="Q14" s="482">
        <v>0.0</v>
      </c>
      <c r="R14" s="483">
        <v>0.0</v>
      </c>
      <c r="S14" s="484">
        <v>0.0</v>
      </c>
      <c r="T14" s="482">
        <v>0.0</v>
      </c>
      <c r="U14" s="483">
        <v>0.0</v>
      </c>
      <c r="V14" s="484">
        <v>0.0</v>
      </c>
      <c r="W14" s="482">
        <v>0.0</v>
      </c>
      <c r="X14" s="483">
        <v>0.0</v>
      </c>
      <c r="Y14" s="484">
        <v>0.0</v>
      </c>
    </row>
    <row r="15" ht="14.25" customHeight="1">
      <c r="A15" s="490" t="s">
        <v>101</v>
      </c>
      <c r="B15" s="493">
        <v>31.0</v>
      </c>
      <c r="C15" s="495">
        <v>2804.767096774207</v>
      </c>
      <c r="D15" s="497">
        <v>86947.78000000042</v>
      </c>
      <c r="E15" s="493">
        <v>29.0</v>
      </c>
      <c r="F15" s="495">
        <v>2788.483793103446</v>
      </c>
      <c r="G15" s="497">
        <v>80866.02999999993</v>
      </c>
      <c r="H15" s="493">
        <v>38.0</v>
      </c>
      <c r="I15" s="495">
        <v>2595.8376315789346</v>
      </c>
      <c r="J15" s="497">
        <v>98641.82999999952</v>
      </c>
      <c r="K15" s="493">
        <v>67.0</v>
      </c>
      <c r="L15" s="495">
        <v>1889.2070149253625</v>
      </c>
      <c r="M15" s="497">
        <v>126576.86999999928</v>
      </c>
      <c r="N15" s="493">
        <v>48.0</v>
      </c>
      <c r="O15" s="495">
        <v>1970.7802083333308</v>
      </c>
      <c r="P15" s="497">
        <v>94597.44999999988</v>
      </c>
      <c r="Q15" s="493">
        <v>36.0</v>
      </c>
      <c r="R15" s="495">
        <v>2033.9063888889052</v>
      </c>
      <c r="S15" s="497">
        <v>73220.63000000059</v>
      </c>
      <c r="T15" s="493">
        <v>54.0</v>
      </c>
      <c r="U15" s="495">
        <v>2369.6870370370384</v>
      </c>
      <c r="V15" s="497">
        <v>127963.10000000006</v>
      </c>
      <c r="W15" s="493">
        <v>53.0</v>
      </c>
      <c r="X15" s="495">
        <v>1851.7266037735944</v>
      </c>
      <c r="Y15" s="497">
        <v>98141.5100000005</v>
      </c>
    </row>
    <row r="16" ht="14.25" customHeight="1">
      <c r="A16" s="500"/>
      <c r="B16" s="500"/>
      <c r="C16" s="503"/>
      <c r="D16" s="504"/>
      <c r="E16" s="500"/>
      <c r="F16" s="503"/>
      <c r="G16" s="504"/>
      <c r="H16" s="500"/>
      <c r="I16" s="503"/>
      <c r="J16" s="504"/>
      <c r="K16" s="500"/>
      <c r="L16" s="503"/>
      <c r="M16" s="504"/>
      <c r="N16" s="500"/>
      <c r="O16" s="503"/>
      <c r="P16" s="504"/>
      <c r="Q16" s="500"/>
      <c r="R16" s="503"/>
      <c r="S16" s="504"/>
      <c r="T16" s="500"/>
      <c r="U16" s="503"/>
      <c r="V16" s="504"/>
      <c r="W16" s="500"/>
      <c r="X16" s="503"/>
      <c r="Y16" s="504"/>
    </row>
    <row r="17" ht="14.25" customHeight="1">
      <c r="A17" s="508" t="s">
        <v>102</v>
      </c>
      <c r="B17" s="512">
        <v>0.0</v>
      </c>
      <c r="C17" s="513">
        <v>0.0</v>
      </c>
      <c r="D17" s="513">
        <v>0.0</v>
      </c>
      <c r="E17" s="512">
        <v>0.0</v>
      </c>
      <c r="F17" s="513">
        <v>0.0</v>
      </c>
      <c r="G17" s="513">
        <v>0.0</v>
      </c>
      <c r="H17" s="512">
        <v>0.0</v>
      </c>
      <c r="I17" s="513">
        <v>0.0</v>
      </c>
      <c r="J17" s="513">
        <v>0.0</v>
      </c>
      <c r="K17" s="512">
        <v>0.0</v>
      </c>
      <c r="L17" s="513">
        <v>0.0</v>
      </c>
      <c r="M17" s="513">
        <v>0.0</v>
      </c>
      <c r="N17" s="512">
        <v>0.0</v>
      </c>
      <c r="O17" s="513">
        <v>0.0</v>
      </c>
      <c r="P17" s="513">
        <v>0.0</v>
      </c>
      <c r="Q17" s="512">
        <v>0.0</v>
      </c>
      <c r="R17" s="513">
        <v>0.0</v>
      </c>
      <c r="S17" s="513">
        <v>0.0</v>
      </c>
      <c r="T17" s="512">
        <v>0.0</v>
      </c>
      <c r="U17" s="513">
        <v>0.0</v>
      </c>
      <c r="V17" s="513">
        <v>0.0</v>
      </c>
      <c r="W17" s="512">
        <v>0.0</v>
      </c>
      <c r="X17" s="513">
        <v>0.0</v>
      </c>
      <c r="Y17" s="513">
        <v>0.0</v>
      </c>
    </row>
    <row r="18" ht="14.25" customHeight="1">
      <c r="A18" s="480"/>
      <c r="B18" s="480"/>
      <c r="C18" s="483"/>
      <c r="D18" s="484"/>
      <c r="E18" s="480"/>
      <c r="F18" s="483"/>
      <c r="G18" s="484"/>
      <c r="H18" s="480"/>
      <c r="I18" s="483"/>
      <c r="J18" s="484"/>
      <c r="K18" s="480"/>
      <c r="L18" s="483"/>
      <c r="M18" s="484"/>
      <c r="N18" s="480"/>
      <c r="O18" s="483"/>
      <c r="P18" s="484"/>
      <c r="Q18" s="480"/>
      <c r="R18" s="483"/>
      <c r="S18" s="484"/>
      <c r="T18" s="480"/>
      <c r="U18" s="483"/>
      <c r="V18" s="484"/>
      <c r="W18" s="480"/>
      <c r="X18" s="483"/>
      <c r="Y18" s="484"/>
    </row>
    <row r="19" ht="14.25" customHeight="1">
      <c r="A19" s="500" t="s">
        <v>103</v>
      </c>
      <c r="B19" s="512">
        <v>113.0</v>
      </c>
      <c r="C19" s="483">
        <v>602.5902654867273</v>
      </c>
      <c r="D19" s="484">
        <v>68092.70000000019</v>
      </c>
      <c r="E19" s="512">
        <v>146.0</v>
      </c>
      <c r="F19" s="483">
        <v>569.6116438356088</v>
      </c>
      <c r="G19" s="484">
        <v>83163.29999999888</v>
      </c>
      <c r="H19" s="512">
        <v>134.0</v>
      </c>
      <c r="I19" s="483">
        <v>573.0842537313366</v>
      </c>
      <c r="J19" s="484">
        <v>76793.2899999991</v>
      </c>
      <c r="K19" s="512">
        <v>158.0</v>
      </c>
      <c r="L19" s="483">
        <v>423.5624050632874</v>
      </c>
      <c r="M19" s="484">
        <v>66922.8599999994</v>
      </c>
      <c r="N19" s="512">
        <v>174.0</v>
      </c>
      <c r="O19" s="483">
        <v>617.940747126423</v>
      </c>
      <c r="P19" s="484">
        <v>107521.68999999762</v>
      </c>
      <c r="Q19" s="512">
        <v>121.0</v>
      </c>
      <c r="R19" s="483">
        <v>485.81099173555936</v>
      </c>
      <c r="S19" s="484">
        <v>58783.13000000268</v>
      </c>
      <c r="T19" s="512">
        <v>58.0</v>
      </c>
      <c r="U19" s="483">
        <v>503.1441379310242</v>
      </c>
      <c r="V19" s="484">
        <v>29182.359999999404</v>
      </c>
      <c r="W19" s="512">
        <v>34.0</v>
      </c>
      <c r="X19" s="483">
        <v>587.2638235293767</v>
      </c>
      <c r="Y19" s="484">
        <v>19966.969999998808</v>
      </c>
    </row>
    <row r="20" ht="14.25" customHeight="1">
      <c r="A20" s="490"/>
      <c r="B20" s="482"/>
      <c r="C20" s="522"/>
      <c r="D20" s="523"/>
      <c r="E20" s="482"/>
      <c r="F20" s="522"/>
      <c r="G20" s="523"/>
      <c r="H20" s="482"/>
      <c r="I20" s="522"/>
      <c r="J20" s="523"/>
      <c r="K20" s="482"/>
      <c r="L20" s="522"/>
      <c r="M20" s="523"/>
      <c r="N20" s="482"/>
      <c r="O20" s="522"/>
      <c r="P20" s="523"/>
      <c r="Q20" s="482"/>
      <c r="R20" s="522"/>
      <c r="S20" s="523"/>
      <c r="T20" s="482"/>
      <c r="U20" s="522"/>
      <c r="V20" s="523"/>
      <c r="W20" s="482"/>
      <c r="X20" s="522"/>
      <c r="Y20" s="523"/>
    </row>
    <row r="21" ht="14.25" customHeight="1">
      <c r="A21" s="508"/>
      <c r="B21" s="512"/>
      <c r="C21" s="483"/>
      <c r="D21" s="484"/>
      <c r="E21" s="512"/>
      <c r="F21" s="483"/>
      <c r="G21" s="484"/>
      <c r="H21" s="512"/>
      <c r="I21" s="483"/>
      <c r="J21" s="484"/>
      <c r="K21" s="512"/>
      <c r="L21" s="483"/>
      <c r="M21" s="484"/>
      <c r="N21" s="512"/>
      <c r="O21" s="483"/>
      <c r="P21" s="484"/>
      <c r="Q21" s="512"/>
      <c r="R21" s="483"/>
      <c r="S21" s="484"/>
      <c r="T21" s="512"/>
      <c r="U21" s="483"/>
      <c r="V21" s="484"/>
      <c r="W21" s="512"/>
      <c r="X21" s="483"/>
      <c r="Y21" s="484"/>
    </row>
    <row r="22" ht="14.25" customHeight="1">
      <c r="A22" s="490"/>
      <c r="B22" s="482"/>
      <c r="C22" s="522"/>
      <c r="D22" s="523"/>
      <c r="E22" s="482"/>
      <c r="F22" s="522"/>
      <c r="G22" s="523"/>
      <c r="H22" s="482"/>
      <c r="I22" s="522"/>
      <c r="J22" s="523"/>
      <c r="K22" s="482"/>
      <c r="L22" s="522"/>
      <c r="M22" s="523"/>
      <c r="N22" s="482"/>
      <c r="O22" s="522"/>
      <c r="P22" s="523"/>
      <c r="Q22" s="482"/>
      <c r="R22" s="522"/>
      <c r="S22" s="523"/>
      <c r="T22" s="482"/>
      <c r="U22" s="522"/>
      <c r="V22" s="523"/>
      <c r="W22" s="482"/>
      <c r="X22" s="522"/>
      <c r="Y22" s="523"/>
    </row>
    <row r="23" ht="14.25" customHeight="1">
      <c r="A23" s="480" t="s">
        <v>105</v>
      </c>
      <c r="B23" s="482"/>
      <c r="C23" s="483">
        <v>0.0</v>
      </c>
      <c r="D23" s="484">
        <v>0.0</v>
      </c>
      <c r="E23" s="482"/>
      <c r="F23" s="483">
        <v>-10.052068965517241</v>
      </c>
      <c r="G23" s="484">
        <v>-291.51</v>
      </c>
      <c r="H23" s="482"/>
      <c r="I23" s="483">
        <v>38.1578947368421</v>
      </c>
      <c r="J23" s="484">
        <v>1450.0</v>
      </c>
      <c r="K23" s="482"/>
      <c r="L23" s="483">
        <v>83.42701492537314</v>
      </c>
      <c r="M23" s="484">
        <v>5589.610000000001</v>
      </c>
      <c r="N23" s="482"/>
      <c r="O23" s="483">
        <v>39.917083333333345</v>
      </c>
      <c r="P23" s="484">
        <v>1916.0200000000004</v>
      </c>
      <c r="Q23" s="482"/>
      <c r="R23" s="483">
        <v>68.33805555555556</v>
      </c>
      <c r="S23" s="484">
        <v>2460.17</v>
      </c>
      <c r="T23" s="482"/>
      <c r="U23" s="483">
        <v>18.51851851851852</v>
      </c>
      <c r="V23" s="484">
        <v>1000.0</v>
      </c>
      <c r="W23" s="482"/>
      <c r="X23" s="483">
        <v>0.0</v>
      </c>
      <c r="Y23" s="484">
        <v>0.0</v>
      </c>
    </row>
    <row r="24" ht="14.25" customHeight="1">
      <c r="A24" s="480" t="s">
        <v>106</v>
      </c>
      <c r="B24" s="482"/>
      <c r="C24" s="483">
        <v>948.672258064516</v>
      </c>
      <c r="D24" s="484">
        <v>29408.839999999997</v>
      </c>
      <c r="E24" s="482"/>
      <c r="F24" s="483">
        <v>847.3548275862071</v>
      </c>
      <c r="G24" s="484">
        <v>24573.290000000005</v>
      </c>
      <c r="H24" s="482"/>
      <c r="I24" s="483">
        <v>844.5492105263157</v>
      </c>
      <c r="J24" s="484">
        <v>32092.87</v>
      </c>
      <c r="K24" s="482"/>
      <c r="L24" s="483">
        <v>967.1170149253728</v>
      </c>
      <c r="M24" s="484">
        <v>64796.83999999998</v>
      </c>
      <c r="N24" s="482"/>
      <c r="O24" s="483">
        <v>635.9612500000003</v>
      </c>
      <c r="P24" s="484">
        <v>30526.140000000014</v>
      </c>
      <c r="Q24" s="482"/>
      <c r="R24" s="483">
        <v>1094.1269444444447</v>
      </c>
      <c r="S24" s="484">
        <v>39388.57000000001</v>
      </c>
      <c r="T24" s="482"/>
      <c r="U24" s="483">
        <v>576.5290740740737</v>
      </c>
      <c r="V24" s="484">
        <v>31132.569999999978</v>
      </c>
      <c r="W24" s="482"/>
      <c r="X24" s="483">
        <v>538.27320754717</v>
      </c>
      <c r="Y24" s="484">
        <v>28528.48000000001</v>
      </c>
    </row>
    <row r="25" ht="14.25" customHeight="1">
      <c r="A25" s="480" t="s">
        <v>107</v>
      </c>
      <c r="B25" s="482"/>
      <c r="C25" s="483">
        <v>68.73612903225805</v>
      </c>
      <c r="D25" s="484">
        <v>2130.8199999999997</v>
      </c>
      <c r="E25" s="482"/>
      <c r="F25" s="483">
        <v>113.62724137931036</v>
      </c>
      <c r="G25" s="484">
        <v>3295.1900000000005</v>
      </c>
      <c r="H25" s="482"/>
      <c r="I25" s="483">
        <v>153.51473684210526</v>
      </c>
      <c r="J25" s="484">
        <v>5833.56</v>
      </c>
      <c r="K25" s="482"/>
      <c r="L25" s="483">
        <v>155.84014925373134</v>
      </c>
      <c r="M25" s="484">
        <v>10441.289999999999</v>
      </c>
      <c r="N25" s="482"/>
      <c r="O25" s="483">
        <v>50.14083333333334</v>
      </c>
      <c r="P25" s="484">
        <v>2406.76</v>
      </c>
      <c r="Q25" s="482"/>
      <c r="R25" s="483">
        <v>128.5838888888889</v>
      </c>
      <c r="S25" s="484">
        <v>4629.02</v>
      </c>
      <c r="T25" s="482"/>
      <c r="U25" s="483">
        <v>113.67499999999998</v>
      </c>
      <c r="V25" s="484">
        <v>6138.449999999999</v>
      </c>
      <c r="W25" s="482"/>
      <c r="X25" s="483">
        <v>-21.713396226415103</v>
      </c>
      <c r="Y25" s="484">
        <v>-1150.8100000000004</v>
      </c>
    </row>
    <row r="26" ht="14.25" customHeight="1">
      <c r="A26" s="490" t="s">
        <v>108</v>
      </c>
      <c r="B26" s="493">
        <v>31.0</v>
      </c>
      <c r="C26" s="495">
        <v>1017.408387096774</v>
      </c>
      <c r="D26" s="497">
        <v>31539.659999999996</v>
      </c>
      <c r="E26" s="493">
        <v>29.0</v>
      </c>
      <c r="F26" s="495">
        <v>950.9300000000003</v>
      </c>
      <c r="G26" s="497">
        <v>27576.97000000001</v>
      </c>
      <c r="H26" s="493">
        <v>38.0</v>
      </c>
      <c r="I26" s="495">
        <v>1036.221842105263</v>
      </c>
      <c r="J26" s="497">
        <v>39376.42999999999</v>
      </c>
      <c r="K26" s="493">
        <v>67.0</v>
      </c>
      <c r="L26" s="495">
        <v>1206.3841791044772</v>
      </c>
      <c r="M26" s="497">
        <v>80827.73999999998</v>
      </c>
      <c r="N26" s="493">
        <v>48.0</v>
      </c>
      <c r="O26" s="495">
        <v>726.0191666666669</v>
      </c>
      <c r="P26" s="497">
        <v>34848.92000000001</v>
      </c>
      <c r="Q26" s="493">
        <v>36.0</v>
      </c>
      <c r="R26" s="495">
        <v>1291.0488888888892</v>
      </c>
      <c r="S26" s="497">
        <v>46477.76000000001</v>
      </c>
      <c r="T26" s="493">
        <v>54.0</v>
      </c>
      <c r="U26" s="495">
        <v>708.7225925925922</v>
      </c>
      <c r="V26" s="497">
        <v>38271.019999999975</v>
      </c>
      <c r="W26" s="493">
        <v>53.0</v>
      </c>
      <c r="X26" s="495">
        <v>516.5598113207549</v>
      </c>
      <c r="Y26" s="497">
        <v>27377.67000000001</v>
      </c>
    </row>
    <row r="27" ht="14.25" customHeight="1">
      <c r="A27" s="480"/>
      <c r="B27" s="480"/>
      <c r="C27" s="483"/>
      <c r="D27" s="484"/>
      <c r="E27" s="480"/>
      <c r="F27" s="483"/>
      <c r="G27" s="484"/>
      <c r="H27" s="480"/>
      <c r="I27" s="483"/>
      <c r="J27" s="484"/>
      <c r="K27" s="480"/>
      <c r="L27" s="483"/>
      <c r="M27" s="484"/>
      <c r="N27" s="480"/>
      <c r="O27" s="483"/>
      <c r="P27" s="484"/>
      <c r="Q27" s="480"/>
      <c r="R27" s="483"/>
      <c r="S27" s="484"/>
      <c r="T27" s="480"/>
      <c r="U27" s="483"/>
      <c r="V27" s="484"/>
      <c r="W27" s="480"/>
      <c r="X27" s="483"/>
      <c r="Y27" s="484"/>
    </row>
    <row r="28" ht="14.25" customHeight="1">
      <c r="A28" s="480"/>
      <c r="B28" s="480"/>
      <c r="C28" s="483"/>
      <c r="D28" s="484"/>
      <c r="E28" s="480"/>
      <c r="F28" s="483"/>
      <c r="G28" s="484"/>
      <c r="H28" s="480"/>
      <c r="I28" s="483"/>
      <c r="J28" s="484"/>
      <c r="K28" s="480"/>
      <c r="L28" s="483"/>
      <c r="M28" s="484"/>
      <c r="N28" s="480"/>
      <c r="O28" s="483"/>
      <c r="P28" s="484"/>
      <c r="Q28" s="480"/>
      <c r="R28" s="483"/>
      <c r="S28" s="484"/>
      <c r="T28" s="480"/>
      <c r="U28" s="483"/>
      <c r="V28" s="484"/>
      <c r="W28" s="480"/>
      <c r="X28" s="483"/>
      <c r="Y28" s="484"/>
    </row>
    <row r="29" ht="14.25" customHeight="1">
      <c r="A29" s="526" t="s">
        <v>109</v>
      </c>
      <c r="B29" s="530">
        <v>144.0</v>
      </c>
      <c r="C29" s="527">
        <v>1295.695416666671</v>
      </c>
      <c r="D29" s="529">
        <v>186580.14000000063</v>
      </c>
      <c r="E29" s="530">
        <v>175.0</v>
      </c>
      <c r="F29" s="527">
        <v>1094.893142857136</v>
      </c>
      <c r="G29" s="529">
        <v>191606.2999999988</v>
      </c>
      <c r="H29" s="530">
        <v>172.0</v>
      </c>
      <c r="I29" s="527">
        <v>1248.9043604651083</v>
      </c>
      <c r="J29" s="529">
        <v>214811.54999999862</v>
      </c>
      <c r="K29" s="530">
        <v>225.0</v>
      </c>
      <c r="L29" s="527">
        <v>1219.2331999999942</v>
      </c>
      <c r="M29" s="529">
        <v>274327.4699999987</v>
      </c>
      <c r="N29" s="530">
        <v>222.0</v>
      </c>
      <c r="O29" s="527">
        <v>1067.4236936936825</v>
      </c>
      <c r="P29" s="529">
        <v>236968.05999999752</v>
      </c>
      <c r="Q29" s="530">
        <v>157.0</v>
      </c>
      <c r="R29" s="527">
        <v>1136.824968152887</v>
      </c>
      <c r="S29" s="529">
        <v>178481.52000000328</v>
      </c>
      <c r="T29" s="530">
        <v>112.0</v>
      </c>
      <c r="U29" s="527">
        <v>1744.7899999999952</v>
      </c>
      <c r="V29" s="529">
        <v>195416.47999999946</v>
      </c>
      <c r="W29" s="530">
        <v>87.0</v>
      </c>
      <c r="X29" s="527">
        <v>1672.2545977011416</v>
      </c>
      <c r="Y29" s="529">
        <v>145486.14999999932</v>
      </c>
    </row>
    <row r="30" ht="14.25" customHeight="1">
      <c r="A30" s="531"/>
      <c r="B30" s="531"/>
      <c r="C30" s="534"/>
      <c r="D30" s="535"/>
      <c r="E30" s="531"/>
      <c r="F30" s="534"/>
      <c r="G30" s="535"/>
      <c r="H30" s="531"/>
      <c r="I30" s="534"/>
      <c r="J30" s="535"/>
      <c r="K30" s="531"/>
      <c r="L30" s="534"/>
      <c r="M30" s="535"/>
      <c r="N30" s="531"/>
      <c r="O30" s="534"/>
      <c r="P30" s="535"/>
      <c r="Q30" s="531"/>
      <c r="R30" s="534"/>
      <c r="S30" s="535"/>
      <c r="T30" s="531"/>
      <c r="U30" s="534"/>
      <c r="V30" s="535"/>
      <c r="W30" s="531"/>
      <c r="X30" s="534"/>
      <c r="Y30" s="535"/>
    </row>
    <row r="31" ht="14.25" customHeight="1">
      <c r="A31" s="500"/>
      <c r="B31" s="500"/>
      <c r="C31" s="503"/>
      <c r="D31" s="504"/>
      <c r="E31" s="500"/>
      <c r="F31" s="503"/>
      <c r="G31" s="504"/>
      <c r="H31" s="500"/>
      <c r="I31" s="503"/>
      <c r="J31" s="504"/>
      <c r="K31" s="500"/>
      <c r="L31" s="503"/>
      <c r="M31" s="504"/>
      <c r="N31" s="500"/>
      <c r="O31" s="503"/>
      <c r="P31" s="504"/>
      <c r="Q31" s="500"/>
      <c r="R31" s="503"/>
      <c r="S31" s="504"/>
      <c r="T31" s="500"/>
      <c r="U31" s="503"/>
      <c r="V31" s="504"/>
      <c r="W31" s="500"/>
      <c r="X31" s="503"/>
      <c r="Y31" s="504"/>
    </row>
    <row r="32" ht="14.25" customHeight="1">
      <c r="A32" s="541" t="s">
        <v>110</v>
      </c>
      <c r="B32" s="480"/>
      <c r="C32" s="542"/>
      <c r="D32" s="484"/>
      <c r="E32" s="480"/>
      <c r="F32" s="542"/>
      <c r="G32" s="484"/>
      <c r="H32" s="480"/>
      <c r="I32" s="542"/>
      <c r="J32" s="484"/>
      <c r="K32" s="480"/>
      <c r="L32" s="542"/>
      <c r="M32" s="484"/>
      <c r="N32" s="480"/>
      <c r="O32" s="542"/>
      <c r="P32" s="484"/>
      <c r="Q32" s="480"/>
      <c r="R32" s="542"/>
      <c r="S32" s="484"/>
      <c r="T32" s="480"/>
      <c r="U32" s="542"/>
      <c r="V32" s="484"/>
      <c r="W32" s="480"/>
      <c r="X32" s="542"/>
      <c r="Y32" s="484"/>
    </row>
    <row r="33" ht="14.25" customHeight="1">
      <c r="A33" s="480" t="s">
        <v>111</v>
      </c>
      <c r="B33" s="515">
        <v>0.23481132153357534</v>
      </c>
      <c r="C33" s="483">
        <v>1174.3632258064517</v>
      </c>
      <c r="D33" s="484">
        <v>36405.26</v>
      </c>
      <c r="E33" s="515">
        <v>0.21579616279600888</v>
      </c>
      <c r="F33" s="483">
        <v>1220.5827586206897</v>
      </c>
      <c r="G33" s="484">
        <v>35396.9</v>
      </c>
      <c r="H33" s="515">
        <v>0.213577019242215</v>
      </c>
      <c r="I33" s="483">
        <v>986.0239473684211</v>
      </c>
      <c r="J33" s="484">
        <v>37468.91</v>
      </c>
      <c r="K33" s="515">
        <v>0.255146195811231</v>
      </c>
      <c r="L33" s="483">
        <v>736.8764179104478</v>
      </c>
      <c r="M33" s="484">
        <v>49370.72</v>
      </c>
      <c r="N33" s="515">
        <v>0.16603984164983288</v>
      </c>
      <c r="O33" s="483">
        <v>699.1631249999997</v>
      </c>
      <c r="P33" s="484">
        <v>33559.82999999999</v>
      </c>
      <c r="Q33" s="515">
        <v>0.28724696932874527</v>
      </c>
      <c r="R33" s="483">
        <v>1053.2688888888888</v>
      </c>
      <c r="S33" s="484">
        <v>37917.67999999999</v>
      </c>
      <c r="T33" s="515">
        <v>0.2711833354905715</v>
      </c>
      <c r="U33" s="483">
        <v>789.1709259259267</v>
      </c>
      <c r="V33" s="484">
        <v>42615.23000000004</v>
      </c>
      <c r="W33" s="515">
        <v>0.3619041579402275</v>
      </c>
      <c r="X33" s="483">
        <v>806.4896226415085</v>
      </c>
      <c r="Y33" s="484">
        <v>42743.94999999995</v>
      </c>
    </row>
    <row r="34" ht="14.25" customHeight="1">
      <c r="A34" s="471" t="s">
        <v>112</v>
      </c>
      <c r="B34" s="545">
        <v>0.41086967963510074</v>
      </c>
      <c r="C34" s="513">
        <v>418.02225806451617</v>
      </c>
      <c r="D34" s="484">
        <v>12958.69</v>
      </c>
      <c r="E34" s="545">
        <v>0.3194803490013587</v>
      </c>
      <c r="F34" s="513">
        <v>303.8034482758621</v>
      </c>
      <c r="G34" s="484">
        <v>8810.300000000001</v>
      </c>
      <c r="H34" s="545">
        <v>0.27982247247909475</v>
      </c>
      <c r="I34" s="513">
        <v>289.9581578947368</v>
      </c>
      <c r="J34" s="484">
        <v>11018.41</v>
      </c>
      <c r="K34" s="545">
        <v>0.30572820667755907</v>
      </c>
      <c r="L34" s="513">
        <v>368.825671641791</v>
      </c>
      <c r="M34" s="484">
        <v>24711.32</v>
      </c>
      <c r="N34" s="545">
        <v>0.30135309788653414</v>
      </c>
      <c r="O34" s="513">
        <v>218.78812500000004</v>
      </c>
      <c r="P34" s="484">
        <v>10501.830000000002</v>
      </c>
      <c r="Q34" s="545">
        <v>0.33744332773352237</v>
      </c>
      <c r="R34" s="513">
        <v>435.65583333333336</v>
      </c>
      <c r="S34" s="484">
        <v>15683.61</v>
      </c>
      <c r="T34" s="545">
        <v>0.3246994723422582</v>
      </c>
      <c r="U34" s="513">
        <v>230.1218518518519</v>
      </c>
      <c r="V34" s="484">
        <v>12426.580000000002</v>
      </c>
      <c r="W34" s="545">
        <v>0.3309481778398232</v>
      </c>
      <c r="X34" s="513">
        <v>170.95452830188674</v>
      </c>
      <c r="Y34" s="484">
        <v>9060.589999999997</v>
      </c>
    </row>
    <row r="35" ht="14.25" customHeight="1">
      <c r="A35" s="480" t="s">
        <v>113</v>
      </c>
      <c r="B35" s="480"/>
      <c r="C35" s="483">
        <v>9.081290322580644</v>
      </c>
      <c r="D35" s="523">
        <v>281.52</v>
      </c>
      <c r="E35" s="480"/>
      <c r="F35" s="483">
        <v>199.09137931034482</v>
      </c>
      <c r="G35" s="523">
        <v>5773.65</v>
      </c>
      <c r="H35" s="480"/>
      <c r="I35" s="483">
        <v>234.98026315789474</v>
      </c>
      <c r="J35" s="523">
        <v>8929.25</v>
      </c>
      <c r="K35" s="480"/>
      <c r="L35" s="483">
        <v>-110.98328358208956</v>
      </c>
      <c r="M35" s="523">
        <v>-7435.88</v>
      </c>
      <c r="N35" s="480"/>
      <c r="O35" s="483">
        <v>791.0647916666663</v>
      </c>
      <c r="P35" s="523">
        <v>37971.109999999986</v>
      </c>
      <c r="Q35" s="480"/>
      <c r="R35" s="483">
        <v>938.8341666666666</v>
      </c>
      <c r="S35" s="523">
        <v>33798.03</v>
      </c>
      <c r="T35" s="480"/>
      <c r="U35" s="483">
        <v>1001.7337037037037</v>
      </c>
      <c r="V35" s="523">
        <v>54093.619999999995</v>
      </c>
      <c r="W35" s="480"/>
      <c r="X35" s="483">
        <v>-63.6369811320751</v>
      </c>
      <c r="Y35" s="523">
        <v>-3372.75999999998</v>
      </c>
    </row>
    <row r="36" ht="14.25" customHeight="1">
      <c r="A36" s="480" t="s">
        <v>114</v>
      </c>
      <c r="B36" s="480"/>
      <c r="C36" s="483">
        <v>23.516129032258064</v>
      </c>
      <c r="D36" s="484">
        <v>729.0</v>
      </c>
      <c r="E36" s="480"/>
      <c r="F36" s="483">
        <v>0.0</v>
      </c>
      <c r="G36" s="484">
        <v>0.0</v>
      </c>
      <c r="H36" s="480"/>
      <c r="I36" s="483">
        <v>0.0</v>
      </c>
      <c r="J36" s="484">
        <v>0.0</v>
      </c>
      <c r="K36" s="480"/>
      <c r="L36" s="483">
        <v>2.31268656716418</v>
      </c>
      <c r="M36" s="484">
        <v>154.95000000000005</v>
      </c>
      <c r="N36" s="480"/>
      <c r="O36" s="483">
        <v>22.672291666666666</v>
      </c>
      <c r="P36" s="484">
        <v>1088.27</v>
      </c>
      <c r="Q36" s="480"/>
      <c r="R36" s="483">
        <v>162.03722222222223</v>
      </c>
      <c r="S36" s="484">
        <v>5833.34</v>
      </c>
      <c r="T36" s="480"/>
      <c r="U36" s="483">
        <v>18.559629629629633</v>
      </c>
      <c r="V36" s="484">
        <v>1002.2200000000003</v>
      </c>
      <c r="W36" s="480"/>
      <c r="X36" s="483">
        <v>0.0</v>
      </c>
      <c r="Y36" s="484">
        <v>0.0</v>
      </c>
    </row>
    <row r="37" ht="14.25" customHeight="1">
      <c r="A37" s="471" t="s">
        <v>115</v>
      </c>
      <c r="B37" s="471"/>
      <c r="C37" s="513">
        <v>0.0</v>
      </c>
      <c r="D37" s="484">
        <v>0.0</v>
      </c>
      <c r="E37" s="471"/>
      <c r="F37" s="513">
        <v>0.0</v>
      </c>
      <c r="G37" s="484">
        <v>0.0</v>
      </c>
      <c r="H37" s="471"/>
      <c r="I37" s="513">
        <v>0.0</v>
      </c>
      <c r="J37" s="484">
        <v>0.0</v>
      </c>
      <c r="K37" s="471"/>
      <c r="L37" s="513">
        <v>0.0</v>
      </c>
      <c r="M37" s="484">
        <v>0.0</v>
      </c>
      <c r="N37" s="471"/>
      <c r="O37" s="513">
        <v>0.0</v>
      </c>
      <c r="P37" s="484">
        <v>0.0</v>
      </c>
      <c r="Q37" s="471"/>
      <c r="R37" s="513">
        <v>64.01722222222222</v>
      </c>
      <c r="S37" s="484">
        <v>2304.62</v>
      </c>
      <c r="T37" s="471"/>
      <c r="U37" s="513">
        <v>92.80611111111111</v>
      </c>
      <c r="V37" s="484">
        <v>5011.53</v>
      </c>
      <c r="W37" s="471"/>
      <c r="X37" s="513">
        <v>54.977924528301884</v>
      </c>
      <c r="Y37" s="484">
        <v>2913.83</v>
      </c>
    </row>
    <row r="38" ht="14.25" customHeight="1">
      <c r="A38" s="480" t="s">
        <v>116</v>
      </c>
      <c r="B38" s="480"/>
      <c r="C38" s="483">
        <v>283.2593548387097</v>
      </c>
      <c r="D38" s="523">
        <v>8781.04</v>
      </c>
      <c r="E38" s="480"/>
      <c r="F38" s="483">
        <v>454.9158620689655</v>
      </c>
      <c r="G38" s="523">
        <v>13192.56</v>
      </c>
      <c r="H38" s="480"/>
      <c r="I38" s="483">
        <v>-1443.1455263157895</v>
      </c>
      <c r="J38" s="523">
        <v>-54839.53</v>
      </c>
      <c r="K38" s="480"/>
      <c r="L38" s="483">
        <v>307.4644776119403</v>
      </c>
      <c r="M38" s="523">
        <v>20600.120000000003</v>
      </c>
      <c r="N38" s="480"/>
      <c r="O38" s="483">
        <v>166.46416666666667</v>
      </c>
      <c r="P38" s="523">
        <v>7990.280000000001</v>
      </c>
      <c r="Q38" s="480"/>
      <c r="R38" s="483">
        <v>-2672.8619444444444</v>
      </c>
      <c r="S38" s="523">
        <v>-96223.03</v>
      </c>
      <c r="T38" s="480"/>
      <c r="U38" s="483">
        <v>277.72907407407416</v>
      </c>
      <c r="V38" s="523">
        <v>14997.370000000006</v>
      </c>
      <c r="W38" s="480"/>
      <c r="X38" s="483">
        <v>241.13075471698116</v>
      </c>
      <c r="Y38" s="523">
        <v>12779.930000000002</v>
      </c>
    </row>
    <row r="39" ht="14.25" customHeight="1">
      <c r="A39" s="480" t="s">
        <v>117</v>
      </c>
      <c r="B39" s="480"/>
      <c r="C39" s="483">
        <v>2625.3267741935483</v>
      </c>
      <c r="D39" s="484">
        <v>81385.13</v>
      </c>
      <c r="E39" s="480"/>
      <c r="F39" s="483">
        <v>3191.4900000000002</v>
      </c>
      <c r="G39" s="484">
        <v>92553.21</v>
      </c>
      <c r="H39" s="480"/>
      <c r="I39" s="483">
        <v>1820.3710526315788</v>
      </c>
      <c r="J39" s="484">
        <v>69174.09999999999</v>
      </c>
      <c r="K39" s="480"/>
      <c r="L39" s="483">
        <v>564.5998507462687</v>
      </c>
      <c r="M39" s="484">
        <v>37828.19</v>
      </c>
      <c r="N39" s="480"/>
      <c r="O39" s="483">
        <v>974.7260416666662</v>
      </c>
      <c r="P39" s="484">
        <v>46786.84999999998</v>
      </c>
      <c r="Q39" s="480"/>
      <c r="R39" s="483">
        <v>1074.9175000000007</v>
      </c>
      <c r="S39" s="484">
        <v>38697.03000000003</v>
      </c>
      <c r="T39" s="480"/>
      <c r="U39" s="483">
        <v>1041.1037037037033</v>
      </c>
      <c r="V39" s="484">
        <v>56219.59999999998</v>
      </c>
      <c r="W39" s="480"/>
      <c r="X39" s="483">
        <v>500.46660377358563</v>
      </c>
      <c r="Y39" s="484">
        <v>26524.73000000004</v>
      </c>
    </row>
    <row r="40" ht="14.25" customHeight="1">
      <c r="A40" s="480" t="s">
        <v>813</v>
      </c>
      <c r="B40" s="480"/>
      <c r="C40" s="483">
        <v>-6795.075806451613</v>
      </c>
      <c r="D40" s="484">
        <v>-210647.35</v>
      </c>
      <c r="E40" s="480"/>
      <c r="F40" s="483">
        <v>-6935.978620689654</v>
      </c>
      <c r="G40" s="484">
        <v>-201143.37999999998</v>
      </c>
      <c r="H40" s="480"/>
      <c r="I40" s="483">
        <v>-9781.434210526315</v>
      </c>
      <c r="J40" s="484">
        <v>-371694.5</v>
      </c>
      <c r="K40" s="480"/>
      <c r="L40" s="483">
        <v>-2548.9814925373134</v>
      </c>
      <c r="M40" s="484">
        <v>-170781.76</v>
      </c>
      <c r="N40" s="480"/>
      <c r="O40" s="483">
        <v>-4323.5268750000005</v>
      </c>
      <c r="P40" s="484">
        <v>-207529.29000000004</v>
      </c>
      <c r="Q40" s="480"/>
      <c r="R40" s="483">
        <v>-3340.8977777777795</v>
      </c>
      <c r="S40" s="484">
        <v>-120272.32000000007</v>
      </c>
      <c r="T40" s="480"/>
      <c r="U40" s="483">
        <v>-2437.6988888888886</v>
      </c>
      <c r="V40" s="484">
        <v>-131635.74</v>
      </c>
      <c r="W40" s="480"/>
      <c r="X40" s="483">
        <v>-1248.8064150943394</v>
      </c>
      <c r="Y40" s="484">
        <v>-66186.73999999999</v>
      </c>
    </row>
    <row r="41" ht="14.25" customHeight="1">
      <c r="A41" s="480" t="s">
        <v>814</v>
      </c>
      <c r="B41" s="480"/>
      <c r="C41" s="483">
        <v>0.0</v>
      </c>
      <c r="D41" s="484">
        <v>0.0</v>
      </c>
      <c r="E41" s="480"/>
      <c r="F41" s="483">
        <v>0.0</v>
      </c>
      <c r="G41" s="484">
        <v>0.0</v>
      </c>
      <c r="H41" s="480"/>
      <c r="I41" s="483">
        <v>0.0</v>
      </c>
      <c r="J41" s="484">
        <v>0.0</v>
      </c>
      <c r="K41" s="480"/>
      <c r="L41" s="483">
        <v>0.0</v>
      </c>
      <c r="M41" s="484">
        <v>0.0</v>
      </c>
      <c r="N41" s="480"/>
      <c r="O41" s="483">
        <v>-288.6445833333334</v>
      </c>
      <c r="P41" s="484">
        <v>-13854.940000000002</v>
      </c>
      <c r="Q41" s="480"/>
      <c r="R41" s="483">
        <v>-385.40833333333325</v>
      </c>
      <c r="S41" s="484">
        <v>-13874.699999999997</v>
      </c>
      <c r="T41" s="480"/>
      <c r="U41" s="483">
        <v>-208.4985185185185</v>
      </c>
      <c r="V41" s="484">
        <v>-11258.919999999998</v>
      </c>
      <c r="W41" s="480"/>
      <c r="X41" s="483">
        <v>-194.33566037735864</v>
      </c>
      <c r="Y41" s="484">
        <v>-10299.790000000008</v>
      </c>
    </row>
    <row r="42" ht="14.25" customHeight="1">
      <c r="A42" s="480" t="s">
        <v>56</v>
      </c>
      <c r="B42" s="480"/>
      <c r="C42" s="483">
        <v>0.0</v>
      </c>
      <c r="D42" s="551">
        <v>0.0</v>
      </c>
      <c r="E42" s="480"/>
      <c r="F42" s="483">
        <v>0.0</v>
      </c>
      <c r="G42" s="551">
        <v>0.0</v>
      </c>
      <c r="H42" s="480"/>
      <c r="I42" s="483">
        <v>0.0</v>
      </c>
      <c r="J42" s="551">
        <v>0.0</v>
      </c>
      <c r="K42" s="480"/>
      <c r="L42" s="483">
        <v>0.0</v>
      </c>
      <c r="M42" s="551">
        <v>0.0</v>
      </c>
      <c r="N42" s="480"/>
      <c r="O42" s="483">
        <v>0.0</v>
      </c>
      <c r="P42" s="551">
        <v>0.0</v>
      </c>
      <c r="Q42" s="480"/>
      <c r="R42" s="483">
        <v>0.0</v>
      </c>
      <c r="S42" s="551">
        <v>0.0</v>
      </c>
      <c r="T42" s="480"/>
      <c r="U42" s="483">
        <v>0.0</v>
      </c>
      <c r="V42" s="551">
        <v>0.0</v>
      </c>
      <c r="W42" s="480"/>
      <c r="X42" s="483">
        <v>0.0</v>
      </c>
      <c r="Y42" s="551">
        <v>0.0</v>
      </c>
    </row>
    <row r="43" ht="14.25" customHeight="1">
      <c r="A43" s="552" t="s">
        <v>118</v>
      </c>
      <c r="B43" s="556" t="s">
        <v>225</v>
      </c>
      <c r="C43" s="554">
        <v>-0.375745832327062</v>
      </c>
      <c r="D43" s="555">
        <v>-70106.70999999999</v>
      </c>
      <c r="E43" s="556" t="s">
        <v>225</v>
      </c>
      <c r="F43" s="554">
        <v>-0.2370316633638887</v>
      </c>
      <c r="G43" s="555">
        <v>-45416.75999999998</v>
      </c>
      <c r="H43" s="556" t="s">
        <v>225</v>
      </c>
      <c r="I43" s="554">
        <v>-1.3963092766659981</v>
      </c>
      <c r="J43" s="555">
        <v>-299943.36</v>
      </c>
      <c r="K43" s="556" t="s">
        <v>225</v>
      </c>
      <c r="L43" s="554">
        <v>-0.16605096091908045</v>
      </c>
      <c r="M43" s="555">
        <v>-45552.34</v>
      </c>
      <c r="N43" s="556" t="s">
        <v>225</v>
      </c>
      <c r="O43" s="554">
        <v>-0.3523093365409708</v>
      </c>
      <c r="P43" s="555">
        <v>-83486.06000000008</v>
      </c>
      <c r="Q43" s="556" t="s">
        <v>225</v>
      </c>
      <c r="R43" s="554">
        <v>-0.5386313384153064</v>
      </c>
      <c r="S43" s="555">
        <v>-96135.74000000005</v>
      </c>
      <c r="T43" s="556" t="s">
        <v>225</v>
      </c>
      <c r="U43" s="554">
        <v>0.22245559842240611</v>
      </c>
      <c r="V43" s="555">
        <v>43471.490000000034</v>
      </c>
      <c r="W43" s="556" t="s">
        <v>225</v>
      </c>
      <c r="X43" s="554">
        <v>0.09735455917968883</v>
      </c>
      <c r="Y43" s="555">
        <v>14163.74000000002</v>
      </c>
    </row>
    <row r="44" ht="14.25" customHeight="1">
      <c r="A44" s="559" t="s">
        <v>119</v>
      </c>
      <c r="B44" s="480"/>
      <c r="C44" s="48"/>
      <c r="D44" s="483">
        <v>9807.44</v>
      </c>
      <c r="E44" s="480"/>
      <c r="F44" s="48"/>
      <c r="G44" s="483">
        <v>-2085.2800000000007</v>
      </c>
      <c r="H44" s="480"/>
      <c r="I44" s="48"/>
      <c r="J44" s="483">
        <v>19038.38</v>
      </c>
      <c r="K44" s="480"/>
      <c r="L44" s="48"/>
      <c r="M44" s="483">
        <v>16142.629999999997</v>
      </c>
      <c r="N44" s="480"/>
      <c r="O44" s="48"/>
      <c r="P44" s="483">
        <v>6384.330000000002</v>
      </c>
      <c r="Q44" s="480"/>
      <c r="R44" s="48"/>
      <c r="S44" s="483">
        <v>10188.559999999998</v>
      </c>
      <c r="T44" s="480"/>
      <c r="U44" s="48"/>
      <c r="V44" s="483">
        <v>15176.400000000009</v>
      </c>
      <c r="W44" s="480"/>
      <c r="X44" s="48"/>
      <c r="Y44" s="483">
        <v>6326.87999999999</v>
      </c>
    </row>
    <row r="45" ht="14.25" customHeight="1">
      <c r="A45" s="560" t="s">
        <v>120</v>
      </c>
      <c r="B45" s="480"/>
      <c r="C45" s="48"/>
      <c r="D45" s="476">
        <v>28874.27</v>
      </c>
      <c r="E45" s="480"/>
      <c r="F45" s="48"/>
      <c r="G45" s="476">
        <v>25837.429999999997</v>
      </c>
      <c r="H45" s="480"/>
      <c r="I45" s="48"/>
      <c r="J45" s="476">
        <v>24541.190000000002</v>
      </c>
      <c r="K45" s="480"/>
      <c r="L45" s="48"/>
      <c r="M45" s="476">
        <v>24604.339999999997</v>
      </c>
      <c r="N45" s="480"/>
      <c r="O45" s="48"/>
      <c r="P45" s="476">
        <v>23018.33</v>
      </c>
      <c r="Q45" s="480"/>
      <c r="R45" s="48"/>
      <c r="S45" s="476">
        <v>10788.190000000002</v>
      </c>
      <c r="T45" s="480"/>
      <c r="U45" s="48"/>
      <c r="V45" s="476">
        <v>10229.26999999999</v>
      </c>
      <c r="W45" s="480"/>
      <c r="X45" s="48"/>
      <c r="Y45" s="476">
        <v>8576.190000000002</v>
      </c>
    </row>
    <row r="46" ht="14.25" customHeight="1">
      <c r="A46" s="559" t="s">
        <v>121</v>
      </c>
      <c r="B46" s="466"/>
      <c r="C46" s="562"/>
      <c r="D46" s="483">
        <v>3167.98</v>
      </c>
      <c r="E46" s="466"/>
      <c r="F46" s="562"/>
      <c r="G46" s="483">
        <v>4053.7599999999998</v>
      </c>
      <c r="H46" s="466"/>
      <c r="I46" s="562"/>
      <c r="J46" s="483">
        <v>4163.24</v>
      </c>
      <c r="K46" s="466"/>
      <c r="L46" s="562"/>
      <c r="M46" s="483">
        <v>5604.510000000002</v>
      </c>
      <c r="N46" s="466"/>
      <c r="O46" s="562"/>
      <c r="P46" s="483">
        <v>7210.559999999998</v>
      </c>
      <c r="Q46" s="466"/>
      <c r="R46" s="562"/>
      <c r="S46" s="483">
        <v>4530.580000000002</v>
      </c>
      <c r="T46" s="466"/>
      <c r="U46" s="562"/>
      <c r="V46" s="483">
        <v>6239.079999999998</v>
      </c>
      <c r="W46" s="466"/>
      <c r="X46" s="562"/>
      <c r="Y46" s="483">
        <v>5167.580000000002</v>
      </c>
    </row>
    <row r="47" ht="14.25" customHeight="1">
      <c r="A47" s="559" t="s">
        <v>122</v>
      </c>
      <c r="B47" s="480"/>
      <c r="C47" s="48"/>
      <c r="D47" s="483">
        <v>0.0</v>
      </c>
      <c r="E47" s="480"/>
      <c r="F47" s="48"/>
      <c r="G47" s="483">
        <v>0.0</v>
      </c>
      <c r="H47" s="480"/>
      <c r="I47" s="48"/>
      <c r="J47" s="483">
        <v>0.0</v>
      </c>
      <c r="K47" s="480"/>
      <c r="L47" s="48"/>
      <c r="M47" s="483">
        <v>0.0</v>
      </c>
      <c r="N47" s="480"/>
      <c r="O47" s="48"/>
      <c r="P47" s="483">
        <v>0.0</v>
      </c>
      <c r="Q47" s="480"/>
      <c r="R47" s="48"/>
      <c r="S47" s="483">
        <v>0.0</v>
      </c>
      <c r="T47" s="480"/>
      <c r="U47" s="48"/>
      <c r="V47" s="483">
        <v>0.0</v>
      </c>
      <c r="W47" s="480"/>
      <c r="X47" s="48"/>
      <c r="Y47" s="483">
        <v>0.0</v>
      </c>
    </row>
    <row r="48" ht="14.25" customHeight="1">
      <c r="A48" s="559" t="s">
        <v>56</v>
      </c>
      <c r="B48" s="480"/>
      <c r="C48" s="48"/>
      <c r="D48" s="483">
        <v>0.0</v>
      </c>
      <c r="E48" s="480"/>
      <c r="F48" s="48"/>
      <c r="G48" s="483">
        <v>0.0</v>
      </c>
      <c r="H48" s="480"/>
      <c r="I48" s="48"/>
      <c r="J48" s="483">
        <v>0.0</v>
      </c>
      <c r="K48" s="480"/>
      <c r="L48" s="48"/>
      <c r="M48" s="483">
        <v>0.0</v>
      </c>
      <c r="N48" s="480"/>
      <c r="O48" s="48"/>
      <c r="P48" s="483">
        <v>0.0</v>
      </c>
      <c r="Q48" s="480"/>
      <c r="R48" s="48"/>
      <c r="S48" s="483">
        <v>0.0</v>
      </c>
      <c r="T48" s="480"/>
      <c r="U48" s="48"/>
      <c r="V48" s="483">
        <v>0.0</v>
      </c>
      <c r="W48" s="480"/>
      <c r="X48" s="48"/>
      <c r="Y48" s="483">
        <v>0.0</v>
      </c>
    </row>
    <row r="49" ht="14.25" customHeight="1">
      <c r="A49" s="559" t="s">
        <v>56</v>
      </c>
      <c r="B49" s="480"/>
      <c r="C49" s="48"/>
      <c r="D49" s="483">
        <v>0.0</v>
      </c>
      <c r="E49" s="480"/>
      <c r="F49" s="48"/>
      <c r="G49" s="483">
        <v>0.0</v>
      </c>
      <c r="H49" s="480"/>
      <c r="I49" s="48"/>
      <c r="J49" s="483">
        <v>0.0</v>
      </c>
      <c r="K49" s="480"/>
      <c r="L49" s="48"/>
      <c r="M49" s="483">
        <v>0.0</v>
      </c>
      <c r="N49" s="480"/>
      <c r="O49" s="48"/>
      <c r="P49" s="483">
        <v>0.0</v>
      </c>
      <c r="Q49" s="480"/>
      <c r="R49" s="48"/>
      <c r="S49" s="483">
        <v>0.0</v>
      </c>
      <c r="T49" s="480"/>
      <c r="U49" s="48"/>
      <c r="V49" s="483">
        <v>0.0</v>
      </c>
      <c r="W49" s="480"/>
      <c r="X49" s="48"/>
      <c r="Y49" s="483">
        <v>0.0</v>
      </c>
    </row>
    <row r="50" ht="14.25" customHeight="1">
      <c r="A50" s="559" t="s">
        <v>56</v>
      </c>
      <c r="B50" s="480"/>
      <c r="C50" s="48"/>
      <c r="D50" s="483">
        <v>0.0</v>
      </c>
      <c r="E50" s="480"/>
      <c r="F50" s="48"/>
      <c r="G50" s="483">
        <v>0.0</v>
      </c>
      <c r="H50" s="480"/>
      <c r="I50" s="48"/>
      <c r="J50" s="483">
        <v>0.0</v>
      </c>
      <c r="K50" s="480"/>
      <c r="L50" s="48"/>
      <c r="M50" s="483">
        <v>0.0</v>
      </c>
      <c r="N50" s="480"/>
      <c r="O50" s="48"/>
      <c r="P50" s="483">
        <v>0.0</v>
      </c>
      <c r="Q50" s="480"/>
      <c r="R50" s="48"/>
      <c r="S50" s="483">
        <v>0.0</v>
      </c>
      <c r="T50" s="480"/>
      <c r="U50" s="48"/>
      <c r="V50" s="483">
        <v>0.0</v>
      </c>
      <c r="W50" s="480"/>
      <c r="X50" s="48"/>
      <c r="Y50" s="483">
        <v>0.0</v>
      </c>
    </row>
    <row r="51" ht="14.25" customHeight="1">
      <c r="A51" s="560" t="s">
        <v>123</v>
      </c>
      <c r="B51" s="480"/>
      <c r="C51" s="48"/>
      <c r="D51" s="476">
        <v>9990.41</v>
      </c>
      <c r="E51" s="480"/>
      <c r="F51" s="48"/>
      <c r="G51" s="476">
        <v>5669.9400000000005</v>
      </c>
      <c r="H51" s="480"/>
      <c r="I51" s="48"/>
      <c r="J51" s="476">
        <v>7208.140000000001</v>
      </c>
      <c r="K51" s="480"/>
      <c r="L51" s="48"/>
      <c r="M51" s="476">
        <v>10898.009999999998</v>
      </c>
      <c r="N51" s="480"/>
      <c r="O51" s="48"/>
      <c r="P51" s="476">
        <v>6183.449999999997</v>
      </c>
      <c r="Q51" s="480"/>
      <c r="R51" s="48"/>
      <c r="S51" s="476">
        <v>7953.340000000004</v>
      </c>
      <c r="T51" s="480"/>
      <c r="U51" s="48"/>
      <c r="V51" s="476">
        <v>6409.739999999998</v>
      </c>
      <c r="W51" s="480"/>
      <c r="X51" s="48"/>
      <c r="Y51" s="476">
        <v>4857.209999999999</v>
      </c>
    </row>
    <row r="52" ht="14.25" customHeight="1">
      <c r="A52" s="559" t="s">
        <v>124</v>
      </c>
      <c r="B52" s="466"/>
      <c r="C52" s="562"/>
      <c r="D52" s="483">
        <v>18542.25</v>
      </c>
      <c r="E52" s="466"/>
      <c r="F52" s="562"/>
      <c r="G52" s="483">
        <v>14684.949999999997</v>
      </c>
      <c r="H52" s="466"/>
      <c r="I52" s="562"/>
      <c r="J52" s="483">
        <v>18005.630000000005</v>
      </c>
      <c r="K52" s="466"/>
      <c r="L52" s="562"/>
      <c r="M52" s="483">
        <v>19032.33</v>
      </c>
      <c r="N52" s="466"/>
      <c r="O52" s="562"/>
      <c r="P52" s="483">
        <v>18335.22</v>
      </c>
      <c r="Q52" s="466"/>
      <c r="R52" s="562"/>
      <c r="S52" s="483">
        <v>9110.789999999994</v>
      </c>
      <c r="T52" s="466"/>
      <c r="U52" s="562"/>
      <c r="V52" s="483">
        <v>10332.880000000005</v>
      </c>
      <c r="W52" s="466"/>
      <c r="X52" s="562"/>
      <c r="Y52" s="483">
        <v>9070.929999999993</v>
      </c>
    </row>
    <row r="53" ht="14.25" customHeight="1">
      <c r="A53" s="559" t="s">
        <v>125</v>
      </c>
      <c r="B53" s="480"/>
      <c r="C53" s="48"/>
      <c r="D53" s="483">
        <v>4726.07</v>
      </c>
      <c r="E53" s="480"/>
      <c r="F53" s="48"/>
      <c r="G53" s="483">
        <v>10748.42</v>
      </c>
      <c r="H53" s="480"/>
      <c r="I53" s="48"/>
      <c r="J53" s="483">
        <v>1744.3700000000008</v>
      </c>
      <c r="K53" s="480"/>
      <c r="L53" s="48"/>
      <c r="M53" s="483">
        <v>4472.09</v>
      </c>
      <c r="N53" s="480"/>
      <c r="O53" s="48"/>
      <c r="P53" s="483">
        <v>1972.829999999998</v>
      </c>
      <c r="Q53" s="480"/>
      <c r="R53" s="48"/>
      <c r="S53" s="483">
        <v>1680.130000000001</v>
      </c>
      <c r="T53" s="480"/>
      <c r="U53" s="48"/>
      <c r="V53" s="483">
        <v>1310.9099999999999</v>
      </c>
      <c r="W53" s="480"/>
      <c r="X53" s="48"/>
      <c r="Y53" s="483">
        <v>1221.5200000000004</v>
      </c>
    </row>
    <row r="54" ht="14.25" customHeight="1">
      <c r="A54" s="559" t="s">
        <v>126</v>
      </c>
      <c r="B54" s="480"/>
      <c r="C54" s="48"/>
      <c r="D54" s="483">
        <v>237.49</v>
      </c>
      <c r="E54" s="480"/>
      <c r="F54" s="48"/>
      <c r="G54" s="483">
        <v>462.71000000000004</v>
      </c>
      <c r="H54" s="480"/>
      <c r="I54" s="48"/>
      <c r="J54" s="483">
        <v>4673.7</v>
      </c>
      <c r="K54" s="480"/>
      <c r="L54" s="48"/>
      <c r="M54" s="483">
        <v>2594.1900000000005</v>
      </c>
      <c r="N54" s="480"/>
      <c r="O54" s="48"/>
      <c r="P54" s="483">
        <v>2786.84</v>
      </c>
      <c r="Q54" s="480"/>
      <c r="R54" s="48"/>
      <c r="S54" s="483">
        <v>3872.0200000000004</v>
      </c>
      <c r="T54" s="480"/>
      <c r="U54" s="48"/>
      <c r="V54" s="483">
        <v>2914.4500000000007</v>
      </c>
      <c r="W54" s="480"/>
      <c r="X54" s="48"/>
      <c r="Y54" s="483">
        <v>3803.1699999999983</v>
      </c>
    </row>
    <row r="55" ht="14.25" customHeight="1">
      <c r="A55" s="480" t="s">
        <v>56</v>
      </c>
      <c r="B55" s="471"/>
      <c r="C55" s="564"/>
      <c r="D55" s="484">
        <v>0.0</v>
      </c>
      <c r="E55" s="471"/>
      <c r="F55" s="564"/>
      <c r="G55" s="484">
        <v>0.0</v>
      </c>
      <c r="H55" s="471"/>
      <c r="I55" s="564"/>
      <c r="J55" s="484">
        <v>0.0</v>
      </c>
      <c r="K55" s="471"/>
      <c r="L55" s="564"/>
      <c r="M55" s="484">
        <v>0.0</v>
      </c>
      <c r="N55" s="471"/>
      <c r="O55" s="564"/>
      <c r="P55" s="484">
        <v>0.0</v>
      </c>
      <c r="Q55" s="471"/>
      <c r="R55" s="564"/>
      <c r="S55" s="484">
        <v>0.0</v>
      </c>
      <c r="T55" s="471"/>
      <c r="U55" s="564"/>
      <c r="V55" s="484">
        <v>0.0</v>
      </c>
      <c r="W55" s="471"/>
      <c r="X55" s="564"/>
      <c r="Y55" s="484">
        <v>0.0</v>
      </c>
    </row>
    <row r="56" ht="14.25" customHeight="1">
      <c r="A56" s="552" t="s">
        <v>127</v>
      </c>
      <c r="B56" s="556" t="s">
        <v>225</v>
      </c>
      <c r="C56" s="554">
        <v>0.4038259913407706</v>
      </c>
      <c r="D56" s="555">
        <v>75345.91000000002</v>
      </c>
      <c r="E56" s="556" t="s">
        <v>225</v>
      </c>
      <c r="F56" s="554">
        <v>0.3098641850502847</v>
      </c>
      <c r="G56" s="555">
        <v>59371.929999999986</v>
      </c>
      <c r="H56" s="556" t="s">
        <v>225</v>
      </c>
      <c r="I56" s="554">
        <v>0.3695082969235151</v>
      </c>
      <c r="J56" s="555">
        <v>79374.65000000001</v>
      </c>
      <c r="K56" s="556" t="s">
        <v>225</v>
      </c>
      <c r="L56" s="554">
        <v>0.3038270283322351</v>
      </c>
      <c r="M56" s="555">
        <v>83348.09999999999</v>
      </c>
      <c r="N56" s="556" t="s">
        <v>225</v>
      </c>
      <c r="O56" s="554">
        <v>0.2780609336127438</v>
      </c>
      <c r="P56" s="555">
        <v>65891.56</v>
      </c>
      <c r="Q56" s="556" t="s">
        <v>225</v>
      </c>
      <c r="R56" s="554">
        <v>0.26962797044757975</v>
      </c>
      <c r="S56" s="555">
        <v>48123.61</v>
      </c>
      <c r="T56" s="556" t="s">
        <v>225</v>
      </c>
      <c r="U56" s="554">
        <v>0.2692338435325421</v>
      </c>
      <c r="V56" s="555">
        <v>52612.729999999996</v>
      </c>
      <c r="W56" s="556" t="s">
        <v>225</v>
      </c>
      <c r="X56" s="554">
        <v>0.268228144053576</v>
      </c>
      <c r="Y56" s="555">
        <v>39023.47999999998</v>
      </c>
    </row>
    <row r="57" ht="14.25" customHeight="1">
      <c r="A57" s="480" t="s">
        <v>128</v>
      </c>
      <c r="B57" s="480"/>
      <c r="C57" s="48"/>
      <c r="D57" s="484">
        <v>0.0</v>
      </c>
      <c r="E57" s="480"/>
      <c r="F57" s="48"/>
      <c r="G57" s="484">
        <v>0.0</v>
      </c>
      <c r="H57" s="480"/>
      <c r="I57" s="48"/>
      <c r="J57" s="484">
        <v>0.0</v>
      </c>
      <c r="K57" s="480"/>
      <c r="L57" s="48"/>
      <c r="M57" s="484">
        <v>0.0</v>
      </c>
      <c r="N57" s="480"/>
      <c r="O57" s="48"/>
      <c r="P57" s="484">
        <v>0.0</v>
      </c>
      <c r="Q57" s="480"/>
      <c r="R57" s="48"/>
      <c r="S57" s="484">
        <v>0.0</v>
      </c>
      <c r="T57" s="480"/>
      <c r="U57" s="48"/>
      <c r="V57" s="484">
        <v>0.0</v>
      </c>
      <c r="W57" s="480"/>
      <c r="X57" s="48"/>
      <c r="Y57" s="484">
        <v>0.0</v>
      </c>
    </row>
    <row r="58" ht="14.25" customHeight="1">
      <c r="A58" s="480" t="s">
        <v>129</v>
      </c>
      <c r="B58" s="480"/>
      <c r="C58" s="48"/>
      <c r="D58" s="484">
        <v>0.0</v>
      </c>
      <c r="E58" s="480"/>
      <c r="F58" s="48"/>
      <c r="G58" s="484">
        <v>0.0</v>
      </c>
      <c r="H58" s="480"/>
      <c r="I58" s="48"/>
      <c r="J58" s="484">
        <v>0.0</v>
      </c>
      <c r="K58" s="480"/>
      <c r="L58" s="48"/>
      <c r="M58" s="484">
        <v>0.0</v>
      </c>
      <c r="N58" s="480"/>
      <c r="O58" s="48"/>
      <c r="P58" s="484">
        <v>0.0</v>
      </c>
      <c r="Q58" s="480"/>
      <c r="R58" s="48"/>
      <c r="S58" s="484">
        <v>0.0</v>
      </c>
      <c r="T58" s="480"/>
      <c r="U58" s="48"/>
      <c r="V58" s="484">
        <v>0.0</v>
      </c>
      <c r="W58" s="480"/>
      <c r="X58" s="48"/>
      <c r="Y58" s="484">
        <v>0.0</v>
      </c>
    </row>
    <row r="59" ht="14.25" customHeight="1">
      <c r="A59" s="471" t="s">
        <v>130</v>
      </c>
      <c r="B59" s="471"/>
      <c r="C59" s="564"/>
      <c r="D59" s="476">
        <v>11766.67</v>
      </c>
      <c r="E59" s="471"/>
      <c r="F59" s="564"/>
      <c r="G59" s="476">
        <v>4751.83</v>
      </c>
      <c r="H59" s="471"/>
      <c r="I59" s="564"/>
      <c r="J59" s="476">
        <v>24656.510000000002</v>
      </c>
      <c r="K59" s="471"/>
      <c r="L59" s="564"/>
      <c r="M59" s="476">
        <v>12526.439999999995</v>
      </c>
      <c r="N59" s="471"/>
      <c r="O59" s="564"/>
      <c r="P59" s="476">
        <v>11679.620000000003</v>
      </c>
      <c r="Q59" s="471"/>
      <c r="R59" s="564"/>
      <c r="S59" s="476">
        <v>7460.9200000000055</v>
      </c>
      <c r="T59" s="471"/>
      <c r="U59" s="564"/>
      <c r="V59" s="476">
        <v>4689.37999999999</v>
      </c>
      <c r="W59" s="471"/>
      <c r="X59" s="564"/>
      <c r="Y59" s="476">
        <v>5493.090000000011</v>
      </c>
    </row>
    <row r="60" ht="14.25" customHeight="1">
      <c r="A60" s="480" t="s">
        <v>131</v>
      </c>
      <c r="B60" s="480"/>
      <c r="C60" s="48"/>
      <c r="D60" s="484">
        <v>3568.38</v>
      </c>
      <c r="E60" s="480"/>
      <c r="F60" s="48"/>
      <c r="G60" s="484">
        <v>2934.21</v>
      </c>
      <c r="H60" s="480"/>
      <c r="I60" s="48"/>
      <c r="J60" s="484">
        <v>2170.1800000000003</v>
      </c>
      <c r="K60" s="480"/>
      <c r="L60" s="48"/>
      <c r="M60" s="484">
        <v>2835.8999999999996</v>
      </c>
      <c r="N60" s="480"/>
      <c r="O60" s="48"/>
      <c r="P60" s="484">
        <v>4001.6800000000003</v>
      </c>
      <c r="Q60" s="480"/>
      <c r="R60" s="48"/>
      <c r="S60" s="484">
        <v>2666.9699999999993</v>
      </c>
      <c r="T60" s="480"/>
      <c r="U60" s="48"/>
      <c r="V60" s="484">
        <v>4264.880000000001</v>
      </c>
      <c r="W60" s="480"/>
      <c r="X60" s="48"/>
      <c r="Y60" s="484">
        <v>4814.829999999998</v>
      </c>
    </row>
    <row r="61" ht="14.25" customHeight="1">
      <c r="A61" s="480" t="s">
        <v>132</v>
      </c>
      <c r="B61" s="480"/>
      <c r="C61" s="48"/>
      <c r="D61" s="484">
        <v>1504.15</v>
      </c>
      <c r="E61" s="480"/>
      <c r="F61" s="48"/>
      <c r="G61" s="484">
        <v>3022.41</v>
      </c>
      <c r="H61" s="480"/>
      <c r="I61" s="48"/>
      <c r="J61" s="484">
        <v>4427.68</v>
      </c>
      <c r="K61" s="480"/>
      <c r="L61" s="48"/>
      <c r="M61" s="484">
        <v>10610.770000000002</v>
      </c>
      <c r="N61" s="480"/>
      <c r="O61" s="48"/>
      <c r="P61" s="484">
        <v>1626.299999999998</v>
      </c>
      <c r="Q61" s="480"/>
      <c r="R61" s="48"/>
      <c r="S61" s="484">
        <v>742.8500000000008</v>
      </c>
      <c r="T61" s="480"/>
      <c r="U61" s="48"/>
      <c r="V61" s="484">
        <v>987.7200000000007</v>
      </c>
      <c r="W61" s="480"/>
      <c r="X61" s="48"/>
      <c r="Y61" s="484">
        <v>1084.0399999999977</v>
      </c>
    </row>
    <row r="62" ht="14.25" customHeight="1">
      <c r="A62" s="471" t="s">
        <v>133</v>
      </c>
      <c r="B62" s="471"/>
      <c r="C62" s="564"/>
      <c r="D62" s="476">
        <v>10070.44</v>
      </c>
      <c r="E62" s="471"/>
      <c r="F62" s="564"/>
      <c r="G62" s="476">
        <v>5030.5</v>
      </c>
      <c r="H62" s="471"/>
      <c r="I62" s="564"/>
      <c r="J62" s="476">
        <v>9111.869999999999</v>
      </c>
      <c r="K62" s="471"/>
      <c r="L62" s="564"/>
      <c r="M62" s="476">
        <v>7093.17</v>
      </c>
      <c r="N62" s="471"/>
      <c r="O62" s="564"/>
      <c r="P62" s="476">
        <v>5047.960000000001</v>
      </c>
      <c r="Q62" s="471"/>
      <c r="R62" s="564"/>
      <c r="S62" s="476">
        <v>8577.119999999997</v>
      </c>
      <c r="T62" s="471"/>
      <c r="U62" s="564"/>
      <c r="V62" s="476">
        <v>5144.110000000004</v>
      </c>
      <c r="W62" s="471"/>
      <c r="X62" s="564"/>
      <c r="Y62" s="476">
        <v>3548.7000000000007</v>
      </c>
    </row>
    <row r="63" ht="14.25" customHeight="1">
      <c r="A63" s="480" t="s">
        <v>134</v>
      </c>
      <c r="B63" s="480"/>
      <c r="C63" s="48"/>
      <c r="D63" s="484">
        <v>1191.47</v>
      </c>
      <c r="E63" s="480"/>
      <c r="F63" s="48"/>
      <c r="G63" s="484">
        <v>401.0799999999999</v>
      </c>
      <c r="H63" s="480"/>
      <c r="I63" s="48"/>
      <c r="J63" s="484">
        <v>150.66000000000008</v>
      </c>
      <c r="K63" s="480"/>
      <c r="L63" s="48"/>
      <c r="M63" s="484">
        <v>380.0799999999999</v>
      </c>
      <c r="N63" s="480"/>
      <c r="O63" s="48"/>
      <c r="P63" s="484">
        <v>264.3600000000001</v>
      </c>
      <c r="Q63" s="480"/>
      <c r="R63" s="48"/>
      <c r="S63" s="484">
        <v>803.2999999999997</v>
      </c>
      <c r="T63" s="480"/>
      <c r="U63" s="48"/>
      <c r="V63" s="484">
        <v>408.4500000000003</v>
      </c>
      <c r="W63" s="480"/>
      <c r="X63" s="48"/>
      <c r="Y63" s="484">
        <v>144.6300000000001</v>
      </c>
    </row>
    <row r="64" ht="14.25" customHeight="1">
      <c r="A64" s="480" t="s">
        <v>135</v>
      </c>
      <c r="B64" s="480"/>
      <c r="C64" s="48"/>
      <c r="D64" s="484">
        <v>0.0</v>
      </c>
      <c r="E64" s="480"/>
      <c r="F64" s="48"/>
      <c r="G64" s="484">
        <v>0.0</v>
      </c>
      <c r="H64" s="480"/>
      <c r="I64" s="48"/>
      <c r="J64" s="484">
        <v>0.0</v>
      </c>
      <c r="K64" s="480"/>
      <c r="L64" s="48"/>
      <c r="M64" s="484">
        <v>0.0</v>
      </c>
      <c r="N64" s="480"/>
      <c r="O64" s="48"/>
      <c r="P64" s="484">
        <v>0.0</v>
      </c>
      <c r="Q64" s="480"/>
      <c r="R64" s="48"/>
      <c r="S64" s="484">
        <v>0.0</v>
      </c>
      <c r="T64" s="480"/>
      <c r="U64" s="48"/>
      <c r="V64" s="484">
        <v>0.0</v>
      </c>
      <c r="W64" s="480"/>
      <c r="X64" s="48"/>
      <c r="Y64" s="484">
        <v>0.0</v>
      </c>
    </row>
    <row r="65" ht="14.25" customHeight="1">
      <c r="A65" s="480" t="s">
        <v>136</v>
      </c>
      <c r="B65" s="480"/>
      <c r="C65" s="48"/>
      <c r="D65" s="484">
        <v>2386.19</v>
      </c>
      <c r="E65" s="480"/>
      <c r="F65" s="48"/>
      <c r="G65" s="484">
        <v>1912.0300000000002</v>
      </c>
      <c r="H65" s="480"/>
      <c r="I65" s="48"/>
      <c r="J65" s="484">
        <v>2803.5199999999995</v>
      </c>
      <c r="K65" s="480"/>
      <c r="L65" s="48"/>
      <c r="M65" s="484">
        <v>3319.9500000000007</v>
      </c>
      <c r="N65" s="480"/>
      <c r="O65" s="48"/>
      <c r="P65" s="484">
        <v>1567.3599999999988</v>
      </c>
      <c r="Q65" s="480"/>
      <c r="R65" s="48"/>
      <c r="S65" s="484">
        <v>1266.8700000000008</v>
      </c>
      <c r="T65" s="480"/>
      <c r="U65" s="48"/>
      <c r="V65" s="484">
        <v>1184.3899999999994</v>
      </c>
      <c r="W65" s="480"/>
      <c r="X65" s="48"/>
      <c r="Y65" s="484">
        <v>1520.7800000000007</v>
      </c>
    </row>
    <row r="66" ht="14.25" customHeight="1">
      <c r="A66" s="480" t="s">
        <v>137</v>
      </c>
      <c r="B66" s="480"/>
      <c r="C66" s="48"/>
      <c r="D66" s="484">
        <v>660.81</v>
      </c>
      <c r="E66" s="480"/>
      <c r="F66" s="48"/>
      <c r="G66" s="484">
        <v>248.0</v>
      </c>
      <c r="H66" s="480"/>
      <c r="I66" s="48"/>
      <c r="J66" s="484">
        <v>294.47</v>
      </c>
      <c r="K66" s="480"/>
      <c r="L66" s="48"/>
      <c r="M66" s="484">
        <v>508.99</v>
      </c>
      <c r="N66" s="480"/>
      <c r="O66" s="48"/>
      <c r="P66" s="484">
        <v>1439.4299999999998</v>
      </c>
      <c r="Q66" s="480"/>
      <c r="R66" s="48"/>
      <c r="S66" s="484">
        <v>335.32000000000016</v>
      </c>
      <c r="T66" s="480"/>
      <c r="U66" s="48"/>
      <c r="V66" s="484">
        <v>630.2500000000005</v>
      </c>
      <c r="W66" s="480"/>
      <c r="X66" s="48"/>
      <c r="Y66" s="484">
        <v>672.3499999999995</v>
      </c>
    </row>
    <row r="67" ht="14.25" customHeight="1">
      <c r="A67" s="480" t="s">
        <v>138</v>
      </c>
      <c r="B67" s="480"/>
      <c r="C67" s="48"/>
      <c r="D67" s="484">
        <v>1560.0</v>
      </c>
      <c r="E67" s="480"/>
      <c r="F67" s="48"/>
      <c r="G67" s="484">
        <v>1874.6799999999998</v>
      </c>
      <c r="H67" s="480"/>
      <c r="I67" s="48"/>
      <c r="J67" s="484">
        <v>2184.78</v>
      </c>
      <c r="K67" s="480"/>
      <c r="L67" s="48"/>
      <c r="M67" s="484">
        <v>2290.83</v>
      </c>
      <c r="N67" s="480"/>
      <c r="O67" s="48"/>
      <c r="P67" s="484">
        <v>2006.4900000000007</v>
      </c>
      <c r="Q67" s="480"/>
      <c r="R67" s="48"/>
      <c r="S67" s="484">
        <v>1932.699999999999</v>
      </c>
      <c r="T67" s="480"/>
      <c r="U67" s="48"/>
      <c r="V67" s="484">
        <v>1095.8700000000008</v>
      </c>
      <c r="W67" s="480"/>
      <c r="X67" s="48"/>
      <c r="Y67" s="484">
        <v>535.6900000000005</v>
      </c>
    </row>
    <row r="68" ht="14.25" customHeight="1">
      <c r="A68" s="480" t="s">
        <v>139</v>
      </c>
      <c r="B68" s="480"/>
      <c r="C68" s="48"/>
      <c r="D68" s="484">
        <v>2738.6499999999996</v>
      </c>
      <c r="E68" s="480"/>
      <c r="F68" s="48"/>
      <c r="G68" s="484">
        <v>7318.889999999999</v>
      </c>
      <c r="H68" s="480"/>
      <c r="I68" s="48"/>
      <c r="J68" s="484">
        <v>1065.6499999999996</v>
      </c>
      <c r="K68" s="480"/>
      <c r="L68" s="48"/>
      <c r="M68" s="484">
        <v>2858.130000000001</v>
      </c>
      <c r="N68" s="480"/>
      <c r="O68" s="48"/>
      <c r="P68" s="484">
        <v>2631.3999999999987</v>
      </c>
      <c r="Q68" s="480"/>
      <c r="R68" s="48"/>
      <c r="S68" s="484">
        <v>2716.340000000001</v>
      </c>
      <c r="T68" s="480"/>
      <c r="U68" s="48"/>
      <c r="V68" s="484">
        <v>2613.35</v>
      </c>
      <c r="W68" s="480"/>
      <c r="X68" s="48"/>
      <c r="Y68" s="484">
        <v>3445.539999999999</v>
      </c>
    </row>
    <row r="69" ht="14.25" customHeight="1">
      <c r="A69" s="480" t="s">
        <v>140</v>
      </c>
      <c r="B69" s="480"/>
      <c r="C69" s="48"/>
      <c r="D69" s="484">
        <v>855.0</v>
      </c>
      <c r="E69" s="480"/>
      <c r="F69" s="48"/>
      <c r="G69" s="484">
        <v>760.0</v>
      </c>
      <c r="H69" s="480"/>
      <c r="I69" s="48"/>
      <c r="J69" s="484">
        <v>2853.21</v>
      </c>
      <c r="K69" s="480"/>
      <c r="L69" s="48"/>
      <c r="M69" s="484">
        <v>855.0</v>
      </c>
      <c r="N69" s="480"/>
      <c r="O69" s="48"/>
      <c r="P69" s="484">
        <v>5300.999999999999</v>
      </c>
      <c r="Q69" s="480"/>
      <c r="R69" s="48"/>
      <c r="S69" s="484">
        <v>1075.0</v>
      </c>
      <c r="T69" s="480"/>
      <c r="U69" s="48"/>
      <c r="V69" s="484">
        <v>570.0</v>
      </c>
      <c r="W69" s="480"/>
      <c r="X69" s="48"/>
      <c r="Y69" s="484">
        <v>570.0</v>
      </c>
    </row>
    <row r="70" ht="14.25" customHeight="1">
      <c r="A70" s="480" t="s">
        <v>141</v>
      </c>
      <c r="B70" s="480"/>
      <c r="C70" s="48"/>
      <c r="D70" s="484">
        <v>567.14</v>
      </c>
      <c r="E70" s="480"/>
      <c r="F70" s="48"/>
      <c r="G70" s="484">
        <v>1851.2400000000002</v>
      </c>
      <c r="H70" s="480"/>
      <c r="I70" s="48"/>
      <c r="J70" s="484">
        <v>714.02</v>
      </c>
      <c r="K70" s="480"/>
      <c r="L70" s="48"/>
      <c r="M70" s="484">
        <v>1984.4199999999996</v>
      </c>
      <c r="N70" s="480"/>
      <c r="O70" s="48"/>
      <c r="P70" s="484">
        <v>1855.3900000000003</v>
      </c>
      <c r="Q70" s="480"/>
      <c r="R70" s="48"/>
      <c r="S70" s="484">
        <v>1558.0700000000006</v>
      </c>
      <c r="T70" s="480"/>
      <c r="U70" s="48"/>
      <c r="V70" s="484">
        <v>1435.5499999999993</v>
      </c>
      <c r="W70" s="480"/>
      <c r="X70" s="48"/>
      <c r="Y70" s="484">
        <v>1424.710000000001</v>
      </c>
    </row>
    <row r="71" ht="14.25" customHeight="1">
      <c r="A71" s="480" t="s">
        <v>56</v>
      </c>
      <c r="B71" s="480"/>
      <c r="C71" s="48"/>
      <c r="D71" s="484"/>
      <c r="E71" s="480"/>
      <c r="F71" s="48"/>
      <c r="G71" s="484"/>
      <c r="H71" s="480"/>
      <c r="I71" s="48"/>
      <c r="J71" s="484"/>
      <c r="K71" s="480"/>
      <c r="L71" s="48"/>
      <c r="M71" s="484"/>
      <c r="N71" s="480"/>
      <c r="O71" s="48"/>
      <c r="P71" s="484"/>
      <c r="Q71" s="480"/>
      <c r="R71" s="48"/>
      <c r="S71" s="484"/>
      <c r="T71" s="480"/>
      <c r="U71" s="48"/>
      <c r="V71" s="484"/>
      <c r="W71" s="480"/>
      <c r="X71" s="48"/>
      <c r="Y71" s="484"/>
    </row>
    <row r="72" ht="14.25" customHeight="1">
      <c r="A72" s="480" t="s">
        <v>56</v>
      </c>
      <c r="B72" s="480"/>
      <c r="C72" s="48"/>
      <c r="D72" s="484">
        <v>0.0</v>
      </c>
      <c r="E72" s="480"/>
      <c r="F72" s="48"/>
      <c r="G72" s="484">
        <v>0.0</v>
      </c>
      <c r="H72" s="480"/>
      <c r="I72" s="48"/>
      <c r="J72" s="484">
        <v>0.0</v>
      </c>
      <c r="K72" s="480"/>
      <c r="L72" s="48"/>
      <c r="M72" s="484">
        <v>0.0</v>
      </c>
      <c r="N72" s="480"/>
      <c r="O72" s="48"/>
      <c r="P72" s="484">
        <v>0.0</v>
      </c>
      <c r="Q72" s="480"/>
      <c r="R72" s="48"/>
      <c r="S72" s="484">
        <v>0.0</v>
      </c>
      <c r="T72" s="480"/>
      <c r="U72" s="48"/>
      <c r="V72" s="484">
        <v>0.0</v>
      </c>
      <c r="W72" s="480"/>
      <c r="X72" s="48"/>
      <c r="Y72" s="484">
        <v>0.0</v>
      </c>
    </row>
    <row r="73" ht="14.25" customHeight="1">
      <c r="A73" s="480" t="s">
        <v>56</v>
      </c>
      <c r="B73" s="480"/>
      <c r="C73" s="48"/>
      <c r="D73" s="484">
        <v>0.0</v>
      </c>
      <c r="E73" s="480"/>
      <c r="F73" s="48"/>
      <c r="G73" s="484">
        <v>0.0</v>
      </c>
      <c r="H73" s="480"/>
      <c r="I73" s="48"/>
      <c r="J73" s="484">
        <v>0.0</v>
      </c>
      <c r="K73" s="480"/>
      <c r="L73" s="48"/>
      <c r="M73" s="484">
        <v>0.0</v>
      </c>
      <c r="N73" s="480"/>
      <c r="O73" s="48"/>
      <c r="P73" s="484">
        <v>0.0</v>
      </c>
      <c r="Q73" s="480"/>
      <c r="R73" s="48"/>
      <c r="S73" s="484">
        <v>0.0</v>
      </c>
      <c r="T73" s="480"/>
      <c r="U73" s="48"/>
      <c r="V73" s="484">
        <v>0.0</v>
      </c>
      <c r="W73" s="480"/>
      <c r="X73" s="48"/>
      <c r="Y73" s="484">
        <v>0.0</v>
      </c>
    </row>
    <row r="74" ht="14.25" customHeight="1">
      <c r="A74" s="552" t="s">
        <v>142</v>
      </c>
      <c r="B74" s="556" t="s">
        <v>225</v>
      </c>
      <c r="C74" s="554">
        <v>0.19760356059331866</v>
      </c>
      <c r="D74" s="555">
        <v>36868.9</v>
      </c>
      <c r="E74" s="556" t="s">
        <v>225</v>
      </c>
      <c r="F74" s="554">
        <v>0.15711837241259913</v>
      </c>
      <c r="G74" s="555">
        <v>30104.870000000003</v>
      </c>
      <c r="H74" s="556" t="s">
        <v>225</v>
      </c>
      <c r="I74" s="554">
        <v>0.23477578370436938</v>
      </c>
      <c r="J74" s="555">
        <v>50432.55</v>
      </c>
      <c r="K74" s="556" t="s">
        <v>225</v>
      </c>
      <c r="L74" s="554">
        <v>0.16499871485710202</v>
      </c>
      <c r="M74" s="555">
        <v>45263.67999999999</v>
      </c>
      <c r="N74" s="556" t="s">
        <v>225</v>
      </c>
      <c r="O74" s="554">
        <v>0.15791575455359003</v>
      </c>
      <c r="P74" s="555">
        <v>37420.990000000005</v>
      </c>
      <c r="Q74" s="556" t="s">
        <v>225</v>
      </c>
      <c r="R74" s="554">
        <v>0.16324076576667132</v>
      </c>
      <c r="S74" s="555">
        <v>29135.459999999995</v>
      </c>
      <c r="T74" s="556" t="s">
        <v>225</v>
      </c>
      <c r="U74" s="554">
        <v>0.11781989932476554</v>
      </c>
      <c r="V74" s="555">
        <v>23023.949999999993</v>
      </c>
      <c r="W74" s="556" t="s">
        <v>225</v>
      </c>
      <c r="X74" s="554">
        <v>0.15983899498337206</v>
      </c>
      <c r="Y74" s="555">
        <v>23254.360000000008</v>
      </c>
    </row>
    <row r="75" ht="14.25" customHeight="1">
      <c r="A75" s="471"/>
      <c r="B75" s="471"/>
      <c r="C75" s="564"/>
      <c r="D75" s="476"/>
      <c r="E75" s="471"/>
      <c r="F75" s="564"/>
      <c r="G75" s="476"/>
      <c r="H75" s="471"/>
      <c r="I75" s="564"/>
      <c r="J75" s="476"/>
      <c r="K75" s="471"/>
      <c r="L75" s="564"/>
      <c r="M75" s="476"/>
      <c r="N75" s="471"/>
      <c r="O75" s="564"/>
      <c r="P75" s="476"/>
      <c r="Q75" s="471"/>
      <c r="R75" s="564"/>
      <c r="S75" s="476"/>
      <c r="T75" s="471"/>
      <c r="U75" s="564"/>
      <c r="V75" s="476"/>
      <c r="W75" s="471"/>
      <c r="X75" s="564"/>
      <c r="Y75" s="476"/>
    </row>
    <row r="76" ht="14.25" customHeight="1">
      <c r="A76" s="552" t="s">
        <v>143</v>
      </c>
      <c r="B76" s="556" t="s">
        <v>225</v>
      </c>
      <c r="C76" s="554">
        <v>0.22568371960702724</v>
      </c>
      <c r="D76" s="555">
        <v>42108.10000000003</v>
      </c>
      <c r="E76" s="556" t="s">
        <v>225</v>
      </c>
      <c r="F76" s="554">
        <v>0.2299508940989951</v>
      </c>
      <c r="G76" s="555">
        <v>44060.04000000001</v>
      </c>
      <c r="H76" s="556" t="s">
        <v>225</v>
      </c>
      <c r="I76" s="554">
        <v>-0.7920251960381137</v>
      </c>
      <c r="J76" s="555">
        <v>-170136.15999999997</v>
      </c>
      <c r="K76" s="556" t="s">
        <v>225</v>
      </c>
      <c r="L76" s="554">
        <v>0.3027747822702567</v>
      </c>
      <c r="M76" s="555">
        <v>83059.43999999999</v>
      </c>
      <c r="N76" s="556" t="s">
        <v>225</v>
      </c>
      <c r="O76" s="554">
        <v>0.08366735162536304</v>
      </c>
      <c r="P76" s="555">
        <v>19826.489999999918</v>
      </c>
      <c r="Q76" s="556" t="s">
        <v>225</v>
      </c>
      <c r="R76" s="554">
        <v>-0.10576260220105536</v>
      </c>
      <c r="S76" s="555">
        <v>-18876.670000000053</v>
      </c>
      <c r="T76" s="556" t="s">
        <v>225</v>
      </c>
      <c r="U76" s="554">
        <v>0.6095093412797138</v>
      </c>
      <c r="V76" s="555">
        <v>119108.17000000003</v>
      </c>
      <c r="W76" s="556" t="s">
        <v>225</v>
      </c>
      <c r="X76" s="554">
        <v>0.5254216982166369</v>
      </c>
      <c r="Y76" s="555">
        <v>76441.58000000002</v>
      </c>
    </row>
    <row r="77" ht="14.25" customHeight="1">
      <c r="A77" s="480" t="s">
        <v>842</v>
      </c>
      <c r="B77" s="480"/>
      <c r="C77" s="48"/>
      <c r="D77" s="484">
        <v>31433.86</v>
      </c>
      <c r="E77" s="480"/>
      <c r="F77" s="48"/>
      <c r="G77" s="484">
        <v>-2020.0</v>
      </c>
      <c r="H77" s="480"/>
      <c r="I77" s="48"/>
      <c r="J77" s="484">
        <v>-267.0</v>
      </c>
      <c r="K77" s="480"/>
      <c r="L77" s="48"/>
      <c r="M77" s="484">
        <v>8481.86</v>
      </c>
      <c r="N77" s="480"/>
      <c r="O77" s="48"/>
      <c r="P77" s="484">
        <v>31491.979999999996</v>
      </c>
      <c r="Q77" s="480"/>
      <c r="R77" s="48"/>
      <c r="S77" s="484">
        <v>24351.53</v>
      </c>
      <c r="T77" s="480"/>
      <c r="U77" s="48"/>
      <c r="V77" s="484">
        <v>2794.3899999999994</v>
      </c>
      <c r="W77" s="480"/>
      <c r="X77" s="48"/>
      <c r="Y77" s="484">
        <v>35241.44</v>
      </c>
    </row>
    <row r="78" ht="14.25" customHeight="1">
      <c r="A78" s="480" t="s">
        <v>145</v>
      </c>
      <c r="B78" s="480"/>
      <c r="C78" s="48"/>
      <c r="D78" s="484">
        <v>0.0</v>
      </c>
      <c r="E78" s="480"/>
      <c r="F78" s="48"/>
      <c r="G78" s="484">
        <v>0.0</v>
      </c>
      <c r="H78" s="480"/>
      <c r="I78" s="48"/>
      <c r="J78" s="484">
        <v>0.0</v>
      </c>
      <c r="K78" s="480"/>
      <c r="L78" s="48"/>
      <c r="M78" s="484">
        <v>0.0</v>
      </c>
      <c r="N78" s="480"/>
      <c r="O78" s="48"/>
      <c r="P78" s="484">
        <v>0.0</v>
      </c>
      <c r="Q78" s="480"/>
      <c r="R78" s="48"/>
      <c r="S78" s="484">
        <v>0.0</v>
      </c>
      <c r="T78" s="480"/>
      <c r="U78" s="48"/>
      <c r="V78" s="484">
        <v>0.0</v>
      </c>
      <c r="W78" s="480"/>
      <c r="X78" s="48"/>
      <c r="Y78" s="484">
        <v>0.0</v>
      </c>
    </row>
    <row r="79" ht="14.25" customHeight="1">
      <c r="A79" s="480" t="s">
        <v>146</v>
      </c>
      <c r="B79" s="480"/>
      <c r="C79" s="48"/>
      <c r="D79" s="484">
        <v>0.0</v>
      </c>
      <c r="E79" s="480"/>
      <c r="F79" s="48"/>
      <c r="G79" s="484">
        <v>0.0</v>
      </c>
      <c r="H79" s="480"/>
      <c r="I79" s="48"/>
      <c r="J79" s="484">
        <v>0.0</v>
      </c>
      <c r="K79" s="480"/>
      <c r="L79" s="48"/>
      <c r="M79" s="484">
        <v>0.0</v>
      </c>
      <c r="N79" s="480"/>
      <c r="O79" s="48"/>
      <c r="P79" s="484">
        <v>0.0</v>
      </c>
      <c r="Q79" s="480"/>
      <c r="R79" s="48"/>
      <c r="S79" s="484">
        <v>0.0</v>
      </c>
      <c r="T79" s="480"/>
      <c r="U79" s="48"/>
      <c r="V79" s="484">
        <v>0.0</v>
      </c>
      <c r="W79" s="480"/>
      <c r="X79" s="48"/>
      <c r="Y79" s="484">
        <v>0.0</v>
      </c>
    </row>
    <row r="80" ht="14.25" customHeight="1">
      <c r="A80" s="480" t="s">
        <v>147</v>
      </c>
      <c r="B80" s="568"/>
      <c r="C80" s="567"/>
      <c r="D80" s="484">
        <v>0.0</v>
      </c>
      <c r="E80" s="568"/>
      <c r="F80" s="567">
        <v>0.0</v>
      </c>
      <c r="G80" s="484">
        <v>0.0</v>
      </c>
      <c r="H80" s="568"/>
      <c r="I80" s="567">
        <v>0.0</v>
      </c>
      <c r="J80" s="484">
        <v>0.0</v>
      </c>
      <c r="K80" s="568"/>
      <c r="L80" s="567">
        <v>0.0</v>
      </c>
      <c r="M80" s="484">
        <v>0.0</v>
      </c>
      <c r="N80" s="568"/>
      <c r="O80" s="567">
        <v>0.0</v>
      </c>
      <c r="P80" s="484">
        <v>0.0</v>
      </c>
      <c r="Q80" s="568"/>
      <c r="R80" s="567">
        <v>0.0</v>
      </c>
      <c r="S80" s="484">
        <v>0.0</v>
      </c>
      <c r="T80" s="568"/>
      <c r="U80" s="567">
        <v>0.0</v>
      </c>
      <c r="V80" s="484">
        <v>0.0</v>
      </c>
      <c r="W80" s="568"/>
      <c r="X80" s="567">
        <v>0.0</v>
      </c>
      <c r="Y80" s="484">
        <v>0.0</v>
      </c>
    </row>
    <row r="81" ht="14.25" customHeight="1">
      <c r="A81" s="480" t="s">
        <v>56</v>
      </c>
      <c r="B81" s="480"/>
      <c r="C81" s="48"/>
      <c r="D81" s="484">
        <v>0.0</v>
      </c>
      <c r="E81" s="480"/>
      <c r="F81" s="48"/>
      <c r="G81" s="484">
        <v>0.0</v>
      </c>
      <c r="H81" s="480"/>
      <c r="I81" s="48"/>
      <c r="J81" s="484">
        <v>0.0</v>
      </c>
      <c r="K81" s="480"/>
      <c r="L81" s="48"/>
      <c r="M81" s="484">
        <v>0.0</v>
      </c>
      <c r="N81" s="480"/>
      <c r="O81" s="48"/>
      <c r="P81" s="484">
        <v>0.0</v>
      </c>
      <c r="Q81" s="480"/>
      <c r="R81" s="48"/>
      <c r="S81" s="484">
        <v>0.0</v>
      </c>
      <c r="T81" s="480"/>
      <c r="U81" s="48"/>
      <c r="V81" s="484">
        <v>0.0</v>
      </c>
      <c r="W81" s="480"/>
      <c r="X81" s="48"/>
      <c r="Y81" s="484">
        <v>0.0</v>
      </c>
    </row>
    <row r="82" ht="14.25" customHeight="1">
      <c r="A82" s="480" t="s">
        <v>56</v>
      </c>
      <c r="B82" s="480"/>
      <c r="C82" s="48"/>
      <c r="D82" s="484">
        <v>0.0</v>
      </c>
      <c r="E82" s="480"/>
      <c r="F82" s="48"/>
      <c r="G82" s="484">
        <v>0.0</v>
      </c>
      <c r="H82" s="480"/>
      <c r="I82" s="48"/>
      <c r="J82" s="484">
        <v>0.0</v>
      </c>
      <c r="K82" s="480"/>
      <c r="L82" s="48"/>
      <c r="M82" s="484">
        <v>0.0</v>
      </c>
      <c r="N82" s="480"/>
      <c r="O82" s="48"/>
      <c r="P82" s="484">
        <v>0.0</v>
      </c>
      <c r="Q82" s="480"/>
      <c r="R82" s="48"/>
      <c r="S82" s="484">
        <v>0.0</v>
      </c>
      <c r="T82" s="480"/>
      <c r="U82" s="48"/>
      <c r="V82" s="484">
        <v>0.0</v>
      </c>
      <c r="W82" s="480"/>
      <c r="X82" s="48"/>
      <c r="Y82" s="484">
        <v>0.0</v>
      </c>
    </row>
    <row r="83" ht="14.25" customHeight="1">
      <c r="A83" s="480" t="s">
        <v>56</v>
      </c>
      <c r="B83" s="480"/>
      <c r="C83" s="48"/>
      <c r="D83" s="484">
        <v>0.0</v>
      </c>
      <c r="E83" s="480"/>
      <c r="F83" s="48"/>
      <c r="G83" s="484">
        <v>0.0</v>
      </c>
      <c r="H83" s="480"/>
      <c r="I83" s="48"/>
      <c r="J83" s="484">
        <v>0.0</v>
      </c>
      <c r="K83" s="480"/>
      <c r="L83" s="48"/>
      <c r="M83" s="484">
        <v>0.0</v>
      </c>
      <c r="N83" s="480"/>
      <c r="O83" s="48"/>
      <c r="P83" s="484">
        <v>0.0</v>
      </c>
      <c r="Q83" s="480"/>
      <c r="R83" s="48"/>
      <c r="S83" s="484">
        <v>0.0</v>
      </c>
      <c r="T83" s="480"/>
      <c r="U83" s="48"/>
      <c r="V83" s="484">
        <v>0.0</v>
      </c>
      <c r="W83" s="480"/>
      <c r="X83" s="48"/>
      <c r="Y83" s="484">
        <v>0.0</v>
      </c>
    </row>
    <row r="84" ht="14.25" customHeight="1">
      <c r="A84" s="480" t="s">
        <v>148</v>
      </c>
      <c r="B84" s="570">
        <v>0.0</v>
      </c>
      <c r="C84" s="567">
        <v>0.0</v>
      </c>
      <c r="D84" s="484">
        <v>0.0</v>
      </c>
      <c r="E84" s="570">
        <v>0.0</v>
      </c>
      <c r="F84" s="567">
        <v>0.0</v>
      </c>
      <c r="G84" s="484">
        <v>0.0</v>
      </c>
      <c r="H84" s="570">
        <v>0.0</v>
      </c>
      <c r="I84" s="567">
        <v>0.0</v>
      </c>
      <c r="J84" s="484">
        <v>0.0</v>
      </c>
      <c r="K84" s="570">
        <v>0.0</v>
      </c>
      <c r="L84" s="567">
        <v>0.0</v>
      </c>
      <c r="M84" s="484">
        <v>0.0</v>
      </c>
      <c r="N84" s="570">
        <v>0.9791666666666666</v>
      </c>
      <c r="O84" s="567">
        <v>684.4375</v>
      </c>
      <c r="P84" s="484">
        <v>32853.0</v>
      </c>
      <c r="Q84" s="570">
        <v>0.9722222222222223</v>
      </c>
      <c r="R84" s="567">
        <v>679.5833333333334</v>
      </c>
      <c r="S84" s="484">
        <v>24465.0</v>
      </c>
      <c r="T84" s="570">
        <v>0.7990780480050866</v>
      </c>
      <c r="U84" s="567">
        <v>558.5555555555555</v>
      </c>
      <c r="V84" s="484">
        <v>30162.0</v>
      </c>
      <c r="W84" s="570">
        <v>0.46929575944071045</v>
      </c>
      <c r="X84" s="567">
        <v>328.0377358490566</v>
      </c>
      <c r="Y84" s="484">
        <v>17386.0</v>
      </c>
    </row>
    <row r="85" ht="14.25" customHeight="1">
      <c r="A85" s="552" t="s">
        <v>149</v>
      </c>
      <c r="B85" s="556"/>
      <c r="C85" s="554"/>
      <c r="D85" s="555">
        <v>31433.86</v>
      </c>
      <c r="E85" s="556"/>
      <c r="F85" s="554"/>
      <c r="G85" s="555">
        <v>-2020.0</v>
      </c>
      <c r="H85" s="556"/>
      <c r="I85" s="554"/>
      <c r="J85" s="555">
        <v>-267.0</v>
      </c>
      <c r="K85" s="556"/>
      <c r="L85" s="554"/>
      <c r="M85" s="555">
        <v>8481.86</v>
      </c>
      <c r="N85" s="556"/>
      <c r="O85" s="554"/>
      <c r="P85" s="555">
        <v>64344.979999999996</v>
      </c>
      <c r="Q85" s="556"/>
      <c r="R85" s="554"/>
      <c r="S85" s="555">
        <v>48816.53</v>
      </c>
      <c r="T85" s="556"/>
      <c r="U85" s="554"/>
      <c r="V85" s="555">
        <v>32956.39</v>
      </c>
      <c r="W85" s="556"/>
      <c r="X85" s="554"/>
      <c r="Y85" s="555">
        <v>52627.44</v>
      </c>
    </row>
    <row r="86" ht="14.25" customHeight="1">
      <c r="A86" s="571"/>
      <c r="B86" s="576"/>
      <c r="C86" s="577"/>
      <c r="D86" s="574"/>
      <c r="E86" s="576"/>
      <c r="F86" s="577"/>
      <c r="G86" s="574"/>
      <c r="H86" s="576"/>
      <c r="I86" s="577"/>
      <c r="J86" s="574"/>
      <c r="K86" s="576"/>
      <c r="L86" s="577"/>
      <c r="M86" s="574"/>
      <c r="N86" s="576"/>
      <c r="O86" s="577"/>
      <c r="P86" s="574"/>
      <c r="Q86" s="576"/>
      <c r="R86" s="577"/>
      <c r="S86" s="574"/>
      <c r="T86" s="576"/>
      <c r="U86" s="577"/>
      <c r="V86" s="574"/>
      <c r="W86" s="576"/>
      <c r="X86" s="577"/>
      <c r="Y86" s="574"/>
    </row>
    <row r="87" ht="14.25" customHeight="1">
      <c r="A87" s="579" t="s">
        <v>150</v>
      </c>
      <c r="B87" s="583"/>
      <c r="C87" s="581"/>
      <c r="D87" s="582">
        <v>175905.9000000006</v>
      </c>
      <c r="E87" s="583"/>
      <c r="F87" s="581"/>
      <c r="G87" s="582">
        <v>145526.2599999988</v>
      </c>
      <c r="H87" s="583"/>
      <c r="I87" s="581"/>
      <c r="J87" s="582">
        <v>384680.70999999857</v>
      </c>
      <c r="K87" s="583"/>
      <c r="L87" s="581"/>
      <c r="M87" s="582">
        <v>199749.88999999868</v>
      </c>
      <c r="N87" s="583"/>
      <c r="O87" s="581"/>
      <c r="P87" s="582">
        <v>281486.5499999976</v>
      </c>
      <c r="Q87" s="583"/>
      <c r="R87" s="581"/>
      <c r="S87" s="582">
        <v>246174.72000000332</v>
      </c>
      <c r="T87" s="583"/>
      <c r="U87" s="581"/>
      <c r="V87" s="582">
        <v>109264.69999999943</v>
      </c>
      <c r="W87" s="583"/>
      <c r="X87" s="581"/>
      <c r="Y87" s="582">
        <v>121672.00999999931</v>
      </c>
    </row>
    <row r="88" ht="14.25" customHeight="1">
      <c r="A88" s="110"/>
      <c r="B88" s="586"/>
      <c r="C88" s="110"/>
      <c r="D88" s="587"/>
      <c r="E88" s="586"/>
      <c r="F88" s="110"/>
      <c r="G88" s="587"/>
      <c r="H88" s="586"/>
      <c r="I88" s="110"/>
      <c r="J88" s="587"/>
      <c r="K88" s="586"/>
      <c r="L88" s="110"/>
      <c r="M88" s="587"/>
      <c r="N88" s="586"/>
      <c r="O88" s="110"/>
      <c r="P88" s="587"/>
      <c r="Q88" s="586"/>
      <c r="R88" s="110"/>
      <c r="S88" s="587"/>
      <c r="T88" s="586"/>
      <c r="U88" s="110"/>
      <c r="V88" s="587"/>
      <c r="W88" s="586"/>
      <c r="X88" s="110"/>
      <c r="Y88" s="587"/>
    </row>
    <row r="89" ht="14.25" customHeight="1">
      <c r="A89" s="110"/>
      <c r="B89" s="110"/>
      <c r="C89" s="110"/>
      <c r="D89" s="110"/>
      <c r="E89" s="110"/>
      <c r="F89" s="110"/>
      <c r="G89" s="110"/>
      <c r="H89" s="110"/>
      <c r="I89" s="110"/>
      <c r="J89" s="110"/>
      <c r="K89" s="110"/>
      <c r="L89" s="110"/>
      <c r="M89" s="110"/>
      <c r="N89" s="110"/>
      <c r="O89" s="110"/>
      <c r="P89" s="110"/>
      <c r="Q89" s="110"/>
      <c r="R89" s="110"/>
      <c r="S89" s="110"/>
      <c r="T89" s="110"/>
      <c r="U89" s="110"/>
      <c r="V89" s="110"/>
      <c r="W89" s="110"/>
      <c r="X89" s="110"/>
      <c r="Y89" s="110"/>
    </row>
    <row r="90" ht="14.25" customHeight="1">
      <c r="A90" s="40"/>
      <c r="B90" s="40"/>
      <c r="C90" s="40"/>
      <c r="D90" s="40"/>
      <c r="E90" s="40"/>
      <c r="F90" s="40"/>
      <c r="G90" s="40"/>
      <c r="H90" s="40"/>
      <c r="I90" s="40"/>
      <c r="J90" s="40"/>
      <c r="K90" s="40"/>
      <c r="L90" s="40"/>
      <c r="M90" s="40"/>
      <c r="N90" s="40"/>
      <c r="O90" s="40"/>
      <c r="P90" s="40"/>
      <c r="Q90" s="40"/>
      <c r="R90" s="40"/>
      <c r="S90" s="40"/>
      <c r="T90" s="40"/>
      <c r="U90" s="40"/>
      <c r="V90" s="40"/>
      <c r="W90" s="40"/>
      <c r="X90" s="40"/>
      <c r="Y90" s="40"/>
    </row>
    <row r="91" ht="14.25" customHeight="1">
      <c r="A91" s="450" t="s">
        <v>1</v>
      </c>
      <c r="B91" s="450"/>
      <c r="C91" s="453" t="s">
        <v>151</v>
      </c>
      <c r="D91" s="451"/>
      <c r="E91" s="450"/>
      <c r="F91" s="453" t="s">
        <v>151</v>
      </c>
      <c r="G91" s="451"/>
      <c r="H91" s="450"/>
      <c r="I91" s="453" t="s">
        <v>151</v>
      </c>
      <c r="J91" s="451"/>
      <c r="K91" s="450"/>
      <c r="L91" s="453" t="s">
        <v>151</v>
      </c>
      <c r="M91" s="451"/>
      <c r="N91" s="450"/>
      <c r="O91" s="453" t="s">
        <v>151</v>
      </c>
      <c r="P91" s="451"/>
      <c r="Q91" s="450"/>
      <c r="R91" s="453" t="s">
        <v>151</v>
      </c>
      <c r="S91" s="451"/>
      <c r="T91" s="450"/>
      <c r="U91" s="453" t="s">
        <v>151</v>
      </c>
      <c r="V91" s="451"/>
      <c r="W91" s="450"/>
      <c r="X91" s="453" t="s">
        <v>151</v>
      </c>
      <c r="Y91" s="451"/>
    </row>
    <row r="92" ht="14.25" customHeight="1">
      <c r="A92" s="39"/>
      <c r="B92" s="40"/>
      <c r="C92" s="40"/>
      <c r="D92" s="40"/>
      <c r="E92" s="40"/>
      <c r="F92" s="40"/>
      <c r="G92" s="40"/>
      <c r="H92" s="40"/>
      <c r="I92" s="40"/>
      <c r="J92" s="40"/>
      <c r="K92" s="40"/>
      <c r="L92" s="40"/>
      <c r="M92" s="40"/>
      <c r="N92" s="40"/>
      <c r="O92" s="40"/>
      <c r="P92" s="40"/>
      <c r="Q92" s="40"/>
      <c r="R92" s="40"/>
      <c r="S92" s="40"/>
      <c r="T92" s="40"/>
      <c r="U92" s="40"/>
      <c r="V92" s="40"/>
      <c r="W92" s="40"/>
      <c r="X92" s="40"/>
      <c r="Y92" s="40"/>
    </row>
    <row r="93" ht="14.25" customHeight="1">
      <c r="A93" s="461"/>
      <c r="B93" s="910" t="s">
        <v>775</v>
      </c>
      <c r="C93" s="911"/>
      <c r="D93" s="912"/>
      <c r="E93" s="910" t="s">
        <v>775</v>
      </c>
      <c r="F93" s="911"/>
      <c r="G93" s="912"/>
      <c r="H93" s="910" t="s">
        <v>775</v>
      </c>
      <c r="I93" s="911"/>
      <c r="J93" s="912"/>
      <c r="K93" s="910" t="s">
        <v>775</v>
      </c>
      <c r="L93" s="911"/>
      <c r="M93" s="912"/>
      <c r="N93" s="910" t="s">
        <v>775</v>
      </c>
      <c r="O93" s="911"/>
      <c r="P93" s="912"/>
      <c r="Q93" s="910" t="s">
        <v>775</v>
      </c>
      <c r="R93" s="911"/>
      <c r="S93" s="912"/>
      <c r="T93" s="910" t="s">
        <v>775</v>
      </c>
      <c r="U93" s="911"/>
      <c r="V93" s="912"/>
      <c r="W93" s="910" t="s">
        <v>775</v>
      </c>
      <c r="X93" s="911"/>
      <c r="Y93" s="912"/>
    </row>
    <row r="94" ht="14.25" customHeight="1">
      <c r="A94" s="480"/>
      <c r="B94" s="470" t="s">
        <v>781</v>
      </c>
      <c r="C94" s="468" t="s">
        <v>94</v>
      </c>
      <c r="D94" s="469" t="s">
        <v>95</v>
      </c>
      <c r="E94" s="470" t="s">
        <v>781</v>
      </c>
      <c r="F94" s="468" t="s">
        <v>94</v>
      </c>
      <c r="G94" s="469" t="s">
        <v>95</v>
      </c>
      <c r="H94" s="470" t="s">
        <v>781</v>
      </c>
      <c r="I94" s="468" t="s">
        <v>94</v>
      </c>
      <c r="J94" s="469" t="s">
        <v>95</v>
      </c>
      <c r="K94" s="470" t="s">
        <v>781</v>
      </c>
      <c r="L94" s="468" t="s">
        <v>94</v>
      </c>
      <c r="M94" s="469" t="s">
        <v>95</v>
      </c>
      <c r="N94" s="470" t="s">
        <v>781</v>
      </c>
      <c r="O94" s="468" t="s">
        <v>94</v>
      </c>
      <c r="P94" s="469" t="s">
        <v>95</v>
      </c>
      <c r="Q94" s="470" t="s">
        <v>781</v>
      </c>
      <c r="R94" s="468" t="s">
        <v>94</v>
      </c>
      <c r="S94" s="469" t="s">
        <v>95</v>
      </c>
      <c r="T94" s="470" t="s">
        <v>781</v>
      </c>
      <c r="U94" s="468" t="s">
        <v>94</v>
      </c>
      <c r="V94" s="469" t="s">
        <v>95</v>
      </c>
      <c r="W94" s="470" t="s">
        <v>781</v>
      </c>
      <c r="X94" s="468" t="s">
        <v>94</v>
      </c>
      <c r="Y94" s="469" t="s">
        <v>95</v>
      </c>
    </row>
    <row r="95" ht="14.25" customHeight="1">
      <c r="A95" s="471" t="s">
        <v>96</v>
      </c>
      <c r="B95" s="471"/>
      <c r="C95" s="513"/>
      <c r="D95" s="476">
        <v>2709460.82</v>
      </c>
      <c r="E95" s="471"/>
      <c r="F95" s="513"/>
      <c r="G95" s="476">
        <v>2119689.46</v>
      </c>
      <c r="H95" s="471"/>
      <c r="I95" s="513"/>
      <c r="J95" s="476">
        <v>4076128.67</v>
      </c>
      <c r="K95" s="471"/>
      <c r="L95" s="513"/>
      <c r="M95" s="476">
        <v>4065941.1099999994</v>
      </c>
      <c r="N95" s="471"/>
      <c r="O95" s="513"/>
      <c r="P95" s="476">
        <v>-4162969.469999999</v>
      </c>
      <c r="Q95" s="471"/>
      <c r="R95" s="513"/>
      <c r="S95" s="476">
        <v>1516554.2900000007</v>
      </c>
      <c r="T95" s="471"/>
      <c r="U95" s="513"/>
      <c r="V95" s="476">
        <v>1470640.9100000001</v>
      </c>
      <c r="W95" s="471"/>
      <c r="X95" s="513"/>
      <c r="Y95" s="476">
        <v>2038487.749999999</v>
      </c>
    </row>
    <row r="96" ht="14.25" customHeight="1">
      <c r="A96" s="480" t="s">
        <v>152</v>
      </c>
      <c r="B96" s="482">
        <v>0.0</v>
      </c>
      <c r="C96" s="483">
        <v>0.0</v>
      </c>
      <c r="D96" s="484">
        <v>0.0</v>
      </c>
      <c r="E96" s="482">
        <v>0.0</v>
      </c>
      <c r="F96" s="483">
        <v>0.0</v>
      </c>
      <c r="G96" s="484">
        <v>0.0</v>
      </c>
      <c r="H96" s="482">
        <v>0.0</v>
      </c>
      <c r="I96" s="483">
        <v>0.0</v>
      </c>
      <c r="J96" s="484">
        <v>0.0</v>
      </c>
      <c r="K96" s="482">
        <v>0.0</v>
      </c>
      <c r="L96" s="483">
        <v>0.0</v>
      </c>
      <c r="M96" s="484">
        <v>0.0</v>
      </c>
      <c r="N96" s="482">
        <v>0.0</v>
      </c>
      <c r="O96" s="483">
        <v>0.0</v>
      </c>
      <c r="P96" s="484">
        <v>0.0</v>
      </c>
      <c r="Q96" s="482">
        <v>0.0</v>
      </c>
      <c r="R96" s="483">
        <v>0.0</v>
      </c>
      <c r="S96" s="484">
        <v>0.0</v>
      </c>
      <c r="T96" s="482">
        <v>0.0</v>
      </c>
      <c r="U96" s="483">
        <v>0.0</v>
      </c>
      <c r="V96" s="484">
        <v>0.0</v>
      </c>
      <c r="W96" s="482">
        <v>0.0</v>
      </c>
      <c r="X96" s="483">
        <v>0.0</v>
      </c>
      <c r="Y96" s="484">
        <v>0.0</v>
      </c>
    </row>
    <row r="97" ht="14.25" customHeight="1">
      <c r="A97" s="480" t="s">
        <v>153</v>
      </c>
      <c r="B97" s="482">
        <v>17.0</v>
      </c>
      <c r="C97" s="483">
        <v>2095.6164705882343</v>
      </c>
      <c r="D97" s="484">
        <v>35625.47999999998</v>
      </c>
      <c r="E97" s="482">
        <v>9.0</v>
      </c>
      <c r="F97" s="483">
        <v>919.4866666666671</v>
      </c>
      <c r="G97" s="484">
        <v>8275.380000000005</v>
      </c>
      <c r="H97" s="482">
        <v>20.0</v>
      </c>
      <c r="I97" s="483">
        <v>1005.1015000000014</v>
      </c>
      <c r="J97" s="484">
        <v>20102.030000000028</v>
      </c>
      <c r="K97" s="482">
        <v>25.0</v>
      </c>
      <c r="L97" s="483">
        <v>1709.5128000000027</v>
      </c>
      <c r="M97" s="484">
        <v>42737.820000000065</v>
      </c>
      <c r="N97" s="482">
        <v>34.0</v>
      </c>
      <c r="O97" s="483">
        <v>1233.05205882353</v>
      </c>
      <c r="P97" s="484">
        <v>41923.77000000002</v>
      </c>
      <c r="Q97" s="482">
        <v>19.0</v>
      </c>
      <c r="R97" s="483">
        <v>1823.6394736842117</v>
      </c>
      <c r="S97" s="484">
        <v>34649.15000000002</v>
      </c>
      <c r="T97" s="482">
        <v>23.0</v>
      </c>
      <c r="U97" s="483">
        <v>645.7743478261045</v>
      </c>
      <c r="V97" s="484">
        <v>14852.810000000405</v>
      </c>
      <c r="W97" s="482">
        <v>24.0</v>
      </c>
      <c r="X97" s="483">
        <v>575.6516666666624</v>
      </c>
      <c r="Y97" s="484">
        <v>13815.639999999898</v>
      </c>
    </row>
    <row r="98" ht="14.25" customHeight="1">
      <c r="A98" s="480" t="s">
        <v>154</v>
      </c>
      <c r="B98" s="482">
        <v>0.0</v>
      </c>
      <c r="C98" s="513">
        <v>0.0</v>
      </c>
      <c r="D98" s="484">
        <v>0.0</v>
      </c>
      <c r="E98" s="482">
        <v>0.0</v>
      </c>
      <c r="F98" s="513">
        <v>0.0</v>
      </c>
      <c r="G98" s="484">
        <v>0.0</v>
      </c>
      <c r="H98" s="482">
        <v>0.0</v>
      </c>
      <c r="I98" s="513">
        <v>0.0</v>
      </c>
      <c r="J98" s="484">
        <v>0.0</v>
      </c>
      <c r="K98" s="482">
        <v>0.0</v>
      </c>
      <c r="L98" s="513">
        <v>0.0</v>
      </c>
      <c r="M98" s="484">
        <v>0.0</v>
      </c>
      <c r="N98" s="482">
        <v>0.0</v>
      </c>
      <c r="O98" s="513">
        <v>0.0</v>
      </c>
      <c r="P98" s="484">
        <v>0.0</v>
      </c>
      <c r="Q98" s="482">
        <v>0.0</v>
      </c>
      <c r="R98" s="513">
        <v>0.0</v>
      </c>
      <c r="S98" s="484">
        <v>0.0</v>
      </c>
      <c r="T98" s="482">
        <v>0.0</v>
      </c>
      <c r="U98" s="513">
        <v>0.0</v>
      </c>
      <c r="V98" s="484">
        <v>0.0</v>
      </c>
      <c r="W98" s="482">
        <v>0.0</v>
      </c>
      <c r="X98" s="513">
        <v>0.0</v>
      </c>
      <c r="Y98" s="484">
        <v>0.0</v>
      </c>
    </row>
    <row r="99" ht="14.25" customHeight="1">
      <c r="A99" s="490" t="s">
        <v>155</v>
      </c>
      <c r="B99" s="493">
        <v>17.0</v>
      </c>
      <c r="C99" s="503">
        <v>2095.6164705882343</v>
      </c>
      <c r="D99" s="497">
        <v>35625.47999999998</v>
      </c>
      <c r="E99" s="493">
        <v>9.0</v>
      </c>
      <c r="F99" s="503">
        <v>919.4866666666671</v>
      </c>
      <c r="G99" s="497">
        <v>8275.380000000005</v>
      </c>
      <c r="H99" s="493">
        <v>20.0</v>
      </c>
      <c r="I99" s="503">
        <v>1005.1015000000014</v>
      </c>
      <c r="J99" s="497">
        <v>20102.030000000028</v>
      </c>
      <c r="K99" s="493">
        <v>25.0</v>
      </c>
      <c r="L99" s="503">
        <v>1709.5128000000027</v>
      </c>
      <c r="M99" s="497">
        <v>42737.820000000065</v>
      </c>
      <c r="N99" s="493">
        <v>34.0</v>
      </c>
      <c r="O99" s="503">
        <v>1233.05205882353</v>
      </c>
      <c r="P99" s="497">
        <v>41923.77000000002</v>
      </c>
      <c r="Q99" s="493">
        <v>19.0</v>
      </c>
      <c r="R99" s="503">
        <v>1823.6394736842117</v>
      </c>
      <c r="S99" s="497">
        <v>34649.15000000002</v>
      </c>
      <c r="T99" s="493">
        <v>23.0</v>
      </c>
      <c r="U99" s="503">
        <v>645.7743478261045</v>
      </c>
      <c r="V99" s="497">
        <v>14852.810000000405</v>
      </c>
      <c r="W99" s="493">
        <v>24.0</v>
      </c>
      <c r="X99" s="503">
        <v>575.6516666666624</v>
      </c>
      <c r="Y99" s="497">
        <v>13815.639999999898</v>
      </c>
    </row>
    <row r="100" ht="14.25" customHeight="1">
      <c r="A100" s="500"/>
      <c r="B100" s="500"/>
      <c r="C100" s="503"/>
      <c r="D100" s="504"/>
      <c r="E100" s="500"/>
      <c r="F100" s="503"/>
      <c r="G100" s="504"/>
      <c r="H100" s="500"/>
      <c r="I100" s="503"/>
      <c r="J100" s="504"/>
      <c r="K100" s="500"/>
      <c r="L100" s="503"/>
      <c r="M100" s="504"/>
      <c r="N100" s="500"/>
      <c r="O100" s="503"/>
      <c r="P100" s="504"/>
      <c r="Q100" s="500"/>
      <c r="R100" s="503"/>
      <c r="S100" s="504"/>
      <c r="T100" s="500"/>
      <c r="U100" s="503"/>
      <c r="V100" s="504"/>
      <c r="W100" s="500"/>
      <c r="X100" s="503"/>
      <c r="Y100" s="504"/>
    </row>
    <row r="101" ht="14.25" customHeight="1">
      <c r="A101" s="500" t="s">
        <v>104</v>
      </c>
      <c r="B101" s="482">
        <v>0.0</v>
      </c>
      <c r="C101" s="483">
        <v>0.0</v>
      </c>
      <c r="D101" s="484">
        <v>0.0</v>
      </c>
      <c r="E101" s="482">
        <v>0.0</v>
      </c>
      <c r="F101" s="483">
        <v>0.0</v>
      </c>
      <c r="G101" s="484">
        <v>0.0</v>
      </c>
      <c r="H101" s="482">
        <v>0.0</v>
      </c>
      <c r="I101" s="483">
        <v>0.0</v>
      </c>
      <c r="J101" s="484">
        <v>0.0</v>
      </c>
      <c r="K101" s="482">
        <v>0.0</v>
      </c>
      <c r="L101" s="483">
        <v>0.0</v>
      </c>
      <c r="M101" s="484">
        <v>0.0</v>
      </c>
      <c r="N101" s="482">
        <v>0.0</v>
      </c>
      <c r="O101" s="483">
        <v>0.0</v>
      </c>
      <c r="P101" s="484">
        <v>0.0</v>
      </c>
      <c r="Q101" s="482"/>
      <c r="R101" s="483">
        <v>0.0</v>
      </c>
      <c r="S101" s="484">
        <v>0.0</v>
      </c>
      <c r="T101" s="482"/>
      <c r="U101" s="483">
        <v>0.0</v>
      </c>
      <c r="V101" s="484">
        <v>0.0</v>
      </c>
      <c r="W101" s="482"/>
      <c r="X101" s="483">
        <v>0.0</v>
      </c>
      <c r="Y101" s="484">
        <v>0.0</v>
      </c>
    </row>
    <row r="102" ht="14.25" customHeight="1">
      <c r="A102" s="500"/>
      <c r="B102" s="482"/>
      <c r="C102" s="483"/>
      <c r="D102" s="484"/>
      <c r="E102" s="482"/>
      <c r="F102" s="483"/>
      <c r="G102" s="484"/>
      <c r="H102" s="482"/>
      <c r="I102" s="483"/>
      <c r="J102" s="484"/>
      <c r="K102" s="482"/>
      <c r="L102" s="483"/>
      <c r="M102" s="484"/>
      <c r="N102" s="482"/>
      <c r="O102" s="483"/>
      <c r="P102" s="484"/>
      <c r="Q102" s="482"/>
      <c r="R102" s="483"/>
      <c r="S102" s="484"/>
      <c r="T102" s="482"/>
      <c r="U102" s="483"/>
      <c r="V102" s="484"/>
      <c r="W102" s="482"/>
      <c r="X102" s="483"/>
      <c r="Y102" s="484"/>
    </row>
    <row r="103" ht="14.25" customHeight="1">
      <c r="A103" s="500" t="s">
        <v>156</v>
      </c>
      <c r="B103" s="482">
        <v>61.0</v>
      </c>
      <c r="C103" s="483">
        <v>798.5404918032744</v>
      </c>
      <c r="D103" s="484">
        <v>48710.96999999974</v>
      </c>
      <c r="E103" s="482">
        <v>63.0</v>
      </c>
      <c r="F103" s="483">
        <v>1384.2646031746094</v>
      </c>
      <c r="G103" s="484">
        <v>87208.67000000039</v>
      </c>
      <c r="H103" s="482">
        <v>122.0</v>
      </c>
      <c r="I103" s="483">
        <v>774.5259836065644</v>
      </c>
      <c r="J103" s="484">
        <v>94492.17000000086</v>
      </c>
      <c r="K103" s="482">
        <v>108.0</v>
      </c>
      <c r="L103" s="483">
        <v>836.1735185185033</v>
      </c>
      <c r="M103" s="484">
        <v>90306.73999999836</v>
      </c>
      <c r="N103" s="482">
        <v>-211.0</v>
      </c>
      <c r="O103" s="483">
        <v>977.7548815165801</v>
      </c>
      <c r="P103" s="484">
        <v>-206306.2799999984</v>
      </c>
      <c r="Q103" s="482">
        <v>30.0</v>
      </c>
      <c r="R103" s="483">
        <v>-313.75166666664495</v>
      </c>
      <c r="S103" s="484">
        <v>-9412.549999999348</v>
      </c>
      <c r="T103" s="482">
        <v>21.0</v>
      </c>
      <c r="U103" s="483">
        <v>905.660000000016</v>
      </c>
      <c r="V103" s="484">
        <v>19018.860000000335</v>
      </c>
      <c r="W103" s="482">
        <v>35.0</v>
      </c>
      <c r="X103" s="483">
        <v>-476.818857142878</v>
      </c>
      <c r="Y103" s="484">
        <v>-16688.66000000073</v>
      </c>
    </row>
    <row r="104" ht="14.25" customHeight="1">
      <c r="A104" s="471"/>
      <c r="B104" s="512"/>
      <c r="C104" s="513"/>
      <c r="D104" s="476"/>
      <c r="E104" s="512"/>
      <c r="F104" s="513"/>
      <c r="G104" s="476"/>
      <c r="H104" s="512"/>
      <c r="I104" s="513"/>
      <c r="J104" s="476"/>
      <c r="K104" s="512"/>
      <c r="L104" s="513"/>
      <c r="M104" s="476"/>
      <c r="N104" s="512"/>
      <c r="O104" s="513"/>
      <c r="P104" s="476"/>
      <c r="Q104" s="512"/>
      <c r="R104" s="513"/>
      <c r="S104" s="476"/>
      <c r="T104" s="512"/>
      <c r="U104" s="513"/>
      <c r="V104" s="476"/>
      <c r="W104" s="512"/>
      <c r="X104" s="513"/>
      <c r="Y104" s="476"/>
    </row>
    <row r="105" ht="14.25" customHeight="1">
      <c r="A105" s="480" t="s">
        <v>105</v>
      </c>
      <c r="B105" s="482"/>
      <c r="C105" s="483">
        <v>407.80823529411765</v>
      </c>
      <c r="D105" s="484">
        <v>6932.74</v>
      </c>
      <c r="E105" s="482"/>
      <c r="F105" s="483">
        <v>668.0211111111112</v>
      </c>
      <c r="G105" s="484">
        <v>6012.1900000000005</v>
      </c>
      <c r="H105" s="482"/>
      <c r="I105" s="483">
        <v>612.1955</v>
      </c>
      <c r="J105" s="484">
        <v>12243.91</v>
      </c>
      <c r="K105" s="482"/>
      <c r="L105" s="483">
        <v>367.80999999999983</v>
      </c>
      <c r="M105" s="484">
        <v>9195.249999999996</v>
      </c>
      <c r="N105" s="482"/>
      <c r="O105" s="483">
        <v>260.41764705882366</v>
      </c>
      <c r="P105" s="484">
        <v>8854.200000000004</v>
      </c>
      <c r="Q105" s="482"/>
      <c r="R105" s="483">
        <v>116.95789473684195</v>
      </c>
      <c r="S105" s="484">
        <v>2222.199999999997</v>
      </c>
      <c r="T105" s="482"/>
      <c r="U105" s="483">
        <v>738.695652173913</v>
      </c>
      <c r="V105" s="484">
        <v>16990.0</v>
      </c>
      <c r="W105" s="482"/>
      <c r="X105" s="483">
        <v>639.0875</v>
      </c>
      <c r="Y105" s="484">
        <v>15338.099999999999</v>
      </c>
    </row>
    <row r="106" ht="14.25" customHeight="1">
      <c r="A106" s="480" t="s">
        <v>106</v>
      </c>
      <c r="B106" s="482"/>
      <c r="C106" s="483">
        <v>912.4535294117644</v>
      </c>
      <c r="D106" s="484">
        <v>15511.709999999995</v>
      </c>
      <c r="E106" s="482"/>
      <c r="F106" s="483">
        <v>567.2488888888895</v>
      </c>
      <c r="G106" s="484">
        <v>5105.240000000005</v>
      </c>
      <c r="H106" s="482"/>
      <c r="I106" s="483">
        <v>502.45500000000004</v>
      </c>
      <c r="J106" s="484">
        <v>10049.1</v>
      </c>
      <c r="K106" s="482"/>
      <c r="L106" s="483">
        <v>591.8247999999995</v>
      </c>
      <c r="M106" s="484">
        <v>14795.619999999988</v>
      </c>
      <c r="N106" s="482"/>
      <c r="O106" s="483">
        <v>390.41176470588255</v>
      </c>
      <c r="P106" s="484">
        <v>13274.000000000007</v>
      </c>
      <c r="Q106" s="482"/>
      <c r="R106" s="483">
        <v>642.894736842106</v>
      </c>
      <c r="S106" s="484">
        <v>12215.000000000015</v>
      </c>
      <c r="T106" s="482"/>
      <c r="U106" s="483">
        <v>124.43478260869566</v>
      </c>
      <c r="V106" s="484">
        <v>2862.0</v>
      </c>
      <c r="W106" s="482"/>
      <c r="X106" s="483">
        <v>484.4820833333333</v>
      </c>
      <c r="Y106" s="484">
        <v>11627.57</v>
      </c>
    </row>
    <row r="107" ht="14.25" customHeight="1">
      <c r="A107" s="480" t="s">
        <v>107</v>
      </c>
      <c r="B107" s="482"/>
      <c r="C107" s="513">
        <v>0.0</v>
      </c>
      <c r="D107" s="484">
        <v>0.0</v>
      </c>
      <c r="E107" s="482"/>
      <c r="F107" s="513">
        <v>0.0</v>
      </c>
      <c r="G107" s="484">
        <v>0.0</v>
      </c>
      <c r="H107" s="482"/>
      <c r="I107" s="513">
        <v>0.0</v>
      </c>
      <c r="J107" s="484">
        <v>0.0</v>
      </c>
      <c r="K107" s="482"/>
      <c r="L107" s="513">
        <v>0.0</v>
      </c>
      <c r="M107" s="484">
        <v>0.0</v>
      </c>
      <c r="N107" s="482"/>
      <c r="O107" s="513">
        <v>0.0</v>
      </c>
      <c r="P107" s="484">
        <v>0.0</v>
      </c>
      <c r="Q107" s="482"/>
      <c r="R107" s="513">
        <v>0.0</v>
      </c>
      <c r="S107" s="484">
        <v>0.0</v>
      </c>
      <c r="T107" s="482"/>
      <c r="U107" s="513">
        <v>0.0</v>
      </c>
      <c r="V107" s="484">
        <v>0.0</v>
      </c>
      <c r="W107" s="482"/>
      <c r="X107" s="513">
        <v>0.0</v>
      </c>
      <c r="Y107" s="484">
        <v>0.0</v>
      </c>
    </row>
    <row r="108" ht="14.25" customHeight="1">
      <c r="A108" s="490" t="s">
        <v>108</v>
      </c>
      <c r="B108" s="493">
        <v>17.0</v>
      </c>
      <c r="C108" s="495">
        <v>1320.2617647058821</v>
      </c>
      <c r="D108" s="497">
        <v>22444.449999999997</v>
      </c>
      <c r="E108" s="493">
        <v>9.0</v>
      </c>
      <c r="F108" s="495">
        <v>1235.2700000000007</v>
      </c>
      <c r="G108" s="497">
        <v>11117.430000000006</v>
      </c>
      <c r="H108" s="493">
        <v>20.0</v>
      </c>
      <c r="I108" s="495">
        <v>1114.6505000000002</v>
      </c>
      <c r="J108" s="497">
        <v>22293.010000000002</v>
      </c>
      <c r="K108" s="493">
        <v>25.0</v>
      </c>
      <c r="L108" s="495">
        <v>959.6347999999994</v>
      </c>
      <c r="M108" s="497">
        <v>23990.869999999984</v>
      </c>
      <c r="N108" s="493">
        <v>34.0</v>
      </c>
      <c r="O108" s="495">
        <v>650.8294117647063</v>
      </c>
      <c r="P108" s="497">
        <v>22128.20000000001</v>
      </c>
      <c r="Q108" s="493">
        <v>19.0</v>
      </c>
      <c r="R108" s="495">
        <v>759.852631578948</v>
      </c>
      <c r="S108" s="497">
        <v>14437.200000000012</v>
      </c>
      <c r="T108" s="493">
        <v>23.0</v>
      </c>
      <c r="U108" s="495">
        <v>863.1304347826087</v>
      </c>
      <c r="V108" s="497">
        <v>19852.0</v>
      </c>
      <c r="W108" s="493">
        <v>24.0</v>
      </c>
      <c r="X108" s="495">
        <v>1123.5695833333332</v>
      </c>
      <c r="Y108" s="497">
        <v>26965.67</v>
      </c>
    </row>
    <row r="109" ht="14.25" customHeight="1">
      <c r="A109" s="500"/>
      <c r="B109" s="500"/>
      <c r="C109" s="503"/>
      <c r="D109" s="504"/>
      <c r="E109" s="500"/>
      <c r="F109" s="503"/>
      <c r="G109" s="504"/>
      <c r="H109" s="500"/>
      <c r="I109" s="503"/>
      <c r="J109" s="504"/>
      <c r="K109" s="500"/>
      <c r="L109" s="503"/>
      <c r="M109" s="504"/>
      <c r="N109" s="500"/>
      <c r="O109" s="503"/>
      <c r="P109" s="504"/>
      <c r="Q109" s="500"/>
      <c r="R109" s="503"/>
      <c r="S109" s="504"/>
      <c r="T109" s="500"/>
      <c r="U109" s="503"/>
      <c r="V109" s="504"/>
      <c r="W109" s="500"/>
      <c r="X109" s="503"/>
      <c r="Y109" s="504"/>
    </row>
    <row r="110" ht="14.25" customHeight="1">
      <c r="A110" s="480"/>
      <c r="B110" s="480"/>
      <c r="C110" s="483"/>
      <c r="D110" s="484"/>
      <c r="E110" s="480"/>
      <c r="F110" s="483"/>
      <c r="G110" s="484"/>
      <c r="H110" s="480"/>
      <c r="I110" s="483"/>
      <c r="J110" s="484"/>
      <c r="K110" s="480"/>
      <c r="L110" s="483"/>
      <c r="M110" s="484"/>
      <c r="N110" s="480"/>
      <c r="O110" s="483"/>
      <c r="P110" s="484"/>
      <c r="Q110" s="480"/>
      <c r="R110" s="483"/>
      <c r="S110" s="484"/>
      <c r="T110" s="480"/>
      <c r="U110" s="483"/>
      <c r="V110" s="484"/>
      <c r="W110" s="480"/>
      <c r="X110" s="483"/>
      <c r="Y110" s="484"/>
    </row>
    <row r="111" ht="14.25" customHeight="1">
      <c r="A111" s="526" t="s">
        <v>157</v>
      </c>
      <c r="B111" s="530">
        <v>78.0</v>
      </c>
      <c r="C111" s="527">
        <v>1368.9858974358938</v>
      </c>
      <c r="D111" s="529">
        <v>106780.89999999972</v>
      </c>
      <c r="E111" s="530">
        <v>72.0</v>
      </c>
      <c r="F111" s="527">
        <v>1480.5761111111167</v>
      </c>
      <c r="G111" s="529">
        <v>106601.4800000004</v>
      </c>
      <c r="H111" s="530">
        <v>142.0</v>
      </c>
      <c r="I111" s="527">
        <v>963.9944366197246</v>
      </c>
      <c r="J111" s="529">
        <v>136887.2100000009</v>
      </c>
      <c r="K111" s="530">
        <v>133.0</v>
      </c>
      <c r="L111" s="527">
        <v>1180.7175187969806</v>
      </c>
      <c r="M111" s="529">
        <v>157035.42999999842</v>
      </c>
      <c r="N111" s="530">
        <v>-177.0</v>
      </c>
      <c r="O111" s="527">
        <v>0.0</v>
      </c>
      <c r="P111" s="529">
        <v>-142254.30999999837</v>
      </c>
      <c r="Q111" s="530">
        <v>49.0</v>
      </c>
      <c r="R111" s="527">
        <v>809.6693877551161</v>
      </c>
      <c r="S111" s="529">
        <v>39673.80000000069</v>
      </c>
      <c r="T111" s="530">
        <v>44.0</v>
      </c>
      <c r="U111" s="527">
        <v>1220.992500000017</v>
      </c>
      <c r="V111" s="529">
        <v>53723.67000000074</v>
      </c>
      <c r="W111" s="530">
        <v>59.0</v>
      </c>
      <c r="X111" s="527">
        <v>408.34999999998587</v>
      </c>
      <c r="Y111" s="529">
        <v>24092.649999999165</v>
      </c>
    </row>
    <row r="112" ht="14.25" customHeight="1">
      <c r="A112" s="531"/>
      <c r="B112" s="531"/>
      <c r="C112" s="534"/>
      <c r="D112" s="535"/>
      <c r="E112" s="531"/>
      <c r="F112" s="534"/>
      <c r="G112" s="535"/>
      <c r="H112" s="531"/>
      <c r="I112" s="534"/>
      <c r="J112" s="535"/>
      <c r="K112" s="531"/>
      <c r="L112" s="534"/>
      <c r="M112" s="535"/>
      <c r="N112" s="531"/>
      <c r="O112" s="534"/>
      <c r="P112" s="535"/>
      <c r="Q112" s="531"/>
      <c r="R112" s="534"/>
      <c r="S112" s="535"/>
      <c r="T112" s="531"/>
      <c r="U112" s="534"/>
      <c r="V112" s="535"/>
      <c r="W112" s="531"/>
      <c r="X112" s="534"/>
      <c r="Y112" s="535"/>
    </row>
    <row r="113" ht="14.25" customHeight="1">
      <c r="A113" s="500"/>
      <c r="B113" s="500"/>
      <c r="C113" s="503"/>
      <c r="D113" s="504"/>
      <c r="E113" s="500"/>
      <c r="F113" s="503"/>
      <c r="G113" s="504"/>
      <c r="H113" s="500"/>
      <c r="I113" s="503"/>
      <c r="J113" s="504"/>
      <c r="K113" s="500"/>
      <c r="L113" s="503"/>
      <c r="M113" s="504"/>
      <c r="N113" s="500"/>
      <c r="O113" s="503"/>
      <c r="P113" s="504"/>
      <c r="Q113" s="500"/>
      <c r="R113" s="503"/>
      <c r="S113" s="504"/>
      <c r="T113" s="500"/>
      <c r="U113" s="503"/>
      <c r="V113" s="504"/>
      <c r="W113" s="500"/>
      <c r="X113" s="503"/>
      <c r="Y113" s="504"/>
    </row>
    <row r="114" ht="14.25" customHeight="1">
      <c r="A114" s="541" t="s">
        <v>110</v>
      </c>
      <c r="B114" s="480"/>
      <c r="C114" s="542"/>
      <c r="D114" s="484"/>
      <c r="E114" s="480"/>
      <c r="F114" s="542"/>
      <c r="G114" s="484"/>
      <c r="H114" s="480"/>
      <c r="I114" s="542"/>
      <c r="J114" s="484"/>
      <c r="K114" s="480"/>
      <c r="L114" s="542"/>
      <c r="M114" s="484"/>
      <c r="N114" s="480"/>
      <c r="O114" s="542"/>
      <c r="P114" s="484"/>
      <c r="Q114" s="480"/>
      <c r="R114" s="542"/>
      <c r="S114" s="484"/>
      <c r="T114" s="480"/>
      <c r="U114" s="542"/>
      <c r="V114" s="484"/>
      <c r="W114" s="480"/>
      <c r="X114" s="542"/>
      <c r="Y114" s="484"/>
    </row>
    <row r="115" ht="14.25" customHeight="1">
      <c r="A115" s="480" t="s">
        <v>111</v>
      </c>
      <c r="B115" s="515">
        <v>0.3281544557434737</v>
      </c>
      <c r="C115" s="483">
        <v>687.6858823529411</v>
      </c>
      <c r="D115" s="484">
        <v>11690.66</v>
      </c>
      <c r="E115" s="515">
        <v>0.8566132310540416</v>
      </c>
      <c r="F115" s="483">
        <v>787.6444444444444</v>
      </c>
      <c r="G115" s="484">
        <v>7088.799999999999</v>
      </c>
      <c r="H115" s="515">
        <v>0.654629408074706</v>
      </c>
      <c r="I115" s="483">
        <v>657.969</v>
      </c>
      <c r="J115" s="484">
        <v>13159.380000000001</v>
      </c>
      <c r="K115" s="515">
        <v>0.3944932146749642</v>
      </c>
      <c r="L115" s="483">
        <v>674.3912000000001</v>
      </c>
      <c r="M115" s="484">
        <v>16859.780000000002</v>
      </c>
      <c r="N115" s="515">
        <v>0.3520546935545156</v>
      </c>
      <c r="O115" s="483">
        <v>434.1017647058823</v>
      </c>
      <c r="P115" s="484">
        <v>14759.46</v>
      </c>
      <c r="Q115" s="515">
        <v>0.3227230682426551</v>
      </c>
      <c r="R115" s="483">
        <v>588.5305263157895</v>
      </c>
      <c r="S115" s="484">
        <v>11182.080000000002</v>
      </c>
      <c r="T115" s="515">
        <v>0.448322573304298</v>
      </c>
      <c r="U115" s="483">
        <v>289.51521739130396</v>
      </c>
      <c r="V115" s="484">
        <v>6658.849999999991</v>
      </c>
      <c r="W115" s="515">
        <v>0.1713818541884428</v>
      </c>
      <c r="X115" s="483">
        <v>98.65625</v>
      </c>
      <c r="Y115" s="484">
        <v>2367.75</v>
      </c>
    </row>
    <row r="116" ht="14.25" customHeight="1">
      <c r="A116" s="471" t="s">
        <v>112</v>
      </c>
      <c r="B116" s="545">
        <v>0.29292987798765396</v>
      </c>
      <c r="C116" s="513">
        <v>386.74411764705883</v>
      </c>
      <c r="D116" s="484">
        <v>6574.65</v>
      </c>
      <c r="E116" s="545">
        <v>0.2456772833289708</v>
      </c>
      <c r="F116" s="513">
        <v>303.4777777777779</v>
      </c>
      <c r="G116" s="484">
        <v>2731.300000000001</v>
      </c>
      <c r="H116" s="545">
        <v>0.20877710098367147</v>
      </c>
      <c r="I116" s="513">
        <v>232.71349999999993</v>
      </c>
      <c r="J116" s="484">
        <v>4654.269999999999</v>
      </c>
      <c r="K116" s="545">
        <v>0.31808642204305243</v>
      </c>
      <c r="L116" s="513">
        <v>305.2468</v>
      </c>
      <c r="M116" s="484">
        <v>7631.17</v>
      </c>
      <c r="N116" s="545">
        <v>0.26383393136359934</v>
      </c>
      <c r="O116" s="513">
        <v>171.71088235294124</v>
      </c>
      <c r="P116" s="484">
        <v>5838.170000000002</v>
      </c>
      <c r="Q116" s="545">
        <v>0.31121685645415975</v>
      </c>
      <c r="R116" s="513">
        <v>236.478947368421</v>
      </c>
      <c r="S116" s="484">
        <v>4493.0999999999985</v>
      </c>
      <c r="T116" s="545">
        <v>0.24135401974612114</v>
      </c>
      <c r="U116" s="513">
        <v>208.31999999999988</v>
      </c>
      <c r="V116" s="484">
        <v>4791.359999999997</v>
      </c>
      <c r="W116" s="545">
        <v>0.2135763732182439</v>
      </c>
      <c r="X116" s="513">
        <v>239.9679166666668</v>
      </c>
      <c r="Y116" s="484">
        <v>5759.230000000003</v>
      </c>
    </row>
    <row r="117" ht="14.25" customHeight="1">
      <c r="A117" s="480" t="s">
        <v>113</v>
      </c>
      <c r="B117" s="480"/>
      <c r="C117" s="483">
        <v>-600.0694117647059</v>
      </c>
      <c r="D117" s="523">
        <v>-10201.18</v>
      </c>
      <c r="E117" s="480"/>
      <c r="F117" s="483">
        <v>67.34333333333335</v>
      </c>
      <c r="G117" s="523">
        <v>606.0900000000001</v>
      </c>
      <c r="H117" s="480"/>
      <c r="I117" s="483">
        <v>-104.00299999999997</v>
      </c>
      <c r="J117" s="523">
        <v>-2080.0599999999995</v>
      </c>
      <c r="K117" s="480"/>
      <c r="L117" s="483">
        <v>-487.5972000000001</v>
      </c>
      <c r="M117" s="523">
        <v>-12189.930000000002</v>
      </c>
      <c r="N117" s="480"/>
      <c r="O117" s="483">
        <v>-313.2667647058823</v>
      </c>
      <c r="P117" s="523">
        <v>-10651.069999999998</v>
      </c>
      <c r="Q117" s="480"/>
      <c r="R117" s="483">
        <v>-95.33210526315787</v>
      </c>
      <c r="S117" s="523">
        <v>-1811.3099999999995</v>
      </c>
      <c r="T117" s="480"/>
      <c r="U117" s="483">
        <v>-38.09608695652178</v>
      </c>
      <c r="V117" s="523">
        <v>-876.210000000001</v>
      </c>
      <c r="W117" s="480"/>
      <c r="X117" s="483">
        <v>9.267500000000004</v>
      </c>
      <c r="Y117" s="523">
        <v>222.42000000000007</v>
      </c>
    </row>
    <row r="118" ht="14.25" customHeight="1">
      <c r="A118" s="480" t="s">
        <v>114</v>
      </c>
      <c r="B118" s="480"/>
      <c r="C118" s="483">
        <v>153.89294117647057</v>
      </c>
      <c r="D118" s="484">
        <v>2616.18</v>
      </c>
      <c r="E118" s="480"/>
      <c r="F118" s="483">
        <v>0.0</v>
      </c>
      <c r="G118" s="484">
        <v>0.0</v>
      </c>
      <c r="H118" s="480"/>
      <c r="I118" s="483">
        <v>11.079000000000018</v>
      </c>
      <c r="J118" s="484">
        <v>221.58000000000038</v>
      </c>
      <c r="K118" s="480"/>
      <c r="L118" s="483">
        <v>37.79639999999999</v>
      </c>
      <c r="M118" s="484">
        <v>944.9099999999999</v>
      </c>
      <c r="N118" s="480"/>
      <c r="O118" s="483">
        <v>36.33029411764704</v>
      </c>
      <c r="P118" s="484">
        <v>1235.2299999999996</v>
      </c>
      <c r="Q118" s="480"/>
      <c r="R118" s="483">
        <v>290.77368421052637</v>
      </c>
      <c r="S118" s="484">
        <v>5524.700000000001</v>
      </c>
      <c r="T118" s="480"/>
      <c r="U118" s="483">
        <v>34.93391304347824</v>
      </c>
      <c r="V118" s="484">
        <v>803.4799999999996</v>
      </c>
      <c r="W118" s="480"/>
      <c r="X118" s="483">
        <v>42.29583333333335</v>
      </c>
      <c r="Y118" s="484">
        <v>1015.1000000000004</v>
      </c>
    </row>
    <row r="119" ht="14.25" customHeight="1">
      <c r="A119" s="471" t="s">
        <v>115</v>
      </c>
      <c r="B119" s="471"/>
      <c r="C119" s="513">
        <v>0.0</v>
      </c>
      <c r="D119" s="476">
        <v>0.0</v>
      </c>
      <c r="E119" s="471"/>
      <c r="F119" s="513">
        <v>0.0</v>
      </c>
      <c r="G119" s="476">
        <v>0.0</v>
      </c>
      <c r="H119" s="471"/>
      <c r="I119" s="513">
        <v>0.0</v>
      </c>
      <c r="J119" s="476">
        <v>0.0</v>
      </c>
      <c r="K119" s="471"/>
      <c r="L119" s="513">
        <v>0.0</v>
      </c>
      <c r="M119" s="476">
        <v>0.0</v>
      </c>
      <c r="N119" s="471"/>
      <c r="O119" s="513">
        <v>0.0</v>
      </c>
      <c r="P119" s="476">
        <v>0.0</v>
      </c>
      <c r="Q119" s="471"/>
      <c r="R119" s="513">
        <v>0.0</v>
      </c>
      <c r="S119" s="476">
        <v>0.0</v>
      </c>
      <c r="T119" s="471"/>
      <c r="U119" s="513">
        <v>15.56</v>
      </c>
      <c r="V119" s="476">
        <v>357.88</v>
      </c>
      <c r="W119" s="471"/>
      <c r="X119" s="513">
        <v>3.6895833333333337</v>
      </c>
      <c r="Y119" s="476">
        <v>88.55000000000001</v>
      </c>
    </row>
    <row r="120" ht="14.25" customHeight="1">
      <c r="A120" s="480" t="s">
        <v>116</v>
      </c>
      <c r="B120" s="480"/>
      <c r="C120" s="483">
        <v>426.69000000000005</v>
      </c>
      <c r="D120" s="484">
        <v>7253.7300000000005</v>
      </c>
      <c r="E120" s="480"/>
      <c r="F120" s="483">
        <v>976.1844444444445</v>
      </c>
      <c r="G120" s="484">
        <v>8785.66</v>
      </c>
      <c r="H120" s="480"/>
      <c r="I120" s="483">
        <v>542.801</v>
      </c>
      <c r="J120" s="484">
        <v>10856.02</v>
      </c>
      <c r="K120" s="480"/>
      <c r="L120" s="483">
        <v>403.1000000000001</v>
      </c>
      <c r="M120" s="484">
        <v>10077.500000000002</v>
      </c>
      <c r="N120" s="480"/>
      <c r="O120" s="483">
        <v>119.12323529411763</v>
      </c>
      <c r="P120" s="484">
        <v>4050.1899999999996</v>
      </c>
      <c r="Q120" s="480"/>
      <c r="R120" s="483">
        <v>655.6252631578948</v>
      </c>
      <c r="S120" s="484">
        <v>12456.880000000001</v>
      </c>
      <c r="T120" s="480"/>
      <c r="U120" s="483">
        <v>521.3608695652174</v>
      </c>
      <c r="V120" s="484">
        <v>11991.3</v>
      </c>
      <c r="W120" s="480"/>
      <c r="X120" s="483">
        <v>224.73000000000005</v>
      </c>
      <c r="Y120" s="484">
        <v>5393.520000000001</v>
      </c>
    </row>
    <row r="121" ht="14.25" customHeight="1">
      <c r="A121" s="480" t="s">
        <v>117</v>
      </c>
      <c r="B121" s="480"/>
      <c r="C121" s="483">
        <v>2902.1494117647057</v>
      </c>
      <c r="D121" s="484">
        <v>49336.54</v>
      </c>
      <c r="E121" s="480"/>
      <c r="F121" s="483">
        <v>6408.723333333333</v>
      </c>
      <c r="G121" s="484">
        <v>57678.51</v>
      </c>
      <c r="H121" s="480"/>
      <c r="I121" s="483">
        <v>2628.1314999999995</v>
      </c>
      <c r="J121" s="484">
        <v>52562.62999999999</v>
      </c>
      <c r="K121" s="480"/>
      <c r="L121" s="483">
        <v>1351.1732000000006</v>
      </c>
      <c r="M121" s="484">
        <v>33779.330000000016</v>
      </c>
      <c r="N121" s="480"/>
      <c r="O121" s="483">
        <v>604.4320588235295</v>
      </c>
      <c r="P121" s="484">
        <v>20550.690000000002</v>
      </c>
      <c r="Q121" s="480"/>
      <c r="R121" s="483">
        <v>-349.1505263157903</v>
      </c>
      <c r="S121" s="484">
        <v>-6633.860000000015</v>
      </c>
      <c r="T121" s="480"/>
      <c r="U121" s="483">
        <v>77.02782608695713</v>
      </c>
      <c r="V121" s="484">
        <v>1771.640000000014</v>
      </c>
      <c r="W121" s="480"/>
      <c r="X121" s="483">
        <v>252.85499999999956</v>
      </c>
      <c r="Y121" s="484">
        <v>6068.5199999999895</v>
      </c>
    </row>
    <row r="122" ht="14.25" customHeight="1">
      <c r="A122" s="480" t="s">
        <v>813</v>
      </c>
      <c r="B122" s="480"/>
      <c r="C122" s="483">
        <v>0.0</v>
      </c>
      <c r="D122" s="484">
        <v>0.0</v>
      </c>
      <c r="E122" s="480"/>
      <c r="F122" s="483">
        <v>0.0</v>
      </c>
      <c r="G122" s="484">
        <v>0.0</v>
      </c>
      <c r="H122" s="480"/>
      <c r="I122" s="483">
        <v>0.0</v>
      </c>
      <c r="J122" s="484">
        <v>0.0</v>
      </c>
      <c r="K122" s="480"/>
      <c r="L122" s="483">
        <v>0.0</v>
      </c>
      <c r="M122" s="484">
        <v>0.0</v>
      </c>
      <c r="N122" s="480"/>
      <c r="O122" s="483">
        <v>0.0</v>
      </c>
      <c r="P122" s="484">
        <v>0.0</v>
      </c>
      <c r="Q122" s="480"/>
      <c r="R122" s="483">
        <v>0.0</v>
      </c>
      <c r="S122" s="484">
        <v>0.0</v>
      </c>
      <c r="T122" s="480"/>
      <c r="U122" s="483">
        <v>0.0</v>
      </c>
      <c r="V122" s="484">
        <v>0.0</v>
      </c>
      <c r="W122" s="480"/>
      <c r="X122" s="483">
        <v>0.0</v>
      </c>
      <c r="Y122" s="484">
        <v>0.0</v>
      </c>
    </row>
    <row r="123" ht="14.25" customHeight="1">
      <c r="A123" s="480" t="s">
        <v>814</v>
      </c>
      <c r="B123" s="480"/>
      <c r="C123" s="483">
        <v>0.0</v>
      </c>
      <c r="D123" s="484">
        <v>0.0</v>
      </c>
      <c r="E123" s="480"/>
      <c r="F123" s="483">
        <v>0.0</v>
      </c>
      <c r="G123" s="484">
        <v>0.0</v>
      </c>
      <c r="H123" s="480"/>
      <c r="I123" s="483">
        <v>0.0</v>
      </c>
      <c r="J123" s="484">
        <v>0.0</v>
      </c>
      <c r="K123" s="480"/>
      <c r="L123" s="483">
        <v>0.0</v>
      </c>
      <c r="M123" s="484">
        <v>0.0</v>
      </c>
      <c r="N123" s="480"/>
      <c r="O123" s="483">
        <v>-271.65558823529415</v>
      </c>
      <c r="P123" s="484">
        <v>-9236.29</v>
      </c>
      <c r="Q123" s="480"/>
      <c r="R123" s="483">
        <v>-365.1236842105262</v>
      </c>
      <c r="S123" s="484">
        <v>-6937.3499999999985</v>
      </c>
      <c r="T123" s="480"/>
      <c r="U123" s="483">
        <v>-35.788695652173885</v>
      </c>
      <c r="V123" s="484">
        <v>-823.1399999999994</v>
      </c>
      <c r="W123" s="480"/>
      <c r="X123" s="483">
        <v>-67.48166666666657</v>
      </c>
      <c r="Y123" s="484">
        <v>-1619.5599999999977</v>
      </c>
    </row>
    <row r="124" ht="14.25" customHeight="1">
      <c r="A124" s="480" t="s">
        <v>56</v>
      </c>
      <c r="B124" s="480"/>
      <c r="C124" s="483">
        <v>0.0</v>
      </c>
      <c r="D124" s="485">
        <v>0.0</v>
      </c>
      <c r="E124" s="480"/>
      <c r="F124" s="483">
        <v>0.0</v>
      </c>
      <c r="G124" s="485">
        <v>0.0</v>
      </c>
      <c r="H124" s="480"/>
      <c r="I124" s="483">
        <v>0.0</v>
      </c>
      <c r="J124" s="485">
        <v>0.0</v>
      </c>
      <c r="K124" s="480"/>
      <c r="L124" s="483">
        <v>0.0</v>
      </c>
      <c r="M124" s="485">
        <v>0.0</v>
      </c>
      <c r="N124" s="480"/>
      <c r="O124" s="483">
        <v>0.0</v>
      </c>
      <c r="P124" s="485">
        <v>0.0</v>
      </c>
      <c r="Q124" s="480"/>
      <c r="R124" s="483">
        <v>0.0</v>
      </c>
      <c r="S124" s="485">
        <v>0.0</v>
      </c>
      <c r="T124" s="480"/>
      <c r="U124" s="483">
        <v>0.0</v>
      </c>
      <c r="V124" s="485">
        <v>0.0</v>
      </c>
      <c r="W124" s="480"/>
      <c r="X124" s="483">
        <v>0.0</v>
      </c>
      <c r="Y124" s="485">
        <v>0.0</v>
      </c>
    </row>
    <row r="125" ht="14.25" customHeight="1">
      <c r="A125" s="552" t="s">
        <v>118</v>
      </c>
      <c r="B125" s="556" t="s">
        <v>225</v>
      </c>
      <c r="C125" s="554">
        <v>0.6299870107856385</v>
      </c>
      <c r="D125" s="555">
        <v>67270.58</v>
      </c>
      <c r="E125" s="556" t="s">
        <v>225</v>
      </c>
      <c r="F125" s="554">
        <v>0.7212879220813793</v>
      </c>
      <c r="G125" s="555">
        <v>76890.36</v>
      </c>
      <c r="H125" s="556" t="s">
        <v>225</v>
      </c>
      <c r="I125" s="554">
        <v>0.5798483291463057</v>
      </c>
      <c r="J125" s="555">
        <v>79373.81999999999</v>
      </c>
      <c r="K125" s="556" t="s">
        <v>225</v>
      </c>
      <c r="L125" s="554">
        <v>0.3636297872397369</v>
      </c>
      <c r="M125" s="555">
        <v>57102.760000000024</v>
      </c>
      <c r="N125" s="556" t="s">
        <v>225</v>
      </c>
      <c r="O125" s="554">
        <v>-0.18661213147074637</v>
      </c>
      <c r="P125" s="555">
        <v>26546.380000000005</v>
      </c>
      <c r="Q125" s="556" t="s">
        <v>225</v>
      </c>
      <c r="R125" s="554">
        <v>0.4606122932514574</v>
      </c>
      <c r="S125" s="555">
        <v>18274.239999999987</v>
      </c>
      <c r="T125" s="556" t="s">
        <v>225</v>
      </c>
      <c r="U125" s="554">
        <v>0.4592977359886184</v>
      </c>
      <c r="V125" s="555">
        <v>24675.16</v>
      </c>
      <c r="W125" s="556" t="s">
        <v>225</v>
      </c>
      <c r="X125" s="554">
        <v>0.8008886527634222</v>
      </c>
      <c r="Y125" s="555">
        <v>19295.529999999995</v>
      </c>
    </row>
    <row r="126" ht="14.25" customHeight="1">
      <c r="A126" s="559" t="s">
        <v>119</v>
      </c>
      <c r="B126" s="480"/>
      <c r="C126" s="48"/>
      <c r="D126" s="484">
        <v>9499.28</v>
      </c>
      <c r="E126" s="480"/>
      <c r="F126" s="48"/>
      <c r="G126" s="484">
        <v>34736.19</v>
      </c>
      <c r="H126" s="480"/>
      <c r="I126" s="48"/>
      <c r="J126" s="484">
        <v>-18718.06</v>
      </c>
      <c r="K126" s="480"/>
      <c r="L126" s="48"/>
      <c r="M126" s="484">
        <v>12475.710000000003</v>
      </c>
      <c r="N126" s="480"/>
      <c r="O126" s="48"/>
      <c r="P126" s="484">
        <v>5896.229999999996</v>
      </c>
      <c r="Q126" s="480"/>
      <c r="R126" s="48"/>
      <c r="S126" s="484">
        <v>9379.989999999998</v>
      </c>
      <c r="T126" s="480"/>
      <c r="U126" s="48"/>
      <c r="V126" s="484">
        <v>10231.530000000006</v>
      </c>
      <c r="W126" s="480"/>
      <c r="X126" s="48"/>
      <c r="Y126" s="484">
        <v>4529.9000000000015</v>
      </c>
    </row>
    <row r="127" ht="14.25" customHeight="1">
      <c r="A127" s="560" t="s">
        <v>120</v>
      </c>
      <c r="B127" s="480"/>
      <c r="C127" s="48"/>
      <c r="D127" s="484">
        <v>4829.41</v>
      </c>
      <c r="E127" s="480"/>
      <c r="F127" s="48"/>
      <c r="G127" s="484">
        <v>4838.870000000001</v>
      </c>
      <c r="H127" s="480"/>
      <c r="I127" s="48"/>
      <c r="J127" s="484">
        <v>5048.82</v>
      </c>
      <c r="K127" s="480"/>
      <c r="L127" s="48"/>
      <c r="M127" s="484">
        <v>4869.969999999999</v>
      </c>
      <c r="N127" s="480"/>
      <c r="O127" s="48"/>
      <c r="P127" s="484">
        <v>-2619.8600000000006</v>
      </c>
      <c r="Q127" s="480"/>
      <c r="R127" s="48"/>
      <c r="S127" s="484">
        <v>7192.130000000001</v>
      </c>
      <c r="T127" s="480"/>
      <c r="U127" s="48"/>
      <c r="V127" s="484">
        <v>6819.509999999998</v>
      </c>
      <c r="W127" s="480"/>
      <c r="X127" s="48"/>
      <c r="Y127" s="484">
        <v>5717.470000000001</v>
      </c>
    </row>
    <row r="128" ht="14.25" customHeight="1">
      <c r="A128" s="559" t="s">
        <v>121</v>
      </c>
      <c r="B128" s="466"/>
      <c r="C128" s="562"/>
      <c r="D128" s="523">
        <v>76973.2</v>
      </c>
      <c r="E128" s="466"/>
      <c r="F128" s="562"/>
      <c r="G128" s="523">
        <v>7752.800000000003</v>
      </c>
      <c r="H128" s="466"/>
      <c r="I128" s="562"/>
      <c r="J128" s="523">
        <v>48171.98999999999</v>
      </c>
      <c r="K128" s="466"/>
      <c r="L128" s="562"/>
      <c r="M128" s="523">
        <v>63397.600000000006</v>
      </c>
      <c r="N128" s="466"/>
      <c r="O128" s="562"/>
      <c r="P128" s="523">
        <v>-188977.99</v>
      </c>
      <c r="Q128" s="466"/>
      <c r="R128" s="562"/>
      <c r="S128" s="523">
        <v>1637.25</v>
      </c>
      <c r="T128" s="466"/>
      <c r="U128" s="562"/>
      <c r="V128" s="523">
        <v>2247.6399999999994</v>
      </c>
      <c r="W128" s="466"/>
      <c r="X128" s="562"/>
      <c r="Y128" s="523">
        <v>1820.0400000000009</v>
      </c>
    </row>
    <row r="129" ht="14.25" customHeight="1">
      <c r="A129" s="559" t="s">
        <v>122</v>
      </c>
      <c r="B129" s="480"/>
      <c r="C129" s="48"/>
      <c r="D129" s="484">
        <v>0.0</v>
      </c>
      <c r="E129" s="480"/>
      <c r="F129" s="48"/>
      <c r="G129" s="484">
        <v>0.0</v>
      </c>
      <c r="H129" s="480"/>
      <c r="I129" s="48"/>
      <c r="J129" s="484">
        <v>0.0</v>
      </c>
      <c r="K129" s="480"/>
      <c r="L129" s="48"/>
      <c r="M129" s="484">
        <v>0.0</v>
      </c>
      <c r="N129" s="480"/>
      <c r="O129" s="48"/>
      <c r="P129" s="484">
        <v>0.0</v>
      </c>
      <c r="Q129" s="480"/>
      <c r="R129" s="48"/>
      <c r="S129" s="484">
        <v>0.0</v>
      </c>
      <c r="T129" s="480"/>
      <c r="U129" s="48"/>
      <c r="V129" s="484">
        <v>0.0</v>
      </c>
      <c r="W129" s="480"/>
      <c r="X129" s="48"/>
      <c r="Y129" s="484">
        <v>0.0</v>
      </c>
    </row>
    <row r="130" ht="14.25" customHeight="1">
      <c r="A130" s="559" t="s">
        <v>56</v>
      </c>
      <c r="B130" s="480"/>
      <c r="C130" s="48"/>
      <c r="D130" s="484">
        <v>0.0</v>
      </c>
      <c r="E130" s="480"/>
      <c r="F130" s="48"/>
      <c r="G130" s="484">
        <v>0.0</v>
      </c>
      <c r="H130" s="480"/>
      <c r="I130" s="48"/>
      <c r="J130" s="484">
        <v>0.0</v>
      </c>
      <c r="K130" s="480"/>
      <c r="L130" s="48"/>
      <c r="M130" s="484">
        <v>0.0</v>
      </c>
      <c r="N130" s="480"/>
      <c r="O130" s="48"/>
      <c r="P130" s="484">
        <v>0.0</v>
      </c>
      <c r="Q130" s="480"/>
      <c r="R130" s="48"/>
      <c r="S130" s="484">
        <v>0.0</v>
      </c>
      <c r="T130" s="480"/>
      <c r="U130" s="48"/>
      <c r="V130" s="484">
        <v>0.0</v>
      </c>
      <c r="W130" s="480"/>
      <c r="X130" s="48"/>
      <c r="Y130" s="484">
        <v>0.0</v>
      </c>
    </row>
    <row r="131" ht="14.25" customHeight="1">
      <c r="A131" s="559" t="s">
        <v>56</v>
      </c>
      <c r="B131" s="480"/>
      <c r="C131" s="48"/>
      <c r="D131" s="484">
        <v>0.0</v>
      </c>
      <c r="E131" s="480"/>
      <c r="F131" s="48"/>
      <c r="G131" s="484">
        <v>0.0</v>
      </c>
      <c r="H131" s="480"/>
      <c r="I131" s="48"/>
      <c r="J131" s="484">
        <v>0.0</v>
      </c>
      <c r="K131" s="480"/>
      <c r="L131" s="48"/>
      <c r="M131" s="484">
        <v>0.0</v>
      </c>
      <c r="N131" s="480"/>
      <c r="O131" s="48"/>
      <c r="P131" s="484">
        <v>0.0</v>
      </c>
      <c r="Q131" s="480"/>
      <c r="R131" s="48"/>
      <c r="S131" s="484">
        <v>0.0</v>
      </c>
      <c r="T131" s="480"/>
      <c r="U131" s="48"/>
      <c r="V131" s="484">
        <v>0.0</v>
      </c>
      <c r="W131" s="480"/>
      <c r="X131" s="48"/>
      <c r="Y131" s="484">
        <v>0.0</v>
      </c>
    </row>
    <row r="132" ht="14.25" customHeight="1">
      <c r="A132" s="559" t="s">
        <v>56</v>
      </c>
      <c r="B132" s="480"/>
      <c r="C132" s="48"/>
      <c r="D132" s="484">
        <v>0.0</v>
      </c>
      <c r="E132" s="480"/>
      <c r="F132" s="48"/>
      <c r="G132" s="484">
        <v>0.0</v>
      </c>
      <c r="H132" s="480"/>
      <c r="I132" s="48"/>
      <c r="J132" s="484">
        <v>0.0</v>
      </c>
      <c r="K132" s="480"/>
      <c r="L132" s="48"/>
      <c r="M132" s="484">
        <v>0.0</v>
      </c>
      <c r="N132" s="480"/>
      <c r="O132" s="48"/>
      <c r="P132" s="484">
        <v>0.0</v>
      </c>
      <c r="Q132" s="480"/>
      <c r="R132" s="48"/>
      <c r="S132" s="484">
        <v>0.0</v>
      </c>
      <c r="T132" s="480"/>
      <c r="U132" s="48"/>
      <c r="V132" s="484">
        <v>0.0</v>
      </c>
      <c r="W132" s="480"/>
      <c r="X132" s="48"/>
      <c r="Y132" s="484">
        <v>0.0</v>
      </c>
    </row>
    <row r="133" ht="14.25" customHeight="1">
      <c r="A133" s="560" t="s">
        <v>123</v>
      </c>
      <c r="B133" s="480"/>
      <c r="C133" s="48"/>
      <c r="D133" s="484">
        <v>1688.51</v>
      </c>
      <c r="E133" s="480"/>
      <c r="F133" s="48"/>
      <c r="G133" s="484">
        <v>586.3700000000001</v>
      </c>
      <c r="H133" s="480"/>
      <c r="I133" s="48"/>
      <c r="J133" s="484">
        <v>676.96</v>
      </c>
      <c r="K133" s="480"/>
      <c r="L133" s="48"/>
      <c r="M133" s="484">
        <v>6978.43</v>
      </c>
      <c r="N133" s="480"/>
      <c r="O133" s="48"/>
      <c r="P133" s="484">
        <v>3962.58</v>
      </c>
      <c r="Q133" s="480"/>
      <c r="R133" s="48"/>
      <c r="S133" s="484">
        <v>3759.9299999999985</v>
      </c>
      <c r="T133" s="480"/>
      <c r="U133" s="48"/>
      <c r="V133" s="484">
        <v>3522.300000000003</v>
      </c>
      <c r="W133" s="480"/>
      <c r="X133" s="48"/>
      <c r="Y133" s="484">
        <v>2317.449999999997</v>
      </c>
    </row>
    <row r="134" ht="14.25" customHeight="1">
      <c r="A134" s="559" t="s">
        <v>124</v>
      </c>
      <c r="B134" s="466"/>
      <c r="C134" s="562"/>
      <c r="D134" s="523">
        <v>1925.49</v>
      </c>
      <c r="E134" s="466"/>
      <c r="F134" s="562"/>
      <c r="G134" s="523">
        <v>1985.8100000000002</v>
      </c>
      <c r="H134" s="466"/>
      <c r="I134" s="562"/>
      <c r="J134" s="523">
        <v>2322.2299999999996</v>
      </c>
      <c r="K134" s="466"/>
      <c r="L134" s="562"/>
      <c r="M134" s="523">
        <v>3783.1099999999997</v>
      </c>
      <c r="N134" s="466"/>
      <c r="O134" s="562"/>
      <c r="P134" s="523">
        <v>4412.390000000001</v>
      </c>
      <c r="Q134" s="466"/>
      <c r="R134" s="562"/>
      <c r="S134" s="523">
        <v>5196.4</v>
      </c>
      <c r="T134" s="466"/>
      <c r="U134" s="562"/>
      <c r="V134" s="523">
        <v>5319.75</v>
      </c>
      <c r="W134" s="466"/>
      <c r="X134" s="562"/>
      <c r="Y134" s="523">
        <v>6141.32</v>
      </c>
    </row>
    <row r="135" ht="14.25" customHeight="1">
      <c r="A135" s="559" t="s">
        <v>125</v>
      </c>
      <c r="B135" s="480"/>
      <c r="C135" s="48"/>
      <c r="D135" s="484">
        <v>2361.33</v>
      </c>
      <c r="E135" s="480"/>
      <c r="F135" s="48"/>
      <c r="G135" s="484">
        <v>10809.82</v>
      </c>
      <c r="H135" s="480"/>
      <c r="I135" s="48"/>
      <c r="J135" s="484">
        <v>-30.0</v>
      </c>
      <c r="K135" s="480"/>
      <c r="L135" s="48"/>
      <c r="M135" s="484">
        <v>2222.290000000001</v>
      </c>
      <c r="N135" s="480"/>
      <c r="O135" s="48"/>
      <c r="P135" s="484">
        <v>748.1099999999988</v>
      </c>
      <c r="Q135" s="480"/>
      <c r="R135" s="48"/>
      <c r="S135" s="484">
        <v>640.1100000000006</v>
      </c>
      <c r="T135" s="480"/>
      <c r="U135" s="48"/>
      <c r="V135" s="484">
        <v>656.6100000000006</v>
      </c>
      <c r="W135" s="480"/>
      <c r="X135" s="48"/>
      <c r="Y135" s="484">
        <v>599.4599999999991</v>
      </c>
    </row>
    <row r="136" ht="14.25" customHeight="1">
      <c r="A136" s="559" t="s">
        <v>126</v>
      </c>
      <c r="B136" s="480"/>
      <c r="C136" s="48"/>
      <c r="D136" s="484">
        <v>23.6</v>
      </c>
      <c r="E136" s="480"/>
      <c r="F136" s="48"/>
      <c r="G136" s="484">
        <v>25.059999999999995</v>
      </c>
      <c r="H136" s="480"/>
      <c r="I136" s="48"/>
      <c r="J136" s="484">
        <v>3053.1600000000003</v>
      </c>
      <c r="K136" s="480"/>
      <c r="L136" s="48"/>
      <c r="M136" s="484">
        <v>1571.6799999999998</v>
      </c>
      <c r="N136" s="480"/>
      <c r="O136" s="48"/>
      <c r="P136" s="484">
        <v>1709.2200000000003</v>
      </c>
      <c r="Q136" s="480"/>
      <c r="R136" s="48"/>
      <c r="S136" s="484">
        <v>2401.6099999999997</v>
      </c>
      <c r="T136" s="480"/>
      <c r="U136" s="48"/>
      <c r="V136" s="484">
        <v>1711.9899999999998</v>
      </c>
      <c r="W136" s="480"/>
      <c r="X136" s="48"/>
      <c r="Y136" s="484">
        <v>2602.66</v>
      </c>
    </row>
    <row r="137" ht="14.25" customHeight="1">
      <c r="A137" s="480" t="s">
        <v>56</v>
      </c>
      <c r="B137" s="471"/>
      <c r="C137" s="564"/>
      <c r="D137" s="484">
        <v>0.0</v>
      </c>
      <c r="E137" s="471"/>
      <c r="F137" s="564"/>
      <c r="G137" s="484">
        <v>0.0</v>
      </c>
      <c r="H137" s="471"/>
      <c r="I137" s="564"/>
      <c r="J137" s="484">
        <v>0.0</v>
      </c>
      <c r="K137" s="471"/>
      <c r="L137" s="564"/>
      <c r="M137" s="484">
        <v>0.0</v>
      </c>
      <c r="N137" s="471"/>
      <c r="O137" s="564"/>
      <c r="P137" s="484">
        <v>0.0</v>
      </c>
      <c r="Q137" s="471"/>
      <c r="R137" s="564"/>
      <c r="S137" s="484">
        <v>0.0</v>
      </c>
      <c r="T137" s="471"/>
      <c r="U137" s="564"/>
      <c r="V137" s="484">
        <v>0.0</v>
      </c>
      <c r="W137" s="471"/>
      <c r="X137" s="564"/>
      <c r="Y137" s="484">
        <v>0.0</v>
      </c>
    </row>
    <row r="138" ht="14.25" customHeight="1">
      <c r="A138" s="552" t="s">
        <v>127</v>
      </c>
      <c r="B138" s="556" t="s">
        <v>225</v>
      </c>
      <c r="C138" s="554">
        <v>0.911219328550333</v>
      </c>
      <c r="D138" s="555">
        <v>97300.82</v>
      </c>
      <c r="E138" s="556" t="s">
        <v>225</v>
      </c>
      <c r="F138" s="554">
        <v>0.5697380561695745</v>
      </c>
      <c r="G138" s="555">
        <v>60734.920000000006</v>
      </c>
      <c r="H138" s="556" t="s">
        <v>225</v>
      </c>
      <c r="I138" s="554">
        <v>0.2960473809057817</v>
      </c>
      <c r="J138" s="555">
        <v>40525.09999999999</v>
      </c>
      <c r="K138" s="556" t="s">
        <v>225</v>
      </c>
      <c r="L138" s="554">
        <v>0.6068617126721081</v>
      </c>
      <c r="M138" s="555">
        <v>95298.78999999998</v>
      </c>
      <c r="N138" s="556" t="s">
        <v>225</v>
      </c>
      <c r="O138" s="554">
        <v>1.229272561232078</v>
      </c>
      <c r="P138" s="555">
        <v>-174869.32</v>
      </c>
      <c r="Q138" s="556" t="s">
        <v>225</v>
      </c>
      <c r="R138" s="554">
        <v>0.7613946735628923</v>
      </c>
      <c r="S138" s="555">
        <v>30207.42</v>
      </c>
      <c r="T138" s="556" t="s">
        <v>225</v>
      </c>
      <c r="U138" s="554">
        <v>0.56789363049843</v>
      </c>
      <c r="V138" s="555">
        <v>30509.33000000001</v>
      </c>
      <c r="W138" s="556" t="s">
        <v>225</v>
      </c>
      <c r="X138" s="554">
        <v>0.9848771305772018</v>
      </c>
      <c r="Y138" s="555">
        <v>23728.3</v>
      </c>
    </row>
    <row r="139" ht="14.25" customHeight="1">
      <c r="A139" s="480" t="s">
        <v>128</v>
      </c>
      <c r="B139" s="480"/>
      <c r="C139" s="48"/>
      <c r="D139" s="484">
        <v>0.0</v>
      </c>
      <c r="E139" s="480"/>
      <c r="F139" s="48"/>
      <c r="G139" s="484">
        <v>0.0</v>
      </c>
      <c r="H139" s="480"/>
      <c r="I139" s="48"/>
      <c r="J139" s="484">
        <v>0.0</v>
      </c>
      <c r="K139" s="480"/>
      <c r="L139" s="48"/>
      <c r="M139" s="484">
        <v>0.0</v>
      </c>
      <c r="N139" s="480"/>
      <c r="O139" s="48"/>
      <c r="P139" s="484">
        <v>0.0</v>
      </c>
      <c r="Q139" s="480"/>
      <c r="R139" s="48"/>
      <c r="S139" s="484">
        <v>0.0</v>
      </c>
      <c r="T139" s="480"/>
      <c r="U139" s="48"/>
      <c r="V139" s="484">
        <v>0.0</v>
      </c>
      <c r="W139" s="480"/>
      <c r="X139" s="48"/>
      <c r="Y139" s="484">
        <v>0.0</v>
      </c>
    </row>
    <row r="140" ht="14.25" customHeight="1">
      <c r="A140" s="480" t="s">
        <v>129</v>
      </c>
      <c r="B140" s="480"/>
      <c r="C140" s="48"/>
      <c r="D140" s="484">
        <v>0.0</v>
      </c>
      <c r="E140" s="480"/>
      <c r="F140" s="48"/>
      <c r="G140" s="484">
        <v>0.0</v>
      </c>
      <c r="H140" s="480"/>
      <c r="I140" s="48"/>
      <c r="J140" s="484">
        <v>0.0</v>
      </c>
      <c r="K140" s="480"/>
      <c r="L140" s="48"/>
      <c r="M140" s="484">
        <v>0.0</v>
      </c>
      <c r="N140" s="480"/>
      <c r="O140" s="48"/>
      <c r="P140" s="484">
        <v>0.0</v>
      </c>
      <c r="Q140" s="480"/>
      <c r="R140" s="48"/>
      <c r="S140" s="484">
        <v>0.0</v>
      </c>
      <c r="T140" s="480"/>
      <c r="U140" s="48"/>
      <c r="V140" s="484">
        <v>0.0</v>
      </c>
      <c r="W140" s="480"/>
      <c r="X140" s="48"/>
      <c r="Y140" s="484">
        <v>0.0</v>
      </c>
    </row>
    <row r="141" ht="14.25" customHeight="1">
      <c r="A141" s="471" t="s">
        <v>130</v>
      </c>
      <c r="B141" s="471"/>
      <c r="C141" s="564"/>
      <c r="D141" s="476">
        <v>6842.33</v>
      </c>
      <c r="E141" s="471"/>
      <c r="F141" s="564"/>
      <c r="G141" s="476">
        <v>3999.1100000000006</v>
      </c>
      <c r="H141" s="471"/>
      <c r="I141" s="564"/>
      <c r="J141" s="476">
        <v>5892.499999999998</v>
      </c>
      <c r="K141" s="471"/>
      <c r="L141" s="564"/>
      <c r="M141" s="476">
        <v>4232.110000000001</v>
      </c>
      <c r="N141" s="471"/>
      <c r="O141" s="564"/>
      <c r="P141" s="476">
        <v>4222.440000000002</v>
      </c>
      <c r="Q141" s="471"/>
      <c r="R141" s="564"/>
      <c r="S141" s="476">
        <v>4318.689999999999</v>
      </c>
      <c r="T141" s="471"/>
      <c r="U141" s="564"/>
      <c r="V141" s="476">
        <v>3111.579999999998</v>
      </c>
      <c r="W141" s="471"/>
      <c r="X141" s="564"/>
      <c r="Y141" s="476">
        <v>1599.0300000000025</v>
      </c>
    </row>
    <row r="142" ht="14.25" customHeight="1">
      <c r="A142" s="480" t="s">
        <v>131</v>
      </c>
      <c r="B142" s="480"/>
      <c r="C142" s="48"/>
      <c r="D142" s="484">
        <v>1895.86</v>
      </c>
      <c r="E142" s="480"/>
      <c r="F142" s="48"/>
      <c r="G142" s="484">
        <v>879.3700000000001</v>
      </c>
      <c r="H142" s="480"/>
      <c r="I142" s="48"/>
      <c r="J142" s="484">
        <v>985.69</v>
      </c>
      <c r="K142" s="480"/>
      <c r="L142" s="48"/>
      <c r="M142" s="484">
        <v>1396.0</v>
      </c>
      <c r="N142" s="480"/>
      <c r="O142" s="48"/>
      <c r="P142" s="484">
        <v>1672.6899999999996</v>
      </c>
      <c r="Q142" s="480"/>
      <c r="R142" s="48"/>
      <c r="S142" s="484">
        <v>1247.5500000000002</v>
      </c>
      <c r="T142" s="480"/>
      <c r="U142" s="48"/>
      <c r="V142" s="484">
        <v>1836.9099999999999</v>
      </c>
      <c r="W142" s="480"/>
      <c r="X142" s="48"/>
      <c r="Y142" s="484">
        <v>2309.1100000000006</v>
      </c>
    </row>
    <row r="143" ht="14.25" customHeight="1">
      <c r="A143" s="480" t="s">
        <v>132</v>
      </c>
      <c r="B143" s="480"/>
      <c r="C143" s="48"/>
      <c r="D143" s="484">
        <v>738.38</v>
      </c>
      <c r="E143" s="480"/>
      <c r="F143" s="48"/>
      <c r="G143" s="484">
        <v>1744.15</v>
      </c>
      <c r="H143" s="480"/>
      <c r="I143" s="48"/>
      <c r="J143" s="484">
        <v>2545.14</v>
      </c>
      <c r="K143" s="480"/>
      <c r="L143" s="48"/>
      <c r="M143" s="484">
        <v>6549.200000000001</v>
      </c>
      <c r="N143" s="480"/>
      <c r="O143" s="48"/>
      <c r="P143" s="484">
        <v>750.9899999999998</v>
      </c>
      <c r="Q143" s="480"/>
      <c r="R143" s="48"/>
      <c r="S143" s="484">
        <v>368.5699999999997</v>
      </c>
      <c r="T143" s="480"/>
      <c r="U143" s="48"/>
      <c r="V143" s="484">
        <v>370.02000000000044</v>
      </c>
      <c r="W143" s="480"/>
      <c r="X143" s="48"/>
      <c r="Y143" s="484">
        <v>557.3799999999992</v>
      </c>
    </row>
    <row r="144" ht="14.25" customHeight="1">
      <c r="A144" s="471" t="s">
        <v>133</v>
      </c>
      <c r="B144" s="471"/>
      <c r="C144" s="564"/>
      <c r="D144" s="476">
        <v>6005.610000000001</v>
      </c>
      <c r="E144" s="471"/>
      <c r="F144" s="564"/>
      <c r="G144" s="476">
        <v>2961.7899999999995</v>
      </c>
      <c r="H144" s="471"/>
      <c r="I144" s="564"/>
      <c r="J144" s="476">
        <v>5745.26</v>
      </c>
      <c r="K144" s="471"/>
      <c r="L144" s="564"/>
      <c r="M144" s="476">
        <v>4090.41</v>
      </c>
      <c r="N144" s="471"/>
      <c r="O144" s="564"/>
      <c r="P144" s="476">
        <v>1996.1500000000015</v>
      </c>
      <c r="Q144" s="471"/>
      <c r="R144" s="564"/>
      <c r="S144" s="476">
        <v>5180.5999999999985</v>
      </c>
      <c r="T144" s="471"/>
      <c r="U144" s="564"/>
      <c r="V144" s="476">
        <v>2795.2700000000004</v>
      </c>
      <c r="W144" s="471"/>
      <c r="X144" s="564"/>
      <c r="Y144" s="476">
        <v>1991.3199999999997</v>
      </c>
    </row>
    <row r="145" ht="14.25" customHeight="1">
      <c r="A145" s="480" t="s">
        <v>134</v>
      </c>
      <c r="B145" s="480"/>
      <c r="C145" s="48"/>
      <c r="D145" s="484">
        <v>173.91</v>
      </c>
      <c r="E145" s="480"/>
      <c r="F145" s="48"/>
      <c r="G145" s="484">
        <v>194.63000000000002</v>
      </c>
      <c r="H145" s="480"/>
      <c r="I145" s="48"/>
      <c r="J145" s="484">
        <v>30.939999999999998</v>
      </c>
      <c r="K145" s="480"/>
      <c r="L145" s="48"/>
      <c r="M145" s="484">
        <v>140.32999999999993</v>
      </c>
      <c r="N145" s="480"/>
      <c r="O145" s="48"/>
      <c r="P145" s="484">
        <v>148.25</v>
      </c>
      <c r="Q145" s="480"/>
      <c r="R145" s="48"/>
      <c r="S145" s="484">
        <v>274.8900000000001</v>
      </c>
      <c r="T145" s="480"/>
      <c r="U145" s="48"/>
      <c r="V145" s="484">
        <v>149.5999999999999</v>
      </c>
      <c r="W145" s="480"/>
      <c r="X145" s="48"/>
      <c r="Y145" s="484">
        <v>64.91000000000008</v>
      </c>
    </row>
    <row r="146" ht="14.25" customHeight="1">
      <c r="A146" s="480" t="s">
        <v>135</v>
      </c>
      <c r="B146" s="480"/>
      <c r="C146" s="48"/>
      <c r="D146" s="484">
        <v>0.0</v>
      </c>
      <c r="E146" s="480"/>
      <c r="F146" s="48"/>
      <c r="G146" s="484">
        <v>0.0</v>
      </c>
      <c r="H146" s="480"/>
      <c r="I146" s="48"/>
      <c r="J146" s="484">
        <v>0.0</v>
      </c>
      <c r="K146" s="480"/>
      <c r="L146" s="48"/>
      <c r="M146" s="484">
        <v>0.0</v>
      </c>
      <c r="N146" s="480"/>
      <c r="O146" s="48"/>
      <c r="P146" s="484">
        <v>0.0</v>
      </c>
      <c r="Q146" s="480"/>
      <c r="R146" s="48"/>
      <c r="S146" s="484">
        <v>0.0</v>
      </c>
      <c r="T146" s="480"/>
      <c r="U146" s="48"/>
      <c r="V146" s="484">
        <v>0.0</v>
      </c>
      <c r="W146" s="480"/>
      <c r="X146" s="48"/>
      <c r="Y146" s="484">
        <v>0.0</v>
      </c>
    </row>
    <row r="147" ht="14.25" customHeight="1">
      <c r="A147" s="480" t="s">
        <v>136</v>
      </c>
      <c r="B147" s="480"/>
      <c r="C147" s="48"/>
      <c r="D147" s="484">
        <v>721.91</v>
      </c>
      <c r="E147" s="480"/>
      <c r="F147" s="48"/>
      <c r="G147" s="484">
        <v>542.59</v>
      </c>
      <c r="H147" s="480"/>
      <c r="I147" s="48"/>
      <c r="J147" s="484">
        <v>1261.0100000000002</v>
      </c>
      <c r="K147" s="480"/>
      <c r="L147" s="48"/>
      <c r="M147" s="484">
        <v>649.5499999999997</v>
      </c>
      <c r="N147" s="480"/>
      <c r="O147" s="48"/>
      <c r="P147" s="484">
        <v>906.0500000000002</v>
      </c>
      <c r="Q147" s="480"/>
      <c r="R147" s="48"/>
      <c r="S147" s="484">
        <v>795.1699999999996</v>
      </c>
      <c r="T147" s="480"/>
      <c r="U147" s="48"/>
      <c r="V147" s="484">
        <v>202.94999999999982</v>
      </c>
      <c r="W147" s="480"/>
      <c r="X147" s="48"/>
      <c r="Y147" s="484">
        <v>811.3900000000003</v>
      </c>
    </row>
    <row r="148" ht="14.25" customHeight="1">
      <c r="A148" s="480" t="s">
        <v>137</v>
      </c>
      <c r="B148" s="480"/>
      <c r="C148" s="48"/>
      <c r="D148" s="484">
        <v>166.87</v>
      </c>
      <c r="E148" s="480"/>
      <c r="F148" s="48"/>
      <c r="G148" s="484">
        <v>165.32999999999998</v>
      </c>
      <c r="H148" s="480"/>
      <c r="I148" s="48"/>
      <c r="J148" s="484">
        <v>196.31</v>
      </c>
      <c r="K148" s="480"/>
      <c r="L148" s="48"/>
      <c r="M148" s="484">
        <v>190.64999999999998</v>
      </c>
      <c r="N148" s="480"/>
      <c r="O148" s="48"/>
      <c r="P148" s="484">
        <v>959.62</v>
      </c>
      <c r="Q148" s="480"/>
      <c r="R148" s="48"/>
      <c r="S148" s="484">
        <v>223.54999999999995</v>
      </c>
      <c r="T148" s="480"/>
      <c r="U148" s="48"/>
      <c r="V148" s="484">
        <v>420.1800000000003</v>
      </c>
      <c r="W148" s="480"/>
      <c r="X148" s="48"/>
      <c r="Y148" s="484">
        <v>448.22999999999956</v>
      </c>
    </row>
    <row r="149" ht="14.25" customHeight="1">
      <c r="A149" s="480" t="s">
        <v>138</v>
      </c>
      <c r="B149" s="480"/>
      <c r="C149" s="48"/>
      <c r="D149" s="484">
        <v>1268.71</v>
      </c>
      <c r="E149" s="480"/>
      <c r="F149" s="48"/>
      <c r="G149" s="484">
        <v>1220.71</v>
      </c>
      <c r="H149" s="480"/>
      <c r="I149" s="48"/>
      <c r="J149" s="484">
        <v>1202.1399999999999</v>
      </c>
      <c r="K149" s="480"/>
      <c r="L149" s="48"/>
      <c r="M149" s="484">
        <v>1737.8799999999997</v>
      </c>
      <c r="N149" s="480"/>
      <c r="O149" s="48"/>
      <c r="P149" s="484">
        <v>1121.38</v>
      </c>
      <c r="Q149" s="480"/>
      <c r="R149" s="48"/>
      <c r="S149" s="484">
        <v>1183.83</v>
      </c>
      <c r="T149" s="480"/>
      <c r="U149" s="48"/>
      <c r="V149" s="484">
        <v>995.7200000000012</v>
      </c>
      <c r="W149" s="480"/>
      <c r="X149" s="48"/>
      <c r="Y149" s="484">
        <v>800.4799999999996</v>
      </c>
    </row>
    <row r="150" ht="14.25" customHeight="1">
      <c r="A150" s="480" t="s">
        <v>139</v>
      </c>
      <c r="B150" s="480"/>
      <c r="C150" s="48"/>
      <c r="D150" s="484">
        <v>2154.6000000000004</v>
      </c>
      <c r="E150" s="480"/>
      <c r="F150" s="48"/>
      <c r="G150" s="484">
        <v>5142.49</v>
      </c>
      <c r="H150" s="480"/>
      <c r="I150" s="48"/>
      <c r="J150" s="484">
        <v>1745.1600000000003</v>
      </c>
      <c r="K150" s="480"/>
      <c r="L150" s="48"/>
      <c r="M150" s="484">
        <v>2436.22</v>
      </c>
      <c r="N150" s="480"/>
      <c r="O150" s="48"/>
      <c r="P150" s="484">
        <v>2048.81</v>
      </c>
      <c r="Q150" s="480"/>
      <c r="R150" s="48"/>
      <c r="S150" s="484">
        <v>1575.8700000000008</v>
      </c>
      <c r="T150" s="480"/>
      <c r="U150" s="48"/>
      <c r="V150" s="484">
        <v>1430.0499999999993</v>
      </c>
      <c r="W150" s="480"/>
      <c r="X150" s="48"/>
      <c r="Y150" s="484">
        <v>1644.9400000000005</v>
      </c>
    </row>
    <row r="151" ht="14.25" customHeight="1">
      <c r="A151" s="480" t="s">
        <v>140</v>
      </c>
      <c r="B151" s="480"/>
      <c r="C151" s="48"/>
      <c r="D151" s="484">
        <v>0.0</v>
      </c>
      <c r="E151" s="480"/>
      <c r="F151" s="48"/>
      <c r="G151" s="484">
        <v>0.0</v>
      </c>
      <c r="H151" s="480"/>
      <c r="I151" s="48"/>
      <c r="J151" s="484">
        <v>1156.69</v>
      </c>
      <c r="K151" s="480"/>
      <c r="L151" s="48"/>
      <c r="M151" s="484">
        <v>0.0</v>
      </c>
      <c r="N151" s="480"/>
      <c r="O151" s="48"/>
      <c r="P151" s="484">
        <v>1054.0</v>
      </c>
      <c r="Q151" s="480"/>
      <c r="R151" s="48"/>
      <c r="S151" s="484">
        <v>0.0</v>
      </c>
      <c r="T151" s="480"/>
      <c r="U151" s="48"/>
      <c r="V151" s="484">
        <v>0.0</v>
      </c>
      <c r="W151" s="480"/>
      <c r="X151" s="48"/>
      <c r="Y151" s="484">
        <v>0.0</v>
      </c>
    </row>
    <row r="152" ht="14.25" customHeight="1">
      <c r="A152" s="480" t="s">
        <v>141</v>
      </c>
      <c r="B152" s="480"/>
      <c r="C152" s="48"/>
      <c r="D152" s="484">
        <v>374.1</v>
      </c>
      <c r="E152" s="480"/>
      <c r="F152" s="48"/>
      <c r="G152" s="484">
        <v>1215.83</v>
      </c>
      <c r="H152" s="480"/>
      <c r="I152" s="48"/>
      <c r="J152" s="484">
        <v>518.5199999999998</v>
      </c>
      <c r="K152" s="480"/>
      <c r="L152" s="48"/>
      <c r="M152" s="484">
        <v>1476.77</v>
      </c>
      <c r="N152" s="480"/>
      <c r="O152" s="48"/>
      <c r="P152" s="484">
        <v>1107.23</v>
      </c>
      <c r="Q152" s="480"/>
      <c r="R152" s="48"/>
      <c r="S152" s="484">
        <v>1178.71</v>
      </c>
      <c r="T152" s="480"/>
      <c r="U152" s="48"/>
      <c r="V152" s="484">
        <v>1132.0200000000004</v>
      </c>
      <c r="W152" s="480"/>
      <c r="X152" s="48"/>
      <c r="Y152" s="484">
        <v>1025.63</v>
      </c>
    </row>
    <row r="153" ht="14.25" customHeight="1">
      <c r="A153" s="480" t="s">
        <v>56</v>
      </c>
      <c r="B153" s="480"/>
      <c r="C153" s="48"/>
      <c r="D153" s="484">
        <v>0.0</v>
      </c>
      <c r="E153" s="480"/>
      <c r="F153" s="48"/>
      <c r="G153" s="484">
        <v>0.0</v>
      </c>
      <c r="H153" s="480"/>
      <c r="I153" s="48"/>
      <c r="J153" s="484">
        <v>0.0</v>
      </c>
      <c r="K153" s="480"/>
      <c r="L153" s="48"/>
      <c r="M153" s="484">
        <v>0.0</v>
      </c>
      <c r="N153" s="480"/>
      <c r="O153" s="48"/>
      <c r="P153" s="484">
        <v>0.0</v>
      </c>
      <c r="Q153" s="480"/>
      <c r="R153" s="48"/>
      <c r="S153" s="484">
        <v>0.0</v>
      </c>
      <c r="T153" s="480"/>
      <c r="U153" s="48"/>
      <c r="V153" s="484">
        <v>0.0</v>
      </c>
      <c r="W153" s="480"/>
      <c r="X153" s="48"/>
      <c r="Y153" s="484">
        <v>0.0</v>
      </c>
    </row>
    <row r="154" ht="14.25" customHeight="1">
      <c r="A154" s="480" t="s">
        <v>56</v>
      </c>
      <c r="B154" s="480"/>
      <c r="C154" s="48"/>
      <c r="D154" s="484">
        <v>0.0</v>
      </c>
      <c r="E154" s="480"/>
      <c r="F154" s="48"/>
      <c r="G154" s="484">
        <v>0.0</v>
      </c>
      <c r="H154" s="480"/>
      <c r="I154" s="48"/>
      <c r="J154" s="484">
        <v>0.0</v>
      </c>
      <c r="K154" s="480"/>
      <c r="L154" s="48"/>
      <c r="M154" s="484">
        <v>0.0</v>
      </c>
      <c r="N154" s="480"/>
      <c r="O154" s="48"/>
      <c r="P154" s="484">
        <v>0.0</v>
      </c>
      <c r="Q154" s="480"/>
      <c r="R154" s="48"/>
      <c r="S154" s="484">
        <v>0.0</v>
      </c>
      <c r="T154" s="480"/>
      <c r="U154" s="48"/>
      <c r="V154" s="484">
        <v>0.0</v>
      </c>
      <c r="W154" s="480"/>
      <c r="X154" s="48"/>
      <c r="Y154" s="484">
        <v>0.0</v>
      </c>
    </row>
    <row r="155" ht="14.25" customHeight="1">
      <c r="A155" s="480" t="s">
        <v>56</v>
      </c>
      <c r="B155" s="480"/>
      <c r="C155" s="48"/>
      <c r="D155" s="484">
        <v>0.0</v>
      </c>
      <c r="E155" s="480"/>
      <c r="F155" s="48"/>
      <c r="G155" s="484">
        <v>0.0</v>
      </c>
      <c r="H155" s="480"/>
      <c r="I155" s="48"/>
      <c r="J155" s="484">
        <v>0.0</v>
      </c>
      <c r="K155" s="480"/>
      <c r="L155" s="48"/>
      <c r="M155" s="484">
        <v>0.0</v>
      </c>
      <c r="N155" s="480"/>
      <c r="O155" s="48"/>
      <c r="P155" s="484">
        <v>0.0</v>
      </c>
      <c r="Q155" s="480"/>
      <c r="R155" s="48"/>
      <c r="S155" s="484">
        <v>0.0</v>
      </c>
      <c r="T155" s="480"/>
      <c r="U155" s="48"/>
      <c r="V155" s="484">
        <v>0.0</v>
      </c>
      <c r="W155" s="480"/>
      <c r="X155" s="48"/>
      <c r="Y155" s="484">
        <v>0.0</v>
      </c>
    </row>
    <row r="156" ht="14.25" customHeight="1">
      <c r="A156" s="552" t="s">
        <v>142</v>
      </c>
      <c r="B156" s="556" t="s">
        <v>225</v>
      </c>
      <c r="C156" s="554">
        <v>0.19050485620555785</v>
      </c>
      <c r="D156" s="555">
        <v>20342.28</v>
      </c>
      <c r="E156" s="556" t="s">
        <v>225</v>
      </c>
      <c r="F156" s="554">
        <v>0.16947231877080818</v>
      </c>
      <c r="G156" s="555">
        <v>18066.0</v>
      </c>
      <c r="H156" s="556" t="s">
        <v>225</v>
      </c>
      <c r="I156" s="554">
        <v>0.15545177668534454</v>
      </c>
      <c r="J156" s="555">
        <v>21279.36</v>
      </c>
      <c r="K156" s="556" t="s">
        <v>225</v>
      </c>
      <c r="L156" s="554">
        <v>0.1458213601860436</v>
      </c>
      <c r="M156" s="555">
        <v>22899.120000000006</v>
      </c>
      <c r="N156" s="556" t="s">
        <v>225</v>
      </c>
      <c r="O156" s="554">
        <v>-0.11238752625491759</v>
      </c>
      <c r="P156" s="555">
        <v>15987.610000000002</v>
      </c>
      <c r="Q156" s="556" t="s">
        <v>225</v>
      </c>
      <c r="R156" s="554">
        <v>0.4120459850077309</v>
      </c>
      <c r="S156" s="555">
        <v>16347.429999999997</v>
      </c>
      <c r="T156" s="556" t="s">
        <v>225</v>
      </c>
      <c r="U156" s="554">
        <v>0.23163532945533744</v>
      </c>
      <c r="V156" s="555">
        <v>12444.3</v>
      </c>
      <c r="W156" s="556" t="s">
        <v>225</v>
      </c>
      <c r="X156" s="554">
        <v>0.46704783409049616</v>
      </c>
      <c r="Y156" s="555">
        <v>11252.420000000002</v>
      </c>
    </row>
    <row r="157" ht="14.25" customHeight="1">
      <c r="A157" s="471"/>
      <c r="B157" s="471"/>
      <c r="C157" s="564"/>
      <c r="D157" s="476"/>
      <c r="E157" s="471"/>
      <c r="F157" s="564"/>
      <c r="G157" s="476"/>
      <c r="H157" s="471"/>
      <c r="I157" s="564"/>
      <c r="J157" s="476"/>
      <c r="K157" s="471"/>
      <c r="L157" s="564"/>
      <c r="M157" s="476"/>
      <c r="N157" s="471"/>
      <c r="O157" s="564"/>
      <c r="P157" s="476"/>
      <c r="Q157" s="471"/>
      <c r="R157" s="564"/>
      <c r="S157" s="476"/>
      <c r="T157" s="471"/>
      <c r="U157" s="564"/>
      <c r="V157" s="476"/>
      <c r="W157" s="471"/>
      <c r="X157" s="564"/>
      <c r="Y157" s="476"/>
    </row>
    <row r="158" ht="14.25" customHeight="1">
      <c r="A158" s="552" t="s">
        <v>143</v>
      </c>
      <c r="B158" s="556" t="s">
        <v>225</v>
      </c>
      <c r="C158" s="554">
        <v>1.7317111955415296</v>
      </c>
      <c r="D158" s="555">
        <v>184913.68000000002</v>
      </c>
      <c r="E158" s="556" t="s">
        <v>225</v>
      </c>
      <c r="F158" s="554">
        <v>1.460498297021762</v>
      </c>
      <c r="G158" s="555">
        <v>155691.28</v>
      </c>
      <c r="H158" s="556" t="s">
        <v>225</v>
      </c>
      <c r="I158" s="554">
        <v>1.031347486737432</v>
      </c>
      <c r="J158" s="555">
        <v>141178.27999999997</v>
      </c>
      <c r="K158" s="556" t="s">
        <v>225</v>
      </c>
      <c r="L158" s="554">
        <v>1.1163128600978884</v>
      </c>
      <c r="M158" s="555">
        <v>175300.66999999998</v>
      </c>
      <c r="N158" s="556" t="s">
        <v>225</v>
      </c>
      <c r="O158" s="554">
        <v>0.930272903506414</v>
      </c>
      <c r="P158" s="555">
        <v>-132335.33</v>
      </c>
      <c r="Q158" s="556" t="s">
        <v>225</v>
      </c>
      <c r="R158" s="554">
        <v>1.6340529518220805</v>
      </c>
      <c r="S158" s="555">
        <v>64829.08999999998</v>
      </c>
      <c r="T158" s="556" t="s">
        <v>225</v>
      </c>
      <c r="U158" s="554">
        <v>1.258826695942386</v>
      </c>
      <c r="V158" s="555">
        <v>67628.79000000001</v>
      </c>
      <c r="W158" s="556" t="s">
        <v>225</v>
      </c>
      <c r="X158" s="554">
        <v>2.25281361743112</v>
      </c>
      <c r="Y158" s="555">
        <v>54276.25</v>
      </c>
    </row>
    <row r="159" ht="14.25" customHeight="1">
      <c r="A159" s="480" t="s">
        <v>158</v>
      </c>
      <c r="B159" s="607"/>
      <c r="C159" s="606"/>
      <c r="D159" s="484">
        <v>0.0</v>
      </c>
      <c r="E159" s="607"/>
      <c r="F159" s="606"/>
      <c r="G159" s="484">
        <v>0.0</v>
      </c>
      <c r="H159" s="607"/>
      <c r="I159" s="606"/>
      <c r="J159" s="484">
        <v>0.0</v>
      </c>
      <c r="K159" s="607"/>
      <c r="L159" s="606"/>
      <c r="M159" s="484">
        <v>0.0</v>
      </c>
      <c r="N159" s="607"/>
      <c r="O159" s="606"/>
      <c r="P159" s="484">
        <v>0.0</v>
      </c>
      <c r="Q159" s="607"/>
      <c r="R159" s="606"/>
      <c r="S159" s="484">
        <v>0.0</v>
      </c>
      <c r="T159" s="607"/>
      <c r="U159" s="606"/>
      <c r="V159" s="484">
        <v>0.0</v>
      </c>
      <c r="W159" s="607"/>
      <c r="X159" s="606"/>
      <c r="Y159" s="484">
        <v>0.0</v>
      </c>
    </row>
    <row r="160" ht="14.25" customHeight="1">
      <c r="A160" s="480" t="s">
        <v>159</v>
      </c>
      <c r="B160" s="607"/>
      <c r="C160" s="606"/>
      <c r="D160" s="484">
        <v>0.0</v>
      </c>
      <c r="E160" s="607"/>
      <c r="F160" s="606"/>
      <c r="G160" s="484">
        <v>0.0</v>
      </c>
      <c r="H160" s="607"/>
      <c r="I160" s="606"/>
      <c r="J160" s="484">
        <v>0.0</v>
      </c>
      <c r="K160" s="607"/>
      <c r="L160" s="606"/>
      <c r="M160" s="484">
        <v>0.0</v>
      </c>
      <c r="N160" s="607"/>
      <c r="O160" s="606"/>
      <c r="P160" s="484">
        <v>0.0</v>
      </c>
      <c r="Q160" s="607"/>
      <c r="R160" s="606"/>
      <c r="S160" s="484">
        <v>0.0</v>
      </c>
      <c r="T160" s="607"/>
      <c r="U160" s="606"/>
      <c r="V160" s="484">
        <v>0.0</v>
      </c>
      <c r="W160" s="607"/>
      <c r="X160" s="606"/>
      <c r="Y160" s="484">
        <v>0.0</v>
      </c>
    </row>
    <row r="161" ht="14.25" customHeight="1">
      <c r="A161" s="480" t="s">
        <v>160</v>
      </c>
      <c r="B161" s="480"/>
      <c r="C161" s="48"/>
      <c r="D161" s="484">
        <v>0.0</v>
      </c>
      <c r="E161" s="480"/>
      <c r="F161" s="48"/>
      <c r="G161" s="484">
        <v>0.0</v>
      </c>
      <c r="H161" s="480"/>
      <c r="I161" s="48"/>
      <c r="J161" s="484">
        <v>0.0</v>
      </c>
      <c r="K161" s="480"/>
      <c r="L161" s="48"/>
      <c r="M161" s="484">
        <v>0.0</v>
      </c>
      <c r="N161" s="480"/>
      <c r="O161" s="48"/>
      <c r="P161" s="484">
        <v>0.0</v>
      </c>
      <c r="Q161" s="480"/>
      <c r="R161" s="48"/>
      <c r="S161" s="484">
        <v>0.0</v>
      </c>
      <c r="T161" s="480"/>
      <c r="U161" s="48"/>
      <c r="V161" s="484">
        <v>0.0</v>
      </c>
      <c r="W161" s="480"/>
      <c r="X161" s="48"/>
      <c r="Y161" s="484">
        <v>0.0</v>
      </c>
    </row>
    <row r="162" ht="14.25" customHeight="1">
      <c r="A162" s="480" t="s">
        <v>148</v>
      </c>
      <c r="B162" s="570">
        <v>0.0</v>
      </c>
      <c r="C162" s="567">
        <v>0.0</v>
      </c>
      <c r="D162" s="484">
        <v>0.0</v>
      </c>
      <c r="E162" s="570">
        <v>0.0</v>
      </c>
      <c r="F162" s="567">
        <v>0.0</v>
      </c>
      <c r="G162" s="484">
        <v>0.0</v>
      </c>
      <c r="H162" s="570">
        <v>0.0</v>
      </c>
      <c r="I162" s="567">
        <v>0.0</v>
      </c>
      <c r="J162" s="484">
        <v>0.0</v>
      </c>
      <c r="K162" s="570">
        <v>0.0</v>
      </c>
      <c r="L162" s="567">
        <v>0.0</v>
      </c>
      <c r="M162" s="484">
        <v>0.0</v>
      </c>
      <c r="N162" s="570">
        <v>0.7647058823529412</v>
      </c>
      <c r="O162" s="567">
        <v>382.3529411764706</v>
      </c>
      <c r="P162" s="484">
        <v>13000.0</v>
      </c>
      <c r="Q162" s="570">
        <v>0.736842105263158</v>
      </c>
      <c r="R162" s="567">
        <v>368.42105263157896</v>
      </c>
      <c r="S162" s="484">
        <v>7000.0</v>
      </c>
      <c r="T162" s="570">
        <v>0.7391304347826088</v>
      </c>
      <c r="U162" s="567">
        <v>369.5652173913044</v>
      </c>
      <c r="V162" s="484">
        <v>8500.0</v>
      </c>
      <c r="W162" s="570">
        <v>0.5936949999999998</v>
      </c>
      <c r="X162" s="567">
        <v>296.84749999999985</v>
      </c>
      <c r="Y162" s="484">
        <v>7124.3399999999965</v>
      </c>
    </row>
    <row r="163" ht="14.25" customHeight="1">
      <c r="A163" s="480" t="s">
        <v>56</v>
      </c>
      <c r="B163" s="480"/>
      <c r="C163" s="48"/>
      <c r="D163" s="484">
        <v>0.0</v>
      </c>
      <c r="E163" s="480"/>
      <c r="F163" s="48"/>
      <c r="G163" s="484">
        <v>0.0</v>
      </c>
      <c r="H163" s="480"/>
      <c r="I163" s="48"/>
      <c r="J163" s="484">
        <v>0.0</v>
      </c>
      <c r="K163" s="480"/>
      <c r="L163" s="48"/>
      <c r="M163" s="484">
        <v>0.0</v>
      </c>
      <c r="N163" s="480"/>
      <c r="O163" s="48"/>
      <c r="P163" s="484">
        <v>0.0</v>
      </c>
      <c r="Q163" s="480"/>
      <c r="R163" s="48"/>
      <c r="S163" s="484">
        <v>0.0</v>
      </c>
      <c r="T163" s="480"/>
      <c r="U163" s="48"/>
      <c r="V163" s="484">
        <v>0.0</v>
      </c>
      <c r="W163" s="480"/>
      <c r="X163" s="48"/>
      <c r="Y163" s="484">
        <v>0.0</v>
      </c>
    </row>
    <row r="164" ht="14.25" customHeight="1">
      <c r="A164" s="480" t="s">
        <v>56</v>
      </c>
      <c r="B164" s="480"/>
      <c r="C164" s="48"/>
      <c r="D164" s="484">
        <v>0.0</v>
      </c>
      <c r="E164" s="480"/>
      <c r="F164" s="48"/>
      <c r="G164" s="484">
        <v>0.0</v>
      </c>
      <c r="H164" s="480"/>
      <c r="I164" s="48"/>
      <c r="J164" s="484">
        <v>0.0</v>
      </c>
      <c r="K164" s="480"/>
      <c r="L164" s="48"/>
      <c r="M164" s="484">
        <v>0.0</v>
      </c>
      <c r="N164" s="480"/>
      <c r="O164" s="48"/>
      <c r="P164" s="484">
        <v>0.0</v>
      </c>
      <c r="Q164" s="480"/>
      <c r="R164" s="48"/>
      <c r="S164" s="484">
        <v>0.0</v>
      </c>
      <c r="T164" s="480"/>
      <c r="U164" s="48"/>
      <c r="V164" s="484">
        <v>0.0</v>
      </c>
      <c r="W164" s="480"/>
      <c r="X164" s="48"/>
      <c r="Y164" s="484">
        <v>0.0</v>
      </c>
    </row>
    <row r="165" ht="14.25" customHeight="1">
      <c r="A165" s="471" t="s">
        <v>56</v>
      </c>
      <c r="B165" s="480"/>
      <c r="C165" s="48"/>
      <c r="D165" s="484">
        <v>0.0</v>
      </c>
      <c r="E165" s="480"/>
      <c r="F165" s="48"/>
      <c r="G165" s="484">
        <v>0.0</v>
      </c>
      <c r="H165" s="480"/>
      <c r="I165" s="48"/>
      <c r="J165" s="484">
        <v>0.0</v>
      </c>
      <c r="K165" s="480"/>
      <c r="L165" s="48"/>
      <c r="M165" s="484">
        <v>0.0</v>
      </c>
      <c r="N165" s="480"/>
      <c r="O165" s="48"/>
      <c r="P165" s="484">
        <v>0.0</v>
      </c>
      <c r="Q165" s="480"/>
      <c r="R165" s="48"/>
      <c r="S165" s="484">
        <v>0.0</v>
      </c>
      <c r="T165" s="480"/>
      <c r="U165" s="48"/>
      <c r="V165" s="484">
        <v>0.0</v>
      </c>
      <c r="W165" s="480"/>
      <c r="X165" s="48"/>
      <c r="Y165" s="484">
        <v>0.0</v>
      </c>
    </row>
    <row r="166" ht="14.25" customHeight="1">
      <c r="A166" s="552" t="s">
        <v>149</v>
      </c>
      <c r="B166" s="556"/>
      <c r="C166" s="554"/>
      <c r="D166" s="555">
        <v>0.0</v>
      </c>
      <c r="E166" s="556"/>
      <c r="F166" s="554"/>
      <c r="G166" s="555">
        <v>0.0</v>
      </c>
      <c r="H166" s="556"/>
      <c r="I166" s="554"/>
      <c r="J166" s="555">
        <v>0.0</v>
      </c>
      <c r="K166" s="556"/>
      <c r="L166" s="554"/>
      <c r="M166" s="555">
        <v>0.0</v>
      </c>
      <c r="N166" s="556"/>
      <c r="O166" s="554"/>
      <c r="P166" s="555">
        <v>13000.0</v>
      </c>
      <c r="Q166" s="556"/>
      <c r="R166" s="554"/>
      <c r="S166" s="555">
        <v>7000.0</v>
      </c>
      <c r="T166" s="556"/>
      <c r="U166" s="554"/>
      <c r="V166" s="555">
        <v>8500.0</v>
      </c>
      <c r="W166" s="556"/>
      <c r="X166" s="554"/>
      <c r="Y166" s="555">
        <v>7124.3399999999965</v>
      </c>
    </row>
    <row r="167" ht="14.25" customHeight="1">
      <c r="A167" s="480"/>
      <c r="B167" s="480"/>
      <c r="C167" s="48"/>
      <c r="D167" s="484"/>
      <c r="E167" s="480"/>
      <c r="F167" s="48"/>
      <c r="G167" s="484"/>
      <c r="H167" s="480"/>
      <c r="I167" s="48"/>
      <c r="J167" s="484"/>
      <c r="K167" s="480"/>
      <c r="L167" s="48"/>
      <c r="M167" s="484"/>
      <c r="N167" s="480"/>
      <c r="O167" s="48"/>
      <c r="P167" s="484"/>
      <c r="Q167" s="480"/>
      <c r="R167" s="48"/>
      <c r="S167" s="484"/>
      <c r="T167" s="480"/>
      <c r="U167" s="48"/>
      <c r="V167" s="484"/>
      <c r="W167" s="480"/>
      <c r="X167" s="48"/>
      <c r="Y167" s="484"/>
    </row>
    <row r="168" ht="14.25" customHeight="1">
      <c r="A168" s="579" t="s">
        <v>150</v>
      </c>
      <c r="B168" s="583"/>
      <c r="C168" s="581"/>
      <c r="D168" s="582">
        <v>-78132.7800000003</v>
      </c>
      <c r="E168" s="583"/>
      <c r="F168" s="581"/>
      <c r="G168" s="582">
        <v>-49089.799999999595</v>
      </c>
      <c r="H168" s="583"/>
      <c r="I168" s="581"/>
      <c r="J168" s="582">
        <v>-4291.069999999076</v>
      </c>
      <c r="K168" s="583"/>
      <c r="L168" s="581"/>
      <c r="M168" s="582">
        <v>-18265.240000001562</v>
      </c>
      <c r="N168" s="583"/>
      <c r="O168" s="581"/>
      <c r="P168" s="582">
        <v>3081.0200000016193</v>
      </c>
      <c r="Q168" s="583"/>
      <c r="R168" s="581"/>
      <c r="S168" s="582">
        <v>-18155.289999999295</v>
      </c>
      <c r="T168" s="583"/>
      <c r="U168" s="581"/>
      <c r="V168" s="582">
        <v>-5405.119999999268</v>
      </c>
      <c r="W168" s="583"/>
      <c r="X168" s="581"/>
      <c r="Y168" s="582">
        <v>-23059.26000000084</v>
      </c>
    </row>
    <row r="169" ht="14.25" customHeight="1">
      <c r="A169" s="40"/>
      <c r="B169" s="40"/>
      <c r="C169" s="40"/>
      <c r="D169" s="540"/>
      <c r="E169" s="40"/>
      <c r="F169" s="40"/>
      <c r="G169" s="540"/>
      <c r="H169" s="40"/>
      <c r="I169" s="40"/>
      <c r="J169" s="540"/>
      <c r="K169" s="40"/>
      <c r="L169" s="40"/>
      <c r="M169" s="540"/>
      <c r="N169" s="40"/>
      <c r="O169" s="40"/>
      <c r="P169" s="540"/>
      <c r="Q169" s="40"/>
      <c r="R169" s="40"/>
      <c r="S169" s="540"/>
      <c r="T169" s="40"/>
      <c r="U169" s="40"/>
      <c r="V169" s="540"/>
      <c r="W169" s="40"/>
      <c r="X169" s="40"/>
      <c r="Y169" s="540"/>
    </row>
    <row r="170" ht="14.25" customHeight="1">
      <c r="A170" s="40"/>
      <c r="B170" s="40"/>
      <c r="C170" s="40"/>
      <c r="D170" s="540"/>
      <c r="E170" s="40"/>
      <c r="F170" s="40"/>
      <c r="G170" s="540"/>
      <c r="H170" s="40"/>
      <c r="I170" s="40"/>
      <c r="J170" s="540"/>
      <c r="K170" s="40"/>
      <c r="L170" s="40"/>
      <c r="M170" s="540"/>
      <c r="N170" s="40"/>
      <c r="O170" s="40"/>
      <c r="P170" s="540"/>
      <c r="Q170" s="40"/>
      <c r="R170" s="40"/>
      <c r="S170" s="540"/>
      <c r="T170" s="40"/>
      <c r="U170" s="40"/>
      <c r="V170" s="540"/>
      <c r="W170" s="40"/>
      <c r="X170" s="40"/>
      <c r="Y170" s="540"/>
    </row>
    <row r="171" ht="14.25" customHeight="1">
      <c r="A171" s="450" t="s">
        <v>1</v>
      </c>
      <c r="B171" s="450"/>
      <c r="C171" s="453" t="s">
        <v>898</v>
      </c>
      <c r="D171" s="451"/>
      <c r="E171" s="450"/>
      <c r="F171" s="453" t="s">
        <v>898</v>
      </c>
      <c r="G171" s="451"/>
      <c r="H171" s="450"/>
      <c r="I171" s="453" t="s">
        <v>898</v>
      </c>
      <c r="J171" s="451"/>
      <c r="K171" s="450"/>
      <c r="L171" s="453" t="s">
        <v>898</v>
      </c>
      <c r="M171" s="451"/>
      <c r="N171" s="450"/>
      <c r="O171" s="453" t="s">
        <v>898</v>
      </c>
      <c r="P171" s="451"/>
      <c r="Q171" s="450"/>
      <c r="R171" s="453" t="s">
        <v>898</v>
      </c>
      <c r="S171" s="451"/>
      <c r="T171" s="450"/>
      <c r="U171" s="453" t="s">
        <v>898</v>
      </c>
      <c r="V171" s="451"/>
      <c r="W171" s="450"/>
      <c r="X171" s="453" t="s">
        <v>898</v>
      </c>
      <c r="Y171" s="451"/>
    </row>
    <row r="172" ht="14.25" customHeight="1">
      <c r="A172" s="39"/>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row>
    <row r="173" ht="14.25" customHeight="1">
      <c r="A173" s="461"/>
      <c r="B173" s="910" t="s">
        <v>775</v>
      </c>
      <c r="C173" s="913"/>
      <c r="D173" s="914"/>
      <c r="E173" s="910" t="s">
        <v>775</v>
      </c>
      <c r="F173" s="913"/>
      <c r="G173" s="914"/>
      <c r="H173" s="910" t="s">
        <v>775</v>
      </c>
      <c r="I173" s="913"/>
      <c r="J173" s="914"/>
      <c r="K173" s="910" t="s">
        <v>775</v>
      </c>
      <c r="L173" s="913"/>
      <c r="M173" s="914"/>
      <c r="N173" s="910" t="s">
        <v>775</v>
      </c>
      <c r="O173" s="913"/>
      <c r="P173" s="914"/>
      <c r="Q173" s="910" t="s">
        <v>775</v>
      </c>
      <c r="R173" s="913"/>
      <c r="S173" s="914"/>
      <c r="T173" s="910" t="s">
        <v>775</v>
      </c>
      <c r="U173" s="913"/>
      <c r="V173" s="914"/>
      <c r="W173" s="910" t="s">
        <v>775</v>
      </c>
      <c r="X173" s="913"/>
      <c r="Y173" s="914"/>
    </row>
    <row r="174" ht="14.25" customHeight="1">
      <c r="A174" s="480"/>
      <c r="B174" s="470" t="s">
        <v>781</v>
      </c>
      <c r="C174" s="468" t="s">
        <v>94</v>
      </c>
      <c r="D174" s="469" t="s">
        <v>95</v>
      </c>
      <c r="E174" s="470" t="s">
        <v>781</v>
      </c>
      <c r="F174" s="468" t="s">
        <v>94</v>
      </c>
      <c r="G174" s="469" t="s">
        <v>95</v>
      </c>
      <c r="H174" s="470" t="s">
        <v>781</v>
      </c>
      <c r="I174" s="468" t="s">
        <v>94</v>
      </c>
      <c r="J174" s="469" t="s">
        <v>95</v>
      </c>
      <c r="K174" s="470" t="s">
        <v>781</v>
      </c>
      <c r="L174" s="468" t="s">
        <v>94</v>
      </c>
      <c r="M174" s="469" t="s">
        <v>95</v>
      </c>
      <c r="N174" s="470" t="s">
        <v>781</v>
      </c>
      <c r="O174" s="468" t="s">
        <v>94</v>
      </c>
      <c r="P174" s="469" t="s">
        <v>95</v>
      </c>
      <c r="Q174" s="470" t="s">
        <v>781</v>
      </c>
      <c r="R174" s="468" t="s">
        <v>94</v>
      </c>
      <c r="S174" s="469" t="s">
        <v>95</v>
      </c>
      <c r="T174" s="470" t="s">
        <v>781</v>
      </c>
      <c r="U174" s="468" t="s">
        <v>94</v>
      </c>
      <c r="V174" s="469" t="s">
        <v>95</v>
      </c>
      <c r="W174" s="470" t="s">
        <v>781</v>
      </c>
      <c r="X174" s="468" t="s">
        <v>94</v>
      </c>
      <c r="Y174" s="469" t="s">
        <v>95</v>
      </c>
    </row>
    <row r="175" ht="14.25" customHeight="1">
      <c r="A175" s="471" t="s">
        <v>96</v>
      </c>
      <c r="B175" s="471"/>
      <c r="C175" s="513"/>
      <c r="D175" s="476">
        <v>8710174.77</v>
      </c>
      <c r="E175" s="471"/>
      <c r="F175" s="513"/>
      <c r="G175" s="476">
        <v>2424468.06</v>
      </c>
      <c r="H175" s="471"/>
      <c r="I175" s="513"/>
      <c r="J175" s="476">
        <v>6826917.4399999995</v>
      </c>
      <c r="K175" s="471"/>
      <c r="L175" s="513"/>
      <c r="M175" s="476">
        <v>1.0311270940000001E7</v>
      </c>
      <c r="N175" s="471"/>
      <c r="O175" s="513"/>
      <c r="P175" s="476">
        <v>1.4612421709999999E7</v>
      </c>
      <c r="Q175" s="471"/>
      <c r="R175" s="513"/>
      <c r="S175" s="476">
        <v>6031102.919999998</v>
      </c>
      <c r="T175" s="471"/>
      <c r="U175" s="513"/>
      <c r="V175" s="476">
        <v>4632656.840000004</v>
      </c>
      <c r="W175" s="471"/>
      <c r="X175" s="513"/>
      <c r="Y175" s="476">
        <v>5617807.689999998</v>
      </c>
    </row>
    <row r="176" ht="14.25" customHeight="1">
      <c r="A176" s="480"/>
      <c r="B176" s="480"/>
      <c r="C176" s="483"/>
      <c r="D176" s="484"/>
      <c r="E176" s="480"/>
      <c r="F176" s="483"/>
      <c r="G176" s="484"/>
      <c r="H176" s="480"/>
      <c r="I176" s="483"/>
      <c r="J176" s="484"/>
      <c r="K176" s="480"/>
      <c r="L176" s="483"/>
      <c r="M176" s="484"/>
      <c r="N176" s="480"/>
      <c r="O176" s="483"/>
      <c r="P176" s="484"/>
      <c r="Q176" s="480"/>
      <c r="R176" s="483"/>
      <c r="S176" s="484"/>
      <c r="T176" s="480"/>
      <c r="U176" s="483"/>
      <c r="V176" s="484"/>
      <c r="W176" s="480"/>
      <c r="X176" s="483"/>
      <c r="Y176" s="484"/>
    </row>
    <row r="177" ht="14.25" customHeight="1">
      <c r="A177" s="480" t="s">
        <v>900</v>
      </c>
      <c r="B177" s="482">
        <v>40.0</v>
      </c>
      <c r="C177" s="483">
        <v>1037.5037499999976</v>
      </c>
      <c r="D177" s="484">
        <v>41500.14999999991</v>
      </c>
      <c r="E177" s="482">
        <v>42.0</v>
      </c>
      <c r="F177" s="483">
        <v>1274.469761904767</v>
      </c>
      <c r="G177" s="484">
        <v>53527.730000000214</v>
      </c>
      <c r="H177" s="482">
        <v>83.0</v>
      </c>
      <c r="I177" s="483">
        <v>1819.989036144571</v>
      </c>
      <c r="J177" s="484">
        <v>151059.08999999939</v>
      </c>
      <c r="K177" s="482">
        <v>92.0</v>
      </c>
      <c r="L177" s="483">
        <v>1624.3936956521914</v>
      </c>
      <c r="M177" s="484">
        <v>149444.2200000016</v>
      </c>
      <c r="N177" s="482">
        <v>77.0</v>
      </c>
      <c r="O177" s="483">
        <v>962.2648051947948</v>
      </c>
      <c r="P177" s="484">
        <v>74094.3899999992</v>
      </c>
      <c r="Q177" s="482">
        <v>62.0</v>
      </c>
      <c r="R177" s="483">
        <v>-317.7272580645438</v>
      </c>
      <c r="S177" s="484">
        <v>-19699.090000001714</v>
      </c>
      <c r="T177" s="482">
        <v>45.0</v>
      </c>
      <c r="U177" s="483">
        <v>-853.936444444375</v>
      </c>
      <c r="V177" s="484">
        <v>-38427.13999999687</v>
      </c>
      <c r="W177" s="482">
        <v>77.0</v>
      </c>
      <c r="X177" s="483">
        <v>-783.6815584415642</v>
      </c>
      <c r="Y177" s="484">
        <v>-60343.48000000045</v>
      </c>
    </row>
    <row r="178" ht="14.25" customHeight="1">
      <c r="A178" s="471"/>
      <c r="B178" s="512"/>
      <c r="C178" s="513"/>
      <c r="D178" s="476"/>
      <c r="E178" s="512"/>
      <c r="F178" s="513"/>
      <c r="G178" s="476"/>
      <c r="H178" s="512"/>
      <c r="I178" s="513"/>
      <c r="J178" s="476"/>
      <c r="K178" s="512"/>
      <c r="L178" s="513"/>
      <c r="M178" s="476"/>
      <c r="N178" s="512"/>
      <c r="O178" s="513"/>
      <c r="P178" s="476"/>
      <c r="Q178" s="512"/>
      <c r="R178" s="513"/>
      <c r="S178" s="476"/>
      <c r="T178" s="512"/>
      <c r="U178" s="513"/>
      <c r="V178" s="476"/>
      <c r="W178" s="512"/>
      <c r="X178" s="513"/>
      <c r="Y178" s="476"/>
    </row>
    <row r="179" ht="14.25" customHeight="1">
      <c r="A179" s="480" t="s">
        <v>901</v>
      </c>
      <c r="B179" s="482">
        <v>0.0</v>
      </c>
      <c r="C179" s="483">
        <v>0.0</v>
      </c>
      <c r="D179" s="484">
        <v>0.0</v>
      </c>
      <c r="E179" s="482">
        <v>0.0</v>
      </c>
      <c r="F179" s="483">
        <v>0.0</v>
      </c>
      <c r="G179" s="484">
        <v>0.0</v>
      </c>
      <c r="H179" s="482">
        <v>0.0</v>
      </c>
      <c r="I179" s="483">
        <v>0.0</v>
      </c>
      <c r="J179" s="484">
        <v>0.0</v>
      </c>
      <c r="K179" s="482">
        <v>0.0</v>
      </c>
      <c r="L179" s="483">
        <v>0.0</v>
      </c>
      <c r="M179" s="484">
        <v>0.0</v>
      </c>
      <c r="N179" s="482">
        <v>246.0</v>
      </c>
      <c r="O179" s="483">
        <v>984.5160162601604</v>
      </c>
      <c r="P179" s="484">
        <v>242190.93999999948</v>
      </c>
      <c r="Q179" s="482">
        <v>16.0</v>
      </c>
      <c r="R179" s="483">
        <v>2995.396875000035</v>
      </c>
      <c r="S179" s="484">
        <v>47926.35000000056</v>
      </c>
      <c r="T179" s="482">
        <v>21.0</v>
      </c>
      <c r="U179" s="483">
        <v>466.9257142857338</v>
      </c>
      <c r="V179" s="484">
        <v>9805.44000000041</v>
      </c>
      <c r="W179" s="482">
        <v>27.0</v>
      </c>
      <c r="X179" s="483">
        <v>844.6870370369957</v>
      </c>
      <c r="Y179" s="484">
        <v>22806.549999998882</v>
      </c>
    </row>
    <row r="180" ht="14.25" customHeight="1">
      <c r="A180" s="471"/>
      <c r="B180" s="512"/>
      <c r="C180" s="513"/>
      <c r="D180" s="476"/>
      <c r="E180" s="512"/>
      <c r="F180" s="513"/>
      <c r="G180" s="476"/>
      <c r="H180" s="512"/>
      <c r="I180" s="513"/>
      <c r="J180" s="476"/>
      <c r="K180" s="512"/>
      <c r="L180" s="513"/>
      <c r="M180" s="476"/>
      <c r="N180" s="512"/>
      <c r="O180" s="513"/>
      <c r="P180" s="476"/>
      <c r="Q180" s="512"/>
      <c r="R180" s="513"/>
      <c r="S180" s="476"/>
      <c r="T180" s="512"/>
      <c r="U180" s="513"/>
      <c r="V180" s="476"/>
      <c r="W180" s="512"/>
      <c r="X180" s="513"/>
      <c r="Y180" s="476"/>
    </row>
    <row r="181" ht="14.25" customHeight="1">
      <c r="A181" s="480" t="s">
        <v>902</v>
      </c>
      <c r="B181" s="482">
        <v>41.0</v>
      </c>
      <c r="C181" s="483">
        <v>3608.9431707317053</v>
      </c>
      <c r="D181" s="484">
        <v>147966.66999999993</v>
      </c>
      <c r="E181" s="482">
        <v>3.0</v>
      </c>
      <c r="F181" s="483">
        <v>4333.333333333333</v>
      </c>
      <c r="G181" s="484">
        <v>13000.0</v>
      </c>
      <c r="H181" s="482">
        <v>32.0</v>
      </c>
      <c r="I181" s="483">
        <v>1520.0</v>
      </c>
      <c r="J181" s="484">
        <v>48640.0</v>
      </c>
      <c r="K181" s="482">
        <v>63.0</v>
      </c>
      <c r="L181" s="483">
        <v>1722.063492063492</v>
      </c>
      <c r="M181" s="484">
        <v>108490.0</v>
      </c>
      <c r="N181" s="482">
        <v>22.0</v>
      </c>
      <c r="O181" s="483">
        <v>2903.636363636448</v>
      </c>
      <c r="P181" s="484">
        <v>63880.00000000186</v>
      </c>
      <c r="Q181" s="482">
        <v>21.0</v>
      </c>
      <c r="R181" s="483">
        <v>1927.3809523809523</v>
      </c>
      <c r="S181" s="484">
        <v>40475.0</v>
      </c>
      <c r="T181" s="482">
        <v>11.0</v>
      </c>
      <c r="U181" s="483">
        <v>2600.0</v>
      </c>
      <c r="V181" s="484">
        <v>28600.0</v>
      </c>
      <c r="W181" s="482">
        <v>8.0</v>
      </c>
      <c r="X181" s="483">
        <v>2704.375</v>
      </c>
      <c r="Y181" s="484">
        <v>21635.0</v>
      </c>
    </row>
    <row r="182" ht="14.25" customHeight="1">
      <c r="A182" s="480"/>
      <c r="B182" s="480"/>
      <c r="C182" s="483"/>
      <c r="D182" s="484"/>
      <c r="E182" s="480"/>
      <c r="F182" s="483"/>
      <c r="G182" s="484"/>
      <c r="H182" s="480"/>
      <c r="I182" s="483"/>
      <c r="J182" s="484"/>
      <c r="K182" s="480"/>
      <c r="L182" s="483"/>
      <c r="M182" s="484"/>
      <c r="N182" s="480"/>
      <c r="O182" s="483"/>
      <c r="P182" s="484"/>
      <c r="Q182" s="480"/>
      <c r="R182" s="483"/>
      <c r="S182" s="484"/>
      <c r="T182" s="480"/>
      <c r="U182" s="483"/>
      <c r="V182" s="484"/>
      <c r="W182" s="480"/>
      <c r="X182" s="483"/>
      <c r="Y182" s="484"/>
    </row>
    <row r="183" ht="14.25" customHeight="1">
      <c r="A183" s="480"/>
      <c r="B183" s="480"/>
      <c r="C183" s="483"/>
      <c r="D183" s="484"/>
      <c r="E183" s="480"/>
      <c r="F183" s="483"/>
      <c r="G183" s="484"/>
      <c r="H183" s="480"/>
      <c r="I183" s="483"/>
      <c r="J183" s="484"/>
      <c r="K183" s="480"/>
      <c r="L183" s="483"/>
      <c r="M183" s="484"/>
      <c r="N183" s="480"/>
      <c r="O183" s="483"/>
      <c r="P183" s="484"/>
      <c r="Q183" s="480"/>
      <c r="R183" s="483"/>
      <c r="S183" s="484"/>
      <c r="T183" s="480"/>
      <c r="U183" s="483"/>
      <c r="V183" s="484"/>
      <c r="W183" s="480"/>
      <c r="X183" s="483"/>
      <c r="Y183" s="484"/>
    </row>
    <row r="184" ht="14.25" customHeight="1">
      <c r="A184" s="526" t="s">
        <v>903</v>
      </c>
      <c r="B184" s="530">
        <v>81.0</v>
      </c>
      <c r="C184" s="527">
        <v>2339.0965432098747</v>
      </c>
      <c r="D184" s="529">
        <v>189466.81999999983</v>
      </c>
      <c r="E184" s="530">
        <v>45.0</v>
      </c>
      <c r="F184" s="527">
        <v>1478.3940000000048</v>
      </c>
      <c r="G184" s="529">
        <v>66527.73000000021</v>
      </c>
      <c r="H184" s="530">
        <v>115.0</v>
      </c>
      <c r="I184" s="527">
        <v>1736.5138260869512</v>
      </c>
      <c r="J184" s="529">
        <v>199699.08999999939</v>
      </c>
      <c r="K184" s="530">
        <v>155.0</v>
      </c>
      <c r="L184" s="527">
        <v>1664.0917419354942</v>
      </c>
      <c r="M184" s="529">
        <v>257934.2200000016</v>
      </c>
      <c r="N184" s="530">
        <v>345.0</v>
      </c>
      <c r="O184" s="527">
        <v>1101.9284927536248</v>
      </c>
      <c r="P184" s="529">
        <v>380165.33000000054</v>
      </c>
      <c r="Q184" s="530">
        <v>99.0</v>
      </c>
      <c r="R184" s="527">
        <v>693.9622222222106</v>
      </c>
      <c r="S184" s="529">
        <v>68702.25999999885</v>
      </c>
      <c r="T184" s="530">
        <v>77.0</v>
      </c>
      <c r="U184" s="527">
        <v>-0.28181818177222046</v>
      </c>
      <c r="V184" s="529">
        <v>-21.699999996460974</v>
      </c>
      <c r="W184" s="530">
        <v>112.0</v>
      </c>
      <c r="X184" s="527">
        <v>-141.98151785715683</v>
      </c>
      <c r="Y184" s="529">
        <v>-15901.930000001565</v>
      </c>
    </row>
    <row r="185" ht="14.25" customHeight="1">
      <c r="A185" s="531"/>
      <c r="B185" s="531"/>
      <c r="C185" s="534"/>
      <c r="D185" s="535"/>
      <c r="E185" s="531"/>
      <c r="F185" s="534"/>
      <c r="G185" s="535"/>
      <c r="H185" s="531"/>
      <c r="I185" s="534"/>
      <c r="J185" s="535"/>
      <c r="K185" s="531"/>
      <c r="L185" s="534"/>
      <c r="M185" s="535"/>
      <c r="N185" s="531"/>
      <c r="O185" s="534"/>
      <c r="P185" s="535"/>
      <c r="Q185" s="531"/>
      <c r="R185" s="534"/>
      <c r="S185" s="535"/>
      <c r="T185" s="531"/>
      <c r="U185" s="534"/>
      <c r="V185" s="535"/>
      <c r="W185" s="531"/>
      <c r="X185" s="534"/>
      <c r="Y185" s="535"/>
    </row>
    <row r="186" ht="14.25" customHeight="1">
      <c r="A186" s="500"/>
      <c r="B186" s="500"/>
      <c r="C186" s="503"/>
      <c r="D186" s="504"/>
      <c r="E186" s="500"/>
      <c r="F186" s="503"/>
      <c r="G186" s="504"/>
      <c r="H186" s="500"/>
      <c r="I186" s="503"/>
      <c r="J186" s="504"/>
      <c r="K186" s="500"/>
      <c r="L186" s="503"/>
      <c r="M186" s="504"/>
      <c r="N186" s="500"/>
      <c r="O186" s="503"/>
      <c r="P186" s="504"/>
      <c r="Q186" s="500"/>
      <c r="R186" s="503"/>
      <c r="S186" s="504"/>
      <c r="T186" s="500"/>
      <c r="U186" s="503"/>
      <c r="V186" s="504"/>
      <c r="W186" s="500"/>
      <c r="X186" s="503"/>
      <c r="Y186" s="504"/>
    </row>
    <row r="187" ht="14.25" customHeight="1">
      <c r="A187" s="541" t="s">
        <v>110</v>
      </c>
      <c r="B187" s="480"/>
      <c r="C187" s="542"/>
      <c r="D187" s="484"/>
      <c r="E187" s="480"/>
      <c r="F187" s="542"/>
      <c r="G187" s="484"/>
      <c r="H187" s="480"/>
      <c r="I187" s="542"/>
      <c r="J187" s="484"/>
      <c r="K187" s="480"/>
      <c r="L187" s="542"/>
      <c r="M187" s="484"/>
      <c r="N187" s="480"/>
      <c r="O187" s="542"/>
      <c r="P187" s="484"/>
      <c r="Q187" s="480"/>
      <c r="R187" s="542"/>
      <c r="S187" s="484"/>
      <c r="T187" s="480"/>
      <c r="U187" s="542"/>
      <c r="V187" s="484"/>
      <c r="W187" s="480"/>
      <c r="X187" s="542"/>
      <c r="Y187" s="484"/>
    </row>
    <row r="188" ht="14.25" customHeight="1">
      <c r="A188" s="480" t="s">
        <v>111</v>
      </c>
      <c r="B188" s="515">
        <v>0.0</v>
      </c>
      <c r="C188" s="483">
        <v>0.0</v>
      </c>
      <c r="D188" s="484">
        <v>0.0</v>
      </c>
      <c r="E188" s="515">
        <v>0.0</v>
      </c>
      <c r="F188" s="483">
        <v>0.0</v>
      </c>
      <c r="G188" s="484">
        <v>0.0</v>
      </c>
      <c r="H188" s="515">
        <v>0.0</v>
      </c>
      <c r="I188" s="483">
        <v>0.0</v>
      </c>
      <c r="J188" s="484">
        <v>0.0</v>
      </c>
      <c r="K188" s="515">
        <v>0.0</v>
      </c>
      <c r="L188" s="483">
        <v>0.0</v>
      </c>
      <c r="M188" s="484">
        <v>0.0</v>
      </c>
      <c r="N188" s="515">
        <v>0.5018591253442278</v>
      </c>
      <c r="O188" s="483">
        <v>503.40221635883904</v>
      </c>
      <c r="P188" s="484">
        <v>190789.44</v>
      </c>
      <c r="Q188" s="515">
        <v>0.21295878767307286</v>
      </c>
      <c r="R188" s="483">
        <v>123.98940677966101</v>
      </c>
      <c r="S188" s="484">
        <v>14630.75</v>
      </c>
      <c r="T188" s="515">
        <v>-638.3069125464974</v>
      </c>
      <c r="U188" s="483">
        <v>138.5126000000001</v>
      </c>
      <c r="V188" s="484">
        <v>13851.26000000001</v>
      </c>
      <c r="W188" s="515">
        <v>-0.6338224353898557</v>
      </c>
      <c r="X188" s="483">
        <v>74.11029411764706</v>
      </c>
      <c r="Y188" s="484">
        <v>10079.0</v>
      </c>
    </row>
    <row r="189" ht="14.25" customHeight="1">
      <c r="A189" s="471" t="s">
        <v>112</v>
      </c>
      <c r="B189" s="545">
        <v>0.0</v>
      </c>
      <c r="C189" s="513">
        <v>0.0</v>
      </c>
      <c r="D189" s="484">
        <v>0.0</v>
      </c>
      <c r="E189" s="545">
        <v>0.0</v>
      </c>
      <c r="F189" s="513">
        <v>0.0</v>
      </c>
      <c r="G189" s="484">
        <v>0.0</v>
      </c>
      <c r="H189" s="545">
        <v>0.0</v>
      </c>
      <c r="I189" s="513">
        <v>0.0</v>
      </c>
      <c r="J189" s="484">
        <v>0.0</v>
      </c>
      <c r="K189" s="545">
        <v>0.0</v>
      </c>
      <c r="L189" s="513">
        <v>0.0</v>
      </c>
      <c r="M189" s="484">
        <v>0.0</v>
      </c>
      <c r="N189" s="545">
        <v>0.0</v>
      </c>
      <c r="O189" s="513">
        <v>0.0</v>
      </c>
      <c r="P189" s="484">
        <v>0.0</v>
      </c>
      <c r="Q189" s="545">
        <v>0.0</v>
      </c>
      <c r="R189" s="513">
        <v>0.0</v>
      </c>
      <c r="S189" s="484">
        <v>0.0</v>
      </c>
      <c r="T189" s="545">
        <v>0.0</v>
      </c>
      <c r="U189" s="513">
        <v>0.0</v>
      </c>
      <c r="V189" s="484">
        <v>0.0</v>
      </c>
      <c r="W189" s="545">
        <v>0.0</v>
      </c>
      <c r="X189" s="513">
        <v>0.0</v>
      </c>
      <c r="Y189" s="484">
        <v>0.0</v>
      </c>
    </row>
    <row r="190" ht="14.25" customHeight="1">
      <c r="A190" s="480" t="s">
        <v>113</v>
      </c>
      <c r="B190" s="480"/>
      <c r="C190" s="483">
        <v>7.558979591836734</v>
      </c>
      <c r="D190" s="523">
        <v>740.78</v>
      </c>
      <c r="E190" s="480"/>
      <c r="F190" s="483">
        <v>38.75981481481481</v>
      </c>
      <c r="G190" s="523">
        <v>2093.0299999999997</v>
      </c>
      <c r="H190" s="480"/>
      <c r="I190" s="483">
        <v>9.565259259259259</v>
      </c>
      <c r="J190" s="523">
        <v>1291.31</v>
      </c>
      <c r="K190" s="480"/>
      <c r="L190" s="483">
        <v>24.695722222222226</v>
      </c>
      <c r="M190" s="523">
        <v>4445.2300000000005</v>
      </c>
      <c r="N190" s="480"/>
      <c r="O190" s="483">
        <v>4.974511873350924</v>
      </c>
      <c r="P190" s="523">
        <v>1885.3400000000001</v>
      </c>
      <c r="Q190" s="480"/>
      <c r="R190" s="483">
        <v>-4.762288135593226</v>
      </c>
      <c r="S190" s="523">
        <v>-561.9500000000007</v>
      </c>
      <c r="T190" s="480"/>
      <c r="U190" s="483">
        <v>9.948000000000011</v>
      </c>
      <c r="V190" s="523">
        <v>994.8000000000011</v>
      </c>
      <c r="W190" s="480"/>
      <c r="X190" s="483">
        <v>4.1830882352941146</v>
      </c>
      <c r="Y190" s="523">
        <v>568.8999999999996</v>
      </c>
    </row>
    <row r="191" ht="14.25" customHeight="1">
      <c r="A191" s="480" t="s">
        <v>114</v>
      </c>
      <c r="B191" s="480"/>
      <c r="C191" s="483">
        <v>0.0</v>
      </c>
      <c r="D191" s="484">
        <v>0.0</v>
      </c>
      <c r="E191" s="480"/>
      <c r="F191" s="483">
        <v>0.0</v>
      </c>
      <c r="G191" s="484">
        <v>0.0</v>
      </c>
      <c r="H191" s="480"/>
      <c r="I191" s="483">
        <v>0.0</v>
      </c>
      <c r="J191" s="484">
        <v>0.0</v>
      </c>
      <c r="K191" s="480"/>
      <c r="L191" s="483">
        <v>0.0</v>
      </c>
      <c r="M191" s="484">
        <v>0.0</v>
      </c>
      <c r="N191" s="480"/>
      <c r="O191" s="483">
        <v>0.0</v>
      </c>
      <c r="P191" s="484">
        <v>0.0</v>
      </c>
      <c r="Q191" s="480"/>
      <c r="R191" s="483">
        <v>0.0</v>
      </c>
      <c r="S191" s="484">
        <v>0.0</v>
      </c>
      <c r="T191" s="480"/>
      <c r="U191" s="483">
        <v>0.0</v>
      </c>
      <c r="V191" s="484">
        <v>0.0</v>
      </c>
      <c r="W191" s="480"/>
      <c r="X191" s="483">
        <v>0.0</v>
      </c>
      <c r="Y191" s="484">
        <v>0.0</v>
      </c>
    </row>
    <row r="192" ht="14.25" customHeight="1">
      <c r="A192" s="471" t="s">
        <v>115</v>
      </c>
      <c r="B192" s="471"/>
      <c r="C192" s="513">
        <v>0.0</v>
      </c>
      <c r="D192" s="476">
        <v>0.0</v>
      </c>
      <c r="E192" s="471"/>
      <c r="F192" s="513">
        <v>0.0</v>
      </c>
      <c r="G192" s="476">
        <v>0.0</v>
      </c>
      <c r="H192" s="471"/>
      <c r="I192" s="513">
        <v>0.0</v>
      </c>
      <c r="J192" s="476">
        <v>0.0</v>
      </c>
      <c r="K192" s="471"/>
      <c r="L192" s="513">
        <v>0.0</v>
      </c>
      <c r="M192" s="476">
        <v>0.0</v>
      </c>
      <c r="N192" s="471"/>
      <c r="O192" s="513">
        <v>0.0</v>
      </c>
      <c r="P192" s="476">
        <v>0.0</v>
      </c>
      <c r="Q192" s="471"/>
      <c r="R192" s="513">
        <v>0.0</v>
      </c>
      <c r="S192" s="476">
        <v>0.0</v>
      </c>
      <c r="T192" s="471"/>
      <c r="U192" s="513">
        <v>0.0</v>
      </c>
      <c r="V192" s="476">
        <v>0.0</v>
      </c>
      <c r="W192" s="471"/>
      <c r="X192" s="513">
        <v>0.12867647058823528</v>
      </c>
      <c r="Y192" s="476">
        <v>17.5</v>
      </c>
    </row>
    <row r="193" ht="14.25" customHeight="1">
      <c r="A193" s="480" t="s">
        <v>116</v>
      </c>
      <c r="B193" s="480"/>
      <c r="C193" s="483">
        <v>0.0</v>
      </c>
      <c r="D193" s="484">
        <v>0.0</v>
      </c>
      <c r="E193" s="480"/>
      <c r="F193" s="483">
        <v>0.0</v>
      </c>
      <c r="G193" s="484">
        <v>0.0</v>
      </c>
      <c r="H193" s="480"/>
      <c r="I193" s="483">
        <v>0.0</v>
      </c>
      <c r="J193" s="484">
        <v>0.0</v>
      </c>
      <c r="K193" s="480"/>
      <c r="L193" s="483">
        <v>0.0</v>
      </c>
      <c r="M193" s="484">
        <v>0.0</v>
      </c>
      <c r="N193" s="480"/>
      <c r="O193" s="483">
        <v>0.0</v>
      </c>
      <c r="P193" s="484">
        <v>0.0</v>
      </c>
      <c r="Q193" s="480"/>
      <c r="R193" s="483">
        <v>0.0</v>
      </c>
      <c r="S193" s="484">
        <v>0.0</v>
      </c>
      <c r="T193" s="480"/>
      <c r="U193" s="483">
        <v>0.0</v>
      </c>
      <c r="V193" s="484">
        <v>0.0</v>
      </c>
      <c r="W193" s="480"/>
      <c r="X193" s="483">
        <v>0.0</v>
      </c>
      <c r="Y193" s="484">
        <v>0.0</v>
      </c>
    </row>
    <row r="194" ht="14.25" customHeight="1">
      <c r="A194" s="480" t="s">
        <v>117</v>
      </c>
      <c r="B194" s="480"/>
      <c r="C194" s="483">
        <v>220.3391836734694</v>
      </c>
      <c r="D194" s="484">
        <v>21593.24</v>
      </c>
      <c r="E194" s="480"/>
      <c r="F194" s="483">
        <v>0.0</v>
      </c>
      <c r="G194" s="484">
        <v>0.0</v>
      </c>
      <c r="H194" s="480"/>
      <c r="I194" s="483">
        <v>107.95711111111108</v>
      </c>
      <c r="J194" s="484">
        <v>14574.209999999995</v>
      </c>
      <c r="K194" s="480"/>
      <c r="L194" s="483">
        <v>149.00250000000003</v>
      </c>
      <c r="M194" s="484">
        <v>26820.450000000004</v>
      </c>
      <c r="N194" s="480"/>
      <c r="O194" s="483">
        <v>95.5408179419525</v>
      </c>
      <c r="P194" s="484">
        <v>36209.969999999994</v>
      </c>
      <c r="Q194" s="480"/>
      <c r="R194" s="483">
        <v>272.6745762711865</v>
      </c>
      <c r="S194" s="484">
        <v>32175.600000000006</v>
      </c>
      <c r="T194" s="480"/>
      <c r="U194" s="483">
        <v>286.9207999999999</v>
      </c>
      <c r="V194" s="484">
        <v>28692.079999999987</v>
      </c>
      <c r="W194" s="480"/>
      <c r="X194" s="483">
        <v>82.79705882352958</v>
      </c>
      <c r="Y194" s="484">
        <v>11260.400000000023</v>
      </c>
    </row>
    <row r="195" ht="14.25" customHeight="1">
      <c r="A195" s="480" t="s">
        <v>813</v>
      </c>
      <c r="B195" s="480"/>
      <c r="C195" s="483">
        <v>0.0</v>
      </c>
      <c r="D195" s="485">
        <v>0.0</v>
      </c>
      <c r="E195" s="480"/>
      <c r="F195" s="483">
        <v>0.0</v>
      </c>
      <c r="G195" s="485">
        <v>0.0</v>
      </c>
      <c r="H195" s="480"/>
      <c r="I195" s="483">
        <v>0.0</v>
      </c>
      <c r="J195" s="485">
        <v>0.0</v>
      </c>
      <c r="K195" s="480"/>
      <c r="L195" s="483">
        <v>0.0</v>
      </c>
      <c r="M195" s="485">
        <v>0.0</v>
      </c>
      <c r="N195" s="480"/>
      <c r="O195" s="483">
        <v>0.0</v>
      </c>
      <c r="P195" s="485">
        <v>0.0</v>
      </c>
      <c r="Q195" s="480"/>
      <c r="R195" s="483">
        <v>0.0</v>
      </c>
      <c r="S195" s="485">
        <v>0.0</v>
      </c>
      <c r="T195" s="480"/>
      <c r="U195" s="483">
        <v>0.0</v>
      </c>
      <c r="V195" s="485">
        <v>0.0</v>
      </c>
      <c r="W195" s="480"/>
      <c r="X195" s="483">
        <v>0.0</v>
      </c>
      <c r="Y195" s="485">
        <v>0.0</v>
      </c>
    </row>
    <row r="196" ht="14.25" customHeight="1">
      <c r="A196" s="480" t="s">
        <v>814</v>
      </c>
      <c r="B196" s="480"/>
      <c r="C196" s="483">
        <v>0.0</v>
      </c>
      <c r="D196" s="485">
        <v>0.0</v>
      </c>
      <c r="E196" s="480"/>
      <c r="F196" s="483">
        <v>0.0</v>
      </c>
      <c r="G196" s="485">
        <v>0.0</v>
      </c>
      <c r="H196" s="480"/>
      <c r="I196" s="483">
        <v>0.0</v>
      </c>
      <c r="J196" s="485">
        <v>0.0</v>
      </c>
      <c r="K196" s="480"/>
      <c r="L196" s="483">
        <v>0.0</v>
      </c>
      <c r="M196" s="485">
        <v>0.0</v>
      </c>
      <c r="N196" s="480"/>
      <c r="O196" s="483">
        <v>0.0</v>
      </c>
      <c r="P196" s="485">
        <v>0.0</v>
      </c>
      <c r="Q196" s="480"/>
      <c r="R196" s="483">
        <v>0.0</v>
      </c>
      <c r="S196" s="485">
        <v>0.0</v>
      </c>
      <c r="T196" s="480"/>
      <c r="U196" s="483">
        <v>-206.26608695652175</v>
      </c>
      <c r="V196" s="485">
        <v>-4744.12</v>
      </c>
      <c r="W196" s="480"/>
      <c r="X196" s="483">
        <v>-80.49666666666667</v>
      </c>
      <c r="Y196" s="485">
        <v>-1931.92</v>
      </c>
    </row>
    <row r="197" ht="14.25" customHeight="1">
      <c r="A197" s="480" t="s">
        <v>56</v>
      </c>
      <c r="B197" s="480"/>
      <c r="C197" s="483">
        <v>0.0</v>
      </c>
      <c r="D197" s="485">
        <v>0.0</v>
      </c>
      <c r="E197" s="480"/>
      <c r="F197" s="483">
        <v>0.0</v>
      </c>
      <c r="G197" s="485">
        <v>0.0</v>
      </c>
      <c r="H197" s="480"/>
      <c r="I197" s="483">
        <v>0.0</v>
      </c>
      <c r="J197" s="485">
        <v>0.0</v>
      </c>
      <c r="K197" s="480"/>
      <c r="L197" s="483">
        <v>0.0</v>
      </c>
      <c r="M197" s="485">
        <v>0.0</v>
      </c>
      <c r="N197" s="480"/>
      <c r="O197" s="483">
        <v>0.0</v>
      </c>
      <c r="P197" s="485">
        <v>0.0</v>
      </c>
      <c r="Q197" s="480"/>
      <c r="R197" s="483">
        <v>0.0</v>
      </c>
      <c r="S197" s="485">
        <v>0.0</v>
      </c>
      <c r="T197" s="480"/>
      <c r="U197" s="483">
        <v>0.0</v>
      </c>
      <c r="V197" s="485">
        <v>0.0</v>
      </c>
      <c r="W197" s="480"/>
      <c r="X197" s="483">
        <v>0.0</v>
      </c>
      <c r="Y197" s="485">
        <v>0.0</v>
      </c>
    </row>
    <row r="198" ht="14.25" customHeight="1">
      <c r="A198" s="552" t="s">
        <v>118</v>
      </c>
      <c r="B198" s="556" t="s">
        <v>225</v>
      </c>
      <c r="C198" s="554">
        <v>0.2091574429509403</v>
      </c>
      <c r="D198" s="555">
        <v>22334.02</v>
      </c>
      <c r="E198" s="556" t="s">
        <v>225</v>
      </c>
      <c r="F198" s="554">
        <v>0.01963415517308007</v>
      </c>
      <c r="G198" s="555">
        <v>2093.0299999999997</v>
      </c>
      <c r="H198" s="556" t="s">
        <v>225</v>
      </c>
      <c r="I198" s="554">
        <v>0.11590213578025216</v>
      </c>
      <c r="J198" s="555">
        <v>15865.519999999995</v>
      </c>
      <c r="K198" s="556" t="s">
        <v>225</v>
      </c>
      <c r="L198" s="554">
        <v>0.19909952804918177</v>
      </c>
      <c r="M198" s="555">
        <v>31265.680000000004</v>
      </c>
      <c r="N198" s="556" t="s">
        <v>225</v>
      </c>
      <c r="O198" s="554">
        <v>-1.6089828842444396</v>
      </c>
      <c r="P198" s="555">
        <v>228884.75</v>
      </c>
      <c r="Q198" s="556" t="s">
        <v>225</v>
      </c>
      <c r="R198" s="554">
        <v>1.1656155951786622</v>
      </c>
      <c r="S198" s="555">
        <v>46244.40000000001</v>
      </c>
      <c r="T198" s="556" t="s">
        <v>225</v>
      </c>
      <c r="U198" s="554">
        <v>0.722102938983868</v>
      </c>
      <c r="V198" s="555">
        <v>38794.02</v>
      </c>
      <c r="W198" s="556" t="s">
        <v>225</v>
      </c>
      <c r="X198" s="554">
        <v>0.8298746713209514</v>
      </c>
      <c r="Y198" s="555">
        <v>19993.880000000026</v>
      </c>
    </row>
    <row r="199" ht="14.25" customHeight="1">
      <c r="A199" s="559" t="s">
        <v>119</v>
      </c>
      <c r="B199" s="480"/>
      <c r="C199" s="48"/>
      <c r="D199" s="484">
        <v>0.0</v>
      </c>
      <c r="E199" s="480"/>
      <c r="F199" s="48"/>
      <c r="G199" s="484">
        <v>3118.35</v>
      </c>
      <c r="H199" s="480"/>
      <c r="I199" s="48"/>
      <c r="J199" s="484">
        <v>-3118.36</v>
      </c>
      <c r="K199" s="480"/>
      <c r="L199" s="48"/>
      <c r="M199" s="484">
        <v>0.0</v>
      </c>
      <c r="N199" s="480"/>
      <c r="O199" s="48"/>
      <c r="P199" s="484">
        <v>69982.67</v>
      </c>
      <c r="Q199" s="480"/>
      <c r="R199" s="48"/>
      <c r="S199" s="484">
        <v>8333.330000000002</v>
      </c>
      <c r="T199" s="480"/>
      <c r="U199" s="48"/>
      <c r="V199" s="484">
        <v>-929.3899999999994</v>
      </c>
      <c r="W199" s="480"/>
      <c r="X199" s="48"/>
      <c r="Y199" s="484">
        <v>-6991.529999999999</v>
      </c>
    </row>
    <row r="200" ht="14.25" customHeight="1">
      <c r="A200" s="560" t="s">
        <v>120</v>
      </c>
      <c r="B200" s="480"/>
      <c r="C200" s="48"/>
      <c r="D200" s="484">
        <v>17730.63</v>
      </c>
      <c r="E200" s="480"/>
      <c r="F200" s="48"/>
      <c r="G200" s="484">
        <v>-4481.52</v>
      </c>
      <c r="H200" s="480"/>
      <c r="I200" s="48"/>
      <c r="J200" s="484">
        <v>9215.71</v>
      </c>
      <c r="K200" s="480"/>
      <c r="L200" s="48"/>
      <c r="M200" s="484">
        <v>12119.400000000001</v>
      </c>
      <c r="N200" s="480"/>
      <c r="O200" s="48"/>
      <c r="P200" s="484">
        <v>17226.79</v>
      </c>
      <c r="Q200" s="480"/>
      <c r="R200" s="48"/>
      <c r="S200" s="484">
        <v>-13054.200000000004</v>
      </c>
      <c r="T200" s="480"/>
      <c r="U200" s="48"/>
      <c r="V200" s="484">
        <v>3287.770000000004</v>
      </c>
      <c r="W200" s="480"/>
      <c r="X200" s="48"/>
      <c r="Y200" s="484">
        <v>-8418.599999999999</v>
      </c>
    </row>
    <row r="201" ht="14.25" customHeight="1">
      <c r="A201" s="559" t="s">
        <v>121</v>
      </c>
      <c r="B201" s="466"/>
      <c r="C201" s="562"/>
      <c r="D201" s="523">
        <v>8333.32</v>
      </c>
      <c r="E201" s="466"/>
      <c r="F201" s="562"/>
      <c r="G201" s="523">
        <v>0.0</v>
      </c>
      <c r="H201" s="466"/>
      <c r="I201" s="562"/>
      <c r="J201" s="523">
        <v>18100.75</v>
      </c>
      <c r="K201" s="466"/>
      <c r="L201" s="562"/>
      <c r="M201" s="523">
        <v>11627.840000000004</v>
      </c>
      <c r="N201" s="466"/>
      <c r="O201" s="562"/>
      <c r="P201" s="523">
        <v>-38061.91</v>
      </c>
      <c r="Q201" s="466"/>
      <c r="R201" s="562"/>
      <c r="S201" s="523">
        <v>0.0</v>
      </c>
      <c r="T201" s="466"/>
      <c r="U201" s="562"/>
      <c r="V201" s="523">
        <v>0.0</v>
      </c>
      <c r="W201" s="466"/>
      <c r="X201" s="562"/>
      <c r="Y201" s="523">
        <v>0.0</v>
      </c>
    </row>
    <row r="202" ht="14.25" customHeight="1">
      <c r="A202" s="559" t="s">
        <v>122</v>
      </c>
      <c r="B202" s="480"/>
      <c r="C202" s="48"/>
      <c r="D202" s="484">
        <v>0.0</v>
      </c>
      <c r="E202" s="480"/>
      <c r="F202" s="48"/>
      <c r="G202" s="484">
        <v>0.0</v>
      </c>
      <c r="H202" s="480"/>
      <c r="I202" s="48"/>
      <c r="J202" s="484">
        <v>0.0</v>
      </c>
      <c r="K202" s="480"/>
      <c r="L202" s="48"/>
      <c r="M202" s="484">
        <v>0.0</v>
      </c>
      <c r="N202" s="480"/>
      <c r="O202" s="48"/>
      <c r="P202" s="484">
        <v>0.0</v>
      </c>
      <c r="Q202" s="480"/>
      <c r="R202" s="48"/>
      <c r="S202" s="484">
        <v>0.0</v>
      </c>
      <c r="T202" s="480"/>
      <c r="U202" s="48"/>
      <c r="V202" s="484">
        <v>0.0</v>
      </c>
      <c r="W202" s="480"/>
      <c r="X202" s="48"/>
      <c r="Y202" s="484">
        <v>0.0</v>
      </c>
    </row>
    <row r="203" ht="14.25" customHeight="1">
      <c r="A203" s="559" t="s">
        <v>56</v>
      </c>
      <c r="B203" s="480"/>
      <c r="C203" s="48"/>
      <c r="D203" s="484">
        <v>0.0</v>
      </c>
      <c r="E203" s="480"/>
      <c r="F203" s="48"/>
      <c r="G203" s="484">
        <v>0.0</v>
      </c>
      <c r="H203" s="480"/>
      <c r="I203" s="48"/>
      <c r="J203" s="484">
        <v>0.0</v>
      </c>
      <c r="K203" s="480"/>
      <c r="L203" s="48"/>
      <c r="M203" s="484">
        <v>0.0</v>
      </c>
      <c r="N203" s="480"/>
      <c r="O203" s="48"/>
      <c r="P203" s="484">
        <v>0.0</v>
      </c>
      <c r="Q203" s="480"/>
      <c r="R203" s="48"/>
      <c r="S203" s="484">
        <v>0.0</v>
      </c>
      <c r="T203" s="480"/>
      <c r="U203" s="48"/>
      <c r="V203" s="484">
        <v>0.0</v>
      </c>
      <c r="W203" s="480"/>
      <c r="X203" s="48"/>
      <c r="Y203" s="484">
        <v>0.0</v>
      </c>
    </row>
    <row r="204" ht="14.25" customHeight="1">
      <c r="A204" s="559" t="s">
        <v>56</v>
      </c>
      <c r="B204" s="480"/>
      <c r="C204" s="48"/>
      <c r="D204" s="484">
        <v>0.0</v>
      </c>
      <c r="E204" s="480"/>
      <c r="F204" s="48"/>
      <c r="G204" s="484">
        <v>0.0</v>
      </c>
      <c r="H204" s="480"/>
      <c r="I204" s="48"/>
      <c r="J204" s="484">
        <v>0.0</v>
      </c>
      <c r="K204" s="480"/>
      <c r="L204" s="48"/>
      <c r="M204" s="484">
        <v>0.0</v>
      </c>
      <c r="N204" s="480"/>
      <c r="O204" s="48"/>
      <c r="P204" s="484">
        <v>0.0</v>
      </c>
      <c r="Q204" s="480"/>
      <c r="R204" s="48"/>
      <c r="S204" s="484">
        <v>0.0</v>
      </c>
      <c r="T204" s="480"/>
      <c r="U204" s="48"/>
      <c r="V204" s="484">
        <v>0.0</v>
      </c>
      <c r="W204" s="480"/>
      <c r="X204" s="48"/>
      <c r="Y204" s="484">
        <v>0.0</v>
      </c>
    </row>
    <row r="205" ht="14.25" customHeight="1">
      <c r="A205" s="559" t="s">
        <v>56</v>
      </c>
      <c r="B205" s="480"/>
      <c r="C205" s="48"/>
      <c r="D205" s="484">
        <v>0.0</v>
      </c>
      <c r="E205" s="480"/>
      <c r="F205" s="48"/>
      <c r="G205" s="484">
        <v>0.0</v>
      </c>
      <c r="H205" s="480"/>
      <c r="I205" s="48"/>
      <c r="J205" s="484">
        <v>0.0</v>
      </c>
      <c r="K205" s="480"/>
      <c r="L205" s="48"/>
      <c r="M205" s="484">
        <v>0.0</v>
      </c>
      <c r="N205" s="480"/>
      <c r="O205" s="48"/>
      <c r="P205" s="484">
        <v>0.0</v>
      </c>
      <c r="Q205" s="480"/>
      <c r="R205" s="48"/>
      <c r="S205" s="484">
        <v>0.0</v>
      </c>
      <c r="T205" s="480"/>
      <c r="U205" s="48"/>
      <c r="V205" s="484">
        <v>0.0</v>
      </c>
      <c r="W205" s="480"/>
      <c r="X205" s="48"/>
      <c r="Y205" s="484">
        <v>0.0</v>
      </c>
    </row>
    <row r="206" ht="14.25" customHeight="1">
      <c r="A206" s="560" t="s">
        <v>123</v>
      </c>
      <c r="B206" s="480"/>
      <c r="C206" s="48"/>
      <c r="D206" s="484">
        <v>2387.26</v>
      </c>
      <c r="E206" s="480"/>
      <c r="F206" s="48"/>
      <c r="G206" s="484">
        <v>1034.6999999999998</v>
      </c>
      <c r="H206" s="480"/>
      <c r="I206" s="48"/>
      <c r="J206" s="484">
        <v>1633.3599999999997</v>
      </c>
      <c r="K206" s="480"/>
      <c r="L206" s="48"/>
      <c r="M206" s="484">
        <v>1728.87</v>
      </c>
      <c r="N206" s="480"/>
      <c r="O206" s="48"/>
      <c r="P206" s="484">
        <v>2773.1400000000003</v>
      </c>
      <c r="Q206" s="480"/>
      <c r="R206" s="48"/>
      <c r="S206" s="484">
        <v>2536.460000000001</v>
      </c>
      <c r="T206" s="480"/>
      <c r="U206" s="48"/>
      <c r="V206" s="484">
        <v>1636.8399999999983</v>
      </c>
      <c r="W206" s="480"/>
      <c r="X206" s="48"/>
      <c r="Y206" s="484">
        <v>1968.42</v>
      </c>
    </row>
    <row r="207" ht="14.25" customHeight="1">
      <c r="A207" s="559" t="s">
        <v>124</v>
      </c>
      <c r="B207" s="466"/>
      <c r="C207" s="562"/>
      <c r="D207" s="523">
        <v>20270.82</v>
      </c>
      <c r="E207" s="466"/>
      <c r="F207" s="562"/>
      <c r="G207" s="523">
        <v>1112.119999999999</v>
      </c>
      <c r="H207" s="466"/>
      <c r="I207" s="562"/>
      <c r="J207" s="523">
        <v>2834.350000000002</v>
      </c>
      <c r="K207" s="466"/>
      <c r="L207" s="562"/>
      <c r="M207" s="523">
        <v>7729.899999999998</v>
      </c>
      <c r="N207" s="466"/>
      <c r="O207" s="562"/>
      <c r="P207" s="523">
        <v>4928.170000000002</v>
      </c>
      <c r="Q207" s="466"/>
      <c r="R207" s="562"/>
      <c r="S207" s="523">
        <v>4952.419999999998</v>
      </c>
      <c r="T207" s="466"/>
      <c r="U207" s="562"/>
      <c r="V207" s="523">
        <v>5941.790000000001</v>
      </c>
      <c r="W207" s="466"/>
      <c r="X207" s="562"/>
      <c r="Y207" s="523">
        <v>-1357.449999999997</v>
      </c>
    </row>
    <row r="208" ht="14.25" customHeight="1">
      <c r="A208" s="559" t="s">
        <v>125</v>
      </c>
      <c r="B208" s="480"/>
      <c r="C208" s="48"/>
      <c r="D208" s="484">
        <v>3458.1</v>
      </c>
      <c r="E208" s="480"/>
      <c r="F208" s="48"/>
      <c r="G208" s="484">
        <v>319.2800000000002</v>
      </c>
      <c r="H208" s="480"/>
      <c r="I208" s="48"/>
      <c r="J208" s="484">
        <v>2156.41</v>
      </c>
      <c r="K208" s="480"/>
      <c r="L208" s="48"/>
      <c r="M208" s="484">
        <v>489.1800000000003</v>
      </c>
      <c r="N208" s="480"/>
      <c r="O208" s="48"/>
      <c r="P208" s="484">
        <v>340.8199999999997</v>
      </c>
      <c r="Q208" s="480"/>
      <c r="R208" s="48"/>
      <c r="S208" s="484">
        <v>691.9399999999996</v>
      </c>
      <c r="T208" s="480"/>
      <c r="U208" s="48"/>
      <c r="V208" s="484">
        <v>526.3900000000003</v>
      </c>
      <c r="W208" s="480"/>
      <c r="X208" s="48"/>
      <c r="Y208" s="484">
        <v>568.5500000000002</v>
      </c>
    </row>
    <row r="209" ht="14.25" customHeight="1">
      <c r="A209" s="559" t="s">
        <v>126</v>
      </c>
      <c r="B209" s="480"/>
      <c r="C209" s="48"/>
      <c r="D209" s="484">
        <v>0.0</v>
      </c>
      <c r="E209" s="480"/>
      <c r="F209" s="48"/>
      <c r="G209" s="484">
        <v>72.07</v>
      </c>
      <c r="H209" s="480"/>
      <c r="I209" s="48"/>
      <c r="J209" s="484">
        <v>0.0</v>
      </c>
      <c r="K209" s="480"/>
      <c r="L209" s="48"/>
      <c r="M209" s="484">
        <v>0.0</v>
      </c>
      <c r="N209" s="480"/>
      <c r="O209" s="48"/>
      <c r="P209" s="484">
        <v>0.0</v>
      </c>
      <c r="Q209" s="480"/>
      <c r="R209" s="48"/>
      <c r="S209" s="484">
        <v>417.89</v>
      </c>
      <c r="T209" s="480"/>
      <c r="U209" s="48"/>
      <c r="V209" s="484">
        <v>274.69</v>
      </c>
      <c r="W209" s="480"/>
      <c r="X209" s="48"/>
      <c r="Y209" s="484">
        <v>290.33000000000004</v>
      </c>
    </row>
    <row r="210" ht="14.25" customHeight="1">
      <c r="A210" s="480" t="s">
        <v>56</v>
      </c>
      <c r="B210" s="471"/>
      <c r="C210" s="564"/>
      <c r="D210" s="484">
        <v>0.0</v>
      </c>
      <c r="E210" s="471"/>
      <c r="F210" s="564"/>
      <c r="G210" s="484">
        <v>0.0</v>
      </c>
      <c r="H210" s="471"/>
      <c r="I210" s="564"/>
      <c r="J210" s="484">
        <v>0.0</v>
      </c>
      <c r="K210" s="471"/>
      <c r="L210" s="564"/>
      <c r="M210" s="484">
        <v>0.0</v>
      </c>
      <c r="N210" s="471"/>
      <c r="O210" s="564"/>
      <c r="P210" s="484">
        <v>0.0</v>
      </c>
      <c r="Q210" s="471"/>
      <c r="R210" s="564"/>
      <c r="S210" s="484">
        <v>0.0</v>
      </c>
      <c r="T210" s="471"/>
      <c r="U210" s="564"/>
      <c r="V210" s="484">
        <v>0.0</v>
      </c>
      <c r="W210" s="471"/>
      <c r="X210" s="564"/>
      <c r="Y210" s="484">
        <v>0.0</v>
      </c>
    </row>
    <row r="211" ht="14.25" customHeight="1">
      <c r="A211" s="552" t="s">
        <v>127</v>
      </c>
      <c r="B211" s="556" t="s">
        <v>225</v>
      </c>
      <c r="C211" s="554">
        <v>0.4886653886603328</v>
      </c>
      <c r="D211" s="555">
        <v>52180.13</v>
      </c>
      <c r="E211" s="556" t="s">
        <v>225</v>
      </c>
      <c r="F211" s="554">
        <v>0.011022361040390753</v>
      </c>
      <c r="G211" s="555">
        <v>1174.9999999999984</v>
      </c>
      <c r="H211" s="556" t="s">
        <v>225</v>
      </c>
      <c r="I211" s="554">
        <v>0.22516508299058619</v>
      </c>
      <c r="J211" s="555">
        <v>30822.22</v>
      </c>
      <c r="K211" s="556" t="s">
        <v>225</v>
      </c>
      <c r="L211" s="554">
        <v>0.2145706226932377</v>
      </c>
      <c r="M211" s="555">
        <v>33695.19</v>
      </c>
      <c r="N211" s="556" t="s">
        <v>225</v>
      </c>
      <c r="O211" s="554">
        <v>-0.40202423392303993</v>
      </c>
      <c r="P211" s="555">
        <v>57189.679999999986</v>
      </c>
      <c r="Q211" s="556" t="s">
        <v>225</v>
      </c>
      <c r="R211" s="554">
        <v>0.09774309493922763</v>
      </c>
      <c r="S211" s="555">
        <v>3877.839999999996</v>
      </c>
      <c r="T211" s="556" t="s">
        <v>225</v>
      </c>
      <c r="U211" s="554">
        <v>0.1998763301166852</v>
      </c>
      <c r="V211" s="555">
        <v>10738.090000000006</v>
      </c>
      <c r="W211" s="556" t="s">
        <v>225</v>
      </c>
      <c r="X211" s="554">
        <v>-0.5786113192197818</v>
      </c>
      <c r="Y211" s="555">
        <v>-13940.279999999993</v>
      </c>
    </row>
    <row r="212" ht="14.25" customHeight="1">
      <c r="A212" s="480" t="s">
        <v>128</v>
      </c>
      <c r="B212" s="480"/>
      <c r="C212" s="48"/>
      <c r="D212" s="484">
        <v>0.0</v>
      </c>
      <c r="E212" s="480"/>
      <c r="F212" s="48"/>
      <c r="G212" s="484">
        <v>0.0</v>
      </c>
      <c r="H212" s="480"/>
      <c r="I212" s="48"/>
      <c r="J212" s="484">
        <v>0.0</v>
      </c>
      <c r="K212" s="480"/>
      <c r="L212" s="48"/>
      <c r="M212" s="484">
        <v>0.0</v>
      </c>
      <c r="N212" s="480"/>
      <c r="O212" s="48"/>
      <c r="P212" s="484">
        <v>0.0</v>
      </c>
      <c r="Q212" s="480"/>
      <c r="R212" s="48"/>
      <c r="S212" s="484">
        <v>0.0</v>
      </c>
      <c r="T212" s="480"/>
      <c r="U212" s="48"/>
      <c r="V212" s="484">
        <v>0.0</v>
      </c>
      <c r="W212" s="480"/>
      <c r="X212" s="48"/>
      <c r="Y212" s="484">
        <v>0.0</v>
      </c>
    </row>
    <row r="213" ht="14.25" customHeight="1">
      <c r="A213" s="480" t="s">
        <v>129</v>
      </c>
      <c r="B213" s="480"/>
      <c r="C213" s="48"/>
      <c r="D213" s="484">
        <v>0.0</v>
      </c>
      <c r="E213" s="480"/>
      <c r="F213" s="48"/>
      <c r="G213" s="484">
        <v>0.0</v>
      </c>
      <c r="H213" s="480"/>
      <c r="I213" s="48"/>
      <c r="J213" s="484">
        <v>0.0</v>
      </c>
      <c r="K213" s="480"/>
      <c r="L213" s="48"/>
      <c r="M213" s="484">
        <v>0.0</v>
      </c>
      <c r="N213" s="480"/>
      <c r="O213" s="48"/>
      <c r="P213" s="484">
        <v>0.0</v>
      </c>
      <c r="Q213" s="480"/>
      <c r="R213" s="48"/>
      <c r="S213" s="484">
        <v>0.0</v>
      </c>
      <c r="T213" s="480"/>
      <c r="U213" s="48"/>
      <c r="V213" s="484">
        <v>0.0</v>
      </c>
      <c r="W213" s="480"/>
      <c r="X213" s="48"/>
      <c r="Y213" s="484">
        <v>0.0</v>
      </c>
    </row>
    <row r="214" ht="14.25" customHeight="1">
      <c r="A214" s="471" t="s">
        <v>130</v>
      </c>
      <c r="B214" s="471"/>
      <c r="C214" s="564"/>
      <c r="D214" s="476">
        <v>0.0</v>
      </c>
      <c r="E214" s="471"/>
      <c r="F214" s="564"/>
      <c r="G214" s="476">
        <v>0.0</v>
      </c>
      <c r="H214" s="471"/>
      <c r="I214" s="564"/>
      <c r="J214" s="476">
        <v>0.0</v>
      </c>
      <c r="K214" s="471"/>
      <c r="L214" s="564"/>
      <c r="M214" s="476">
        <v>0.0</v>
      </c>
      <c r="N214" s="471"/>
      <c r="O214" s="564"/>
      <c r="P214" s="476">
        <v>1750.0</v>
      </c>
      <c r="Q214" s="471"/>
      <c r="R214" s="564"/>
      <c r="S214" s="476">
        <v>0.0</v>
      </c>
      <c r="T214" s="471"/>
      <c r="U214" s="564"/>
      <c r="V214" s="476">
        <v>1000.0</v>
      </c>
      <c r="W214" s="471"/>
      <c r="X214" s="564"/>
      <c r="Y214" s="476">
        <v>0.0</v>
      </c>
    </row>
    <row r="215" ht="14.25" customHeight="1">
      <c r="A215" s="480" t="s">
        <v>131</v>
      </c>
      <c r="B215" s="480"/>
      <c r="C215" s="48"/>
      <c r="D215" s="484">
        <v>0.0</v>
      </c>
      <c r="E215" s="480"/>
      <c r="F215" s="48"/>
      <c r="G215" s="484">
        <v>0.0</v>
      </c>
      <c r="H215" s="480"/>
      <c r="I215" s="48"/>
      <c r="J215" s="484">
        <v>0.0</v>
      </c>
      <c r="K215" s="480"/>
      <c r="L215" s="48"/>
      <c r="M215" s="484">
        <v>0.0</v>
      </c>
      <c r="N215" s="480"/>
      <c r="O215" s="48"/>
      <c r="P215" s="484">
        <v>0.0</v>
      </c>
      <c r="Q215" s="480"/>
      <c r="R215" s="48"/>
      <c r="S215" s="484">
        <v>0.0</v>
      </c>
      <c r="T215" s="480"/>
      <c r="U215" s="48"/>
      <c r="V215" s="484">
        <v>0.0</v>
      </c>
      <c r="W215" s="480"/>
      <c r="X215" s="48"/>
      <c r="Y215" s="484">
        <v>0.0</v>
      </c>
    </row>
    <row r="216" ht="14.25" customHeight="1">
      <c r="A216" s="480" t="s">
        <v>132</v>
      </c>
      <c r="B216" s="480"/>
      <c r="C216" s="48"/>
      <c r="D216" s="484">
        <v>0.0</v>
      </c>
      <c r="E216" s="480"/>
      <c r="F216" s="48"/>
      <c r="G216" s="484">
        <v>2036.72</v>
      </c>
      <c r="H216" s="480"/>
      <c r="I216" s="48"/>
      <c r="J216" s="484">
        <v>0.0</v>
      </c>
      <c r="K216" s="480"/>
      <c r="L216" s="48"/>
      <c r="M216" s="484">
        <v>0.0</v>
      </c>
      <c r="N216" s="480"/>
      <c r="O216" s="48"/>
      <c r="P216" s="484">
        <v>477.5600000000002</v>
      </c>
      <c r="Q216" s="480"/>
      <c r="R216" s="48"/>
      <c r="S216" s="484">
        <v>0.0</v>
      </c>
      <c r="T216" s="480"/>
      <c r="U216" s="48"/>
      <c r="V216" s="484">
        <v>0.0</v>
      </c>
      <c r="W216" s="480"/>
      <c r="X216" s="48"/>
      <c r="Y216" s="484">
        <v>0.0</v>
      </c>
    </row>
    <row r="217" ht="14.25" customHeight="1">
      <c r="A217" s="471" t="s">
        <v>133</v>
      </c>
      <c r="B217" s="471"/>
      <c r="C217" s="564"/>
      <c r="D217" s="476">
        <v>39.6</v>
      </c>
      <c r="E217" s="471"/>
      <c r="F217" s="564"/>
      <c r="G217" s="476">
        <v>0.0</v>
      </c>
      <c r="H217" s="471"/>
      <c r="I217" s="564"/>
      <c r="J217" s="476">
        <v>0.0</v>
      </c>
      <c r="K217" s="471"/>
      <c r="L217" s="564"/>
      <c r="M217" s="476">
        <v>488.65999999999997</v>
      </c>
      <c r="N217" s="471"/>
      <c r="O217" s="564"/>
      <c r="P217" s="476">
        <v>0.0</v>
      </c>
      <c r="Q217" s="471"/>
      <c r="R217" s="564"/>
      <c r="S217" s="476">
        <v>0.0</v>
      </c>
      <c r="T217" s="471"/>
      <c r="U217" s="564"/>
      <c r="V217" s="476">
        <v>0.0</v>
      </c>
      <c r="W217" s="471"/>
      <c r="X217" s="564"/>
      <c r="Y217" s="476">
        <v>0.0</v>
      </c>
    </row>
    <row r="218" ht="14.25" customHeight="1">
      <c r="A218" s="480" t="s">
        <v>134</v>
      </c>
      <c r="B218" s="480"/>
      <c r="C218" s="48"/>
      <c r="D218" s="484">
        <v>0.0</v>
      </c>
      <c r="E218" s="480"/>
      <c r="F218" s="48"/>
      <c r="G218" s="484">
        <v>0.0</v>
      </c>
      <c r="H218" s="480"/>
      <c r="I218" s="48"/>
      <c r="J218" s="484">
        <v>0.0</v>
      </c>
      <c r="K218" s="480"/>
      <c r="L218" s="48"/>
      <c r="M218" s="484">
        <v>0.0</v>
      </c>
      <c r="N218" s="480"/>
      <c r="O218" s="48"/>
      <c r="P218" s="484">
        <v>0.0</v>
      </c>
      <c r="Q218" s="480"/>
      <c r="R218" s="48"/>
      <c r="S218" s="484">
        <v>0.0</v>
      </c>
      <c r="T218" s="480"/>
      <c r="U218" s="48"/>
      <c r="V218" s="484">
        <v>0.0</v>
      </c>
      <c r="W218" s="480"/>
      <c r="X218" s="48"/>
      <c r="Y218" s="484">
        <v>0.0</v>
      </c>
    </row>
    <row r="219" ht="14.25" customHeight="1">
      <c r="A219" s="480" t="s">
        <v>135</v>
      </c>
      <c r="B219" s="480"/>
      <c r="C219" s="48"/>
      <c r="D219" s="484">
        <v>0.0</v>
      </c>
      <c r="E219" s="480"/>
      <c r="F219" s="48"/>
      <c r="G219" s="484">
        <v>0.0</v>
      </c>
      <c r="H219" s="480"/>
      <c r="I219" s="48"/>
      <c r="J219" s="484">
        <v>0.0</v>
      </c>
      <c r="K219" s="480"/>
      <c r="L219" s="48"/>
      <c r="M219" s="484">
        <v>0.0</v>
      </c>
      <c r="N219" s="480"/>
      <c r="O219" s="48"/>
      <c r="P219" s="484">
        <v>0.0</v>
      </c>
      <c r="Q219" s="480"/>
      <c r="R219" s="48"/>
      <c r="S219" s="484">
        <v>0.0</v>
      </c>
      <c r="T219" s="480"/>
      <c r="U219" s="48"/>
      <c r="V219" s="484">
        <v>0.0</v>
      </c>
      <c r="W219" s="480"/>
      <c r="X219" s="48"/>
      <c r="Y219" s="484">
        <v>0.0</v>
      </c>
    </row>
    <row r="220" ht="14.25" customHeight="1">
      <c r="A220" s="480" t="s">
        <v>136</v>
      </c>
      <c r="B220" s="480"/>
      <c r="C220" s="48"/>
      <c r="D220" s="484">
        <v>118.0</v>
      </c>
      <c r="E220" s="480"/>
      <c r="F220" s="48"/>
      <c r="G220" s="484">
        <v>0.0</v>
      </c>
      <c r="H220" s="480"/>
      <c r="I220" s="48"/>
      <c r="J220" s="484">
        <v>395.0</v>
      </c>
      <c r="K220" s="480"/>
      <c r="L220" s="48"/>
      <c r="M220" s="484">
        <v>344.0</v>
      </c>
      <c r="N220" s="480"/>
      <c r="O220" s="48"/>
      <c r="P220" s="484">
        <v>695.0</v>
      </c>
      <c r="Q220" s="480"/>
      <c r="R220" s="48"/>
      <c r="S220" s="484">
        <v>450.0</v>
      </c>
      <c r="T220" s="480"/>
      <c r="U220" s="48"/>
      <c r="V220" s="484">
        <v>250.0</v>
      </c>
      <c r="W220" s="480"/>
      <c r="X220" s="48"/>
      <c r="Y220" s="484">
        <v>250.0</v>
      </c>
    </row>
    <row r="221" ht="14.25" customHeight="1">
      <c r="A221" s="480" t="s">
        <v>137</v>
      </c>
      <c r="B221" s="480"/>
      <c r="C221" s="48"/>
      <c r="D221" s="484">
        <v>0.0</v>
      </c>
      <c r="E221" s="480"/>
      <c r="F221" s="48"/>
      <c r="G221" s="484">
        <v>0.0</v>
      </c>
      <c r="H221" s="480"/>
      <c r="I221" s="48"/>
      <c r="J221" s="484">
        <v>0.0</v>
      </c>
      <c r="K221" s="480"/>
      <c r="L221" s="48"/>
      <c r="M221" s="484">
        <v>0.0</v>
      </c>
      <c r="N221" s="480"/>
      <c r="O221" s="48"/>
      <c r="P221" s="484">
        <v>0.0</v>
      </c>
      <c r="Q221" s="480"/>
      <c r="R221" s="48"/>
      <c r="S221" s="484">
        <v>630.0</v>
      </c>
      <c r="T221" s="480"/>
      <c r="U221" s="48"/>
      <c r="V221" s="484">
        <v>0.0</v>
      </c>
      <c r="W221" s="480"/>
      <c r="X221" s="48"/>
      <c r="Y221" s="484">
        <v>0.0</v>
      </c>
    </row>
    <row r="222" ht="14.25" customHeight="1">
      <c r="A222" s="480" t="s">
        <v>138</v>
      </c>
      <c r="B222" s="480"/>
      <c r="C222" s="48"/>
      <c r="D222" s="484">
        <v>512.55</v>
      </c>
      <c r="E222" s="480"/>
      <c r="F222" s="48"/>
      <c r="G222" s="484">
        <v>516.4200000000001</v>
      </c>
      <c r="H222" s="480"/>
      <c r="I222" s="48"/>
      <c r="J222" s="484">
        <v>571.4300000000001</v>
      </c>
      <c r="K222" s="480"/>
      <c r="L222" s="48"/>
      <c r="M222" s="484">
        <v>378.1999999999998</v>
      </c>
      <c r="N222" s="480"/>
      <c r="O222" s="48"/>
      <c r="P222" s="484">
        <v>925.6600000000003</v>
      </c>
      <c r="Q222" s="480"/>
      <c r="R222" s="48"/>
      <c r="S222" s="484">
        <v>922.9499999999998</v>
      </c>
      <c r="T222" s="480"/>
      <c r="U222" s="48"/>
      <c r="V222" s="484">
        <v>397.59000000000015</v>
      </c>
      <c r="W222" s="480"/>
      <c r="X222" s="48"/>
      <c r="Y222" s="484">
        <v>357.2699999999995</v>
      </c>
    </row>
    <row r="223" ht="14.25" customHeight="1">
      <c r="A223" s="480" t="s">
        <v>139</v>
      </c>
      <c r="B223" s="480"/>
      <c r="C223" s="48"/>
      <c r="D223" s="484">
        <v>0.0</v>
      </c>
      <c r="E223" s="480"/>
      <c r="F223" s="48"/>
      <c r="G223" s="484">
        <v>0.0</v>
      </c>
      <c r="H223" s="480"/>
      <c r="I223" s="48"/>
      <c r="J223" s="484">
        <v>0.0</v>
      </c>
      <c r="K223" s="480"/>
      <c r="L223" s="48"/>
      <c r="M223" s="484">
        <v>0.0</v>
      </c>
      <c r="N223" s="480"/>
      <c r="O223" s="48"/>
      <c r="P223" s="484">
        <v>0.0</v>
      </c>
      <c r="Q223" s="480"/>
      <c r="R223" s="48"/>
      <c r="S223" s="484">
        <v>0.0</v>
      </c>
      <c r="T223" s="480"/>
      <c r="U223" s="48"/>
      <c r="V223" s="484">
        <v>0.0</v>
      </c>
      <c r="W223" s="480"/>
      <c r="X223" s="48"/>
      <c r="Y223" s="484">
        <v>0.0</v>
      </c>
    </row>
    <row r="224" ht="14.25" customHeight="1">
      <c r="A224" s="480" t="s">
        <v>140</v>
      </c>
      <c r="B224" s="480"/>
      <c r="C224" s="48"/>
      <c r="D224" s="484">
        <v>0.0</v>
      </c>
      <c r="E224" s="480"/>
      <c r="F224" s="48"/>
      <c r="G224" s="484">
        <v>0.0</v>
      </c>
      <c r="H224" s="480"/>
      <c r="I224" s="48"/>
      <c r="J224" s="484">
        <v>0.0</v>
      </c>
      <c r="K224" s="480"/>
      <c r="L224" s="48"/>
      <c r="M224" s="484">
        <v>0.0</v>
      </c>
      <c r="N224" s="480"/>
      <c r="O224" s="48"/>
      <c r="P224" s="484">
        <v>0.0</v>
      </c>
      <c r="Q224" s="480"/>
      <c r="R224" s="48"/>
      <c r="S224" s="484">
        <v>0.0</v>
      </c>
      <c r="T224" s="480"/>
      <c r="U224" s="48"/>
      <c r="V224" s="484">
        <v>0.0</v>
      </c>
      <c r="W224" s="480"/>
      <c r="X224" s="48"/>
      <c r="Y224" s="484">
        <v>0.0</v>
      </c>
    </row>
    <row r="225" ht="14.25" customHeight="1">
      <c r="A225" s="480" t="s">
        <v>141</v>
      </c>
      <c r="B225" s="480"/>
      <c r="C225" s="48"/>
      <c r="D225" s="484">
        <v>0.0</v>
      </c>
      <c r="E225" s="480"/>
      <c r="F225" s="48"/>
      <c r="G225" s="484">
        <v>0.0</v>
      </c>
      <c r="H225" s="480"/>
      <c r="I225" s="48"/>
      <c r="J225" s="484">
        <v>0.0</v>
      </c>
      <c r="K225" s="480"/>
      <c r="L225" s="48"/>
      <c r="M225" s="484">
        <v>0.0</v>
      </c>
      <c r="N225" s="480"/>
      <c r="O225" s="48"/>
      <c r="P225" s="484">
        <v>0.0</v>
      </c>
      <c r="Q225" s="480"/>
      <c r="R225" s="48"/>
      <c r="S225" s="484">
        <v>17.5</v>
      </c>
      <c r="T225" s="480"/>
      <c r="U225" s="48"/>
      <c r="V225" s="484">
        <v>17.5</v>
      </c>
      <c r="W225" s="480"/>
      <c r="X225" s="48"/>
      <c r="Y225" s="484">
        <v>17.5</v>
      </c>
    </row>
    <row r="226" ht="14.25" customHeight="1">
      <c r="A226" s="480" t="s">
        <v>56</v>
      </c>
      <c r="B226" s="480"/>
      <c r="C226" s="48"/>
      <c r="D226" s="484">
        <v>0.0</v>
      </c>
      <c r="E226" s="480"/>
      <c r="F226" s="48"/>
      <c r="G226" s="484">
        <v>0.0</v>
      </c>
      <c r="H226" s="480"/>
      <c r="I226" s="48"/>
      <c r="J226" s="484">
        <v>0.0</v>
      </c>
      <c r="K226" s="480"/>
      <c r="L226" s="48"/>
      <c r="M226" s="484">
        <v>0.0</v>
      </c>
      <c r="N226" s="480"/>
      <c r="O226" s="48"/>
      <c r="P226" s="484">
        <v>0.0</v>
      </c>
      <c r="Q226" s="480"/>
      <c r="R226" s="48"/>
      <c r="S226" s="484">
        <v>0.0</v>
      </c>
      <c r="T226" s="480"/>
      <c r="U226" s="48"/>
      <c r="V226" s="484">
        <v>0.0</v>
      </c>
      <c r="W226" s="480"/>
      <c r="X226" s="48"/>
      <c r="Y226" s="484">
        <v>0.0</v>
      </c>
    </row>
    <row r="227" ht="14.25" customHeight="1">
      <c r="A227" s="480" t="s">
        <v>56</v>
      </c>
      <c r="B227" s="480"/>
      <c r="C227" s="48"/>
      <c r="D227" s="484">
        <v>0.0</v>
      </c>
      <c r="E227" s="480"/>
      <c r="F227" s="48"/>
      <c r="G227" s="484">
        <v>0.0</v>
      </c>
      <c r="H227" s="480"/>
      <c r="I227" s="48"/>
      <c r="J227" s="484">
        <v>0.0</v>
      </c>
      <c r="K227" s="480"/>
      <c r="L227" s="48"/>
      <c r="M227" s="484">
        <v>0.0</v>
      </c>
      <c r="N227" s="480"/>
      <c r="O227" s="48"/>
      <c r="P227" s="484">
        <v>0.0</v>
      </c>
      <c r="Q227" s="480"/>
      <c r="R227" s="48"/>
      <c r="S227" s="484">
        <v>0.0</v>
      </c>
      <c r="T227" s="480"/>
      <c r="U227" s="48"/>
      <c r="V227" s="484">
        <v>0.0</v>
      </c>
      <c r="W227" s="480"/>
      <c r="X227" s="48"/>
      <c r="Y227" s="484">
        <v>0.0</v>
      </c>
    </row>
    <row r="228" ht="14.25" customHeight="1">
      <c r="A228" s="480" t="s">
        <v>56</v>
      </c>
      <c r="B228" s="480"/>
      <c r="C228" s="48"/>
      <c r="D228" s="484">
        <v>0.0</v>
      </c>
      <c r="E228" s="480"/>
      <c r="F228" s="48"/>
      <c r="G228" s="484">
        <v>0.0</v>
      </c>
      <c r="H228" s="480"/>
      <c r="I228" s="48"/>
      <c r="J228" s="484">
        <v>0.0</v>
      </c>
      <c r="K228" s="480"/>
      <c r="L228" s="48"/>
      <c r="M228" s="484">
        <v>0.0</v>
      </c>
      <c r="N228" s="480"/>
      <c r="O228" s="48"/>
      <c r="P228" s="484">
        <v>0.0</v>
      </c>
      <c r="Q228" s="480"/>
      <c r="R228" s="48"/>
      <c r="S228" s="484">
        <v>0.0</v>
      </c>
      <c r="T228" s="480"/>
      <c r="U228" s="48"/>
      <c r="V228" s="484">
        <v>0.0</v>
      </c>
      <c r="W228" s="480"/>
      <c r="X228" s="48"/>
      <c r="Y228" s="484">
        <v>0.0</v>
      </c>
    </row>
    <row r="229" ht="14.25" customHeight="1">
      <c r="A229" s="552" t="s">
        <v>142</v>
      </c>
      <c r="B229" s="556" t="s">
        <v>225</v>
      </c>
      <c r="C229" s="554">
        <v>0.006275935115737007</v>
      </c>
      <c r="D229" s="555">
        <v>670.15</v>
      </c>
      <c r="E229" s="556" t="s">
        <v>225</v>
      </c>
      <c r="F229" s="554">
        <v>0.023950324141841096</v>
      </c>
      <c r="G229" s="555">
        <v>2553.1400000000003</v>
      </c>
      <c r="H229" s="556" t="s">
        <v>225</v>
      </c>
      <c r="I229" s="554">
        <v>0.007060046004297945</v>
      </c>
      <c r="J229" s="555">
        <v>966.4300000000001</v>
      </c>
      <c r="K229" s="556" t="s">
        <v>225</v>
      </c>
      <c r="L229" s="554">
        <v>0.007710744002165701</v>
      </c>
      <c r="M229" s="555">
        <v>1210.8599999999997</v>
      </c>
      <c r="N229" s="556" t="s">
        <v>225</v>
      </c>
      <c r="O229" s="554">
        <v>-0.027051693547984906</v>
      </c>
      <c r="P229" s="555">
        <v>3848.2200000000007</v>
      </c>
      <c r="Q229" s="556" t="s">
        <v>225</v>
      </c>
      <c r="R229" s="554">
        <v>0.05092655606470681</v>
      </c>
      <c r="S229" s="555">
        <v>2020.4499999999998</v>
      </c>
      <c r="T229" s="556" t="s">
        <v>225</v>
      </c>
      <c r="U229" s="554">
        <v>0.030993601144523025</v>
      </c>
      <c r="V229" s="555">
        <v>1665.0900000000001</v>
      </c>
      <c r="W229" s="556" t="s">
        <v>225</v>
      </c>
      <c r="X229" s="554">
        <v>0.025931975104441445</v>
      </c>
      <c r="Y229" s="555">
        <v>624.7699999999995</v>
      </c>
    </row>
    <row r="230" ht="14.25" customHeight="1">
      <c r="A230" s="471"/>
      <c r="B230" s="471"/>
      <c r="C230" s="564"/>
      <c r="D230" s="476"/>
      <c r="E230" s="471"/>
      <c r="F230" s="564"/>
      <c r="G230" s="476"/>
      <c r="H230" s="471"/>
      <c r="I230" s="564"/>
      <c r="J230" s="476"/>
      <c r="K230" s="471"/>
      <c r="L230" s="564"/>
      <c r="M230" s="476"/>
      <c r="N230" s="471"/>
      <c r="O230" s="564"/>
      <c r="P230" s="476"/>
      <c r="Q230" s="471"/>
      <c r="R230" s="564"/>
      <c r="S230" s="476"/>
      <c r="T230" s="471"/>
      <c r="U230" s="564"/>
      <c r="V230" s="476"/>
      <c r="W230" s="471"/>
      <c r="X230" s="564"/>
      <c r="Y230" s="476"/>
    </row>
    <row r="231" ht="14.25" customHeight="1">
      <c r="A231" s="552" t="s">
        <v>143</v>
      </c>
      <c r="B231" s="556" t="s">
        <v>225</v>
      </c>
      <c r="C231" s="554">
        <v>0.70409876672701</v>
      </c>
      <c r="D231" s="555">
        <v>75184.29999999999</v>
      </c>
      <c r="E231" s="556" t="s">
        <v>225</v>
      </c>
      <c r="F231" s="554">
        <v>0.054606840355311916</v>
      </c>
      <c r="G231" s="555">
        <v>5821.169999999998</v>
      </c>
      <c r="H231" s="556" t="s">
        <v>225</v>
      </c>
      <c r="I231" s="554">
        <v>0.34812726477513634</v>
      </c>
      <c r="J231" s="555">
        <v>47654.17</v>
      </c>
      <c r="K231" s="556" t="s">
        <v>225</v>
      </c>
      <c r="L231" s="554">
        <v>0.4213808947445852</v>
      </c>
      <c r="M231" s="555">
        <v>66171.73000000001</v>
      </c>
      <c r="N231" s="556" t="s">
        <v>225</v>
      </c>
      <c r="O231" s="554">
        <v>-2.038058811715464</v>
      </c>
      <c r="P231" s="555">
        <v>289922.64999999997</v>
      </c>
      <c r="Q231" s="556" t="s">
        <v>225</v>
      </c>
      <c r="R231" s="554">
        <v>1.3142852461825965</v>
      </c>
      <c r="S231" s="555">
        <v>52142.69</v>
      </c>
      <c r="T231" s="556" t="s">
        <v>225</v>
      </c>
      <c r="U231" s="554">
        <v>0.9529728702450762</v>
      </c>
      <c r="V231" s="555">
        <v>51197.2</v>
      </c>
      <c r="W231" s="556" t="s">
        <v>225</v>
      </c>
      <c r="X231" s="554">
        <v>0.277195327205611</v>
      </c>
      <c r="Y231" s="555">
        <v>6678.370000000033</v>
      </c>
    </row>
    <row r="232" ht="14.25" customHeight="1">
      <c r="A232" s="480" t="s">
        <v>158</v>
      </c>
      <c r="B232" s="607"/>
      <c r="C232" s="606"/>
      <c r="D232" s="484">
        <v>0.0</v>
      </c>
      <c r="E232" s="607"/>
      <c r="F232" s="606"/>
      <c r="G232" s="484">
        <v>0.0</v>
      </c>
      <c r="H232" s="607"/>
      <c r="I232" s="606"/>
      <c r="J232" s="484">
        <v>0.0</v>
      </c>
      <c r="K232" s="607"/>
      <c r="L232" s="606"/>
      <c r="M232" s="484">
        <v>0.0</v>
      </c>
      <c r="N232" s="607"/>
      <c r="O232" s="606"/>
      <c r="P232" s="484">
        <v>0.0</v>
      </c>
      <c r="Q232" s="607"/>
      <c r="R232" s="606"/>
      <c r="S232" s="484">
        <v>0.0</v>
      </c>
      <c r="T232" s="607"/>
      <c r="U232" s="606"/>
      <c r="V232" s="484">
        <v>0.0</v>
      </c>
      <c r="W232" s="607"/>
      <c r="X232" s="606"/>
      <c r="Y232" s="484">
        <v>0.0</v>
      </c>
    </row>
    <row r="233" ht="14.25" customHeight="1">
      <c r="A233" s="480" t="s">
        <v>159</v>
      </c>
      <c r="B233" s="607"/>
      <c r="C233" s="606"/>
      <c r="D233" s="484">
        <v>0.0</v>
      </c>
      <c r="E233" s="607"/>
      <c r="F233" s="606"/>
      <c r="G233" s="484">
        <v>0.0</v>
      </c>
      <c r="H233" s="607"/>
      <c r="I233" s="606"/>
      <c r="J233" s="484">
        <v>0.0</v>
      </c>
      <c r="K233" s="607"/>
      <c r="L233" s="606"/>
      <c r="M233" s="484">
        <v>0.0</v>
      </c>
      <c r="N233" s="607"/>
      <c r="O233" s="606"/>
      <c r="P233" s="484">
        <v>0.0</v>
      </c>
      <c r="Q233" s="607"/>
      <c r="R233" s="606"/>
      <c r="S233" s="484">
        <v>0.0</v>
      </c>
      <c r="T233" s="607"/>
      <c r="U233" s="606"/>
      <c r="V233" s="484">
        <v>0.0</v>
      </c>
      <c r="W233" s="607"/>
      <c r="X233" s="606"/>
      <c r="Y233" s="484">
        <v>0.0</v>
      </c>
    </row>
    <row r="234" ht="14.25" customHeight="1">
      <c r="A234" s="480" t="s">
        <v>160</v>
      </c>
      <c r="B234" s="480"/>
      <c r="C234" s="48"/>
      <c r="D234" s="484">
        <v>0.0</v>
      </c>
      <c r="E234" s="480"/>
      <c r="F234" s="48"/>
      <c r="G234" s="484">
        <v>0.0</v>
      </c>
      <c r="H234" s="480"/>
      <c r="I234" s="48"/>
      <c r="J234" s="484">
        <v>0.0</v>
      </c>
      <c r="K234" s="480"/>
      <c r="L234" s="48"/>
      <c r="M234" s="484">
        <v>0.0</v>
      </c>
      <c r="N234" s="480"/>
      <c r="O234" s="48"/>
      <c r="P234" s="484">
        <v>0.0</v>
      </c>
      <c r="Q234" s="480"/>
      <c r="R234" s="48"/>
      <c r="S234" s="484">
        <v>0.0</v>
      </c>
      <c r="T234" s="480"/>
      <c r="U234" s="48"/>
      <c r="V234" s="484">
        <v>0.0</v>
      </c>
      <c r="W234" s="480"/>
      <c r="X234" s="48"/>
      <c r="Y234" s="484">
        <v>0.0</v>
      </c>
    </row>
    <row r="235" ht="14.25" customHeight="1">
      <c r="A235" s="480" t="s">
        <v>148</v>
      </c>
      <c r="B235" s="570"/>
      <c r="C235" s="567"/>
      <c r="D235" s="484">
        <v>0.0</v>
      </c>
      <c r="E235" s="570"/>
      <c r="F235" s="567"/>
      <c r="G235" s="484">
        <v>0.0</v>
      </c>
      <c r="H235" s="570"/>
      <c r="I235" s="567"/>
      <c r="J235" s="484">
        <v>0.0</v>
      </c>
      <c r="K235" s="570"/>
      <c r="L235" s="567"/>
      <c r="M235" s="484">
        <v>0.0</v>
      </c>
      <c r="N235" s="570"/>
      <c r="O235" s="567"/>
      <c r="P235" s="484">
        <v>0.0</v>
      </c>
      <c r="Q235" s="570"/>
      <c r="R235" s="567"/>
      <c r="S235" s="484">
        <v>0.0</v>
      </c>
      <c r="T235" s="570"/>
      <c r="U235" s="567"/>
      <c r="V235" s="484">
        <v>0.0</v>
      </c>
      <c r="W235" s="570"/>
      <c r="X235" s="567"/>
      <c r="Y235" s="484">
        <v>0.0</v>
      </c>
    </row>
    <row r="236" ht="14.25" customHeight="1">
      <c r="A236" s="480" t="s">
        <v>56</v>
      </c>
      <c r="B236" s="480"/>
      <c r="C236" s="48"/>
      <c r="D236" s="484">
        <v>0.0</v>
      </c>
      <c r="E236" s="480"/>
      <c r="F236" s="48"/>
      <c r="G236" s="484">
        <v>0.0</v>
      </c>
      <c r="H236" s="480"/>
      <c r="I236" s="48"/>
      <c r="J236" s="484">
        <v>0.0</v>
      </c>
      <c r="K236" s="480"/>
      <c r="L236" s="48"/>
      <c r="M236" s="484">
        <v>0.0</v>
      </c>
      <c r="N236" s="480"/>
      <c r="O236" s="48"/>
      <c r="P236" s="484">
        <v>0.0</v>
      </c>
      <c r="Q236" s="480"/>
      <c r="R236" s="48"/>
      <c r="S236" s="484">
        <v>0.0</v>
      </c>
      <c r="T236" s="480"/>
      <c r="U236" s="48"/>
      <c r="V236" s="484">
        <v>0.0</v>
      </c>
      <c r="W236" s="480"/>
      <c r="X236" s="48"/>
      <c r="Y236" s="484">
        <v>0.0</v>
      </c>
    </row>
    <row r="237" ht="14.25" customHeight="1">
      <c r="A237" s="480" t="s">
        <v>56</v>
      </c>
      <c r="B237" s="480"/>
      <c r="C237" s="48"/>
      <c r="D237" s="484">
        <v>0.0</v>
      </c>
      <c r="E237" s="480"/>
      <c r="F237" s="48"/>
      <c r="G237" s="484">
        <v>0.0</v>
      </c>
      <c r="H237" s="480"/>
      <c r="I237" s="48"/>
      <c r="J237" s="484">
        <v>0.0</v>
      </c>
      <c r="K237" s="480"/>
      <c r="L237" s="48"/>
      <c r="M237" s="484">
        <v>0.0</v>
      </c>
      <c r="N237" s="480"/>
      <c r="O237" s="48"/>
      <c r="P237" s="484">
        <v>0.0</v>
      </c>
      <c r="Q237" s="480"/>
      <c r="R237" s="48"/>
      <c r="S237" s="484">
        <v>0.0</v>
      </c>
      <c r="T237" s="480"/>
      <c r="U237" s="48"/>
      <c r="V237" s="484">
        <v>0.0</v>
      </c>
      <c r="W237" s="480"/>
      <c r="X237" s="48"/>
      <c r="Y237" s="484">
        <v>0.0</v>
      </c>
    </row>
    <row r="238" ht="14.25" customHeight="1">
      <c r="A238" s="471" t="s">
        <v>56</v>
      </c>
      <c r="B238" s="480"/>
      <c r="C238" s="48"/>
      <c r="D238" s="484">
        <v>0.0</v>
      </c>
      <c r="E238" s="480"/>
      <c r="F238" s="48"/>
      <c r="G238" s="484">
        <v>0.0</v>
      </c>
      <c r="H238" s="480"/>
      <c r="I238" s="48"/>
      <c r="J238" s="484">
        <v>0.0</v>
      </c>
      <c r="K238" s="480"/>
      <c r="L238" s="48"/>
      <c r="M238" s="484">
        <v>0.0</v>
      </c>
      <c r="N238" s="480"/>
      <c r="O238" s="48"/>
      <c r="P238" s="484">
        <v>0.0</v>
      </c>
      <c r="Q238" s="480"/>
      <c r="R238" s="48"/>
      <c r="S238" s="484">
        <v>0.0</v>
      </c>
      <c r="T238" s="480"/>
      <c r="U238" s="48"/>
      <c r="V238" s="484">
        <v>0.0</v>
      </c>
      <c r="W238" s="480"/>
      <c r="X238" s="48"/>
      <c r="Y238" s="484">
        <v>0.0</v>
      </c>
    </row>
    <row r="239" ht="14.25" customHeight="1">
      <c r="A239" s="552" t="s">
        <v>149</v>
      </c>
      <c r="B239" s="556"/>
      <c r="C239" s="554"/>
      <c r="D239" s="555">
        <v>0.0</v>
      </c>
      <c r="E239" s="556"/>
      <c r="F239" s="554"/>
      <c r="G239" s="555">
        <v>0.0</v>
      </c>
      <c r="H239" s="556"/>
      <c r="I239" s="554"/>
      <c r="J239" s="555">
        <v>0.0</v>
      </c>
      <c r="K239" s="556"/>
      <c r="L239" s="554"/>
      <c r="M239" s="555">
        <v>0.0</v>
      </c>
      <c r="N239" s="556"/>
      <c r="O239" s="554"/>
      <c r="P239" s="555">
        <v>0.0</v>
      </c>
      <c r="Q239" s="556"/>
      <c r="R239" s="554"/>
      <c r="S239" s="555">
        <v>0.0</v>
      </c>
      <c r="T239" s="556"/>
      <c r="U239" s="554"/>
      <c r="V239" s="555">
        <v>0.0</v>
      </c>
      <c r="W239" s="556"/>
      <c r="X239" s="554"/>
      <c r="Y239" s="555">
        <v>0.0</v>
      </c>
    </row>
    <row r="240" ht="14.25" customHeight="1">
      <c r="A240" s="480"/>
      <c r="B240" s="480"/>
      <c r="C240" s="48"/>
      <c r="D240" s="484"/>
      <c r="E240" s="480"/>
      <c r="F240" s="48"/>
      <c r="G240" s="484"/>
      <c r="H240" s="480"/>
      <c r="I240" s="48"/>
      <c r="J240" s="484"/>
      <c r="K240" s="480"/>
      <c r="L240" s="48"/>
      <c r="M240" s="484"/>
      <c r="N240" s="480"/>
      <c r="O240" s="48"/>
      <c r="P240" s="484"/>
      <c r="Q240" s="480"/>
      <c r="R240" s="48"/>
      <c r="S240" s="484"/>
      <c r="T240" s="480"/>
      <c r="U240" s="48"/>
      <c r="V240" s="484"/>
      <c r="W240" s="480"/>
      <c r="X240" s="48"/>
      <c r="Y240" s="484"/>
    </row>
    <row r="241" ht="14.25" customHeight="1">
      <c r="A241" s="579" t="s">
        <v>150</v>
      </c>
      <c r="B241" s="583"/>
      <c r="C241" s="581"/>
      <c r="D241" s="582">
        <v>114282.51999999984</v>
      </c>
      <c r="E241" s="583"/>
      <c r="F241" s="581"/>
      <c r="G241" s="582">
        <v>60706.560000000216</v>
      </c>
      <c r="H241" s="583"/>
      <c r="I241" s="581"/>
      <c r="J241" s="582">
        <v>152044.9199999994</v>
      </c>
      <c r="K241" s="583"/>
      <c r="L241" s="581"/>
      <c r="M241" s="582">
        <v>191762.4900000016</v>
      </c>
      <c r="N241" s="583"/>
      <c r="O241" s="581"/>
      <c r="P241" s="582">
        <v>90242.68000000058</v>
      </c>
      <c r="Q241" s="583"/>
      <c r="R241" s="581"/>
      <c r="S241" s="582">
        <v>16559.569999998843</v>
      </c>
      <c r="T241" s="583"/>
      <c r="U241" s="581"/>
      <c r="V241" s="582">
        <v>-51218.89999999646</v>
      </c>
      <c r="W241" s="583"/>
      <c r="X241" s="581"/>
      <c r="Y241" s="582">
        <v>-22580.300000001596</v>
      </c>
    </row>
    <row r="242" ht="14.25" customHeight="1">
      <c r="A242" s="40"/>
      <c r="B242" s="40"/>
      <c r="C242" s="40"/>
      <c r="D242" s="540"/>
      <c r="E242" s="40"/>
      <c r="F242" s="40"/>
      <c r="G242" s="540"/>
      <c r="H242" s="40"/>
      <c r="I242" s="40"/>
      <c r="J242" s="540"/>
      <c r="K242" s="40"/>
      <c r="L242" s="40"/>
      <c r="M242" s="540"/>
      <c r="N242" s="40"/>
      <c r="O242" s="40"/>
      <c r="P242" s="540"/>
      <c r="Q242" s="40"/>
      <c r="R242" s="40"/>
      <c r="S242" s="540"/>
      <c r="T242" s="40"/>
      <c r="U242" s="40"/>
      <c r="V242" s="540"/>
      <c r="W242" s="40"/>
      <c r="X242" s="40"/>
      <c r="Y242" s="540"/>
    </row>
    <row r="243" ht="14.25" customHeight="1">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row>
    <row r="244" ht="14.25" customHeight="1">
      <c r="A244" s="450" t="s">
        <v>1</v>
      </c>
      <c r="B244" s="450"/>
      <c r="C244" s="453" t="s">
        <v>161</v>
      </c>
      <c r="D244" s="451"/>
      <c r="E244" s="450"/>
      <c r="F244" s="453" t="s">
        <v>161</v>
      </c>
      <c r="G244" s="451"/>
      <c r="H244" s="450"/>
      <c r="I244" s="453" t="s">
        <v>161</v>
      </c>
      <c r="J244" s="451"/>
      <c r="K244" s="450"/>
      <c r="L244" s="453" t="s">
        <v>161</v>
      </c>
      <c r="M244" s="451"/>
      <c r="N244" s="450"/>
      <c r="O244" s="453" t="s">
        <v>161</v>
      </c>
      <c r="P244" s="451"/>
      <c r="Q244" s="450"/>
      <c r="R244" s="453" t="s">
        <v>161</v>
      </c>
      <c r="S244" s="451"/>
      <c r="T244" s="450"/>
      <c r="U244" s="453" t="s">
        <v>161</v>
      </c>
      <c r="V244" s="451"/>
      <c r="W244" s="450"/>
      <c r="X244" s="453" t="s">
        <v>161</v>
      </c>
      <c r="Y244" s="451"/>
    </row>
    <row r="245" ht="14.25" customHeight="1">
      <c r="A245" s="39"/>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row>
    <row r="246" ht="14.25" customHeight="1">
      <c r="A246" s="461"/>
      <c r="B246" s="910" t="s">
        <v>775</v>
      </c>
      <c r="C246" s="911"/>
      <c r="D246" s="912"/>
      <c r="E246" s="910" t="s">
        <v>775</v>
      </c>
      <c r="F246" s="911"/>
      <c r="G246" s="912"/>
      <c r="H246" s="910" t="s">
        <v>775</v>
      </c>
      <c r="I246" s="911"/>
      <c r="J246" s="912"/>
      <c r="K246" s="910" t="s">
        <v>775</v>
      </c>
      <c r="L246" s="911"/>
      <c r="M246" s="912"/>
      <c r="N246" s="910" t="s">
        <v>775</v>
      </c>
      <c r="O246" s="911"/>
      <c r="P246" s="912"/>
      <c r="Q246" s="910" t="s">
        <v>775</v>
      </c>
      <c r="R246" s="911"/>
      <c r="S246" s="912"/>
      <c r="T246" s="910" t="s">
        <v>775</v>
      </c>
      <c r="U246" s="911"/>
      <c r="V246" s="912"/>
      <c r="W246" s="910" t="s">
        <v>775</v>
      </c>
      <c r="X246" s="911"/>
      <c r="Y246" s="912"/>
    </row>
    <row r="247" ht="14.25" customHeight="1">
      <c r="A247" s="480"/>
      <c r="B247" s="610" t="s">
        <v>221</v>
      </c>
      <c r="C247" s="41" t="s">
        <v>222</v>
      </c>
      <c r="D247" s="611" t="s">
        <v>95</v>
      </c>
      <c r="E247" s="610" t="s">
        <v>221</v>
      </c>
      <c r="F247" s="41" t="s">
        <v>222</v>
      </c>
      <c r="G247" s="611" t="s">
        <v>95</v>
      </c>
      <c r="H247" s="610" t="s">
        <v>221</v>
      </c>
      <c r="I247" s="41" t="s">
        <v>222</v>
      </c>
      <c r="J247" s="611" t="s">
        <v>95</v>
      </c>
      <c r="K247" s="610" t="s">
        <v>221</v>
      </c>
      <c r="L247" s="41" t="s">
        <v>222</v>
      </c>
      <c r="M247" s="611" t="s">
        <v>95</v>
      </c>
      <c r="N247" s="610" t="s">
        <v>221</v>
      </c>
      <c r="O247" s="41" t="s">
        <v>222</v>
      </c>
      <c r="P247" s="611" t="s">
        <v>95</v>
      </c>
      <c r="Q247" s="610" t="s">
        <v>221</v>
      </c>
      <c r="R247" s="41" t="s">
        <v>222</v>
      </c>
      <c r="S247" s="611" t="s">
        <v>95</v>
      </c>
      <c r="T247" s="610" t="s">
        <v>221</v>
      </c>
      <c r="U247" s="41" t="s">
        <v>222</v>
      </c>
      <c r="V247" s="611" t="s">
        <v>95</v>
      </c>
      <c r="W247" s="610" t="s">
        <v>221</v>
      </c>
      <c r="X247" s="41" t="s">
        <v>222</v>
      </c>
      <c r="Y247" s="611" t="s">
        <v>95</v>
      </c>
    </row>
    <row r="248" ht="14.25" customHeight="1">
      <c r="A248" s="480" t="s">
        <v>162</v>
      </c>
      <c r="B248" s="482">
        <v>169.0</v>
      </c>
      <c r="C248" s="483">
        <v>60750.399999999994</v>
      </c>
      <c r="D248" s="484">
        <v>46786.22999999999</v>
      </c>
      <c r="E248" s="482">
        <v>163.0</v>
      </c>
      <c r="F248" s="483">
        <v>76891.16</v>
      </c>
      <c r="G248" s="484">
        <v>60938.62000000001</v>
      </c>
      <c r="H248" s="482">
        <v>218.0</v>
      </c>
      <c r="I248" s="483">
        <v>76018.97999999998</v>
      </c>
      <c r="J248" s="484">
        <v>59583.28999999998</v>
      </c>
      <c r="K248" s="482">
        <v>332.0</v>
      </c>
      <c r="L248" s="483">
        <v>73194.65000000004</v>
      </c>
      <c r="M248" s="484">
        <v>53950.03000000004</v>
      </c>
      <c r="N248" s="482">
        <v>253.0</v>
      </c>
      <c r="O248" s="483">
        <v>40031.38999999997</v>
      </c>
      <c r="P248" s="484">
        <v>25708.519999999968</v>
      </c>
      <c r="Q248" s="482">
        <v>248.0</v>
      </c>
      <c r="R248" s="483">
        <v>57146.11999999998</v>
      </c>
      <c r="S248" s="484">
        <v>40017.849999999984</v>
      </c>
      <c r="T248" s="482">
        <v>235.0</v>
      </c>
      <c r="U248" s="483">
        <v>55313.92000000002</v>
      </c>
      <c r="V248" s="484">
        <v>37769.39000000001</v>
      </c>
      <c r="W248" s="482">
        <v>207.0</v>
      </c>
      <c r="X248" s="483">
        <v>43729.43999999999</v>
      </c>
      <c r="Y248" s="484">
        <v>29770.659999999993</v>
      </c>
    </row>
    <row r="249" ht="14.25" customHeight="1">
      <c r="A249" s="480" t="s">
        <v>163</v>
      </c>
      <c r="B249" s="486"/>
      <c r="C249" s="48"/>
      <c r="D249" s="516">
        <v>0.7701386328320471</v>
      </c>
      <c r="E249" s="486"/>
      <c r="F249" s="48"/>
      <c r="G249" s="516">
        <v>0.79253089691975</v>
      </c>
      <c r="H249" s="486"/>
      <c r="I249" s="48"/>
      <c r="J249" s="516">
        <v>0.7837949154276996</v>
      </c>
      <c r="K249" s="486"/>
      <c r="L249" s="48"/>
      <c r="M249" s="516">
        <v>0.737076138761508</v>
      </c>
      <c r="N249" s="486"/>
      <c r="O249" s="48"/>
      <c r="P249" s="516">
        <v>0.6422090264664801</v>
      </c>
      <c r="Q249" s="486"/>
      <c r="R249" s="48"/>
      <c r="S249" s="516">
        <v>0.7002723894465626</v>
      </c>
      <c r="T249" s="486"/>
      <c r="U249" s="48"/>
      <c r="V249" s="516">
        <v>0.6828188998357013</v>
      </c>
      <c r="W249" s="486"/>
      <c r="X249" s="48"/>
      <c r="Y249" s="516">
        <v>0.6807921619851524</v>
      </c>
    </row>
    <row r="250" ht="14.25" customHeight="1">
      <c r="A250" s="471"/>
      <c r="B250" s="622"/>
      <c r="C250" s="621">
        <v>359.4698224852071</v>
      </c>
      <c r="D250" s="614"/>
      <c r="E250" s="622"/>
      <c r="F250" s="621">
        <v>471.72490797546016</v>
      </c>
      <c r="G250" s="614"/>
      <c r="H250" s="622"/>
      <c r="I250" s="621">
        <v>348.71091743119257</v>
      </c>
      <c r="J250" s="614"/>
      <c r="K250" s="622"/>
      <c r="L250" s="621">
        <v>220.46581325301216</v>
      </c>
      <c r="M250" s="614"/>
      <c r="N250" s="622"/>
      <c r="O250" s="621">
        <v>158.2268379446639</v>
      </c>
      <c r="P250" s="614"/>
      <c r="Q250" s="622"/>
      <c r="R250" s="621">
        <v>230.42790322580638</v>
      </c>
      <c r="S250" s="614"/>
      <c r="T250" s="622"/>
      <c r="U250" s="621">
        <v>235.3783829787235</v>
      </c>
      <c r="V250" s="614"/>
      <c r="W250" s="622"/>
      <c r="X250" s="621">
        <v>211.25333333333327</v>
      </c>
      <c r="Y250" s="614"/>
    </row>
    <row r="251" ht="14.25" customHeight="1">
      <c r="A251" s="466" t="s">
        <v>164</v>
      </c>
      <c r="B251" s="482">
        <v>274.0</v>
      </c>
      <c r="C251" s="522">
        <v>48069.68</v>
      </c>
      <c r="D251" s="484">
        <v>33878.25</v>
      </c>
      <c r="E251" s="482">
        <v>282.0</v>
      </c>
      <c r="F251" s="522">
        <v>50027.9</v>
      </c>
      <c r="G251" s="484">
        <v>34974.630000000005</v>
      </c>
      <c r="H251" s="482">
        <v>356.0</v>
      </c>
      <c r="I251" s="522">
        <v>69999.56999999999</v>
      </c>
      <c r="J251" s="484">
        <v>48723.76999999999</v>
      </c>
      <c r="K251" s="482">
        <v>298.0</v>
      </c>
      <c r="L251" s="522">
        <v>50225.630000000005</v>
      </c>
      <c r="M251" s="484">
        <v>33679.18000000001</v>
      </c>
      <c r="N251" s="482">
        <v>229.0</v>
      </c>
      <c r="O251" s="522">
        <v>31591.0</v>
      </c>
      <c r="P251" s="484">
        <v>20777.069999999992</v>
      </c>
      <c r="Q251" s="482">
        <v>381.0</v>
      </c>
      <c r="R251" s="522">
        <v>70178.25000000003</v>
      </c>
      <c r="S251" s="484">
        <v>42852.08000000003</v>
      </c>
      <c r="T251" s="482">
        <v>249.0</v>
      </c>
      <c r="U251" s="522">
        <v>40258.29999999999</v>
      </c>
      <c r="V251" s="484">
        <v>25248.279999999984</v>
      </c>
      <c r="W251" s="482">
        <v>359.0</v>
      </c>
      <c r="X251" s="522">
        <v>58148.54999999999</v>
      </c>
      <c r="Y251" s="484">
        <v>36946.75</v>
      </c>
    </row>
    <row r="252" ht="14.25" customHeight="1">
      <c r="A252" s="480" t="s">
        <v>163</v>
      </c>
      <c r="B252" s="480"/>
      <c r="C252" s="48"/>
      <c r="D252" s="516">
        <v>0.7047737783983584</v>
      </c>
      <c r="E252" s="480"/>
      <c r="F252" s="48"/>
      <c r="G252" s="516">
        <v>0.6991025008045512</v>
      </c>
      <c r="H252" s="480"/>
      <c r="I252" s="48"/>
      <c r="J252" s="516">
        <v>0.6960581329285308</v>
      </c>
      <c r="K252" s="480"/>
      <c r="L252" s="48"/>
      <c r="M252" s="516">
        <v>0.6705576415865765</v>
      </c>
      <c r="N252" s="480"/>
      <c r="O252" s="48"/>
      <c r="P252" s="516">
        <v>0.6576895318286852</v>
      </c>
      <c r="Q252" s="480"/>
      <c r="R252" s="48"/>
      <c r="S252" s="516">
        <v>0.6106176771293101</v>
      </c>
      <c r="T252" s="480"/>
      <c r="U252" s="48"/>
      <c r="V252" s="516">
        <v>0.6271571328148479</v>
      </c>
      <c r="W252" s="480"/>
      <c r="X252" s="48"/>
      <c r="Y252" s="516">
        <v>0.6353855771124131</v>
      </c>
    </row>
    <row r="253" ht="14.25" customHeight="1">
      <c r="A253" s="471"/>
      <c r="B253" s="622"/>
      <c r="C253" s="621">
        <v>175.43678832116788</v>
      </c>
      <c r="D253" s="614"/>
      <c r="E253" s="622"/>
      <c r="F253" s="621">
        <v>177.40390070921987</v>
      </c>
      <c r="G253" s="614"/>
      <c r="H253" s="622"/>
      <c r="I253" s="621">
        <v>196.6280056179775</v>
      </c>
      <c r="J253" s="614"/>
      <c r="K253" s="622"/>
      <c r="L253" s="621">
        <v>168.5423825503356</v>
      </c>
      <c r="M253" s="614"/>
      <c r="N253" s="622"/>
      <c r="O253" s="621">
        <v>137.95196506550218</v>
      </c>
      <c r="P253" s="614"/>
      <c r="Q253" s="622"/>
      <c r="R253" s="621">
        <v>184.19488188976385</v>
      </c>
      <c r="S253" s="614"/>
      <c r="T253" s="622"/>
      <c r="U253" s="621">
        <v>161.6799196787148</v>
      </c>
      <c r="V253" s="614"/>
      <c r="W253" s="622"/>
      <c r="X253" s="621">
        <v>161.9736768802228</v>
      </c>
      <c r="Y253" s="614"/>
    </row>
    <row r="254" ht="14.25" customHeight="1">
      <c r="A254" s="480" t="s">
        <v>165</v>
      </c>
      <c r="B254" s="482">
        <v>406.0</v>
      </c>
      <c r="C254" s="522">
        <v>61630.53</v>
      </c>
      <c r="D254" s="484">
        <v>44861.909999999996</v>
      </c>
      <c r="E254" s="482">
        <v>513.0</v>
      </c>
      <c r="F254" s="522">
        <v>77786.70000000001</v>
      </c>
      <c r="G254" s="484">
        <v>58252.43000000001</v>
      </c>
      <c r="H254" s="482">
        <v>691.0</v>
      </c>
      <c r="I254" s="522">
        <v>91508.37</v>
      </c>
      <c r="J254" s="484">
        <v>66933.26999999999</v>
      </c>
      <c r="K254" s="482">
        <v>585.0</v>
      </c>
      <c r="L254" s="522">
        <v>80845.82999999999</v>
      </c>
      <c r="M254" s="484">
        <v>59406.36999999999</v>
      </c>
      <c r="N254" s="482">
        <v>441.0</v>
      </c>
      <c r="O254" s="522">
        <v>75052.91999999998</v>
      </c>
      <c r="P254" s="484">
        <v>56118.109999999986</v>
      </c>
      <c r="Q254" s="482">
        <v>468.0</v>
      </c>
      <c r="R254" s="522">
        <v>77739.28000000006</v>
      </c>
      <c r="S254" s="484">
        <v>56090.14000000006</v>
      </c>
      <c r="T254" s="482">
        <v>378.0</v>
      </c>
      <c r="U254" s="522">
        <v>62176.879999999976</v>
      </c>
      <c r="V254" s="484">
        <v>45266.02999999998</v>
      </c>
      <c r="W254" s="482">
        <v>366.0</v>
      </c>
      <c r="X254" s="522">
        <v>65529.68999999997</v>
      </c>
      <c r="Y254" s="484">
        <v>48806.06999999996</v>
      </c>
    </row>
    <row r="255" ht="14.25" customHeight="1">
      <c r="A255" s="480" t="s">
        <v>163</v>
      </c>
      <c r="B255" s="486"/>
      <c r="C255" s="601"/>
      <c r="D255" s="516">
        <v>0.7279169917896211</v>
      </c>
      <c r="E255" s="486"/>
      <c r="F255" s="601"/>
      <c r="G255" s="516">
        <v>0.7488739077502966</v>
      </c>
      <c r="H255" s="486"/>
      <c r="I255" s="601"/>
      <c r="J255" s="516">
        <v>0.7314442383795056</v>
      </c>
      <c r="K255" s="486"/>
      <c r="L255" s="601"/>
      <c r="M255" s="516">
        <v>0.7348105647502166</v>
      </c>
      <c r="N255" s="486"/>
      <c r="O255" s="601"/>
      <c r="P255" s="516">
        <v>0.7477138797531129</v>
      </c>
      <c r="Q255" s="486"/>
      <c r="R255" s="601"/>
      <c r="S255" s="516">
        <v>0.7215160726983838</v>
      </c>
      <c r="T255" s="486"/>
      <c r="U255" s="601"/>
      <c r="V255" s="516">
        <v>0.7280202866403074</v>
      </c>
      <c r="W255" s="486"/>
      <c r="X255" s="601"/>
      <c r="Y255" s="516">
        <v>0.744793237996395</v>
      </c>
    </row>
    <row r="256" ht="14.25" customHeight="1">
      <c r="A256" s="480"/>
      <c r="B256" s="622"/>
      <c r="C256" s="621">
        <v>151.79933497536945</v>
      </c>
      <c r="D256" s="614"/>
      <c r="E256" s="622"/>
      <c r="F256" s="621">
        <v>151.6309941520468</v>
      </c>
      <c r="G256" s="614"/>
      <c r="H256" s="622"/>
      <c r="I256" s="621">
        <v>132.4289001447178</v>
      </c>
      <c r="J256" s="614"/>
      <c r="K256" s="622"/>
      <c r="L256" s="621">
        <v>138.19799999999998</v>
      </c>
      <c r="M256" s="614"/>
      <c r="N256" s="622"/>
      <c r="O256" s="621">
        <v>170.18802721088431</v>
      </c>
      <c r="P256" s="614"/>
      <c r="Q256" s="622"/>
      <c r="R256" s="621">
        <v>166.10957264957278</v>
      </c>
      <c r="S256" s="614"/>
      <c r="T256" s="622"/>
      <c r="U256" s="621">
        <v>164.48910052910045</v>
      </c>
      <c r="V256" s="614"/>
      <c r="W256" s="622"/>
      <c r="X256" s="621">
        <v>179.04286885245895</v>
      </c>
      <c r="Y256" s="614"/>
    </row>
    <row r="257" ht="14.25" customHeight="1">
      <c r="A257" s="466" t="s">
        <v>166</v>
      </c>
      <c r="B257" s="482">
        <v>0.0</v>
      </c>
      <c r="C257" s="522">
        <v>0.0</v>
      </c>
      <c r="D257" s="523">
        <v>0.0</v>
      </c>
      <c r="E257" s="482">
        <v>0.0</v>
      </c>
      <c r="F257" s="522">
        <v>0.0</v>
      </c>
      <c r="G257" s="523">
        <v>0.0</v>
      </c>
      <c r="H257" s="482">
        <v>0.0</v>
      </c>
      <c r="I257" s="522">
        <v>0.0</v>
      </c>
      <c r="J257" s="523">
        <v>0.0</v>
      </c>
      <c r="K257" s="482">
        <v>0.0</v>
      </c>
      <c r="L257" s="522">
        <v>0.0</v>
      </c>
      <c r="M257" s="523">
        <v>0.0</v>
      </c>
      <c r="N257" s="482">
        <v>0.0</v>
      </c>
      <c r="O257" s="522">
        <v>0.0</v>
      </c>
      <c r="P257" s="523">
        <v>0.0</v>
      </c>
      <c r="Q257" s="482">
        <v>0.0</v>
      </c>
      <c r="R257" s="522">
        <v>0.0</v>
      </c>
      <c r="S257" s="523">
        <v>0.0</v>
      </c>
      <c r="T257" s="482">
        <v>0.0</v>
      </c>
      <c r="U257" s="522">
        <v>0.0</v>
      </c>
      <c r="V257" s="523">
        <v>0.0</v>
      </c>
      <c r="W257" s="482">
        <v>0.0</v>
      </c>
      <c r="X257" s="522">
        <v>0.0</v>
      </c>
      <c r="Y257" s="523">
        <v>0.0</v>
      </c>
    </row>
    <row r="258" ht="14.25" customHeight="1">
      <c r="A258" s="480" t="s">
        <v>163</v>
      </c>
      <c r="B258" s="486"/>
      <c r="C258" s="601"/>
      <c r="D258" s="516">
        <v>0.0</v>
      </c>
      <c r="E258" s="486"/>
      <c r="F258" s="601"/>
      <c r="G258" s="516">
        <v>0.0</v>
      </c>
      <c r="H258" s="486"/>
      <c r="I258" s="601"/>
      <c r="J258" s="516">
        <v>0.0</v>
      </c>
      <c r="K258" s="486"/>
      <c r="L258" s="601"/>
      <c r="M258" s="516">
        <v>0.0</v>
      </c>
      <c r="N258" s="486"/>
      <c r="O258" s="601"/>
      <c r="P258" s="516">
        <v>0.0</v>
      </c>
      <c r="Q258" s="486"/>
      <c r="R258" s="601"/>
      <c r="S258" s="516">
        <v>0.0</v>
      </c>
      <c r="T258" s="486"/>
      <c r="U258" s="601"/>
      <c r="V258" s="516">
        <v>0.0</v>
      </c>
      <c r="W258" s="486"/>
      <c r="X258" s="601"/>
      <c r="Y258" s="516">
        <v>0.0</v>
      </c>
    </row>
    <row r="259" ht="14.25" customHeight="1">
      <c r="A259" s="471"/>
      <c r="B259" s="622"/>
      <c r="C259" s="621">
        <v>0.0</v>
      </c>
      <c r="D259" s="614"/>
      <c r="E259" s="622"/>
      <c r="F259" s="621">
        <v>0.0</v>
      </c>
      <c r="G259" s="614"/>
      <c r="H259" s="622"/>
      <c r="I259" s="621">
        <v>0.0</v>
      </c>
      <c r="J259" s="614"/>
      <c r="K259" s="622"/>
      <c r="L259" s="621">
        <v>0.0</v>
      </c>
      <c r="M259" s="614"/>
      <c r="N259" s="622"/>
      <c r="O259" s="621">
        <v>0.0</v>
      </c>
      <c r="P259" s="614"/>
      <c r="Q259" s="622"/>
      <c r="R259" s="621">
        <v>0.0</v>
      </c>
      <c r="S259" s="614"/>
      <c r="T259" s="622"/>
      <c r="U259" s="621">
        <v>0.0</v>
      </c>
      <c r="V259" s="614"/>
      <c r="W259" s="622"/>
      <c r="X259" s="621">
        <v>0.0</v>
      </c>
      <c r="Y259" s="614"/>
    </row>
    <row r="260" ht="14.25" customHeight="1">
      <c r="A260" s="480" t="s">
        <v>167</v>
      </c>
      <c r="B260" s="486"/>
      <c r="C260" s="483"/>
      <c r="D260" s="483">
        <v>249.81</v>
      </c>
      <c r="E260" s="486"/>
      <c r="F260" s="483"/>
      <c r="G260" s="483">
        <v>2502.27</v>
      </c>
      <c r="H260" s="486"/>
      <c r="I260" s="483"/>
      <c r="J260" s="483">
        <v>-3721.6</v>
      </c>
      <c r="K260" s="486"/>
      <c r="L260" s="483"/>
      <c r="M260" s="483">
        <v>-8064.199999999999</v>
      </c>
      <c r="N260" s="486"/>
      <c r="O260" s="483"/>
      <c r="P260" s="483">
        <v>362.0699999999997</v>
      </c>
      <c r="Q260" s="486"/>
      <c r="R260" s="483"/>
      <c r="S260" s="483">
        <v>-661.3400000000001</v>
      </c>
      <c r="T260" s="486"/>
      <c r="U260" s="483"/>
      <c r="V260" s="483">
        <v>-159.40999999999985</v>
      </c>
      <c r="W260" s="486"/>
      <c r="X260" s="483"/>
      <c r="Y260" s="483">
        <v>-5394.640000000001</v>
      </c>
    </row>
    <row r="261" ht="14.25" customHeight="1">
      <c r="A261" s="627" t="s">
        <v>168</v>
      </c>
      <c r="B261" s="631">
        <v>849.0</v>
      </c>
      <c r="C261" s="632">
        <v>170450.61</v>
      </c>
      <c r="D261" s="633">
        <v>125776.19999999998</v>
      </c>
      <c r="E261" s="631">
        <v>958.0</v>
      </c>
      <c r="F261" s="632">
        <v>204705.76</v>
      </c>
      <c r="G261" s="633">
        <v>156667.95</v>
      </c>
      <c r="H261" s="631">
        <v>1265.0</v>
      </c>
      <c r="I261" s="632">
        <v>237526.91999999998</v>
      </c>
      <c r="J261" s="633">
        <v>171518.72999999995</v>
      </c>
      <c r="K261" s="631">
        <v>1215.0</v>
      </c>
      <c r="L261" s="632">
        <v>204266.11000000004</v>
      </c>
      <c r="M261" s="633">
        <v>138971.38000000003</v>
      </c>
      <c r="N261" s="631">
        <v>923.0</v>
      </c>
      <c r="O261" s="632">
        <v>146675.30999999994</v>
      </c>
      <c r="P261" s="633">
        <v>102965.76999999996</v>
      </c>
      <c r="Q261" s="631">
        <v>1097.0</v>
      </c>
      <c r="R261" s="632">
        <v>205063.65000000008</v>
      </c>
      <c r="S261" s="633">
        <v>138298.73000000007</v>
      </c>
      <c r="T261" s="631">
        <v>862.0</v>
      </c>
      <c r="U261" s="632">
        <v>157749.09999999998</v>
      </c>
      <c r="V261" s="633">
        <v>108124.28999999996</v>
      </c>
      <c r="W261" s="631">
        <v>932.0</v>
      </c>
      <c r="X261" s="632">
        <v>167407.67999999993</v>
      </c>
      <c r="Y261" s="633">
        <v>110128.83999999995</v>
      </c>
    </row>
    <row r="262" ht="14.25" customHeight="1">
      <c r="A262" s="635" t="s">
        <v>169</v>
      </c>
      <c r="B262" s="640"/>
      <c r="C262" s="641">
        <v>200.76632508833922</v>
      </c>
      <c r="D262" s="507">
        <v>0.7379040767293235</v>
      </c>
      <c r="E262" s="640"/>
      <c r="F262" s="641">
        <v>213.68033402922757</v>
      </c>
      <c r="G262" s="507">
        <v>0.7653323970952258</v>
      </c>
      <c r="H262" s="640"/>
      <c r="I262" s="641">
        <v>187.76831620553358</v>
      </c>
      <c r="J262" s="507">
        <v>0.722102277922856</v>
      </c>
      <c r="K262" s="640"/>
      <c r="L262" s="641">
        <v>168.12025514403297</v>
      </c>
      <c r="M262" s="507">
        <v>0.6803447718272992</v>
      </c>
      <c r="N262" s="640"/>
      <c r="O262" s="641">
        <v>158.91149512459364</v>
      </c>
      <c r="P262" s="507">
        <v>0.7019979708923063</v>
      </c>
      <c r="Q262" s="640"/>
      <c r="R262" s="641">
        <v>186.93131267092076</v>
      </c>
      <c r="S262" s="507">
        <v>0.6744185524835826</v>
      </c>
      <c r="T262" s="640"/>
      <c r="U262" s="641">
        <v>183.00359628770298</v>
      </c>
      <c r="V262" s="507">
        <v>0.6854193779869424</v>
      </c>
      <c r="W262" s="640"/>
      <c r="X262" s="641">
        <v>179.62197424892696</v>
      </c>
      <c r="Y262" s="507">
        <v>0.6578481943002854</v>
      </c>
    </row>
    <row r="263" ht="14.25" customHeight="1">
      <c r="A263" s="466"/>
      <c r="B263" s="252"/>
      <c r="C263" s="643"/>
      <c r="D263" s="523"/>
      <c r="E263" s="252"/>
      <c r="F263" s="643"/>
      <c r="G263" s="523"/>
      <c r="H263" s="252"/>
      <c r="I263" s="643"/>
      <c r="J263" s="523"/>
      <c r="K263" s="252"/>
      <c r="L263" s="643"/>
      <c r="M263" s="523"/>
      <c r="N263" s="252"/>
      <c r="O263" s="643"/>
      <c r="P263" s="523"/>
      <c r="Q263" s="252"/>
      <c r="R263" s="643"/>
      <c r="S263" s="523"/>
      <c r="T263" s="252"/>
      <c r="U263" s="643"/>
      <c r="V263" s="523"/>
      <c r="W263" s="252"/>
      <c r="X263" s="643"/>
      <c r="Y263" s="523"/>
    </row>
    <row r="264" ht="14.25" customHeight="1">
      <c r="A264" s="480" t="s">
        <v>170</v>
      </c>
      <c r="B264" s="482">
        <v>251.0</v>
      </c>
      <c r="C264" s="483">
        <v>7495.89</v>
      </c>
      <c r="D264" s="484">
        <v>1865.1100000000004</v>
      </c>
      <c r="E264" s="482">
        <v>326.0</v>
      </c>
      <c r="F264" s="483">
        <v>19037.94</v>
      </c>
      <c r="G264" s="484">
        <v>7501.6799999999985</v>
      </c>
      <c r="H264" s="482">
        <v>325.0</v>
      </c>
      <c r="I264" s="483">
        <v>21248.329999999998</v>
      </c>
      <c r="J264" s="484">
        <v>4709.669999999998</v>
      </c>
      <c r="K264" s="482">
        <v>416.0</v>
      </c>
      <c r="L264" s="483">
        <v>14265.450000000004</v>
      </c>
      <c r="M264" s="484">
        <v>3312.6900000000064</v>
      </c>
      <c r="N264" s="482">
        <v>381.0</v>
      </c>
      <c r="O264" s="483">
        <v>18043.54</v>
      </c>
      <c r="P264" s="484">
        <v>5122.6100000000015</v>
      </c>
      <c r="Q264" s="482">
        <v>332.0</v>
      </c>
      <c r="R264" s="483">
        <v>14805.160000000003</v>
      </c>
      <c r="S264" s="484">
        <v>3538.379999999999</v>
      </c>
      <c r="T264" s="482">
        <v>269.0</v>
      </c>
      <c r="U264" s="483">
        <v>12594.499999999993</v>
      </c>
      <c r="V264" s="484">
        <v>5236.559999999998</v>
      </c>
      <c r="W264" s="482">
        <v>240.0</v>
      </c>
      <c r="X264" s="483">
        <v>19494.560000000005</v>
      </c>
      <c r="Y264" s="484">
        <v>2169.0400000000027</v>
      </c>
    </row>
    <row r="265" ht="14.25" customHeight="1">
      <c r="A265" s="480" t="s">
        <v>163</v>
      </c>
      <c r="B265" s="486"/>
      <c r="C265" s="601"/>
      <c r="D265" s="516">
        <v>0.24881768542494623</v>
      </c>
      <c r="E265" s="486"/>
      <c r="F265" s="601"/>
      <c r="G265" s="516">
        <v>0.39403843062852384</v>
      </c>
      <c r="H265" s="486"/>
      <c r="I265" s="601"/>
      <c r="J265" s="516">
        <v>0.2216489484114751</v>
      </c>
      <c r="K265" s="486"/>
      <c r="L265" s="601"/>
      <c r="M265" s="516">
        <v>0.23221770080859738</v>
      </c>
      <c r="N265" s="486"/>
      <c r="O265" s="601"/>
      <c r="P265" s="516">
        <v>0.28390271532082956</v>
      </c>
      <c r="Q265" s="486"/>
      <c r="R265" s="601"/>
      <c r="S265" s="516">
        <v>0.23899640395645833</v>
      </c>
      <c r="T265" s="486"/>
      <c r="U265" s="601"/>
      <c r="V265" s="516">
        <v>0.4157814919210767</v>
      </c>
      <c r="W265" s="486"/>
      <c r="X265" s="601"/>
      <c r="Y265" s="516">
        <v>0.11126386027691838</v>
      </c>
    </row>
    <row r="266" ht="14.25" customHeight="1">
      <c r="A266" s="480"/>
      <c r="B266" s="600"/>
      <c r="C266" s="599"/>
      <c r="D266" s="516"/>
      <c r="E266" s="600"/>
      <c r="F266" s="599"/>
      <c r="G266" s="516"/>
      <c r="H266" s="600"/>
      <c r="I266" s="599"/>
      <c r="J266" s="516"/>
      <c r="K266" s="600"/>
      <c r="L266" s="599"/>
      <c r="M266" s="516"/>
      <c r="N266" s="600"/>
      <c r="O266" s="599"/>
      <c r="P266" s="516"/>
      <c r="Q266" s="600"/>
      <c r="R266" s="599"/>
      <c r="S266" s="516"/>
      <c r="T266" s="600"/>
      <c r="U266" s="599"/>
      <c r="V266" s="516"/>
      <c r="W266" s="600"/>
      <c r="X266" s="599"/>
      <c r="Y266" s="516"/>
    </row>
    <row r="267" ht="14.25" customHeight="1">
      <c r="A267" s="480" t="s">
        <v>171</v>
      </c>
      <c r="B267" s="482"/>
      <c r="C267" s="481">
        <v>0.0</v>
      </c>
      <c r="D267" s="485">
        <v>0.0</v>
      </c>
      <c r="E267" s="482">
        <v>0.0</v>
      </c>
      <c r="F267" s="481">
        <v>0.0</v>
      </c>
      <c r="G267" s="485">
        <v>0.0</v>
      </c>
      <c r="H267" s="482">
        <v>0.0</v>
      </c>
      <c r="I267" s="481">
        <v>0.0</v>
      </c>
      <c r="J267" s="485">
        <v>0.0</v>
      </c>
      <c r="K267" s="482">
        <v>0.0</v>
      </c>
      <c r="L267" s="481">
        <v>0.0</v>
      </c>
      <c r="M267" s="485">
        <v>0.0</v>
      </c>
      <c r="N267" s="482">
        <v>0.0</v>
      </c>
      <c r="O267" s="481">
        <v>0.0</v>
      </c>
      <c r="P267" s="485">
        <v>0.0</v>
      </c>
      <c r="Q267" s="482">
        <v>0.0</v>
      </c>
      <c r="R267" s="481">
        <v>0.0</v>
      </c>
      <c r="S267" s="485">
        <v>0.0</v>
      </c>
      <c r="T267" s="482">
        <v>0.0</v>
      </c>
      <c r="U267" s="481">
        <v>0.0</v>
      </c>
      <c r="V267" s="485">
        <v>0.0</v>
      </c>
      <c r="W267" s="482">
        <v>0.0</v>
      </c>
      <c r="X267" s="481">
        <v>0.0</v>
      </c>
      <c r="Y267" s="485">
        <v>0.0</v>
      </c>
    </row>
    <row r="268" ht="14.25" customHeight="1">
      <c r="A268" s="480" t="s">
        <v>163</v>
      </c>
      <c r="B268" s="600"/>
      <c r="C268" s="599"/>
      <c r="D268" s="516">
        <v>0.0</v>
      </c>
      <c r="E268" s="600"/>
      <c r="F268" s="599"/>
      <c r="G268" s="516">
        <v>0.0</v>
      </c>
      <c r="H268" s="600"/>
      <c r="I268" s="599"/>
      <c r="J268" s="516">
        <v>0.0</v>
      </c>
      <c r="K268" s="600"/>
      <c r="L268" s="599"/>
      <c r="M268" s="516">
        <v>0.0</v>
      </c>
      <c r="N268" s="600"/>
      <c r="O268" s="599"/>
      <c r="P268" s="516">
        <v>0.0</v>
      </c>
      <c r="Q268" s="600"/>
      <c r="R268" s="599"/>
      <c r="S268" s="516">
        <v>0.0</v>
      </c>
      <c r="T268" s="600"/>
      <c r="U268" s="599"/>
      <c r="V268" s="516">
        <v>0.0</v>
      </c>
      <c r="W268" s="600"/>
      <c r="X268" s="599"/>
      <c r="Y268" s="516">
        <v>0.0</v>
      </c>
    </row>
    <row r="269" ht="14.25" customHeight="1">
      <c r="A269" s="644"/>
      <c r="B269" s="648"/>
      <c r="C269" s="646"/>
      <c r="D269" s="647"/>
      <c r="E269" s="648"/>
      <c r="F269" s="646"/>
      <c r="G269" s="647"/>
      <c r="H269" s="648"/>
      <c r="I269" s="646"/>
      <c r="J269" s="647"/>
      <c r="K269" s="648"/>
      <c r="L269" s="646"/>
      <c r="M269" s="647"/>
      <c r="N269" s="648"/>
      <c r="O269" s="646"/>
      <c r="P269" s="647"/>
      <c r="Q269" s="648"/>
      <c r="R269" s="646"/>
      <c r="S269" s="647"/>
      <c r="T269" s="648"/>
      <c r="U269" s="646"/>
      <c r="V269" s="647"/>
      <c r="W269" s="648"/>
      <c r="X269" s="646"/>
      <c r="Y269" s="647"/>
    </row>
    <row r="270" ht="14.25" customHeight="1">
      <c r="A270" s="526" t="s">
        <v>172</v>
      </c>
      <c r="B270" s="530"/>
      <c r="C270" s="527">
        <v>177946.5</v>
      </c>
      <c r="D270" s="529">
        <v>127641.30999999998</v>
      </c>
      <c r="E270" s="530"/>
      <c r="F270" s="527">
        <v>223743.7</v>
      </c>
      <c r="G270" s="529">
        <v>164169.63</v>
      </c>
      <c r="H270" s="530"/>
      <c r="I270" s="527">
        <v>258775.24999999997</v>
      </c>
      <c r="J270" s="529">
        <v>176228.39999999997</v>
      </c>
      <c r="K270" s="530"/>
      <c r="L270" s="527">
        <v>218531.56000000006</v>
      </c>
      <c r="M270" s="529">
        <v>142284.07000000004</v>
      </c>
      <c r="N270" s="530"/>
      <c r="O270" s="527">
        <v>164718.84999999995</v>
      </c>
      <c r="P270" s="529">
        <v>108088.37999999996</v>
      </c>
      <c r="Q270" s="530"/>
      <c r="R270" s="527">
        <v>219868.81000000008</v>
      </c>
      <c r="S270" s="529">
        <v>141837.11000000007</v>
      </c>
      <c r="T270" s="530"/>
      <c r="U270" s="527">
        <v>170343.59999999998</v>
      </c>
      <c r="V270" s="529">
        <v>113360.84999999996</v>
      </c>
      <c r="W270" s="530"/>
      <c r="X270" s="527">
        <v>186902.23999999993</v>
      </c>
      <c r="Y270" s="529">
        <v>112297.87999999996</v>
      </c>
    </row>
    <row r="271" ht="14.25" customHeight="1">
      <c r="A271" s="531"/>
      <c r="B271" s="531"/>
      <c r="C271" s="534"/>
      <c r="D271" s="538">
        <v>0.7173016046957933</v>
      </c>
      <c r="E271" s="531"/>
      <c r="F271" s="534"/>
      <c r="G271" s="538">
        <v>0.7337396762456329</v>
      </c>
      <c r="H271" s="531"/>
      <c r="I271" s="534"/>
      <c r="J271" s="538">
        <v>0.6810094860308317</v>
      </c>
      <c r="K271" s="531"/>
      <c r="L271" s="534"/>
      <c r="M271" s="538">
        <v>0.6510916317990866</v>
      </c>
      <c r="N271" s="531"/>
      <c r="O271" s="534"/>
      <c r="P271" s="538">
        <v>0.6561992146011218</v>
      </c>
      <c r="Q271" s="531"/>
      <c r="R271" s="534"/>
      <c r="S271" s="538">
        <v>0.6450988205193816</v>
      </c>
      <c r="T271" s="531"/>
      <c r="U271" s="534"/>
      <c r="V271" s="538">
        <v>0.6654834698808759</v>
      </c>
      <c r="W271" s="531"/>
      <c r="X271" s="534"/>
      <c r="Y271" s="538">
        <v>0.6008375287529995</v>
      </c>
    </row>
    <row r="272" ht="14.25" customHeight="1">
      <c r="A272" s="500"/>
      <c r="B272" s="500"/>
      <c r="C272" s="503"/>
      <c r="D272" s="507"/>
      <c r="E272" s="500"/>
      <c r="F272" s="503"/>
      <c r="G272" s="507"/>
      <c r="H272" s="500"/>
      <c r="I272" s="503"/>
      <c r="J272" s="507"/>
      <c r="K272" s="500"/>
      <c r="L272" s="503"/>
      <c r="M272" s="507"/>
      <c r="N272" s="500"/>
      <c r="O272" s="503"/>
      <c r="P272" s="507"/>
      <c r="Q272" s="500"/>
      <c r="R272" s="503"/>
      <c r="S272" s="507"/>
      <c r="T272" s="500"/>
      <c r="U272" s="503"/>
      <c r="V272" s="507"/>
      <c r="W272" s="500"/>
      <c r="X272" s="503"/>
      <c r="Y272" s="507"/>
    </row>
    <row r="273" ht="14.25" customHeight="1">
      <c r="A273" s="541" t="s">
        <v>110</v>
      </c>
      <c r="B273" s="480"/>
      <c r="C273" s="48"/>
      <c r="D273" s="514"/>
      <c r="E273" s="480"/>
      <c r="F273" s="48"/>
      <c r="G273" s="514"/>
      <c r="H273" s="480"/>
      <c r="I273" s="48"/>
      <c r="J273" s="514"/>
      <c r="K273" s="480"/>
      <c r="L273" s="48"/>
      <c r="M273" s="514"/>
      <c r="N273" s="480"/>
      <c r="O273" s="48"/>
      <c r="P273" s="514"/>
      <c r="Q273" s="480"/>
      <c r="R273" s="48"/>
      <c r="S273" s="514"/>
      <c r="T273" s="480"/>
      <c r="U273" s="48"/>
      <c r="V273" s="514"/>
      <c r="W273" s="480"/>
      <c r="X273" s="48"/>
      <c r="Y273" s="514"/>
    </row>
    <row r="274" ht="14.25" customHeight="1">
      <c r="A274" s="559" t="s">
        <v>119</v>
      </c>
      <c r="B274" s="480"/>
      <c r="C274" s="48"/>
      <c r="D274" s="484">
        <v>15129.08</v>
      </c>
      <c r="E274" s="480"/>
      <c r="F274" s="48"/>
      <c r="G274" s="484">
        <v>17945.82</v>
      </c>
      <c r="H274" s="480"/>
      <c r="I274" s="48"/>
      <c r="J274" s="484">
        <v>-1032.0900000000001</v>
      </c>
      <c r="K274" s="480"/>
      <c r="L274" s="48"/>
      <c r="M274" s="484">
        <v>13148.55</v>
      </c>
      <c r="N274" s="480"/>
      <c r="O274" s="48"/>
      <c r="P274" s="484">
        <v>1559.3600000000006</v>
      </c>
      <c r="Q274" s="480"/>
      <c r="R274" s="48"/>
      <c r="S274" s="484">
        <v>12571.489999999998</v>
      </c>
      <c r="T274" s="480"/>
      <c r="U274" s="48"/>
      <c r="V274" s="484">
        <v>12853.82</v>
      </c>
      <c r="W274" s="480"/>
      <c r="X274" s="48"/>
      <c r="Y274" s="484">
        <v>6514.100000000006</v>
      </c>
      <c r="Z274" s="284" t="s">
        <v>3547</v>
      </c>
    </row>
    <row r="275" ht="14.25" customHeight="1">
      <c r="A275" s="560" t="s">
        <v>120</v>
      </c>
      <c r="B275" s="480"/>
      <c r="C275" s="48"/>
      <c r="D275" s="484">
        <v>30324.36</v>
      </c>
      <c r="E275" s="480"/>
      <c r="F275" s="48"/>
      <c r="G275" s="484">
        <v>29077.36</v>
      </c>
      <c r="H275" s="480"/>
      <c r="I275" s="48"/>
      <c r="J275" s="484">
        <v>37837.850000000006</v>
      </c>
      <c r="K275" s="480"/>
      <c r="L275" s="48"/>
      <c r="M275" s="484">
        <v>30160.29999999999</v>
      </c>
      <c r="N275" s="480"/>
      <c r="O275" s="48"/>
      <c r="P275" s="484">
        <v>24060.95000000001</v>
      </c>
      <c r="Q275" s="480"/>
      <c r="R275" s="48"/>
      <c r="S275" s="484">
        <v>8702.179999999993</v>
      </c>
      <c r="T275" s="480"/>
      <c r="U275" s="48"/>
      <c r="V275" s="484">
        <v>7731.890000000014</v>
      </c>
      <c r="W275" s="480"/>
      <c r="X275" s="48"/>
      <c r="Y275" s="484">
        <v>6348.109999999986</v>
      </c>
    </row>
    <row r="276" ht="14.25" customHeight="1">
      <c r="A276" s="559" t="s">
        <v>121</v>
      </c>
      <c r="B276" s="466"/>
      <c r="C276" s="562"/>
      <c r="D276" s="523">
        <v>10386.77</v>
      </c>
      <c r="E276" s="466"/>
      <c r="F276" s="562"/>
      <c r="G276" s="523">
        <v>7741.959999999999</v>
      </c>
      <c r="H276" s="466"/>
      <c r="I276" s="562"/>
      <c r="J276" s="523">
        <v>12981.41</v>
      </c>
      <c r="K276" s="466"/>
      <c r="L276" s="562"/>
      <c r="M276" s="523">
        <v>14399.89</v>
      </c>
      <c r="N276" s="466"/>
      <c r="O276" s="562"/>
      <c r="P276" s="523">
        <v>13712.330000000002</v>
      </c>
      <c r="Q276" s="466"/>
      <c r="R276" s="562"/>
      <c r="S276" s="523">
        <v>9470.770000000004</v>
      </c>
      <c r="T276" s="466"/>
      <c r="U276" s="562"/>
      <c r="V276" s="523">
        <v>14189.179999999993</v>
      </c>
      <c r="W276" s="466"/>
      <c r="X276" s="562"/>
      <c r="Y276" s="523">
        <v>11770.770000000004</v>
      </c>
    </row>
    <row r="277" ht="14.25" customHeight="1">
      <c r="A277" s="559" t="s">
        <v>122</v>
      </c>
      <c r="B277" s="480"/>
      <c r="C277" s="602"/>
      <c r="D277" s="484">
        <v>0.0</v>
      </c>
      <c r="E277" s="480"/>
      <c r="F277" s="602"/>
      <c r="G277" s="484">
        <v>0.0</v>
      </c>
      <c r="H277" s="480"/>
      <c r="I277" s="602"/>
      <c r="J277" s="484">
        <v>0.0</v>
      </c>
      <c r="K277" s="480"/>
      <c r="L277" s="602"/>
      <c r="M277" s="484">
        <v>0.0</v>
      </c>
      <c r="N277" s="480"/>
      <c r="O277" s="602"/>
      <c r="P277" s="484">
        <v>0.0</v>
      </c>
      <c r="Q277" s="480"/>
      <c r="R277" s="602"/>
      <c r="S277" s="484">
        <v>15838.4</v>
      </c>
      <c r="T277" s="480"/>
      <c r="U277" s="602"/>
      <c r="V277" s="484">
        <v>15574.6</v>
      </c>
      <c r="W277" s="480"/>
      <c r="X277" s="602"/>
      <c r="Y277" s="484">
        <v>9149.14</v>
      </c>
    </row>
    <row r="278" ht="14.25" customHeight="1">
      <c r="A278" s="480" t="s">
        <v>56</v>
      </c>
      <c r="B278" s="480"/>
      <c r="C278" s="48"/>
      <c r="D278" s="484">
        <v>0.0</v>
      </c>
      <c r="E278" s="480"/>
      <c r="F278" s="48"/>
      <c r="G278" s="484">
        <v>0.0</v>
      </c>
      <c r="H278" s="480"/>
      <c r="I278" s="48"/>
      <c r="J278" s="484">
        <v>0.0</v>
      </c>
      <c r="K278" s="480"/>
      <c r="L278" s="48"/>
      <c r="M278" s="484">
        <v>0.0</v>
      </c>
      <c r="N278" s="480"/>
      <c r="O278" s="48"/>
      <c r="P278" s="484">
        <v>0.0</v>
      </c>
      <c r="Q278" s="480"/>
      <c r="R278" s="48"/>
      <c r="S278" s="484">
        <v>0.0</v>
      </c>
      <c r="T278" s="480"/>
      <c r="U278" s="48"/>
      <c r="V278" s="484">
        <v>0.0</v>
      </c>
      <c r="W278" s="480"/>
      <c r="X278" s="48"/>
      <c r="Y278" s="484">
        <v>0.0</v>
      </c>
    </row>
    <row r="279" ht="14.25" customHeight="1">
      <c r="A279" s="480" t="s">
        <v>56</v>
      </c>
      <c r="B279" s="480"/>
      <c r="C279" s="48"/>
      <c r="D279" s="484">
        <v>0.0</v>
      </c>
      <c r="E279" s="480"/>
      <c r="F279" s="48"/>
      <c r="G279" s="484">
        <v>0.0</v>
      </c>
      <c r="H279" s="480"/>
      <c r="I279" s="48"/>
      <c r="J279" s="484">
        <v>0.0</v>
      </c>
      <c r="K279" s="480"/>
      <c r="L279" s="48"/>
      <c r="M279" s="484">
        <v>0.0</v>
      </c>
      <c r="N279" s="480"/>
      <c r="O279" s="48"/>
      <c r="P279" s="484">
        <v>0.0</v>
      </c>
      <c r="Q279" s="480"/>
      <c r="R279" s="48"/>
      <c r="S279" s="484">
        <v>0.0</v>
      </c>
      <c r="T279" s="480"/>
      <c r="U279" s="48"/>
      <c r="V279" s="484">
        <v>0.0</v>
      </c>
      <c r="W279" s="480"/>
      <c r="X279" s="48"/>
      <c r="Y279" s="484">
        <v>0.0</v>
      </c>
    </row>
    <row r="280" ht="14.25" customHeight="1">
      <c r="A280" s="480" t="s">
        <v>56</v>
      </c>
      <c r="B280" s="480"/>
      <c r="C280" s="48"/>
      <c r="D280" s="484">
        <v>0.0</v>
      </c>
      <c r="E280" s="480"/>
      <c r="F280" s="48"/>
      <c r="G280" s="484">
        <v>0.0</v>
      </c>
      <c r="H280" s="480"/>
      <c r="I280" s="48"/>
      <c r="J280" s="484">
        <v>0.0</v>
      </c>
      <c r="K280" s="480"/>
      <c r="L280" s="48"/>
      <c r="M280" s="484">
        <v>0.0</v>
      </c>
      <c r="N280" s="480"/>
      <c r="O280" s="48"/>
      <c r="P280" s="484">
        <v>0.0</v>
      </c>
      <c r="Q280" s="480"/>
      <c r="R280" s="48"/>
      <c r="S280" s="484">
        <v>0.0</v>
      </c>
      <c r="T280" s="480"/>
      <c r="U280" s="48"/>
      <c r="V280" s="484">
        <v>0.0</v>
      </c>
      <c r="W280" s="480"/>
      <c r="X280" s="48"/>
      <c r="Y280" s="484">
        <v>0.0</v>
      </c>
    </row>
    <row r="281" ht="14.25" customHeight="1">
      <c r="A281" s="560" t="s">
        <v>123</v>
      </c>
      <c r="B281" s="480"/>
      <c r="C281" s="48"/>
      <c r="D281" s="484">
        <v>24764.7</v>
      </c>
      <c r="E281" s="480"/>
      <c r="F281" s="48"/>
      <c r="G281" s="484">
        <v>7464.0</v>
      </c>
      <c r="H281" s="480"/>
      <c r="I281" s="48"/>
      <c r="J281" s="484">
        <v>9484.240000000002</v>
      </c>
      <c r="K281" s="480"/>
      <c r="L281" s="48"/>
      <c r="M281" s="484">
        <v>16135.589999999997</v>
      </c>
      <c r="N281" s="480"/>
      <c r="O281" s="48"/>
      <c r="P281" s="484">
        <v>11669.339999999997</v>
      </c>
      <c r="Q281" s="480"/>
      <c r="R281" s="48"/>
      <c r="S281" s="484">
        <v>12623.830000000002</v>
      </c>
      <c r="T281" s="480"/>
      <c r="U281" s="48"/>
      <c r="V281" s="484">
        <v>15868.100000000006</v>
      </c>
      <c r="W281" s="480"/>
      <c r="X281" s="48"/>
      <c r="Y281" s="484">
        <v>7931.069999999992</v>
      </c>
    </row>
    <row r="282" ht="14.25" customHeight="1">
      <c r="A282" s="559" t="s">
        <v>124</v>
      </c>
      <c r="B282" s="466"/>
      <c r="C282" s="562"/>
      <c r="D282" s="523">
        <v>17810.29</v>
      </c>
      <c r="E282" s="466"/>
      <c r="F282" s="562"/>
      <c r="G282" s="523">
        <v>16866.129999999997</v>
      </c>
      <c r="H282" s="466"/>
      <c r="I282" s="562"/>
      <c r="J282" s="523">
        <v>19856.870000000003</v>
      </c>
      <c r="K282" s="466"/>
      <c r="L282" s="562"/>
      <c r="M282" s="523">
        <v>21133.859999999993</v>
      </c>
      <c r="N282" s="466"/>
      <c r="O282" s="562"/>
      <c r="P282" s="523">
        <v>17462.430000000008</v>
      </c>
      <c r="Q282" s="466"/>
      <c r="R282" s="562"/>
      <c r="S282" s="523">
        <v>16075.080000000002</v>
      </c>
      <c r="T282" s="466"/>
      <c r="U282" s="562"/>
      <c r="V282" s="523">
        <v>13324.73999999999</v>
      </c>
      <c r="W282" s="466"/>
      <c r="X282" s="562"/>
      <c r="Y282" s="523">
        <v>18011.47</v>
      </c>
    </row>
    <row r="283" ht="14.25" customHeight="1">
      <c r="A283" s="559" t="s">
        <v>125</v>
      </c>
      <c r="B283" s="480"/>
      <c r="C283" s="48"/>
      <c r="D283" s="484">
        <v>9755.66</v>
      </c>
      <c r="E283" s="480"/>
      <c r="F283" s="48"/>
      <c r="G283" s="484">
        <v>15507.560000000001</v>
      </c>
      <c r="H283" s="480"/>
      <c r="I283" s="48"/>
      <c r="J283" s="484">
        <v>5782.779999999999</v>
      </c>
      <c r="K283" s="480"/>
      <c r="L283" s="48"/>
      <c r="M283" s="484">
        <v>8350.440000000002</v>
      </c>
      <c r="N283" s="480"/>
      <c r="O283" s="48"/>
      <c r="P283" s="484">
        <v>4413.409999999996</v>
      </c>
      <c r="Q283" s="480"/>
      <c r="R283" s="48"/>
      <c r="S283" s="484">
        <v>4298.3499999999985</v>
      </c>
      <c r="T283" s="480"/>
      <c r="U283" s="48"/>
      <c r="V283" s="484">
        <v>5623.050000000003</v>
      </c>
      <c r="W283" s="480"/>
      <c r="X283" s="48"/>
      <c r="Y283" s="484">
        <v>2533.050000000003</v>
      </c>
    </row>
    <row r="284" ht="14.25" customHeight="1">
      <c r="A284" s="559" t="s">
        <v>126</v>
      </c>
      <c r="B284" s="480"/>
      <c r="C284" s="48"/>
      <c r="D284" s="484">
        <v>1060.33</v>
      </c>
      <c r="E284" s="480"/>
      <c r="F284" s="48"/>
      <c r="G284" s="484">
        <v>821.5600000000002</v>
      </c>
      <c r="H284" s="480"/>
      <c r="I284" s="48"/>
      <c r="J284" s="484">
        <v>5427.4</v>
      </c>
      <c r="K284" s="480"/>
      <c r="L284" s="48"/>
      <c r="M284" s="484">
        <v>3246.45</v>
      </c>
      <c r="N284" s="480"/>
      <c r="O284" s="48"/>
      <c r="P284" s="484">
        <v>3345.16</v>
      </c>
      <c r="Q284" s="480"/>
      <c r="R284" s="48"/>
      <c r="S284" s="484">
        <v>4709.6</v>
      </c>
      <c r="T284" s="480"/>
      <c r="U284" s="48"/>
      <c r="V284" s="484">
        <v>3712.470000000001</v>
      </c>
      <c r="W284" s="480"/>
      <c r="X284" s="48"/>
      <c r="Y284" s="484">
        <v>4646.779999999999</v>
      </c>
    </row>
    <row r="285" ht="14.25" customHeight="1">
      <c r="A285" s="480" t="s">
        <v>56</v>
      </c>
      <c r="B285" s="471"/>
      <c r="C285" s="564"/>
      <c r="D285" s="484">
        <v>0.0</v>
      </c>
      <c r="E285" s="471"/>
      <c r="F285" s="564"/>
      <c r="G285" s="484">
        <v>0.0</v>
      </c>
      <c r="H285" s="471"/>
      <c r="I285" s="564"/>
      <c r="J285" s="484">
        <v>0.0</v>
      </c>
      <c r="K285" s="471"/>
      <c r="L285" s="564"/>
      <c r="M285" s="484">
        <v>0.0</v>
      </c>
      <c r="N285" s="471"/>
      <c r="O285" s="564"/>
      <c r="P285" s="484">
        <v>0.0</v>
      </c>
      <c r="Q285" s="471"/>
      <c r="R285" s="564"/>
      <c r="S285" s="484">
        <v>0.0</v>
      </c>
      <c r="T285" s="471"/>
      <c r="U285" s="564"/>
      <c r="V285" s="484">
        <v>0.0</v>
      </c>
      <c r="W285" s="471"/>
      <c r="X285" s="564"/>
      <c r="Y285" s="484">
        <v>0.0</v>
      </c>
    </row>
    <row r="286" ht="14.25" customHeight="1">
      <c r="A286" s="552" t="s">
        <v>127</v>
      </c>
      <c r="B286" s="556" t="s">
        <v>932</v>
      </c>
      <c r="C286" s="554">
        <v>0.8557667576429608</v>
      </c>
      <c r="D286" s="555">
        <v>109231.19000000002</v>
      </c>
      <c r="E286" s="556" t="s">
        <v>932</v>
      </c>
      <c r="F286" s="554">
        <v>0.5812548277047344</v>
      </c>
      <c r="G286" s="555">
        <v>95424.38999999998</v>
      </c>
      <c r="H286" s="556" t="s">
        <v>932</v>
      </c>
      <c r="I286" s="554">
        <v>0.5126214616940291</v>
      </c>
      <c r="J286" s="555">
        <v>90338.46000000002</v>
      </c>
      <c r="K286" s="556" t="s">
        <v>932</v>
      </c>
      <c r="L286" s="554">
        <v>0.7490303025489778</v>
      </c>
      <c r="M286" s="555">
        <v>106575.07999999997</v>
      </c>
      <c r="N286" s="556" t="s">
        <v>932</v>
      </c>
      <c r="O286" s="554">
        <v>0.7051912518255897</v>
      </c>
      <c r="P286" s="555">
        <v>76222.98000000001</v>
      </c>
      <c r="Q286" s="556" t="s">
        <v>932</v>
      </c>
      <c r="R286" s="554">
        <v>0.5942711325689022</v>
      </c>
      <c r="S286" s="555">
        <v>84289.70000000001</v>
      </c>
      <c r="T286" s="556" t="s">
        <v>932</v>
      </c>
      <c r="U286" s="554">
        <v>0.7840259666366302</v>
      </c>
      <c r="V286" s="555">
        <v>88877.85</v>
      </c>
      <c r="W286" s="556" t="s">
        <v>932</v>
      </c>
      <c r="X286" s="554">
        <v>0.5957769639106278</v>
      </c>
      <c r="Y286" s="555">
        <v>66904.48999999999</v>
      </c>
    </row>
    <row r="287" ht="14.25" customHeight="1">
      <c r="A287" s="480" t="s">
        <v>128</v>
      </c>
      <c r="B287" s="480"/>
      <c r="C287" s="48"/>
      <c r="D287" s="484">
        <v>1776.1799999999998</v>
      </c>
      <c r="E287" s="480"/>
      <c r="F287" s="48"/>
      <c r="G287" s="484">
        <v>2483.71</v>
      </c>
      <c r="H287" s="480"/>
      <c r="I287" s="48"/>
      <c r="J287" s="484">
        <v>2637.3100000000004</v>
      </c>
      <c r="K287" s="480"/>
      <c r="L287" s="48"/>
      <c r="M287" s="484">
        <v>3197.4100000000003</v>
      </c>
      <c r="N287" s="480"/>
      <c r="O287" s="48"/>
      <c r="P287" s="484">
        <v>1467.2099999999991</v>
      </c>
      <c r="Q287" s="480"/>
      <c r="R287" s="48"/>
      <c r="S287" s="484">
        <v>4277.610000000001</v>
      </c>
      <c r="T287" s="480"/>
      <c r="U287" s="48"/>
      <c r="V287" s="484">
        <v>1608.5099999999993</v>
      </c>
      <c r="W287" s="480"/>
      <c r="X287" s="48"/>
      <c r="Y287" s="484">
        <v>1581.380000000001</v>
      </c>
    </row>
    <row r="288" ht="14.25" customHeight="1">
      <c r="A288" s="480" t="s">
        <v>129</v>
      </c>
      <c r="B288" s="480"/>
      <c r="C288" s="48"/>
      <c r="D288" s="484">
        <v>497.55</v>
      </c>
      <c r="E288" s="480"/>
      <c r="F288" s="48"/>
      <c r="G288" s="484">
        <v>929.94</v>
      </c>
      <c r="H288" s="480"/>
      <c r="I288" s="48"/>
      <c r="J288" s="484">
        <v>2114.67</v>
      </c>
      <c r="K288" s="480"/>
      <c r="L288" s="48"/>
      <c r="M288" s="484">
        <v>1534.9700000000003</v>
      </c>
      <c r="N288" s="480"/>
      <c r="O288" s="48"/>
      <c r="P288" s="484">
        <v>1854.0100000000002</v>
      </c>
      <c r="Q288" s="480"/>
      <c r="R288" s="48"/>
      <c r="S288" s="484">
        <v>9916.75</v>
      </c>
      <c r="T288" s="480"/>
      <c r="U288" s="48"/>
      <c r="V288" s="484">
        <v>4598.110000000001</v>
      </c>
      <c r="W288" s="480"/>
      <c r="X288" s="48"/>
      <c r="Y288" s="484">
        <v>3927.779999999999</v>
      </c>
    </row>
    <row r="289" ht="14.25" customHeight="1">
      <c r="A289" s="471" t="s">
        <v>130</v>
      </c>
      <c r="B289" s="471"/>
      <c r="C289" s="564"/>
      <c r="D289" s="484">
        <v>2782.88</v>
      </c>
      <c r="E289" s="471"/>
      <c r="F289" s="564"/>
      <c r="G289" s="484">
        <v>-11757.11</v>
      </c>
      <c r="H289" s="471"/>
      <c r="I289" s="564"/>
      <c r="J289" s="484">
        <v>4470.759999999999</v>
      </c>
      <c r="K289" s="471"/>
      <c r="L289" s="564"/>
      <c r="M289" s="484">
        <v>1419.2300000000005</v>
      </c>
      <c r="N289" s="471"/>
      <c r="O289" s="564"/>
      <c r="P289" s="484">
        <v>12744.89</v>
      </c>
      <c r="Q289" s="471"/>
      <c r="R289" s="564"/>
      <c r="S289" s="484">
        <v>14194.269999999999</v>
      </c>
      <c r="T289" s="471"/>
      <c r="U289" s="564"/>
      <c r="V289" s="484">
        <v>13172.310000000005</v>
      </c>
      <c r="W289" s="471"/>
      <c r="X289" s="564"/>
      <c r="Y289" s="484">
        <v>9376.239999999998</v>
      </c>
    </row>
    <row r="290" ht="14.25" customHeight="1">
      <c r="A290" s="480" t="s">
        <v>131</v>
      </c>
      <c r="B290" s="480"/>
      <c r="C290" s="48"/>
      <c r="D290" s="523">
        <v>3715.02</v>
      </c>
      <c r="E290" s="480"/>
      <c r="F290" s="48"/>
      <c r="G290" s="523">
        <v>1393.2099999999996</v>
      </c>
      <c r="H290" s="480"/>
      <c r="I290" s="48"/>
      <c r="J290" s="523">
        <v>2349.76</v>
      </c>
      <c r="K290" s="480"/>
      <c r="L290" s="48"/>
      <c r="M290" s="523">
        <v>2948.5599999999995</v>
      </c>
      <c r="N290" s="480"/>
      <c r="O290" s="48"/>
      <c r="P290" s="523">
        <v>2785.3900000000012</v>
      </c>
      <c r="Q290" s="480"/>
      <c r="R290" s="48"/>
      <c r="S290" s="523">
        <v>3487.699999999999</v>
      </c>
      <c r="T290" s="480"/>
      <c r="U290" s="48"/>
      <c r="V290" s="523">
        <v>4088.59</v>
      </c>
      <c r="W290" s="480"/>
      <c r="X290" s="48"/>
      <c r="Y290" s="523">
        <v>3118.8300000000017</v>
      </c>
    </row>
    <row r="291" ht="14.25" customHeight="1">
      <c r="A291" s="480" t="s">
        <v>132</v>
      </c>
      <c r="B291" s="480"/>
      <c r="C291" s="48"/>
      <c r="D291" s="484">
        <v>1107.57</v>
      </c>
      <c r="E291" s="480"/>
      <c r="F291" s="48"/>
      <c r="G291" s="484">
        <v>2687.6500000000005</v>
      </c>
      <c r="H291" s="480"/>
      <c r="I291" s="48"/>
      <c r="J291" s="484">
        <v>4040.76</v>
      </c>
      <c r="K291" s="480"/>
      <c r="L291" s="48"/>
      <c r="M291" s="484">
        <v>9823.82</v>
      </c>
      <c r="N291" s="480"/>
      <c r="O291" s="48"/>
      <c r="P291" s="484">
        <v>1126.489999999998</v>
      </c>
      <c r="Q291" s="480"/>
      <c r="R291" s="48"/>
      <c r="S291" s="484">
        <v>552.8600000000006</v>
      </c>
      <c r="T291" s="480"/>
      <c r="U291" s="48"/>
      <c r="V291" s="484">
        <v>555.0400000000009</v>
      </c>
      <c r="W291" s="480"/>
      <c r="X291" s="48"/>
      <c r="Y291" s="484">
        <v>836.0699999999997</v>
      </c>
    </row>
    <row r="292" ht="14.25" customHeight="1">
      <c r="A292" s="471" t="s">
        <v>133</v>
      </c>
      <c r="B292" s="471"/>
      <c r="C292" s="564"/>
      <c r="D292" s="484">
        <v>15811.95</v>
      </c>
      <c r="E292" s="471"/>
      <c r="F292" s="564"/>
      <c r="G292" s="484">
        <v>14611.28</v>
      </c>
      <c r="H292" s="471"/>
      <c r="I292" s="564"/>
      <c r="J292" s="484">
        <v>13924.6</v>
      </c>
      <c r="K292" s="471"/>
      <c r="L292" s="564"/>
      <c r="M292" s="484">
        <v>14312.539999999997</v>
      </c>
      <c r="N292" s="471"/>
      <c r="O292" s="564"/>
      <c r="P292" s="484">
        <v>8558.830000000002</v>
      </c>
      <c r="Q292" s="471"/>
      <c r="R292" s="564"/>
      <c r="S292" s="484">
        <v>12745.529999999995</v>
      </c>
      <c r="T292" s="471"/>
      <c r="U292" s="564"/>
      <c r="V292" s="484">
        <v>10967.330000000002</v>
      </c>
      <c r="W292" s="471"/>
      <c r="X292" s="564"/>
      <c r="Y292" s="484">
        <v>9569.130000000001</v>
      </c>
    </row>
    <row r="293" ht="14.25" customHeight="1">
      <c r="A293" s="480" t="s">
        <v>173</v>
      </c>
      <c r="B293" s="480"/>
      <c r="C293" s="48"/>
      <c r="D293" s="523">
        <v>0.0</v>
      </c>
      <c r="E293" s="480"/>
      <c r="F293" s="48"/>
      <c r="G293" s="523">
        <v>0.0</v>
      </c>
      <c r="H293" s="480"/>
      <c r="I293" s="48"/>
      <c r="J293" s="523">
        <v>0.0</v>
      </c>
      <c r="K293" s="480"/>
      <c r="L293" s="48"/>
      <c r="M293" s="523">
        <v>0.0</v>
      </c>
      <c r="N293" s="480"/>
      <c r="O293" s="48"/>
      <c r="P293" s="523">
        <v>0.0</v>
      </c>
      <c r="Q293" s="480"/>
      <c r="R293" s="48"/>
      <c r="S293" s="523">
        <v>0.0</v>
      </c>
      <c r="T293" s="480"/>
      <c r="U293" s="48"/>
      <c r="V293" s="523">
        <v>0.0</v>
      </c>
      <c r="W293" s="480"/>
      <c r="X293" s="48"/>
      <c r="Y293" s="523">
        <v>0.0</v>
      </c>
    </row>
    <row r="294" ht="14.25" customHeight="1">
      <c r="A294" s="480" t="s">
        <v>134</v>
      </c>
      <c r="B294" s="480"/>
      <c r="C294" s="48"/>
      <c r="D294" s="484">
        <v>4259.66</v>
      </c>
      <c r="E294" s="480"/>
      <c r="F294" s="48"/>
      <c r="G294" s="484">
        <v>8144.57</v>
      </c>
      <c r="H294" s="480"/>
      <c r="I294" s="48"/>
      <c r="J294" s="484">
        <v>6866.5</v>
      </c>
      <c r="K294" s="480"/>
      <c r="L294" s="48"/>
      <c r="M294" s="484">
        <v>4738.170000000002</v>
      </c>
      <c r="N294" s="480"/>
      <c r="O294" s="48"/>
      <c r="P294" s="484">
        <v>5657.16</v>
      </c>
      <c r="Q294" s="480"/>
      <c r="R294" s="48"/>
      <c r="S294" s="484">
        <v>3878.319999999996</v>
      </c>
      <c r="T294" s="480"/>
      <c r="U294" s="48"/>
      <c r="V294" s="484">
        <v>4864.840000000004</v>
      </c>
      <c r="W294" s="480"/>
      <c r="X294" s="48"/>
      <c r="Y294" s="484">
        <v>2286.790000000001</v>
      </c>
    </row>
    <row r="295" ht="14.25" customHeight="1">
      <c r="A295" s="480" t="s">
        <v>135</v>
      </c>
      <c r="B295" s="480"/>
      <c r="C295" s="48"/>
      <c r="D295" s="484">
        <v>0.0</v>
      </c>
      <c r="E295" s="480"/>
      <c r="F295" s="48"/>
      <c r="G295" s="484">
        <v>0.0</v>
      </c>
      <c r="H295" s="480"/>
      <c r="I295" s="48"/>
      <c r="J295" s="484">
        <v>0.0</v>
      </c>
      <c r="K295" s="480"/>
      <c r="L295" s="48"/>
      <c r="M295" s="484">
        <v>0.0</v>
      </c>
      <c r="N295" s="480"/>
      <c r="O295" s="48"/>
      <c r="P295" s="484">
        <v>0.0</v>
      </c>
      <c r="Q295" s="480"/>
      <c r="R295" s="48"/>
      <c r="S295" s="484">
        <v>0.0</v>
      </c>
      <c r="T295" s="480"/>
      <c r="U295" s="48"/>
      <c r="V295" s="484">
        <v>0.0</v>
      </c>
      <c r="W295" s="480"/>
      <c r="X295" s="48"/>
      <c r="Y295" s="484">
        <v>1307.99</v>
      </c>
    </row>
    <row r="296" ht="14.25" customHeight="1">
      <c r="A296" s="480" t="s">
        <v>136</v>
      </c>
      <c r="B296" s="480"/>
      <c r="C296" s="48"/>
      <c r="D296" s="484">
        <v>1052.16</v>
      </c>
      <c r="E296" s="480"/>
      <c r="F296" s="48"/>
      <c r="G296" s="484">
        <v>908.8299999999999</v>
      </c>
      <c r="H296" s="480"/>
      <c r="I296" s="48"/>
      <c r="J296" s="484">
        <v>2243.4800000000005</v>
      </c>
      <c r="K296" s="480"/>
      <c r="L296" s="48"/>
      <c r="M296" s="484">
        <v>1114.4799999999996</v>
      </c>
      <c r="N296" s="480"/>
      <c r="O296" s="48"/>
      <c r="P296" s="484">
        <v>2486.2799999999997</v>
      </c>
      <c r="Q296" s="480"/>
      <c r="R296" s="48"/>
      <c r="S296" s="484">
        <v>1192.7900000000009</v>
      </c>
      <c r="T296" s="480"/>
      <c r="U296" s="48"/>
      <c r="V296" s="484">
        <v>383.2099999999991</v>
      </c>
      <c r="W296" s="480"/>
      <c r="X296" s="48"/>
      <c r="Y296" s="484">
        <v>1631.4700000000012</v>
      </c>
    </row>
    <row r="297" ht="14.25" customHeight="1">
      <c r="A297" s="480" t="s">
        <v>137</v>
      </c>
      <c r="B297" s="480"/>
      <c r="C297" s="48"/>
      <c r="D297" s="484">
        <v>277.81</v>
      </c>
      <c r="E297" s="480"/>
      <c r="F297" s="48"/>
      <c r="G297" s="484">
        <v>275.49999999999994</v>
      </c>
      <c r="H297" s="480"/>
      <c r="I297" s="48"/>
      <c r="J297" s="484">
        <v>321.97</v>
      </c>
      <c r="K297" s="480"/>
      <c r="L297" s="48"/>
      <c r="M297" s="484">
        <v>290.98</v>
      </c>
      <c r="N297" s="480"/>
      <c r="O297" s="48"/>
      <c r="P297" s="484">
        <v>1467.01</v>
      </c>
      <c r="Q297" s="480"/>
      <c r="R297" s="48"/>
      <c r="S297" s="484">
        <v>335.32000000000016</v>
      </c>
      <c r="T297" s="480"/>
      <c r="U297" s="48"/>
      <c r="V297" s="484">
        <v>815.0499999999997</v>
      </c>
      <c r="W297" s="480"/>
      <c r="X297" s="48"/>
      <c r="Y297" s="484">
        <v>727.3499999999999</v>
      </c>
    </row>
    <row r="298" ht="14.25" customHeight="1">
      <c r="A298" s="480" t="s">
        <v>138</v>
      </c>
      <c r="B298" s="480"/>
      <c r="C298" s="48"/>
      <c r="D298" s="484">
        <v>1129.03</v>
      </c>
      <c r="E298" s="480"/>
      <c r="F298" s="48"/>
      <c r="G298" s="484">
        <v>1347.6899999999998</v>
      </c>
      <c r="H298" s="480"/>
      <c r="I298" s="48"/>
      <c r="J298" s="484">
        <v>1493.8000000000002</v>
      </c>
      <c r="K298" s="480"/>
      <c r="L298" s="48"/>
      <c r="M298" s="484">
        <v>1769.5499999999997</v>
      </c>
      <c r="N298" s="480"/>
      <c r="O298" s="48"/>
      <c r="P298" s="484">
        <v>992.3800000000001</v>
      </c>
      <c r="Q298" s="480"/>
      <c r="R298" s="48"/>
      <c r="S298" s="484">
        <v>1284.2200000000003</v>
      </c>
      <c r="T298" s="480"/>
      <c r="U298" s="48"/>
      <c r="V298" s="484">
        <v>897.1700000000001</v>
      </c>
      <c r="W298" s="480"/>
      <c r="X298" s="48"/>
      <c r="Y298" s="484">
        <v>302.39999999999964</v>
      </c>
    </row>
    <row r="299" ht="14.25" customHeight="1">
      <c r="A299" s="480" t="s">
        <v>139</v>
      </c>
      <c r="B299" s="480"/>
      <c r="C299" s="48"/>
      <c r="D299" s="484">
        <v>1966.3</v>
      </c>
      <c r="E299" s="480"/>
      <c r="F299" s="48"/>
      <c r="G299" s="484">
        <v>3583.04</v>
      </c>
      <c r="H299" s="480"/>
      <c r="I299" s="48"/>
      <c r="J299" s="484">
        <v>180.5599999999996</v>
      </c>
      <c r="K299" s="480"/>
      <c r="L299" s="48"/>
      <c r="M299" s="484">
        <v>-1488.9899999999993</v>
      </c>
      <c r="N299" s="480"/>
      <c r="O299" s="48"/>
      <c r="P299" s="484">
        <v>483.02999999999975</v>
      </c>
      <c r="Q299" s="480"/>
      <c r="R299" s="48"/>
      <c r="S299" s="484">
        <v>1529.9900000000005</v>
      </c>
      <c r="T299" s="480"/>
      <c r="U299" s="48"/>
      <c r="V299" s="484">
        <v>1044.5299999999997</v>
      </c>
      <c r="W299" s="480"/>
      <c r="X299" s="48"/>
      <c r="Y299" s="484">
        <v>1422.1699999999996</v>
      </c>
    </row>
    <row r="300" ht="14.25" customHeight="1">
      <c r="A300" s="480" t="s">
        <v>140</v>
      </c>
      <c r="B300" s="480"/>
      <c r="C300" s="48"/>
      <c r="D300" s="484">
        <v>1426.24</v>
      </c>
      <c r="E300" s="480"/>
      <c r="F300" s="48"/>
      <c r="G300" s="484">
        <v>4567.280000000001</v>
      </c>
      <c r="H300" s="480"/>
      <c r="I300" s="48"/>
      <c r="J300" s="484">
        <v>3305.6399999999994</v>
      </c>
      <c r="K300" s="480"/>
      <c r="L300" s="48"/>
      <c r="M300" s="484">
        <v>1770.3099999999995</v>
      </c>
      <c r="N300" s="480"/>
      <c r="O300" s="48"/>
      <c r="P300" s="484">
        <v>1027.9700000000012</v>
      </c>
      <c r="Q300" s="480"/>
      <c r="R300" s="48"/>
      <c r="S300" s="484">
        <v>372.52999999999884</v>
      </c>
      <c r="T300" s="480"/>
      <c r="U300" s="48"/>
      <c r="V300" s="484">
        <v>542.5</v>
      </c>
      <c r="W300" s="480"/>
      <c r="X300" s="48"/>
      <c r="Y300" s="484">
        <v>1166.0</v>
      </c>
    </row>
    <row r="301" ht="14.25" customHeight="1">
      <c r="A301" s="480" t="s">
        <v>141</v>
      </c>
      <c r="B301" s="480"/>
      <c r="C301" s="48"/>
      <c r="D301" s="484">
        <v>587.69</v>
      </c>
      <c r="E301" s="480"/>
      <c r="F301" s="48"/>
      <c r="G301" s="484">
        <v>1848.19</v>
      </c>
      <c r="H301" s="480"/>
      <c r="I301" s="48"/>
      <c r="J301" s="484">
        <v>714.02</v>
      </c>
      <c r="K301" s="480"/>
      <c r="L301" s="48"/>
      <c r="M301" s="484">
        <v>1992.8700000000003</v>
      </c>
      <c r="N301" s="480"/>
      <c r="O301" s="48"/>
      <c r="P301" s="484">
        <v>1784.9399999999996</v>
      </c>
      <c r="Q301" s="480"/>
      <c r="R301" s="48"/>
      <c r="S301" s="484">
        <v>1585.2200000000003</v>
      </c>
      <c r="T301" s="480"/>
      <c r="U301" s="48"/>
      <c r="V301" s="484">
        <v>1450.5499999999993</v>
      </c>
      <c r="W301" s="480"/>
      <c r="X301" s="48"/>
      <c r="Y301" s="484">
        <v>1425.5100000000002</v>
      </c>
    </row>
    <row r="302" ht="14.25" customHeight="1">
      <c r="A302" s="480" t="s">
        <v>56</v>
      </c>
      <c r="B302" s="480"/>
      <c r="C302" s="48"/>
      <c r="D302" s="484">
        <v>0.0</v>
      </c>
      <c r="E302" s="480"/>
      <c r="F302" s="48"/>
      <c r="G302" s="484">
        <v>0.0</v>
      </c>
      <c r="H302" s="480"/>
      <c r="I302" s="48"/>
      <c r="J302" s="484">
        <v>0.0</v>
      </c>
      <c r="K302" s="480"/>
      <c r="L302" s="48"/>
      <c r="M302" s="484">
        <v>0.0</v>
      </c>
      <c r="N302" s="480"/>
      <c r="O302" s="48"/>
      <c r="P302" s="484">
        <v>0.0</v>
      </c>
      <c r="Q302" s="480"/>
      <c r="R302" s="48"/>
      <c r="S302" s="484">
        <v>0.0</v>
      </c>
      <c r="T302" s="480"/>
      <c r="U302" s="48"/>
      <c r="V302" s="484">
        <v>0.0</v>
      </c>
      <c r="W302" s="480"/>
      <c r="X302" s="48"/>
      <c r="Y302" s="484">
        <v>0.0</v>
      </c>
    </row>
    <row r="303" ht="14.25" customHeight="1">
      <c r="A303" s="480" t="s">
        <v>56</v>
      </c>
      <c r="B303" s="480"/>
      <c r="C303" s="48"/>
      <c r="D303" s="484">
        <v>0.0</v>
      </c>
      <c r="E303" s="480"/>
      <c r="F303" s="48"/>
      <c r="G303" s="484">
        <v>0.0</v>
      </c>
      <c r="H303" s="480"/>
      <c r="I303" s="48"/>
      <c r="J303" s="484">
        <v>0.0</v>
      </c>
      <c r="K303" s="480"/>
      <c r="L303" s="48"/>
      <c r="M303" s="484">
        <v>0.0</v>
      </c>
      <c r="N303" s="480"/>
      <c r="O303" s="48"/>
      <c r="P303" s="484">
        <v>0.0</v>
      </c>
      <c r="Q303" s="480"/>
      <c r="R303" s="48"/>
      <c r="S303" s="484">
        <v>0.0</v>
      </c>
      <c r="T303" s="480"/>
      <c r="U303" s="48"/>
      <c r="V303" s="484">
        <v>0.0</v>
      </c>
      <c r="W303" s="480"/>
      <c r="X303" s="48"/>
      <c r="Y303" s="484">
        <v>0.0</v>
      </c>
    </row>
    <row r="304" ht="14.25" customHeight="1">
      <c r="A304" s="480" t="s">
        <v>56</v>
      </c>
      <c r="B304" s="480"/>
      <c r="C304" s="48"/>
      <c r="D304" s="484">
        <v>0.0</v>
      </c>
      <c r="E304" s="480"/>
      <c r="F304" s="48"/>
      <c r="G304" s="484">
        <v>0.0</v>
      </c>
      <c r="H304" s="480"/>
      <c r="I304" s="48"/>
      <c r="J304" s="484">
        <v>0.0</v>
      </c>
      <c r="K304" s="480"/>
      <c r="L304" s="48"/>
      <c r="M304" s="484">
        <v>0.0</v>
      </c>
      <c r="N304" s="480"/>
      <c r="O304" s="48"/>
      <c r="P304" s="484">
        <v>0.0</v>
      </c>
      <c r="Q304" s="480"/>
      <c r="R304" s="48"/>
      <c r="S304" s="484">
        <v>0.0</v>
      </c>
      <c r="T304" s="480"/>
      <c r="U304" s="48"/>
      <c r="V304" s="484">
        <v>0.0</v>
      </c>
      <c r="W304" s="480"/>
      <c r="X304" s="48"/>
      <c r="Y304" s="484">
        <v>0.0</v>
      </c>
    </row>
    <row r="305" ht="14.25" customHeight="1">
      <c r="A305" s="552" t="s">
        <v>142</v>
      </c>
      <c r="B305" s="556" t="s">
        <v>932</v>
      </c>
      <c r="C305" s="554">
        <v>0.28509610250787937</v>
      </c>
      <c r="D305" s="555">
        <v>36390.04</v>
      </c>
      <c r="E305" s="556" t="s">
        <v>932</v>
      </c>
      <c r="F305" s="554">
        <v>0.18897392897821602</v>
      </c>
      <c r="G305" s="555">
        <v>31023.780000000002</v>
      </c>
      <c r="H305" s="556" t="s">
        <v>932</v>
      </c>
      <c r="I305" s="554">
        <v>0.2534428616499952</v>
      </c>
      <c r="J305" s="555">
        <v>44663.83</v>
      </c>
      <c r="K305" s="556" t="s">
        <v>932</v>
      </c>
      <c r="L305" s="554">
        <v>0.30519157907136046</v>
      </c>
      <c r="M305" s="555">
        <v>43423.9</v>
      </c>
      <c r="N305" s="556" t="s">
        <v>932</v>
      </c>
      <c r="O305" s="554">
        <v>0.3926008512663435</v>
      </c>
      <c r="P305" s="555">
        <v>42435.59</v>
      </c>
      <c r="Q305" s="556" t="s">
        <v>932</v>
      </c>
      <c r="R305" s="554">
        <v>0.3902583040503289</v>
      </c>
      <c r="S305" s="555">
        <v>55353.10999999998</v>
      </c>
      <c r="T305" s="556" t="s">
        <v>932</v>
      </c>
      <c r="U305" s="554">
        <v>0.39685429317087884</v>
      </c>
      <c r="V305" s="555">
        <v>44987.740000000005</v>
      </c>
      <c r="W305" s="556" t="s">
        <v>932</v>
      </c>
      <c r="X305" s="554">
        <v>0.344433127321727</v>
      </c>
      <c r="Y305" s="555">
        <v>38679.11000000001</v>
      </c>
    </row>
    <row r="306" ht="14.25" customHeight="1">
      <c r="A306" s="471"/>
      <c r="B306" s="471"/>
      <c r="C306" s="564"/>
      <c r="D306" s="476"/>
      <c r="E306" s="471"/>
      <c r="F306" s="564"/>
      <c r="G306" s="476"/>
      <c r="H306" s="471"/>
      <c r="I306" s="564"/>
      <c r="J306" s="476"/>
      <c r="K306" s="471"/>
      <c r="L306" s="564"/>
      <c r="M306" s="476"/>
      <c r="N306" s="471"/>
      <c r="O306" s="564"/>
      <c r="P306" s="476"/>
      <c r="Q306" s="471"/>
      <c r="R306" s="564"/>
      <c r="S306" s="476"/>
      <c r="T306" s="471"/>
      <c r="U306" s="564"/>
      <c r="V306" s="476"/>
      <c r="W306" s="471"/>
      <c r="X306" s="564"/>
      <c r="Y306" s="476"/>
    </row>
    <row r="307" ht="14.25" customHeight="1">
      <c r="A307" s="552" t="s">
        <v>143</v>
      </c>
      <c r="B307" s="556" t="s">
        <v>225</v>
      </c>
      <c r="C307" s="554">
        <v>1.1408628601508402</v>
      </c>
      <c r="D307" s="555">
        <v>145621.23</v>
      </c>
      <c r="E307" s="556" t="s">
        <v>225</v>
      </c>
      <c r="F307" s="554">
        <v>0.7702287566829503</v>
      </c>
      <c r="G307" s="555">
        <v>126448.16999999998</v>
      </c>
      <c r="H307" s="556" t="s">
        <v>225</v>
      </c>
      <c r="I307" s="554">
        <v>0.7660643233440244</v>
      </c>
      <c r="J307" s="555">
        <v>135002.29000000004</v>
      </c>
      <c r="K307" s="556" t="s">
        <v>225</v>
      </c>
      <c r="L307" s="554">
        <v>1.0542218816203384</v>
      </c>
      <c r="M307" s="555">
        <v>149998.97999999998</v>
      </c>
      <c r="N307" s="556" t="s">
        <v>225</v>
      </c>
      <c r="O307" s="554">
        <v>1.097792103091933</v>
      </c>
      <c r="P307" s="555">
        <v>118658.57</v>
      </c>
      <c r="Q307" s="556" t="s">
        <v>225</v>
      </c>
      <c r="R307" s="554">
        <v>0.9845294366192312</v>
      </c>
      <c r="S307" s="555">
        <v>139642.81</v>
      </c>
      <c r="T307" s="556" t="s">
        <v>225</v>
      </c>
      <c r="U307" s="554">
        <v>1.1808802598075092</v>
      </c>
      <c r="V307" s="555">
        <v>133865.59000000003</v>
      </c>
      <c r="W307" s="556" t="s">
        <v>225</v>
      </c>
      <c r="X307" s="554">
        <v>0.9402100912323549</v>
      </c>
      <c r="Y307" s="555">
        <v>105583.6</v>
      </c>
    </row>
    <row r="308" ht="14.25" customHeight="1">
      <c r="A308" s="480"/>
      <c r="B308" s="480"/>
      <c r="C308" s="48"/>
      <c r="D308" s="484"/>
      <c r="E308" s="480"/>
      <c r="F308" s="48"/>
      <c r="G308" s="484"/>
      <c r="H308" s="480"/>
      <c r="I308" s="48"/>
      <c r="J308" s="484"/>
      <c r="K308" s="480"/>
      <c r="L308" s="48"/>
      <c r="M308" s="484"/>
      <c r="N308" s="480"/>
      <c r="O308" s="48"/>
      <c r="P308" s="484"/>
      <c r="Q308" s="480"/>
      <c r="R308" s="48"/>
      <c r="S308" s="484"/>
      <c r="T308" s="480"/>
      <c r="U308" s="48"/>
      <c r="V308" s="484"/>
      <c r="W308" s="480"/>
      <c r="X308" s="48"/>
      <c r="Y308" s="484"/>
    </row>
    <row r="309" ht="14.25" customHeight="1">
      <c r="A309" s="579" t="s">
        <v>150</v>
      </c>
      <c r="B309" s="583"/>
      <c r="C309" s="581"/>
      <c r="D309" s="582">
        <v>-17979.920000000027</v>
      </c>
      <c r="E309" s="583"/>
      <c r="F309" s="581"/>
      <c r="G309" s="582">
        <v>37721.46000000002</v>
      </c>
      <c r="H309" s="583"/>
      <c r="I309" s="581"/>
      <c r="J309" s="582">
        <v>41226.10999999993</v>
      </c>
      <c r="K309" s="583"/>
      <c r="L309" s="581"/>
      <c r="M309" s="582">
        <v>-7714.909999999945</v>
      </c>
      <c r="N309" s="583"/>
      <c r="O309" s="581"/>
      <c r="P309" s="582">
        <v>-10570.190000000046</v>
      </c>
      <c r="Q309" s="583"/>
      <c r="R309" s="581"/>
      <c r="S309" s="582">
        <v>2194.3000000000757</v>
      </c>
      <c r="T309" s="583"/>
      <c r="U309" s="581"/>
      <c r="V309" s="582">
        <v>-20504.740000000063</v>
      </c>
      <c r="W309" s="583"/>
      <c r="X309" s="581"/>
      <c r="Y309" s="582">
        <v>6714.279999999955</v>
      </c>
    </row>
    <row r="310" ht="14.25" customHeight="1">
      <c r="A310" s="48"/>
      <c r="B310" s="48"/>
      <c r="C310" s="48"/>
      <c r="D310" s="483"/>
      <c r="E310" s="48"/>
      <c r="F310" s="48"/>
      <c r="G310" s="483"/>
      <c r="H310" s="48"/>
      <c r="I310" s="48"/>
      <c r="J310" s="483"/>
      <c r="K310" s="48"/>
      <c r="L310" s="48"/>
      <c r="M310" s="483"/>
      <c r="N310" s="48"/>
      <c r="O310" s="48"/>
      <c r="P310" s="483"/>
      <c r="Q310" s="48"/>
      <c r="R310" s="48"/>
      <c r="S310" s="483"/>
      <c r="T310" s="48"/>
      <c r="U310" s="48"/>
      <c r="V310" s="483"/>
      <c r="W310" s="48"/>
      <c r="X310" s="48"/>
      <c r="Y310" s="483"/>
    </row>
    <row r="311" ht="14.25" customHeight="1">
      <c r="A311" s="40"/>
      <c r="B311" s="40"/>
      <c r="C311" s="40"/>
      <c r="D311" s="540"/>
      <c r="E311" s="40"/>
      <c r="F311" s="40"/>
      <c r="G311" s="540"/>
      <c r="H311" s="40"/>
      <c r="I311" s="40"/>
      <c r="J311" s="540"/>
      <c r="K311" s="40"/>
      <c r="L311" s="40"/>
      <c r="M311" s="540"/>
      <c r="N311" s="40"/>
      <c r="O311" s="40"/>
      <c r="P311" s="540"/>
      <c r="Q311" s="40"/>
      <c r="R311" s="40"/>
      <c r="S311" s="540"/>
      <c r="T311" s="40"/>
      <c r="U311" s="40"/>
      <c r="V311" s="540"/>
      <c r="W311" s="40"/>
      <c r="X311" s="40"/>
      <c r="Y311" s="540"/>
    </row>
    <row r="312" ht="14.25" customHeight="1">
      <c r="A312" s="450" t="s">
        <v>1</v>
      </c>
      <c r="B312" s="450"/>
      <c r="C312" s="453" t="s">
        <v>174</v>
      </c>
      <c r="D312" s="451"/>
      <c r="E312" s="450"/>
      <c r="F312" s="453" t="s">
        <v>174</v>
      </c>
      <c r="G312" s="451"/>
      <c r="H312" s="450"/>
      <c r="I312" s="453" t="s">
        <v>174</v>
      </c>
      <c r="J312" s="451"/>
      <c r="K312" s="450"/>
      <c r="L312" s="453" t="s">
        <v>174</v>
      </c>
      <c r="M312" s="451"/>
      <c r="N312" s="450"/>
      <c r="O312" s="453" t="s">
        <v>174</v>
      </c>
      <c r="P312" s="451"/>
      <c r="Q312" s="450"/>
      <c r="R312" s="453" t="s">
        <v>174</v>
      </c>
      <c r="S312" s="451"/>
      <c r="T312" s="450"/>
      <c r="U312" s="453" t="s">
        <v>174</v>
      </c>
      <c r="V312" s="451"/>
      <c r="W312" s="450"/>
      <c r="X312" s="453" t="s">
        <v>174</v>
      </c>
      <c r="Y312" s="451"/>
    </row>
    <row r="313" ht="14.25" customHeight="1">
      <c r="A313" s="39"/>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row>
    <row r="314" ht="14.25" customHeight="1">
      <c r="A314" s="461"/>
      <c r="B314" s="910" t="s">
        <v>775</v>
      </c>
      <c r="C314" s="911"/>
      <c r="D314" s="912"/>
      <c r="E314" s="910" t="s">
        <v>775</v>
      </c>
      <c r="F314" s="911"/>
      <c r="G314" s="912"/>
      <c r="H314" s="910" t="s">
        <v>775</v>
      </c>
      <c r="I314" s="911"/>
      <c r="J314" s="912"/>
      <c r="K314" s="910" t="s">
        <v>775</v>
      </c>
      <c r="L314" s="911"/>
      <c r="M314" s="912"/>
      <c r="N314" s="910" t="s">
        <v>775</v>
      </c>
      <c r="O314" s="911"/>
      <c r="P314" s="912"/>
      <c r="Q314" s="910" t="s">
        <v>775</v>
      </c>
      <c r="R314" s="911"/>
      <c r="S314" s="912"/>
      <c r="T314" s="910" t="s">
        <v>775</v>
      </c>
      <c r="U314" s="911"/>
      <c r="V314" s="912"/>
      <c r="W314" s="910" t="s">
        <v>775</v>
      </c>
      <c r="X314" s="911"/>
      <c r="Y314" s="912"/>
    </row>
    <row r="315" ht="14.25" customHeight="1">
      <c r="A315" s="480"/>
      <c r="B315" s="610" t="s">
        <v>221</v>
      </c>
      <c r="C315" s="41" t="s">
        <v>222</v>
      </c>
      <c r="D315" s="611" t="s">
        <v>95</v>
      </c>
      <c r="E315" s="610" t="s">
        <v>221</v>
      </c>
      <c r="F315" s="41" t="s">
        <v>222</v>
      </c>
      <c r="G315" s="611" t="s">
        <v>95</v>
      </c>
      <c r="H315" s="610" t="s">
        <v>221</v>
      </c>
      <c r="I315" s="41" t="s">
        <v>222</v>
      </c>
      <c r="J315" s="611" t="s">
        <v>95</v>
      </c>
      <c r="K315" s="610" t="s">
        <v>221</v>
      </c>
      <c r="L315" s="41" t="s">
        <v>222</v>
      </c>
      <c r="M315" s="611" t="s">
        <v>95</v>
      </c>
      <c r="N315" s="610" t="s">
        <v>221</v>
      </c>
      <c r="O315" s="41" t="s">
        <v>222</v>
      </c>
      <c r="P315" s="611" t="s">
        <v>95</v>
      </c>
      <c r="Q315" s="610" t="s">
        <v>221</v>
      </c>
      <c r="R315" s="41" t="s">
        <v>222</v>
      </c>
      <c r="S315" s="611" t="s">
        <v>95</v>
      </c>
      <c r="T315" s="610" t="s">
        <v>221</v>
      </c>
      <c r="U315" s="41" t="s">
        <v>222</v>
      </c>
      <c r="V315" s="611" t="s">
        <v>95</v>
      </c>
      <c r="W315" s="610" t="s">
        <v>221</v>
      </c>
      <c r="X315" s="41" t="s">
        <v>222</v>
      </c>
      <c r="Y315" s="611" t="s">
        <v>95</v>
      </c>
    </row>
    <row r="316" ht="14.25" customHeight="1">
      <c r="A316" s="480"/>
      <c r="B316" s="610"/>
      <c r="C316" s="481"/>
      <c r="D316" s="485"/>
      <c r="E316" s="610"/>
      <c r="F316" s="481"/>
      <c r="G316" s="485"/>
      <c r="H316" s="610"/>
      <c r="I316" s="481"/>
      <c r="J316" s="485"/>
      <c r="K316" s="610"/>
      <c r="L316" s="481"/>
      <c r="M316" s="485"/>
      <c r="N316" s="610"/>
      <c r="O316" s="481"/>
      <c r="P316" s="485"/>
      <c r="Q316" s="610"/>
      <c r="R316" s="481"/>
      <c r="S316" s="485"/>
      <c r="T316" s="610"/>
      <c r="U316" s="481"/>
      <c r="V316" s="485"/>
      <c r="W316" s="610"/>
      <c r="X316" s="481"/>
      <c r="Y316" s="485"/>
    </row>
    <row r="317" ht="14.25" customHeight="1">
      <c r="A317" s="480" t="s">
        <v>949</v>
      </c>
      <c r="B317" s="486"/>
      <c r="C317" s="483">
        <v>173229.46000000002</v>
      </c>
      <c r="D317" s="484">
        <v>54277.019999999975</v>
      </c>
      <c r="E317" s="486"/>
      <c r="F317" s="483">
        <v>187088.82</v>
      </c>
      <c r="G317" s="484">
        <v>66926.46999999999</v>
      </c>
      <c r="H317" s="486"/>
      <c r="I317" s="483">
        <v>148895.18000000002</v>
      </c>
      <c r="J317" s="484">
        <v>49671.510000000024</v>
      </c>
      <c r="K317" s="486"/>
      <c r="L317" s="483">
        <v>192489.69999999998</v>
      </c>
      <c r="M317" s="484">
        <v>76837.99999999999</v>
      </c>
      <c r="N317" s="486"/>
      <c r="O317" s="483">
        <v>75132.43999999996</v>
      </c>
      <c r="P317" s="484">
        <v>31857.149999999983</v>
      </c>
      <c r="Q317" s="486"/>
      <c r="R317" s="483">
        <v>105326.47000000004</v>
      </c>
      <c r="S317" s="484">
        <v>42546.710000000014</v>
      </c>
      <c r="T317" s="486"/>
      <c r="U317" s="483">
        <v>93980.90999999999</v>
      </c>
      <c r="V317" s="484">
        <v>36783.02000000003</v>
      </c>
      <c r="W317" s="486"/>
      <c r="X317" s="483">
        <v>92825.24</v>
      </c>
      <c r="Y317" s="484">
        <v>41878.92</v>
      </c>
    </row>
    <row r="318" ht="14.25" customHeight="1">
      <c r="A318" s="480" t="s">
        <v>163</v>
      </c>
      <c r="B318" s="486"/>
      <c r="C318" s="48"/>
      <c r="D318" s="516">
        <v>0.31332441953002665</v>
      </c>
      <c r="E318" s="486"/>
      <c r="F318" s="48"/>
      <c r="G318" s="516">
        <v>0.3577256513777787</v>
      </c>
      <c r="H318" s="486"/>
      <c r="I318" s="48"/>
      <c r="J318" s="516">
        <v>0.3336005235360877</v>
      </c>
      <c r="K318" s="486"/>
      <c r="L318" s="48"/>
      <c r="M318" s="516">
        <v>0.3991798002698326</v>
      </c>
      <c r="N318" s="486"/>
      <c r="O318" s="48"/>
      <c r="P318" s="516">
        <v>0.42401324913712374</v>
      </c>
      <c r="Q318" s="486"/>
      <c r="R318" s="48"/>
      <c r="S318" s="516">
        <v>0.40395078274245777</v>
      </c>
      <c r="T318" s="486"/>
      <c r="U318" s="48"/>
      <c r="V318" s="516">
        <v>0.3913882085202201</v>
      </c>
      <c r="W318" s="486"/>
      <c r="X318" s="48"/>
      <c r="Y318" s="516">
        <v>0.4511587581136337</v>
      </c>
    </row>
    <row r="319" ht="14.25" customHeight="1">
      <c r="A319" s="480"/>
      <c r="B319" s="610"/>
      <c r="C319" s="41"/>
      <c r="D319" s="611"/>
      <c r="E319" s="610"/>
      <c r="F319" s="41"/>
      <c r="G319" s="611"/>
      <c r="H319" s="610"/>
      <c r="I319" s="41"/>
      <c r="J319" s="611"/>
      <c r="K319" s="610"/>
      <c r="L319" s="41"/>
      <c r="M319" s="611"/>
      <c r="N319" s="610"/>
      <c r="O319" s="41"/>
      <c r="P319" s="611"/>
      <c r="Q319" s="610"/>
      <c r="R319" s="41"/>
      <c r="S319" s="611"/>
      <c r="T319" s="610"/>
      <c r="U319" s="41"/>
      <c r="V319" s="611"/>
      <c r="W319" s="610"/>
      <c r="X319" s="41"/>
      <c r="Y319" s="611"/>
    </row>
    <row r="320" ht="14.25" customHeight="1">
      <c r="A320" s="466" t="s">
        <v>952</v>
      </c>
      <c r="B320" s="252"/>
      <c r="C320" s="522">
        <v>4060.85</v>
      </c>
      <c r="D320" s="523">
        <v>1936.22</v>
      </c>
      <c r="E320" s="252"/>
      <c r="F320" s="522">
        <v>7465.200000000001</v>
      </c>
      <c r="G320" s="523">
        <v>3332.2700000000004</v>
      </c>
      <c r="H320" s="252"/>
      <c r="I320" s="522">
        <v>4167.5</v>
      </c>
      <c r="J320" s="523">
        <v>204.97000000000116</v>
      </c>
      <c r="K320" s="252"/>
      <c r="L320" s="522">
        <v>4654.04</v>
      </c>
      <c r="M320" s="523">
        <v>1376.0099999999993</v>
      </c>
      <c r="N320" s="252"/>
      <c r="O320" s="522">
        <v>5391.679999999999</v>
      </c>
      <c r="P320" s="523">
        <v>1899.5999999999988</v>
      </c>
      <c r="Q320" s="252"/>
      <c r="R320" s="522">
        <v>6596.5</v>
      </c>
      <c r="S320" s="523">
        <v>3452.14</v>
      </c>
      <c r="T320" s="252"/>
      <c r="U320" s="522">
        <v>7242.719999999999</v>
      </c>
      <c r="V320" s="523">
        <v>2757.2199999999984</v>
      </c>
      <c r="W320" s="252"/>
      <c r="X320" s="522">
        <v>8872.099999999997</v>
      </c>
      <c r="Y320" s="523">
        <v>5629.289999999998</v>
      </c>
    </row>
    <row r="321" ht="14.25" customHeight="1">
      <c r="A321" s="480" t="s">
        <v>163</v>
      </c>
      <c r="B321" s="486"/>
      <c r="C321" s="48"/>
      <c r="D321" s="516">
        <v>0.4768016548259601</v>
      </c>
      <c r="E321" s="486"/>
      <c r="F321" s="48"/>
      <c r="G321" s="516">
        <v>0.4463738412902535</v>
      </c>
      <c r="H321" s="486"/>
      <c r="I321" s="48"/>
      <c r="J321" s="516">
        <v>0.049182963407318814</v>
      </c>
      <c r="K321" s="486"/>
      <c r="L321" s="48"/>
      <c r="M321" s="516">
        <v>0.29565925518474256</v>
      </c>
      <c r="N321" s="486"/>
      <c r="O321" s="48"/>
      <c r="P321" s="516">
        <v>0.35232061249925795</v>
      </c>
      <c r="Q321" s="486"/>
      <c r="R321" s="48"/>
      <c r="S321" s="516">
        <v>0.5233290381262791</v>
      </c>
      <c r="T321" s="486"/>
      <c r="U321" s="48"/>
      <c r="V321" s="516">
        <v>0.3806884706298185</v>
      </c>
      <c r="W321" s="486"/>
      <c r="X321" s="48"/>
      <c r="Y321" s="516">
        <v>0.6344935246446727</v>
      </c>
    </row>
    <row r="322" ht="14.25" customHeight="1">
      <c r="A322" s="471"/>
      <c r="B322" s="622"/>
      <c r="C322" s="652"/>
      <c r="D322" s="614"/>
      <c r="E322" s="622"/>
      <c r="F322" s="652"/>
      <c r="G322" s="614"/>
      <c r="H322" s="622"/>
      <c r="I322" s="652"/>
      <c r="J322" s="614"/>
      <c r="K322" s="622"/>
      <c r="L322" s="652"/>
      <c r="M322" s="614"/>
      <c r="N322" s="622"/>
      <c r="O322" s="652"/>
      <c r="P322" s="614"/>
      <c r="Q322" s="622"/>
      <c r="R322" s="652"/>
      <c r="S322" s="614"/>
      <c r="T322" s="622"/>
      <c r="U322" s="652"/>
      <c r="V322" s="614"/>
      <c r="W322" s="622"/>
      <c r="X322" s="652"/>
      <c r="Y322" s="614"/>
    </row>
    <row r="323" ht="14.25" customHeight="1">
      <c r="A323" s="466" t="s">
        <v>954</v>
      </c>
      <c r="B323" s="252"/>
      <c r="C323" s="483">
        <v>0.0</v>
      </c>
      <c r="D323" s="484">
        <v>0.0</v>
      </c>
      <c r="E323" s="252"/>
      <c r="F323" s="483">
        <v>0.0</v>
      </c>
      <c r="G323" s="484">
        <v>0.0</v>
      </c>
      <c r="H323" s="252"/>
      <c r="I323" s="483">
        <v>0.0</v>
      </c>
      <c r="J323" s="484">
        <v>0.0</v>
      </c>
      <c r="K323" s="252"/>
      <c r="L323" s="483">
        <v>0.0</v>
      </c>
      <c r="M323" s="484">
        <v>0.0</v>
      </c>
      <c r="N323" s="252"/>
      <c r="O323" s="483">
        <v>47492.31</v>
      </c>
      <c r="P323" s="484">
        <v>28307.569999999992</v>
      </c>
      <c r="Q323" s="252"/>
      <c r="R323" s="483">
        <v>54709.619999999995</v>
      </c>
      <c r="S323" s="484">
        <v>36654.10999999999</v>
      </c>
      <c r="T323" s="252"/>
      <c r="U323" s="483">
        <v>38211.5</v>
      </c>
      <c r="V323" s="484">
        <v>20863.55</v>
      </c>
      <c r="W323" s="252"/>
      <c r="X323" s="483">
        <v>29108.209999999992</v>
      </c>
      <c r="Y323" s="484">
        <v>16888.71999999999</v>
      </c>
    </row>
    <row r="324" ht="14.25" customHeight="1">
      <c r="A324" s="480" t="s">
        <v>163</v>
      </c>
      <c r="B324" s="480"/>
      <c r="C324" s="48"/>
      <c r="D324" s="516">
        <v>0.0</v>
      </c>
      <c r="E324" s="480"/>
      <c r="F324" s="48"/>
      <c r="G324" s="516">
        <v>0.0</v>
      </c>
      <c r="H324" s="480"/>
      <c r="I324" s="48"/>
      <c r="J324" s="516">
        <v>0.0</v>
      </c>
      <c r="K324" s="480"/>
      <c r="L324" s="48"/>
      <c r="M324" s="516">
        <v>0.0</v>
      </c>
      <c r="N324" s="480"/>
      <c r="O324" s="48"/>
      <c r="P324" s="516">
        <v>0.5960453387085192</v>
      </c>
      <c r="Q324" s="480"/>
      <c r="R324" s="48"/>
      <c r="S324" s="516">
        <v>0.6699755911300425</v>
      </c>
      <c r="T324" s="480"/>
      <c r="U324" s="48"/>
      <c r="V324" s="516">
        <v>0.546001858079374</v>
      </c>
      <c r="W324" s="480"/>
      <c r="X324" s="48"/>
      <c r="Y324" s="516">
        <v>0.5802046913911916</v>
      </c>
    </row>
    <row r="325" ht="14.25" customHeight="1">
      <c r="A325" s="471"/>
      <c r="B325" s="471"/>
      <c r="C325" s="564"/>
      <c r="D325" s="476"/>
      <c r="E325" s="471"/>
      <c r="F325" s="564"/>
      <c r="G325" s="476"/>
      <c r="H325" s="471"/>
      <c r="I325" s="564"/>
      <c r="J325" s="476"/>
      <c r="K325" s="471"/>
      <c r="L325" s="564"/>
      <c r="M325" s="476"/>
      <c r="N325" s="471"/>
      <c r="O325" s="564"/>
      <c r="P325" s="476"/>
      <c r="Q325" s="471"/>
      <c r="R325" s="564"/>
      <c r="S325" s="476"/>
      <c r="T325" s="471"/>
      <c r="U325" s="564"/>
      <c r="V325" s="476"/>
      <c r="W325" s="471"/>
      <c r="X325" s="564"/>
      <c r="Y325" s="476"/>
    </row>
    <row r="326" ht="14.25" customHeight="1">
      <c r="A326" s="480" t="s">
        <v>955</v>
      </c>
      <c r="B326" s="480"/>
      <c r="C326" s="48"/>
      <c r="D326" s="484">
        <v>2076.17</v>
      </c>
      <c r="E326" s="480"/>
      <c r="F326" s="48"/>
      <c r="G326" s="484">
        <v>-3760.15</v>
      </c>
      <c r="H326" s="480"/>
      <c r="I326" s="48"/>
      <c r="J326" s="484">
        <v>-4756.129999999999</v>
      </c>
      <c r="K326" s="480"/>
      <c r="L326" s="48"/>
      <c r="M326" s="484">
        <v>-3966.4900000000007</v>
      </c>
      <c r="N326" s="480"/>
      <c r="O326" s="48"/>
      <c r="P326" s="484">
        <v>-3105.84</v>
      </c>
      <c r="Q326" s="480"/>
      <c r="R326" s="48"/>
      <c r="S326" s="484">
        <v>-1141.0299999999988</v>
      </c>
      <c r="T326" s="480"/>
      <c r="U326" s="48"/>
      <c r="V326" s="484">
        <v>-1014.1700000000001</v>
      </c>
      <c r="W326" s="480"/>
      <c r="X326" s="48"/>
      <c r="Y326" s="484">
        <v>-1510.869999999999</v>
      </c>
    </row>
    <row r="327" ht="14.25" customHeight="1">
      <c r="A327" s="480"/>
      <c r="B327" s="480"/>
      <c r="C327" s="48"/>
      <c r="D327" s="484"/>
      <c r="E327" s="480"/>
      <c r="F327" s="48"/>
      <c r="G327" s="484"/>
      <c r="H327" s="480"/>
      <c r="I327" s="48"/>
      <c r="J327" s="484"/>
      <c r="K327" s="480"/>
      <c r="L327" s="48"/>
      <c r="M327" s="484"/>
      <c r="N327" s="480"/>
      <c r="O327" s="48"/>
      <c r="P327" s="484"/>
      <c r="Q327" s="480"/>
      <c r="R327" s="48"/>
      <c r="S327" s="484"/>
      <c r="T327" s="480"/>
      <c r="U327" s="48"/>
      <c r="V327" s="484"/>
      <c r="W327" s="480"/>
      <c r="X327" s="48"/>
      <c r="Y327" s="484"/>
    </row>
    <row r="328" ht="14.25" customHeight="1">
      <c r="A328" s="526" t="s">
        <v>957</v>
      </c>
      <c r="B328" s="530"/>
      <c r="C328" s="527">
        <v>177290.31000000003</v>
      </c>
      <c r="D328" s="529">
        <v>58289.409999999974</v>
      </c>
      <c r="E328" s="530"/>
      <c r="F328" s="527">
        <v>194554.02000000002</v>
      </c>
      <c r="G328" s="529">
        <v>66498.59</v>
      </c>
      <c r="H328" s="530"/>
      <c r="I328" s="527">
        <v>153062.68000000002</v>
      </c>
      <c r="J328" s="529">
        <v>45120.35000000003</v>
      </c>
      <c r="K328" s="530"/>
      <c r="L328" s="527">
        <v>197143.74</v>
      </c>
      <c r="M328" s="529">
        <v>74247.51999999997</v>
      </c>
      <c r="N328" s="530"/>
      <c r="O328" s="527">
        <v>128016.42999999996</v>
      </c>
      <c r="P328" s="529">
        <v>58958.47999999998</v>
      </c>
      <c r="Q328" s="530"/>
      <c r="R328" s="527">
        <v>166632.59000000003</v>
      </c>
      <c r="S328" s="529">
        <v>81511.93000000001</v>
      </c>
      <c r="T328" s="530"/>
      <c r="U328" s="527">
        <v>139435.13</v>
      </c>
      <c r="V328" s="529">
        <v>59389.62000000003</v>
      </c>
      <c r="W328" s="530"/>
      <c r="X328" s="527">
        <v>130805.54999999999</v>
      </c>
      <c r="Y328" s="529">
        <v>62886.05999999998</v>
      </c>
    </row>
    <row r="329" ht="14.25" customHeight="1">
      <c r="A329" s="531"/>
      <c r="B329" s="531"/>
      <c r="C329" s="534"/>
      <c r="D329" s="538"/>
      <c r="E329" s="531"/>
      <c r="F329" s="534"/>
      <c r="G329" s="538"/>
      <c r="H329" s="531"/>
      <c r="I329" s="534"/>
      <c r="J329" s="538"/>
      <c r="K329" s="531"/>
      <c r="L329" s="534"/>
      <c r="M329" s="538"/>
      <c r="N329" s="531"/>
      <c r="O329" s="534"/>
      <c r="P329" s="538">
        <v>0.46055400857530554</v>
      </c>
      <c r="Q329" s="531"/>
      <c r="R329" s="534"/>
      <c r="S329" s="538">
        <v>0.48917159602452315</v>
      </c>
      <c r="T329" s="531"/>
      <c r="U329" s="534"/>
      <c r="V329" s="538">
        <v>0.425930108144196</v>
      </c>
      <c r="W329" s="531"/>
      <c r="X329" s="534"/>
      <c r="Y329" s="538">
        <v>0.4807598760144351</v>
      </c>
    </row>
    <row r="330" ht="14.25" customHeight="1">
      <c r="A330" s="480"/>
      <c r="B330" s="480"/>
      <c r="C330" s="48"/>
      <c r="D330" s="514"/>
      <c r="E330" s="480"/>
      <c r="F330" s="48"/>
      <c r="G330" s="514"/>
      <c r="H330" s="480"/>
      <c r="I330" s="48"/>
      <c r="J330" s="514"/>
      <c r="K330" s="480"/>
      <c r="L330" s="48"/>
      <c r="M330" s="514"/>
      <c r="N330" s="480"/>
      <c r="O330" s="48"/>
      <c r="P330" s="514"/>
      <c r="Q330" s="480"/>
      <c r="R330" s="48"/>
      <c r="S330" s="514"/>
      <c r="T330" s="480"/>
      <c r="U330" s="48"/>
      <c r="V330" s="514"/>
      <c r="W330" s="480"/>
      <c r="X330" s="48"/>
      <c r="Y330" s="514"/>
    </row>
    <row r="331" ht="14.25" customHeight="1">
      <c r="A331" s="541" t="s">
        <v>110</v>
      </c>
      <c r="B331" s="480"/>
      <c r="C331" s="48"/>
      <c r="D331" s="514"/>
      <c r="E331" s="480"/>
      <c r="F331" s="48"/>
      <c r="G331" s="514"/>
      <c r="H331" s="480"/>
      <c r="I331" s="48"/>
      <c r="J331" s="514"/>
      <c r="K331" s="480"/>
      <c r="L331" s="48"/>
      <c r="M331" s="514"/>
      <c r="N331" s="480"/>
      <c r="O331" s="48"/>
      <c r="P331" s="514"/>
      <c r="Q331" s="480"/>
      <c r="R331" s="48"/>
      <c r="S331" s="514"/>
      <c r="T331" s="480"/>
      <c r="U331" s="48"/>
      <c r="V331" s="514"/>
      <c r="W331" s="480"/>
      <c r="X331" s="48"/>
      <c r="Y331" s="514"/>
    </row>
    <row r="332" ht="14.25" customHeight="1">
      <c r="A332" s="559" t="s">
        <v>119</v>
      </c>
      <c r="B332" s="480"/>
      <c r="C332" s="48"/>
      <c r="D332" s="484">
        <v>8922.17</v>
      </c>
      <c r="E332" s="480"/>
      <c r="F332" s="48"/>
      <c r="G332" s="484">
        <v>8543.210000000001</v>
      </c>
      <c r="H332" s="480"/>
      <c r="I332" s="48"/>
      <c r="J332" s="484">
        <v>4536.049999999999</v>
      </c>
      <c r="K332" s="480"/>
      <c r="L332" s="48"/>
      <c r="M332" s="484">
        <v>8197.7</v>
      </c>
      <c r="N332" s="480"/>
      <c r="O332" s="48"/>
      <c r="P332" s="484">
        <v>7749.59</v>
      </c>
      <c r="Q332" s="480"/>
      <c r="R332" s="48"/>
      <c r="S332" s="484">
        <v>12179.11</v>
      </c>
      <c r="T332" s="480"/>
      <c r="U332" s="48"/>
      <c r="V332" s="484">
        <v>11074.989999999998</v>
      </c>
      <c r="W332" s="480"/>
      <c r="X332" s="48"/>
      <c r="Y332" s="484">
        <v>14505.379999999997</v>
      </c>
    </row>
    <row r="333" ht="14.25" customHeight="1">
      <c r="A333" s="560" t="s">
        <v>120</v>
      </c>
      <c r="B333" s="480"/>
      <c r="C333" s="48"/>
      <c r="D333" s="484">
        <v>6315.86</v>
      </c>
      <c r="E333" s="480"/>
      <c r="F333" s="48"/>
      <c r="G333" s="484">
        <v>6799.510000000001</v>
      </c>
      <c r="H333" s="480"/>
      <c r="I333" s="48"/>
      <c r="J333" s="484">
        <v>6520.9299999999985</v>
      </c>
      <c r="K333" s="480"/>
      <c r="L333" s="48"/>
      <c r="M333" s="484">
        <v>6896.190000000002</v>
      </c>
      <c r="N333" s="480"/>
      <c r="O333" s="48"/>
      <c r="P333" s="484">
        <v>6564.560000000001</v>
      </c>
      <c r="Q333" s="480"/>
      <c r="R333" s="48"/>
      <c r="S333" s="484">
        <v>7126.769999999997</v>
      </c>
      <c r="T333" s="480"/>
      <c r="U333" s="48"/>
      <c r="V333" s="484">
        <v>5325.230000000003</v>
      </c>
      <c r="W333" s="480"/>
      <c r="X333" s="48"/>
      <c r="Y333" s="484">
        <v>6524.519999999997</v>
      </c>
    </row>
    <row r="334" ht="14.25" customHeight="1">
      <c r="A334" s="559" t="s">
        <v>121</v>
      </c>
      <c r="B334" s="466"/>
      <c r="C334" s="562"/>
      <c r="D334" s="523">
        <v>48.3</v>
      </c>
      <c r="E334" s="466"/>
      <c r="F334" s="562"/>
      <c r="G334" s="523">
        <v>0.0</v>
      </c>
      <c r="H334" s="466"/>
      <c r="I334" s="562"/>
      <c r="J334" s="523">
        <v>1893.0</v>
      </c>
      <c r="K334" s="466"/>
      <c r="L334" s="562"/>
      <c r="M334" s="523">
        <v>95.98000000000002</v>
      </c>
      <c r="N334" s="466"/>
      <c r="O334" s="562"/>
      <c r="P334" s="523">
        <v>-95.98000000000002</v>
      </c>
      <c r="Q334" s="466"/>
      <c r="R334" s="562"/>
      <c r="S334" s="523">
        <v>184.04999999999995</v>
      </c>
      <c r="T334" s="466"/>
      <c r="U334" s="562"/>
      <c r="V334" s="523">
        <v>1259.8000000000002</v>
      </c>
      <c r="W334" s="466"/>
      <c r="X334" s="562"/>
      <c r="Y334" s="523">
        <v>374.27</v>
      </c>
    </row>
    <row r="335" ht="14.25" customHeight="1">
      <c r="A335" s="559" t="s">
        <v>122</v>
      </c>
      <c r="B335" s="480"/>
      <c r="C335" s="48"/>
      <c r="D335" s="484">
        <v>0.0</v>
      </c>
      <c r="E335" s="480"/>
      <c r="F335" s="48"/>
      <c r="G335" s="484">
        <v>0.0</v>
      </c>
      <c r="H335" s="480"/>
      <c r="I335" s="48"/>
      <c r="J335" s="484">
        <v>0.0</v>
      </c>
      <c r="K335" s="480"/>
      <c r="L335" s="48"/>
      <c r="M335" s="484">
        <v>0.0</v>
      </c>
      <c r="N335" s="480"/>
      <c r="O335" s="48"/>
      <c r="P335" s="484">
        <v>0.0</v>
      </c>
      <c r="Q335" s="480"/>
      <c r="R335" s="48"/>
      <c r="S335" s="484">
        <v>0.0</v>
      </c>
      <c r="T335" s="480"/>
      <c r="U335" s="48"/>
      <c r="V335" s="484">
        <v>0.0</v>
      </c>
      <c r="W335" s="480"/>
      <c r="X335" s="48"/>
      <c r="Y335" s="484">
        <v>0.0</v>
      </c>
    </row>
    <row r="336" ht="14.25" customHeight="1">
      <c r="A336" s="480" t="s">
        <v>56</v>
      </c>
      <c r="B336" s="480"/>
      <c r="C336" s="48"/>
      <c r="D336" s="484">
        <v>0.0</v>
      </c>
      <c r="E336" s="480"/>
      <c r="F336" s="48"/>
      <c r="G336" s="484">
        <v>0.0</v>
      </c>
      <c r="H336" s="480"/>
      <c r="I336" s="48"/>
      <c r="J336" s="484">
        <v>0.0</v>
      </c>
      <c r="K336" s="480"/>
      <c r="L336" s="48"/>
      <c r="M336" s="484">
        <v>0.0</v>
      </c>
      <c r="N336" s="480"/>
      <c r="O336" s="48"/>
      <c r="P336" s="484">
        <v>0.0</v>
      </c>
      <c r="Q336" s="480"/>
      <c r="R336" s="48"/>
      <c r="S336" s="484">
        <v>0.0</v>
      </c>
      <c r="T336" s="480"/>
      <c r="U336" s="48"/>
      <c r="V336" s="484">
        <v>0.0</v>
      </c>
      <c r="W336" s="480"/>
      <c r="X336" s="48"/>
      <c r="Y336" s="484">
        <v>0.0</v>
      </c>
    </row>
    <row r="337" ht="14.25" customHeight="1">
      <c r="A337" s="480" t="s">
        <v>56</v>
      </c>
      <c r="B337" s="480"/>
      <c r="C337" s="48"/>
      <c r="D337" s="484">
        <v>0.0</v>
      </c>
      <c r="E337" s="480"/>
      <c r="F337" s="48"/>
      <c r="G337" s="484">
        <v>0.0</v>
      </c>
      <c r="H337" s="480"/>
      <c r="I337" s="48"/>
      <c r="J337" s="484">
        <v>0.0</v>
      </c>
      <c r="K337" s="480"/>
      <c r="L337" s="48"/>
      <c r="M337" s="484">
        <v>0.0</v>
      </c>
      <c r="N337" s="480"/>
      <c r="O337" s="48"/>
      <c r="P337" s="484">
        <v>0.0</v>
      </c>
      <c r="Q337" s="480"/>
      <c r="R337" s="48"/>
      <c r="S337" s="484">
        <v>0.0</v>
      </c>
      <c r="T337" s="480"/>
      <c r="U337" s="48"/>
      <c r="V337" s="484">
        <v>0.0</v>
      </c>
      <c r="W337" s="480"/>
      <c r="X337" s="48"/>
      <c r="Y337" s="484">
        <v>0.0</v>
      </c>
    </row>
    <row r="338" ht="14.25" customHeight="1">
      <c r="A338" s="480" t="s">
        <v>56</v>
      </c>
      <c r="B338" s="480"/>
      <c r="C338" s="48"/>
      <c r="D338" s="484">
        <v>0.0</v>
      </c>
      <c r="E338" s="480"/>
      <c r="F338" s="48"/>
      <c r="G338" s="484">
        <v>0.0</v>
      </c>
      <c r="H338" s="480"/>
      <c r="I338" s="48"/>
      <c r="J338" s="484">
        <v>0.0</v>
      </c>
      <c r="K338" s="480"/>
      <c r="L338" s="48"/>
      <c r="M338" s="484">
        <v>0.0</v>
      </c>
      <c r="N338" s="480"/>
      <c r="O338" s="48"/>
      <c r="P338" s="484">
        <v>0.0</v>
      </c>
      <c r="Q338" s="480"/>
      <c r="R338" s="48"/>
      <c r="S338" s="484">
        <v>0.0</v>
      </c>
      <c r="T338" s="480"/>
      <c r="U338" s="48"/>
      <c r="V338" s="484">
        <v>0.0</v>
      </c>
      <c r="W338" s="480"/>
      <c r="X338" s="48"/>
      <c r="Y338" s="484">
        <v>0.0</v>
      </c>
    </row>
    <row r="339" ht="14.25" customHeight="1">
      <c r="A339" s="560" t="s">
        <v>123</v>
      </c>
      <c r="B339" s="480"/>
      <c r="C339" s="48"/>
      <c r="D339" s="484">
        <v>5144.27</v>
      </c>
      <c r="E339" s="480"/>
      <c r="F339" s="48"/>
      <c r="G339" s="484">
        <v>2118.8499999999995</v>
      </c>
      <c r="H339" s="480"/>
      <c r="I339" s="48"/>
      <c r="J339" s="484">
        <v>2946.1400000000003</v>
      </c>
      <c r="K339" s="480"/>
      <c r="L339" s="48"/>
      <c r="M339" s="484">
        <v>4861.539999999999</v>
      </c>
      <c r="N339" s="480"/>
      <c r="O339" s="48"/>
      <c r="P339" s="484">
        <v>5287.950000000001</v>
      </c>
      <c r="Q339" s="480"/>
      <c r="R339" s="48"/>
      <c r="S339" s="484">
        <v>4896.380000000001</v>
      </c>
      <c r="T339" s="480"/>
      <c r="U339" s="48"/>
      <c r="V339" s="484">
        <v>5230.25</v>
      </c>
      <c r="W339" s="480"/>
      <c r="X339" s="48"/>
      <c r="Y339" s="484">
        <v>3892.1799999999967</v>
      </c>
    </row>
    <row r="340" ht="14.25" customHeight="1">
      <c r="A340" s="559" t="s">
        <v>124</v>
      </c>
      <c r="B340" s="466"/>
      <c r="C340" s="562"/>
      <c r="D340" s="523">
        <v>5336.96</v>
      </c>
      <c r="E340" s="466"/>
      <c r="F340" s="562"/>
      <c r="G340" s="523">
        <v>5466.150000000001</v>
      </c>
      <c r="H340" s="466"/>
      <c r="I340" s="562"/>
      <c r="J340" s="523">
        <v>4606.719999999999</v>
      </c>
      <c r="K340" s="466"/>
      <c r="L340" s="562"/>
      <c r="M340" s="523">
        <v>6018.8200000000015</v>
      </c>
      <c r="N340" s="466"/>
      <c r="O340" s="562"/>
      <c r="P340" s="523">
        <v>5461.549999999999</v>
      </c>
      <c r="Q340" s="466"/>
      <c r="R340" s="562"/>
      <c r="S340" s="523">
        <v>6245.619999999999</v>
      </c>
      <c r="T340" s="466"/>
      <c r="U340" s="562"/>
      <c r="V340" s="523">
        <v>6536.739999999998</v>
      </c>
      <c r="W340" s="466"/>
      <c r="X340" s="562"/>
      <c r="Y340" s="523">
        <v>5736.760000000002</v>
      </c>
    </row>
    <row r="341" ht="14.25" customHeight="1">
      <c r="A341" s="559" t="s">
        <v>125</v>
      </c>
      <c r="B341" s="480"/>
      <c r="C341" s="48"/>
      <c r="D341" s="484">
        <v>2750.89</v>
      </c>
      <c r="E341" s="480"/>
      <c r="F341" s="48"/>
      <c r="G341" s="484">
        <v>4388.74</v>
      </c>
      <c r="H341" s="480"/>
      <c r="I341" s="48"/>
      <c r="J341" s="484">
        <v>1012.9300000000003</v>
      </c>
      <c r="K341" s="480"/>
      <c r="L341" s="48"/>
      <c r="M341" s="484">
        <v>2008.3499999999995</v>
      </c>
      <c r="N341" s="480"/>
      <c r="O341" s="48"/>
      <c r="P341" s="484">
        <v>1070.130000000001</v>
      </c>
      <c r="Q341" s="480"/>
      <c r="R341" s="48"/>
      <c r="S341" s="484">
        <v>1071.9699999999993</v>
      </c>
      <c r="T341" s="480"/>
      <c r="U341" s="48"/>
      <c r="V341" s="484">
        <v>1278.3199999999997</v>
      </c>
      <c r="W341" s="480"/>
      <c r="X341" s="48"/>
      <c r="Y341" s="484">
        <v>663.1299999999992</v>
      </c>
    </row>
    <row r="342" ht="14.25" customHeight="1">
      <c r="A342" s="559" t="s">
        <v>126</v>
      </c>
      <c r="B342" s="480"/>
      <c r="C342" s="48"/>
      <c r="D342" s="484">
        <v>45.54</v>
      </c>
      <c r="E342" s="480"/>
      <c r="F342" s="48"/>
      <c r="G342" s="484">
        <v>40.88</v>
      </c>
      <c r="H342" s="480"/>
      <c r="I342" s="48"/>
      <c r="J342" s="484">
        <v>1557.77</v>
      </c>
      <c r="K342" s="480"/>
      <c r="L342" s="48"/>
      <c r="M342" s="484">
        <v>800.98</v>
      </c>
      <c r="N342" s="480"/>
      <c r="O342" s="48"/>
      <c r="P342" s="484">
        <v>847.52</v>
      </c>
      <c r="Q342" s="480"/>
      <c r="R342" s="48"/>
      <c r="S342" s="484">
        <v>1689.48</v>
      </c>
      <c r="T342" s="480"/>
      <c r="U342" s="48"/>
      <c r="V342" s="484">
        <v>1367.4899999999998</v>
      </c>
      <c r="W342" s="480"/>
      <c r="X342" s="48"/>
      <c r="Y342" s="484">
        <v>1655.21</v>
      </c>
    </row>
    <row r="343" ht="14.25" customHeight="1">
      <c r="A343" s="480" t="s">
        <v>56</v>
      </c>
      <c r="B343" s="471"/>
      <c r="C343" s="564"/>
      <c r="D343" s="484">
        <v>0.0</v>
      </c>
      <c r="E343" s="471"/>
      <c r="F343" s="564"/>
      <c r="G343" s="484">
        <v>0.0</v>
      </c>
      <c r="H343" s="471"/>
      <c r="I343" s="564"/>
      <c r="J343" s="484">
        <v>0.0</v>
      </c>
      <c r="K343" s="471"/>
      <c r="L343" s="564"/>
      <c r="M343" s="484">
        <v>0.0</v>
      </c>
      <c r="N343" s="471"/>
      <c r="O343" s="564"/>
      <c r="P343" s="484">
        <v>0.0</v>
      </c>
      <c r="Q343" s="471"/>
      <c r="R343" s="564"/>
      <c r="S343" s="484">
        <v>0.0</v>
      </c>
      <c r="T343" s="471"/>
      <c r="U343" s="564"/>
      <c r="V343" s="484">
        <v>0.0</v>
      </c>
      <c r="W343" s="471"/>
      <c r="X343" s="564"/>
      <c r="Y343" s="484">
        <v>0.0</v>
      </c>
    </row>
    <row r="344" ht="14.25" customHeight="1">
      <c r="A344" s="552" t="s">
        <v>127</v>
      </c>
      <c r="B344" s="556" t="s">
        <v>225</v>
      </c>
      <c r="C344" s="554">
        <v>14.752450651268965</v>
      </c>
      <c r="D344" s="555">
        <v>28563.989999999998</v>
      </c>
      <c r="E344" s="556" t="s">
        <v>225</v>
      </c>
      <c r="F344" s="554">
        <v>0.4113972942884955</v>
      </c>
      <c r="G344" s="555">
        <v>27357.34</v>
      </c>
      <c r="H344" s="556" t="s">
        <v>225</v>
      </c>
      <c r="I344" s="554">
        <v>0.5113776821323412</v>
      </c>
      <c r="J344" s="555">
        <v>23073.539999999997</v>
      </c>
      <c r="K344" s="556" t="s">
        <v>225</v>
      </c>
      <c r="L344" s="554">
        <v>0.38896329466627316</v>
      </c>
      <c r="M344" s="555">
        <v>28879.56</v>
      </c>
      <c r="N344" s="556" t="s">
        <v>225</v>
      </c>
      <c r="O344" s="554">
        <v>0.45600429319073377</v>
      </c>
      <c r="P344" s="555">
        <v>26885.320000000003</v>
      </c>
      <c r="Q344" s="556" t="s">
        <v>225</v>
      </c>
      <c r="R344" s="554">
        <v>0.4096747555848573</v>
      </c>
      <c r="S344" s="555">
        <v>33393.38</v>
      </c>
      <c r="T344" s="556" t="s">
        <v>225</v>
      </c>
      <c r="U344" s="554">
        <v>0.5400408354187143</v>
      </c>
      <c r="V344" s="555">
        <v>32072.82</v>
      </c>
      <c r="W344" s="556" t="s">
        <v>225</v>
      </c>
      <c r="X344" s="554">
        <v>0.5303472661508767</v>
      </c>
      <c r="Y344" s="555">
        <v>33351.44999999999</v>
      </c>
    </row>
    <row r="345" ht="14.25" customHeight="1">
      <c r="A345" s="654" t="s">
        <v>128</v>
      </c>
      <c r="B345" s="480"/>
      <c r="C345" s="48"/>
      <c r="D345" s="484">
        <v>1124.45</v>
      </c>
      <c r="E345" s="480"/>
      <c r="F345" s="48"/>
      <c r="G345" s="484">
        <v>1309.97</v>
      </c>
      <c r="H345" s="480"/>
      <c r="I345" s="48"/>
      <c r="J345" s="484">
        <v>441.8500000000001</v>
      </c>
      <c r="K345" s="480"/>
      <c r="L345" s="48"/>
      <c r="M345" s="484">
        <v>2328.7899999999995</v>
      </c>
      <c r="N345" s="480"/>
      <c r="O345" s="48"/>
      <c r="P345" s="484">
        <v>2464.4800000000005</v>
      </c>
      <c r="Q345" s="480"/>
      <c r="R345" s="48"/>
      <c r="S345" s="484">
        <v>755.45</v>
      </c>
      <c r="T345" s="480"/>
      <c r="U345" s="48"/>
      <c r="V345" s="484">
        <v>443.38999999999953</v>
      </c>
      <c r="W345" s="480"/>
      <c r="X345" s="48"/>
      <c r="Y345" s="484">
        <v>52.450000000000045</v>
      </c>
    </row>
    <row r="346" ht="14.25" customHeight="1">
      <c r="A346" s="559" t="s">
        <v>129</v>
      </c>
      <c r="B346" s="480"/>
      <c r="C346" s="48"/>
      <c r="D346" s="484">
        <v>380.0</v>
      </c>
      <c r="E346" s="480"/>
      <c r="F346" s="48"/>
      <c r="G346" s="484">
        <v>1060.25</v>
      </c>
      <c r="H346" s="480"/>
      <c r="I346" s="48"/>
      <c r="J346" s="484">
        <v>3673.38</v>
      </c>
      <c r="K346" s="480"/>
      <c r="L346" s="48"/>
      <c r="M346" s="484">
        <v>82.44999999999982</v>
      </c>
      <c r="N346" s="480"/>
      <c r="O346" s="48"/>
      <c r="P346" s="484">
        <v>175.0</v>
      </c>
      <c r="Q346" s="480"/>
      <c r="R346" s="48"/>
      <c r="S346" s="484">
        <v>855.6199999999999</v>
      </c>
      <c r="T346" s="480"/>
      <c r="U346" s="48"/>
      <c r="V346" s="484">
        <v>4970.36</v>
      </c>
      <c r="W346" s="480"/>
      <c r="X346" s="48"/>
      <c r="Y346" s="484">
        <v>171.29000000000087</v>
      </c>
    </row>
    <row r="347" ht="14.25" customHeight="1">
      <c r="A347" s="560" t="s">
        <v>130</v>
      </c>
      <c r="B347" s="471"/>
      <c r="C347" s="564"/>
      <c r="D347" s="484">
        <v>-2198.19</v>
      </c>
      <c r="E347" s="471"/>
      <c r="F347" s="564"/>
      <c r="G347" s="484">
        <v>-1198.7399999999998</v>
      </c>
      <c r="H347" s="471"/>
      <c r="I347" s="564"/>
      <c r="J347" s="484">
        <v>6188.59</v>
      </c>
      <c r="K347" s="471"/>
      <c r="L347" s="564"/>
      <c r="M347" s="484">
        <v>1716.6600000000003</v>
      </c>
      <c r="N347" s="471"/>
      <c r="O347" s="564"/>
      <c r="P347" s="484">
        <v>566.9699999999997</v>
      </c>
      <c r="Q347" s="471"/>
      <c r="R347" s="564"/>
      <c r="S347" s="484">
        <v>-821.12</v>
      </c>
      <c r="T347" s="471"/>
      <c r="U347" s="564"/>
      <c r="V347" s="484">
        <v>-85.25</v>
      </c>
      <c r="W347" s="471"/>
      <c r="X347" s="564"/>
      <c r="Y347" s="484">
        <v>7636.650000000001</v>
      </c>
    </row>
    <row r="348" ht="14.25" customHeight="1">
      <c r="A348" s="559" t="s">
        <v>131</v>
      </c>
      <c r="B348" s="480"/>
      <c r="C348" s="48"/>
      <c r="D348" s="523">
        <v>2525.29</v>
      </c>
      <c r="E348" s="480"/>
      <c r="F348" s="48"/>
      <c r="G348" s="523">
        <v>1125.21</v>
      </c>
      <c r="H348" s="480"/>
      <c r="I348" s="48"/>
      <c r="J348" s="523">
        <v>2798.8599999999997</v>
      </c>
      <c r="K348" s="480"/>
      <c r="L348" s="48"/>
      <c r="M348" s="523">
        <v>2525.95</v>
      </c>
      <c r="N348" s="480"/>
      <c r="O348" s="48"/>
      <c r="P348" s="523">
        <v>1534.3700000000008</v>
      </c>
      <c r="Q348" s="480"/>
      <c r="R348" s="48"/>
      <c r="S348" s="523">
        <v>2201.1399999999994</v>
      </c>
      <c r="T348" s="480"/>
      <c r="U348" s="48"/>
      <c r="V348" s="523">
        <v>1799.9799999999996</v>
      </c>
      <c r="W348" s="480"/>
      <c r="X348" s="48"/>
      <c r="Y348" s="523">
        <v>1879.2800000000025</v>
      </c>
    </row>
    <row r="349" ht="14.25" customHeight="1">
      <c r="A349" s="559" t="s">
        <v>132</v>
      </c>
      <c r="B349" s="480"/>
      <c r="C349" s="48"/>
      <c r="D349" s="484">
        <v>369.19</v>
      </c>
      <c r="E349" s="480"/>
      <c r="F349" s="48"/>
      <c r="G349" s="484">
        <v>872.0699999999999</v>
      </c>
      <c r="H349" s="480"/>
      <c r="I349" s="48"/>
      <c r="J349" s="484">
        <v>1272.5800000000002</v>
      </c>
      <c r="K349" s="480"/>
      <c r="L349" s="48"/>
      <c r="M349" s="484">
        <v>3274.5999999999995</v>
      </c>
      <c r="N349" s="480"/>
      <c r="O349" s="48"/>
      <c r="P349" s="484">
        <v>375.5</v>
      </c>
      <c r="Q349" s="480"/>
      <c r="R349" s="48"/>
      <c r="S349" s="484">
        <v>184.28999999999996</v>
      </c>
      <c r="T349" s="480"/>
      <c r="U349" s="48"/>
      <c r="V349" s="484">
        <v>185.01000000000022</v>
      </c>
      <c r="W349" s="480"/>
      <c r="X349" s="48"/>
      <c r="Y349" s="484">
        <v>278.6900000000005</v>
      </c>
    </row>
    <row r="350" ht="14.25" customHeight="1">
      <c r="A350" s="559" t="s">
        <v>133</v>
      </c>
      <c r="B350" s="471"/>
      <c r="C350" s="564"/>
      <c r="D350" s="484">
        <v>4209.610000000001</v>
      </c>
      <c r="E350" s="471"/>
      <c r="F350" s="564"/>
      <c r="G350" s="484">
        <v>2310.3599999999997</v>
      </c>
      <c r="H350" s="471"/>
      <c r="I350" s="564"/>
      <c r="J350" s="484">
        <v>4533.879999999999</v>
      </c>
      <c r="K350" s="471"/>
      <c r="L350" s="564"/>
      <c r="M350" s="484">
        <v>3208.870000000001</v>
      </c>
      <c r="N350" s="471"/>
      <c r="O350" s="564"/>
      <c r="P350" s="484">
        <v>4778.420000000001</v>
      </c>
      <c r="Q350" s="471"/>
      <c r="R350" s="564"/>
      <c r="S350" s="484">
        <v>3503.4300000000003</v>
      </c>
      <c r="T350" s="471"/>
      <c r="U350" s="564"/>
      <c r="V350" s="484">
        <v>2154.3499999999985</v>
      </c>
      <c r="W350" s="471"/>
      <c r="X350" s="564"/>
      <c r="Y350" s="484">
        <v>2035.0499999999993</v>
      </c>
    </row>
    <row r="351" ht="14.25" customHeight="1">
      <c r="A351" s="654" t="s">
        <v>173</v>
      </c>
      <c r="B351" s="480"/>
      <c r="C351" s="48"/>
      <c r="D351" s="523">
        <v>0.0</v>
      </c>
      <c r="E351" s="480"/>
      <c r="F351" s="48"/>
      <c r="G351" s="523">
        <v>0.0</v>
      </c>
      <c r="H351" s="480"/>
      <c r="I351" s="48"/>
      <c r="J351" s="523">
        <v>0.0</v>
      </c>
      <c r="K351" s="480"/>
      <c r="L351" s="48"/>
      <c r="M351" s="523">
        <v>0.0</v>
      </c>
      <c r="N351" s="480"/>
      <c r="O351" s="48"/>
      <c r="P351" s="523">
        <v>0.0</v>
      </c>
      <c r="Q351" s="480"/>
      <c r="R351" s="48"/>
      <c r="S351" s="523">
        <v>0.0</v>
      </c>
      <c r="T351" s="480"/>
      <c r="U351" s="48"/>
      <c r="V351" s="523">
        <v>0.0</v>
      </c>
      <c r="W351" s="480"/>
      <c r="X351" s="48"/>
      <c r="Y351" s="523">
        <v>0.0</v>
      </c>
    </row>
    <row r="352" ht="14.25" customHeight="1">
      <c r="A352" s="559" t="s">
        <v>134</v>
      </c>
      <c r="B352" s="480"/>
      <c r="C352" s="48"/>
      <c r="D352" s="484">
        <v>0.0</v>
      </c>
      <c r="E352" s="480"/>
      <c r="F352" s="48"/>
      <c r="G352" s="484">
        <v>0.0</v>
      </c>
      <c r="H352" s="480"/>
      <c r="I352" s="48"/>
      <c r="J352" s="484">
        <v>0.0</v>
      </c>
      <c r="K352" s="480"/>
      <c r="L352" s="48"/>
      <c r="M352" s="484">
        <v>0.0</v>
      </c>
      <c r="N352" s="480"/>
      <c r="O352" s="48"/>
      <c r="P352" s="484">
        <v>15277.489999999998</v>
      </c>
      <c r="Q352" s="480"/>
      <c r="R352" s="48"/>
      <c r="S352" s="484">
        <v>17405.850000000006</v>
      </c>
      <c r="T352" s="480"/>
      <c r="U352" s="48"/>
      <c r="V352" s="484">
        <v>6322.929999999993</v>
      </c>
      <c r="W352" s="480"/>
      <c r="X352" s="48"/>
      <c r="Y352" s="484">
        <v>6492.990000000005</v>
      </c>
    </row>
    <row r="353" ht="14.25" customHeight="1">
      <c r="A353" s="559" t="s">
        <v>135</v>
      </c>
      <c r="B353" s="480"/>
      <c r="C353" s="48"/>
      <c r="D353" s="484">
        <v>0.0</v>
      </c>
      <c r="E353" s="480"/>
      <c r="F353" s="48"/>
      <c r="G353" s="484">
        <v>0.0</v>
      </c>
      <c r="H353" s="480"/>
      <c r="I353" s="48"/>
      <c r="J353" s="484">
        <v>0.0</v>
      </c>
      <c r="K353" s="480"/>
      <c r="L353" s="48"/>
      <c r="M353" s="484">
        <v>0.0</v>
      </c>
      <c r="N353" s="480"/>
      <c r="O353" s="48"/>
      <c r="P353" s="484">
        <v>0.0</v>
      </c>
      <c r="Q353" s="480"/>
      <c r="R353" s="48"/>
      <c r="S353" s="484">
        <v>0.0</v>
      </c>
      <c r="T353" s="480"/>
      <c r="U353" s="48"/>
      <c r="V353" s="484">
        <v>0.0</v>
      </c>
      <c r="W353" s="480"/>
      <c r="X353" s="48"/>
      <c r="Y353" s="484">
        <v>438.31</v>
      </c>
    </row>
    <row r="354" ht="14.25" customHeight="1">
      <c r="A354" s="559" t="s">
        <v>136</v>
      </c>
      <c r="B354" s="480"/>
      <c r="C354" s="48"/>
      <c r="D354" s="484">
        <v>329.75</v>
      </c>
      <c r="E354" s="480"/>
      <c r="F354" s="48"/>
      <c r="G354" s="484">
        <v>271.28999999999996</v>
      </c>
      <c r="H354" s="480"/>
      <c r="I354" s="48"/>
      <c r="J354" s="484">
        <v>630.51</v>
      </c>
      <c r="K354" s="480"/>
      <c r="L354" s="48"/>
      <c r="M354" s="484">
        <v>531.76</v>
      </c>
      <c r="N354" s="480"/>
      <c r="O354" s="48"/>
      <c r="P354" s="484">
        <v>453.03999999999996</v>
      </c>
      <c r="Q354" s="480"/>
      <c r="R354" s="48"/>
      <c r="S354" s="484">
        <v>577.6100000000001</v>
      </c>
      <c r="T354" s="480"/>
      <c r="U354" s="48"/>
      <c r="V354" s="484">
        <v>101.4699999999998</v>
      </c>
      <c r="W354" s="480"/>
      <c r="X354" s="48"/>
      <c r="Y354" s="484">
        <v>405.7000000000003</v>
      </c>
    </row>
    <row r="355" ht="14.25" customHeight="1">
      <c r="A355" s="559" t="s">
        <v>137</v>
      </c>
      <c r="B355" s="480"/>
      <c r="C355" s="48"/>
      <c r="D355" s="484">
        <v>83.44</v>
      </c>
      <c r="E355" s="480"/>
      <c r="F355" s="48"/>
      <c r="G355" s="484">
        <v>82.67000000000002</v>
      </c>
      <c r="H355" s="480"/>
      <c r="I355" s="48"/>
      <c r="J355" s="484">
        <v>98.14999999999998</v>
      </c>
      <c r="K355" s="480"/>
      <c r="L355" s="48"/>
      <c r="M355" s="484">
        <v>95.32999999999998</v>
      </c>
      <c r="N355" s="480"/>
      <c r="O355" s="48"/>
      <c r="P355" s="484">
        <v>479.81</v>
      </c>
      <c r="Q355" s="480"/>
      <c r="R355" s="48"/>
      <c r="S355" s="484">
        <v>111.77999999999997</v>
      </c>
      <c r="T355" s="480"/>
      <c r="U355" s="48"/>
      <c r="V355" s="484">
        <v>210.09000000000003</v>
      </c>
      <c r="W355" s="480"/>
      <c r="X355" s="48"/>
      <c r="Y355" s="484">
        <v>224.12000000000012</v>
      </c>
    </row>
    <row r="356" ht="14.25" customHeight="1">
      <c r="A356" s="559" t="s">
        <v>138</v>
      </c>
      <c r="B356" s="480"/>
      <c r="C356" s="48"/>
      <c r="D356" s="484">
        <v>372.45</v>
      </c>
      <c r="E356" s="480"/>
      <c r="F356" s="48"/>
      <c r="G356" s="484">
        <v>449.24000000000007</v>
      </c>
      <c r="H356" s="480"/>
      <c r="I356" s="48"/>
      <c r="J356" s="484">
        <v>497.94000000000005</v>
      </c>
      <c r="K356" s="480"/>
      <c r="L356" s="48"/>
      <c r="M356" s="484">
        <v>589.8499999999999</v>
      </c>
      <c r="N356" s="480"/>
      <c r="O356" s="48"/>
      <c r="P356" s="484">
        <v>322.1100000000001</v>
      </c>
      <c r="Q356" s="480"/>
      <c r="R356" s="48"/>
      <c r="S356" s="484">
        <v>428.0799999999999</v>
      </c>
      <c r="T356" s="480"/>
      <c r="U356" s="48"/>
      <c r="V356" s="484">
        <v>294.0</v>
      </c>
      <c r="W356" s="480"/>
      <c r="X356" s="48"/>
      <c r="Y356" s="484">
        <v>100.79999999999973</v>
      </c>
    </row>
    <row r="357" ht="14.25" customHeight="1">
      <c r="A357" s="559" t="s">
        <v>139</v>
      </c>
      <c r="B357" s="480"/>
      <c r="C357" s="48"/>
      <c r="D357" s="484">
        <v>1103.71</v>
      </c>
      <c r="E357" s="480"/>
      <c r="F357" s="48"/>
      <c r="G357" s="484">
        <v>519.96</v>
      </c>
      <c r="H357" s="480"/>
      <c r="I357" s="48"/>
      <c r="J357" s="484">
        <v>1769.79</v>
      </c>
      <c r="K357" s="480"/>
      <c r="L357" s="48"/>
      <c r="M357" s="484">
        <v>1430.2799999999997</v>
      </c>
      <c r="N357" s="480"/>
      <c r="O357" s="48"/>
      <c r="P357" s="484">
        <v>1812.8900000000008</v>
      </c>
      <c r="Q357" s="480"/>
      <c r="R357" s="48"/>
      <c r="S357" s="484">
        <v>2612.67</v>
      </c>
      <c r="T357" s="480"/>
      <c r="U357" s="48"/>
      <c r="V357" s="484">
        <v>1351.7199999999993</v>
      </c>
      <c r="W357" s="480"/>
      <c r="X357" s="48"/>
      <c r="Y357" s="484">
        <v>1575.2600000000002</v>
      </c>
    </row>
    <row r="358" ht="14.25" customHeight="1">
      <c r="A358" s="559" t="s">
        <v>140</v>
      </c>
      <c r="B358" s="480"/>
      <c r="C358" s="48"/>
      <c r="D358" s="484">
        <v>309.87</v>
      </c>
      <c r="E358" s="480"/>
      <c r="F358" s="48"/>
      <c r="G358" s="484">
        <v>56.0</v>
      </c>
      <c r="H358" s="480"/>
      <c r="I358" s="48"/>
      <c r="J358" s="484">
        <v>578.34</v>
      </c>
      <c r="K358" s="480"/>
      <c r="L358" s="48"/>
      <c r="M358" s="484">
        <v>0.0</v>
      </c>
      <c r="N358" s="480"/>
      <c r="O358" s="48"/>
      <c r="P358" s="484">
        <v>0.0</v>
      </c>
      <c r="Q358" s="480"/>
      <c r="R358" s="48"/>
      <c r="S358" s="484">
        <v>0.0</v>
      </c>
      <c r="T358" s="480"/>
      <c r="U358" s="48"/>
      <c r="V358" s="484">
        <v>473.0</v>
      </c>
      <c r="W358" s="480"/>
      <c r="X358" s="48"/>
      <c r="Y358" s="484">
        <v>0.0</v>
      </c>
    </row>
    <row r="359" ht="14.25" customHeight="1">
      <c r="A359" s="559" t="s">
        <v>141</v>
      </c>
      <c r="B359" s="480"/>
      <c r="C359" s="48"/>
      <c r="D359" s="484">
        <v>187.04</v>
      </c>
      <c r="E359" s="480"/>
      <c r="F359" s="48"/>
      <c r="G359" s="484">
        <v>607.9100000000001</v>
      </c>
      <c r="H359" s="480"/>
      <c r="I359" s="48"/>
      <c r="J359" s="484">
        <v>233.01</v>
      </c>
      <c r="K359" s="480"/>
      <c r="L359" s="48"/>
      <c r="M359" s="484">
        <v>656.1499999999999</v>
      </c>
      <c r="N359" s="480"/>
      <c r="O359" s="48"/>
      <c r="P359" s="484">
        <v>585.1299999999999</v>
      </c>
      <c r="Q359" s="480"/>
      <c r="R359" s="48"/>
      <c r="S359" s="484">
        <v>519.3600000000001</v>
      </c>
      <c r="T359" s="480"/>
      <c r="U359" s="48"/>
      <c r="V359" s="484">
        <v>478.5300000000002</v>
      </c>
      <c r="W359" s="480"/>
      <c r="X359" s="48"/>
      <c r="Y359" s="484">
        <v>469.0699999999997</v>
      </c>
    </row>
    <row r="360" ht="14.25" customHeight="1">
      <c r="A360" s="559" t="s">
        <v>984</v>
      </c>
      <c r="B360" s="480"/>
      <c r="C360" s="48"/>
      <c r="D360" s="484">
        <v>0.0</v>
      </c>
      <c r="E360" s="480"/>
      <c r="F360" s="48"/>
      <c r="G360" s="484">
        <v>0.0</v>
      </c>
      <c r="H360" s="480"/>
      <c r="I360" s="48"/>
      <c r="J360" s="484">
        <v>0.0</v>
      </c>
      <c r="K360" s="480"/>
      <c r="L360" s="48"/>
      <c r="M360" s="484">
        <v>0.0</v>
      </c>
      <c r="N360" s="480"/>
      <c r="O360" s="48"/>
      <c r="P360" s="484">
        <v>1516.27</v>
      </c>
      <c r="Q360" s="480"/>
      <c r="R360" s="48"/>
      <c r="S360" s="484">
        <v>3923.52</v>
      </c>
      <c r="T360" s="480"/>
      <c r="U360" s="48"/>
      <c r="V360" s="484">
        <v>3075.000000000001</v>
      </c>
      <c r="W360" s="480"/>
      <c r="X360" s="48"/>
      <c r="Y360" s="484">
        <v>3356.1899999999987</v>
      </c>
    </row>
    <row r="361" ht="14.25" customHeight="1">
      <c r="A361" s="559" t="s">
        <v>56</v>
      </c>
      <c r="B361" s="480"/>
      <c r="C361" s="48"/>
      <c r="D361" s="484">
        <v>0.0</v>
      </c>
      <c r="E361" s="480"/>
      <c r="F361" s="48"/>
      <c r="G361" s="484">
        <v>0.0</v>
      </c>
      <c r="H361" s="480"/>
      <c r="I361" s="48"/>
      <c r="J361" s="484">
        <v>0.0</v>
      </c>
      <c r="K361" s="480"/>
      <c r="L361" s="48"/>
      <c r="M361" s="484">
        <v>0.0</v>
      </c>
      <c r="N361" s="480"/>
      <c r="O361" s="48"/>
      <c r="P361" s="484">
        <v>0.0</v>
      </c>
      <c r="Q361" s="480"/>
      <c r="R361" s="48"/>
      <c r="S361" s="484">
        <v>0.0</v>
      </c>
      <c r="T361" s="480"/>
      <c r="U361" s="48"/>
      <c r="V361" s="484">
        <v>0.0</v>
      </c>
      <c r="W361" s="480"/>
      <c r="X361" s="48"/>
      <c r="Y361" s="484">
        <v>0.0</v>
      </c>
    </row>
    <row r="362" ht="14.25" customHeight="1">
      <c r="A362" s="559" t="s">
        <v>56</v>
      </c>
      <c r="B362" s="480"/>
      <c r="C362" s="48"/>
      <c r="D362" s="484">
        <v>0.0</v>
      </c>
      <c r="E362" s="480"/>
      <c r="F362" s="48"/>
      <c r="G362" s="484">
        <v>0.0</v>
      </c>
      <c r="H362" s="480"/>
      <c r="I362" s="48"/>
      <c r="J362" s="484">
        <v>0.0</v>
      </c>
      <c r="K362" s="480"/>
      <c r="L362" s="48"/>
      <c r="M362" s="484">
        <v>0.0</v>
      </c>
      <c r="N362" s="480"/>
      <c r="O362" s="48"/>
      <c r="P362" s="484">
        <v>0.0</v>
      </c>
      <c r="Q362" s="480"/>
      <c r="R362" s="48"/>
      <c r="S362" s="484">
        <v>0.0</v>
      </c>
      <c r="T362" s="480"/>
      <c r="U362" s="48"/>
      <c r="V362" s="484">
        <v>0.0</v>
      </c>
      <c r="W362" s="480"/>
      <c r="X362" s="48"/>
      <c r="Y362" s="484">
        <v>0.0</v>
      </c>
    </row>
    <row r="363" ht="14.25" customHeight="1">
      <c r="A363" s="552" t="s">
        <v>142</v>
      </c>
      <c r="B363" s="556" t="s">
        <v>225</v>
      </c>
      <c r="C363" s="554">
        <v>0.16206877238286121</v>
      </c>
      <c r="D363" s="555">
        <v>8796.610000000002</v>
      </c>
      <c r="E363" s="556" t="s">
        <v>225</v>
      </c>
      <c r="F363" s="554">
        <v>0.11227591442164413</v>
      </c>
      <c r="G363" s="555">
        <v>7466.19</v>
      </c>
      <c r="H363" s="556" t="s">
        <v>225</v>
      </c>
      <c r="I363" s="554">
        <v>0.503473044867781</v>
      </c>
      <c r="J363" s="555">
        <v>22716.879999999997</v>
      </c>
      <c r="K363" s="556" t="s">
        <v>225</v>
      </c>
      <c r="L363" s="554">
        <v>0.22143083028227756</v>
      </c>
      <c r="M363" s="555">
        <v>16440.690000000002</v>
      </c>
      <c r="N363" s="556" t="s">
        <v>225</v>
      </c>
      <c r="O363" s="554">
        <v>0.5146245289905712</v>
      </c>
      <c r="P363" s="555">
        <v>30341.480000000003</v>
      </c>
      <c r="Q363" s="556" t="s">
        <v>225</v>
      </c>
      <c r="R363" s="554">
        <v>0.3957418257670994</v>
      </c>
      <c r="S363" s="555">
        <v>32257.680000000004</v>
      </c>
      <c r="T363" s="556" t="s">
        <v>225</v>
      </c>
      <c r="U363" s="554">
        <v>0.3666394902004757</v>
      </c>
      <c r="V363" s="555">
        <v>21774.579999999987</v>
      </c>
      <c r="W363" s="556" t="s">
        <v>225</v>
      </c>
      <c r="X363" s="554">
        <v>0.3993866049168928</v>
      </c>
      <c r="Y363" s="555">
        <v>25115.85000000001</v>
      </c>
    </row>
    <row r="364" ht="14.25" customHeight="1">
      <c r="A364" s="471"/>
      <c r="B364" s="471"/>
      <c r="C364" s="564"/>
      <c r="D364" s="476"/>
      <c r="E364" s="471"/>
      <c r="F364" s="564"/>
      <c r="G364" s="476"/>
      <c r="H364" s="471"/>
      <c r="I364" s="564"/>
      <c r="J364" s="476"/>
      <c r="K364" s="471"/>
      <c r="L364" s="564"/>
      <c r="M364" s="476"/>
      <c r="N364" s="471"/>
      <c r="O364" s="564"/>
      <c r="P364" s="476"/>
      <c r="Q364" s="471"/>
      <c r="R364" s="564"/>
      <c r="S364" s="476"/>
      <c r="T364" s="471"/>
      <c r="U364" s="564"/>
      <c r="V364" s="476"/>
      <c r="W364" s="471"/>
      <c r="X364" s="564"/>
      <c r="Y364" s="476"/>
    </row>
    <row r="365" ht="14.25" customHeight="1">
      <c r="A365" s="552" t="s">
        <v>143</v>
      </c>
      <c r="B365" s="556" t="s">
        <v>225</v>
      </c>
      <c r="C365" s="554">
        <v>19.29563789238826</v>
      </c>
      <c r="D365" s="555">
        <v>37360.6</v>
      </c>
      <c r="E365" s="556" t="s">
        <v>225</v>
      </c>
      <c r="F365" s="554">
        <v>0.5236732087101396</v>
      </c>
      <c r="G365" s="555">
        <v>34823.53</v>
      </c>
      <c r="H365" s="556" t="s">
        <v>225</v>
      </c>
      <c r="I365" s="554">
        <v>1.0148507270001224</v>
      </c>
      <c r="J365" s="555">
        <v>45790.42</v>
      </c>
      <c r="K365" s="556" t="s">
        <v>225</v>
      </c>
      <c r="L365" s="554">
        <v>0.6103941249485507</v>
      </c>
      <c r="M365" s="555">
        <v>45320.25</v>
      </c>
      <c r="N365" s="556" t="s">
        <v>225</v>
      </c>
      <c r="O365" s="554">
        <v>0.9706288221813049</v>
      </c>
      <c r="P365" s="555">
        <v>57226.8</v>
      </c>
      <c r="Q365" s="556" t="s">
        <v>225</v>
      </c>
      <c r="R365" s="554">
        <v>0.8054165813519566</v>
      </c>
      <c r="S365" s="555">
        <v>65651.06</v>
      </c>
      <c r="T365" s="556" t="s">
        <v>225</v>
      </c>
      <c r="U365" s="554">
        <v>0.90668032561919</v>
      </c>
      <c r="V365" s="555">
        <v>53847.39999999999</v>
      </c>
      <c r="W365" s="556" t="s">
        <v>225</v>
      </c>
      <c r="X365" s="554">
        <v>0.9297338710677695</v>
      </c>
      <c r="Y365" s="555">
        <v>58467.3</v>
      </c>
    </row>
    <row r="366" ht="14.25" customHeight="1">
      <c r="A366" s="480"/>
      <c r="B366" s="480"/>
      <c r="C366" s="48"/>
      <c r="D366" s="484"/>
      <c r="E366" s="480"/>
      <c r="F366" s="48"/>
      <c r="G366" s="484"/>
      <c r="H366" s="480"/>
      <c r="I366" s="48"/>
      <c r="J366" s="484"/>
      <c r="K366" s="480"/>
      <c r="L366" s="48"/>
      <c r="M366" s="484"/>
      <c r="N366" s="480"/>
      <c r="O366" s="48"/>
      <c r="P366" s="484"/>
      <c r="Q366" s="480"/>
      <c r="R366" s="48"/>
      <c r="S366" s="484"/>
      <c r="T366" s="480"/>
      <c r="U366" s="48"/>
      <c r="V366" s="484"/>
      <c r="W366" s="480"/>
      <c r="X366" s="48"/>
      <c r="Y366" s="484"/>
    </row>
    <row r="367" ht="14.25" customHeight="1">
      <c r="A367" s="579" t="s">
        <v>150</v>
      </c>
      <c r="B367" s="583"/>
      <c r="C367" s="581"/>
      <c r="D367" s="582">
        <v>20928.809999999976</v>
      </c>
      <c r="E367" s="583"/>
      <c r="F367" s="581"/>
      <c r="G367" s="582">
        <v>31675.059999999998</v>
      </c>
      <c r="H367" s="583"/>
      <c r="I367" s="581"/>
      <c r="J367" s="582">
        <v>-670.0699999999706</v>
      </c>
      <c r="K367" s="583"/>
      <c r="L367" s="581"/>
      <c r="M367" s="582">
        <v>28927.269999999975</v>
      </c>
      <c r="N367" s="583"/>
      <c r="O367" s="581"/>
      <c r="P367" s="582">
        <v>1731.6799999999785</v>
      </c>
      <c r="Q367" s="583"/>
      <c r="R367" s="581"/>
      <c r="S367" s="582">
        <v>15860.87000000001</v>
      </c>
      <c r="T367" s="583"/>
      <c r="U367" s="581"/>
      <c r="V367" s="582">
        <v>5542.220000000045</v>
      </c>
      <c r="W367" s="583"/>
      <c r="X367" s="581"/>
      <c r="Y367" s="582">
        <v>4418.75999999998</v>
      </c>
    </row>
    <row r="368" ht="14.25" customHeight="1">
      <c r="A368" s="48"/>
      <c r="B368" s="48"/>
      <c r="C368" s="48"/>
      <c r="D368" s="483"/>
      <c r="E368" s="48"/>
      <c r="F368" s="48"/>
      <c r="G368" s="483"/>
      <c r="H368" s="48"/>
      <c r="I368" s="48"/>
      <c r="J368" s="483"/>
      <c r="K368" s="48"/>
      <c r="L368" s="48"/>
      <c r="M368" s="483"/>
      <c r="N368" s="48"/>
      <c r="O368" s="48"/>
      <c r="P368" s="483"/>
      <c r="Q368" s="48"/>
      <c r="R368" s="48"/>
      <c r="S368" s="483"/>
      <c r="T368" s="48"/>
      <c r="U368" s="48"/>
      <c r="V368" s="483"/>
      <c r="W368" s="48"/>
      <c r="X368" s="48"/>
      <c r="Y368" s="483"/>
    </row>
    <row r="369" ht="14.25" customHeight="1">
      <c r="A369" s="450" t="s">
        <v>1</v>
      </c>
      <c r="B369" s="450"/>
      <c r="C369" s="453" t="s">
        <v>178</v>
      </c>
      <c r="D369" s="451"/>
      <c r="E369" s="450"/>
      <c r="F369" s="453" t="s">
        <v>178</v>
      </c>
      <c r="G369" s="451"/>
      <c r="H369" s="450"/>
      <c r="I369" s="453" t="s">
        <v>178</v>
      </c>
      <c r="J369" s="451"/>
      <c r="K369" s="450"/>
      <c r="L369" s="453" t="s">
        <v>178</v>
      </c>
      <c r="M369" s="451"/>
      <c r="N369" s="450"/>
      <c r="O369" s="453" t="s">
        <v>178</v>
      </c>
      <c r="P369" s="451"/>
      <c r="Q369" s="450"/>
      <c r="R369" s="453" t="s">
        <v>178</v>
      </c>
      <c r="S369" s="451"/>
      <c r="T369" s="450"/>
      <c r="U369" s="453" t="s">
        <v>178</v>
      </c>
      <c r="V369" s="451"/>
      <c r="W369" s="450"/>
      <c r="X369" s="453" t="s">
        <v>178</v>
      </c>
      <c r="Y369" s="451"/>
    </row>
    <row r="370" ht="14.25" customHeight="1">
      <c r="A370" s="39"/>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row>
    <row r="371" ht="14.25" customHeight="1">
      <c r="A371" s="461"/>
      <c r="B371" s="910" t="s">
        <v>775</v>
      </c>
      <c r="C371" s="911"/>
      <c r="D371" s="912"/>
      <c r="E371" s="910" t="s">
        <v>775</v>
      </c>
      <c r="F371" s="911"/>
      <c r="G371" s="912"/>
      <c r="H371" s="910" t="s">
        <v>775</v>
      </c>
      <c r="I371" s="911"/>
      <c r="J371" s="912"/>
      <c r="K371" s="910" t="s">
        <v>775</v>
      </c>
      <c r="L371" s="911"/>
      <c r="M371" s="912"/>
      <c r="N371" s="910" t="s">
        <v>775</v>
      </c>
      <c r="O371" s="911"/>
      <c r="P371" s="912"/>
      <c r="Q371" s="910" t="s">
        <v>775</v>
      </c>
      <c r="R371" s="911"/>
      <c r="S371" s="912"/>
      <c r="T371" s="910" t="s">
        <v>775</v>
      </c>
      <c r="U371" s="911"/>
      <c r="V371" s="912"/>
      <c r="W371" s="910" t="s">
        <v>775</v>
      </c>
      <c r="X371" s="911"/>
      <c r="Y371" s="912"/>
    </row>
    <row r="372" ht="14.25" customHeight="1">
      <c r="A372" s="655"/>
      <c r="B372" s="41" t="s">
        <v>222</v>
      </c>
      <c r="C372" s="41" t="s">
        <v>223</v>
      </c>
      <c r="D372" s="611" t="s">
        <v>95</v>
      </c>
      <c r="E372" s="41" t="s">
        <v>222</v>
      </c>
      <c r="F372" s="41" t="s">
        <v>223</v>
      </c>
      <c r="G372" s="611" t="s">
        <v>95</v>
      </c>
      <c r="H372" s="41" t="s">
        <v>222</v>
      </c>
      <c r="I372" s="41" t="s">
        <v>223</v>
      </c>
      <c r="J372" s="611" t="s">
        <v>95</v>
      </c>
      <c r="K372" s="41" t="s">
        <v>222</v>
      </c>
      <c r="L372" s="41" t="s">
        <v>223</v>
      </c>
      <c r="M372" s="611" t="s">
        <v>95</v>
      </c>
      <c r="N372" s="41" t="s">
        <v>222</v>
      </c>
      <c r="O372" s="41" t="s">
        <v>223</v>
      </c>
      <c r="P372" s="611" t="s">
        <v>95</v>
      </c>
      <c r="Q372" s="41" t="s">
        <v>222</v>
      </c>
      <c r="R372" s="41" t="s">
        <v>223</v>
      </c>
      <c r="S372" s="611" t="s">
        <v>95</v>
      </c>
      <c r="T372" s="41" t="s">
        <v>222</v>
      </c>
      <c r="U372" s="41" t="s">
        <v>223</v>
      </c>
      <c r="V372" s="611" t="s">
        <v>95</v>
      </c>
      <c r="W372" s="41" t="s">
        <v>222</v>
      </c>
      <c r="X372" s="41" t="s">
        <v>223</v>
      </c>
      <c r="Y372" s="611" t="s">
        <v>95</v>
      </c>
    </row>
    <row r="373" ht="14.25" customHeight="1">
      <c r="A373" s="656" t="s">
        <v>179</v>
      </c>
      <c r="B373" s="483">
        <v>41978.81</v>
      </c>
      <c r="C373" s="602">
        <v>0.04106881543331021</v>
      </c>
      <c r="D373" s="484">
        <v>1724.0199999999968</v>
      </c>
      <c r="E373" s="483">
        <v>61654.270000000004</v>
      </c>
      <c r="F373" s="602">
        <v>0.32709591728196613</v>
      </c>
      <c r="G373" s="484">
        <v>20166.860000000008</v>
      </c>
      <c r="H373" s="483">
        <v>45897.71000000001</v>
      </c>
      <c r="I373" s="602">
        <v>0.3459734701360917</v>
      </c>
      <c r="J373" s="484">
        <v>15879.39</v>
      </c>
      <c r="K373" s="483">
        <v>42841.0</v>
      </c>
      <c r="L373" s="602">
        <v>0.3679676011297587</v>
      </c>
      <c r="M373" s="484">
        <v>15764.099999999991</v>
      </c>
      <c r="N373" s="483">
        <v>28230.26999999999</v>
      </c>
      <c r="O373" s="602">
        <v>0.3429641303466104</v>
      </c>
      <c r="P373" s="484">
        <v>9681.970000000001</v>
      </c>
      <c r="Q373" s="483">
        <v>60893.31</v>
      </c>
      <c r="R373" s="602">
        <v>0.36434905575013105</v>
      </c>
      <c r="S373" s="484">
        <v>22186.420000000013</v>
      </c>
      <c r="T373" s="483">
        <v>52184.369999999995</v>
      </c>
      <c r="U373" s="602">
        <v>0.34519895516607735</v>
      </c>
      <c r="V373" s="484">
        <v>18013.98999999999</v>
      </c>
      <c r="W373" s="483">
        <v>49607.79000000004</v>
      </c>
      <c r="X373" s="602">
        <v>0.3141627554865885</v>
      </c>
      <c r="Y373" s="484">
        <v>15584.920000000042</v>
      </c>
    </row>
    <row r="374" ht="14.25" customHeight="1">
      <c r="A374" s="656" t="s">
        <v>180</v>
      </c>
      <c r="B374" s="483">
        <v>0.0</v>
      </c>
      <c r="C374" s="602">
        <v>0.0</v>
      </c>
      <c r="D374" s="484">
        <v>0.0</v>
      </c>
      <c r="E374" s="483">
        <v>0.0</v>
      </c>
      <c r="F374" s="602">
        <v>0.0</v>
      </c>
      <c r="G374" s="484">
        <v>0.0</v>
      </c>
      <c r="H374" s="483">
        <v>0.0</v>
      </c>
      <c r="I374" s="602">
        <v>0.0</v>
      </c>
      <c r="J374" s="484">
        <v>0.0</v>
      </c>
      <c r="K374" s="483">
        <v>0.0</v>
      </c>
      <c r="L374" s="602">
        <v>0.0</v>
      </c>
      <c r="M374" s="484">
        <v>0.0</v>
      </c>
      <c r="N374" s="483">
        <v>100.64</v>
      </c>
      <c r="O374" s="602">
        <v>0.5128179650238474</v>
      </c>
      <c r="P374" s="484">
        <v>51.61</v>
      </c>
      <c r="Q374" s="483">
        <v>0.0</v>
      </c>
      <c r="R374" s="602">
        <v>0.0</v>
      </c>
      <c r="S374" s="484">
        <v>0.0</v>
      </c>
      <c r="T374" s="483">
        <v>0.0</v>
      </c>
      <c r="U374" s="602">
        <v>0.0</v>
      </c>
      <c r="V374" s="484">
        <v>0.0</v>
      </c>
      <c r="W374" s="483">
        <v>0.0</v>
      </c>
      <c r="X374" s="602">
        <v>0.0</v>
      </c>
      <c r="Y374" s="484">
        <v>0.0</v>
      </c>
    </row>
    <row r="375" ht="14.25" customHeight="1">
      <c r="A375" s="656" t="s">
        <v>181</v>
      </c>
      <c r="B375" s="483">
        <v>55197.67</v>
      </c>
      <c r="C375" s="602">
        <v>0.2846821251694139</v>
      </c>
      <c r="D375" s="484">
        <v>15713.79</v>
      </c>
      <c r="E375" s="483">
        <v>52170.729999999996</v>
      </c>
      <c r="F375" s="602">
        <v>0.2986467699416893</v>
      </c>
      <c r="G375" s="484">
        <v>15580.619999999988</v>
      </c>
      <c r="H375" s="483">
        <v>76591.53</v>
      </c>
      <c r="I375" s="602">
        <v>0.2856694467390846</v>
      </c>
      <c r="J375" s="484">
        <v>21879.86</v>
      </c>
      <c r="K375" s="483">
        <v>58279.27000000002</v>
      </c>
      <c r="L375" s="602">
        <v>0.2902514050021561</v>
      </c>
      <c r="M375" s="484">
        <v>16915.640000000014</v>
      </c>
      <c r="N375" s="483">
        <v>27590.22999999998</v>
      </c>
      <c r="O375" s="602">
        <v>0.2957318587050562</v>
      </c>
      <c r="P375" s="484">
        <v>8159.309999999998</v>
      </c>
      <c r="Q375" s="483">
        <v>90257.47000000003</v>
      </c>
      <c r="R375" s="602">
        <v>0.28845136031399954</v>
      </c>
      <c r="S375" s="484">
        <v>26034.890000000014</v>
      </c>
      <c r="T375" s="483">
        <v>53893.919999999984</v>
      </c>
      <c r="U375" s="602">
        <v>0.2766145049385905</v>
      </c>
      <c r="V375" s="484">
        <v>14907.839999999997</v>
      </c>
      <c r="W375" s="483">
        <v>86905.39000000001</v>
      </c>
      <c r="X375" s="602">
        <v>0.28624818322545936</v>
      </c>
      <c r="Y375" s="484">
        <v>24876.51000000001</v>
      </c>
    </row>
    <row r="376" ht="14.25" customHeight="1">
      <c r="A376" s="656" t="s">
        <v>182</v>
      </c>
      <c r="B376" s="483">
        <v>45959.51</v>
      </c>
      <c r="C376" s="602">
        <v>0.3535633865548175</v>
      </c>
      <c r="D376" s="484">
        <v>16249.600000000002</v>
      </c>
      <c r="E376" s="483">
        <v>59291.689999999995</v>
      </c>
      <c r="F376" s="602">
        <v>0.33899775837052365</v>
      </c>
      <c r="G376" s="484">
        <v>20099.749999999993</v>
      </c>
      <c r="H376" s="483">
        <v>59967.31999999999</v>
      </c>
      <c r="I376" s="602">
        <v>0.3041548296638902</v>
      </c>
      <c r="J376" s="484">
        <v>18239.34999999999</v>
      </c>
      <c r="K376" s="483">
        <v>67902.63</v>
      </c>
      <c r="L376" s="602">
        <v>0.3090697665171441</v>
      </c>
      <c r="M376" s="484">
        <v>20986.650000000023</v>
      </c>
      <c r="N376" s="483">
        <v>41924.72</v>
      </c>
      <c r="O376" s="602">
        <v>0.3252720590620522</v>
      </c>
      <c r="P376" s="484">
        <v>13636.940000000002</v>
      </c>
      <c r="Q376" s="483">
        <v>47867.75</v>
      </c>
      <c r="R376" s="602">
        <v>0.31346135968371136</v>
      </c>
      <c r="S376" s="484">
        <v>15004.689999999973</v>
      </c>
      <c r="T376" s="483">
        <v>42397.27000000002</v>
      </c>
      <c r="U376" s="602">
        <v>0.30565269886480945</v>
      </c>
      <c r="V376" s="484">
        <v>12958.840000000026</v>
      </c>
      <c r="W376" s="483">
        <v>36953.44</v>
      </c>
      <c r="X376" s="602">
        <v>0.2756346905727863</v>
      </c>
      <c r="Y376" s="484">
        <v>10185.650000000023</v>
      </c>
    </row>
    <row r="377" ht="14.25" customHeight="1">
      <c r="A377" s="656" t="s">
        <v>183</v>
      </c>
      <c r="B377" s="483">
        <v>28409.34</v>
      </c>
      <c r="C377" s="602">
        <v>0.25007127937502244</v>
      </c>
      <c r="D377" s="484">
        <v>7104.360000000001</v>
      </c>
      <c r="E377" s="483">
        <v>20887.76</v>
      </c>
      <c r="F377" s="602">
        <v>0.24490898018743987</v>
      </c>
      <c r="G377" s="484">
        <v>5115.5999999999985</v>
      </c>
      <c r="H377" s="483">
        <v>42435.85</v>
      </c>
      <c r="I377" s="602">
        <v>0.23697486912598673</v>
      </c>
      <c r="J377" s="484">
        <v>10056.230000000003</v>
      </c>
      <c r="K377" s="483">
        <v>39063.41</v>
      </c>
      <c r="L377" s="602">
        <v>0.23736637431294388</v>
      </c>
      <c r="M377" s="484">
        <v>9272.339999999997</v>
      </c>
      <c r="N377" s="483">
        <v>37366.520000000004</v>
      </c>
      <c r="O377" s="602">
        <v>0.20944444384973515</v>
      </c>
      <c r="P377" s="484">
        <v>7826.210000000006</v>
      </c>
      <c r="Q377" s="483">
        <v>50611.01999999999</v>
      </c>
      <c r="R377" s="602">
        <v>0.23124509247195582</v>
      </c>
      <c r="S377" s="484">
        <v>11703.550000000003</v>
      </c>
      <c r="T377" s="483">
        <v>53971.639999999985</v>
      </c>
      <c r="U377" s="602">
        <v>0.1637270981574762</v>
      </c>
      <c r="V377" s="484">
        <v>8836.619999999966</v>
      </c>
      <c r="W377" s="483">
        <v>31441.49000000005</v>
      </c>
      <c r="X377" s="602">
        <v>0.19543571249327105</v>
      </c>
      <c r="Y377" s="484">
        <v>6144.790000000066</v>
      </c>
    </row>
    <row r="378" ht="14.25" customHeight="1">
      <c r="A378" s="656" t="s">
        <v>184</v>
      </c>
      <c r="B378" s="483">
        <v>177580.69</v>
      </c>
      <c r="C378" s="602">
        <v>0.16758854805666085</v>
      </c>
      <c r="D378" s="484">
        <v>29760.48999999999</v>
      </c>
      <c r="E378" s="483">
        <v>142854.25</v>
      </c>
      <c r="F378" s="602">
        <v>0.1949941286311047</v>
      </c>
      <c r="G378" s="484">
        <v>27855.73999999999</v>
      </c>
      <c r="H378" s="483">
        <v>124562.68</v>
      </c>
      <c r="I378" s="602">
        <v>0.12471407969064274</v>
      </c>
      <c r="J378" s="484">
        <v>15534.72000000003</v>
      </c>
      <c r="K378" s="483">
        <v>97725.19000000006</v>
      </c>
      <c r="L378" s="602">
        <v>0.22359383491605433</v>
      </c>
      <c r="M378" s="484">
        <v>21850.75000000006</v>
      </c>
      <c r="N378" s="483">
        <v>127023.08999999997</v>
      </c>
      <c r="O378" s="602">
        <v>0.16509620416256537</v>
      </c>
      <c r="P378" s="484">
        <v>20971.02999999991</v>
      </c>
      <c r="Q378" s="483">
        <v>124633.58999999997</v>
      </c>
      <c r="R378" s="602">
        <v>0.159981671072782</v>
      </c>
      <c r="S378" s="484">
        <v>19939.089999999967</v>
      </c>
      <c r="T378" s="483">
        <v>138088.62</v>
      </c>
      <c r="U378" s="602">
        <v>0.1735633247692677</v>
      </c>
      <c r="V378" s="484">
        <v>23967.119999999995</v>
      </c>
      <c r="W378" s="483">
        <v>116127.41000000003</v>
      </c>
      <c r="X378" s="602">
        <v>0.196910186837027</v>
      </c>
      <c r="Y378" s="484">
        <v>22866.670000000042</v>
      </c>
    </row>
    <row r="379" ht="14.25" customHeight="1">
      <c r="A379" s="656" t="s">
        <v>56</v>
      </c>
      <c r="B379" s="483">
        <v>0.0</v>
      </c>
      <c r="C379" s="602">
        <v>0.0</v>
      </c>
      <c r="D379" s="484">
        <v>0.0</v>
      </c>
      <c r="E379" s="483">
        <v>0.0</v>
      </c>
      <c r="F379" s="602">
        <v>0.0</v>
      </c>
      <c r="G379" s="484">
        <v>0.0</v>
      </c>
      <c r="H379" s="483">
        <v>0.0</v>
      </c>
      <c r="I379" s="602">
        <v>0.0</v>
      </c>
      <c r="J379" s="484">
        <v>0.0</v>
      </c>
      <c r="K379" s="483">
        <v>0.0</v>
      </c>
      <c r="L379" s="602">
        <v>0.0</v>
      </c>
      <c r="M379" s="484">
        <v>0.0</v>
      </c>
      <c r="N379" s="483">
        <v>0.0</v>
      </c>
      <c r="O379" s="602">
        <v>0.0</v>
      </c>
      <c r="P379" s="484">
        <v>0.0</v>
      </c>
      <c r="Q379" s="483">
        <v>0.0</v>
      </c>
      <c r="R379" s="602">
        <v>0.0</v>
      </c>
      <c r="S379" s="484">
        <v>0.0</v>
      </c>
      <c r="T379" s="483">
        <v>0.0</v>
      </c>
      <c r="U379" s="602">
        <v>0.0</v>
      </c>
      <c r="V379" s="484">
        <v>0.0</v>
      </c>
      <c r="W379" s="483">
        <v>0.0</v>
      </c>
      <c r="X379" s="602">
        <v>0.0</v>
      </c>
      <c r="Y379" s="484">
        <v>0.0</v>
      </c>
    </row>
    <row r="380" ht="14.25" customHeight="1">
      <c r="A380" s="656" t="s">
        <v>185</v>
      </c>
      <c r="B380" s="483">
        <v>0.0</v>
      </c>
      <c r="C380" s="602">
        <v>0.0</v>
      </c>
      <c r="D380" s="484">
        <v>20065.36</v>
      </c>
      <c r="E380" s="483">
        <v>0.0</v>
      </c>
      <c r="F380" s="602">
        <v>0.0</v>
      </c>
      <c r="G380" s="484">
        <v>3238.119999999999</v>
      </c>
      <c r="H380" s="483">
        <v>0.0</v>
      </c>
      <c r="I380" s="602">
        <v>0.0</v>
      </c>
      <c r="J380" s="484">
        <v>3258.7400000000016</v>
      </c>
      <c r="K380" s="483">
        <v>0.0</v>
      </c>
      <c r="L380" s="602">
        <v>0.0</v>
      </c>
      <c r="M380" s="484">
        <v>22413.879999999997</v>
      </c>
      <c r="N380" s="483">
        <v>0.0</v>
      </c>
      <c r="O380" s="602">
        <v>0.0</v>
      </c>
      <c r="P380" s="484">
        <v>10813.050000000003</v>
      </c>
      <c r="Q380" s="483">
        <v>0.0</v>
      </c>
      <c r="R380" s="602">
        <v>0.0</v>
      </c>
      <c r="S380" s="484">
        <v>2410.0499999999956</v>
      </c>
      <c r="T380" s="483">
        <v>0.0</v>
      </c>
      <c r="U380" s="602">
        <v>0.0</v>
      </c>
      <c r="V380" s="484">
        <v>16459.300000000003</v>
      </c>
      <c r="W380" s="483">
        <v>0.0</v>
      </c>
      <c r="X380" s="602">
        <v>0.0</v>
      </c>
      <c r="Y380" s="484">
        <v>5375.690000000002</v>
      </c>
    </row>
    <row r="381" ht="14.25" customHeight="1">
      <c r="A381" s="657" t="s">
        <v>186</v>
      </c>
      <c r="B381" s="483">
        <v>0.0</v>
      </c>
      <c r="C381" s="602">
        <v>0.0</v>
      </c>
      <c r="D381" s="484">
        <v>3656.81</v>
      </c>
      <c r="E381" s="483">
        <v>0.0</v>
      </c>
      <c r="F381" s="602">
        <v>0.0</v>
      </c>
      <c r="G381" s="484">
        <v>227.57000000000016</v>
      </c>
      <c r="H381" s="483">
        <v>0.0</v>
      </c>
      <c r="I381" s="602">
        <v>0.0</v>
      </c>
      <c r="J381" s="484">
        <v>1165.12</v>
      </c>
      <c r="K381" s="483">
        <v>0.0</v>
      </c>
      <c r="L381" s="602">
        <v>0.0</v>
      </c>
      <c r="M381" s="484">
        <v>-55.68000000000029</v>
      </c>
      <c r="N381" s="483">
        <v>0.0</v>
      </c>
      <c r="O381" s="602">
        <v>0.0</v>
      </c>
      <c r="P381" s="484">
        <v>1648.8900000000003</v>
      </c>
      <c r="Q381" s="483">
        <v>0.0</v>
      </c>
      <c r="R381" s="602">
        <v>0.0</v>
      </c>
      <c r="S381" s="484">
        <v>436.71000000000004</v>
      </c>
      <c r="T381" s="483">
        <v>0.0</v>
      </c>
      <c r="U381" s="602">
        <v>0.0</v>
      </c>
      <c r="V381" s="484">
        <v>1121.25</v>
      </c>
      <c r="W381" s="483">
        <v>0.0</v>
      </c>
      <c r="X381" s="602">
        <v>0.0</v>
      </c>
      <c r="Y381" s="484">
        <v>1480.4799999999996</v>
      </c>
    </row>
    <row r="382" ht="14.25" customHeight="1">
      <c r="A382" s="658" t="s">
        <v>187</v>
      </c>
      <c r="B382" s="495">
        <v>349126.02</v>
      </c>
      <c r="C382" s="659">
        <v>0.2700298018463361</v>
      </c>
      <c r="D382" s="497">
        <v>94274.43</v>
      </c>
      <c r="E382" s="495">
        <v>336858.7</v>
      </c>
      <c r="F382" s="659">
        <v>0.2739554002909825</v>
      </c>
      <c r="G382" s="497">
        <v>92284.25999999998</v>
      </c>
      <c r="H382" s="495">
        <v>349455.08999999997</v>
      </c>
      <c r="I382" s="659">
        <v>0.24613580531907556</v>
      </c>
      <c r="J382" s="497">
        <v>86013.41000000002</v>
      </c>
      <c r="K382" s="495">
        <v>305811.5000000001</v>
      </c>
      <c r="L382" s="659">
        <v>0.35037165051020003</v>
      </c>
      <c r="M382" s="497">
        <v>107147.68000000008</v>
      </c>
      <c r="N382" s="495">
        <v>262235.47</v>
      </c>
      <c r="O382" s="659">
        <v>0.27757118440156064</v>
      </c>
      <c r="P382" s="497">
        <v>72789.00999999992</v>
      </c>
      <c r="Q382" s="495">
        <v>374263.14</v>
      </c>
      <c r="R382" s="659">
        <v>0.26108742634927923</v>
      </c>
      <c r="S382" s="497">
        <v>97715.39999999998</v>
      </c>
      <c r="T382" s="495">
        <v>340535.81999999995</v>
      </c>
      <c r="U382" s="659">
        <v>0.28268673762425345</v>
      </c>
      <c r="V382" s="497">
        <v>96264.95999999998</v>
      </c>
      <c r="W382" s="495">
        <v>321035.52000000014</v>
      </c>
      <c r="X382" s="659">
        <v>0.2694864107248947</v>
      </c>
      <c r="Y382" s="497">
        <v>86514.71000000018</v>
      </c>
    </row>
    <row r="383" ht="14.25" customHeight="1">
      <c r="A383" s="656"/>
      <c r="B383" s="486"/>
      <c r="C383" s="48"/>
      <c r="D383" s="484"/>
      <c r="E383" s="486"/>
      <c r="F383" s="48"/>
      <c r="G383" s="484"/>
      <c r="H383" s="486"/>
      <c r="I383" s="48"/>
      <c r="J383" s="484"/>
      <c r="K383" s="486"/>
      <c r="L383" s="48"/>
      <c r="M383" s="484"/>
      <c r="N383" s="486"/>
      <c r="O383" s="48"/>
      <c r="P383" s="484"/>
      <c r="Q383" s="486"/>
      <c r="R383" s="48"/>
      <c r="S383" s="484"/>
      <c r="T383" s="486"/>
      <c r="U383" s="48"/>
      <c r="V383" s="484"/>
      <c r="W383" s="486"/>
      <c r="X383" s="48"/>
      <c r="Y383" s="484"/>
    </row>
    <row r="384" ht="14.25" customHeight="1">
      <c r="A384" s="657"/>
      <c r="B384" s="622"/>
      <c r="C384" s="564"/>
      <c r="D384" s="476"/>
      <c r="E384" s="622"/>
      <c r="F384" s="564"/>
      <c r="G384" s="476"/>
      <c r="H384" s="622"/>
      <c r="I384" s="564"/>
      <c r="J384" s="476"/>
      <c r="K384" s="622"/>
      <c r="L384" s="564"/>
      <c r="M384" s="476"/>
      <c r="N384" s="622"/>
      <c r="O384" s="564"/>
      <c r="P384" s="476"/>
      <c r="Q384" s="622"/>
      <c r="R384" s="564"/>
      <c r="S384" s="476"/>
      <c r="T384" s="622"/>
      <c r="U384" s="564"/>
      <c r="V384" s="476"/>
      <c r="W384" s="622"/>
      <c r="X384" s="564"/>
      <c r="Y384" s="476"/>
    </row>
    <row r="385" ht="14.25" customHeight="1">
      <c r="A385" s="656" t="s">
        <v>188</v>
      </c>
      <c r="B385" s="483">
        <v>40036.18</v>
      </c>
      <c r="C385" s="602">
        <v>0.1276370522862071</v>
      </c>
      <c r="D385" s="523">
        <v>5110.0999999999985</v>
      </c>
      <c r="E385" s="483">
        <v>30701.980000000003</v>
      </c>
      <c r="F385" s="602">
        <v>0.11420957215137284</v>
      </c>
      <c r="G385" s="523">
        <v>3506.4600000000064</v>
      </c>
      <c r="H385" s="483">
        <v>16910.179999999993</v>
      </c>
      <c r="I385" s="602">
        <v>0.1673879284549302</v>
      </c>
      <c r="J385" s="523">
        <v>2830.5599999999904</v>
      </c>
      <c r="K385" s="483">
        <v>25649.839999999997</v>
      </c>
      <c r="L385" s="602">
        <v>0.18000112281402147</v>
      </c>
      <c r="M385" s="523">
        <v>4617.0</v>
      </c>
      <c r="N385" s="483">
        <v>15109.180000000008</v>
      </c>
      <c r="O385" s="602">
        <v>0.1291612119254654</v>
      </c>
      <c r="P385" s="523">
        <v>1951.520000000004</v>
      </c>
      <c r="Q385" s="483">
        <v>18632.90999999999</v>
      </c>
      <c r="R385" s="602">
        <v>0.21857670111646485</v>
      </c>
      <c r="S385" s="523">
        <v>4072.7199999999866</v>
      </c>
      <c r="T385" s="483">
        <v>12605.040000000008</v>
      </c>
      <c r="U385" s="602">
        <v>0.15404076464652242</v>
      </c>
      <c r="V385" s="523">
        <v>1941.6900000000023</v>
      </c>
      <c r="W385" s="483">
        <v>18670.01999999999</v>
      </c>
      <c r="X385" s="602">
        <v>0.12284775270728196</v>
      </c>
      <c r="Y385" s="523">
        <v>2293.570000000007</v>
      </c>
    </row>
    <row r="386" ht="14.25" customHeight="1">
      <c r="A386" s="657" t="s">
        <v>189</v>
      </c>
      <c r="B386" s="483">
        <v>9627.38</v>
      </c>
      <c r="C386" s="602">
        <v>0.2935429992375911</v>
      </c>
      <c r="D386" s="476">
        <v>2826.0499999999993</v>
      </c>
      <c r="E386" s="483">
        <v>9872.26</v>
      </c>
      <c r="F386" s="602">
        <v>0.29479977229124843</v>
      </c>
      <c r="G386" s="476">
        <v>2910.34</v>
      </c>
      <c r="H386" s="483">
        <v>13286.270000000004</v>
      </c>
      <c r="I386" s="602">
        <v>0.2862586715458894</v>
      </c>
      <c r="J386" s="476">
        <v>3803.310000000005</v>
      </c>
      <c r="K386" s="483">
        <v>11456.909999999996</v>
      </c>
      <c r="L386" s="602">
        <v>0.2795622903557762</v>
      </c>
      <c r="M386" s="476">
        <v>3202.9199999999946</v>
      </c>
      <c r="N386" s="483">
        <v>11599.029999999999</v>
      </c>
      <c r="O386" s="602">
        <v>0.277649079276457</v>
      </c>
      <c r="P386" s="476">
        <v>3220.4600000000028</v>
      </c>
      <c r="Q386" s="483">
        <v>14869.200000000004</v>
      </c>
      <c r="R386" s="602">
        <v>0.2726353805181181</v>
      </c>
      <c r="S386" s="476">
        <v>4053.8700000000026</v>
      </c>
      <c r="T386" s="483">
        <v>12665.369999999995</v>
      </c>
      <c r="U386" s="602">
        <v>0.2730761122651762</v>
      </c>
      <c r="V386" s="476">
        <v>3458.6099999999933</v>
      </c>
      <c r="W386" s="483">
        <v>13578.690000000002</v>
      </c>
      <c r="X386" s="602">
        <v>0.2588062618706222</v>
      </c>
      <c r="Y386" s="476">
        <v>3514.25</v>
      </c>
    </row>
    <row r="387" ht="14.25" customHeight="1">
      <c r="A387" s="500" t="s">
        <v>190</v>
      </c>
      <c r="B387" s="489">
        <v>398789.58</v>
      </c>
      <c r="C387" s="659">
        <v>0.2563020327662523</v>
      </c>
      <c r="D387" s="497">
        <v>102210.58</v>
      </c>
      <c r="E387" s="489">
        <v>377432.94</v>
      </c>
      <c r="F387" s="659">
        <v>0.2615062161771042</v>
      </c>
      <c r="G387" s="497">
        <v>98701.05999999998</v>
      </c>
      <c r="H387" s="489">
        <v>379651.54</v>
      </c>
      <c r="I387" s="659">
        <v>0.24403240929827388</v>
      </c>
      <c r="J387" s="497">
        <v>92647.28</v>
      </c>
      <c r="K387" s="489">
        <v>342918.25000000006</v>
      </c>
      <c r="L387" s="659">
        <v>0.33526241312616073</v>
      </c>
      <c r="M387" s="497">
        <v>114967.60000000008</v>
      </c>
      <c r="N387" s="489">
        <v>288943.67999999993</v>
      </c>
      <c r="O387" s="659">
        <v>0.2698137920857101</v>
      </c>
      <c r="P387" s="497">
        <v>77960.98999999993</v>
      </c>
      <c r="Q387" s="489">
        <v>407765.25</v>
      </c>
      <c r="R387" s="659">
        <v>0.2595659880286512</v>
      </c>
      <c r="S387" s="497">
        <v>105841.98999999996</v>
      </c>
      <c r="T387" s="489">
        <v>365806.23</v>
      </c>
      <c r="U387" s="659">
        <v>0.27792107313207864</v>
      </c>
      <c r="V387" s="497">
        <v>101665.25999999998</v>
      </c>
      <c r="W387" s="489">
        <v>353284.23000000016</v>
      </c>
      <c r="X387" s="659">
        <v>0.2613264962322268</v>
      </c>
      <c r="Y387" s="497">
        <v>92322.53000000019</v>
      </c>
    </row>
    <row r="388" ht="14.25" customHeight="1">
      <c r="A388" s="480"/>
      <c r="B388" s="486"/>
      <c r="C388" s="48"/>
      <c r="D388" s="484"/>
      <c r="E388" s="486"/>
      <c r="F388" s="48"/>
      <c r="G388" s="484"/>
      <c r="H388" s="486"/>
      <c r="I388" s="48"/>
      <c r="J388" s="484"/>
      <c r="K388" s="486"/>
      <c r="L388" s="48"/>
      <c r="M388" s="484"/>
      <c r="N388" s="486"/>
      <c r="O388" s="48"/>
      <c r="P388" s="484"/>
      <c r="Q388" s="486"/>
      <c r="R388" s="48"/>
      <c r="S388" s="484"/>
      <c r="T388" s="486"/>
      <c r="U388" s="48"/>
      <c r="V388" s="484"/>
      <c r="W388" s="486"/>
      <c r="X388" s="48"/>
      <c r="Y388" s="484"/>
    </row>
    <row r="389" ht="14.25" customHeight="1">
      <c r="A389" s="480"/>
      <c r="B389" s="486"/>
      <c r="C389" s="48"/>
      <c r="D389" s="484"/>
      <c r="E389" s="486"/>
      <c r="F389" s="48"/>
      <c r="G389" s="484"/>
      <c r="H389" s="486"/>
      <c r="I389" s="48"/>
      <c r="J389" s="484"/>
      <c r="K389" s="486"/>
      <c r="L389" s="48"/>
      <c r="M389" s="484"/>
      <c r="N389" s="486"/>
      <c r="O389" s="48"/>
      <c r="P389" s="484"/>
      <c r="Q389" s="486"/>
      <c r="R389" s="48"/>
      <c r="S389" s="484"/>
      <c r="T389" s="486"/>
      <c r="U389" s="48"/>
      <c r="V389" s="484"/>
      <c r="W389" s="486"/>
      <c r="X389" s="48"/>
      <c r="Y389" s="484"/>
    </row>
    <row r="390" ht="14.25" customHeight="1">
      <c r="A390" s="471" t="s">
        <v>191</v>
      </c>
      <c r="B390" s="622">
        <v>0.0</v>
      </c>
      <c r="C390" s="662">
        <v>0.0</v>
      </c>
      <c r="D390" s="476">
        <v>0.0</v>
      </c>
      <c r="E390" s="622">
        <v>0.0</v>
      </c>
      <c r="F390" s="662">
        <v>0.0</v>
      </c>
      <c r="G390" s="476">
        <v>0.0</v>
      </c>
      <c r="H390" s="622">
        <v>0.0</v>
      </c>
      <c r="I390" s="662">
        <v>0.0</v>
      </c>
      <c r="J390" s="476">
        <v>0.0</v>
      </c>
      <c r="K390" s="622">
        <v>0.0</v>
      </c>
      <c r="L390" s="662">
        <v>0.0</v>
      </c>
      <c r="M390" s="476">
        <v>0.0</v>
      </c>
      <c r="N390" s="622">
        <v>0.0</v>
      </c>
      <c r="O390" s="662">
        <v>0.0</v>
      </c>
      <c r="P390" s="476">
        <v>0.0</v>
      </c>
      <c r="Q390" s="622">
        <v>0.0</v>
      </c>
      <c r="R390" s="662">
        <v>0.0</v>
      </c>
      <c r="S390" s="476">
        <v>0.0</v>
      </c>
      <c r="T390" s="622">
        <v>0.0</v>
      </c>
      <c r="U390" s="662">
        <v>0.0</v>
      </c>
      <c r="V390" s="476">
        <v>0.0</v>
      </c>
      <c r="W390" s="622">
        <v>0.0</v>
      </c>
      <c r="X390" s="662">
        <v>0.0</v>
      </c>
      <c r="Y390" s="476">
        <v>0.0</v>
      </c>
    </row>
    <row r="391" ht="14.25" customHeight="1">
      <c r="A391" s="480"/>
      <c r="B391" s="486"/>
      <c r="C391" s="602"/>
      <c r="D391" s="484"/>
      <c r="E391" s="486"/>
      <c r="F391" s="602"/>
      <c r="G391" s="484"/>
      <c r="H391" s="486"/>
      <c r="I391" s="602"/>
      <c r="J391" s="484"/>
      <c r="K391" s="486"/>
      <c r="L391" s="602"/>
      <c r="M391" s="484"/>
      <c r="N391" s="486"/>
      <c r="O391" s="602"/>
      <c r="P391" s="484"/>
      <c r="Q391" s="486"/>
      <c r="R391" s="602"/>
      <c r="S391" s="484"/>
      <c r="T391" s="486"/>
      <c r="U391" s="602"/>
      <c r="V391" s="484"/>
      <c r="W391" s="486"/>
      <c r="X391" s="602"/>
      <c r="Y391" s="484"/>
    </row>
    <row r="392" ht="14.25" customHeight="1">
      <c r="A392" s="526" t="s">
        <v>192</v>
      </c>
      <c r="B392" s="530">
        <v>398789.58</v>
      </c>
      <c r="C392" s="663">
        <v>0.2563020327662523</v>
      </c>
      <c r="D392" s="529">
        <v>102210.58</v>
      </c>
      <c r="E392" s="530">
        <v>377432.94</v>
      </c>
      <c r="F392" s="663">
        <v>0.2615062161771042</v>
      </c>
      <c r="G392" s="529">
        <v>98701.05999999998</v>
      </c>
      <c r="H392" s="530">
        <v>379651.54</v>
      </c>
      <c r="I392" s="663">
        <v>0.24403240929827388</v>
      </c>
      <c r="J392" s="529">
        <v>92647.28</v>
      </c>
      <c r="K392" s="530">
        <v>342918.25000000006</v>
      </c>
      <c r="L392" s="663">
        <v>0.33526241312616073</v>
      </c>
      <c r="M392" s="529">
        <v>114967.60000000008</v>
      </c>
      <c r="N392" s="530">
        <v>288943.67999999993</v>
      </c>
      <c r="O392" s="663">
        <v>0.2698137920857101</v>
      </c>
      <c r="P392" s="529">
        <v>77960.98999999993</v>
      </c>
      <c r="Q392" s="530">
        <v>407765.25</v>
      </c>
      <c r="R392" s="663">
        <v>0.2595659880286512</v>
      </c>
      <c r="S392" s="529">
        <v>105841.98999999996</v>
      </c>
      <c r="T392" s="530">
        <v>365806.23</v>
      </c>
      <c r="U392" s="663">
        <v>0.27792107313207864</v>
      </c>
      <c r="V392" s="529">
        <v>101665.25999999998</v>
      </c>
      <c r="W392" s="530">
        <v>353284.23000000016</v>
      </c>
      <c r="X392" s="663">
        <v>0.2613264962322268</v>
      </c>
      <c r="Y392" s="529">
        <v>92322.53000000019</v>
      </c>
    </row>
    <row r="393" ht="14.25" customHeight="1">
      <c r="A393" s="531"/>
      <c r="B393" s="531"/>
      <c r="C393" s="534"/>
      <c r="D393" s="535"/>
      <c r="E393" s="531"/>
      <c r="F393" s="534"/>
      <c r="G393" s="535"/>
      <c r="H393" s="531"/>
      <c r="I393" s="534"/>
      <c r="J393" s="535"/>
      <c r="K393" s="531"/>
      <c r="L393" s="534"/>
      <c r="M393" s="535"/>
      <c r="N393" s="531"/>
      <c r="O393" s="534"/>
      <c r="P393" s="535"/>
      <c r="Q393" s="531"/>
      <c r="R393" s="534"/>
      <c r="S393" s="535"/>
      <c r="T393" s="531"/>
      <c r="U393" s="534"/>
      <c r="V393" s="535"/>
      <c r="W393" s="531"/>
      <c r="X393" s="534"/>
      <c r="Y393" s="535"/>
    </row>
    <row r="394" ht="14.25" customHeight="1">
      <c r="A394" s="500"/>
      <c r="B394" s="600"/>
      <c r="C394" s="599"/>
      <c r="D394" s="504"/>
      <c r="E394" s="600"/>
      <c r="F394" s="599"/>
      <c r="G394" s="504"/>
      <c r="H394" s="600"/>
      <c r="I394" s="599"/>
      <c r="J394" s="504"/>
      <c r="K394" s="600"/>
      <c r="L394" s="599"/>
      <c r="M394" s="504"/>
      <c r="N394" s="600"/>
      <c r="O394" s="599"/>
      <c r="P394" s="504"/>
      <c r="Q394" s="600"/>
      <c r="R394" s="599"/>
      <c r="S394" s="504"/>
      <c r="T394" s="600"/>
      <c r="U394" s="599"/>
      <c r="V394" s="504"/>
      <c r="W394" s="600"/>
      <c r="X394" s="599"/>
      <c r="Y394" s="504"/>
    </row>
    <row r="395" ht="14.25" customHeight="1">
      <c r="A395" s="541" t="s">
        <v>110</v>
      </c>
      <c r="B395" s="480"/>
      <c r="C395" s="48"/>
      <c r="D395" s="514"/>
      <c r="E395" s="480"/>
      <c r="F395" s="48"/>
      <c r="G395" s="514"/>
      <c r="H395" s="480"/>
      <c r="I395" s="48"/>
      <c r="J395" s="514"/>
      <c r="K395" s="480"/>
      <c r="L395" s="48"/>
      <c r="M395" s="514"/>
      <c r="N395" s="480"/>
      <c r="O395" s="48"/>
      <c r="P395" s="514"/>
      <c r="Q395" s="480"/>
      <c r="R395" s="48"/>
      <c r="S395" s="514"/>
      <c r="T395" s="480"/>
      <c r="U395" s="48"/>
      <c r="V395" s="514"/>
      <c r="W395" s="480"/>
      <c r="X395" s="48"/>
      <c r="Y395" s="514"/>
    </row>
    <row r="396" ht="14.25" customHeight="1">
      <c r="A396" s="559" t="s">
        <v>119</v>
      </c>
      <c r="B396" s="480"/>
      <c r="C396" s="48"/>
      <c r="D396" s="484">
        <v>2416.39</v>
      </c>
      <c r="E396" s="480"/>
      <c r="F396" s="48"/>
      <c r="G396" s="484">
        <v>2004.7800000000002</v>
      </c>
      <c r="H396" s="480"/>
      <c r="I396" s="48"/>
      <c r="J396" s="484">
        <v>-2656.26</v>
      </c>
      <c r="K396" s="480"/>
      <c r="L396" s="48"/>
      <c r="M396" s="484">
        <v>1332.3299999999997</v>
      </c>
      <c r="N396" s="480"/>
      <c r="O396" s="48"/>
      <c r="P396" s="484">
        <v>1211.13</v>
      </c>
      <c r="Q396" s="480"/>
      <c r="R396" s="48"/>
      <c r="S396" s="484">
        <v>5820.150000000001</v>
      </c>
      <c r="T396" s="480"/>
      <c r="U396" s="48"/>
      <c r="V396" s="484">
        <v>6751.489999999998</v>
      </c>
      <c r="W396" s="480"/>
      <c r="X396" s="48"/>
      <c r="Y396" s="484">
        <v>7934.34</v>
      </c>
    </row>
    <row r="397" ht="14.25" customHeight="1">
      <c r="A397" s="560" t="s">
        <v>120</v>
      </c>
      <c r="B397" s="480"/>
      <c r="C397" s="48"/>
      <c r="D397" s="484">
        <v>2671.35</v>
      </c>
      <c r="E397" s="480"/>
      <c r="F397" s="48"/>
      <c r="G397" s="484">
        <v>2732.6</v>
      </c>
      <c r="H397" s="480"/>
      <c r="I397" s="48"/>
      <c r="J397" s="484">
        <v>2868.920000000001</v>
      </c>
      <c r="K397" s="480"/>
      <c r="L397" s="48"/>
      <c r="M397" s="484">
        <v>2778.9799999999996</v>
      </c>
      <c r="N397" s="480"/>
      <c r="O397" s="48"/>
      <c r="P397" s="484">
        <v>2848.029999999999</v>
      </c>
      <c r="Q397" s="480"/>
      <c r="R397" s="48"/>
      <c r="S397" s="484">
        <v>2900.7199999999993</v>
      </c>
      <c r="T397" s="480"/>
      <c r="U397" s="48"/>
      <c r="V397" s="484">
        <v>2577.3100000000013</v>
      </c>
      <c r="W397" s="480"/>
      <c r="X397" s="48"/>
      <c r="Y397" s="484">
        <v>2116.029999999999</v>
      </c>
    </row>
    <row r="398" ht="14.25" customHeight="1">
      <c r="A398" s="559" t="s">
        <v>121</v>
      </c>
      <c r="B398" s="466"/>
      <c r="C398" s="562"/>
      <c r="D398" s="523">
        <v>17492.64</v>
      </c>
      <c r="E398" s="466"/>
      <c r="F398" s="562"/>
      <c r="G398" s="523">
        <v>18072.520000000004</v>
      </c>
      <c r="H398" s="466"/>
      <c r="I398" s="562"/>
      <c r="J398" s="523">
        <v>25634.07</v>
      </c>
      <c r="K398" s="466"/>
      <c r="L398" s="562"/>
      <c r="M398" s="523">
        <v>21619.93</v>
      </c>
      <c r="N398" s="466"/>
      <c r="O398" s="562"/>
      <c r="P398" s="523">
        <v>19188.64</v>
      </c>
      <c r="Q398" s="466"/>
      <c r="R398" s="562"/>
      <c r="S398" s="523">
        <v>16762.869999999995</v>
      </c>
      <c r="T398" s="466"/>
      <c r="U398" s="562"/>
      <c r="V398" s="523">
        <v>13617.36</v>
      </c>
      <c r="W398" s="466"/>
      <c r="X398" s="562"/>
      <c r="Y398" s="523">
        <v>14321.329999999987</v>
      </c>
    </row>
    <row r="399" ht="14.25" customHeight="1">
      <c r="A399" s="559" t="s">
        <v>122</v>
      </c>
      <c r="B399" s="480"/>
      <c r="C399" s="48"/>
      <c r="D399" s="484">
        <v>0.0</v>
      </c>
      <c r="E399" s="480"/>
      <c r="F399" s="48"/>
      <c r="G399" s="484">
        <v>0.0</v>
      </c>
      <c r="H399" s="480"/>
      <c r="I399" s="48"/>
      <c r="J399" s="484">
        <v>0.0</v>
      </c>
      <c r="K399" s="480"/>
      <c r="L399" s="48"/>
      <c r="M399" s="484">
        <v>0.0</v>
      </c>
      <c r="N399" s="480"/>
      <c r="O399" s="48"/>
      <c r="P399" s="484">
        <v>0.0</v>
      </c>
      <c r="Q399" s="480"/>
      <c r="R399" s="48"/>
      <c r="S399" s="484">
        <v>0.0</v>
      </c>
      <c r="T399" s="480"/>
      <c r="U399" s="48"/>
      <c r="V399" s="484">
        <v>0.0</v>
      </c>
      <c r="W399" s="480"/>
      <c r="X399" s="48"/>
      <c r="Y399" s="484">
        <v>0.0</v>
      </c>
    </row>
    <row r="400" ht="14.25" customHeight="1">
      <c r="A400" s="480" t="s">
        <v>56</v>
      </c>
      <c r="B400" s="480"/>
      <c r="C400" s="48"/>
      <c r="D400" s="484">
        <v>0.0</v>
      </c>
      <c r="E400" s="480"/>
      <c r="F400" s="48"/>
      <c r="G400" s="484">
        <v>0.0</v>
      </c>
      <c r="H400" s="480"/>
      <c r="I400" s="48"/>
      <c r="J400" s="484">
        <v>0.0</v>
      </c>
      <c r="K400" s="480"/>
      <c r="L400" s="48"/>
      <c r="M400" s="484">
        <v>0.0</v>
      </c>
      <c r="N400" s="480"/>
      <c r="O400" s="48"/>
      <c r="P400" s="484">
        <v>0.0</v>
      </c>
      <c r="Q400" s="480"/>
      <c r="R400" s="48"/>
      <c r="S400" s="484">
        <v>0.0</v>
      </c>
      <c r="T400" s="480"/>
      <c r="U400" s="48"/>
      <c r="V400" s="484">
        <v>0.0</v>
      </c>
      <c r="W400" s="480"/>
      <c r="X400" s="48"/>
      <c r="Y400" s="484">
        <v>0.0</v>
      </c>
    </row>
    <row r="401" ht="14.25" customHeight="1">
      <c r="A401" s="480" t="s">
        <v>56</v>
      </c>
      <c r="B401" s="480"/>
      <c r="C401" s="48"/>
      <c r="D401" s="484">
        <v>0.0</v>
      </c>
      <c r="E401" s="480"/>
      <c r="F401" s="48"/>
      <c r="G401" s="484">
        <v>0.0</v>
      </c>
      <c r="H401" s="480"/>
      <c r="I401" s="48"/>
      <c r="J401" s="484">
        <v>0.0</v>
      </c>
      <c r="K401" s="480"/>
      <c r="L401" s="48"/>
      <c r="M401" s="484">
        <v>0.0</v>
      </c>
      <c r="N401" s="480"/>
      <c r="O401" s="48"/>
      <c r="P401" s="484">
        <v>0.0</v>
      </c>
      <c r="Q401" s="480"/>
      <c r="R401" s="48"/>
      <c r="S401" s="484">
        <v>0.0</v>
      </c>
      <c r="T401" s="480"/>
      <c r="U401" s="48"/>
      <c r="V401" s="484">
        <v>0.0</v>
      </c>
      <c r="W401" s="480"/>
      <c r="X401" s="48"/>
      <c r="Y401" s="484">
        <v>0.0</v>
      </c>
    </row>
    <row r="402" ht="14.25" customHeight="1">
      <c r="A402" s="480" t="s">
        <v>56</v>
      </c>
      <c r="B402" s="480"/>
      <c r="C402" s="48"/>
      <c r="D402" s="484">
        <v>0.0</v>
      </c>
      <c r="E402" s="480"/>
      <c r="F402" s="48"/>
      <c r="G402" s="484">
        <v>0.0</v>
      </c>
      <c r="H402" s="480"/>
      <c r="I402" s="48"/>
      <c r="J402" s="484">
        <v>0.0</v>
      </c>
      <c r="K402" s="480"/>
      <c r="L402" s="48"/>
      <c r="M402" s="484">
        <v>0.0</v>
      </c>
      <c r="N402" s="480"/>
      <c r="O402" s="48"/>
      <c r="P402" s="484">
        <v>0.0</v>
      </c>
      <c r="Q402" s="480"/>
      <c r="R402" s="48"/>
      <c r="S402" s="484">
        <v>0.0</v>
      </c>
      <c r="T402" s="480"/>
      <c r="U402" s="48"/>
      <c r="V402" s="484">
        <v>0.0</v>
      </c>
      <c r="W402" s="480"/>
      <c r="X402" s="48"/>
      <c r="Y402" s="484">
        <v>0.0</v>
      </c>
    </row>
    <row r="403" ht="14.25" customHeight="1">
      <c r="A403" s="560" t="s">
        <v>123</v>
      </c>
      <c r="B403" s="480"/>
      <c r="C403" s="48"/>
      <c r="D403" s="484">
        <v>3888.96</v>
      </c>
      <c r="E403" s="480"/>
      <c r="F403" s="48"/>
      <c r="G403" s="484">
        <v>1606.9899999999998</v>
      </c>
      <c r="H403" s="480"/>
      <c r="I403" s="48"/>
      <c r="J403" s="484">
        <v>1273.54</v>
      </c>
      <c r="K403" s="480"/>
      <c r="L403" s="48"/>
      <c r="M403" s="484">
        <v>2266.8999999999996</v>
      </c>
      <c r="N403" s="480"/>
      <c r="O403" s="48"/>
      <c r="P403" s="484">
        <v>3192.2800000000007</v>
      </c>
      <c r="Q403" s="480"/>
      <c r="R403" s="48"/>
      <c r="S403" s="484">
        <v>3186.5200000000004</v>
      </c>
      <c r="T403" s="480"/>
      <c r="U403" s="48"/>
      <c r="V403" s="484">
        <v>2899.6400000000012</v>
      </c>
      <c r="W403" s="480"/>
      <c r="X403" s="48"/>
      <c r="Y403" s="484">
        <v>1984.9599999999991</v>
      </c>
    </row>
    <row r="404" ht="14.25" customHeight="1">
      <c r="A404" s="559" t="s">
        <v>124</v>
      </c>
      <c r="B404" s="466"/>
      <c r="C404" s="562"/>
      <c r="D404" s="523">
        <v>2930.86</v>
      </c>
      <c r="E404" s="466"/>
      <c r="F404" s="562"/>
      <c r="G404" s="523">
        <v>2982.7000000000003</v>
      </c>
      <c r="H404" s="466"/>
      <c r="I404" s="562"/>
      <c r="J404" s="523">
        <v>3556.819999999999</v>
      </c>
      <c r="K404" s="466"/>
      <c r="L404" s="562"/>
      <c r="M404" s="523">
        <v>2865.6600000000017</v>
      </c>
      <c r="N404" s="466"/>
      <c r="O404" s="562"/>
      <c r="P404" s="523">
        <v>3359.3499999999985</v>
      </c>
      <c r="Q404" s="466"/>
      <c r="R404" s="562"/>
      <c r="S404" s="523">
        <v>3481.630000000001</v>
      </c>
      <c r="T404" s="466"/>
      <c r="U404" s="562"/>
      <c r="V404" s="523">
        <v>3642.579999999998</v>
      </c>
      <c r="W404" s="466"/>
      <c r="X404" s="562"/>
      <c r="Y404" s="523">
        <v>3728.8300000000017</v>
      </c>
    </row>
    <row r="405" ht="14.25" customHeight="1">
      <c r="A405" s="559" t="s">
        <v>125</v>
      </c>
      <c r="B405" s="480"/>
      <c r="C405" s="48"/>
      <c r="D405" s="484">
        <v>1425.1</v>
      </c>
      <c r="E405" s="480"/>
      <c r="F405" s="48"/>
      <c r="G405" s="484">
        <v>2985.47</v>
      </c>
      <c r="H405" s="480"/>
      <c r="I405" s="48"/>
      <c r="J405" s="484">
        <v>479.0600000000004</v>
      </c>
      <c r="K405" s="480"/>
      <c r="L405" s="48"/>
      <c r="M405" s="484">
        <v>1260.7299999999996</v>
      </c>
      <c r="N405" s="480"/>
      <c r="O405" s="48"/>
      <c r="P405" s="484">
        <v>523.2800000000007</v>
      </c>
      <c r="Q405" s="480"/>
      <c r="R405" s="48"/>
      <c r="S405" s="484">
        <v>406.0499999999993</v>
      </c>
      <c r="T405" s="480"/>
      <c r="U405" s="48"/>
      <c r="V405" s="484">
        <v>435.78000000000065</v>
      </c>
      <c r="W405" s="480"/>
      <c r="X405" s="48"/>
      <c r="Y405" s="484">
        <v>444.8699999999999</v>
      </c>
    </row>
    <row r="406" ht="14.25" customHeight="1">
      <c r="A406" s="559" t="s">
        <v>126</v>
      </c>
      <c r="B406" s="480"/>
      <c r="C406" s="48"/>
      <c r="D406" s="484">
        <v>195.98</v>
      </c>
      <c r="E406" s="480"/>
      <c r="F406" s="48"/>
      <c r="G406" s="484">
        <v>105.01000000000002</v>
      </c>
      <c r="H406" s="480"/>
      <c r="I406" s="48"/>
      <c r="J406" s="484">
        <v>1696.7</v>
      </c>
      <c r="K406" s="480"/>
      <c r="L406" s="48"/>
      <c r="M406" s="484">
        <v>901.04</v>
      </c>
      <c r="N406" s="480"/>
      <c r="O406" s="48"/>
      <c r="P406" s="484">
        <v>956.2599999999998</v>
      </c>
      <c r="Q406" s="480"/>
      <c r="R406" s="48"/>
      <c r="S406" s="484">
        <v>1319.1100000000006</v>
      </c>
      <c r="T406" s="480"/>
      <c r="U406" s="48"/>
      <c r="V406" s="484">
        <v>985.2399999999998</v>
      </c>
      <c r="W406" s="480"/>
      <c r="X406" s="48"/>
      <c r="Y406" s="484">
        <v>1388.9700000000003</v>
      </c>
    </row>
    <row r="407" ht="14.25" customHeight="1">
      <c r="A407" s="480" t="s">
        <v>56</v>
      </c>
      <c r="B407" s="471"/>
      <c r="C407" s="564"/>
      <c r="D407" s="484">
        <v>0.0</v>
      </c>
      <c r="E407" s="471"/>
      <c r="F407" s="564"/>
      <c r="G407" s="484">
        <v>0.0</v>
      </c>
      <c r="H407" s="471"/>
      <c r="I407" s="564"/>
      <c r="J407" s="484">
        <v>0.0</v>
      </c>
      <c r="K407" s="471"/>
      <c r="L407" s="564"/>
      <c r="M407" s="484">
        <v>0.0</v>
      </c>
      <c r="N407" s="471"/>
      <c r="O407" s="564"/>
      <c r="P407" s="484">
        <v>0.0</v>
      </c>
      <c r="Q407" s="471"/>
      <c r="R407" s="564"/>
      <c r="S407" s="484">
        <v>0.0</v>
      </c>
      <c r="T407" s="471"/>
      <c r="U407" s="564"/>
      <c r="V407" s="484">
        <v>0.0</v>
      </c>
      <c r="W407" s="471"/>
      <c r="X407" s="564"/>
      <c r="Y407" s="484">
        <v>0.0</v>
      </c>
    </row>
    <row r="408" ht="14.25" customHeight="1">
      <c r="A408" s="552" t="s">
        <v>127</v>
      </c>
      <c r="B408" s="556" t="s">
        <v>225</v>
      </c>
      <c r="C408" s="554">
        <v>0.30350360990026665</v>
      </c>
      <c r="D408" s="555">
        <v>31021.279999999995</v>
      </c>
      <c r="E408" s="556" t="s">
        <v>225</v>
      </c>
      <c r="F408" s="554">
        <v>0.3089132983982139</v>
      </c>
      <c r="G408" s="555">
        <v>30490.070000000007</v>
      </c>
      <c r="H408" s="556" t="s">
        <v>225</v>
      </c>
      <c r="I408" s="554">
        <v>0.35460134393583925</v>
      </c>
      <c r="J408" s="555">
        <v>32852.85</v>
      </c>
      <c r="K408" s="556" t="s">
        <v>225</v>
      </c>
      <c r="L408" s="554">
        <v>0.2872598018920111</v>
      </c>
      <c r="M408" s="555">
        <v>33025.57</v>
      </c>
      <c r="N408" s="556" t="s">
        <v>225</v>
      </c>
      <c r="O408" s="554">
        <v>0.4012130938819533</v>
      </c>
      <c r="P408" s="555">
        <v>31278.969999999998</v>
      </c>
      <c r="Q408" s="556" t="s">
        <v>225</v>
      </c>
      <c r="R408" s="554">
        <v>0.3200719298645085</v>
      </c>
      <c r="S408" s="555">
        <v>33877.049999999996</v>
      </c>
      <c r="T408" s="556" t="s">
        <v>225</v>
      </c>
      <c r="U408" s="554">
        <v>0.30403109184002486</v>
      </c>
      <c r="V408" s="555">
        <v>30909.4</v>
      </c>
      <c r="W408" s="556" t="s">
        <v>225</v>
      </c>
      <c r="X408" s="554">
        <v>0.3457371672981657</v>
      </c>
      <c r="Y408" s="555">
        <v>31919.329999999987</v>
      </c>
    </row>
    <row r="409" ht="14.25" customHeight="1">
      <c r="A409" s="654" t="s">
        <v>128</v>
      </c>
      <c r="B409" s="480"/>
      <c r="C409" s="48"/>
      <c r="D409" s="484">
        <v>1238.78</v>
      </c>
      <c r="E409" s="480"/>
      <c r="F409" s="48"/>
      <c r="G409" s="484">
        <v>167.97000000000006</v>
      </c>
      <c r="H409" s="480"/>
      <c r="I409" s="48"/>
      <c r="J409" s="484">
        <v>1528.15</v>
      </c>
      <c r="K409" s="480"/>
      <c r="L409" s="48"/>
      <c r="M409" s="484">
        <v>1014.7799999999999</v>
      </c>
      <c r="N409" s="480"/>
      <c r="O409" s="48"/>
      <c r="P409" s="484">
        <v>376.3900000000003</v>
      </c>
      <c r="Q409" s="480"/>
      <c r="R409" s="48"/>
      <c r="S409" s="484">
        <v>1238.7799999999997</v>
      </c>
      <c r="T409" s="480"/>
      <c r="U409" s="48"/>
      <c r="V409" s="484">
        <v>460.05999999999995</v>
      </c>
      <c r="W409" s="480"/>
      <c r="X409" s="48"/>
      <c r="Y409" s="484">
        <v>1155.46</v>
      </c>
    </row>
    <row r="410" ht="14.25" customHeight="1">
      <c r="A410" s="559" t="s">
        <v>129</v>
      </c>
      <c r="B410" s="480"/>
      <c r="C410" s="48"/>
      <c r="D410" s="484">
        <v>0.0</v>
      </c>
      <c r="E410" s="480"/>
      <c r="F410" s="48"/>
      <c r="G410" s="484">
        <v>0.0</v>
      </c>
      <c r="H410" s="480"/>
      <c r="I410" s="48"/>
      <c r="J410" s="484">
        <v>0.0</v>
      </c>
      <c r="K410" s="480"/>
      <c r="L410" s="48"/>
      <c r="M410" s="484">
        <v>0.0</v>
      </c>
      <c r="N410" s="480"/>
      <c r="O410" s="48"/>
      <c r="P410" s="484">
        <v>0.0</v>
      </c>
      <c r="Q410" s="480"/>
      <c r="R410" s="48"/>
      <c r="S410" s="484">
        <v>0.0</v>
      </c>
      <c r="T410" s="480"/>
      <c r="U410" s="48"/>
      <c r="V410" s="484">
        <v>53.47</v>
      </c>
      <c r="W410" s="480"/>
      <c r="X410" s="48"/>
      <c r="Y410" s="484">
        <v>0.0</v>
      </c>
    </row>
    <row r="411" ht="14.25" customHeight="1">
      <c r="A411" s="560" t="s">
        <v>130</v>
      </c>
      <c r="B411" s="471"/>
      <c r="C411" s="564"/>
      <c r="D411" s="476">
        <v>1460.27</v>
      </c>
      <c r="E411" s="471"/>
      <c r="F411" s="564"/>
      <c r="G411" s="476">
        <v>825.4000000000001</v>
      </c>
      <c r="H411" s="471"/>
      <c r="I411" s="564"/>
      <c r="J411" s="476">
        <v>3280.7200000000003</v>
      </c>
      <c r="K411" s="471"/>
      <c r="L411" s="564"/>
      <c r="M411" s="476">
        <v>1302.4399999999996</v>
      </c>
      <c r="N411" s="471"/>
      <c r="O411" s="564"/>
      <c r="P411" s="476">
        <v>3301.379999999999</v>
      </c>
      <c r="Q411" s="471"/>
      <c r="R411" s="564"/>
      <c r="S411" s="476">
        <v>2849.3100000000013</v>
      </c>
      <c r="T411" s="471"/>
      <c r="U411" s="564"/>
      <c r="V411" s="476">
        <v>1882.2999999999993</v>
      </c>
      <c r="W411" s="471"/>
      <c r="X411" s="564"/>
      <c r="Y411" s="476">
        <v>1652.2000000000007</v>
      </c>
    </row>
    <row r="412" ht="14.25" customHeight="1">
      <c r="A412" s="559" t="s">
        <v>131</v>
      </c>
      <c r="B412" s="480"/>
      <c r="C412" s="48"/>
      <c r="D412" s="484">
        <v>2388.42</v>
      </c>
      <c r="E412" s="480"/>
      <c r="F412" s="48"/>
      <c r="G412" s="484">
        <v>648.8299999999999</v>
      </c>
      <c r="H412" s="480"/>
      <c r="I412" s="48"/>
      <c r="J412" s="484">
        <v>1933.3400000000001</v>
      </c>
      <c r="K412" s="480"/>
      <c r="L412" s="48"/>
      <c r="M412" s="484">
        <v>2398.3999999999996</v>
      </c>
      <c r="N412" s="480"/>
      <c r="O412" s="48"/>
      <c r="P412" s="484">
        <v>1832.9699999999993</v>
      </c>
      <c r="Q412" s="480"/>
      <c r="R412" s="48"/>
      <c r="S412" s="484">
        <v>1887.42</v>
      </c>
      <c r="T412" s="480"/>
      <c r="U412" s="48"/>
      <c r="V412" s="484">
        <v>2969.33</v>
      </c>
      <c r="W412" s="480"/>
      <c r="X412" s="48"/>
      <c r="Y412" s="484">
        <v>1981.5600000000013</v>
      </c>
    </row>
    <row r="413" ht="14.25" customHeight="1">
      <c r="A413" s="559" t="s">
        <v>132</v>
      </c>
      <c r="B413" s="480"/>
      <c r="C413" s="48"/>
      <c r="D413" s="484">
        <v>493.93</v>
      </c>
      <c r="E413" s="480"/>
      <c r="F413" s="48"/>
      <c r="G413" s="484">
        <v>872.0899999999999</v>
      </c>
      <c r="H413" s="480"/>
      <c r="I413" s="48"/>
      <c r="J413" s="484">
        <v>1272.5900000000001</v>
      </c>
      <c r="K413" s="480"/>
      <c r="L413" s="48"/>
      <c r="M413" s="484">
        <v>3274.59</v>
      </c>
      <c r="N413" s="480"/>
      <c r="O413" s="48"/>
      <c r="P413" s="484">
        <v>375.5</v>
      </c>
      <c r="Q413" s="480"/>
      <c r="R413" s="48"/>
      <c r="S413" s="484">
        <v>184.26999999999953</v>
      </c>
      <c r="T413" s="480"/>
      <c r="U413" s="48"/>
      <c r="V413" s="484">
        <v>185.01000000000022</v>
      </c>
      <c r="W413" s="480"/>
      <c r="X413" s="48"/>
      <c r="Y413" s="484">
        <v>278.6899999999996</v>
      </c>
    </row>
    <row r="414" ht="14.25" customHeight="1">
      <c r="A414" s="560" t="s">
        <v>133</v>
      </c>
      <c r="B414" s="471"/>
      <c r="C414" s="564"/>
      <c r="D414" s="476">
        <v>5205.57</v>
      </c>
      <c r="E414" s="471"/>
      <c r="F414" s="564"/>
      <c r="G414" s="476">
        <v>1480.8999999999996</v>
      </c>
      <c r="H414" s="471"/>
      <c r="I414" s="564"/>
      <c r="J414" s="476">
        <v>2872.58</v>
      </c>
      <c r="K414" s="471"/>
      <c r="L414" s="564"/>
      <c r="M414" s="476">
        <v>2045.15</v>
      </c>
      <c r="N414" s="471"/>
      <c r="O414" s="564"/>
      <c r="P414" s="476">
        <v>3099.05</v>
      </c>
      <c r="Q414" s="471"/>
      <c r="R414" s="564"/>
      <c r="S414" s="476">
        <v>2590.3199999999997</v>
      </c>
      <c r="T414" s="471"/>
      <c r="U414" s="564"/>
      <c r="V414" s="476">
        <v>1431.3500000000004</v>
      </c>
      <c r="W414" s="471"/>
      <c r="X414" s="564"/>
      <c r="Y414" s="476">
        <v>1012.3899999999994</v>
      </c>
    </row>
    <row r="415" ht="14.25" customHeight="1">
      <c r="A415" s="559" t="s">
        <v>173</v>
      </c>
      <c r="B415" s="480"/>
      <c r="C415" s="48"/>
      <c r="D415" s="484">
        <v>0.0</v>
      </c>
      <c r="E415" s="480"/>
      <c r="F415" s="48"/>
      <c r="G415" s="484">
        <v>0.0</v>
      </c>
      <c r="H415" s="480"/>
      <c r="I415" s="48"/>
      <c r="J415" s="484">
        <v>0.0</v>
      </c>
      <c r="K415" s="480"/>
      <c r="L415" s="48"/>
      <c r="M415" s="484">
        <v>0.0</v>
      </c>
      <c r="N415" s="480"/>
      <c r="O415" s="48"/>
      <c r="P415" s="484">
        <v>0.0</v>
      </c>
      <c r="Q415" s="480"/>
      <c r="R415" s="48"/>
      <c r="S415" s="484">
        <v>0.0</v>
      </c>
      <c r="T415" s="480"/>
      <c r="U415" s="48"/>
      <c r="V415" s="484">
        <v>0.0</v>
      </c>
      <c r="W415" s="480"/>
      <c r="X415" s="48"/>
      <c r="Y415" s="484">
        <v>0.0</v>
      </c>
    </row>
    <row r="416" ht="14.25" customHeight="1">
      <c r="A416" s="559" t="s">
        <v>134</v>
      </c>
      <c r="B416" s="480"/>
      <c r="C416" s="48"/>
      <c r="D416" s="484">
        <v>49.59</v>
      </c>
      <c r="E416" s="480"/>
      <c r="F416" s="48"/>
      <c r="G416" s="484">
        <v>118.66</v>
      </c>
      <c r="H416" s="480"/>
      <c r="I416" s="48"/>
      <c r="J416" s="484">
        <v>615.79</v>
      </c>
      <c r="K416" s="480"/>
      <c r="L416" s="48"/>
      <c r="M416" s="484">
        <v>187.83000000000004</v>
      </c>
      <c r="N416" s="480"/>
      <c r="O416" s="48"/>
      <c r="P416" s="484">
        <v>80.13</v>
      </c>
      <c r="Q416" s="480"/>
      <c r="R416" s="48"/>
      <c r="S416" s="484">
        <v>145.0</v>
      </c>
      <c r="T416" s="480"/>
      <c r="U416" s="48"/>
      <c r="V416" s="484">
        <v>89.66000000000008</v>
      </c>
      <c r="W416" s="480"/>
      <c r="X416" s="48"/>
      <c r="Y416" s="484">
        <v>39.19999999999982</v>
      </c>
    </row>
    <row r="417" ht="14.25" customHeight="1">
      <c r="A417" s="559" t="s">
        <v>135</v>
      </c>
      <c r="B417" s="480"/>
      <c r="C417" s="48"/>
      <c r="D417" s="484">
        <v>0.0</v>
      </c>
      <c r="E417" s="480"/>
      <c r="F417" s="48"/>
      <c r="G417" s="484">
        <v>0.0</v>
      </c>
      <c r="H417" s="480"/>
      <c r="I417" s="48"/>
      <c r="J417" s="484">
        <v>0.0</v>
      </c>
      <c r="K417" s="480"/>
      <c r="L417" s="48"/>
      <c r="M417" s="484">
        <v>0.0</v>
      </c>
      <c r="N417" s="480"/>
      <c r="O417" s="48"/>
      <c r="P417" s="484">
        <v>0.0</v>
      </c>
      <c r="Q417" s="480"/>
      <c r="R417" s="48"/>
      <c r="S417" s="484">
        <v>0.0</v>
      </c>
      <c r="T417" s="480"/>
      <c r="U417" s="48"/>
      <c r="V417" s="484">
        <v>0.0</v>
      </c>
      <c r="W417" s="480"/>
      <c r="X417" s="48"/>
      <c r="Y417" s="484">
        <v>0.0</v>
      </c>
    </row>
    <row r="418" ht="14.25" customHeight="1">
      <c r="A418" s="559" t="s">
        <v>136</v>
      </c>
      <c r="B418" s="480"/>
      <c r="C418" s="48"/>
      <c r="D418" s="484">
        <v>545.0</v>
      </c>
      <c r="E418" s="480"/>
      <c r="F418" s="48"/>
      <c r="G418" s="484">
        <v>277.28</v>
      </c>
      <c r="H418" s="480"/>
      <c r="I418" s="48"/>
      <c r="J418" s="484">
        <v>840.3399999999999</v>
      </c>
      <c r="K418" s="480"/>
      <c r="L418" s="48"/>
      <c r="M418" s="484">
        <v>324.75</v>
      </c>
      <c r="N418" s="480"/>
      <c r="O418" s="48"/>
      <c r="P418" s="484">
        <v>452.9200000000001</v>
      </c>
      <c r="Q418" s="480"/>
      <c r="R418" s="48"/>
      <c r="S418" s="484">
        <v>432.09000000000015</v>
      </c>
      <c r="T418" s="480"/>
      <c r="U418" s="48"/>
      <c r="V418" s="484">
        <v>101.46000000000004</v>
      </c>
      <c r="W418" s="480"/>
      <c r="X418" s="48"/>
      <c r="Y418" s="484">
        <v>533.0299999999997</v>
      </c>
    </row>
    <row r="419" ht="14.25" customHeight="1">
      <c r="A419" s="559" t="s">
        <v>137</v>
      </c>
      <c r="B419" s="480"/>
      <c r="C419" s="48"/>
      <c r="D419" s="484">
        <v>83.41</v>
      </c>
      <c r="E419" s="480"/>
      <c r="F419" s="48"/>
      <c r="G419" s="484">
        <v>82.67000000000002</v>
      </c>
      <c r="H419" s="480"/>
      <c r="I419" s="48"/>
      <c r="J419" s="484">
        <v>98.16</v>
      </c>
      <c r="K419" s="480"/>
      <c r="L419" s="48"/>
      <c r="M419" s="484">
        <v>95.30000000000001</v>
      </c>
      <c r="N419" s="480"/>
      <c r="O419" s="48"/>
      <c r="P419" s="484">
        <v>479.8</v>
      </c>
      <c r="Q419" s="480"/>
      <c r="R419" s="48"/>
      <c r="S419" s="484">
        <v>111.78999999999996</v>
      </c>
      <c r="T419" s="480"/>
      <c r="U419" s="48"/>
      <c r="V419" s="484">
        <v>210.08000000000004</v>
      </c>
      <c r="W419" s="480"/>
      <c r="X419" s="48"/>
      <c r="Y419" s="484">
        <v>224.08999999999992</v>
      </c>
    </row>
    <row r="420" ht="14.25" customHeight="1">
      <c r="A420" s="559" t="s">
        <v>138</v>
      </c>
      <c r="B420" s="480"/>
      <c r="C420" s="48"/>
      <c r="D420" s="484">
        <v>1132.83</v>
      </c>
      <c r="E420" s="480"/>
      <c r="F420" s="48"/>
      <c r="G420" s="484">
        <v>2291.9900000000002</v>
      </c>
      <c r="H420" s="480"/>
      <c r="I420" s="48"/>
      <c r="J420" s="484">
        <v>462.4699999999998</v>
      </c>
      <c r="K420" s="480"/>
      <c r="L420" s="48"/>
      <c r="M420" s="484">
        <v>706.0699999999997</v>
      </c>
      <c r="N420" s="480"/>
      <c r="O420" s="48"/>
      <c r="P420" s="484">
        <v>1166.54</v>
      </c>
      <c r="Q420" s="480"/>
      <c r="R420" s="48"/>
      <c r="S420" s="484">
        <v>681.6400000000003</v>
      </c>
      <c r="T420" s="480"/>
      <c r="U420" s="48"/>
      <c r="V420" s="484">
        <v>1239.3599999999997</v>
      </c>
      <c r="W420" s="480"/>
      <c r="X420" s="48"/>
      <c r="Y420" s="484">
        <v>810.4799999999996</v>
      </c>
    </row>
    <row r="421" ht="14.25" customHeight="1">
      <c r="A421" s="559" t="s">
        <v>139</v>
      </c>
      <c r="B421" s="480"/>
      <c r="C421" s="48"/>
      <c r="D421" s="484">
        <v>1460.79</v>
      </c>
      <c r="E421" s="480"/>
      <c r="F421" s="48"/>
      <c r="G421" s="484">
        <v>2224.66</v>
      </c>
      <c r="H421" s="480"/>
      <c r="I421" s="48"/>
      <c r="J421" s="484">
        <v>936.5100000000002</v>
      </c>
      <c r="K421" s="480"/>
      <c r="L421" s="48"/>
      <c r="M421" s="484">
        <v>1450.5699999999997</v>
      </c>
      <c r="N421" s="480"/>
      <c r="O421" s="48"/>
      <c r="P421" s="484">
        <v>4676.39</v>
      </c>
      <c r="Q421" s="480"/>
      <c r="R421" s="48"/>
      <c r="S421" s="484">
        <v>1123.8900000000003</v>
      </c>
      <c r="T421" s="480"/>
      <c r="U421" s="48"/>
      <c r="V421" s="484">
        <v>1090.46</v>
      </c>
      <c r="W421" s="480"/>
      <c r="X421" s="48"/>
      <c r="Y421" s="484">
        <v>1214.409999999999</v>
      </c>
    </row>
    <row r="422" ht="14.25" customHeight="1">
      <c r="A422" s="559" t="s">
        <v>140</v>
      </c>
      <c r="B422" s="480"/>
      <c r="C422" s="48"/>
      <c r="D422" s="484">
        <v>0.0</v>
      </c>
      <c r="E422" s="480"/>
      <c r="F422" s="48"/>
      <c r="G422" s="484">
        <v>186.0</v>
      </c>
      <c r="H422" s="480"/>
      <c r="I422" s="48"/>
      <c r="J422" s="484">
        <v>578.33</v>
      </c>
      <c r="K422" s="480"/>
      <c r="L422" s="48"/>
      <c r="M422" s="484">
        <v>0.0</v>
      </c>
      <c r="N422" s="480"/>
      <c r="O422" s="48"/>
      <c r="P422" s="484">
        <v>0.0</v>
      </c>
      <c r="Q422" s="480"/>
      <c r="R422" s="48"/>
      <c r="S422" s="484">
        <v>0.0</v>
      </c>
      <c r="T422" s="480"/>
      <c r="U422" s="48"/>
      <c r="V422" s="484">
        <v>0.0</v>
      </c>
      <c r="W422" s="480"/>
      <c r="X422" s="48"/>
      <c r="Y422" s="484">
        <v>0.0</v>
      </c>
    </row>
    <row r="423" ht="14.25" customHeight="1">
      <c r="A423" s="559" t="s">
        <v>141</v>
      </c>
      <c r="B423" s="480"/>
      <c r="C423" s="48"/>
      <c r="D423" s="484">
        <v>187.04</v>
      </c>
      <c r="E423" s="480"/>
      <c r="F423" s="48"/>
      <c r="G423" s="484">
        <v>607.9100000000001</v>
      </c>
      <c r="H423" s="480"/>
      <c r="I423" s="48"/>
      <c r="J423" s="484">
        <v>233.0</v>
      </c>
      <c r="K423" s="480"/>
      <c r="L423" s="48"/>
      <c r="M423" s="484">
        <v>656.1099999999999</v>
      </c>
      <c r="N423" s="480"/>
      <c r="O423" s="48"/>
      <c r="P423" s="484">
        <v>585.1199999999999</v>
      </c>
      <c r="Q423" s="480"/>
      <c r="R423" s="48"/>
      <c r="S423" s="484">
        <v>519.3600000000001</v>
      </c>
      <c r="T423" s="480"/>
      <c r="U423" s="48"/>
      <c r="V423" s="484">
        <v>478.49000000000024</v>
      </c>
      <c r="W423" s="480"/>
      <c r="X423" s="48"/>
      <c r="Y423" s="484">
        <v>469.05999999999995</v>
      </c>
    </row>
    <row r="424" ht="14.25" customHeight="1">
      <c r="A424" s="559" t="s">
        <v>56</v>
      </c>
      <c r="B424" s="480"/>
      <c r="C424" s="48"/>
      <c r="D424" s="484">
        <v>0.0</v>
      </c>
      <c r="E424" s="480"/>
      <c r="F424" s="48"/>
      <c r="G424" s="484">
        <v>0.0</v>
      </c>
      <c r="H424" s="480"/>
      <c r="I424" s="48"/>
      <c r="J424" s="484">
        <v>0.0</v>
      </c>
      <c r="K424" s="480"/>
      <c r="L424" s="48"/>
      <c r="M424" s="484">
        <v>0.0</v>
      </c>
      <c r="N424" s="480"/>
      <c r="O424" s="48"/>
      <c r="P424" s="484">
        <v>0.0</v>
      </c>
      <c r="Q424" s="480"/>
      <c r="R424" s="48"/>
      <c r="S424" s="484">
        <v>0.0</v>
      </c>
      <c r="T424" s="480"/>
      <c r="U424" s="48"/>
      <c r="V424" s="484">
        <v>0.0</v>
      </c>
      <c r="W424" s="480"/>
      <c r="X424" s="48"/>
      <c r="Y424" s="484">
        <v>0.0</v>
      </c>
    </row>
    <row r="425" ht="14.25" customHeight="1">
      <c r="A425" s="559" t="s">
        <v>56</v>
      </c>
      <c r="B425" s="480"/>
      <c r="C425" s="48"/>
      <c r="D425" s="484">
        <v>0.0</v>
      </c>
      <c r="E425" s="480"/>
      <c r="F425" s="48"/>
      <c r="G425" s="484">
        <v>0.0</v>
      </c>
      <c r="H425" s="480"/>
      <c r="I425" s="48"/>
      <c r="J425" s="484">
        <v>0.0</v>
      </c>
      <c r="K425" s="480"/>
      <c r="L425" s="48"/>
      <c r="M425" s="484">
        <v>0.0</v>
      </c>
      <c r="N425" s="480"/>
      <c r="O425" s="48"/>
      <c r="P425" s="484">
        <v>0.0</v>
      </c>
      <c r="Q425" s="480"/>
      <c r="R425" s="48"/>
      <c r="S425" s="484">
        <v>0.0</v>
      </c>
      <c r="T425" s="480"/>
      <c r="U425" s="48"/>
      <c r="V425" s="484">
        <v>0.0</v>
      </c>
      <c r="W425" s="480"/>
      <c r="X425" s="48"/>
      <c r="Y425" s="484">
        <v>0.0</v>
      </c>
    </row>
    <row r="426" ht="14.25" customHeight="1">
      <c r="A426" s="559" t="s">
        <v>56</v>
      </c>
      <c r="B426" s="480"/>
      <c r="C426" s="48"/>
      <c r="D426" s="484">
        <v>0.0</v>
      </c>
      <c r="E426" s="480"/>
      <c r="F426" s="48"/>
      <c r="G426" s="484">
        <v>0.0</v>
      </c>
      <c r="H426" s="480"/>
      <c r="I426" s="48"/>
      <c r="J426" s="484">
        <v>0.0</v>
      </c>
      <c r="K426" s="480"/>
      <c r="L426" s="48"/>
      <c r="M426" s="484">
        <v>0.0</v>
      </c>
      <c r="N426" s="480"/>
      <c r="O426" s="48"/>
      <c r="P426" s="484">
        <v>0.0</v>
      </c>
      <c r="Q426" s="480"/>
      <c r="R426" s="48"/>
      <c r="S426" s="484">
        <v>0.0</v>
      </c>
      <c r="T426" s="480"/>
      <c r="U426" s="48"/>
      <c r="V426" s="484">
        <v>0.0</v>
      </c>
      <c r="W426" s="480"/>
      <c r="X426" s="48"/>
      <c r="Y426" s="484">
        <v>0.0</v>
      </c>
    </row>
    <row r="427" ht="14.25" customHeight="1">
      <c r="A427" s="552" t="s">
        <v>142</v>
      </c>
      <c r="B427" s="556" t="s">
        <v>225</v>
      </c>
      <c r="C427" s="554">
        <v>0.13937529754747505</v>
      </c>
      <c r="D427" s="555">
        <v>14245.630000000001</v>
      </c>
      <c r="E427" s="556" t="s">
        <v>225</v>
      </c>
      <c r="F427" s="554">
        <v>0.09913125553058903</v>
      </c>
      <c r="G427" s="555">
        <v>9784.359999999999</v>
      </c>
      <c r="H427" s="556" t="s">
        <v>225</v>
      </c>
      <c r="I427" s="554">
        <v>0.15814797800863664</v>
      </c>
      <c r="J427" s="555">
        <v>14651.980000000001</v>
      </c>
      <c r="K427" s="556" t="s">
        <v>225</v>
      </c>
      <c r="L427" s="554">
        <v>0.11704158388972187</v>
      </c>
      <c r="M427" s="555">
        <v>13455.989999999998</v>
      </c>
      <c r="N427" s="556" t="s">
        <v>225</v>
      </c>
      <c r="O427" s="554">
        <v>0.21069755527732537</v>
      </c>
      <c r="P427" s="555">
        <v>16426.189999999995</v>
      </c>
      <c r="Q427" s="556" t="s">
        <v>225</v>
      </c>
      <c r="R427" s="554">
        <v>0.11114558598151833</v>
      </c>
      <c r="S427" s="555">
        <v>11763.869999999999</v>
      </c>
      <c r="T427" s="556" t="s">
        <v>225</v>
      </c>
      <c r="U427" s="554">
        <v>0.10024102628567516</v>
      </c>
      <c r="V427" s="555">
        <v>10191.029999999997</v>
      </c>
      <c r="W427" s="556" t="s">
        <v>225</v>
      </c>
      <c r="X427" s="554">
        <v>0.10149819334457125</v>
      </c>
      <c r="Y427" s="555">
        <v>9370.569999999998</v>
      </c>
    </row>
    <row r="428" ht="14.25" customHeight="1">
      <c r="A428" s="471"/>
      <c r="B428" s="471"/>
      <c r="C428" s="564"/>
      <c r="D428" s="476"/>
      <c r="E428" s="471"/>
      <c r="F428" s="564"/>
      <c r="G428" s="476"/>
      <c r="H428" s="471"/>
      <c r="I428" s="564"/>
      <c r="J428" s="476"/>
      <c r="K428" s="471"/>
      <c r="L428" s="564"/>
      <c r="M428" s="476"/>
      <c r="N428" s="471"/>
      <c r="O428" s="564"/>
      <c r="P428" s="476"/>
      <c r="Q428" s="471"/>
      <c r="R428" s="564"/>
      <c r="S428" s="476"/>
      <c r="T428" s="471"/>
      <c r="U428" s="564"/>
      <c r="V428" s="476"/>
      <c r="W428" s="471"/>
      <c r="X428" s="564"/>
      <c r="Y428" s="476"/>
    </row>
    <row r="429" ht="14.25" customHeight="1">
      <c r="A429" s="552" t="s">
        <v>143</v>
      </c>
      <c r="B429" s="556" t="s">
        <v>225</v>
      </c>
      <c r="C429" s="554">
        <v>0.44287890744774167</v>
      </c>
      <c r="D429" s="555">
        <v>45266.909999999996</v>
      </c>
      <c r="E429" s="556" t="s">
        <v>225</v>
      </c>
      <c r="F429" s="554">
        <v>0.40804455392880296</v>
      </c>
      <c r="G429" s="555">
        <v>40274.43000000001</v>
      </c>
      <c r="H429" s="556" t="s">
        <v>225</v>
      </c>
      <c r="I429" s="554">
        <v>0.5127493219444759</v>
      </c>
      <c r="J429" s="555">
        <v>47504.83</v>
      </c>
      <c r="K429" s="556" t="s">
        <v>225</v>
      </c>
      <c r="L429" s="554">
        <v>0.40430138578173297</v>
      </c>
      <c r="M429" s="555">
        <v>46481.56</v>
      </c>
      <c r="N429" s="556" t="s">
        <v>225</v>
      </c>
      <c r="O429" s="554">
        <v>0.6119106491592786</v>
      </c>
      <c r="P429" s="555">
        <v>47705.15999999999</v>
      </c>
      <c r="Q429" s="556" t="s">
        <v>225</v>
      </c>
      <c r="R429" s="554">
        <v>0.43121751584602686</v>
      </c>
      <c r="S429" s="555">
        <v>45640.92</v>
      </c>
      <c r="T429" s="556" t="s">
        <v>225</v>
      </c>
      <c r="U429" s="554">
        <v>0.4042721181257001</v>
      </c>
      <c r="V429" s="555">
        <v>41100.43</v>
      </c>
      <c r="W429" s="556" t="s">
        <v>225</v>
      </c>
      <c r="X429" s="554">
        <v>0.44723536064273695</v>
      </c>
      <c r="Y429" s="555">
        <v>41289.89999999999</v>
      </c>
    </row>
    <row r="430" ht="14.25" customHeight="1">
      <c r="A430" s="480"/>
      <c r="B430" s="480"/>
      <c r="C430" s="48"/>
      <c r="D430" s="484"/>
      <c r="E430" s="480"/>
      <c r="F430" s="48"/>
      <c r="G430" s="484"/>
      <c r="H430" s="480"/>
      <c r="I430" s="48"/>
      <c r="J430" s="484"/>
      <c r="K430" s="480"/>
      <c r="L430" s="48"/>
      <c r="M430" s="484"/>
      <c r="N430" s="480"/>
      <c r="O430" s="48"/>
      <c r="P430" s="484"/>
      <c r="Q430" s="480"/>
      <c r="R430" s="48"/>
      <c r="S430" s="484"/>
      <c r="T430" s="480"/>
      <c r="U430" s="48"/>
      <c r="V430" s="484"/>
      <c r="W430" s="480"/>
      <c r="X430" s="48"/>
      <c r="Y430" s="484"/>
    </row>
    <row r="431" ht="14.25" customHeight="1">
      <c r="A431" s="579" t="s">
        <v>150</v>
      </c>
      <c r="B431" s="583"/>
      <c r="C431" s="581"/>
      <c r="D431" s="582">
        <v>56943.670000000006</v>
      </c>
      <c r="E431" s="583"/>
      <c r="F431" s="581"/>
      <c r="G431" s="582">
        <v>58426.629999999976</v>
      </c>
      <c r="H431" s="583"/>
      <c r="I431" s="581"/>
      <c r="J431" s="582">
        <v>45142.45</v>
      </c>
      <c r="K431" s="583"/>
      <c r="L431" s="581"/>
      <c r="M431" s="582">
        <v>68486.04000000008</v>
      </c>
      <c r="N431" s="583"/>
      <c r="O431" s="581"/>
      <c r="P431" s="582">
        <v>30255.829999999944</v>
      </c>
      <c r="Q431" s="583"/>
      <c r="R431" s="581"/>
      <c r="S431" s="582">
        <v>60201.06999999996</v>
      </c>
      <c r="T431" s="583"/>
      <c r="U431" s="581"/>
      <c r="V431" s="582">
        <v>60564.82999999998</v>
      </c>
      <c r="W431" s="583"/>
      <c r="X431" s="581"/>
      <c r="Y431" s="582">
        <v>51032.6300000002</v>
      </c>
    </row>
    <row r="432" ht="14.25" customHeight="1">
      <c r="A432" s="11"/>
      <c r="B432" s="11"/>
      <c r="C432" s="11"/>
      <c r="D432" s="503"/>
      <c r="E432" s="11"/>
      <c r="F432" s="11"/>
      <c r="G432" s="503"/>
      <c r="H432" s="11"/>
      <c r="I432" s="11"/>
      <c r="J432" s="503"/>
      <c r="K432" s="11"/>
      <c r="L432" s="11"/>
      <c r="M432" s="503"/>
      <c r="N432" s="11"/>
      <c r="O432" s="11"/>
      <c r="P432" s="503"/>
      <c r="Q432" s="11"/>
      <c r="R432" s="11"/>
      <c r="S432" s="503"/>
      <c r="T432" s="11"/>
      <c r="U432" s="11"/>
      <c r="V432" s="503"/>
      <c r="W432" s="11"/>
      <c r="X432" s="11"/>
      <c r="Y432" s="503"/>
    </row>
    <row r="433" ht="14.25" customHeight="1">
      <c r="A433" s="11"/>
      <c r="B433" s="11"/>
      <c r="C433" s="11"/>
      <c r="D433" s="503"/>
      <c r="E433" s="11"/>
      <c r="F433" s="11"/>
      <c r="G433" s="503"/>
      <c r="H433" s="11"/>
      <c r="I433" s="11"/>
      <c r="J433" s="503"/>
      <c r="K433" s="11"/>
      <c r="L433" s="11"/>
      <c r="M433" s="503"/>
      <c r="N433" s="11"/>
      <c r="O433" s="11"/>
      <c r="P433" s="503"/>
      <c r="Q433" s="11"/>
      <c r="R433" s="11"/>
      <c r="S433" s="503"/>
      <c r="T433" s="11"/>
      <c r="U433" s="11"/>
      <c r="V433" s="503"/>
      <c r="W433" s="11"/>
      <c r="X433" s="11"/>
      <c r="Y433" s="503"/>
    </row>
    <row r="434" ht="14.25" customHeight="1">
      <c r="A434" s="450" t="s">
        <v>1</v>
      </c>
      <c r="B434" s="450"/>
      <c r="C434" s="453" t="s">
        <v>1025</v>
      </c>
      <c r="D434" s="451"/>
      <c r="E434" s="450"/>
      <c r="F434" s="453" t="s">
        <v>1025</v>
      </c>
      <c r="G434" s="451"/>
      <c r="H434" s="450"/>
      <c r="I434" s="453" t="s">
        <v>1025</v>
      </c>
      <c r="J434" s="451"/>
      <c r="K434" s="450"/>
      <c r="L434" s="453" t="s">
        <v>1025</v>
      </c>
      <c r="M434" s="451"/>
      <c r="N434" s="450"/>
      <c r="O434" s="453" t="s">
        <v>1025</v>
      </c>
      <c r="P434" s="451"/>
      <c r="Q434" s="450"/>
      <c r="R434" s="453" t="s">
        <v>1025</v>
      </c>
      <c r="S434" s="451"/>
      <c r="T434" s="450"/>
      <c r="U434" s="453" t="s">
        <v>1025</v>
      </c>
      <c r="V434" s="451"/>
      <c r="W434" s="450"/>
      <c r="X434" s="453" t="s">
        <v>1025</v>
      </c>
      <c r="Y434" s="451"/>
    </row>
    <row r="435" ht="14.25" customHeight="1">
      <c r="A435" s="39"/>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row>
    <row r="436" ht="14.25" customHeight="1">
      <c r="A436" s="461"/>
      <c r="B436" s="910" t="s">
        <v>775</v>
      </c>
      <c r="C436" s="911"/>
      <c r="D436" s="912"/>
      <c r="E436" s="910" t="s">
        <v>775</v>
      </c>
      <c r="F436" s="911"/>
      <c r="G436" s="912"/>
      <c r="H436" s="910" t="s">
        <v>775</v>
      </c>
      <c r="I436" s="911"/>
      <c r="J436" s="912"/>
      <c r="K436" s="910" t="s">
        <v>775</v>
      </c>
      <c r="L436" s="911"/>
      <c r="M436" s="912"/>
      <c r="N436" s="910" t="s">
        <v>775</v>
      </c>
      <c r="O436" s="911"/>
      <c r="P436" s="912"/>
      <c r="Q436" s="910" t="s">
        <v>775</v>
      </c>
      <c r="R436" s="911"/>
      <c r="S436" s="912"/>
      <c r="T436" s="910" t="s">
        <v>775</v>
      </c>
      <c r="U436" s="911"/>
      <c r="V436" s="912"/>
      <c r="W436" s="910" t="s">
        <v>775</v>
      </c>
      <c r="X436" s="911"/>
      <c r="Y436" s="912"/>
    </row>
    <row r="437" ht="14.25" customHeight="1">
      <c r="A437" s="655"/>
      <c r="B437" s="610" t="s">
        <v>221</v>
      </c>
      <c r="C437" s="41" t="s">
        <v>222</v>
      </c>
      <c r="D437" s="611" t="s">
        <v>95</v>
      </c>
      <c r="E437" s="610" t="s">
        <v>221</v>
      </c>
      <c r="F437" s="41" t="s">
        <v>222</v>
      </c>
      <c r="G437" s="611" t="s">
        <v>95</v>
      </c>
      <c r="H437" s="610" t="s">
        <v>221</v>
      </c>
      <c r="I437" s="41" t="s">
        <v>222</v>
      </c>
      <c r="J437" s="611" t="s">
        <v>95</v>
      </c>
      <c r="K437" s="610" t="s">
        <v>221</v>
      </c>
      <c r="L437" s="41" t="s">
        <v>222</v>
      </c>
      <c r="M437" s="611" t="s">
        <v>95</v>
      </c>
      <c r="N437" s="610" t="s">
        <v>221</v>
      </c>
      <c r="O437" s="41" t="s">
        <v>222</v>
      </c>
      <c r="P437" s="611" t="s">
        <v>95</v>
      </c>
      <c r="Q437" s="610" t="s">
        <v>221</v>
      </c>
      <c r="R437" s="41" t="s">
        <v>222</v>
      </c>
      <c r="S437" s="611" t="s">
        <v>95</v>
      </c>
      <c r="T437" s="610" t="s">
        <v>221</v>
      </c>
      <c r="U437" s="41" t="s">
        <v>222</v>
      </c>
      <c r="V437" s="611" t="s">
        <v>95</v>
      </c>
      <c r="W437" s="610" t="s">
        <v>221</v>
      </c>
      <c r="X437" s="41" t="s">
        <v>222</v>
      </c>
      <c r="Y437" s="611" t="s">
        <v>95</v>
      </c>
    </row>
    <row r="438" ht="14.25" customHeight="1">
      <c r="A438" s="480"/>
      <c r="B438" s="610"/>
      <c r="C438" s="41"/>
      <c r="D438" s="611"/>
      <c r="E438" s="610"/>
      <c r="F438" s="41"/>
      <c r="G438" s="611"/>
      <c r="H438" s="610"/>
      <c r="I438" s="41"/>
      <c r="J438" s="611"/>
      <c r="K438" s="610"/>
      <c r="L438" s="41"/>
      <c r="M438" s="611"/>
      <c r="N438" s="610"/>
      <c r="O438" s="41"/>
      <c r="P438" s="611"/>
      <c r="Q438" s="610"/>
      <c r="R438" s="41"/>
      <c r="S438" s="611"/>
      <c r="T438" s="610"/>
      <c r="U438" s="41"/>
      <c r="V438" s="611"/>
      <c r="W438" s="610"/>
      <c r="X438" s="41"/>
      <c r="Y438" s="611"/>
    </row>
    <row r="439" ht="14.25" customHeight="1">
      <c r="A439" s="480" t="s">
        <v>1027</v>
      </c>
      <c r="B439" s="486">
        <v>0.0</v>
      </c>
      <c r="C439" s="483">
        <v>0.0</v>
      </c>
      <c r="D439" s="484">
        <v>0.0</v>
      </c>
      <c r="E439" s="486">
        <v>0.0</v>
      </c>
      <c r="F439" s="483">
        <v>0.0</v>
      </c>
      <c r="G439" s="484">
        <v>0.0</v>
      </c>
      <c r="H439" s="486">
        <v>0.0</v>
      </c>
      <c r="I439" s="483">
        <v>0.0</v>
      </c>
      <c r="J439" s="484">
        <v>0.0</v>
      </c>
      <c r="K439" s="486">
        <v>0.0</v>
      </c>
      <c r="L439" s="483">
        <v>0.0</v>
      </c>
      <c r="M439" s="484">
        <v>0.0</v>
      </c>
      <c r="N439" s="486">
        <v>158.0</v>
      </c>
      <c r="O439" s="483">
        <v>26312.5</v>
      </c>
      <c r="P439" s="484">
        <v>20185.39</v>
      </c>
      <c r="Q439" s="486">
        <v>437.0</v>
      </c>
      <c r="R439" s="483">
        <v>70820.0</v>
      </c>
      <c r="S439" s="484">
        <v>53041.86</v>
      </c>
      <c r="T439" s="486">
        <v>393.0</v>
      </c>
      <c r="U439" s="483">
        <v>69525.0</v>
      </c>
      <c r="V439" s="484">
        <v>50590.67</v>
      </c>
      <c r="W439" s="486">
        <v>332.0</v>
      </c>
      <c r="X439" s="483">
        <v>53877.5</v>
      </c>
      <c r="Y439" s="484">
        <v>38417.48</v>
      </c>
    </row>
    <row r="440" ht="14.25" customHeight="1">
      <c r="A440" s="480" t="s">
        <v>163</v>
      </c>
      <c r="B440" s="486"/>
      <c r="C440" s="48"/>
      <c r="D440" s="516">
        <v>0.0</v>
      </c>
      <c r="E440" s="486"/>
      <c r="F440" s="48"/>
      <c r="G440" s="516">
        <v>0.0</v>
      </c>
      <c r="H440" s="486"/>
      <c r="I440" s="48"/>
      <c r="J440" s="516">
        <v>0.0</v>
      </c>
      <c r="K440" s="486"/>
      <c r="L440" s="48"/>
      <c r="M440" s="516">
        <v>0.0</v>
      </c>
      <c r="N440" s="486"/>
      <c r="O440" s="48"/>
      <c r="P440" s="516">
        <v>0.7671407125890736</v>
      </c>
      <c r="Q440" s="486"/>
      <c r="R440" s="48"/>
      <c r="S440" s="516">
        <v>0.7489672408924033</v>
      </c>
      <c r="T440" s="486"/>
      <c r="U440" s="48"/>
      <c r="V440" s="516">
        <v>0.7276615605897159</v>
      </c>
      <c r="W440" s="486"/>
      <c r="X440" s="48"/>
      <c r="Y440" s="516">
        <v>0.7130523873602154</v>
      </c>
    </row>
    <row r="441" ht="14.25" customHeight="1">
      <c r="A441" s="480"/>
      <c r="B441" s="610"/>
      <c r="C441" s="41"/>
      <c r="D441" s="611"/>
      <c r="E441" s="610"/>
      <c r="F441" s="41"/>
      <c r="G441" s="611"/>
      <c r="H441" s="610"/>
      <c r="I441" s="41"/>
      <c r="J441" s="611"/>
      <c r="K441" s="610"/>
      <c r="L441" s="41"/>
      <c r="M441" s="611"/>
      <c r="N441" s="610"/>
      <c r="O441" s="41"/>
      <c r="P441" s="611"/>
      <c r="Q441" s="610"/>
      <c r="R441" s="41"/>
      <c r="S441" s="611"/>
      <c r="T441" s="610"/>
      <c r="U441" s="41">
        <v>176.9083969465649</v>
      </c>
      <c r="V441" s="611"/>
      <c r="W441" s="610"/>
      <c r="X441" s="41">
        <v>162.28162650602408</v>
      </c>
      <c r="Y441" s="611"/>
    </row>
    <row r="442" ht="14.25" customHeight="1">
      <c r="A442" s="466" t="s">
        <v>1028</v>
      </c>
      <c r="B442" s="252">
        <v>0.0</v>
      </c>
      <c r="C442" s="522">
        <v>81920.0</v>
      </c>
      <c r="D442" s="523">
        <v>60987.130000000005</v>
      </c>
      <c r="E442" s="252">
        <v>467.0</v>
      </c>
      <c r="F442" s="522">
        <v>81850.0</v>
      </c>
      <c r="G442" s="523">
        <v>60365.28</v>
      </c>
      <c r="H442" s="252">
        <v>647.0</v>
      </c>
      <c r="I442" s="522">
        <v>108725.0</v>
      </c>
      <c r="J442" s="523">
        <v>83750.12999999999</v>
      </c>
      <c r="K442" s="252">
        <v>661.0</v>
      </c>
      <c r="L442" s="522">
        <v>109560.0</v>
      </c>
      <c r="M442" s="523">
        <v>83862.32</v>
      </c>
      <c r="N442" s="252">
        <v>474.0</v>
      </c>
      <c r="O442" s="522">
        <v>70264.95000000001</v>
      </c>
      <c r="P442" s="523">
        <v>53721.70000000001</v>
      </c>
      <c r="Q442" s="252">
        <v>152.0</v>
      </c>
      <c r="R442" s="522">
        <v>19165.469999999972</v>
      </c>
      <c r="S442" s="523">
        <v>13954.829999999973</v>
      </c>
      <c r="T442" s="252">
        <v>193.0</v>
      </c>
      <c r="U442" s="522">
        <v>23700.0</v>
      </c>
      <c r="V442" s="523">
        <v>17337.0</v>
      </c>
      <c r="W442" s="252">
        <v>139.0</v>
      </c>
      <c r="X442" s="522">
        <v>17125.0</v>
      </c>
      <c r="Y442" s="523">
        <v>12648.740000000005</v>
      </c>
    </row>
    <row r="443" ht="14.25" customHeight="1">
      <c r="A443" s="480" t="s">
        <v>163</v>
      </c>
      <c r="B443" s="486"/>
      <c r="C443" s="48"/>
      <c r="D443" s="516">
        <v>0.7444718017578126</v>
      </c>
      <c r="E443" s="486"/>
      <c r="F443" s="48"/>
      <c r="G443" s="516">
        <v>0.7375110568112401</v>
      </c>
      <c r="H443" s="486"/>
      <c r="I443" s="48"/>
      <c r="J443" s="516">
        <v>0.7702932168314555</v>
      </c>
      <c r="K443" s="486"/>
      <c r="L443" s="48"/>
      <c r="M443" s="516">
        <v>0.7654465133260314</v>
      </c>
      <c r="N443" s="486"/>
      <c r="O443" s="48"/>
      <c r="P443" s="516">
        <v>0.7645590013228502</v>
      </c>
      <c r="Q443" s="486"/>
      <c r="R443" s="48"/>
      <c r="S443" s="516">
        <v>0.7281235471919025</v>
      </c>
      <c r="T443" s="486"/>
      <c r="U443" s="48"/>
      <c r="V443" s="516">
        <v>0.7315189873417721</v>
      </c>
      <c r="W443" s="486"/>
      <c r="X443" s="48"/>
      <c r="Y443" s="516">
        <v>0.7386125547445258</v>
      </c>
    </row>
    <row r="444" ht="14.25" customHeight="1">
      <c r="A444" s="471"/>
      <c r="B444" s="622"/>
      <c r="C444" s="652"/>
      <c r="D444" s="614"/>
      <c r="E444" s="622"/>
      <c r="F444" s="652"/>
      <c r="G444" s="614"/>
      <c r="H444" s="622"/>
      <c r="I444" s="652"/>
      <c r="J444" s="614"/>
      <c r="K444" s="622"/>
      <c r="L444" s="652"/>
      <c r="M444" s="614"/>
      <c r="N444" s="622"/>
      <c r="O444" s="652"/>
      <c r="P444" s="614"/>
      <c r="Q444" s="622"/>
      <c r="R444" s="652"/>
      <c r="S444" s="614"/>
      <c r="T444" s="622"/>
      <c r="U444" s="652">
        <v>122.79792746113989</v>
      </c>
      <c r="V444" s="614"/>
      <c r="W444" s="622"/>
      <c r="X444" s="652">
        <v>123.20143884892086</v>
      </c>
      <c r="Y444" s="614"/>
    </row>
    <row r="445" ht="14.25" customHeight="1">
      <c r="A445" s="466" t="s">
        <v>1029</v>
      </c>
      <c r="B445" s="252">
        <v>0.0</v>
      </c>
      <c r="C445" s="483">
        <v>1950.0</v>
      </c>
      <c r="D445" s="484">
        <v>1468.24</v>
      </c>
      <c r="E445" s="252">
        <v>2.0</v>
      </c>
      <c r="F445" s="483">
        <v>300.0</v>
      </c>
      <c r="G445" s="484">
        <v>187.67999999999995</v>
      </c>
      <c r="H445" s="252">
        <v>2.0</v>
      </c>
      <c r="I445" s="483">
        <v>300.0</v>
      </c>
      <c r="J445" s="484">
        <v>229.62</v>
      </c>
      <c r="K445" s="252">
        <v>1.0</v>
      </c>
      <c r="L445" s="483">
        <v>150.0</v>
      </c>
      <c r="M445" s="484">
        <v>108.69000000000005</v>
      </c>
      <c r="N445" s="252">
        <v>3.0</v>
      </c>
      <c r="O445" s="483">
        <v>390.0</v>
      </c>
      <c r="P445" s="484">
        <v>265.24</v>
      </c>
      <c r="Q445" s="252">
        <v>0.0</v>
      </c>
      <c r="R445" s="483">
        <v>0.0</v>
      </c>
      <c r="S445" s="484">
        <v>0.0</v>
      </c>
      <c r="T445" s="252">
        <v>5.0</v>
      </c>
      <c r="U445" s="483">
        <v>630.5</v>
      </c>
      <c r="V445" s="484">
        <v>453.29999999999995</v>
      </c>
      <c r="W445" s="252">
        <v>5.0</v>
      </c>
      <c r="X445" s="483">
        <v>750.0</v>
      </c>
      <c r="Y445" s="484">
        <v>536.94</v>
      </c>
    </row>
    <row r="446" ht="14.25" customHeight="1">
      <c r="A446" s="480" t="s">
        <v>163</v>
      </c>
      <c r="B446" s="486"/>
      <c r="C446" s="48"/>
      <c r="D446" s="516">
        <v>0.7529435897435898</v>
      </c>
      <c r="E446" s="486"/>
      <c r="F446" s="48"/>
      <c r="G446" s="516">
        <v>0.6255999999999998</v>
      </c>
      <c r="H446" s="486"/>
      <c r="I446" s="48"/>
      <c r="J446" s="516">
        <v>0.7654</v>
      </c>
      <c r="K446" s="486"/>
      <c r="L446" s="48"/>
      <c r="M446" s="516">
        <v>0.7246000000000004</v>
      </c>
      <c r="N446" s="486"/>
      <c r="O446" s="48"/>
      <c r="P446" s="516">
        <v>0.6801025641025641</v>
      </c>
      <c r="Q446" s="486"/>
      <c r="R446" s="48"/>
      <c r="S446" s="516">
        <v>0.0</v>
      </c>
      <c r="T446" s="486"/>
      <c r="U446" s="48"/>
      <c r="V446" s="516">
        <v>0.7189532117367168</v>
      </c>
      <c r="W446" s="486"/>
      <c r="X446" s="48"/>
      <c r="Y446" s="516">
        <v>0.7159200000000001</v>
      </c>
    </row>
    <row r="447" ht="14.25" customHeight="1">
      <c r="A447" s="480"/>
      <c r="B447" s="486"/>
      <c r="C447" s="48"/>
      <c r="D447" s="516"/>
      <c r="E447" s="486"/>
      <c r="F447" s="48"/>
      <c r="G447" s="516"/>
      <c r="H447" s="486"/>
      <c r="I447" s="48"/>
      <c r="J447" s="516"/>
      <c r="K447" s="486"/>
      <c r="L447" s="48"/>
      <c r="M447" s="516"/>
      <c r="N447" s="486"/>
      <c r="O447" s="48"/>
      <c r="P447" s="516"/>
      <c r="Q447" s="486"/>
      <c r="R447" s="48"/>
      <c r="S447" s="516"/>
      <c r="T447" s="486"/>
      <c r="U447" s="48">
        <v>126.1</v>
      </c>
      <c r="V447" s="516"/>
      <c r="W447" s="486"/>
      <c r="X447" s="48">
        <v>150.0</v>
      </c>
      <c r="Y447" s="516"/>
    </row>
    <row r="448" ht="14.25" customHeight="1">
      <c r="A448" s="480" t="s">
        <v>1030</v>
      </c>
      <c r="B448" s="486"/>
      <c r="C448" s="48"/>
      <c r="D448" s="516"/>
      <c r="E448" s="486"/>
      <c r="F448" s="48"/>
      <c r="G448" s="516"/>
      <c r="H448" s="486"/>
      <c r="I448" s="48"/>
      <c r="J448" s="516"/>
      <c r="K448" s="486"/>
      <c r="L448" s="48"/>
      <c r="M448" s="516"/>
      <c r="N448" s="486"/>
      <c r="O448" s="48"/>
      <c r="P448" s="516"/>
      <c r="Q448" s="486"/>
      <c r="R448" s="48"/>
      <c r="S448" s="516"/>
      <c r="T448" s="486"/>
      <c r="U448" s="48"/>
      <c r="V448" s="516">
        <v>-1417.39</v>
      </c>
      <c r="W448" s="486"/>
      <c r="X448" s="48"/>
      <c r="Y448" s="516">
        <v>-2023.32</v>
      </c>
    </row>
    <row r="449" ht="14.25" customHeight="1">
      <c r="A449" s="480"/>
      <c r="B449" s="610"/>
      <c r="C449" s="41"/>
      <c r="D449" s="611"/>
      <c r="E449" s="610"/>
      <c r="F449" s="41"/>
      <c r="G449" s="611"/>
      <c r="H449" s="610"/>
      <c r="I449" s="41"/>
      <c r="J449" s="611"/>
      <c r="K449" s="610"/>
      <c r="L449" s="41"/>
      <c r="M449" s="611"/>
      <c r="N449" s="610"/>
      <c r="O449" s="41"/>
      <c r="P449" s="611"/>
      <c r="Q449" s="610"/>
      <c r="R449" s="41"/>
      <c r="S449" s="611"/>
      <c r="T449" s="610"/>
      <c r="U449" s="41"/>
      <c r="V449" s="611"/>
      <c r="W449" s="610"/>
      <c r="X449" s="41"/>
      <c r="Y449" s="611"/>
    </row>
    <row r="450" ht="14.25" customHeight="1">
      <c r="A450" s="526" t="s">
        <v>1032</v>
      </c>
      <c r="B450" s="530"/>
      <c r="C450" s="527">
        <v>83870.0</v>
      </c>
      <c r="D450" s="529">
        <v>62455.37</v>
      </c>
      <c r="E450" s="530"/>
      <c r="F450" s="527">
        <v>82150.0</v>
      </c>
      <c r="G450" s="529">
        <v>60552.96</v>
      </c>
      <c r="H450" s="530"/>
      <c r="I450" s="527">
        <v>109025.0</v>
      </c>
      <c r="J450" s="529">
        <v>83979.74999999999</v>
      </c>
      <c r="K450" s="530"/>
      <c r="L450" s="527">
        <v>109710.0</v>
      </c>
      <c r="M450" s="529">
        <v>83971.01000000001</v>
      </c>
      <c r="N450" s="530"/>
      <c r="O450" s="527">
        <v>96967.45000000001</v>
      </c>
      <c r="P450" s="529">
        <v>74172.33000000002</v>
      </c>
      <c r="Q450" s="530"/>
      <c r="R450" s="527">
        <v>89985.46999999997</v>
      </c>
      <c r="S450" s="529">
        <v>66996.68999999997</v>
      </c>
      <c r="T450" s="530"/>
      <c r="U450" s="527">
        <v>93855.5</v>
      </c>
      <c r="V450" s="529">
        <v>66963.58</v>
      </c>
      <c r="W450" s="530"/>
      <c r="X450" s="527">
        <v>71752.5</v>
      </c>
      <c r="Y450" s="529">
        <v>49579.84000000001</v>
      </c>
    </row>
    <row r="451" ht="14.25" customHeight="1">
      <c r="A451" s="531"/>
      <c r="B451" s="531"/>
      <c r="C451" s="534"/>
      <c r="D451" s="538">
        <v>0.7446687731012281</v>
      </c>
      <c r="E451" s="531"/>
      <c r="F451" s="534"/>
      <c r="G451" s="538">
        <v>0.7371023737066342</v>
      </c>
      <c r="H451" s="531"/>
      <c r="I451" s="534"/>
      <c r="J451" s="538">
        <v>0.7702797523503783</v>
      </c>
      <c r="K451" s="531"/>
      <c r="L451" s="534"/>
      <c r="M451" s="538">
        <v>0.7653906663020692</v>
      </c>
      <c r="N451" s="531"/>
      <c r="O451" s="534"/>
      <c r="P451" s="538">
        <v>0.7649198777527924</v>
      </c>
      <c r="Q451" s="531"/>
      <c r="R451" s="534"/>
      <c r="S451" s="538">
        <v>0.7445278665544559</v>
      </c>
      <c r="T451" s="531"/>
      <c r="U451" s="534"/>
      <c r="V451" s="538">
        <v>0.7134752891412863</v>
      </c>
      <c r="W451" s="531"/>
      <c r="X451" s="534"/>
      <c r="Y451" s="538">
        <v>0.6909841468938366</v>
      </c>
    </row>
    <row r="452" ht="14.25" customHeight="1">
      <c r="A452" s="541"/>
      <c r="B452" s="480"/>
      <c r="C452" s="48"/>
      <c r="D452" s="514"/>
      <c r="E452" s="480"/>
      <c r="F452" s="48"/>
      <c r="G452" s="514"/>
      <c r="H452" s="480"/>
      <c r="I452" s="48"/>
      <c r="J452" s="514"/>
      <c r="K452" s="480"/>
      <c r="L452" s="48"/>
      <c r="M452" s="514"/>
      <c r="N452" s="480"/>
      <c r="O452" s="48"/>
      <c r="P452" s="514"/>
      <c r="Q452" s="480"/>
      <c r="R452" s="48"/>
      <c r="S452" s="514"/>
      <c r="T452" s="480"/>
      <c r="U452" s="48"/>
      <c r="V452" s="514"/>
      <c r="W452" s="480"/>
      <c r="X452" s="48"/>
      <c r="Y452" s="514"/>
    </row>
    <row r="453" ht="14.25" customHeight="1">
      <c r="A453" s="541" t="s">
        <v>110</v>
      </c>
      <c r="B453" s="480"/>
      <c r="C453" s="48"/>
      <c r="D453" s="514"/>
      <c r="E453" s="480"/>
      <c r="F453" s="48"/>
      <c r="G453" s="514"/>
      <c r="H453" s="480"/>
      <c r="I453" s="48"/>
      <c r="J453" s="514"/>
      <c r="K453" s="480"/>
      <c r="L453" s="48"/>
      <c r="M453" s="514"/>
      <c r="N453" s="480"/>
      <c r="O453" s="48"/>
      <c r="P453" s="514"/>
      <c r="Q453" s="480"/>
      <c r="R453" s="48"/>
      <c r="S453" s="514"/>
      <c r="T453" s="480"/>
      <c r="U453" s="48"/>
      <c r="V453" s="514"/>
      <c r="W453" s="480"/>
      <c r="X453" s="48"/>
      <c r="Y453" s="514"/>
    </row>
    <row r="454" ht="14.25" customHeight="1">
      <c r="A454" s="559" t="s">
        <v>119</v>
      </c>
      <c r="B454" s="480"/>
      <c r="C454" s="48"/>
      <c r="D454" s="484">
        <v>0.0</v>
      </c>
      <c r="E454" s="480"/>
      <c r="F454" s="48"/>
      <c r="G454" s="484">
        <v>0.0</v>
      </c>
      <c r="H454" s="480"/>
      <c r="I454" s="48"/>
      <c r="J454" s="484">
        <v>0.0</v>
      </c>
      <c r="K454" s="480"/>
      <c r="L454" s="48"/>
      <c r="M454" s="484">
        <v>0.0</v>
      </c>
      <c r="N454" s="480"/>
      <c r="O454" s="48"/>
      <c r="P454" s="484">
        <v>0.0</v>
      </c>
      <c r="Q454" s="480"/>
      <c r="R454" s="48"/>
      <c r="S454" s="484">
        <v>1560.0</v>
      </c>
      <c r="T454" s="480"/>
      <c r="U454" s="48"/>
      <c r="V454" s="484">
        <v>540.0</v>
      </c>
      <c r="W454" s="480"/>
      <c r="X454" s="48"/>
      <c r="Y454" s="484">
        <v>0.0</v>
      </c>
    </row>
    <row r="455" ht="14.25" customHeight="1">
      <c r="A455" s="560" t="s">
        <v>120</v>
      </c>
      <c r="B455" s="480"/>
      <c r="C455" s="48"/>
      <c r="D455" s="476">
        <v>0.0</v>
      </c>
      <c r="E455" s="480"/>
      <c r="F455" s="48"/>
      <c r="G455" s="476">
        <v>0.0</v>
      </c>
      <c r="H455" s="480"/>
      <c r="I455" s="48"/>
      <c r="J455" s="476">
        <v>0.0</v>
      </c>
      <c r="K455" s="480"/>
      <c r="L455" s="48"/>
      <c r="M455" s="476">
        <v>0.0</v>
      </c>
      <c r="N455" s="480"/>
      <c r="O455" s="48"/>
      <c r="P455" s="476">
        <v>8313.88</v>
      </c>
      <c r="Q455" s="480"/>
      <c r="R455" s="48"/>
      <c r="S455" s="476">
        <v>7349.160000000002</v>
      </c>
      <c r="T455" s="480"/>
      <c r="U455" s="48"/>
      <c r="V455" s="476">
        <v>8742.939999999999</v>
      </c>
      <c r="W455" s="480"/>
      <c r="X455" s="48"/>
      <c r="Y455" s="476">
        <v>4410.970000000001</v>
      </c>
    </row>
    <row r="456" ht="14.25" customHeight="1">
      <c r="A456" s="559" t="s">
        <v>121</v>
      </c>
      <c r="B456" s="466"/>
      <c r="C456" s="562"/>
      <c r="D456" s="484">
        <v>0.0</v>
      </c>
      <c r="E456" s="466"/>
      <c r="F456" s="562"/>
      <c r="G456" s="484">
        <v>0.0</v>
      </c>
      <c r="H456" s="466"/>
      <c r="I456" s="562"/>
      <c r="J456" s="484">
        <v>0.0</v>
      </c>
      <c r="K456" s="466"/>
      <c r="L456" s="562"/>
      <c r="M456" s="484">
        <v>0.0</v>
      </c>
      <c r="N456" s="466"/>
      <c r="O456" s="562"/>
      <c r="P456" s="484">
        <v>0.0</v>
      </c>
      <c r="Q456" s="466"/>
      <c r="R456" s="562"/>
      <c r="S456" s="484">
        <v>0.0</v>
      </c>
      <c r="T456" s="466"/>
      <c r="U456" s="562"/>
      <c r="V456" s="484">
        <v>1646.34</v>
      </c>
      <c r="W456" s="466"/>
      <c r="X456" s="562"/>
      <c r="Y456" s="484">
        <v>375.0</v>
      </c>
    </row>
    <row r="457" ht="14.25" customHeight="1">
      <c r="A457" s="559" t="s">
        <v>122</v>
      </c>
      <c r="B457" s="480"/>
      <c r="C457" s="48"/>
      <c r="D457" s="484">
        <v>0.0</v>
      </c>
      <c r="E457" s="480"/>
      <c r="F457" s="48"/>
      <c r="G457" s="484">
        <v>0.0</v>
      </c>
      <c r="H457" s="480"/>
      <c r="I457" s="48"/>
      <c r="J457" s="484">
        <v>0.0</v>
      </c>
      <c r="K457" s="480"/>
      <c r="L457" s="48"/>
      <c r="M457" s="484">
        <v>0.0</v>
      </c>
      <c r="N457" s="480"/>
      <c r="O457" s="48"/>
      <c r="P457" s="484">
        <v>0.0</v>
      </c>
      <c r="Q457" s="480"/>
      <c r="R457" s="48"/>
      <c r="S457" s="484">
        <v>0.0</v>
      </c>
      <c r="T457" s="480"/>
      <c r="U457" s="48"/>
      <c r="V457" s="484">
        <v>0.0</v>
      </c>
      <c r="W457" s="480"/>
      <c r="X457" s="48"/>
      <c r="Y457" s="484">
        <v>0.0</v>
      </c>
    </row>
    <row r="458" ht="14.25" customHeight="1">
      <c r="A458" s="480" t="s">
        <v>56</v>
      </c>
      <c r="B458" s="480"/>
      <c r="C458" s="48"/>
      <c r="D458" s="484">
        <v>0.0</v>
      </c>
      <c r="E458" s="480"/>
      <c r="F458" s="48"/>
      <c r="G458" s="484">
        <v>0.0</v>
      </c>
      <c r="H458" s="480"/>
      <c r="I458" s="48"/>
      <c r="J458" s="484">
        <v>0.0</v>
      </c>
      <c r="K458" s="480"/>
      <c r="L458" s="48"/>
      <c r="M458" s="484">
        <v>0.0</v>
      </c>
      <c r="N458" s="480"/>
      <c r="O458" s="48"/>
      <c r="P458" s="484">
        <v>0.0</v>
      </c>
      <c r="Q458" s="480"/>
      <c r="R458" s="48"/>
      <c r="S458" s="484">
        <v>0.0</v>
      </c>
      <c r="T458" s="480"/>
      <c r="U458" s="48"/>
      <c r="V458" s="484">
        <v>0.0</v>
      </c>
      <c r="W458" s="480"/>
      <c r="X458" s="48"/>
      <c r="Y458" s="484">
        <v>0.0</v>
      </c>
    </row>
    <row r="459" ht="14.25" customHeight="1">
      <c r="A459" s="480" t="s">
        <v>56</v>
      </c>
      <c r="B459" s="480"/>
      <c r="C459" s="48"/>
      <c r="D459" s="484">
        <v>0.0</v>
      </c>
      <c r="E459" s="480"/>
      <c r="F459" s="48"/>
      <c r="G459" s="484">
        <v>0.0</v>
      </c>
      <c r="H459" s="480"/>
      <c r="I459" s="48"/>
      <c r="J459" s="484">
        <v>0.0</v>
      </c>
      <c r="K459" s="480"/>
      <c r="L459" s="48"/>
      <c r="M459" s="484">
        <v>0.0</v>
      </c>
      <c r="N459" s="480"/>
      <c r="O459" s="48"/>
      <c r="P459" s="484">
        <v>0.0</v>
      </c>
      <c r="Q459" s="480"/>
      <c r="R459" s="48"/>
      <c r="S459" s="484">
        <v>0.0</v>
      </c>
      <c r="T459" s="480"/>
      <c r="U459" s="48"/>
      <c r="V459" s="484">
        <v>0.0</v>
      </c>
      <c r="W459" s="480"/>
      <c r="X459" s="48"/>
      <c r="Y459" s="484">
        <v>0.0</v>
      </c>
    </row>
    <row r="460" ht="14.25" customHeight="1">
      <c r="A460" s="480" t="s">
        <v>56</v>
      </c>
      <c r="B460" s="480"/>
      <c r="C460" s="48"/>
      <c r="D460" s="484">
        <v>0.0</v>
      </c>
      <c r="E460" s="480"/>
      <c r="F460" s="48"/>
      <c r="G460" s="484">
        <v>0.0</v>
      </c>
      <c r="H460" s="480"/>
      <c r="I460" s="48"/>
      <c r="J460" s="484">
        <v>0.0</v>
      </c>
      <c r="K460" s="480"/>
      <c r="L460" s="48"/>
      <c r="M460" s="484">
        <v>0.0</v>
      </c>
      <c r="N460" s="480"/>
      <c r="O460" s="48"/>
      <c r="P460" s="484">
        <v>0.0</v>
      </c>
      <c r="Q460" s="480"/>
      <c r="R460" s="48"/>
      <c r="S460" s="484">
        <v>0.0</v>
      </c>
      <c r="T460" s="480"/>
      <c r="U460" s="48"/>
      <c r="V460" s="484">
        <v>0.0</v>
      </c>
      <c r="W460" s="480"/>
      <c r="X460" s="48"/>
      <c r="Y460" s="484">
        <v>0.0</v>
      </c>
    </row>
    <row r="461" ht="14.25" customHeight="1">
      <c r="A461" s="560" t="s">
        <v>123</v>
      </c>
      <c r="B461" s="480"/>
      <c r="C461" s="48"/>
      <c r="D461" s="476">
        <v>0.0</v>
      </c>
      <c r="E461" s="480"/>
      <c r="F461" s="48"/>
      <c r="G461" s="476">
        <v>0.0</v>
      </c>
      <c r="H461" s="480"/>
      <c r="I461" s="48"/>
      <c r="J461" s="476">
        <v>0.0</v>
      </c>
      <c r="K461" s="480"/>
      <c r="L461" s="48"/>
      <c r="M461" s="476">
        <v>0.0</v>
      </c>
      <c r="N461" s="480"/>
      <c r="O461" s="48"/>
      <c r="P461" s="476">
        <v>0.0</v>
      </c>
      <c r="Q461" s="480"/>
      <c r="R461" s="48"/>
      <c r="S461" s="476">
        <v>4902.36</v>
      </c>
      <c r="T461" s="480"/>
      <c r="U461" s="48"/>
      <c r="V461" s="476">
        <v>5220.0199999999995</v>
      </c>
      <c r="W461" s="480"/>
      <c r="X461" s="48"/>
      <c r="Y461" s="476">
        <v>3742.17</v>
      </c>
    </row>
    <row r="462" ht="14.25" customHeight="1">
      <c r="A462" s="559" t="s">
        <v>124</v>
      </c>
      <c r="B462" s="466"/>
      <c r="C462" s="562"/>
      <c r="D462" s="484">
        <v>0.0</v>
      </c>
      <c r="E462" s="466"/>
      <c r="F462" s="562"/>
      <c r="G462" s="484">
        <v>0.0</v>
      </c>
      <c r="H462" s="466"/>
      <c r="I462" s="562"/>
      <c r="J462" s="484">
        <v>0.0</v>
      </c>
      <c r="K462" s="466"/>
      <c r="L462" s="562"/>
      <c r="M462" s="484">
        <v>0.0</v>
      </c>
      <c r="N462" s="466"/>
      <c r="O462" s="562"/>
      <c r="P462" s="484">
        <v>0.0</v>
      </c>
      <c r="Q462" s="466"/>
      <c r="R462" s="562"/>
      <c r="S462" s="484">
        <v>4971.96</v>
      </c>
      <c r="T462" s="466"/>
      <c r="U462" s="562"/>
      <c r="V462" s="484">
        <v>5081.070000000001</v>
      </c>
      <c r="W462" s="466"/>
      <c r="X462" s="562"/>
      <c r="Y462" s="484">
        <v>4901.619999999999</v>
      </c>
    </row>
    <row r="463" ht="14.25" customHeight="1">
      <c r="A463" s="559" t="s">
        <v>125</v>
      </c>
      <c r="B463" s="480"/>
      <c r="C463" s="48"/>
      <c r="D463" s="484">
        <v>0.0</v>
      </c>
      <c r="E463" s="480"/>
      <c r="F463" s="48"/>
      <c r="G463" s="484">
        <v>0.0</v>
      </c>
      <c r="H463" s="480"/>
      <c r="I463" s="48"/>
      <c r="J463" s="484">
        <v>0.0</v>
      </c>
      <c r="K463" s="480"/>
      <c r="L463" s="48"/>
      <c r="M463" s="484">
        <v>0.0</v>
      </c>
      <c r="N463" s="480"/>
      <c r="O463" s="48"/>
      <c r="P463" s="484">
        <v>0.0</v>
      </c>
      <c r="Q463" s="480"/>
      <c r="R463" s="48"/>
      <c r="S463" s="484">
        <v>1046.9</v>
      </c>
      <c r="T463" s="480"/>
      <c r="U463" s="48"/>
      <c r="V463" s="484">
        <v>1069.58</v>
      </c>
      <c r="W463" s="480"/>
      <c r="X463" s="48"/>
      <c r="Y463" s="484">
        <v>1280.1999999999998</v>
      </c>
    </row>
    <row r="464" ht="14.25" customHeight="1">
      <c r="A464" s="559" t="s">
        <v>126</v>
      </c>
      <c r="B464" s="480"/>
      <c r="C464" s="48"/>
      <c r="D464" s="484">
        <v>0.0</v>
      </c>
      <c r="E464" s="480"/>
      <c r="F464" s="48"/>
      <c r="G464" s="484">
        <v>0.0</v>
      </c>
      <c r="H464" s="480"/>
      <c r="I464" s="48"/>
      <c r="J464" s="484">
        <v>0.0</v>
      </c>
      <c r="K464" s="480"/>
      <c r="L464" s="48"/>
      <c r="M464" s="484">
        <v>0.0</v>
      </c>
      <c r="N464" s="480"/>
      <c r="O464" s="48"/>
      <c r="P464" s="484">
        <v>0.0</v>
      </c>
      <c r="Q464" s="480"/>
      <c r="R464" s="48"/>
      <c r="S464" s="484">
        <v>665.01</v>
      </c>
      <c r="T464" s="480"/>
      <c r="U464" s="48"/>
      <c r="V464" s="484">
        <v>669.4300000000001</v>
      </c>
      <c r="W464" s="480"/>
      <c r="X464" s="48"/>
      <c r="Y464" s="484">
        <v>647.6299999999999</v>
      </c>
    </row>
    <row r="465" ht="14.25" customHeight="1">
      <c r="A465" s="480" t="s">
        <v>56</v>
      </c>
      <c r="B465" s="471"/>
      <c r="C465" s="564"/>
      <c r="D465" s="484">
        <v>0.0</v>
      </c>
      <c r="E465" s="471"/>
      <c r="F465" s="564"/>
      <c r="G465" s="484">
        <v>0.0</v>
      </c>
      <c r="H465" s="471"/>
      <c r="I465" s="564"/>
      <c r="J465" s="484">
        <v>0.0</v>
      </c>
      <c r="K465" s="471"/>
      <c r="L465" s="564"/>
      <c r="M465" s="484">
        <v>0.0</v>
      </c>
      <c r="N465" s="471"/>
      <c r="O465" s="564"/>
      <c r="P465" s="484">
        <v>0.0</v>
      </c>
      <c r="Q465" s="471"/>
      <c r="R465" s="564"/>
      <c r="S465" s="484">
        <v>0.0</v>
      </c>
      <c r="T465" s="471"/>
      <c r="U465" s="564"/>
      <c r="V465" s="484">
        <v>0.0</v>
      </c>
      <c r="W465" s="471"/>
      <c r="X465" s="564"/>
      <c r="Y465" s="484">
        <v>0.0</v>
      </c>
    </row>
    <row r="466" ht="14.25" customHeight="1">
      <c r="A466" s="552" t="s">
        <v>127</v>
      </c>
      <c r="B466" s="556" t="s">
        <v>225</v>
      </c>
      <c r="C466" s="554">
        <v>0.0</v>
      </c>
      <c r="D466" s="555">
        <v>0.0</v>
      </c>
      <c r="E466" s="556" t="s">
        <v>225</v>
      </c>
      <c r="F466" s="554">
        <v>0.0</v>
      </c>
      <c r="G466" s="555">
        <v>0.0</v>
      </c>
      <c r="H466" s="556" t="s">
        <v>225</v>
      </c>
      <c r="I466" s="554">
        <v>0.0</v>
      </c>
      <c r="J466" s="555">
        <v>0.0</v>
      </c>
      <c r="K466" s="556" t="s">
        <v>225</v>
      </c>
      <c r="L466" s="554">
        <v>0.0</v>
      </c>
      <c r="M466" s="555">
        <v>0.0</v>
      </c>
      <c r="N466" s="556" t="s">
        <v>225</v>
      </c>
      <c r="O466" s="554">
        <v>0.11208869938425822</v>
      </c>
      <c r="P466" s="555">
        <v>8313.88</v>
      </c>
      <c r="Q466" s="556" t="s">
        <v>225</v>
      </c>
      <c r="R466" s="554">
        <v>0.30591645646971527</v>
      </c>
      <c r="S466" s="555">
        <v>20495.39</v>
      </c>
      <c r="T466" s="556" t="s">
        <v>225</v>
      </c>
      <c r="U466" s="554">
        <v>0.34301302289991065</v>
      </c>
      <c r="V466" s="555">
        <v>22969.379999999997</v>
      </c>
      <c r="W466" s="556" t="s">
        <v>225</v>
      </c>
      <c r="X466" s="554">
        <v>0.3097547309551623</v>
      </c>
      <c r="Y466" s="555">
        <v>15357.589999999998</v>
      </c>
    </row>
    <row r="467" ht="14.25" customHeight="1">
      <c r="A467" s="654" t="s">
        <v>128</v>
      </c>
      <c r="B467" s="480"/>
      <c r="C467" s="48"/>
      <c r="D467" s="484">
        <v>0.0</v>
      </c>
      <c r="E467" s="480"/>
      <c r="F467" s="48"/>
      <c r="G467" s="484">
        <v>0.0</v>
      </c>
      <c r="H467" s="480"/>
      <c r="I467" s="48"/>
      <c r="J467" s="484">
        <v>0.0</v>
      </c>
      <c r="K467" s="480"/>
      <c r="L467" s="48"/>
      <c r="M467" s="484">
        <v>0.0</v>
      </c>
      <c r="N467" s="480"/>
      <c r="O467" s="48"/>
      <c r="P467" s="484">
        <v>0.0</v>
      </c>
      <c r="Q467" s="480"/>
      <c r="R467" s="48"/>
      <c r="S467" s="484">
        <v>0.0</v>
      </c>
      <c r="T467" s="480"/>
      <c r="U467" s="48"/>
      <c r="V467" s="484">
        <v>0.0</v>
      </c>
      <c r="W467" s="480"/>
      <c r="X467" s="48"/>
      <c r="Y467" s="484">
        <v>0.0</v>
      </c>
    </row>
    <row r="468" ht="14.25" customHeight="1">
      <c r="A468" s="559" t="s">
        <v>129</v>
      </c>
      <c r="B468" s="480"/>
      <c r="C468" s="48"/>
      <c r="D468" s="484">
        <v>0.0</v>
      </c>
      <c r="E468" s="480"/>
      <c r="F468" s="48"/>
      <c r="G468" s="484">
        <v>0.0</v>
      </c>
      <c r="H468" s="480"/>
      <c r="I468" s="48"/>
      <c r="J468" s="484">
        <v>0.0</v>
      </c>
      <c r="K468" s="480"/>
      <c r="L468" s="48"/>
      <c r="M468" s="484">
        <v>0.0</v>
      </c>
      <c r="N468" s="480"/>
      <c r="O468" s="48"/>
      <c r="P468" s="484">
        <v>0.0</v>
      </c>
      <c r="Q468" s="480"/>
      <c r="R468" s="48"/>
      <c r="S468" s="484">
        <v>80.48</v>
      </c>
      <c r="T468" s="480"/>
      <c r="U468" s="48"/>
      <c r="V468" s="484">
        <v>0.0</v>
      </c>
      <c r="W468" s="480"/>
      <c r="X468" s="48"/>
      <c r="Y468" s="484">
        <v>0.0</v>
      </c>
    </row>
    <row r="469" ht="14.25" customHeight="1">
      <c r="A469" s="560" t="s">
        <v>130</v>
      </c>
      <c r="B469" s="471"/>
      <c r="C469" s="564"/>
      <c r="D469" s="476">
        <v>0.0</v>
      </c>
      <c r="E469" s="471"/>
      <c r="F469" s="564"/>
      <c r="G469" s="476">
        <v>0.0</v>
      </c>
      <c r="H469" s="471"/>
      <c r="I469" s="564"/>
      <c r="J469" s="476">
        <v>0.0</v>
      </c>
      <c r="K469" s="471"/>
      <c r="L469" s="564"/>
      <c r="M469" s="476">
        <v>0.0</v>
      </c>
      <c r="N469" s="471"/>
      <c r="O469" s="564"/>
      <c r="P469" s="476">
        <v>0.0</v>
      </c>
      <c r="Q469" s="471"/>
      <c r="R469" s="564"/>
      <c r="S469" s="476">
        <v>0.0</v>
      </c>
      <c r="T469" s="471"/>
      <c r="U469" s="564"/>
      <c r="V469" s="476">
        <v>0.0</v>
      </c>
      <c r="W469" s="471"/>
      <c r="X469" s="564"/>
      <c r="Y469" s="476">
        <v>0.0</v>
      </c>
    </row>
    <row r="470" ht="14.25" customHeight="1">
      <c r="A470" s="559" t="s">
        <v>131</v>
      </c>
      <c r="B470" s="480"/>
      <c r="C470" s="48"/>
      <c r="D470" s="484">
        <v>0.0</v>
      </c>
      <c r="E470" s="480"/>
      <c r="F470" s="48"/>
      <c r="G470" s="484">
        <v>0.0</v>
      </c>
      <c r="H470" s="480"/>
      <c r="I470" s="48"/>
      <c r="J470" s="484">
        <v>0.0</v>
      </c>
      <c r="K470" s="480"/>
      <c r="L470" s="48"/>
      <c r="M470" s="484">
        <v>0.0</v>
      </c>
      <c r="N470" s="480"/>
      <c r="O470" s="48"/>
      <c r="P470" s="484">
        <v>0.0</v>
      </c>
      <c r="Q470" s="480"/>
      <c r="R470" s="48"/>
      <c r="S470" s="484">
        <v>0.0</v>
      </c>
      <c r="T470" s="480"/>
      <c r="U470" s="48"/>
      <c r="V470" s="484">
        <v>0.0</v>
      </c>
      <c r="W470" s="480"/>
      <c r="X470" s="48"/>
      <c r="Y470" s="484">
        <v>0.0</v>
      </c>
    </row>
    <row r="471" ht="14.25" customHeight="1">
      <c r="A471" s="559" t="s">
        <v>132</v>
      </c>
      <c r="B471" s="480"/>
      <c r="C471" s="48"/>
      <c r="D471" s="484">
        <v>0.0</v>
      </c>
      <c r="E471" s="480"/>
      <c r="F471" s="48"/>
      <c r="G471" s="484">
        <v>0.0</v>
      </c>
      <c r="H471" s="480"/>
      <c r="I471" s="48"/>
      <c r="J471" s="484">
        <v>0.0</v>
      </c>
      <c r="K471" s="480"/>
      <c r="L471" s="48"/>
      <c r="M471" s="484">
        <v>0.0</v>
      </c>
      <c r="N471" s="480"/>
      <c r="O471" s="48"/>
      <c r="P471" s="484">
        <v>0.0</v>
      </c>
      <c r="Q471" s="480"/>
      <c r="R471" s="48"/>
      <c r="S471" s="484">
        <v>0.0</v>
      </c>
      <c r="T471" s="480"/>
      <c r="U471" s="48"/>
      <c r="V471" s="484">
        <v>0.0</v>
      </c>
      <c r="W471" s="480"/>
      <c r="X471" s="48"/>
      <c r="Y471" s="484">
        <v>0.0</v>
      </c>
    </row>
    <row r="472" ht="14.25" customHeight="1">
      <c r="A472" s="559" t="s">
        <v>133</v>
      </c>
      <c r="B472" s="471"/>
      <c r="C472" s="564"/>
      <c r="D472" s="476">
        <v>0.0</v>
      </c>
      <c r="E472" s="471"/>
      <c r="F472" s="564"/>
      <c r="G472" s="476">
        <v>0.0</v>
      </c>
      <c r="H472" s="471"/>
      <c r="I472" s="564"/>
      <c r="J472" s="476">
        <v>0.0</v>
      </c>
      <c r="K472" s="471"/>
      <c r="L472" s="564"/>
      <c r="M472" s="476">
        <v>0.0</v>
      </c>
      <c r="N472" s="471"/>
      <c r="O472" s="564"/>
      <c r="P472" s="476">
        <v>0.0</v>
      </c>
      <c r="Q472" s="471"/>
      <c r="R472" s="564"/>
      <c r="S472" s="476">
        <v>0.0</v>
      </c>
      <c r="T472" s="471"/>
      <c r="U472" s="564"/>
      <c r="V472" s="476">
        <v>0.0</v>
      </c>
      <c r="W472" s="471"/>
      <c r="X472" s="564"/>
      <c r="Y472" s="476">
        <v>0.0</v>
      </c>
    </row>
    <row r="473" ht="14.25" customHeight="1">
      <c r="A473" s="654" t="s">
        <v>134</v>
      </c>
      <c r="B473" s="480"/>
      <c r="C473" s="48"/>
      <c r="D473" s="484">
        <v>0.0</v>
      </c>
      <c r="E473" s="480"/>
      <c r="F473" s="48"/>
      <c r="G473" s="484">
        <v>0.0</v>
      </c>
      <c r="H473" s="480"/>
      <c r="I473" s="48"/>
      <c r="J473" s="484">
        <v>0.0</v>
      </c>
      <c r="K473" s="480"/>
      <c r="L473" s="48"/>
      <c r="M473" s="484">
        <v>0.0</v>
      </c>
      <c r="N473" s="480"/>
      <c r="O473" s="48"/>
      <c r="P473" s="484">
        <v>0.0</v>
      </c>
      <c r="Q473" s="480"/>
      <c r="R473" s="48"/>
      <c r="S473" s="484">
        <v>0.0</v>
      </c>
      <c r="T473" s="480"/>
      <c r="U473" s="48"/>
      <c r="V473" s="484">
        <v>0.0</v>
      </c>
      <c r="W473" s="480"/>
      <c r="X473" s="48"/>
      <c r="Y473" s="484">
        <v>0.0</v>
      </c>
    </row>
    <row r="474" ht="14.25" customHeight="1">
      <c r="A474" s="559" t="s">
        <v>135</v>
      </c>
      <c r="B474" s="480"/>
      <c r="C474" s="48"/>
      <c r="D474" s="484">
        <v>0.0</v>
      </c>
      <c r="E474" s="480"/>
      <c r="F474" s="48"/>
      <c r="G474" s="484">
        <v>0.0</v>
      </c>
      <c r="H474" s="480"/>
      <c r="I474" s="48"/>
      <c r="J474" s="484">
        <v>0.0</v>
      </c>
      <c r="K474" s="480"/>
      <c r="L474" s="48"/>
      <c r="M474" s="484">
        <v>0.0</v>
      </c>
      <c r="N474" s="480"/>
      <c r="O474" s="48"/>
      <c r="P474" s="484">
        <v>0.0</v>
      </c>
      <c r="Q474" s="480"/>
      <c r="R474" s="48"/>
      <c r="S474" s="484">
        <v>0.0</v>
      </c>
      <c r="T474" s="480"/>
      <c r="U474" s="48"/>
      <c r="V474" s="484">
        <v>0.0</v>
      </c>
      <c r="W474" s="480"/>
      <c r="X474" s="48"/>
      <c r="Y474" s="484">
        <v>435.59</v>
      </c>
    </row>
    <row r="475" ht="14.25" customHeight="1">
      <c r="A475" s="559" t="s">
        <v>136</v>
      </c>
      <c r="B475" s="480"/>
      <c r="C475" s="48"/>
      <c r="D475" s="484">
        <v>0.0</v>
      </c>
      <c r="E475" s="480"/>
      <c r="F475" s="48"/>
      <c r="G475" s="484">
        <v>0.0</v>
      </c>
      <c r="H475" s="480"/>
      <c r="I475" s="48"/>
      <c r="J475" s="484">
        <v>0.0</v>
      </c>
      <c r="K475" s="480"/>
      <c r="L475" s="48"/>
      <c r="M475" s="484">
        <v>0.0</v>
      </c>
      <c r="N475" s="480"/>
      <c r="O475" s="48"/>
      <c r="P475" s="484">
        <v>0.0</v>
      </c>
      <c r="Q475" s="480"/>
      <c r="R475" s="48"/>
      <c r="S475" s="484">
        <v>0.0</v>
      </c>
      <c r="T475" s="480"/>
      <c r="U475" s="48"/>
      <c r="V475" s="484">
        <v>0.0</v>
      </c>
      <c r="W475" s="480"/>
      <c r="X475" s="48"/>
      <c r="Y475" s="484">
        <v>0.0</v>
      </c>
    </row>
    <row r="476" ht="14.25" customHeight="1">
      <c r="A476" s="559" t="s">
        <v>137</v>
      </c>
      <c r="B476" s="480"/>
      <c r="C476" s="48"/>
      <c r="D476" s="484">
        <v>0.0</v>
      </c>
      <c r="E476" s="480"/>
      <c r="F476" s="48"/>
      <c r="G476" s="484">
        <v>0.0</v>
      </c>
      <c r="H476" s="480"/>
      <c r="I476" s="48"/>
      <c r="J476" s="484">
        <v>0.0</v>
      </c>
      <c r="K476" s="480"/>
      <c r="L476" s="48"/>
      <c r="M476" s="484">
        <v>0.0</v>
      </c>
      <c r="N476" s="480"/>
      <c r="O476" s="48"/>
      <c r="P476" s="484">
        <v>0.0</v>
      </c>
      <c r="Q476" s="480"/>
      <c r="R476" s="48"/>
      <c r="S476" s="484">
        <v>0.0</v>
      </c>
      <c r="T476" s="480"/>
      <c r="U476" s="48"/>
      <c r="V476" s="484">
        <v>0.0</v>
      </c>
      <c r="W476" s="480"/>
      <c r="X476" s="48"/>
      <c r="Y476" s="484">
        <v>0.0</v>
      </c>
    </row>
    <row r="477" ht="14.25" customHeight="1">
      <c r="A477" s="559" t="s">
        <v>138</v>
      </c>
      <c r="B477" s="480"/>
      <c r="C477" s="48"/>
      <c r="D477" s="484">
        <v>0.0</v>
      </c>
      <c r="E477" s="480"/>
      <c r="F477" s="48"/>
      <c r="G477" s="484">
        <v>0.0</v>
      </c>
      <c r="H477" s="480"/>
      <c r="I477" s="48"/>
      <c r="J477" s="484">
        <v>0.0</v>
      </c>
      <c r="K477" s="480"/>
      <c r="L477" s="48"/>
      <c r="M477" s="484">
        <v>0.0</v>
      </c>
      <c r="N477" s="480"/>
      <c r="O477" s="48"/>
      <c r="P477" s="484">
        <v>0.0</v>
      </c>
      <c r="Q477" s="480"/>
      <c r="R477" s="48"/>
      <c r="S477" s="484">
        <v>0.0</v>
      </c>
      <c r="T477" s="480"/>
      <c r="U477" s="48"/>
      <c r="V477" s="484">
        <v>0.0</v>
      </c>
      <c r="W477" s="480"/>
      <c r="X477" s="48"/>
      <c r="Y477" s="484">
        <v>0.0</v>
      </c>
    </row>
    <row r="478" ht="14.25" customHeight="1">
      <c r="A478" s="559" t="s">
        <v>139</v>
      </c>
      <c r="B478" s="480"/>
      <c r="C478" s="48"/>
      <c r="D478" s="484">
        <v>0.0</v>
      </c>
      <c r="E478" s="480"/>
      <c r="F478" s="48"/>
      <c r="G478" s="484">
        <v>0.0</v>
      </c>
      <c r="H478" s="480"/>
      <c r="I478" s="48"/>
      <c r="J478" s="484">
        <v>0.0</v>
      </c>
      <c r="K478" s="480"/>
      <c r="L478" s="48"/>
      <c r="M478" s="484">
        <v>0.0</v>
      </c>
      <c r="N478" s="480"/>
      <c r="O478" s="48"/>
      <c r="P478" s="484">
        <v>0.0</v>
      </c>
      <c r="Q478" s="480"/>
      <c r="R478" s="48"/>
      <c r="S478" s="484">
        <v>0.0</v>
      </c>
      <c r="T478" s="480"/>
      <c r="U478" s="48"/>
      <c r="V478" s="484">
        <v>0.0</v>
      </c>
      <c r="W478" s="480"/>
      <c r="X478" s="48"/>
      <c r="Y478" s="484">
        <v>0.0</v>
      </c>
    </row>
    <row r="479" ht="14.25" customHeight="1">
      <c r="A479" s="559" t="s">
        <v>140</v>
      </c>
      <c r="B479" s="480"/>
      <c r="C479" s="48"/>
      <c r="D479" s="484">
        <v>0.0</v>
      </c>
      <c r="E479" s="480"/>
      <c r="F479" s="48"/>
      <c r="G479" s="484">
        <v>0.0</v>
      </c>
      <c r="H479" s="480"/>
      <c r="I479" s="48"/>
      <c r="J479" s="484">
        <v>0.0</v>
      </c>
      <c r="K479" s="480"/>
      <c r="L479" s="48"/>
      <c r="M479" s="484">
        <v>0.0</v>
      </c>
      <c r="N479" s="480"/>
      <c r="O479" s="48"/>
      <c r="P479" s="484">
        <v>0.0</v>
      </c>
      <c r="Q479" s="480"/>
      <c r="R479" s="48"/>
      <c r="S479" s="484">
        <v>0.0</v>
      </c>
      <c r="T479" s="480"/>
      <c r="U479" s="48"/>
      <c r="V479" s="484">
        <v>2256.24</v>
      </c>
      <c r="W479" s="480"/>
      <c r="X479" s="48"/>
      <c r="Y479" s="484">
        <v>0.0</v>
      </c>
    </row>
    <row r="480" ht="14.25" customHeight="1">
      <c r="A480" s="559" t="s">
        <v>141</v>
      </c>
      <c r="B480" s="480"/>
      <c r="C480" s="48"/>
      <c r="D480" s="484">
        <v>0.0</v>
      </c>
      <c r="E480" s="480"/>
      <c r="F480" s="48"/>
      <c r="G480" s="484">
        <v>0.0</v>
      </c>
      <c r="H480" s="480"/>
      <c r="I480" s="48"/>
      <c r="J480" s="484">
        <v>0.0</v>
      </c>
      <c r="K480" s="480"/>
      <c r="L480" s="48"/>
      <c r="M480" s="484">
        <v>0.0</v>
      </c>
      <c r="N480" s="480"/>
      <c r="O480" s="48"/>
      <c r="P480" s="484">
        <v>0.0</v>
      </c>
      <c r="Q480" s="480"/>
      <c r="R480" s="48"/>
      <c r="S480" s="484">
        <v>0.0</v>
      </c>
      <c r="T480" s="480"/>
      <c r="U480" s="48"/>
      <c r="V480" s="484">
        <v>0.0</v>
      </c>
      <c r="W480" s="480"/>
      <c r="X480" s="48"/>
      <c r="Y480" s="484">
        <v>0.0</v>
      </c>
    </row>
    <row r="481" ht="14.25" customHeight="1">
      <c r="A481" s="559" t="s">
        <v>56</v>
      </c>
      <c r="B481" s="480"/>
      <c r="C481" s="48"/>
      <c r="D481" s="484">
        <v>0.0</v>
      </c>
      <c r="E481" s="480"/>
      <c r="F481" s="48"/>
      <c r="G481" s="484">
        <v>0.0</v>
      </c>
      <c r="H481" s="480"/>
      <c r="I481" s="48"/>
      <c r="J481" s="484">
        <v>0.0</v>
      </c>
      <c r="K481" s="480"/>
      <c r="L481" s="48"/>
      <c r="M481" s="484">
        <v>0.0</v>
      </c>
      <c r="N481" s="480"/>
      <c r="O481" s="48"/>
      <c r="P481" s="484">
        <v>0.0</v>
      </c>
      <c r="Q481" s="480"/>
      <c r="R481" s="48"/>
      <c r="S481" s="484">
        <v>0.0</v>
      </c>
      <c r="T481" s="480"/>
      <c r="U481" s="48"/>
      <c r="V481" s="484">
        <v>0.0</v>
      </c>
      <c r="W481" s="480"/>
      <c r="X481" s="48"/>
      <c r="Y481" s="484">
        <v>0.0</v>
      </c>
    </row>
    <row r="482" ht="14.25" customHeight="1">
      <c r="A482" s="559" t="s">
        <v>56</v>
      </c>
      <c r="B482" s="480"/>
      <c r="C482" s="48"/>
      <c r="D482" s="484">
        <v>0.0</v>
      </c>
      <c r="E482" s="480"/>
      <c r="F482" s="48"/>
      <c r="G482" s="484">
        <v>0.0</v>
      </c>
      <c r="H482" s="480"/>
      <c r="I482" s="48"/>
      <c r="J482" s="484">
        <v>0.0</v>
      </c>
      <c r="K482" s="480"/>
      <c r="L482" s="48"/>
      <c r="M482" s="484">
        <v>0.0</v>
      </c>
      <c r="N482" s="480"/>
      <c r="O482" s="48"/>
      <c r="P482" s="484">
        <v>0.0</v>
      </c>
      <c r="Q482" s="480"/>
      <c r="R482" s="48"/>
      <c r="S482" s="484">
        <v>0.0</v>
      </c>
      <c r="T482" s="480"/>
      <c r="U482" s="48"/>
      <c r="V482" s="484">
        <v>0.0</v>
      </c>
      <c r="W482" s="480"/>
      <c r="X482" s="48"/>
      <c r="Y482" s="484">
        <v>0.0</v>
      </c>
    </row>
    <row r="483" ht="14.25" customHeight="1">
      <c r="A483" s="559" t="s">
        <v>56</v>
      </c>
      <c r="B483" s="471"/>
      <c r="C483" s="564"/>
      <c r="D483" s="484">
        <v>0.0</v>
      </c>
      <c r="E483" s="471"/>
      <c r="F483" s="564"/>
      <c r="G483" s="484">
        <v>0.0</v>
      </c>
      <c r="H483" s="471"/>
      <c r="I483" s="564"/>
      <c r="J483" s="484">
        <v>0.0</v>
      </c>
      <c r="K483" s="471"/>
      <c r="L483" s="564"/>
      <c r="M483" s="484">
        <v>0.0</v>
      </c>
      <c r="N483" s="471"/>
      <c r="O483" s="564"/>
      <c r="P483" s="484">
        <v>0.0</v>
      </c>
      <c r="Q483" s="471"/>
      <c r="R483" s="564"/>
      <c r="S483" s="484">
        <v>0.0</v>
      </c>
      <c r="T483" s="471"/>
      <c r="U483" s="564"/>
      <c r="V483" s="484">
        <v>0.0</v>
      </c>
      <c r="W483" s="471"/>
      <c r="X483" s="564"/>
      <c r="Y483" s="484">
        <v>0.0</v>
      </c>
    </row>
    <row r="484" ht="14.25" customHeight="1">
      <c r="A484" s="552" t="s">
        <v>142</v>
      </c>
      <c r="B484" s="556" t="s">
        <v>225</v>
      </c>
      <c r="C484" s="554">
        <v>0.0</v>
      </c>
      <c r="D484" s="555">
        <v>0.0</v>
      </c>
      <c r="E484" s="556" t="s">
        <v>225</v>
      </c>
      <c r="F484" s="554">
        <v>0.0</v>
      </c>
      <c r="G484" s="555">
        <v>0.0</v>
      </c>
      <c r="H484" s="556" t="s">
        <v>225</v>
      </c>
      <c r="I484" s="554">
        <v>0.0</v>
      </c>
      <c r="J484" s="555">
        <v>0.0</v>
      </c>
      <c r="K484" s="556" t="s">
        <v>225</v>
      </c>
      <c r="L484" s="554">
        <v>0.0</v>
      </c>
      <c r="M484" s="555">
        <v>0.0</v>
      </c>
      <c r="N484" s="556" t="s">
        <v>225</v>
      </c>
      <c r="O484" s="554">
        <v>0.0</v>
      </c>
      <c r="P484" s="555">
        <v>0.0</v>
      </c>
      <c r="Q484" s="556" t="s">
        <v>225</v>
      </c>
      <c r="R484" s="554">
        <v>0.0012012533753533203</v>
      </c>
      <c r="S484" s="555">
        <v>80.48</v>
      </c>
      <c r="T484" s="556" t="s">
        <v>225</v>
      </c>
      <c r="U484" s="554">
        <v>0.033693539084977235</v>
      </c>
      <c r="V484" s="555">
        <v>2256.24</v>
      </c>
      <c r="W484" s="556" t="s">
        <v>225</v>
      </c>
      <c r="X484" s="554">
        <v>0.008785627384033507</v>
      </c>
      <c r="Y484" s="555">
        <v>435.59</v>
      </c>
    </row>
    <row r="485" ht="14.25" customHeight="1">
      <c r="A485" s="480"/>
      <c r="B485" s="480"/>
      <c r="C485" s="48"/>
      <c r="D485" s="484"/>
      <c r="E485" s="480"/>
      <c r="F485" s="48"/>
      <c r="G485" s="484"/>
      <c r="H485" s="480"/>
      <c r="I485" s="48"/>
      <c r="J485" s="484"/>
      <c r="K485" s="480"/>
      <c r="L485" s="48"/>
      <c r="M485" s="484"/>
      <c r="N485" s="480"/>
      <c r="O485" s="48"/>
      <c r="P485" s="484"/>
      <c r="Q485" s="480"/>
      <c r="R485" s="48"/>
      <c r="S485" s="484"/>
      <c r="T485" s="480"/>
      <c r="U485" s="48"/>
      <c r="V485" s="484"/>
      <c r="W485" s="480"/>
      <c r="X485" s="48"/>
      <c r="Y485" s="484"/>
    </row>
    <row r="486" ht="14.25" customHeight="1">
      <c r="A486" s="552" t="s">
        <v>143</v>
      </c>
      <c r="B486" s="556" t="s">
        <v>225</v>
      </c>
      <c r="C486" s="554">
        <v>0.0</v>
      </c>
      <c r="D486" s="555">
        <v>0.0</v>
      </c>
      <c r="E486" s="556" t="s">
        <v>225</v>
      </c>
      <c r="F486" s="554">
        <v>0.0</v>
      </c>
      <c r="G486" s="555">
        <v>0.0</v>
      </c>
      <c r="H486" s="556" t="s">
        <v>225</v>
      </c>
      <c r="I486" s="554">
        <v>0.0</v>
      </c>
      <c r="J486" s="555">
        <v>0.0</v>
      </c>
      <c r="K486" s="556" t="s">
        <v>225</v>
      </c>
      <c r="L486" s="554">
        <v>0.0</v>
      </c>
      <c r="M486" s="555">
        <v>0.0</v>
      </c>
      <c r="N486" s="556" t="s">
        <v>225</v>
      </c>
      <c r="O486" s="554">
        <v>0.11208869938425822</v>
      </c>
      <c r="P486" s="555">
        <v>8313.88</v>
      </c>
      <c r="Q486" s="556" t="s">
        <v>225</v>
      </c>
      <c r="R486" s="554">
        <v>0.3071177098450686</v>
      </c>
      <c r="S486" s="555">
        <v>20575.87</v>
      </c>
      <c r="T486" s="556" t="s">
        <v>225</v>
      </c>
      <c r="U486" s="554">
        <v>0.37670656198488783</v>
      </c>
      <c r="V486" s="555">
        <v>25225.619999999995</v>
      </c>
      <c r="W486" s="556" t="s">
        <v>225</v>
      </c>
      <c r="X486" s="554">
        <v>0.3185403583391958</v>
      </c>
      <c r="Y486" s="555">
        <v>15793.179999999998</v>
      </c>
    </row>
    <row r="487" ht="14.25" customHeight="1">
      <c r="A487" s="480"/>
      <c r="B487" s="480"/>
      <c r="C487" s="48"/>
      <c r="D487" s="484"/>
      <c r="E487" s="480"/>
      <c r="F487" s="48"/>
      <c r="G487" s="484"/>
      <c r="H487" s="480"/>
      <c r="I487" s="48"/>
      <c r="J487" s="484"/>
      <c r="K487" s="480"/>
      <c r="L487" s="48"/>
      <c r="M487" s="484"/>
      <c r="N487" s="480"/>
      <c r="O487" s="48"/>
      <c r="P487" s="484"/>
      <c r="Q487" s="480"/>
      <c r="R487" s="48"/>
      <c r="S487" s="484"/>
      <c r="T487" s="480"/>
      <c r="U487" s="48"/>
      <c r="V487" s="484"/>
      <c r="W487" s="480"/>
      <c r="X487" s="48"/>
      <c r="Y487" s="484"/>
    </row>
    <row r="488" ht="14.25" customHeight="1">
      <c r="A488" s="579" t="s">
        <v>150</v>
      </c>
      <c r="B488" s="583"/>
      <c r="C488" s="581"/>
      <c r="D488" s="582">
        <v>62455.37</v>
      </c>
      <c r="E488" s="583"/>
      <c r="F488" s="581"/>
      <c r="G488" s="582">
        <v>60552.96</v>
      </c>
      <c r="H488" s="583"/>
      <c r="I488" s="581"/>
      <c r="J488" s="582">
        <v>83979.74999999999</v>
      </c>
      <c r="K488" s="583"/>
      <c r="L488" s="581"/>
      <c r="M488" s="582">
        <v>83971.01000000001</v>
      </c>
      <c r="N488" s="583"/>
      <c r="O488" s="581"/>
      <c r="P488" s="582">
        <v>65858.45000000001</v>
      </c>
      <c r="Q488" s="583"/>
      <c r="R488" s="581"/>
      <c r="S488" s="582">
        <v>46420.81999999998</v>
      </c>
      <c r="T488" s="583"/>
      <c r="U488" s="581"/>
      <c r="V488" s="582">
        <v>41737.96000000001</v>
      </c>
      <c r="W488" s="583"/>
      <c r="X488" s="581"/>
      <c r="Y488" s="582">
        <v>33786.66000000001</v>
      </c>
    </row>
    <row r="489" ht="14.25" customHeight="1">
      <c r="A489" s="11"/>
      <c r="B489" s="501"/>
      <c r="C489" s="11"/>
      <c r="D489" s="503"/>
      <c r="E489" s="501"/>
      <c r="F489" s="11"/>
      <c r="G489" s="503"/>
      <c r="H489" s="501"/>
      <c r="I489" s="11"/>
      <c r="J489" s="503"/>
      <c r="K489" s="501"/>
      <c r="L489" s="11"/>
      <c r="M489" s="503"/>
      <c r="N489" s="501"/>
      <c r="O489" s="11"/>
      <c r="P489" s="503"/>
      <c r="Q489" s="501"/>
      <c r="R489" s="11"/>
      <c r="S489" s="503"/>
      <c r="T489" s="501"/>
      <c r="U489" s="11"/>
      <c r="V489" s="503"/>
      <c r="W489" s="501"/>
      <c r="X489" s="11"/>
      <c r="Y489" s="503"/>
    </row>
    <row r="490" ht="14.25" customHeight="1">
      <c r="D490" s="503"/>
      <c r="G490" s="503"/>
      <c r="J490" s="503"/>
      <c r="M490" s="503"/>
      <c r="P490" s="503"/>
      <c r="S490" s="503"/>
      <c r="V490" s="503"/>
      <c r="Y490" s="503"/>
    </row>
    <row r="491" ht="14.25" customHeight="1">
      <c r="A491" s="670" t="s">
        <v>1</v>
      </c>
      <c r="D491" s="669"/>
      <c r="G491" s="669"/>
      <c r="J491" s="669"/>
      <c r="M491" s="669"/>
      <c r="P491" s="669"/>
      <c r="S491" s="669"/>
      <c r="V491" s="669"/>
      <c r="Y491" s="669"/>
    </row>
    <row r="492" ht="14.25" customHeight="1">
      <c r="A492" s="673"/>
    </row>
    <row r="493" ht="14.25" customHeight="1">
      <c r="A493" s="674"/>
      <c r="B493" s="915" t="s">
        <v>775</v>
      </c>
      <c r="C493" s="916"/>
      <c r="D493" s="917"/>
      <c r="E493" s="915" t="s">
        <v>775</v>
      </c>
      <c r="F493" s="916"/>
      <c r="G493" s="917"/>
      <c r="H493" s="915" t="s">
        <v>775</v>
      </c>
      <c r="I493" s="916"/>
      <c r="J493" s="917"/>
      <c r="K493" s="915" t="s">
        <v>775</v>
      </c>
      <c r="L493" s="916"/>
      <c r="M493" s="917"/>
      <c r="N493" s="915" t="s">
        <v>775</v>
      </c>
      <c r="O493" s="916"/>
      <c r="P493" s="917"/>
      <c r="Q493" s="915" t="s">
        <v>775</v>
      </c>
      <c r="R493" s="916"/>
      <c r="S493" s="917"/>
      <c r="T493" s="915" t="s">
        <v>775</v>
      </c>
      <c r="U493" s="916"/>
      <c r="V493" s="917"/>
      <c r="W493" s="915" t="s">
        <v>775</v>
      </c>
      <c r="X493" s="916"/>
      <c r="Y493" s="917"/>
    </row>
    <row r="494" ht="14.25" customHeight="1">
      <c r="A494" s="471"/>
      <c r="B494" s="681" t="s">
        <v>226</v>
      </c>
      <c r="C494" s="650" t="s">
        <v>227</v>
      </c>
      <c r="D494" s="650" t="s">
        <v>228</v>
      </c>
      <c r="E494" s="681" t="s">
        <v>226</v>
      </c>
      <c r="F494" s="650" t="s">
        <v>227</v>
      </c>
      <c r="G494" s="650" t="s">
        <v>228</v>
      </c>
      <c r="H494" s="681" t="s">
        <v>226</v>
      </c>
      <c r="I494" s="650" t="s">
        <v>227</v>
      </c>
      <c r="J494" s="650" t="s">
        <v>228</v>
      </c>
      <c r="K494" s="681" t="s">
        <v>226</v>
      </c>
      <c r="L494" s="650" t="s">
        <v>227</v>
      </c>
      <c r="M494" s="650" t="s">
        <v>228</v>
      </c>
      <c r="N494" s="681" t="s">
        <v>226</v>
      </c>
      <c r="O494" s="650" t="s">
        <v>227</v>
      </c>
      <c r="P494" s="650" t="s">
        <v>228</v>
      </c>
      <c r="Q494" s="681" t="s">
        <v>226</v>
      </c>
      <c r="R494" s="650" t="s">
        <v>227</v>
      </c>
      <c r="S494" s="650" t="s">
        <v>228</v>
      </c>
      <c r="T494" s="681" t="s">
        <v>226</v>
      </c>
      <c r="U494" s="650" t="s">
        <v>227</v>
      </c>
      <c r="V494" s="650" t="s">
        <v>228</v>
      </c>
      <c r="W494" s="681" t="s">
        <v>226</v>
      </c>
      <c r="X494" s="650" t="s">
        <v>227</v>
      </c>
      <c r="Y494" s="650" t="s">
        <v>228</v>
      </c>
    </row>
    <row r="495" ht="14.25" customHeight="1">
      <c r="A495" s="560" t="s">
        <v>96</v>
      </c>
      <c r="B495" s="685"/>
      <c r="C495" s="686"/>
      <c r="D495" s="684">
        <v>2.1878009509999998E7</v>
      </c>
      <c r="E495" s="685"/>
      <c r="F495" s="686"/>
      <c r="G495" s="684">
        <v>1.6345489729999997E7</v>
      </c>
      <c r="H495" s="685"/>
      <c r="I495" s="686"/>
      <c r="J495" s="684">
        <v>2.2594100149999995E7</v>
      </c>
      <c r="K495" s="685"/>
      <c r="L495" s="686"/>
      <c r="M495" s="684">
        <v>3.06428119E7</v>
      </c>
      <c r="N495" s="685"/>
      <c r="O495" s="686"/>
      <c r="P495" s="684">
        <v>2.5802110039999995E7</v>
      </c>
      <c r="Q495" s="685"/>
      <c r="R495" s="686"/>
      <c r="S495" s="684">
        <v>1.9783630240000002E7</v>
      </c>
      <c r="T495" s="685"/>
      <c r="U495" s="686"/>
      <c r="V495" s="684">
        <v>1.4416748130000003E7</v>
      </c>
      <c r="W495" s="685"/>
      <c r="X495" s="686"/>
      <c r="Y495" s="684">
        <v>1.3948793349999994E7</v>
      </c>
    </row>
    <row r="496" ht="14.25" customHeight="1">
      <c r="A496" s="690" t="s">
        <v>196</v>
      </c>
      <c r="B496" s="692">
        <v>0.038094166181757004</v>
      </c>
      <c r="C496" s="694"/>
      <c r="D496" s="693">
        <v>833424.53</v>
      </c>
      <c r="E496" s="692">
        <v>0.04616917342127255</v>
      </c>
      <c r="F496" s="694"/>
      <c r="G496" s="693">
        <v>754657.7499999993</v>
      </c>
      <c r="H496" s="692">
        <v>0.042018651935558454</v>
      </c>
      <c r="I496" s="694"/>
      <c r="J496" s="693">
        <v>949373.6299999988</v>
      </c>
      <c r="K496" s="692">
        <v>0.03605306600468996</v>
      </c>
      <c r="L496" s="694"/>
      <c r="M496" s="693">
        <v>1104767.319999999</v>
      </c>
      <c r="N496" s="692">
        <v>0.03077497378195043</v>
      </c>
      <c r="O496" s="694"/>
      <c r="P496" s="693">
        <v>794059.2599999998</v>
      </c>
      <c r="Q496" s="692">
        <v>0.03452578175561386</v>
      </c>
      <c r="R496" s="694"/>
      <c r="S496" s="693">
        <v>683045.3000000027</v>
      </c>
      <c r="T496" s="692">
        <v>0.04095915075128691</v>
      </c>
      <c r="U496" s="694"/>
      <c r="V496" s="693">
        <v>590497.7600000037</v>
      </c>
      <c r="W496" s="692">
        <v>0.03374938377734281</v>
      </c>
      <c r="X496" s="694"/>
      <c r="Y496" s="693">
        <v>470763.1799999971</v>
      </c>
    </row>
    <row r="497" ht="14.25" customHeight="1">
      <c r="A497" s="699" t="s">
        <v>197</v>
      </c>
      <c r="B497" s="702"/>
      <c r="C497" s="703"/>
      <c r="D497" s="701"/>
      <c r="E497" s="702"/>
      <c r="F497" s="703"/>
      <c r="G497" s="701"/>
      <c r="H497" s="702"/>
      <c r="I497" s="703"/>
      <c r="J497" s="701"/>
      <c r="K497" s="702"/>
      <c r="L497" s="703"/>
      <c r="M497" s="701"/>
      <c r="N497" s="702"/>
      <c r="O497" s="703"/>
      <c r="P497" s="701"/>
      <c r="Q497" s="702"/>
      <c r="R497" s="703"/>
      <c r="S497" s="701"/>
      <c r="T497" s="702"/>
      <c r="U497" s="703"/>
      <c r="V497" s="701"/>
      <c r="W497" s="702"/>
      <c r="X497" s="703"/>
      <c r="Y497" s="701"/>
    </row>
    <row r="498" ht="14.25" customHeight="1">
      <c r="A498" s="559" t="s">
        <v>111</v>
      </c>
      <c r="B498" s="709"/>
      <c r="C498" s="703">
        <v>1001.9983333333333</v>
      </c>
      <c r="D498" s="701">
        <v>48095.92</v>
      </c>
      <c r="E498" s="709"/>
      <c r="F498" s="703">
        <v>1118.0447368421053</v>
      </c>
      <c r="G498" s="701">
        <v>42485.7</v>
      </c>
      <c r="H498" s="709"/>
      <c r="I498" s="703">
        <v>872.901551724138</v>
      </c>
      <c r="J498" s="701">
        <v>50628.29000000001</v>
      </c>
      <c r="K498" s="709"/>
      <c r="L498" s="703">
        <v>719.8967391304348</v>
      </c>
      <c r="M498" s="701">
        <v>66230.5</v>
      </c>
      <c r="N498" s="709"/>
      <c r="O498" s="703">
        <v>2915.960121951219</v>
      </c>
      <c r="P498" s="701">
        <v>239108.72999999998</v>
      </c>
      <c r="Q498" s="709"/>
      <c r="R498" s="703">
        <v>1158.7365454545454</v>
      </c>
      <c r="S498" s="701">
        <v>63730.509999999995</v>
      </c>
      <c r="T498" s="709"/>
      <c r="U498" s="703">
        <v>819.809610389611</v>
      </c>
      <c r="V498" s="701">
        <v>63125.34000000004</v>
      </c>
      <c r="W498" s="709"/>
      <c r="X498" s="703">
        <v>716.762337662337</v>
      </c>
      <c r="Y498" s="701">
        <v>55190.69999999995</v>
      </c>
    </row>
    <row r="499" ht="14.25" customHeight="1">
      <c r="A499" s="560" t="s">
        <v>112</v>
      </c>
      <c r="B499" s="713"/>
      <c r="C499" s="686">
        <v>406.94458333333336</v>
      </c>
      <c r="D499" s="684">
        <v>19533.34</v>
      </c>
      <c r="E499" s="713"/>
      <c r="F499" s="686">
        <v>303.72631578947374</v>
      </c>
      <c r="G499" s="684">
        <v>11541.600000000002</v>
      </c>
      <c r="H499" s="713"/>
      <c r="I499" s="686">
        <v>270.21862068965515</v>
      </c>
      <c r="J499" s="684">
        <v>15672.679999999998</v>
      </c>
      <c r="K499" s="713"/>
      <c r="L499" s="686">
        <v>351.5488043478261</v>
      </c>
      <c r="M499" s="684">
        <v>32342.489999999998</v>
      </c>
      <c r="N499" s="713"/>
      <c r="O499" s="686">
        <v>199.26829268292687</v>
      </c>
      <c r="P499" s="684">
        <v>16340.000000000004</v>
      </c>
      <c r="Q499" s="713"/>
      <c r="R499" s="686">
        <v>366.8492727272727</v>
      </c>
      <c r="S499" s="684">
        <v>20176.71</v>
      </c>
      <c r="T499" s="713"/>
      <c r="U499" s="686">
        <v>223.60961038961037</v>
      </c>
      <c r="V499" s="684">
        <v>17217.94</v>
      </c>
      <c r="W499" s="713"/>
      <c r="X499" s="686">
        <v>192.4651948051948</v>
      </c>
      <c r="Y499" s="684">
        <v>14819.82</v>
      </c>
    </row>
    <row r="500" ht="14.25" customHeight="1">
      <c r="A500" s="559" t="s">
        <v>113</v>
      </c>
      <c r="B500" s="709"/>
      <c r="C500" s="703">
        <v>-191.22666666666666</v>
      </c>
      <c r="D500" s="701">
        <v>-9178.88</v>
      </c>
      <c r="E500" s="709"/>
      <c r="F500" s="703">
        <v>222.9676315789474</v>
      </c>
      <c r="G500" s="701">
        <v>8472.77</v>
      </c>
      <c r="H500" s="709"/>
      <c r="I500" s="703">
        <v>140.35344827586206</v>
      </c>
      <c r="J500" s="701">
        <v>8140.5</v>
      </c>
      <c r="K500" s="709"/>
      <c r="L500" s="703">
        <v>-165.0063043478261</v>
      </c>
      <c r="M500" s="701">
        <v>-15180.580000000002</v>
      </c>
      <c r="N500" s="709"/>
      <c r="O500" s="703">
        <v>356.16317073170717</v>
      </c>
      <c r="P500" s="701">
        <v>29205.379999999986</v>
      </c>
      <c r="Q500" s="709"/>
      <c r="R500" s="703">
        <v>571.3594545454546</v>
      </c>
      <c r="S500" s="701">
        <v>31424.77</v>
      </c>
      <c r="T500" s="709"/>
      <c r="U500" s="703">
        <v>704.0546753246753</v>
      </c>
      <c r="V500" s="701">
        <v>54212.21</v>
      </c>
      <c r="W500" s="709"/>
      <c r="X500" s="703">
        <v>-33.52519480519455</v>
      </c>
      <c r="Y500" s="918">
        <v>-2581.4399999999805</v>
      </c>
      <c r="Z500" s="284" t="s">
        <v>3548</v>
      </c>
    </row>
    <row r="501" ht="14.25" customHeight="1">
      <c r="A501" s="559" t="s">
        <v>114</v>
      </c>
      <c r="B501" s="709"/>
      <c r="C501" s="703">
        <v>69.69125</v>
      </c>
      <c r="D501" s="701">
        <v>3345.18</v>
      </c>
      <c r="E501" s="709"/>
      <c r="F501" s="703">
        <v>0.0</v>
      </c>
      <c r="G501" s="701">
        <v>0.0</v>
      </c>
      <c r="H501" s="709"/>
      <c r="I501" s="703">
        <v>3.8203448275862133</v>
      </c>
      <c r="J501" s="701">
        <v>221.58000000000038</v>
      </c>
      <c r="K501" s="709"/>
      <c r="L501" s="703">
        <v>11.954999999999998</v>
      </c>
      <c r="M501" s="701">
        <v>1099.86</v>
      </c>
      <c r="N501" s="709"/>
      <c r="O501" s="703">
        <v>28.33536585365853</v>
      </c>
      <c r="P501" s="701">
        <v>2323.4999999999995</v>
      </c>
      <c r="Q501" s="709"/>
      <c r="R501" s="703">
        <v>206.5098181818182</v>
      </c>
      <c r="S501" s="701">
        <v>11358.04</v>
      </c>
      <c r="T501" s="709"/>
      <c r="U501" s="703">
        <v>23.45064935064935</v>
      </c>
      <c r="V501" s="701">
        <v>1805.6999999999998</v>
      </c>
      <c r="W501" s="709"/>
      <c r="X501" s="703">
        <v>13.183116883116888</v>
      </c>
      <c r="Y501" s="701">
        <v>1015.1000000000004</v>
      </c>
    </row>
    <row r="502" ht="14.25" customHeight="1">
      <c r="A502" s="560" t="s">
        <v>115</v>
      </c>
      <c r="B502" s="713"/>
      <c r="C502" s="686">
        <v>0.0</v>
      </c>
      <c r="D502" s="684">
        <v>0.0</v>
      </c>
      <c r="E502" s="713"/>
      <c r="F502" s="686">
        <v>0.0</v>
      </c>
      <c r="G502" s="684">
        <v>0.0</v>
      </c>
      <c r="H502" s="713"/>
      <c r="I502" s="686">
        <v>0.0</v>
      </c>
      <c r="J502" s="684">
        <v>0.0</v>
      </c>
      <c r="K502" s="713"/>
      <c r="L502" s="686">
        <v>0.0</v>
      </c>
      <c r="M502" s="684">
        <v>0.0</v>
      </c>
      <c r="N502" s="713"/>
      <c r="O502" s="686">
        <v>0.0</v>
      </c>
      <c r="P502" s="684">
        <v>0.0</v>
      </c>
      <c r="Q502" s="713"/>
      <c r="R502" s="686">
        <v>41.902181818181816</v>
      </c>
      <c r="S502" s="684">
        <v>2304.62</v>
      </c>
      <c r="T502" s="713"/>
      <c r="U502" s="686">
        <v>69.7325974025974</v>
      </c>
      <c r="V502" s="684">
        <v>5369.41</v>
      </c>
      <c r="W502" s="713"/>
      <c r="X502" s="686">
        <v>39.219220779220784</v>
      </c>
      <c r="Y502" s="684">
        <v>3019.88</v>
      </c>
    </row>
    <row r="503" ht="14.25" customHeight="1">
      <c r="A503" s="559" t="s">
        <v>116</v>
      </c>
      <c r="B503" s="709"/>
      <c r="C503" s="703">
        <v>334.0577083333333</v>
      </c>
      <c r="D503" s="701">
        <v>16034.77</v>
      </c>
      <c r="E503" s="709"/>
      <c r="F503" s="703">
        <v>578.3742105263158</v>
      </c>
      <c r="G503" s="701">
        <v>21978.22</v>
      </c>
      <c r="H503" s="709"/>
      <c r="I503" s="703">
        <v>-758.3363793103447</v>
      </c>
      <c r="J503" s="701">
        <v>-43983.509999999995</v>
      </c>
      <c r="K503" s="709"/>
      <c r="L503" s="703">
        <v>333.4523913043478</v>
      </c>
      <c r="M503" s="701">
        <v>30677.620000000003</v>
      </c>
      <c r="N503" s="709"/>
      <c r="O503" s="703">
        <v>146.835</v>
      </c>
      <c r="P503" s="701">
        <v>12040.470000000001</v>
      </c>
      <c r="Q503" s="709"/>
      <c r="R503" s="703">
        <v>-1523.020909090909</v>
      </c>
      <c r="S503" s="701">
        <v>-83766.15</v>
      </c>
      <c r="T503" s="709"/>
      <c r="U503" s="703">
        <v>350.50220779220786</v>
      </c>
      <c r="V503" s="701">
        <v>26988.670000000006</v>
      </c>
      <c r="W503" s="709"/>
      <c r="X503" s="703">
        <v>236.0188311688312</v>
      </c>
      <c r="Y503" s="701">
        <v>18173.450000000004</v>
      </c>
    </row>
    <row r="504" ht="14.25" customHeight="1">
      <c r="A504" s="559" t="s">
        <v>117</v>
      </c>
      <c r="B504" s="709"/>
      <c r="C504" s="703">
        <v>3173.2272916666666</v>
      </c>
      <c r="D504" s="701">
        <v>152314.91</v>
      </c>
      <c r="E504" s="709"/>
      <c r="F504" s="703">
        <v>3953.466315789474</v>
      </c>
      <c r="G504" s="701">
        <v>150231.72</v>
      </c>
      <c r="H504" s="709"/>
      <c r="I504" s="703">
        <v>2350.1886206896547</v>
      </c>
      <c r="J504" s="701">
        <v>136310.93999999997</v>
      </c>
      <c r="K504" s="709"/>
      <c r="L504" s="703">
        <v>1069.869239130435</v>
      </c>
      <c r="M504" s="701">
        <v>98427.97000000003</v>
      </c>
      <c r="N504" s="709"/>
      <c r="O504" s="703">
        <v>1262.7745121951218</v>
      </c>
      <c r="P504" s="701">
        <v>103547.50999999998</v>
      </c>
      <c r="Q504" s="709"/>
      <c r="R504" s="703">
        <v>1167.9776363636367</v>
      </c>
      <c r="S504" s="701">
        <v>64238.77000000002</v>
      </c>
      <c r="T504" s="709"/>
      <c r="U504" s="703">
        <v>1125.7574025974022</v>
      </c>
      <c r="V504" s="701">
        <v>86683.31999999998</v>
      </c>
      <c r="W504" s="709"/>
      <c r="X504" s="703">
        <v>569.5279220779228</v>
      </c>
      <c r="Y504" s="918">
        <v>43853.65000000005</v>
      </c>
      <c r="Z504" s="5" t="s">
        <v>3549</v>
      </c>
    </row>
    <row r="505" ht="14.25" customHeight="1">
      <c r="A505" s="559" t="s">
        <v>813</v>
      </c>
      <c r="B505" s="709"/>
      <c r="C505" s="703">
        <v>-4388.486458333334</v>
      </c>
      <c r="D505" s="701">
        <v>-210647.35</v>
      </c>
      <c r="E505" s="709"/>
      <c r="F505" s="703">
        <v>-5293.246842105263</v>
      </c>
      <c r="G505" s="701">
        <v>-201143.37999999998</v>
      </c>
      <c r="H505" s="709"/>
      <c r="I505" s="703">
        <v>-6408.525862068966</v>
      </c>
      <c r="J505" s="701">
        <v>-371694.5</v>
      </c>
      <c r="K505" s="709"/>
      <c r="L505" s="703">
        <v>-1856.3234782608697</v>
      </c>
      <c r="M505" s="701">
        <v>-170781.76</v>
      </c>
      <c r="N505" s="709"/>
      <c r="O505" s="703">
        <v>-2530.8450000000003</v>
      </c>
      <c r="P505" s="701">
        <v>-207529.29000000004</v>
      </c>
      <c r="Q505" s="709"/>
      <c r="R505" s="703">
        <v>-2186.7694545454556</v>
      </c>
      <c r="S505" s="701">
        <v>-120272.32000000007</v>
      </c>
      <c r="T505" s="709"/>
      <c r="U505" s="703">
        <v>-1709.5550649350648</v>
      </c>
      <c r="V505" s="701">
        <v>-131635.74</v>
      </c>
      <c r="W505" s="709"/>
      <c r="X505" s="703">
        <v>-859.5680519480518</v>
      </c>
      <c r="Y505" s="701">
        <v>-66186.73999999999</v>
      </c>
    </row>
    <row r="506" ht="14.25" customHeight="1">
      <c r="A506" s="559" t="s">
        <v>814</v>
      </c>
      <c r="B506" s="709"/>
      <c r="C506" s="703">
        <v>0.0</v>
      </c>
      <c r="D506" s="701">
        <v>0.0</v>
      </c>
      <c r="E506" s="709"/>
      <c r="F506" s="703">
        <v>0.0</v>
      </c>
      <c r="G506" s="701">
        <v>0.0</v>
      </c>
      <c r="H506" s="709"/>
      <c r="I506" s="703">
        <v>0.0</v>
      </c>
      <c r="J506" s="701">
        <v>0.0</v>
      </c>
      <c r="K506" s="709"/>
      <c r="L506" s="703">
        <v>0.0</v>
      </c>
      <c r="M506" s="701">
        <v>0.0</v>
      </c>
      <c r="N506" s="709"/>
      <c r="O506" s="703">
        <v>-281.60036585365856</v>
      </c>
      <c r="P506" s="701">
        <v>-23091.230000000003</v>
      </c>
      <c r="Q506" s="709"/>
      <c r="R506" s="703">
        <v>-378.400909090909</v>
      </c>
      <c r="S506" s="701">
        <v>-20812.049999999996</v>
      </c>
      <c r="T506" s="709"/>
      <c r="U506" s="703">
        <v>-218.52181818181813</v>
      </c>
      <c r="V506" s="701">
        <v>-16826.179999999997</v>
      </c>
      <c r="W506" s="709"/>
      <c r="X506" s="703">
        <v>-179.88662337662345</v>
      </c>
      <c r="Y506" s="701">
        <v>-13851.270000000006</v>
      </c>
    </row>
    <row r="507" ht="14.25" customHeight="1">
      <c r="A507" s="559" t="s">
        <v>56</v>
      </c>
      <c r="B507" s="709"/>
      <c r="C507" s="703">
        <v>0.0</v>
      </c>
      <c r="D507" s="701">
        <v>0.0</v>
      </c>
      <c r="E507" s="709"/>
      <c r="F507" s="703">
        <v>0.0</v>
      </c>
      <c r="G507" s="701">
        <v>0.0</v>
      </c>
      <c r="H507" s="709"/>
      <c r="I507" s="703">
        <v>0.0</v>
      </c>
      <c r="J507" s="701">
        <v>0.0</v>
      </c>
      <c r="K507" s="709"/>
      <c r="L507" s="703">
        <v>0.0</v>
      </c>
      <c r="M507" s="701">
        <v>0.0</v>
      </c>
      <c r="N507" s="709"/>
      <c r="O507" s="703">
        <v>0.0</v>
      </c>
      <c r="P507" s="701">
        <v>0.0</v>
      </c>
      <c r="Q507" s="709"/>
      <c r="R507" s="703">
        <v>0.0</v>
      </c>
      <c r="S507" s="701">
        <v>0.0</v>
      </c>
      <c r="T507" s="709"/>
      <c r="U507" s="703">
        <v>0.0</v>
      </c>
      <c r="V507" s="701">
        <v>0.0</v>
      </c>
      <c r="W507" s="709"/>
      <c r="X507" s="703">
        <v>0.0</v>
      </c>
      <c r="Y507" s="701">
        <v>0.0</v>
      </c>
    </row>
    <row r="508" ht="14.25" customHeight="1">
      <c r="A508" s="715" t="s">
        <v>118</v>
      </c>
      <c r="B508" s="719">
        <v>0.02339490775487492</v>
      </c>
      <c r="C508" s="720"/>
      <c r="D508" s="718">
        <v>19497.889999999985</v>
      </c>
      <c r="E508" s="719">
        <v>0.04447927553914349</v>
      </c>
      <c r="F508" s="720"/>
      <c r="G508" s="718">
        <v>33566.630000000034</v>
      </c>
      <c r="H508" s="719">
        <v>-0.21562008205346958</v>
      </c>
      <c r="I508" s="720"/>
      <c r="J508" s="718">
        <v>-204704.02000000002</v>
      </c>
      <c r="K508" s="719">
        <v>0.03875576261614984</v>
      </c>
      <c r="L508" s="720"/>
      <c r="M508" s="718">
        <v>42816.100000000006</v>
      </c>
      <c r="N508" s="719">
        <v>0.21653934241633296</v>
      </c>
      <c r="O508" s="720"/>
      <c r="P508" s="718">
        <v>171945.06999999992</v>
      </c>
      <c r="Q508" s="719">
        <v>-0.046288437970365824</v>
      </c>
      <c r="R508" s="720"/>
      <c r="S508" s="718">
        <v>-31617.100000000042</v>
      </c>
      <c r="T508" s="719">
        <v>0.18110258369142568</v>
      </c>
      <c r="U508" s="720"/>
      <c r="V508" s="718">
        <v>106940.67000000007</v>
      </c>
      <c r="W508" s="719">
        <v>0.11354573227243557</v>
      </c>
      <c r="X508" s="720"/>
      <c r="Y508" s="718">
        <v>53453.15000000007</v>
      </c>
    </row>
    <row r="509" ht="14.25" customHeight="1">
      <c r="A509" s="559" t="s">
        <v>198</v>
      </c>
      <c r="B509" s="709"/>
      <c r="C509" s="708"/>
      <c r="D509" s="701">
        <v>0.0</v>
      </c>
      <c r="E509" s="709"/>
      <c r="F509" s="708"/>
      <c r="G509" s="701">
        <v>0.0</v>
      </c>
      <c r="H509" s="709"/>
      <c r="I509" s="708"/>
      <c r="J509" s="701">
        <v>33461.59</v>
      </c>
      <c r="K509" s="709"/>
      <c r="L509" s="708"/>
      <c r="M509" s="701">
        <v>15313.150000000001</v>
      </c>
      <c r="N509" s="709"/>
      <c r="O509" s="708"/>
      <c r="P509" s="701">
        <v>23890.39</v>
      </c>
      <c r="Q509" s="709"/>
      <c r="R509" s="708"/>
      <c r="S509" s="701">
        <v>12000.009999999998</v>
      </c>
      <c r="T509" s="709"/>
      <c r="U509" s="708"/>
      <c r="V509" s="701">
        <v>5596.170000000004</v>
      </c>
      <c r="W509" s="709"/>
      <c r="X509" s="708"/>
      <c r="Y509" s="701">
        <v>13557.709999999997</v>
      </c>
    </row>
    <row r="510" ht="14.25" customHeight="1">
      <c r="A510" s="559" t="s">
        <v>119</v>
      </c>
      <c r="B510" s="709"/>
      <c r="C510" s="708"/>
      <c r="D510" s="701">
        <v>45774.36</v>
      </c>
      <c r="E510" s="709"/>
      <c r="F510" s="708"/>
      <c r="G510" s="701">
        <v>64263.07</v>
      </c>
      <c r="H510" s="709"/>
      <c r="I510" s="708"/>
      <c r="J510" s="701">
        <v>-1950.3400000000015</v>
      </c>
      <c r="K510" s="709"/>
      <c r="L510" s="708"/>
      <c r="M510" s="701">
        <v>51296.92</v>
      </c>
      <c r="N510" s="709"/>
      <c r="O510" s="708"/>
      <c r="P510" s="701">
        <v>92783.31</v>
      </c>
      <c r="Q510" s="709"/>
      <c r="R510" s="708"/>
      <c r="S510" s="701">
        <v>60032.63</v>
      </c>
      <c r="T510" s="709"/>
      <c r="U510" s="708"/>
      <c r="V510" s="701">
        <v>55698.84000000001</v>
      </c>
      <c r="W510" s="709"/>
      <c r="X510" s="708"/>
      <c r="Y510" s="918">
        <v>32819.06999999999</v>
      </c>
    </row>
    <row r="511" ht="14.25" customHeight="1">
      <c r="A511" s="560" t="s">
        <v>120</v>
      </c>
      <c r="B511" s="713"/>
      <c r="C511" s="712"/>
      <c r="D511" s="684">
        <v>90745.88</v>
      </c>
      <c r="E511" s="713"/>
      <c r="F511" s="712"/>
      <c r="G511" s="684">
        <v>64804.25</v>
      </c>
      <c r="H511" s="713"/>
      <c r="I511" s="712"/>
      <c r="J511" s="684">
        <v>86033.42</v>
      </c>
      <c r="K511" s="713"/>
      <c r="L511" s="712"/>
      <c r="M511" s="684">
        <v>81429.17999999998</v>
      </c>
      <c r="N511" s="713"/>
      <c r="O511" s="712"/>
      <c r="P511" s="684">
        <v>79412.68000000002</v>
      </c>
      <c r="Q511" s="713"/>
      <c r="R511" s="712"/>
      <c r="S511" s="684">
        <v>31004.94999999999</v>
      </c>
      <c r="T511" s="713"/>
      <c r="U511" s="712"/>
      <c r="V511" s="684">
        <v>44713.92000000001</v>
      </c>
      <c r="W511" s="713"/>
      <c r="X511" s="712"/>
      <c r="Y511" s="919">
        <v>25274.689999999988</v>
      </c>
    </row>
    <row r="512" ht="14.25" customHeight="1">
      <c r="A512" s="559" t="s">
        <v>121</v>
      </c>
      <c r="B512" s="709"/>
      <c r="C512" s="708"/>
      <c r="D512" s="701">
        <v>116402.21</v>
      </c>
      <c r="E512" s="709"/>
      <c r="F512" s="708"/>
      <c r="G512" s="701">
        <v>37621.04000000001</v>
      </c>
      <c r="H512" s="709"/>
      <c r="I512" s="708"/>
      <c r="J512" s="701">
        <v>110944.45999999999</v>
      </c>
      <c r="K512" s="709"/>
      <c r="L512" s="708"/>
      <c r="M512" s="701">
        <v>116745.75</v>
      </c>
      <c r="N512" s="709"/>
      <c r="O512" s="708"/>
      <c r="P512" s="701">
        <v>-187024.35000000003</v>
      </c>
      <c r="Q512" s="709"/>
      <c r="R512" s="708"/>
      <c r="S512" s="701">
        <v>32585.52</v>
      </c>
      <c r="T512" s="709"/>
      <c r="U512" s="708"/>
      <c r="V512" s="701">
        <v>39199.39999999999</v>
      </c>
      <c r="W512" s="709"/>
      <c r="X512" s="708"/>
      <c r="Y512" s="918">
        <v>33828.98999999999</v>
      </c>
    </row>
    <row r="513" ht="14.25" customHeight="1">
      <c r="A513" s="559" t="s">
        <v>122</v>
      </c>
      <c r="B513" s="709"/>
      <c r="C513" s="708"/>
      <c r="D513" s="701">
        <v>0.0</v>
      </c>
      <c r="E513" s="709"/>
      <c r="F513" s="708"/>
      <c r="G513" s="701">
        <v>0.0</v>
      </c>
      <c r="H513" s="709"/>
      <c r="I513" s="708"/>
      <c r="J513" s="701">
        <v>0.0</v>
      </c>
      <c r="K513" s="709"/>
      <c r="L513" s="708"/>
      <c r="M513" s="701">
        <v>0.0</v>
      </c>
      <c r="N513" s="709"/>
      <c r="O513" s="708"/>
      <c r="P513" s="701">
        <v>0.0</v>
      </c>
      <c r="Q513" s="709"/>
      <c r="R513" s="708"/>
      <c r="S513" s="701">
        <v>15838.4</v>
      </c>
      <c r="T513" s="709"/>
      <c r="U513" s="708"/>
      <c r="V513" s="701">
        <v>15574.6</v>
      </c>
      <c r="W513" s="709"/>
      <c r="X513" s="708"/>
      <c r="Y513" s="918">
        <v>9149.14</v>
      </c>
    </row>
    <row r="514" ht="14.25" customHeight="1">
      <c r="A514" s="559" t="s">
        <v>56</v>
      </c>
      <c r="B514" s="709"/>
      <c r="C514" s="708"/>
      <c r="D514" s="701">
        <v>0.0</v>
      </c>
      <c r="E514" s="709"/>
      <c r="F514" s="708"/>
      <c r="G514" s="701">
        <v>0.0</v>
      </c>
      <c r="H514" s="709"/>
      <c r="I514" s="708"/>
      <c r="J514" s="701">
        <v>0.0</v>
      </c>
      <c r="K514" s="709"/>
      <c r="L514" s="708"/>
      <c r="M514" s="701">
        <v>0.0</v>
      </c>
      <c r="N514" s="709"/>
      <c r="O514" s="708"/>
      <c r="P514" s="701">
        <v>0.0</v>
      </c>
      <c r="Q514" s="709"/>
      <c r="R514" s="708"/>
      <c r="S514" s="701">
        <v>0.0</v>
      </c>
      <c r="T514" s="709"/>
      <c r="U514" s="708"/>
      <c r="V514" s="701">
        <v>0.0</v>
      </c>
      <c r="W514" s="709"/>
      <c r="X514" s="708"/>
      <c r="Y514" s="701">
        <v>0.0</v>
      </c>
    </row>
    <row r="515" ht="14.25" customHeight="1">
      <c r="A515" s="559" t="s">
        <v>56</v>
      </c>
      <c r="B515" s="709"/>
      <c r="C515" s="708"/>
      <c r="D515" s="701">
        <v>0.0</v>
      </c>
      <c r="E515" s="709"/>
      <c r="F515" s="708"/>
      <c r="G515" s="701">
        <v>0.0</v>
      </c>
      <c r="H515" s="709"/>
      <c r="I515" s="708"/>
      <c r="J515" s="701">
        <v>0.0</v>
      </c>
      <c r="K515" s="709"/>
      <c r="L515" s="708"/>
      <c r="M515" s="701">
        <v>0.0</v>
      </c>
      <c r="N515" s="709"/>
      <c r="O515" s="708"/>
      <c r="P515" s="701">
        <v>0.0</v>
      </c>
      <c r="Q515" s="709"/>
      <c r="R515" s="708"/>
      <c r="S515" s="701">
        <v>0.0</v>
      </c>
      <c r="T515" s="709"/>
      <c r="U515" s="708"/>
      <c r="V515" s="701">
        <v>0.0</v>
      </c>
      <c r="W515" s="709"/>
      <c r="X515" s="708"/>
      <c r="Y515" s="701">
        <v>0.0</v>
      </c>
    </row>
    <row r="516" ht="14.25" customHeight="1">
      <c r="A516" s="559" t="s">
        <v>56</v>
      </c>
      <c r="B516" s="709"/>
      <c r="C516" s="708"/>
      <c r="D516" s="701">
        <v>0.0</v>
      </c>
      <c r="E516" s="709"/>
      <c r="F516" s="708"/>
      <c r="G516" s="701">
        <v>0.0</v>
      </c>
      <c r="H516" s="709"/>
      <c r="I516" s="708"/>
      <c r="J516" s="701">
        <v>0.0</v>
      </c>
      <c r="K516" s="709"/>
      <c r="L516" s="708"/>
      <c r="M516" s="701">
        <v>0.0</v>
      </c>
      <c r="N516" s="709"/>
      <c r="O516" s="708"/>
      <c r="P516" s="701">
        <v>0.0</v>
      </c>
      <c r="Q516" s="709"/>
      <c r="R516" s="708"/>
      <c r="S516" s="701">
        <v>0.0</v>
      </c>
      <c r="T516" s="709"/>
      <c r="U516" s="708"/>
      <c r="V516" s="701">
        <v>0.0</v>
      </c>
      <c r="W516" s="709"/>
      <c r="X516" s="708"/>
      <c r="Y516" s="701">
        <v>0.0</v>
      </c>
    </row>
    <row r="517" ht="14.25" customHeight="1">
      <c r="A517" s="560" t="s">
        <v>123</v>
      </c>
      <c r="B517" s="713"/>
      <c r="C517" s="712"/>
      <c r="D517" s="684">
        <v>47864.11000000001</v>
      </c>
      <c r="E517" s="713"/>
      <c r="F517" s="712"/>
      <c r="G517" s="684">
        <v>18480.85</v>
      </c>
      <c r="H517" s="713"/>
      <c r="I517" s="712"/>
      <c r="J517" s="684">
        <v>23222.380000000005</v>
      </c>
      <c r="K517" s="713"/>
      <c r="L517" s="712"/>
      <c r="M517" s="684">
        <v>42869.34</v>
      </c>
      <c r="N517" s="713"/>
      <c r="O517" s="712"/>
      <c r="P517" s="684">
        <v>33068.74</v>
      </c>
      <c r="Q517" s="713"/>
      <c r="R517" s="712"/>
      <c r="S517" s="684">
        <v>39858.82000000001</v>
      </c>
      <c r="T517" s="713"/>
      <c r="U517" s="712"/>
      <c r="V517" s="684">
        <v>40786.89</v>
      </c>
      <c r="W517" s="713"/>
      <c r="X517" s="712"/>
      <c r="Y517" s="684">
        <v>26693.459999999985</v>
      </c>
    </row>
    <row r="518" ht="14.25" customHeight="1">
      <c r="A518" s="559" t="s">
        <v>124</v>
      </c>
      <c r="B518" s="709"/>
      <c r="C518" s="708"/>
      <c r="D518" s="701">
        <v>66816.67</v>
      </c>
      <c r="E518" s="709"/>
      <c r="F518" s="708"/>
      <c r="G518" s="701">
        <v>43097.85999999999</v>
      </c>
      <c r="H518" s="709"/>
      <c r="I518" s="708"/>
      <c r="J518" s="701">
        <v>51182.62000000001</v>
      </c>
      <c r="K518" s="709"/>
      <c r="L518" s="708"/>
      <c r="M518" s="701">
        <v>60563.68</v>
      </c>
      <c r="N518" s="709"/>
      <c r="O518" s="708"/>
      <c r="P518" s="701">
        <v>53959.11000000001</v>
      </c>
      <c r="Q518" s="709"/>
      <c r="R518" s="708"/>
      <c r="S518" s="701">
        <v>50033.9</v>
      </c>
      <c r="T518" s="709"/>
      <c r="U518" s="708"/>
      <c r="V518" s="701">
        <v>50179.549999999996</v>
      </c>
      <c r="W518" s="709"/>
      <c r="X518" s="708"/>
      <c r="Y518" s="701">
        <v>46233.479999999996</v>
      </c>
    </row>
    <row r="519" ht="14.25" customHeight="1">
      <c r="A519" s="559" t="s">
        <v>125</v>
      </c>
      <c r="B519" s="709"/>
      <c r="C519" s="708"/>
      <c r="D519" s="701">
        <v>24477.149999999998</v>
      </c>
      <c r="E519" s="709"/>
      <c r="F519" s="708"/>
      <c r="G519" s="701">
        <v>44759.29</v>
      </c>
      <c r="H519" s="709"/>
      <c r="I519" s="708"/>
      <c r="J519" s="701">
        <v>11145.55</v>
      </c>
      <c r="K519" s="709"/>
      <c r="L519" s="708"/>
      <c r="M519" s="701">
        <v>18803.08</v>
      </c>
      <c r="N519" s="709"/>
      <c r="O519" s="708"/>
      <c r="P519" s="701">
        <v>9068.579999999994</v>
      </c>
      <c r="Q519" s="709"/>
      <c r="R519" s="708"/>
      <c r="S519" s="701">
        <v>9835.449999999999</v>
      </c>
      <c r="T519" s="709"/>
      <c r="U519" s="708"/>
      <c r="V519" s="701">
        <v>10900.640000000003</v>
      </c>
      <c r="W519" s="709"/>
      <c r="X519" s="708"/>
      <c r="Y519" s="701">
        <v>7310.780000000002</v>
      </c>
    </row>
    <row r="520" ht="14.25" customHeight="1">
      <c r="A520" s="559" t="s">
        <v>126</v>
      </c>
      <c r="B520" s="709"/>
      <c r="C520" s="708"/>
      <c r="D520" s="701">
        <v>1562.94</v>
      </c>
      <c r="E520" s="709"/>
      <c r="F520" s="708"/>
      <c r="G520" s="701">
        <v>1527.2900000000002</v>
      </c>
      <c r="H520" s="709"/>
      <c r="I520" s="708"/>
      <c r="J520" s="701">
        <v>16408.73</v>
      </c>
      <c r="K520" s="709"/>
      <c r="L520" s="708"/>
      <c r="M520" s="701">
        <v>9114.34</v>
      </c>
      <c r="N520" s="709"/>
      <c r="O520" s="708"/>
      <c r="P520" s="701">
        <v>9645.0</v>
      </c>
      <c r="Q520" s="709"/>
      <c r="R520" s="708"/>
      <c r="S520" s="701">
        <v>15074.720000000001</v>
      </c>
      <c r="T520" s="709"/>
      <c r="U520" s="708"/>
      <c r="V520" s="701">
        <v>11635.760000000002</v>
      </c>
      <c r="W520" s="709"/>
      <c r="X520" s="708"/>
      <c r="Y520" s="701">
        <v>15034.749999999998</v>
      </c>
    </row>
    <row r="521" ht="14.25" customHeight="1">
      <c r="A521" s="480" t="s">
        <v>56</v>
      </c>
      <c r="B521" s="709"/>
      <c r="C521" s="708"/>
      <c r="D521" s="701">
        <v>0.0</v>
      </c>
      <c r="E521" s="709"/>
      <c r="F521" s="708"/>
      <c r="G521" s="701">
        <v>0.0</v>
      </c>
      <c r="H521" s="709"/>
      <c r="I521" s="708"/>
      <c r="J521" s="701">
        <v>0.0</v>
      </c>
      <c r="K521" s="709"/>
      <c r="L521" s="708"/>
      <c r="M521" s="701">
        <v>0.0</v>
      </c>
      <c r="N521" s="709"/>
      <c r="O521" s="708"/>
      <c r="P521" s="701">
        <v>0.0</v>
      </c>
      <c r="Q521" s="709"/>
      <c r="R521" s="708"/>
      <c r="S521" s="701">
        <v>0.0</v>
      </c>
      <c r="T521" s="709"/>
      <c r="U521" s="708"/>
      <c r="V521" s="701">
        <v>0.0</v>
      </c>
      <c r="W521" s="709"/>
      <c r="X521" s="708"/>
      <c r="Y521" s="701">
        <v>0.0</v>
      </c>
    </row>
    <row r="522" ht="14.25" customHeight="1">
      <c r="A522" s="715" t="s">
        <v>127</v>
      </c>
      <c r="B522" s="719">
        <v>0.4723202951561793</v>
      </c>
      <c r="C522" s="724"/>
      <c r="D522" s="718">
        <v>393643.32</v>
      </c>
      <c r="E522" s="719">
        <v>0.36381213868140916</v>
      </c>
      <c r="F522" s="724"/>
      <c r="G522" s="718">
        <v>274553.64999999997</v>
      </c>
      <c r="H522" s="719">
        <v>0.34806992690538535</v>
      </c>
      <c r="I522" s="724"/>
      <c r="J522" s="718">
        <v>330448.41</v>
      </c>
      <c r="K522" s="719">
        <v>0.3585691148069083</v>
      </c>
      <c r="L522" s="724"/>
      <c r="M522" s="718">
        <v>396135.44</v>
      </c>
      <c r="N522" s="719">
        <v>0.14457795001345364</v>
      </c>
      <c r="O522" s="724"/>
      <c r="P522" s="718">
        <v>114803.45999999996</v>
      </c>
      <c r="Q522" s="719">
        <v>0.3898195331993339</v>
      </c>
      <c r="R522" s="724"/>
      <c r="S522" s="718">
        <v>266264.4</v>
      </c>
      <c r="T522" s="719">
        <v>0.46449925567879935</v>
      </c>
      <c r="U522" s="724"/>
      <c r="V522" s="718">
        <v>274285.77</v>
      </c>
      <c r="W522" s="719">
        <v>0.4458761409505332</v>
      </c>
      <c r="X522" s="724"/>
      <c r="Y522" s="718">
        <v>209902.06999999992</v>
      </c>
    </row>
    <row r="523" ht="14.25" customHeight="1">
      <c r="A523" s="654" t="s">
        <v>128</v>
      </c>
      <c r="B523" s="728"/>
      <c r="C523" s="729"/>
      <c r="D523" s="727">
        <v>4139.41</v>
      </c>
      <c r="E523" s="728"/>
      <c r="F523" s="729"/>
      <c r="G523" s="727">
        <v>3961.6500000000005</v>
      </c>
      <c r="H523" s="728"/>
      <c r="I523" s="729"/>
      <c r="J523" s="727">
        <v>4607.31</v>
      </c>
      <c r="K523" s="728"/>
      <c r="L523" s="729"/>
      <c r="M523" s="727">
        <v>6540.98</v>
      </c>
      <c r="N523" s="728"/>
      <c r="O523" s="729"/>
      <c r="P523" s="727">
        <v>4308.08</v>
      </c>
      <c r="Q523" s="728"/>
      <c r="R523" s="729"/>
      <c r="S523" s="727">
        <v>6271.84</v>
      </c>
      <c r="T523" s="728"/>
      <c r="U523" s="729"/>
      <c r="V523" s="727">
        <v>2511.9599999999987</v>
      </c>
      <c r="W523" s="728"/>
      <c r="X523" s="729"/>
      <c r="Y523" s="727">
        <v>2789.290000000001</v>
      </c>
    </row>
    <row r="524" ht="14.25" customHeight="1">
      <c r="A524" s="559" t="s">
        <v>129</v>
      </c>
      <c r="B524" s="709"/>
      <c r="C524" s="708"/>
      <c r="D524" s="701">
        <v>877.55</v>
      </c>
      <c r="E524" s="709"/>
      <c r="F524" s="708"/>
      <c r="G524" s="701">
        <v>1990.19</v>
      </c>
      <c r="H524" s="709"/>
      <c r="I524" s="708"/>
      <c r="J524" s="701">
        <v>5788.05</v>
      </c>
      <c r="K524" s="709"/>
      <c r="L524" s="708"/>
      <c r="M524" s="701">
        <v>1617.42</v>
      </c>
      <c r="N524" s="709"/>
      <c r="O524" s="708"/>
      <c r="P524" s="701">
        <v>2029.0100000000002</v>
      </c>
      <c r="Q524" s="709"/>
      <c r="R524" s="708"/>
      <c r="S524" s="701">
        <v>10852.849999999999</v>
      </c>
      <c r="T524" s="709"/>
      <c r="U524" s="708"/>
      <c r="V524" s="701">
        <v>9621.94</v>
      </c>
      <c r="W524" s="709"/>
      <c r="X524" s="708"/>
      <c r="Y524" s="701">
        <v>4099.07</v>
      </c>
    </row>
    <row r="525" ht="14.25" customHeight="1">
      <c r="A525" s="560" t="s">
        <v>130</v>
      </c>
      <c r="B525" s="713"/>
      <c r="C525" s="712"/>
      <c r="D525" s="684">
        <v>20653.960000000003</v>
      </c>
      <c r="E525" s="713"/>
      <c r="F525" s="712"/>
      <c r="G525" s="684">
        <v>-3379.5099999999998</v>
      </c>
      <c r="H525" s="713"/>
      <c r="I525" s="712"/>
      <c r="J525" s="684">
        <v>44489.08</v>
      </c>
      <c r="K525" s="713"/>
      <c r="L525" s="712"/>
      <c r="M525" s="684">
        <v>21196.879999999994</v>
      </c>
      <c r="N525" s="713"/>
      <c r="O525" s="712"/>
      <c r="P525" s="684">
        <v>34265.3</v>
      </c>
      <c r="Q525" s="713"/>
      <c r="R525" s="712"/>
      <c r="S525" s="684">
        <v>28002.070000000007</v>
      </c>
      <c r="T525" s="713"/>
      <c r="U525" s="712"/>
      <c r="V525" s="684">
        <v>23770.319999999992</v>
      </c>
      <c r="W525" s="713"/>
      <c r="X525" s="712"/>
      <c r="Y525" s="684">
        <v>25757.210000000014</v>
      </c>
    </row>
    <row r="526" ht="14.25" customHeight="1">
      <c r="A526" s="559" t="s">
        <v>131</v>
      </c>
      <c r="B526" s="709"/>
      <c r="C526" s="708"/>
      <c r="D526" s="701">
        <v>14092.97</v>
      </c>
      <c r="E526" s="709"/>
      <c r="F526" s="708"/>
      <c r="G526" s="701">
        <v>6980.829999999999</v>
      </c>
      <c r="H526" s="709"/>
      <c r="I526" s="708"/>
      <c r="J526" s="701">
        <v>10237.830000000002</v>
      </c>
      <c r="K526" s="709"/>
      <c r="L526" s="708"/>
      <c r="M526" s="701">
        <v>12104.81</v>
      </c>
      <c r="N526" s="709"/>
      <c r="O526" s="708"/>
      <c r="P526" s="701">
        <v>11827.100000000002</v>
      </c>
      <c r="Q526" s="709"/>
      <c r="R526" s="708"/>
      <c r="S526" s="701">
        <v>11490.779999999997</v>
      </c>
      <c r="T526" s="709"/>
      <c r="U526" s="708"/>
      <c r="V526" s="701">
        <v>14959.69</v>
      </c>
      <c r="W526" s="709"/>
      <c r="X526" s="708"/>
      <c r="Y526" s="701">
        <v>14103.610000000004</v>
      </c>
    </row>
    <row r="527" ht="14.25" customHeight="1">
      <c r="A527" s="559" t="s">
        <v>132</v>
      </c>
      <c r="B527" s="709"/>
      <c r="C527" s="708"/>
      <c r="D527" s="701">
        <v>4213.22</v>
      </c>
      <c r="E527" s="709"/>
      <c r="F527" s="708"/>
      <c r="G527" s="701">
        <v>11235.09</v>
      </c>
      <c r="H527" s="709"/>
      <c r="I527" s="708"/>
      <c r="J527" s="701">
        <v>13558.75</v>
      </c>
      <c r="K527" s="709"/>
      <c r="L527" s="708"/>
      <c r="M527" s="701">
        <v>33532.979999999996</v>
      </c>
      <c r="N527" s="709"/>
      <c r="O527" s="708"/>
      <c r="P527" s="701">
        <v>4732.339999999996</v>
      </c>
      <c r="Q527" s="709"/>
      <c r="R527" s="708"/>
      <c r="S527" s="701">
        <v>2032.8400000000006</v>
      </c>
      <c r="T527" s="709"/>
      <c r="U527" s="708"/>
      <c r="V527" s="701">
        <v>2282.8000000000025</v>
      </c>
      <c r="W527" s="709"/>
      <c r="X527" s="708"/>
      <c r="Y527" s="701">
        <v>3034.8699999999967</v>
      </c>
    </row>
    <row r="528" ht="14.25" customHeight="1">
      <c r="A528" s="559" t="s">
        <v>133</v>
      </c>
      <c r="B528" s="709"/>
      <c r="C528" s="708"/>
      <c r="D528" s="701">
        <v>41342.78</v>
      </c>
      <c r="E528" s="709"/>
      <c r="F528" s="708"/>
      <c r="G528" s="701">
        <v>26394.83</v>
      </c>
      <c r="H528" s="709"/>
      <c r="I528" s="708"/>
      <c r="J528" s="701">
        <v>36188.189999999995</v>
      </c>
      <c r="K528" s="709"/>
      <c r="L528" s="708"/>
      <c r="M528" s="701">
        <v>31238.799999999992</v>
      </c>
      <c r="N528" s="709"/>
      <c r="O528" s="708"/>
      <c r="P528" s="701">
        <v>23480.41000000001</v>
      </c>
      <c r="Q528" s="709"/>
      <c r="R528" s="708"/>
      <c r="S528" s="701">
        <v>32596.99999999999</v>
      </c>
      <c r="T528" s="709"/>
      <c r="U528" s="708"/>
      <c r="V528" s="701">
        <v>22492.410000000007</v>
      </c>
      <c r="W528" s="709"/>
      <c r="X528" s="708"/>
      <c r="Y528" s="918">
        <v>18156.589999999997</v>
      </c>
      <c r="Z528" s="5" t="s">
        <v>3550</v>
      </c>
    </row>
    <row r="529" ht="14.25" customHeight="1">
      <c r="A529" s="654" t="s">
        <v>173</v>
      </c>
      <c r="B529" s="728"/>
      <c r="C529" s="729"/>
      <c r="D529" s="727">
        <v>0.0</v>
      </c>
      <c r="E529" s="728"/>
      <c r="F529" s="729"/>
      <c r="G529" s="727">
        <v>0.0</v>
      </c>
      <c r="H529" s="728"/>
      <c r="I529" s="729"/>
      <c r="J529" s="727">
        <v>0.0</v>
      </c>
      <c r="K529" s="728"/>
      <c r="L529" s="729"/>
      <c r="M529" s="727">
        <v>0.0</v>
      </c>
      <c r="N529" s="728"/>
      <c r="O529" s="729"/>
      <c r="P529" s="727">
        <v>0.0</v>
      </c>
      <c r="Q529" s="728"/>
      <c r="R529" s="729"/>
      <c r="S529" s="727">
        <v>0.0</v>
      </c>
      <c r="T529" s="728"/>
      <c r="U529" s="729"/>
      <c r="V529" s="727">
        <v>0.0</v>
      </c>
      <c r="W529" s="728"/>
      <c r="X529" s="729"/>
      <c r="Y529" s="727">
        <v>0.0</v>
      </c>
    </row>
    <row r="530" ht="14.25" customHeight="1">
      <c r="A530" s="559" t="s">
        <v>134</v>
      </c>
      <c r="B530" s="709"/>
      <c r="C530" s="708"/>
      <c r="D530" s="701">
        <v>5674.63</v>
      </c>
      <c r="E530" s="709"/>
      <c r="F530" s="708"/>
      <c r="G530" s="701">
        <v>8858.939999999999</v>
      </c>
      <c r="H530" s="709"/>
      <c r="I530" s="708"/>
      <c r="J530" s="701">
        <v>7663.89</v>
      </c>
      <c r="K530" s="709"/>
      <c r="L530" s="708"/>
      <c r="M530" s="701">
        <v>5446.410000000002</v>
      </c>
      <c r="N530" s="709"/>
      <c r="O530" s="708"/>
      <c r="P530" s="701">
        <v>21427.39</v>
      </c>
      <c r="Q530" s="709"/>
      <c r="R530" s="708"/>
      <c r="S530" s="701">
        <v>22507.36</v>
      </c>
      <c r="T530" s="709"/>
      <c r="U530" s="708"/>
      <c r="V530" s="701">
        <v>11835.479999999996</v>
      </c>
      <c r="W530" s="709"/>
      <c r="X530" s="708"/>
      <c r="Y530" s="701">
        <v>9028.520000000008</v>
      </c>
    </row>
    <row r="531" ht="14.25" customHeight="1">
      <c r="A531" s="559" t="s">
        <v>135</v>
      </c>
      <c r="B531" s="709"/>
      <c r="C531" s="708"/>
      <c r="D531" s="701">
        <v>0.0</v>
      </c>
      <c r="E531" s="709"/>
      <c r="F531" s="708"/>
      <c r="G531" s="701">
        <v>0.0</v>
      </c>
      <c r="H531" s="709"/>
      <c r="I531" s="708"/>
      <c r="J531" s="701">
        <v>0.0</v>
      </c>
      <c r="K531" s="709"/>
      <c r="L531" s="708"/>
      <c r="M531" s="701">
        <v>0.0</v>
      </c>
      <c r="N531" s="709"/>
      <c r="O531" s="708"/>
      <c r="P531" s="701">
        <v>0.0</v>
      </c>
      <c r="Q531" s="709"/>
      <c r="R531" s="708"/>
      <c r="S531" s="701">
        <v>0.0</v>
      </c>
      <c r="T531" s="709"/>
      <c r="U531" s="708"/>
      <c r="V531" s="701">
        <v>0.0</v>
      </c>
      <c r="W531" s="709"/>
      <c r="X531" s="708"/>
      <c r="Y531" s="701">
        <v>2181.89</v>
      </c>
    </row>
    <row r="532" ht="14.25" customHeight="1">
      <c r="A532" s="559" t="s">
        <v>136</v>
      </c>
      <c r="B532" s="709"/>
      <c r="C532" s="708"/>
      <c r="D532" s="701">
        <v>5153.01</v>
      </c>
      <c r="E532" s="709"/>
      <c r="F532" s="708"/>
      <c r="G532" s="701">
        <v>3912.0200000000004</v>
      </c>
      <c r="H532" s="709"/>
      <c r="I532" s="708"/>
      <c r="J532" s="701">
        <v>8173.860000000001</v>
      </c>
      <c r="K532" s="709"/>
      <c r="L532" s="708"/>
      <c r="M532" s="701">
        <v>6284.49</v>
      </c>
      <c r="N532" s="709"/>
      <c r="O532" s="708"/>
      <c r="P532" s="701">
        <v>6560.649999999999</v>
      </c>
      <c r="Q532" s="709"/>
      <c r="R532" s="708"/>
      <c r="S532" s="701">
        <v>4714.530000000002</v>
      </c>
      <c r="T532" s="709"/>
      <c r="U532" s="708"/>
      <c r="V532" s="701">
        <v>2223.479999999998</v>
      </c>
      <c r="W532" s="709"/>
      <c r="X532" s="708"/>
      <c r="Y532" s="701">
        <v>5152.370000000002</v>
      </c>
    </row>
    <row r="533" ht="14.25" customHeight="1">
      <c r="A533" s="559" t="s">
        <v>137</v>
      </c>
      <c r="B533" s="709"/>
      <c r="C533" s="708"/>
      <c r="D533" s="701">
        <v>1272.3400000000001</v>
      </c>
      <c r="E533" s="709"/>
      <c r="F533" s="708"/>
      <c r="G533" s="701">
        <v>854.1700000000001</v>
      </c>
      <c r="H533" s="709"/>
      <c r="I533" s="708"/>
      <c r="J533" s="701">
        <v>1009.06</v>
      </c>
      <c r="K533" s="709"/>
      <c r="L533" s="708"/>
      <c r="M533" s="701">
        <v>1181.25</v>
      </c>
      <c r="N533" s="709"/>
      <c r="O533" s="708"/>
      <c r="P533" s="701">
        <v>4825.67</v>
      </c>
      <c r="Q533" s="709"/>
      <c r="R533" s="708"/>
      <c r="S533" s="701">
        <v>1747.7600000000002</v>
      </c>
      <c r="T533" s="709"/>
      <c r="U533" s="708"/>
      <c r="V533" s="701">
        <v>2285.6500000000005</v>
      </c>
      <c r="W533" s="709"/>
      <c r="X533" s="708"/>
      <c r="Y533" s="701">
        <v>2296.1399999999994</v>
      </c>
    </row>
    <row r="534" ht="14.25" customHeight="1">
      <c r="A534" s="559" t="s">
        <v>138</v>
      </c>
      <c r="B534" s="709"/>
      <c r="C534" s="708"/>
      <c r="D534" s="701">
        <v>5975.57</v>
      </c>
      <c r="E534" s="709"/>
      <c r="F534" s="708"/>
      <c r="G534" s="701">
        <v>7700.73</v>
      </c>
      <c r="H534" s="709"/>
      <c r="I534" s="708"/>
      <c r="J534" s="701">
        <v>6412.5599999999995</v>
      </c>
      <c r="K534" s="709"/>
      <c r="L534" s="708"/>
      <c r="M534" s="701">
        <v>7472.379999999999</v>
      </c>
      <c r="N534" s="709"/>
      <c r="O534" s="708"/>
      <c r="P534" s="701">
        <v>6534.560000000002</v>
      </c>
      <c r="Q534" s="709"/>
      <c r="R534" s="708"/>
      <c r="S534" s="701">
        <v>6433.419999999999</v>
      </c>
      <c r="T534" s="709"/>
      <c r="U534" s="708"/>
      <c r="V534" s="701">
        <v>4919.710000000002</v>
      </c>
      <c r="W534" s="709"/>
      <c r="X534" s="708"/>
      <c r="Y534" s="918">
        <v>2907.1199999999985</v>
      </c>
      <c r="Z534" s="5" t="s">
        <v>3550</v>
      </c>
    </row>
    <row r="535" ht="14.25" customHeight="1">
      <c r="A535" s="559" t="s">
        <v>139</v>
      </c>
      <c r="B535" s="709"/>
      <c r="C535" s="708"/>
      <c r="D535" s="701">
        <v>9424.05</v>
      </c>
      <c r="E535" s="709"/>
      <c r="F535" s="708"/>
      <c r="G535" s="701">
        <v>18789.039999999997</v>
      </c>
      <c r="H535" s="709"/>
      <c r="I535" s="708"/>
      <c r="J535" s="701">
        <v>5697.67</v>
      </c>
      <c r="K535" s="709"/>
      <c r="L535" s="708"/>
      <c r="M535" s="701">
        <v>6686.210000000001</v>
      </c>
      <c r="N535" s="709"/>
      <c r="O535" s="708"/>
      <c r="P535" s="701">
        <v>11652.52</v>
      </c>
      <c r="Q535" s="709"/>
      <c r="R535" s="708"/>
      <c r="S535" s="701">
        <v>9558.760000000006</v>
      </c>
      <c r="T535" s="709"/>
      <c r="U535" s="708"/>
      <c r="V535" s="701">
        <v>7530.109999999998</v>
      </c>
      <c r="W535" s="709"/>
      <c r="X535" s="708"/>
      <c r="Y535" s="701">
        <v>9302.32</v>
      </c>
    </row>
    <row r="536" ht="14.25" customHeight="1">
      <c r="A536" s="559" t="s">
        <v>140</v>
      </c>
      <c r="B536" s="709"/>
      <c r="C536" s="708"/>
      <c r="D536" s="701">
        <v>2591.1099999999997</v>
      </c>
      <c r="E536" s="709"/>
      <c r="F536" s="708"/>
      <c r="G536" s="701">
        <v>5569.280000000001</v>
      </c>
      <c r="H536" s="709"/>
      <c r="I536" s="708"/>
      <c r="J536" s="701">
        <v>8472.21</v>
      </c>
      <c r="K536" s="709"/>
      <c r="L536" s="708"/>
      <c r="M536" s="701">
        <v>2625.3099999999995</v>
      </c>
      <c r="N536" s="709"/>
      <c r="O536" s="708"/>
      <c r="P536" s="701">
        <v>7382.97</v>
      </c>
      <c r="Q536" s="709"/>
      <c r="R536" s="708"/>
      <c r="S536" s="701">
        <v>1447.5299999999988</v>
      </c>
      <c r="T536" s="709"/>
      <c r="U536" s="708"/>
      <c r="V536" s="701">
        <v>3841.74</v>
      </c>
      <c r="W536" s="709"/>
      <c r="X536" s="708"/>
      <c r="Y536" s="701">
        <v>1736.0</v>
      </c>
    </row>
    <row r="537" ht="14.25" customHeight="1">
      <c r="A537" s="559" t="s">
        <v>141</v>
      </c>
      <c r="B537" s="709"/>
      <c r="C537" s="708"/>
      <c r="D537" s="701">
        <v>1903.01</v>
      </c>
      <c r="E537" s="709"/>
      <c r="F537" s="708"/>
      <c r="G537" s="701">
        <v>6131.08</v>
      </c>
      <c r="H537" s="709"/>
      <c r="I537" s="708"/>
      <c r="J537" s="701">
        <v>2412.5699999999997</v>
      </c>
      <c r="K537" s="709"/>
      <c r="L537" s="708"/>
      <c r="M537" s="701">
        <v>6766.319999999999</v>
      </c>
      <c r="N537" s="709"/>
      <c r="O537" s="708"/>
      <c r="P537" s="701">
        <v>5917.8099999999995</v>
      </c>
      <c r="Q537" s="709"/>
      <c r="R537" s="708"/>
      <c r="S537" s="701">
        <v>5378.220000000001</v>
      </c>
      <c r="T537" s="709"/>
      <c r="U537" s="708"/>
      <c r="V537" s="701">
        <v>4992.639999999999</v>
      </c>
      <c r="W537" s="709"/>
      <c r="X537" s="708"/>
      <c r="Y537" s="701">
        <v>4831.480000000001</v>
      </c>
      <c r="Z537" s="5"/>
    </row>
    <row r="538" ht="14.25" customHeight="1">
      <c r="A538" s="559" t="s">
        <v>984</v>
      </c>
      <c r="B538" s="709"/>
      <c r="C538" s="708"/>
      <c r="D538" s="701">
        <v>0.0</v>
      </c>
      <c r="E538" s="709"/>
      <c r="F538" s="708"/>
      <c r="G538" s="701">
        <v>0.0</v>
      </c>
      <c r="H538" s="709"/>
      <c r="I538" s="708"/>
      <c r="J538" s="701">
        <v>0.0</v>
      </c>
      <c r="K538" s="709"/>
      <c r="L538" s="708"/>
      <c r="M538" s="701">
        <v>0.0</v>
      </c>
      <c r="N538" s="709"/>
      <c r="O538" s="708"/>
      <c r="P538" s="701">
        <v>1516.27</v>
      </c>
      <c r="Q538" s="709"/>
      <c r="R538" s="708"/>
      <c r="S538" s="701">
        <v>3923.52</v>
      </c>
      <c r="T538" s="709"/>
      <c r="U538" s="708"/>
      <c r="V538" s="701">
        <v>3075.000000000001</v>
      </c>
      <c r="W538" s="709"/>
      <c r="X538" s="708"/>
      <c r="Y538" s="701">
        <v>3356.1899999999987</v>
      </c>
    </row>
    <row r="539" ht="14.25" customHeight="1">
      <c r="A539" s="559" t="s">
        <v>56</v>
      </c>
      <c r="B539" s="709"/>
      <c r="C539" s="708"/>
      <c r="D539" s="701">
        <v>0.0</v>
      </c>
      <c r="E539" s="709"/>
      <c r="F539" s="708"/>
      <c r="G539" s="701">
        <v>0.0</v>
      </c>
      <c r="H539" s="709"/>
      <c r="I539" s="708"/>
      <c r="J539" s="701">
        <v>0.0</v>
      </c>
      <c r="K539" s="709"/>
      <c r="L539" s="708"/>
      <c r="M539" s="701">
        <v>0.0</v>
      </c>
      <c r="N539" s="709"/>
      <c r="O539" s="708"/>
      <c r="P539" s="701">
        <v>0.0</v>
      </c>
      <c r="Q539" s="709"/>
      <c r="R539" s="708"/>
      <c r="S539" s="701">
        <v>0.0</v>
      </c>
      <c r="T539" s="709"/>
      <c r="U539" s="708"/>
      <c r="V539" s="701">
        <v>0.0</v>
      </c>
      <c r="W539" s="709"/>
      <c r="X539" s="708"/>
      <c r="Y539" s="701">
        <v>0.0</v>
      </c>
    </row>
    <row r="540" ht="14.25" customHeight="1">
      <c r="A540" s="559" t="s">
        <v>56</v>
      </c>
      <c r="B540" s="709"/>
      <c r="C540" s="708"/>
      <c r="D540" s="701">
        <v>0.0</v>
      </c>
      <c r="E540" s="709"/>
      <c r="F540" s="708"/>
      <c r="G540" s="701">
        <v>0.0</v>
      </c>
      <c r="H540" s="709"/>
      <c r="I540" s="708"/>
      <c r="J540" s="701">
        <v>0.0</v>
      </c>
      <c r="K540" s="709"/>
      <c r="L540" s="708"/>
      <c r="M540" s="701">
        <v>0.0</v>
      </c>
      <c r="N540" s="709"/>
      <c r="O540" s="708"/>
      <c r="P540" s="701">
        <v>0.0</v>
      </c>
      <c r="Q540" s="709"/>
      <c r="R540" s="708"/>
      <c r="S540" s="701">
        <v>0.0</v>
      </c>
      <c r="T540" s="709"/>
      <c r="U540" s="708"/>
      <c r="V540" s="701">
        <v>0.0</v>
      </c>
      <c r="W540" s="709"/>
      <c r="X540" s="708"/>
      <c r="Y540" s="701">
        <v>0.0</v>
      </c>
    </row>
    <row r="541" ht="14.25" customHeight="1">
      <c r="A541" s="715" t="s">
        <v>142</v>
      </c>
      <c r="B541" s="719">
        <v>0.14076092768711762</v>
      </c>
      <c r="C541" s="716"/>
      <c r="D541" s="718">
        <v>117313.61</v>
      </c>
      <c r="E541" s="719">
        <v>0.13118309591334626</v>
      </c>
      <c r="F541" s="716"/>
      <c r="G541" s="718">
        <v>98998.34</v>
      </c>
      <c r="H541" s="719">
        <v>0.16296116208747044</v>
      </c>
      <c r="I541" s="716"/>
      <c r="J541" s="718">
        <v>154711.03</v>
      </c>
      <c r="K541" s="719">
        <v>0.12916225653742194</v>
      </c>
      <c r="L541" s="716"/>
      <c r="M541" s="718">
        <v>142694.24</v>
      </c>
      <c r="N541" s="719">
        <v>0.18444477305132118</v>
      </c>
      <c r="O541" s="716"/>
      <c r="P541" s="718">
        <v>146460.08</v>
      </c>
      <c r="Q541" s="719">
        <v>0.21515187938486569</v>
      </c>
      <c r="R541" s="716"/>
      <c r="S541" s="718">
        <v>146958.47999999998</v>
      </c>
      <c r="T541" s="719">
        <v>0.19702518431229826</v>
      </c>
      <c r="U541" s="716"/>
      <c r="V541" s="718">
        <v>116342.93000000001</v>
      </c>
      <c r="W541" s="719">
        <v>0.23097105852671118</v>
      </c>
      <c r="X541" s="716"/>
      <c r="Y541" s="718">
        <v>108732.67</v>
      </c>
    </row>
    <row r="542" ht="14.25" customHeight="1">
      <c r="A542" s="559" t="s">
        <v>199</v>
      </c>
      <c r="B542" s="709"/>
      <c r="C542" s="708"/>
      <c r="D542" s="701">
        <v>80813.72999999998</v>
      </c>
      <c r="E542" s="709"/>
      <c r="F542" s="708"/>
      <c r="G542" s="701">
        <v>81863.72999999998</v>
      </c>
      <c r="H542" s="709"/>
      <c r="I542" s="708"/>
      <c r="J542" s="701">
        <v>84278.21000000004</v>
      </c>
      <c r="K542" s="709"/>
      <c r="L542" s="708"/>
      <c r="M542" s="701">
        <v>81202.0</v>
      </c>
      <c r="N542" s="709"/>
      <c r="O542" s="708"/>
      <c r="P542" s="701">
        <v>81202.0</v>
      </c>
      <c r="Q542" s="709"/>
      <c r="R542" s="708"/>
      <c r="S542" s="701">
        <v>70848.0</v>
      </c>
      <c r="T542" s="709"/>
      <c r="U542" s="708"/>
      <c r="V542" s="701">
        <v>71050.0</v>
      </c>
      <c r="W542" s="709"/>
      <c r="X542" s="708"/>
      <c r="Y542" s="701">
        <v>71253.99999999999</v>
      </c>
    </row>
    <row r="543" ht="14.25" customHeight="1">
      <c r="A543" s="559" t="s">
        <v>200</v>
      </c>
      <c r="B543" s="709"/>
      <c r="C543" s="708"/>
      <c r="D543" s="701">
        <v>12300.0</v>
      </c>
      <c r="E543" s="709"/>
      <c r="F543" s="708"/>
      <c r="G543" s="701">
        <v>12300.0</v>
      </c>
      <c r="H543" s="709"/>
      <c r="I543" s="708"/>
      <c r="J543" s="701">
        <v>7350.0</v>
      </c>
      <c r="K543" s="709"/>
      <c r="L543" s="708"/>
      <c r="M543" s="701">
        <v>7350.0</v>
      </c>
      <c r="N543" s="709"/>
      <c r="O543" s="708"/>
      <c r="P543" s="701">
        <v>7350.0</v>
      </c>
      <c r="Q543" s="709"/>
      <c r="R543" s="708"/>
      <c r="S543" s="701">
        <v>7350.0</v>
      </c>
      <c r="T543" s="709"/>
      <c r="U543" s="708"/>
      <c r="V543" s="701">
        <v>7053.889999999998</v>
      </c>
      <c r="W543" s="709"/>
      <c r="X543" s="708"/>
      <c r="Y543" s="701">
        <v>7053.890000000002</v>
      </c>
    </row>
    <row r="544" ht="14.25" customHeight="1">
      <c r="A544" s="560" t="s">
        <v>201</v>
      </c>
      <c r="B544" s="713"/>
      <c r="C544" s="712"/>
      <c r="D544" s="684">
        <v>10000.0</v>
      </c>
      <c r="E544" s="713"/>
      <c r="F544" s="712"/>
      <c r="G544" s="684">
        <v>10000.0</v>
      </c>
      <c r="H544" s="713"/>
      <c r="I544" s="712"/>
      <c r="J544" s="684">
        <v>10000.0</v>
      </c>
      <c r="K544" s="713"/>
      <c r="L544" s="712"/>
      <c r="M544" s="684">
        <v>14727.610000000002</v>
      </c>
      <c r="N544" s="713"/>
      <c r="O544" s="712"/>
      <c r="P544" s="684">
        <v>14727.61</v>
      </c>
      <c r="Q544" s="713"/>
      <c r="R544" s="712"/>
      <c r="S544" s="684">
        <v>14727.609999999997</v>
      </c>
      <c r="T544" s="713"/>
      <c r="U544" s="712"/>
      <c r="V544" s="684">
        <v>14727.61</v>
      </c>
      <c r="W544" s="713"/>
      <c r="X544" s="712"/>
      <c r="Y544" s="684">
        <v>14727.61</v>
      </c>
    </row>
    <row r="545" ht="14.25" customHeight="1">
      <c r="A545" s="559" t="s">
        <v>202</v>
      </c>
      <c r="B545" s="709"/>
      <c r="C545" s="708"/>
      <c r="D545" s="701">
        <v>0.0</v>
      </c>
      <c r="E545" s="709"/>
      <c r="F545" s="708"/>
      <c r="G545" s="701">
        <v>0.0</v>
      </c>
      <c r="H545" s="709"/>
      <c r="I545" s="708"/>
      <c r="J545" s="701">
        <v>0.0</v>
      </c>
      <c r="K545" s="709"/>
      <c r="L545" s="708"/>
      <c r="M545" s="701">
        <v>0.0</v>
      </c>
      <c r="N545" s="709"/>
      <c r="O545" s="708"/>
      <c r="P545" s="701">
        <v>0.0</v>
      </c>
      <c r="Q545" s="709"/>
      <c r="R545" s="708"/>
      <c r="S545" s="701">
        <v>0.0</v>
      </c>
      <c r="T545" s="709"/>
      <c r="U545" s="708"/>
      <c r="V545" s="701">
        <v>0.0</v>
      </c>
      <c r="W545" s="709"/>
      <c r="X545" s="708"/>
      <c r="Y545" s="701">
        <v>0.0</v>
      </c>
    </row>
    <row r="546" ht="14.25" customHeight="1">
      <c r="A546" s="560" t="s">
        <v>203</v>
      </c>
      <c r="B546" s="713"/>
      <c r="C546" s="712"/>
      <c r="D546" s="684">
        <v>6721.119999999999</v>
      </c>
      <c r="E546" s="713"/>
      <c r="F546" s="712"/>
      <c r="G546" s="684">
        <v>6721.119999999999</v>
      </c>
      <c r="H546" s="713"/>
      <c r="I546" s="712"/>
      <c r="J546" s="684">
        <v>6721.120000000001</v>
      </c>
      <c r="K546" s="713"/>
      <c r="L546" s="712"/>
      <c r="M546" s="684">
        <v>6756.019999999999</v>
      </c>
      <c r="N546" s="713"/>
      <c r="O546" s="712"/>
      <c r="P546" s="684">
        <v>6721.120000000003</v>
      </c>
      <c r="Q546" s="713"/>
      <c r="R546" s="712"/>
      <c r="S546" s="684">
        <v>6721.12</v>
      </c>
      <c r="T546" s="713"/>
      <c r="U546" s="712"/>
      <c r="V546" s="684">
        <v>7841.309999999999</v>
      </c>
      <c r="W546" s="713"/>
      <c r="X546" s="712"/>
      <c r="Y546" s="684">
        <v>7841.289999999999</v>
      </c>
    </row>
    <row r="547" ht="14.25" customHeight="1">
      <c r="A547" s="559" t="s">
        <v>204</v>
      </c>
      <c r="B547" s="709"/>
      <c r="C547" s="708"/>
      <c r="D547" s="701">
        <v>11100.0</v>
      </c>
      <c r="E547" s="709"/>
      <c r="F547" s="708"/>
      <c r="G547" s="701">
        <v>11100.0</v>
      </c>
      <c r="H547" s="709"/>
      <c r="I547" s="708"/>
      <c r="J547" s="701">
        <v>11100.0</v>
      </c>
      <c r="K547" s="709"/>
      <c r="L547" s="708"/>
      <c r="M547" s="701">
        <v>11100.0</v>
      </c>
      <c r="N547" s="709"/>
      <c r="O547" s="708"/>
      <c r="P547" s="701">
        <v>11100.0</v>
      </c>
      <c r="Q547" s="709"/>
      <c r="R547" s="708"/>
      <c r="S547" s="701">
        <v>11100.0</v>
      </c>
      <c r="T547" s="709"/>
      <c r="U547" s="708"/>
      <c r="V547" s="701">
        <v>11100.0</v>
      </c>
      <c r="W547" s="709"/>
      <c r="X547" s="708"/>
      <c r="Y547" s="701">
        <v>11100.0</v>
      </c>
    </row>
    <row r="548" ht="14.25" customHeight="1">
      <c r="A548" s="559" t="s">
        <v>205</v>
      </c>
      <c r="B548" s="709"/>
      <c r="C548" s="708"/>
      <c r="D548" s="701">
        <v>881.2</v>
      </c>
      <c r="E548" s="709"/>
      <c r="F548" s="708"/>
      <c r="G548" s="701">
        <v>1203.42</v>
      </c>
      <c r="H548" s="709"/>
      <c r="I548" s="708"/>
      <c r="J548" s="701">
        <v>8803.48</v>
      </c>
      <c r="K548" s="709"/>
      <c r="L548" s="708"/>
      <c r="M548" s="701">
        <v>5600.0</v>
      </c>
      <c r="N548" s="709"/>
      <c r="O548" s="708"/>
      <c r="P548" s="701">
        <v>4586.799999999999</v>
      </c>
      <c r="Q548" s="709"/>
      <c r="R548" s="708"/>
      <c r="S548" s="701">
        <v>3530.0</v>
      </c>
      <c r="T548" s="709"/>
      <c r="U548" s="708"/>
      <c r="V548" s="701">
        <v>5602.85</v>
      </c>
      <c r="W548" s="709"/>
      <c r="X548" s="708"/>
      <c r="Y548" s="918">
        <v>10525.760000000002</v>
      </c>
      <c r="Z548" s="5" t="s">
        <v>3551</v>
      </c>
    </row>
    <row r="549" ht="14.25" customHeight="1">
      <c r="A549" s="560" t="s">
        <v>206</v>
      </c>
      <c r="B549" s="713"/>
      <c r="C549" s="712"/>
      <c r="D549" s="684">
        <v>2153.3</v>
      </c>
      <c r="E549" s="713"/>
      <c r="F549" s="712"/>
      <c r="G549" s="684">
        <v>3559.3</v>
      </c>
      <c r="H549" s="713"/>
      <c r="I549" s="712"/>
      <c r="J549" s="684">
        <v>3659.03</v>
      </c>
      <c r="K549" s="713"/>
      <c r="L549" s="712"/>
      <c r="M549" s="684">
        <v>4584.8</v>
      </c>
      <c r="N549" s="713"/>
      <c r="O549" s="712"/>
      <c r="P549" s="684">
        <v>180.47000000000025</v>
      </c>
      <c r="Q549" s="713"/>
      <c r="R549" s="712"/>
      <c r="S549" s="684">
        <v>1797.0</v>
      </c>
      <c r="T549" s="713"/>
      <c r="U549" s="712"/>
      <c r="V549" s="684">
        <v>3340.13</v>
      </c>
      <c r="W549" s="713"/>
      <c r="X549" s="712"/>
      <c r="Y549" s="684">
        <v>1779.4899999999989</v>
      </c>
    </row>
    <row r="550" ht="14.25" customHeight="1">
      <c r="A550" s="559" t="s">
        <v>207</v>
      </c>
      <c r="B550" s="709"/>
      <c r="C550" s="708"/>
      <c r="D550" s="701">
        <v>1222.2</v>
      </c>
      <c r="E550" s="709"/>
      <c r="F550" s="708"/>
      <c r="G550" s="701">
        <v>683.48</v>
      </c>
      <c r="H550" s="709"/>
      <c r="I550" s="708"/>
      <c r="J550" s="701">
        <v>663.6000000000001</v>
      </c>
      <c r="K550" s="709"/>
      <c r="L550" s="708"/>
      <c r="M550" s="701">
        <v>680.5899999999999</v>
      </c>
      <c r="N550" s="709"/>
      <c r="O550" s="708"/>
      <c r="P550" s="701">
        <v>894.5400000000001</v>
      </c>
      <c r="Q550" s="709"/>
      <c r="R550" s="708"/>
      <c r="S550" s="701">
        <v>389.1499999999998</v>
      </c>
      <c r="T550" s="709"/>
      <c r="U550" s="708"/>
      <c r="V550" s="701">
        <v>2773.24</v>
      </c>
      <c r="W550" s="709"/>
      <c r="X550" s="708"/>
      <c r="Y550" s="701">
        <v>896.0300000000008</v>
      </c>
      <c r="Z550" s="5"/>
    </row>
    <row r="551" ht="14.25" customHeight="1">
      <c r="A551" s="559" t="s">
        <v>208</v>
      </c>
      <c r="B551" s="709"/>
      <c r="C551" s="708"/>
      <c r="D551" s="701">
        <v>0.0</v>
      </c>
      <c r="E551" s="709"/>
      <c r="F551" s="708"/>
      <c r="G551" s="701">
        <v>0.0</v>
      </c>
      <c r="H551" s="709"/>
      <c r="I551" s="708"/>
      <c r="J551" s="701">
        <v>0.0</v>
      </c>
      <c r="K551" s="709"/>
      <c r="L551" s="708"/>
      <c r="M551" s="701">
        <v>0.0</v>
      </c>
      <c r="N551" s="709"/>
      <c r="O551" s="708"/>
      <c r="P551" s="701">
        <v>0.0</v>
      </c>
      <c r="Q551" s="709"/>
      <c r="R551" s="708"/>
      <c r="S551" s="701">
        <v>0.0</v>
      </c>
      <c r="T551" s="709"/>
      <c r="U551" s="708"/>
      <c r="V551" s="701">
        <v>0.0</v>
      </c>
      <c r="W551" s="709"/>
      <c r="X551" s="708"/>
      <c r="Y551" s="701">
        <v>0.0</v>
      </c>
    </row>
    <row r="552" ht="14.25" customHeight="1">
      <c r="A552" s="559" t="s">
        <v>56</v>
      </c>
      <c r="B552" s="709"/>
      <c r="C552" s="708"/>
      <c r="D552" s="701">
        <v>0.0</v>
      </c>
      <c r="E552" s="709"/>
      <c r="F552" s="708"/>
      <c r="G552" s="701">
        <v>0.0</v>
      </c>
      <c r="H552" s="709"/>
      <c r="I552" s="708"/>
      <c r="J552" s="701">
        <v>0.0</v>
      </c>
      <c r="K552" s="709"/>
      <c r="L552" s="708"/>
      <c r="M552" s="701">
        <v>0.0</v>
      </c>
      <c r="N552" s="709"/>
      <c r="O552" s="708"/>
      <c r="P552" s="701">
        <v>0.0</v>
      </c>
      <c r="Q552" s="709"/>
      <c r="R552" s="708"/>
      <c r="S552" s="701">
        <v>0.0</v>
      </c>
      <c r="T552" s="709"/>
      <c r="U552" s="708"/>
      <c r="V552" s="701">
        <v>0.0</v>
      </c>
      <c r="W552" s="709"/>
      <c r="X552" s="708"/>
      <c r="Y552" s="701">
        <v>0.0</v>
      </c>
    </row>
    <row r="553" ht="14.25" customHeight="1">
      <c r="A553" s="559" t="s">
        <v>56</v>
      </c>
      <c r="B553" s="709"/>
      <c r="C553" s="708"/>
      <c r="D553" s="701">
        <v>0.0</v>
      </c>
      <c r="E553" s="709"/>
      <c r="F553" s="708"/>
      <c r="G553" s="701">
        <v>0.0</v>
      </c>
      <c r="H553" s="709"/>
      <c r="I553" s="708"/>
      <c r="J553" s="701">
        <v>0.0</v>
      </c>
      <c r="K553" s="709"/>
      <c r="L553" s="708"/>
      <c r="M553" s="701">
        <v>0.0</v>
      </c>
      <c r="N553" s="709"/>
      <c r="O553" s="708"/>
      <c r="P553" s="701">
        <v>0.0</v>
      </c>
      <c r="Q553" s="709"/>
      <c r="R553" s="708"/>
      <c r="S553" s="701">
        <v>0.0</v>
      </c>
      <c r="T553" s="709"/>
      <c r="U553" s="708"/>
      <c r="V553" s="701">
        <v>0.0</v>
      </c>
      <c r="W553" s="709"/>
      <c r="X553" s="708"/>
      <c r="Y553" s="701">
        <v>0.0</v>
      </c>
    </row>
    <row r="554" ht="14.25" customHeight="1">
      <c r="A554" s="559" t="s">
        <v>56</v>
      </c>
      <c r="B554" s="709"/>
      <c r="C554" s="708"/>
      <c r="D554" s="701">
        <v>0.0</v>
      </c>
      <c r="E554" s="709"/>
      <c r="F554" s="708"/>
      <c r="G554" s="701">
        <v>0.0</v>
      </c>
      <c r="H554" s="709"/>
      <c r="I554" s="708"/>
      <c r="J554" s="701">
        <v>0.0</v>
      </c>
      <c r="K554" s="709"/>
      <c r="L554" s="708"/>
      <c r="M554" s="701">
        <v>0.0</v>
      </c>
      <c r="N554" s="709"/>
      <c r="O554" s="708"/>
      <c r="P554" s="701">
        <v>0.0</v>
      </c>
      <c r="Q554" s="709"/>
      <c r="R554" s="708"/>
      <c r="S554" s="701">
        <v>0.0</v>
      </c>
      <c r="T554" s="709"/>
      <c r="U554" s="708"/>
      <c r="V554" s="701">
        <v>0.0</v>
      </c>
      <c r="W554" s="709"/>
      <c r="X554" s="708"/>
      <c r="Y554" s="701">
        <v>0.0</v>
      </c>
    </row>
    <row r="555" ht="14.25" customHeight="1">
      <c r="A555" s="715" t="s">
        <v>209</v>
      </c>
      <c r="B555" s="719">
        <v>0.1502134212440327</v>
      </c>
      <c r="C555" s="716"/>
      <c r="D555" s="718">
        <v>125191.54999999997</v>
      </c>
      <c r="E555" s="719">
        <v>0.16885939354627988</v>
      </c>
      <c r="F555" s="716"/>
      <c r="G555" s="718">
        <v>127431.04999999997</v>
      </c>
      <c r="H555" s="719">
        <v>0.13964516794088772</v>
      </c>
      <c r="I555" s="716"/>
      <c r="J555" s="718">
        <v>132575.44000000003</v>
      </c>
      <c r="K555" s="719">
        <v>0.119483096223375</v>
      </c>
      <c r="L555" s="716"/>
      <c r="M555" s="718">
        <v>132001.02</v>
      </c>
      <c r="N555" s="719">
        <v>0.15963863956450813</v>
      </c>
      <c r="O555" s="716"/>
      <c r="P555" s="718">
        <v>126762.54000000001</v>
      </c>
      <c r="Q555" s="719">
        <v>0.1705053530124569</v>
      </c>
      <c r="R555" s="716"/>
      <c r="S555" s="718">
        <v>116462.87999999999</v>
      </c>
      <c r="T555" s="719">
        <v>0.20912700837340895</v>
      </c>
      <c r="U555" s="716"/>
      <c r="V555" s="718">
        <v>123489.03000000001</v>
      </c>
      <c r="W555" s="719">
        <v>0.26590454674046676</v>
      </c>
      <c r="X555" s="716"/>
      <c r="Y555" s="718">
        <v>125178.06999999999</v>
      </c>
    </row>
    <row r="556" ht="14.25" customHeight="1">
      <c r="A556" s="559"/>
      <c r="B556" s="709"/>
      <c r="C556" s="700"/>
      <c r="D556" s="701"/>
      <c r="E556" s="709"/>
      <c r="F556" s="700"/>
      <c r="G556" s="701"/>
      <c r="H556" s="709"/>
      <c r="I556" s="700"/>
      <c r="J556" s="701"/>
      <c r="K556" s="709"/>
      <c r="L556" s="700"/>
      <c r="M556" s="701"/>
      <c r="N556" s="709"/>
      <c r="O556" s="700"/>
      <c r="P556" s="701"/>
      <c r="Q556" s="709"/>
      <c r="R556" s="700"/>
      <c r="S556" s="701"/>
      <c r="T556" s="709"/>
      <c r="U556" s="700"/>
      <c r="V556" s="701"/>
      <c r="W556" s="709"/>
      <c r="X556" s="700"/>
      <c r="Y556" s="701"/>
    </row>
    <row r="557" ht="14.25" customHeight="1">
      <c r="A557" s="715" t="s">
        <v>143</v>
      </c>
      <c r="B557" s="719">
        <v>0.7866895518422045</v>
      </c>
      <c r="C557" s="716"/>
      <c r="D557" s="718">
        <v>655646.3699999999</v>
      </c>
      <c r="E557" s="719">
        <v>0.7083339036801788</v>
      </c>
      <c r="F557" s="716"/>
      <c r="G557" s="718">
        <v>534549.6699999999</v>
      </c>
      <c r="H557" s="719">
        <v>0.4350561748802739</v>
      </c>
      <c r="I557" s="716"/>
      <c r="J557" s="718">
        <v>413030.86</v>
      </c>
      <c r="K557" s="719">
        <v>0.6459702301838551</v>
      </c>
      <c r="L557" s="716"/>
      <c r="M557" s="718">
        <v>713646.8</v>
      </c>
      <c r="N557" s="719">
        <v>0.7052007050456159</v>
      </c>
      <c r="O557" s="716"/>
      <c r="P557" s="718">
        <v>559971.1499999999</v>
      </c>
      <c r="Q557" s="719">
        <v>0.7291883276262906</v>
      </c>
      <c r="R557" s="716"/>
      <c r="S557" s="718">
        <v>498068.66</v>
      </c>
      <c r="T557" s="719">
        <v>1.051754032055932</v>
      </c>
      <c r="U557" s="716"/>
      <c r="V557" s="718">
        <v>621058.4</v>
      </c>
      <c r="W557" s="719">
        <v>1.0562974784901467</v>
      </c>
      <c r="X557" s="716"/>
      <c r="Y557" s="718">
        <v>497265.95999999996</v>
      </c>
    </row>
    <row r="558" ht="14.25" customHeight="1">
      <c r="A558" s="559" t="s">
        <v>210</v>
      </c>
      <c r="B558" s="748"/>
      <c r="C558" s="747"/>
      <c r="D558" s="727">
        <v>2781.52</v>
      </c>
      <c r="E558" s="748"/>
      <c r="F558" s="747"/>
      <c r="G558" s="727">
        <v>14133.099999999999</v>
      </c>
      <c r="H558" s="748"/>
      <c r="I558" s="747"/>
      <c r="J558" s="727">
        <v>26871.39</v>
      </c>
      <c r="K558" s="748"/>
      <c r="L558" s="747"/>
      <c r="M558" s="727">
        <v>22408.34</v>
      </c>
      <c r="N558" s="748"/>
      <c r="O558" s="747"/>
      <c r="P558" s="727">
        <v>-42980.29000000001</v>
      </c>
      <c r="Q558" s="748"/>
      <c r="R558" s="747"/>
      <c r="S558" s="727">
        <v>4532.59</v>
      </c>
      <c r="T558" s="748"/>
      <c r="U558" s="747"/>
      <c r="V558" s="727">
        <v>9504.710000000003</v>
      </c>
      <c r="W558" s="748"/>
      <c r="X558" s="747"/>
      <c r="Y558" s="727">
        <v>3910.669999999994</v>
      </c>
    </row>
    <row r="559" ht="14.25" customHeight="1">
      <c r="A559" s="559" t="s">
        <v>147</v>
      </c>
      <c r="B559" s="751"/>
      <c r="C559" s="752"/>
      <c r="D559" s="701">
        <v>0.0</v>
      </c>
      <c r="E559" s="751"/>
      <c r="F559" s="752"/>
      <c r="G559" s="701">
        <v>0.0</v>
      </c>
      <c r="H559" s="751"/>
      <c r="I559" s="752"/>
      <c r="J559" s="701">
        <v>0.0</v>
      </c>
      <c r="K559" s="751"/>
      <c r="L559" s="752"/>
      <c r="M559" s="701">
        <v>0.0</v>
      </c>
      <c r="N559" s="751"/>
      <c r="O559" s="752"/>
      <c r="P559" s="701">
        <v>0.0</v>
      </c>
      <c r="Q559" s="751"/>
      <c r="R559" s="752"/>
      <c r="S559" s="701">
        <v>0.0</v>
      </c>
      <c r="T559" s="751"/>
      <c r="U559" s="752"/>
      <c r="V559" s="701">
        <v>0.0</v>
      </c>
      <c r="W559" s="751"/>
      <c r="X559" s="752"/>
      <c r="Y559" s="701">
        <v>0.0</v>
      </c>
    </row>
    <row r="560" ht="14.25" customHeight="1">
      <c r="A560" s="559" t="s">
        <v>842</v>
      </c>
      <c r="B560" s="754"/>
      <c r="D560" s="701">
        <v>31433.86</v>
      </c>
      <c r="E560" s="754"/>
      <c r="G560" s="701">
        <v>-2020.0</v>
      </c>
      <c r="H560" s="754"/>
      <c r="J560" s="701">
        <v>-267.0</v>
      </c>
      <c r="K560" s="754"/>
      <c r="M560" s="701">
        <v>8481.86</v>
      </c>
      <c r="N560" s="754"/>
      <c r="P560" s="701">
        <v>31491.979999999996</v>
      </c>
      <c r="Q560" s="754"/>
      <c r="S560" s="701">
        <v>24351.53</v>
      </c>
      <c r="T560" s="754"/>
      <c r="V560" s="701">
        <v>2794.3899999999994</v>
      </c>
      <c r="W560" s="754"/>
      <c r="Y560" s="701">
        <v>35241.44</v>
      </c>
    </row>
    <row r="561" ht="14.25" customHeight="1">
      <c r="A561" s="559" t="s">
        <v>145</v>
      </c>
      <c r="B561" s="754"/>
      <c r="C561" s="741"/>
      <c r="D561" s="701">
        <v>0.0</v>
      </c>
      <c r="E561" s="754"/>
      <c r="F561" s="741"/>
      <c r="G561" s="701">
        <v>0.0</v>
      </c>
      <c r="H561" s="754"/>
      <c r="I561" s="741"/>
      <c r="J561" s="701">
        <v>0.0</v>
      </c>
      <c r="K561" s="754"/>
      <c r="L561" s="741"/>
      <c r="M561" s="701">
        <v>0.0</v>
      </c>
      <c r="N561" s="754"/>
      <c r="O561" s="741"/>
      <c r="P561" s="701">
        <v>0.0</v>
      </c>
      <c r="Q561" s="754"/>
      <c r="R561" s="741"/>
      <c r="S561" s="701">
        <v>0.0</v>
      </c>
      <c r="T561" s="754"/>
      <c r="U561" s="741"/>
      <c r="V561" s="701">
        <v>0.0</v>
      </c>
      <c r="W561" s="754"/>
      <c r="X561" s="741"/>
      <c r="Y561" s="701">
        <v>0.0</v>
      </c>
    </row>
    <row r="562" ht="14.25" customHeight="1">
      <c r="A562" s="559" t="s">
        <v>146</v>
      </c>
      <c r="B562" s="754"/>
      <c r="C562" s="741"/>
      <c r="D562" s="701">
        <v>0.0</v>
      </c>
      <c r="E562" s="754"/>
      <c r="F562" s="741"/>
      <c r="G562" s="701">
        <v>0.0</v>
      </c>
      <c r="H562" s="754"/>
      <c r="I562" s="741"/>
      <c r="J562" s="701">
        <v>0.0</v>
      </c>
      <c r="K562" s="754"/>
      <c r="L562" s="741"/>
      <c r="M562" s="701">
        <v>0.0</v>
      </c>
      <c r="N562" s="754"/>
      <c r="O562" s="741"/>
      <c r="P562" s="701">
        <v>0.0</v>
      </c>
      <c r="Q562" s="754"/>
      <c r="R562" s="741"/>
      <c r="S562" s="701">
        <v>0.0</v>
      </c>
      <c r="T562" s="754"/>
      <c r="U562" s="741"/>
      <c r="V562" s="701">
        <v>0.0</v>
      </c>
      <c r="W562" s="754"/>
      <c r="X562" s="741"/>
      <c r="Y562" s="701">
        <v>0.0</v>
      </c>
    </row>
    <row r="563" ht="14.25" customHeight="1">
      <c r="A563" s="559" t="s">
        <v>158</v>
      </c>
      <c r="B563" s="754"/>
      <c r="C563" s="741"/>
      <c r="D563" s="701">
        <v>0.0</v>
      </c>
      <c r="E563" s="754"/>
      <c r="F563" s="741"/>
      <c r="G563" s="701">
        <v>0.0</v>
      </c>
      <c r="H563" s="754"/>
      <c r="I563" s="741"/>
      <c r="J563" s="701">
        <v>0.0</v>
      </c>
      <c r="K563" s="754"/>
      <c r="L563" s="741"/>
      <c r="M563" s="701">
        <v>0.0</v>
      </c>
      <c r="N563" s="754"/>
      <c r="O563" s="741"/>
      <c r="P563" s="701">
        <v>0.0</v>
      </c>
      <c r="Q563" s="754"/>
      <c r="R563" s="741"/>
      <c r="S563" s="701">
        <v>0.0</v>
      </c>
      <c r="T563" s="754"/>
      <c r="U563" s="741"/>
      <c r="V563" s="701">
        <v>0.0</v>
      </c>
      <c r="W563" s="754"/>
      <c r="X563" s="741"/>
      <c r="Y563" s="701">
        <v>0.0</v>
      </c>
    </row>
    <row r="564" ht="14.25" customHeight="1">
      <c r="A564" s="559" t="s">
        <v>159</v>
      </c>
      <c r="B564" s="754"/>
      <c r="C564" s="741"/>
      <c r="D564" s="701">
        <v>0.0</v>
      </c>
      <c r="E564" s="754"/>
      <c r="F564" s="741"/>
      <c r="G564" s="701">
        <v>0.0</v>
      </c>
      <c r="H564" s="754"/>
      <c r="I564" s="741"/>
      <c r="J564" s="701">
        <v>0.0</v>
      </c>
      <c r="K564" s="754"/>
      <c r="L564" s="741"/>
      <c r="M564" s="701">
        <v>0.0</v>
      </c>
      <c r="N564" s="754"/>
      <c r="O564" s="741"/>
      <c r="P564" s="701">
        <v>0.0</v>
      </c>
      <c r="Q564" s="754"/>
      <c r="R564" s="741"/>
      <c r="S564" s="701">
        <v>0.0</v>
      </c>
      <c r="T564" s="754"/>
      <c r="U564" s="741"/>
      <c r="V564" s="701">
        <v>0.0</v>
      </c>
      <c r="W564" s="754"/>
      <c r="X564" s="741"/>
      <c r="Y564" s="701">
        <v>0.0</v>
      </c>
    </row>
    <row r="565" ht="14.25" customHeight="1">
      <c r="A565" s="559" t="s">
        <v>160</v>
      </c>
      <c r="B565" s="754"/>
      <c r="C565" s="741"/>
      <c r="D565" s="701">
        <v>0.0</v>
      </c>
      <c r="E565" s="754"/>
      <c r="F565" s="741"/>
      <c r="G565" s="701">
        <v>0.0</v>
      </c>
      <c r="H565" s="754"/>
      <c r="I565" s="741"/>
      <c r="J565" s="701">
        <v>0.0</v>
      </c>
      <c r="K565" s="754"/>
      <c r="L565" s="741"/>
      <c r="M565" s="701">
        <v>0.0</v>
      </c>
      <c r="N565" s="754"/>
      <c r="O565" s="741"/>
      <c r="P565" s="701">
        <v>0.0</v>
      </c>
      <c r="Q565" s="754"/>
      <c r="R565" s="741"/>
      <c r="S565" s="701">
        <v>0.0</v>
      </c>
      <c r="T565" s="754"/>
      <c r="U565" s="741"/>
      <c r="V565" s="701">
        <v>0.0</v>
      </c>
      <c r="W565" s="754"/>
      <c r="X565" s="741"/>
      <c r="Y565" s="701">
        <v>0.0</v>
      </c>
    </row>
    <row r="566" ht="14.25" customHeight="1">
      <c r="A566" s="559" t="s">
        <v>56</v>
      </c>
      <c r="B566" s="709"/>
      <c r="C566" s="708"/>
      <c r="D566" s="701">
        <v>0.0</v>
      </c>
      <c r="E566" s="709"/>
      <c r="F566" s="708"/>
      <c r="G566" s="701">
        <v>0.0</v>
      </c>
      <c r="H566" s="709"/>
      <c r="I566" s="708"/>
      <c r="J566" s="701">
        <v>0.0</v>
      </c>
      <c r="K566" s="709"/>
      <c r="L566" s="708"/>
      <c r="M566" s="701">
        <v>0.0</v>
      </c>
      <c r="N566" s="709"/>
      <c r="O566" s="708"/>
      <c r="P566" s="701">
        <v>0.0</v>
      </c>
      <c r="Q566" s="709"/>
      <c r="R566" s="708"/>
      <c r="S566" s="701">
        <v>0.0</v>
      </c>
      <c r="T566" s="709"/>
      <c r="U566" s="708"/>
      <c r="V566" s="701">
        <v>0.0</v>
      </c>
      <c r="W566" s="709"/>
      <c r="X566" s="708"/>
      <c r="Y566" s="701">
        <v>0.0</v>
      </c>
    </row>
    <row r="567" ht="14.25" customHeight="1">
      <c r="A567" s="559" t="s">
        <v>56</v>
      </c>
      <c r="B567" s="709"/>
      <c r="C567" s="708"/>
      <c r="D567" s="701">
        <v>0.0</v>
      </c>
      <c r="E567" s="709"/>
      <c r="F567" s="708"/>
      <c r="G567" s="701">
        <v>0.0</v>
      </c>
      <c r="H567" s="709"/>
      <c r="I567" s="708"/>
      <c r="J567" s="701">
        <v>0.0</v>
      </c>
      <c r="K567" s="709"/>
      <c r="L567" s="708"/>
      <c r="M567" s="701">
        <v>0.0</v>
      </c>
      <c r="N567" s="709"/>
      <c r="O567" s="708"/>
      <c r="P567" s="701">
        <v>0.0</v>
      </c>
      <c r="Q567" s="709"/>
      <c r="R567" s="708"/>
      <c r="S567" s="701">
        <v>0.0</v>
      </c>
      <c r="T567" s="709"/>
      <c r="U567" s="708"/>
      <c r="V567" s="701">
        <v>0.0</v>
      </c>
      <c r="W567" s="709"/>
      <c r="X567" s="708"/>
      <c r="Y567" s="701">
        <v>0.0</v>
      </c>
    </row>
    <row r="568" ht="14.25" customHeight="1">
      <c r="A568" s="559" t="s">
        <v>56</v>
      </c>
      <c r="B568" s="709"/>
      <c r="C568" s="708"/>
      <c r="D568" s="701">
        <v>0.0</v>
      </c>
      <c r="E568" s="709"/>
      <c r="F568" s="708"/>
      <c r="G568" s="701">
        <v>0.0</v>
      </c>
      <c r="H568" s="709"/>
      <c r="I568" s="708"/>
      <c r="J568" s="701">
        <v>0.0</v>
      </c>
      <c r="K568" s="709"/>
      <c r="L568" s="708"/>
      <c r="M568" s="701">
        <v>0.0</v>
      </c>
      <c r="N568" s="709"/>
      <c r="O568" s="708"/>
      <c r="P568" s="701">
        <v>0.0</v>
      </c>
      <c r="Q568" s="709"/>
      <c r="R568" s="708"/>
      <c r="S568" s="701">
        <v>0.0</v>
      </c>
      <c r="T568" s="709"/>
      <c r="U568" s="708"/>
      <c r="V568" s="701">
        <v>0.0</v>
      </c>
      <c r="W568" s="709"/>
      <c r="X568" s="708"/>
      <c r="Y568" s="701">
        <v>0.0</v>
      </c>
    </row>
    <row r="569" ht="14.25" customHeight="1">
      <c r="A569" s="560" t="s">
        <v>148</v>
      </c>
      <c r="B569" s="755"/>
      <c r="C569" s="740"/>
      <c r="D569" s="701">
        <v>0.0</v>
      </c>
      <c r="E569" s="755">
        <v>0.0</v>
      </c>
      <c r="F569" s="740">
        <v>0.0</v>
      </c>
      <c r="G569" s="701">
        <v>0.0</v>
      </c>
      <c r="H569" s="755">
        <v>0.0</v>
      </c>
      <c r="I569" s="740">
        <v>0.0</v>
      </c>
      <c r="J569" s="701">
        <v>0.0</v>
      </c>
      <c r="K569" s="755">
        <v>0.0</v>
      </c>
      <c r="L569" s="740">
        <v>0.0</v>
      </c>
      <c r="M569" s="701">
        <v>0.0</v>
      </c>
      <c r="N569" s="755">
        <v>91.88977955911824</v>
      </c>
      <c r="O569" s="740">
        <v>1.4014609694969131</v>
      </c>
      <c r="P569" s="701">
        <v>45853.0</v>
      </c>
      <c r="Q569" s="755">
        <v>63.056112224448896</v>
      </c>
      <c r="R569" s="740">
        <v>1.4338118022328548</v>
      </c>
      <c r="S569" s="701">
        <v>31465.0</v>
      </c>
      <c r="T569" s="755">
        <v>77.47895791583166</v>
      </c>
      <c r="U569" s="740">
        <v>1.2584057546463563</v>
      </c>
      <c r="V569" s="701">
        <v>38662.0</v>
      </c>
      <c r="W569" s="755">
        <v>49.11891783567133</v>
      </c>
      <c r="X569" s="740">
        <v>0.79778472154412</v>
      </c>
      <c r="Y569" s="701">
        <v>24510.339999999997</v>
      </c>
    </row>
    <row r="570" ht="14.25" customHeight="1">
      <c r="A570" s="715" t="s">
        <v>211</v>
      </c>
      <c r="B570" s="717">
        <v>0.04105396321848122</v>
      </c>
      <c r="C570" s="735"/>
      <c r="D570" s="718">
        <v>34215.38</v>
      </c>
      <c r="E570" s="717">
        <v>0.016051117211742686</v>
      </c>
      <c r="F570" s="735"/>
      <c r="G570" s="718">
        <v>12113.099999999999</v>
      </c>
      <c r="H570" s="717">
        <v>0.028023097713383963</v>
      </c>
      <c r="I570" s="735"/>
      <c r="J570" s="718">
        <v>26604.39</v>
      </c>
      <c r="K570" s="717">
        <v>0.027960819840326227</v>
      </c>
      <c r="L570" s="735"/>
      <c r="M570" s="718">
        <v>30890.2</v>
      </c>
      <c r="N570" s="717">
        <v>0.04327723600880871</v>
      </c>
      <c r="O570" s="735"/>
      <c r="P570" s="718">
        <v>34364.68999999999</v>
      </c>
      <c r="Q570" s="717">
        <v>0.08835302724431272</v>
      </c>
      <c r="R570" s="735"/>
      <c r="S570" s="718">
        <v>60349.119999999995</v>
      </c>
      <c r="T570" s="717">
        <v>0.0863019361834661</v>
      </c>
      <c r="U570" s="735"/>
      <c r="V570" s="718">
        <v>50961.100000000006</v>
      </c>
      <c r="W570" s="717">
        <v>0.13523243257894635</v>
      </c>
      <c r="X570" s="735"/>
      <c r="Y570" s="718">
        <v>63662.44999999999</v>
      </c>
    </row>
    <row r="571" ht="14.25" customHeight="1">
      <c r="A571" s="757"/>
      <c r="B571" s="758"/>
      <c r="C571" s="761"/>
      <c r="D571" s="760"/>
      <c r="E571" s="758"/>
      <c r="F571" s="761"/>
      <c r="G571" s="760"/>
      <c r="H571" s="758"/>
      <c r="I571" s="761"/>
      <c r="J571" s="760"/>
      <c r="K571" s="758"/>
      <c r="L571" s="761"/>
      <c r="M571" s="760"/>
      <c r="N571" s="758"/>
      <c r="O571" s="761"/>
      <c r="P571" s="760"/>
      <c r="Q571" s="758"/>
      <c r="R571" s="761"/>
      <c r="S571" s="760"/>
      <c r="T571" s="758"/>
      <c r="U571" s="761"/>
      <c r="V571" s="760"/>
      <c r="W571" s="758"/>
      <c r="X571" s="761"/>
      <c r="Y571" s="760"/>
    </row>
    <row r="572" ht="14.25" customHeight="1">
      <c r="A572" s="767" t="s">
        <v>212</v>
      </c>
      <c r="B572" s="769" t="s">
        <v>1104</v>
      </c>
      <c r="C572" s="770">
        <v>0.00968980015769269</v>
      </c>
      <c r="D572" s="771">
        <v>211993.54000000015</v>
      </c>
      <c r="E572" s="769" t="s">
        <v>1104</v>
      </c>
      <c r="F572" s="770">
        <v>0.014207049396249533</v>
      </c>
      <c r="G572" s="771">
        <v>232221.17999999938</v>
      </c>
      <c r="H572" s="769" t="s">
        <v>1104</v>
      </c>
      <c r="I572" s="770">
        <v>0.0249156707398236</v>
      </c>
      <c r="J572" s="771">
        <v>562947.1599999989</v>
      </c>
      <c r="K572" s="769" t="s">
        <v>1104</v>
      </c>
      <c r="L572" s="770">
        <v>0.01377193194205519</v>
      </c>
      <c r="M572" s="771">
        <v>422010.71999999887</v>
      </c>
      <c r="N572" s="769" t="s">
        <v>1104</v>
      </c>
      <c r="O572" s="770">
        <v>0.01040429637668501</v>
      </c>
      <c r="P572" s="771">
        <v>268452.7999999999</v>
      </c>
      <c r="Q572" s="769" t="s">
        <v>1104</v>
      </c>
      <c r="R572" s="770">
        <v>0.012400442033332439</v>
      </c>
      <c r="S572" s="771">
        <v>245325.76000000275</v>
      </c>
      <c r="T572" s="769" t="s">
        <v>1104</v>
      </c>
      <c r="U572" s="770">
        <v>0.0014150528133006729</v>
      </c>
      <c r="V572" s="771">
        <v>20400.460000003717</v>
      </c>
      <c r="W572" s="769" t="s">
        <v>1104</v>
      </c>
      <c r="X572" s="770">
        <v>0.0026640060589898356</v>
      </c>
      <c r="Y572" s="771">
        <v>37159.66999999711</v>
      </c>
    </row>
    <row r="573" ht="14.25" customHeight="1">
      <c r="A573" s="38"/>
      <c r="B573" s="48"/>
      <c r="C573" s="48"/>
      <c r="D573" s="483"/>
      <c r="E573" s="48"/>
      <c r="F573" s="48"/>
      <c r="G573" s="483"/>
      <c r="H573" s="48"/>
      <c r="I573" s="48"/>
      <c r="J573" s="483"/>
      <c r="K573" s="48"/>
      <c r="L573" s="48"/>
      <c r="M573" s="483"/>
      <c r="N573" s="48"/>
      <c r="O573" s="48"/>
      <c r="P573" s="483"/>
      <c r="Q573" s="48"/>
      <c r="R573" s="48"/>
      <c r="S573" s="483"/>
      <c r="T573" s="48"/>
      <c r="U573" s="48"/>
      <c r="V573" s="483"/>
      <c r="W573" s="48"/>
      <c r="X573" s="48"/>
      <c r="Y573" s="483"/>
    </row>
    <row r="574" ht="14.25" customHeight="1">
      <c r="A574" s="777" t="s">
        <v>1</v>
      </c>
      <c r="B574" s="777"/>
      <c r="C574" s="778" t="s">
        <v>213</v>
      </c>
      <c r="D574" s="777"/>
      <c r="E574" s="777"/>
      <c r="F574" s="778" t="s">
        <v>213</v>
      </c>
      <c r="G574" s="777"/>
      <c r="H574" s="777"/>
      <c r="I574" s="778" t="s">
        <v>213</v>
      </c>
      <c r="J574" s="777"/>
      <c r="K574" s="777"/>
      <c r="L574" s="778" t="s">
        <v>213</v>
      </c>
      <c r="M574" s="777"/>
      <c r="N574" s="777"/>
      <c r="O574" s="778" t="s">
        <v>213</v>
      </c>
      <c r="P574" s="777"/>
      <c r="Q574" s="777"/>
      <c r="R574" s="778" t="s">
        <v>213</v>
      </c>
      <c r="S574" s="777"/>
      <c r="T574" s="777"/>
      <c r="U574" s="778" t="s">
        <v>213</v>
      </c>
      <c r="V574" s="777"/>
      <c r="W574" s="777"/>
      <c r="X574" s="778" t="s">
        <v>213</v>
      </c>
      <c r="Y574" s="777"/>
    </row>
    <row r="575" ht="14.25" customHeight="1">
      <c r="A575" s="38"/>
      <c r="B575" s="48"/>
      <c r="C575" s="48"/>
      <c r="D575" s="483"/>
      <c r="E575" s="48"/>
      <c r="F575" s="48"/>
      <c r="G575" s="483"/>
      <c r="H575" s="48"/>
      <c r="I575" s="48"/>
      <c r="J575" s="483"/>
      <c r="K575" s="48"/>
      <c r="L575" s="48"/>
      <c r="M575" s="483"/>
      <c r="N575" s="48"/>
      <c r="O575" s="48"/>
      <c r="P575" s="483"/>
      <c r="Q575" s="48"/>
      <c r="R575" s="48"/>
      <c r="S575" s="483"/>
      <c r="T575" s="48"/>
      <c r="U575" s="48"/>
      <c r="V575" s="483"/>
      <c r="W575" s="48"/>
      <c r="X575" s="48"/>
      <c r="Y575" s="483"/>
    </row>
    <row r="576" ht="14.25" customHeight="1">
      <c r="A576" s="38"/>
      <c r="B576" s="48"/>
      <c r="C576" s="48"/>
      <c r="D576" s="483"/>
      <c r="E576" s="48"/>
      <c r="F576" s="48"/>
      <c r="G576" s="483"/>
      <c r="H576" s="48"/>
      <c r="I576" s="48"/>
      <c r="J576" s="483"/>
      <c r="K576" s="48"/>
      <c r="L576" s="48"/>
      <c r="M576" s="483"/>
      <c r="N576" s="48"/>
      <c r="O576" s="48"/>
      <c r="P576" s="483"/>
      <c r="Q576" s="48"/>
      <c r="R576" s="48"/>
      <c r="S576" s="483"/>
      <c r="T576" s="48"/>
      <c r="U576" s="48"/>
      <c r="V576" s="483"/>
      <c r="W576" s="48"/>
      <c r="X576" s="48"/>
      <c r="Y576" s="483"/>
    </row>
    <row r="577" ht="14.25" customHeight="1">
      <c r="A577" s="767" t="s">
        <v>229</v>
      </c>
      <c r="B577" s="769" t="s">
        <v>1104</v>
      </c>
      <c r="C577" s="770">
        <v>0.01665180965542053</v>
      </c>
      <c r="D577" s="775">
        <v>364308.4500000002</v>
      </c>
      <c r="E577" s="769" t="s">
        <v>1104</v>
      </c>
      <c r="F577" s="770">
        <v>0.023398069211597705</v>
      </c>
      <c r="G577" s="775">
        <v>382452.8999999994</v>
      </c>
      <c r="H577" s="769" t="s">
        <v>1104</v>
      </c>
      <c r="I577" s="770">
        <v>0.030948703217109488</v>
      </c>
      <c r="J577" s="775">
        <v>699258.0999999988</v>
      </c>
      <c r="K577" s="769" t="s">
        <v>1104</v>
      </c>
      <c r="L577" s="770">
        <v>0.016984038269673252</v>
      </c>
      <c r="M577" s="775">
        <v>520438.6899999989</v>
      </c>
      <c r="N577" s="769" t="s">
        <v>1104</v>
      </c>
      <c r="O577" s="770">
        <v>0.014417437543801743</v>
      </c>
      <c r="P577" s="775">
        <v>372000.3099999998</v>
      </c>
      <c r="Q577" s="769" t="s">
        <v>1104</v>
      </c>
      <c r="R577" s="770">
        <v>0.015647508887125395</v>
      </c>
      <c r="S577" s="775">
        <v>309564.53000000276</v>
      </c>
      <c r="T577" s="769" t="s">
        <v>1104</v>
      </c>
      <c r="U577" s="770">
        <v>0.007427734675975343</v>
      </c>
      <c r="V577" s="775">
        <v>107083.7800000037</v>
      </c>
      <c r="W577" s="769" t="s">
        <v>1104</v>
      </c>
      <c r="X577" s="770">
        <v>0.005807908825317653</v>
      </c>
      <c r="Y577" s="775">
        <v>81013.31999999715</v>
      </c>
    </row>
    <row r="578" ht="14.25" customHeight="1">
      <c r="A578" s="767" t="s">
        <v>212</v>
      </c>
      <c r="B578" s="769" t="s">
        <v>1104</v>
      </c>
      <c r="C578" s="770">
        <v>0.00968980015769269</v>
      </c>
      <c r="D578" s="771">
        <v>211993.54000000015</v>
      </c>
      <c r="E578" s="769" t="s">
        <v>1104</v>
      </c>
      <c r="F578" s="770">
        <v>0.014207049396249533</v>
      </c>
      <c r="G578" s="771">
        <v>232221.17999999938</v>
      </c>
      <c r="H578" s="769" t="s">
        <v>1104</v>
      </c>
      <c r="I578" s="770">
        <v>0.0249156707398236</v>
      </c>
      <c r="J578" s="771">
        <v>562947.1599999989</v>
      </c>
      <c r="K578" s="769" t="s">
        <v>1104</v>
      </c>
      <c r="L578" s="770">
        <v>0.01377193194205519</v>
      </c>
      <c r="M578" s="771">
        <v>422010.71999999887</v>
      </c>
      <c r="N578" s="769" t="s">
        <v>1104</v>
      </c>
      <c r="O578" s="770">
        <v>0.01040429637668501</v>
      </c>
      <c r="P578" s="771">
        <v>268452.7999999999</v>
      </c>
      <c r="Q578" s="769" t="s">
        <v>1104</v>
      </c>
      <c r="R578" s="770">
        <v>0.012400442033332439</v>
      </c>
      <c r="S578" s="771">
        <v>245325.76000000275</v>
      </c>
      <c r="T578" s="769" t="s">
        <v>1104</v>
      </c>
      <c r="U578" s="770">
        <v>0.0014150528133006729</v>
      </c>
      <c r="V578" s="771">
        <v>20400.460000003717</v>
      </c>
      <c r="W578" s="769" t="s">
        <v>1104</v>
      </c>
      <c r="X578" s="770">
        <v>0.0026640060589898356</v>
      </c>
      <c r="Y578" s="771">
        <v>37159.66999999711</v>
      </c>
    </row>
    <row r="579" ht="14.25" customHeight="1">
      <c r="A579" s="784"/>
      <c r="B579" s="40"/>
      <c r="C579" s="40"/>
      <c r="D579" s="785"/>
      <c r="E579" s="40"/>
      <c r="F579" s="40"/>
      <c r="G579" s="785"/>
      <c r="H579" s="40"/>
      <c r="I579" s="40"/>
      <c r="J579" s="785"/>
      <c r="K579" s="40"/>
      <c r="L579" s="40"/>
      <c r="M579" s="785"/>
      <c r="N579" s="786"/>
      <c r="O579" s="40"/>
      <c r="P579" s="785"/>
      <c r="Q579" s="786"/>
      <c r="R579" s="40"/>
      <c r="S579" s="785"/>
      <c r="T579" s="786"/>
      <c r="U579" s="40"/>
      <c r="V579" s="785"/>
      <c r="W579" s="786"/>
      <c r="X579" s="40"/>
      <c r="Y579" s="785"/>
    </row>
    <row r="580" ht="14.25" customHeight="1">
      <c r="A580" s="559" t="s">
        <v>214</v>
      </c>
      <c r="B580" s="700"/>
      <c r="C580" s="708"/>
      <c r="D580" s="701">
        <v>10810.0</v>
      </c>
      <c r="E580" s="700"/>
      <c r="F580" s="708"/>
      <c r="G580" s="701">
        <v>10810.0</v>
      </c>
      <c r="H580" s="700"/>
      <c r="I580" s="708"/>
      <c r="J580" s="701">
        <v>10810.0</v>
      </c>
      <c r="K580" s="700"/>
      <c r="L580" s="708"/>
      <c r="M580" s="701">
        <v>10810.0</v>
      </c>
      <c r="N580" s="709"/>
      <c r="O580" s="708"/>
      <c r="P580" s="701">
        <v>10810.0</v>
      </c>
      <c r="Q580" s="709"/>
      <c r="R580" s="708"/>
      <c r="S580" s="701">
        <v>10810.0</v>
      </c>
      <c r="T580" s="709"/>
      <c r="U580" s="708"/>
      <c r="V580" s="701">
        <v>10810.0</v>
      </c>
      <c r="W580" s="709"/>
      <c r="X580" s="708"/>
      <c r="Y580" s="701">
        <v>10810.0</v>
      </c>
    </row>
    <row r="581" ht="14.25" customHeight="1">
      <c r="A581" s="559" t="s">
        <v>215</v>
      </c>
      <c r="B581" s="40"/>
      <c r="C581" s="48"/>
      <c r="D581" s="701">
        <v>0.0</v>
      </c>
      <c r="E581" s="40"/>
      <c r="F581" s="48"/>
      <c r="G581" s="701">
        <v>0.0</v>
      </c>
      <c r="H581" s="40"/>
      <c r="I581" s="48"/>
      <c r="J581" s="701">
        <v>0.0</v>
      </c>
      <c r="K581" s="40"/>
      <c r="L581" s="48"/>
      <c r="M581" s="701">
        <v>0.0</v>
      </c>
      <c r="N581" s="790"/>
      <c r="O581" s="48"/>
      <c r="P581" s="701">
        <v>0.0</v>
      </c>
      <c r="Q581" s="790"/>
      <c r="R581" s="48"/>
      <c r="S581" s="701">
        <v>0.0</v>
      </c>
      <c r="T581" s="790"/>
      <c r="U581" s="48"/>
      <c r="V581" s="701">
        <v>0.0</v>
      </c>
      <c r="W581" s="790"/>
      <c r="X581" s="48"/>
      <c r="Y581" s="701">
        <v>0.0</v>
      </c>
    </row>
    <row r="582" ht="14.25" customHeight="1">
      <c r="A582" s="559" t="s">
        <v>216</v>
      </c>
      <c r="B582" s="40"/>
      <c r="C582" s="48"/>
      <c r="D582" s="701">
        <v>0.0</v>
      </c>
      <c r="E582" s="40"/>
      <c r="F582" s="48"/>
      <c r="G582" s="701">
        <v>0.0</v>
      </c>
      <c r="H582" s="40"/>
      <c r="I582" s="48"/>
      <c r="J582" s="701">
        <v>0.0</v>
      </c>
      <c r="K582" s="40"/>
      <c r="L582" s="48"/>
      <c r="M582" s="701">
        <v>8154.950000000004</v>
      </c>
      <c r="N582" s="790"/>
      <c r="O582" s="48"/>
      <c r="P582" s="701">
        <v>8101.860000000001</v>
      </c>
      <c r="Q582" s="790"/>
      <c r="R582" s="48"/>
      <c r="S582" s="701">
        <v>8048.549999999996</v>
      </c>
      <c r="T582" s="790"/>
      <c r="U582" s="48"/>
      <c r="V582" s="701">
        <v>7995.0</v>
      </c>
      <c r="W582" s="790"/>
      <c r="X582" s="48"/>
      <c r="Y582" s="701">
        <v>7941.220000000001</v>
      </c>
    </row>
    <row r="583" ht="14.25" customHeight="1">
      <c r="A583" s="559" t="s">
        <v>217</v>
      </c>
      <c r="B583" s="40"/>
      <c r="C583" s="48"/>
      <c r="D583" s="701">
        <v>0.0</v>
      </c>
      <c r="E583" s="40"/>
      <c r="F583" s="48"/>
      <c r="G583" s="701">
        <v>0.0</v>
      </c>
      <c r="H583" s="40"/>
      <c r="I583" s="48"/>
      <c r="J583" s="701">
        <v>0.0</v>
      </c>
      <c r="K583" s="40"/>
      <c r="L583" s="48"/>
      <c r="M583" s="701">
        <v>0.0</v>
      </c>
      <c r="N583" s="790"/>
      <c r="O583" s="48"/>
      <c r="P583" s="701">
        <v>0.0</v>
      </c>
      <c r="Q583" s="790"/>
      <c r="R583" s="48"/>
      <c r="S583" s="701">
        <v>0.0</v>
      </c>
      <c r="T583" s="790"/>
      <c r="U583" s="48"/>
      <c r="V583" s="701">
        <v>0.0</v>
      </c>
      <c r="W583" s="790"/>
      <c r="X583" s="48"/>
      <c r="Y583" s="701">
        <v>0.0</v>
      </c>
    </row>
    <row r="584" ht="14.25" customHeight="1">
      <c r="A584" s="559" t="s">
        <v>56</v>
      </c>
      <c r="B584" s="709"/>
      <c r="C584" s="708"/>
      <c r="D584" s="701">
        <v>0.0</v>
      </c>
      <c r="E584" s="709"/>
      <c r="F584" s="708"/>
      <c r="G584" s="701">
        <v>0.0</v>
      </c>
      <c r="H584" s="709"/>
      <c r="I584" s="708"/>
      <c r="J584" s="701">
        <v>0.0</v>
      </c>
      <c r="K584" s="709"/>
      <c r="L584" s="708"/>
      <c r="M584" s="701">
        <v>0.0</v>
      </c>
      <c r="N584" s="709"/>
      <c r="O584" s="708"/>
      <c r="P584" s="701">
        <v>0.0</v>
      </c>
      <c r="Q584" s="709"/>
      <c r="R584" s="708"/>
      <c r="S584" s="701">
        <v>0.0</v>
      </c>
      <c r="T584" s="709"/>
      <c r="U584" s="708"/>
      <c r="V584" s="701">
        <v>0.0</v>
      </c>
      <c r="W584" s="709"/>
      <c r="X584" s="708"/>
      <c r="Y584" s="701">
        <v>0.0</v>
      </c>
    </row>
    <row r="585" ht="14.25" customHeight="1">
      <c r="A585" s="559" t="s">
        <v>231</v>
      </c>
      <c r="B585" s="709"/>
      <c r="C585" s="708"/>
      <c r="D585" s="701">
        <v>0.0</v>
      </c>
      <c r="E585" s="709"/>
      <c r="F585" s="708"/>
      <c r="G585" s="701">
        <v>0.0</v>
      </c>
      <c r="H585" s="709"/>
      <c r="I585" s="708"/>
      <c r="J585" s="701">
        <v>0.0</v>
      </c>
      <c r="K585" s="709"/>
      <c r="L585" s="708"/>
      <c r="M585" s="701">
        <v>-810.96</v>
      </c>
      <c r="N585" s="709"/>
      <c r="O585" s="708"/>
      <c r="P585" s="701">
        <v>-3142.47</v>
      </c>
      <c r="Q585" s="709"/>
      <c r="R585" s="708"/>
      <c r="S585" s="701">
        <v>-1976.7100000000005</v>
      </c>
      <c r="T585" s="709"/>
      <c r="U585" s="708"/>
      <c r="V585" s="701">
        <v>-50.67999999999938</v>
      </c>
      <c r="W585" s="709"/>
      <c r="X585" s="708"/>
      <c r="Y585" s="701">
        <v>0.0</v>
      </c>
    </row>
    <row r="586" ht="14.25" customHeight="1">
      <c r="A586" s="559" t="s">
        <v>56</v>
      </c>
      <c r="B586" s="709"/>
      <c r="C586" s="708"/>
      <c r="D586" s="701">
        <v>0.0</v>
      </c>
      <c r="E586" s="709"/>
      <c r="F586" s="708"/>
      <c r="G586" s="701">
        <v>0.0</v>
      </c>
      <c r="H586" s="709"/>
      <c r="I586" s="708"/>
      <c r="J586" s="701">
        <v>0.0</v>
      </c>
      <c r="K586" s="709"/>
      <c r="L586" s="708"/>
      <c r="M586" s="701">
        <v>0.0</v>
      </c>
      <c r="N586" s="709"/>
      <c r="O586" s="708"/>
      <c r="P586" s="701">
        <v>0.0</v>
      </c>
      <c r="Q586" s="709"/>
      <c r="R586" s="708"/>
      <c r="S586" s="701">
        <v>0.0</v>
      </c>
      <c r="T586" s="709"/>
      <c r="U586" s="708"/>
      <c r="V586" s="701">
        <v>0.0</v>
      </c>
      <c r="W586" s="709"/>
      <c r="X586" s="708"/>
      <c r="Y586" s="701">
        <v>0.0</v>
      </c>
    </row>
    <row r="587" ht="14.25" customHeight="1">
      <c r="A587" s="767" t="s">
        <v>219</v>
      </c>
      <c r="B587" s="769" t="s">
        <v>1104</v>
      </c>
      <c r="C587" s="770">
        <v>0.009195696706688202</v>
      </c>
      <c r="D587" s="771">
        <v>201183.54000000015</v>
      </c>
      <c r="E587" s="769" t="s">
        <v>1104</v>
      </c>
      <c r="F587" s="770">
        <v>0.013545704879898965</v>
      </c>
      <c r="G587" s="771">
        <v>221411.17999999938</v>
      </c>
      <c r="H587" s="769" t="s">
        <v>1104</v>
      </c>
      <c r="I587" s="770">
        <v>0.024437227255540823</v>
      </c>
      <c r="J587" s="771">
        <v>552137.1599999989</v>
      </c>
      <c r="K587" s="769" t="s">
        <v>1104</v>
      </c>
      <c r="L587" s="770">
        <v>0.013179493165246981</v>
      </c>
      <c r="M587" s="771">
        <v>403856.7299999989</v>
      </c>
      <c r="N587" s="769" t="s">
        <v>1104</v>
      </c>
      <c r="O587" s="770">
        <v>0.009793129693977536</v>
      </c>
      <c r="P587" s="771">
        <v>252683.4099999999</v>
      </c>
      <c r="Q587" s="769" t="s">
        <v>1104</v>
      </c>
      <c r="R587" s="770">
        <v>0.011547118361427822</v>
      </c>
      <c r="S587" s="771">
        <v>228443.92000000275</v>
      </c>
      <c r="T587" s="769" t="s">
        <v>1104</v>
      </c>
      <c r="U587" s="770">
        <v>1.14182476183949E-4</v>
      </c>
      <c r="V587" s="771">
        <v>1646.1400000037165</v>
      </c>
      <c r="W587" s="769" t="s">
        <v>1104</v>
      </c>
      <c r="X587" s="770">
        <v>0.001319716303632609</v>
      </c>
      <c r="Y587" s="771">
        <v>18408.44999999711</v>
      </c>
    </row>
    <row r="588" ht="14.25" customHeight="1"/>
    <row r="589" ht="14.25" customHeight="1">
      <c r="C589" s="791"/>
      <c r="D589" s="791"/>
      <c r="F589" s="791"/>
      <c r="G589" s="791"/>
      <c r="I589" s="791"/>
      <c r="J589" s="791"/>
      <c r="L589" s="791"/>
      <c r="M589" s="791"/>
    </row>
    <row r="590" ht="14.25" customHeight="1">
      <c r="B590" s="40"/>
      <c r="C590" s="40"/>
      <c r="D590" s="791"/>
      <c r="E590" s="40"/>
      <c r="F590" s="40"/>
      <c r="G590" s="791"/>
      <c r="H590" s="40"/>
      <c r="I590" s="40"/>
      <c r="J590" s="791"/>
      <c r="K590" s="40"/>
      <c r="L590" s="40"/>
      <c r="M590" s="791"/>
    </row>
    <row r="591" ht="14.25" customHeight="1">
      <c r="A591" s="40"/>
      <c r="C591" s="40"/>
      <c r="D591" s="794"/>
      <c r="F591" s="40"/>
      <c r="G591" s="794"/>
      <c r="I591" s="40"/>
      <c r="J591" s="794"/>
      <c r="L591" s="40"/>
      <c r="M591" s="794"/>
      <c r="O591" s="791"/>
      <c r="P591" s="791"/>
      <c r="R591" s="791"/>
      <c r="S591" s="791"/>
      <c r="U591" s="791"/>
      <c r="V591" s="791"/>
      <c r="X591" s="791"/>
      <c r="Y591" s="791"/>
    </row>
    <row r="592" ht="14.25" customHeight="1">
      <c r="B592" s="40"/>
      <c r="C592" s="540"/>
      <c r="E592" s="40"/>
      <c r="F592" s="540"/>
      <c r="H592" s="40"/>
      <c r="I592" s="540"/>
      <c r="K592" s="40"/>
      <c r="L592" s="540"/>
      <c r="N592" s="40"/>
      <c r="O592" s="40"/>
      <c r="P592" s="791"/>
      <c r="Q592" s="40"/>
      <c r="R592" s="40"/>
      <c r="S592" s="791"/>
      <c r="T592" s="40"/>
      <c r="U592" s="40"/>
      <c r="V592" s="791"/>
      <c r="W592" s="40"/>
      <c r="X592" s="40"/>
      <c r="Y592" s="791"/>
    </row>
    <row r="593" ht="14.25" customHeight="1">
      <c r="B593" s="40"/>
      <c r="C593" s="40"/>
      <c r="E593" s="40"/>
      <c r="F593" s="40"/>
      <c r="H593" s="40"/>
      <c r="I593" s="40"/>
      <c r="K593" s="40"/>
      <c r="L593" s="40"/>
      <c r="O593" s="40"/>
      <c r="P593" s="794"/>
      <c r="R593" s="40"/>
      <c r="S593" s="794"/>
      <c r="U593" s="40"/>
      <c r="V593" s="794"/>
      <c r="X593" s="40"/>
      <c r="Y593" s="794"/>
    </row>
    <row r="594" ht="14.25" customHeight="1">
      <c r="B594" s="40"/>
      <c r="C594" s="40"/>
      <c r="E594" s="40"/>
      <c r="F594" s="40"/>
      <c r="H594" s="40"/>
      <c r="I594" s="40"/>
      <c r="K594" s="40"/>
      <c r="L594" s="40"/>
      <c r="N594" s="40"/>
      <c r="O594" s="40"/>
      <c r="Q594" s="40"/>
      <c r="R594" s="40"/>
      <c r="T594" s="40"/>
      <c r="U594" s="40"/>
      <c r="W594" s="40"/>
      <c r="X594" s="40"/>
    </row>
    <row r="595" ht="14.25" customHeight="1">
      <c r="B595" s="40"/>
      <c r="C595" s="40"/>
      <c r="E595" s="40"/>
      <c r="F595" s="40"/>
      <c r="H595" s="40"/>
      <c r="I595" s="40"/>
      <c r="K595" s="40"/>
      <c r="L595" s="40"/>
      <c r="N595" s="40"/>
      <c r="O595" s="40"/>
      <c r="Q595" s="40"/>
      <c r="R595" s="40"/>
      <c r="T595" s="40"/>
      <c r="U595" s="40"/>
      <c r="W595" s="40"/>
      <c r="X595" s="40"/>
    </row>
    <row r="596" ht="14.25" customHeight="1">
      <c r="B596" s="40"/>
      <c r="C596" s="40"/>
      <c r="E596" s="40"/>
      <c r="F596" s="40"/>
      <c r="H596" s="40"/>
      <c r="I596" s="40"/>
      <c r="K596" s="40"/>
      <c r="L596" s="40"/>
      <c r="N596" s="40"/>
      <c r="O596" s="40"/>
      <c r="Q596" s="40"/>
      <c r="R596" s="40"/>
      <c r="T596" s="40"/>
      <c r="U596" s="40"/>
      <c r="W596" s="40"/>
      <c r="X596" s="40"/>
    </row>
    <row r="597" ht="14.25" customHeight="1">
      <c r="B597" s="40"/>
      <c r="C597" s="40"/>
      <c r="E597" s="40"/>
      <c r="F597" s="40"/>
      <c r="H597" s="40"/>
      <c r="I597" s="40"/>
      <c r="K597" s="40"/>
      <c r="L597" s="40"/>
      <c r="N597" s="40"/>
      <c r="O597" s="40"/>
      <c r="Q597" s="40"/>
      <c r="R597" s="40"/>
      <c r="T597" s="40"/>
      <c r="U597" s="40"/>
      <c r="W597" s="40"/>
      <c r="X597" s="40"/>
    </row>
    <row r="598" ht="14.25" customHeight="1">
      <c r="B598" s="40"/>
      <c r="C598" s="40"/>
      <c r="E598" s="40"/>
      <c r="F598" s="40"/>
      <c r="H598" s="40"/>
      <c r="I598" s="40"/>
      <c r="K598" s="40"/>
      <c r="L598" s="40"/>
      <c r="N598" s="40"/>
      <c r="O598" s="40"/>
      <c r="Q598" s="40"/>
      <c r="R598" s="40"/>
      <c r="T598" s="40"/>
      <c r="U598" s="40"/>
      <c r="W598" s="40"/>
      <c r="X598" s="40"/>
    </row>
    <row r="599" ht="14.25" customHeight="1">
      <c r="B599" s="40"/>
      <c r="C599" s="40"/>
      <c r="E599" s="40"/>
      <c r="F599" s="40"/>
      <c r="H599" s="40"/>
      <c r="I599" s="40"/>
      <c r="N599" s="40"/>
      <c r="O599" s="40"/>
      <c r="Q599" s="40"/>
      <c r="R599" s="40"/>
      <c r="T599" s="40"/>
      <c r="U599" s="40"/>
      <c r="W599" s="40"/>
      <c r="X599" s="40"/>
    </row>
    <row r="600" ht="14.25" customHeight="1">
      <c r="B600" s="40"/>
      <c r="C600" s="40"/>
      <c r="D600" s="791"/>
      <c r="E600" s="40"/>
      <c r="F600" s="40"/>
      <c r="G600" s="791"/>
      <c r="H600" s="40"/>
      <c r="I600" s="40"/>
      <c r="J600" s="791"/>
      <c r="N600" s="40"/>
      <c r="O600" s="40"/>
      <c r="P600" s="791"/>
      <c r="Q600" s="40"/>
      <c r="R600" s="40"/>
      <c r="S600" s="791"/>
      <c r="T600" s="40"/>
      <c r="U600" s="40"/>
      <c r="V600" s="791"/>
      <c r="W600" s="40"/>
      <c r="X600" s="40"/>
      <c r="Y600" s="791"/>
    </row>
    <row r="601" ht="14.25" customHeight="1">
      <c r="B601" s="40"/>
      <c r="C601" s="40"/>
      <c r="D601" s="795"/>
      <c r="E601" s="40"/>
      <c r="F601" s="40"/>
      <c r="G601" s="795"/>
      <c r="H601" s="40"/>
      <c r="I601" s="40"/>
      <c r="J601" s="795"/>
      <c r="N601" s="40"/>
      <c r="O601" s="40"/>
      <c r="P601" s="795"/>
      <c r="Q601" s="40"/>
      <c r="R601" s="40"/>
      <c r="S601" s="795"/>
      <c r="T601" s="40"/>
      <c r="U601" s="40"/>
      <c r="V601" s="795"/>
      <c r="W601" s="40"/>
      <c r="X601" s="40"/>
      <c r="Y601" s="795"/>
    </row>
    <row r="602" ht="14.25" customHeight="1">
      <c r="B602" s="40"/>
      <c r="C602" s="40"/>
      <c r="D602" s="795"/>
      <c r="E602" s="40"/>
      <c r="F602" s="40"/>
      <c r="G602" s="795"/>
      <c r="H602" s="40"/>
      <c r="I602" s="40"/>
      <c r="J602" s="795"/>
      <c r="N602" s="40"/>
      <c r="O602" s="40"/>
      <c r="P602" s="795"/>
      <c r="Q602" s="40"/>
      <c r="R602" s="40"/>
      <c r="S602" s="795"/>
      <c r="T602" s="40"/>
      <c r="U602" s="40"/>
      <c r="V602" s="795"/>
      <c r="W602" s="40"/>
      <c r="X602" s="40"/>
      <c r="Y602" s="795"/>
    </row>
    <row r="603" ht="14.25" customHeight="1">
      <c r="B603" s="40"/>
      <c r="C603" s="40"/>
      <c r="D603" s="795"/>
      <c r="E603" s="40"/>
      <c r="F603" s="40"/>
      <c r="G603" s="795"/>
      <c r="H603" s="40"/>
      <c r="I603" s="40"/>
      <c r="J603" s="795"/>
      <c r="N603" s="40"/>
      <c r="O603" s="40"/>
      <c r="P603" s="795"/>
      <c r="Q603" s="40"/>
      <c r="R603" s="40"/>
      <c r="S603" s="795"/>
      <c r="T603" s="40"/>
      <c r="U603" s="40"/>
      <c r="V603" s="795"/>
      <c r="W603" s="40"/>
      <c r="X603" s="40"/>
      <c r="Y603" s="795"/>
    </row>
    <row r="604" ht="14.25" customHeight="1">
      <c r="B604" s="40"/>
      <c r="C604" s="40"/>
      <c r="D604" s="40"/>
      <c r="E604" s="40"/>
      <c r="F604" s="40"/>
      <c r="G604" s="40"/>
      <c r="H604" s="40"/>
      <c r="I604" s="40"/>
      <c r="J604" s="40"/>
      <c r="N604" s="40"/>
      <c r="O604" s="40"/>
      <c r="P604" s="40"/>
      <c r="Q604" s="40"/>
      <c r="R604" s="40"/>
      <c r="S604" s="40"/>
      <c r="T604" s="40"/>
      <c r="U604" s="40"/>
      <c r="V604" s="40"/>
      <c r="W604" s="40"/>
      <c r="X604" s="40"/>
      <c r="Y604" s="40"/>
    </row>
    <row r="605" ht="14.25" customHeight="1">
      <c r="B605" s="40"/>
      <c r="C605" s="40"/>
      <c r="D605" s="40"/>
      <c r="E605" s="40"/>
      <c r="F605" s="40"/>
      <c r="G605" s="40"/>
      <c r="H605" s="40"/>
      <c r="I605" s="40"/>
      <c r="J605" s="40"/>
      <c r="N605" s="40"/>
      <c r="O605" s="40"/>
      <c r="P605" s="40"/>
      <c r="Q605" s="40"/>
      <c r="R605" s="40"/>
      <c r="S605" s="40"/>
      <c r="T605" s="40"/>
      <c r="U605" s="40"/>
      <c r="V605" s="40"/>
      <c r="W605" s="40"/>
      <c r="X605" s="40"/>
      <c r="Y605" s="40"/>
    </row>
    <row r="606" ht="14.25" customHeight="1">
      <c r="B606" s="40"/>
      <c r="C606" s="40"/>
      <c r="D606" s="40"/>
      <c r="E606" s="40"/>
      <c r="F606" s="40"/>
      <c r="G606" s="40"/>
      <c r="H606" s="40"/>
      <c r="I606" s="40"/>
      <c r="J606" s="40"/>
      <c r="N606" s="40"/>
      <c r="O606" s="40"/>
      <c r="P606" s="40"/>
      <c r="Q606" s="40"/>
      <c r="R606" s="40"/>
      <c r="S606" s="40"/>
      <c r="T606" s="40"/>
      <c r="U606" s="40"/>
      <c r="V606" s="40"/>
      <c r="W606" s="40"/>
      <c r="X606" s="40"/>
      <c r="Y606" s="40"/>
    </row>
    <row r="607" ht="14.25" customHeight="1">
      <c r="B607" s="40"/>
      <c r="C607" s="40"/>
      <c r="D607" s="40"/>
      <c r="E607" s="40"/>
      <c r="F607" s="40"/>
      <c r="G607" s="40"/>
      <c r="H607" s="40"/>
      <c r="I607" s="40"/>
      <c r="J607" s="40"/>
      <c r="N607" s="40"/>
      <c r="O607" s="40"/>
      <c r="P607" s="40"/>
      <c r="Q607" s="40"/>
      <c r="R607" s="40"/>
      <c r="S607" s="40"/>
      <c r="T607" s="40"/>
      <c r="U607" s="40"/>
      <c r="V607" s="40"/>
      <c r="W607" s="40"/>
      <c r="X607" s="40"/>
      <c r="Y607" s="40"/>
    </row>
    <row r="608" ht="14.25" customHeight="1">
      <c r="B608" s="40"/>
      <c r="C608" s="40"/>
      <c r="D608" s="40"/>
      <c r="E608" s="40"/>
      <c r="F608" s="40"/>
      <c r="G608" s="40"/>
      <c r="H608" s="40"/>
      <c r="I608" s="40"/>
      <c r="J608" s="40"/>
      <c r="N608" s="40"/>
      <c r="O608" s="40"/>
      <c r="P608" s="40"/>
      <c r="Q608" s="40"/>
      <c r="R608" s="40"/>
      <c r="S608" s="40"/>
      <c r="T608" s="40"/>
      <c r="U608" s="40"/>
      <c r="V608" s="40"/>
      <c r="W608" s="40"/>
      <c r="X608" s="40"/>
      <c r="Y608" s="40"/>
    </row>
    <row r="609" ht="14.25" customHeight="1">
      <c r="B609" s="40"/>
      <c r="C609" s="40"/>
      <c r="D609" s="40"/>
      <c r="E609" s="40"/>
      <c r="F609" s="40"/>
      <c r="G609" s="40"/>
      <c r="H609" s="40"/>
      <c r="I609" s="40"/>
      <c r="J609" s="40"/>
      <c r="N609" s="40"/>
      <c r="O609" s="40"/>
      <c r="P609" s="40"/>
      <c r="Q609" s="40"/>
      <c r="R609" s="40"/>
      <c r="S609" s="40"/>
      <c r="T609" s="40"/>
      <c r="U609" s="40"/>
      <c r="V609" s="40"/>
      <c r="W609" s="40"/>
      <c r="X609" s="40"/>
      <c r="Y609" s="40"/>
    </row>
    <row r="610" ht="14.25" customHeight="1">
      <c r="B610" s="40"/>
      <c r="C610" s="40"/>
      <c r="D610" s="40"/>
      <c r="E610" s="40"/>
      <c r="F610" s="40"/>
      <c r="G610" s="40"/>
      <c r="H610" s="40"/>
      <c r="I610" s="40"/>
      <c r="J610" s="40"/>
      <c r="N610" s="40"/>
      <c r="O610" s="40"/>
      <c r="P610" s="40"/>
      <c r="Q610" s="40"/>
      <c r="R610" s="40"/>
      <c r="S610" s="40"/>
      <c r="T610" s="40"/>
      <c r="U610" s="40"/>
      <c r="V610" s="40"/>
      <c r="W610" s="40"/>
      <c r="X610" s="40"/>
      <c r="Y610" s="40"/>
    </row>
    <row r="611" ht="14.25" customHeight="1">
      <c r="B611" s="40"/>
      <c r="C611" s="40"/>
      <c r="D611" s="40"/>
      <c r="E611" s="40"/>
      <c r="F611" s="40"/>
      <c r="G611" s="40"/>
      <c r="H611" s="40"/>
      <c r="I611" s="40"/>
      <c r="J611" s="40"/>
      <c r="N611" s="40"/>
      <c r="O611" s="40"/>
      <c r="P611" s="40"/>
      <c r="Q611" s="40"/>
      <c r="R611" s="40"/>
      <c r="S611" s="40"/>
      <c r="T611" s="40"/>
      <c r="U611" s="40"/>
      <c r="V611" s="40"/>
      <c r="W611" s="40"/>
      <c r="X611" s="40"/>
      <c r="Y611" s="40"/>
    </row>
    <row r="612" ht="14.25" customHeight="1">
      <c r="B612" s="40"/>
      <c r="C612" s="40"/>
      <c r="D612" s="40"/>
      <c r="E612" s="40"/>
      <c r="F612" s="40"/>
      <c r="G612" s="40"/>
      <c r="H612" s="40"/>
      <c r="I612" s="40"/>
      <c r="J612" s="40"/>
      <c r="N612" s="40"/>
      <c r="O612" s="40"/>
      <c r="P612" s="40"/>
      <c r="Q612" s="40"/>
      <c r="R612" s="40"/>
      <c r="S612" s="40"/>
      <c r="T612" s="40"/>
      <c r="U612" s="40"/>
      <c r="V612" s="40"/>
      <c r="W612" s="40"/>
      <c r="X612" s="40"/>
      <c r="Y612" s="40"/>
    </row>
    <row r="613" ht="14.25" customHeight="1">
      <c r="B613" s="40"/>
      <c r="C613" s="40"/>
      <c r="D613" s="40"/>
      <c r="E613" s="40"/>
      <c r="F613" s="40"/>
      <c r="G613" s="40"/>
      <c r="H613" s="40"/>
      <c r="I613" s="40"/>
      <c r="J613" s="40"/>
      <c r="N613" s="40"/>
      <c r="O613" s="40"/>
      <c r="P613" s="40"/>
      <c r="Q613" s="40"/>
      <c r="R613" s="40"/>
      <c r="S613" s="40"/>
      <c r="T613" s="40"/>
      <c r="U613" s="40"/>
      <c r="V613" s="40"/>
      <c r="W613" s="40"/>
      <c r="X613" s="40"/>
      <c r="Y613" s="40"/>
    </row>
    <row r="614" ht="14.25" customHeight="1">
      <c r="B614" s="40"/>
      <c r="C614" s="40"/>
      <c r="D614" s="40"/>
      <c r="E614" s="40"/>
      <c r="F614" s="40"/>
      <c r="G614" s="40"/>
      <c r="H614" s="40"/>
      <c r="I614" s="40"/>
      <c r="J614" s="40"/>
      <c r="N614" s="40"/>
      <c r="O614" s="40"/>
      <c r="P614" s="40"/>
      <c r="Q614" s="40"/>
      <c r="R614" s="40"/>
      <c r="S614" s="40"/>
      <c r="T614" s="40"/>
      <c r="U614" s="40"/>
      <c r="V614" s="40"/>
      <c r="W614" s="40"/>
      <c r="X614" s="40"/>
      <c r="Y614" s="40"/>
    </row>
    <row r="615" ht="14.25" customHeight="1">
      <c r="B615" s="40"/>
      <c r="C615" s="40"/>
      <c r="D615" s="40"/>
      <c r="E615" s="40"/>
      <c r="F615" s="40"/>
      <c r="G615" s="40"/>
      <c r="H615" s="40"/>
      <c r="I615" s="40"/>
      <c r="J615" s="40"/>
      <c r="N615" s="40"/>
      <c r="O615" s="40"/>
      <c r="P615" s="40"/>
      <c r="Q615" s="40"/>
      <c r="R615" s="40"/>
      <c r="S615" s="40"/>
      <c r="T615" s="40"/>
      <c r="U615" s="40"/>
      <c r="V615" s="40"/>
      <c r="W615" s="40"/>
      <c r="X615" s="40"/>
      <c r="Y615" s="40"/>
    </row>
    <row r="616" ht="14.25" customHeight="1">
      <c r="B616" s="40"/>
      <c r="C616" s="40"/>
      <c r="D616" s="40"/>
      <c r="E616" s="40"/>
      <c r="F616" s="40"/>
      <c r="G616" s="40"/>
      <c r="H616" s="40"/>
      <c r="I616" s="40"/>
      <c r="J616" s="40"/>
      <c r="N616" s="40"/>
      <c r="O616" s="40"/>
      <c r="P616" s="40"/>
      <c r="Q616" s="40"/>
      <c r="R616" s="40"/>
      <c r="S616" s="40"/>
      <c r="T616" s="40"/>
      <c r="U616" s="40"/>
      <c r="V616" s="40"/>
      <c r="W616" s="40"/>
      <c r="X616" s="40"/>
      <c r="Y616" s="40"/>
    </row>
    <row r="617" ht="14.25" customHeight="1">
      <c r="B617" s="40"/>
      <c r="C617" s="40"/>
      <c r="D617" s="40"/>
      <c r="E617" s="40"/>
      <c r="F617" s="40"/>
      <c r="G617" s="40"/>
      <c r="H617" s="40"/>
      <c r="I617" s="40"/>
      <c r="J617" s="40"/>
      <c r="N617" s="40"/>
      <c r="O617" s="40"/>
      <c r="P617" s="40"/>
      <c r="Q617" s="40"/>
      <c r="R617" s="40"/>
      <c r="S617" s="40"/>
      <c r="T617" s="40"/>
      <c r="U617" s="40"/>
      <c r="V617" s="40"/>
      <c r="W617" s="40"/>
      <c r="X617" s="40"/>
      <c r="Y617" s="40"/>
    </row>
    <row r="618" ht="14.25" customHeight="1">
      <c r="B618" s="40"/>
      <c r="C618" s="40"/>
      <c r="D618" s="40"/>
      <c r="E618" s="40"/>
      <c r="F618" s="40"/>
      <c r="G618" s="40"/>
      <c r="H618" s="40"/>
      <c r="I618" s="40"/>
      <c r="J618" s="40"/>
      <c r="N618" s="40"/>
      <c r="O618" s="40"/>
      <c r="P618" s="40"/>
      <c r="Q618" s="40"/>
      <c r="R618" s="40"/>
      <c r="S618" s="40"/>
      <c r="T618" s="40"/>
      <c r="U618" s="40"/>
      <c r="V618" s="40"/>
      <c r="W618" s="40"/>
      <c r="X618" s="40"/>
      <c r="Y618" s="40"/>
    </row>
    <row r="619" ht="14.25" customHeight="1">
      <c r="B619" s="40"/>
      <c r="C619" s="40"/>
      <c r="D619" s="40"/>
      <c r="E619" s="40"/>
      <c r="F619" s="40"/>
      <c r="G619" s="40"/>
      <c r="H619" s="40"/>
      <c r="I619" s="40"/>
      <c r="J619" s="40"/>
      <c r="N619" s="40"/>
      <c r="O619" s="40"/>
      <c r="P619" s="40"/>
      <c r="Q619" s="40"/>
      <c r="R619" s="40"/>
      <c r="S619" s="40"/>
      <c r="T619" s="40"/>
      <c r="U619" s="40"/>
      <c r="V619" s="40"/>
      <c r="W619" s="40"/>
      <c r="X619" s="40"/>
      <c r="Y619" s="40"/>
    </row>
    <row r="620" ht="14.25" customHeight="1">
      <c r="B620" s="40"/>
      <c r="C620" s="40"/>
      <c r="D620" s="40"/>
      <c r="E620" s="40"/>
      <c r="F620" s="40"/>
      <c r="G620" s="40"/>
      <c r="H620" s="40"/>
      <c r="I620" s="40"/>
      <c r="J620" s="40"/>
      <c r="N620" s="40"/>
      <c r="O620" s="40"/>
      <c r="P620" s="40"/>
      <c r="Q620" s="40"/>
      <c r="R620" s="40"/>
      <c r="S620" s="40"/>
      <c r="T620" s="40"/>
      <c r="U620" s="40"/>
      <c r="V620" s="40"/>
      <c r="W620" s="40"/>
      <c r="X620" s="40"/>
      <c r="Y620" s="40"/>
    </row>
    <row r="621" ht="14.25" customHeight="1">
      <c r="B621" s="40"/>
      <c r="C621" s="40"/>
      <c r="D621" s="40"/>
      <c r="E621" s="40"/>
      <c r="F621" s="40"/>
      <c r="G621" s="40"/>
      <c r="H621" s="40"/>
      <c r="I621" s="40"/>
      <c r="J621" s="40"/>
      <c r="N621" s="40"/>
      <c r="O621" s="40"/>
      <c r="P621" s="40"/>
      <c r="Q621" s="40"/>
      <c r="R621" s="40"/>
      <c r="S621" s="40"/>
      <c r="T621" s="40"/>
      <c r="U621" s="40"/>
      <c r="V621" s="40"/>
      <c r="W621" s="40"/>
      <c r="X621" s="40"/>
      <c r="Y621" s="40"/>
    </row>
    <row r="622" ht="14.25" customHeight="1">
      <c r="B622" s="40"/>
      <c r="C622" s="40"/>
      <c r="D622" s="40"/>
      <c r="E622" s="40"/>
      <c r="F622" s="40"/>
      <c r="G622" s="40"/>
      <c r="H622" s="40"/>
      <c r="I622" s="40"/>
      <c r="J622" s="40"/>
      <c r="N622" s="40"/>
      <c r="O622" s="40"/>
      <c r="P622" s="40"/>
      <c r="Q622" s="40"/>
      <c r="R622" s="40"/>
      <c r="S622" s="40"/>
      <c r="T622" s="40"/>
      <c r="U622" s="40"/>
      <c r="V622" s="40"/>
      <c r="W622" s="40"/>
      <c r="X622" s="40"/>
      <c r="Y622" s="40"/>
    </row>
    <row r="623" ht="14.25" customHeight="1">
      <c r="B623" s="40"/>
      <c r="C623" s="40"/>
      <c r="D623" s="40"/>
      <c r="E623" s="40"/>
      <c r="F623" s="40"/>
      <c r="G623" s="40"/>
      <c r="H623" s="40"/>
      <c r="I623" s="40"/>
      <c r="J623" s="40"/>
      <c r="N623" s="40"/>
      <c r="O623" s="40"/>
      <c r="P623" s="40"/>
      <c r="Q623" s="40"/>
      <c r="R623" s="40"/>
      <c r="S623" s="40"/>
      <c r="T623" s="40"/>
      <c r="U623" s="40"/>
      <c r="V623" s="40"/>
      <c r="W623" s="40"/>
      <c r="X623" s="40"/>
      <c r="Y623" s="40"/>
    </row>
    <row r="624" ht="14.25" customHeight="1">
      <c r="B624" s="40"/>
      <c r="C624" s="40"/>
      <c r="D624" s="40"/>
      <c r="E624" s="40"/>
      <c r="F624" s="40"/>
      <c r="G624" s="40"/>
      <c r="H624" s="40"/>
      <c r="I624" s="40"/>
      <c r="J624" s="40"/>
      <c r="N624" s="40"/>
      <c r="O624" s="40"/>
      <c r="P624" s="40"/>
      <c r="Q624" s="40"/>
      <c r="R624" s="40"/>
      <c r="S624" s="40"/>
      <c r="T624" s="40"/>
      <c r="U624" s="40"/>
      <c r="V624" s="40"/>
      <c r="W624" s="40"/>
      <c r="X624" s="40"/>
      <c r="Y624" s="40"/>
    </row>
    <row r="625" ht="14.25" customHeight="1">
      <c r="B625" s="40"/>
      <c r="C625" s="40"/>
      <c r="D625" s="40"/>
      <c r="E625" s="40"/>
      <c r="F625" s="40"/>
      <c r="G625" s="40"/>
      <c r="H625" s="40"/>
      <c r="I625" s="40"/>
      <c r="J625" s="40"/>
      <c r="N625" s="40"/>
      <c r="O625" s="40"/>
      <c r="P625" s="40"/>
      <c r="Q625" s="40"/>
      <c r="R625" s="40"/>
      <c r="S625" s="40"/>
      <c r="T625" s="40"/>
      <c r="U625" s="40"/>
      <c r="V625" s="40"/>
      <c r="W625" s="40"/>
      <c r="X625" s="40"/>
      <c r="Y625" s="40"/>
    </row>
    <row r="626" ht="14.25" customHeight="1">
      <c r="B626" s="40"/>
      <c r="C626" s="40"/>
      <c r="D626" s="40"/>
      <c r="E626" s="40"/>
      <c r="F626" s="40"/>
      <c r="G626" s="40"/>
      <c r="H626" s="40"/>
      <c r="I626" s="40"/>
      <c r="J626" s="40"/>
      <c r="N626" s="40"/>
      <c r="O626" s="40"/>
      <c r="P626" s="40"/>
      <c r="Q626" s="40"/>
      <c r="R626" s="40"/>
      <c r="S626" s="40"/>
      <c r="T626" s="40"/>
      <c r="U626" s="40"/>
      <c r="V626" s="40"/>
      <c r="W626" s="40"/>
      <c r="X626" s="40"/>
      <c r="Y626" s="40"/>
    </row>
    <row r="627" ht="14.25" customHeight="1">
      <c r="B627" s="40"/>
      <c r="C627" s="40"/>
      <c r="D627" s="40"/>
      <c r="E627" s="40"/>
      <c r="F627" s="40"/>
      <c r="G627" s="40"/>
      <c r="H627" s="40"/>
      <c r="I627" s="40"/>
      <c r="J627" s="40"/>
      <c r="N627" s="40"/>
      <c r="O627" s="40"/>
      <c r="P627" s="40"/>
      <c r="Q627" s="40"/>
      <c r="R627" s="40"/>
      <c r="S627" s="40"/>
      <c r="T627" s="40"/>
      <c r="U627" s="40"/>
      <c r="V627" s="40"/>
      <c r="W627" s="40"/>
      <c r="X627" s="40"/>
      <c r="Y627" s="40"/>
    </row>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onditionalFormatting sqref="B5 B15:B16 B20:B26 B29 B33:C38 B39 B40:C54 B85:C85 B92:B93 B111 B125:C135 B138:C138 B156:C156 B172:B173 B198:C208 B211:C211 B229:C229 B245:B247 B249:B250 B252:B253 B256 B258:B263 B265:B266 B268:B270 B271:C271 B274:C276 B277 B278:C305 B313:B316 B332:C363 B370:B371 B408:C427 C92:D92 C95:D97 C101:D103 C172:D172 C175:D181 C245:D245 C247:D249 C251:D252 C254:D254 C257:D258 C260 C261:D269 C313:D313 C315:D317 C319:D320 C370:D370 C372:D372 C373:C381 C382:D384 C385:C386 C387:D391 D98 D250 D253 D259 D345:D362">
    <cfRule type="expression" dxfId="0" priority="1" stopIfTrue="1">
      <formula>"esterreur(reference)"</formula>
    </cfRule>
  </conditionalFormatting>
  <conditionalFormatting sqref="B18 D18:D26">
    <cfRule type="expression" dxfId="0" priority="2" stopIfTrue="1">
      <formula>"esterreur(reference)"</formula>
    </cfRule>
  </conditionalFormatting>
  <conditionalFormatting sqref="B184">
    <cfRule type="expression" dxfId="0" priority="3" stopIfTrue="1">
      <formula>"esterreur(reference)"</formula>
    </cfRule>
  </conditionalFormatting>
  <conditionalFormatting sqref="B319">
    <cfRule type="expression" dxfId="0" priority="4" stopIfTrue="1">
      <formula>"esterreur(reference)"</formula>
    </cfRule>
  </conditionalFormatting>
  <conditionalFormatting sqref="B328 B329:C329">
    <cfRule type="expression" dxfId="0" priority="5" stopIfTrue="1">
      <formula>"esterreur(reference)"</formula>
    </cfRule>
  </conditionalFormatting>
  <conditionalFormatting sqref="B373:B392">
    <cfRule type="expression" dxfId="0" priority="6" stopIfTrue="1">
      <formula>"esterreur(reference)"</formula>
    </cfRule>
  </conditionalFormatting>
  <conditionalFormatting sqref="B441">
    <cfRule type="expression" dxfId="0" priority="7" stopIfTrue="1">
      <formula>"esterreur(reference)"</formula>
    </cfRule>
  </conditionalFormatting>
  <conditionalFormatting sqref="B450 B451:C451">
    <cfRule type="expression" dxfId="0" priority="8" stopIfTrue="1">
      <formula>"esterreur(reference)"</formula>
    </cfRule>
  </conditionalFormatting>
  <conditionalFormatting sqref="B56:C56">
    <cfRule type="expression" dxfId="0" priority="9" stopIfTrue="1">
      <formula>"esterreur(reference)"</formula>
    </cfRule>
  </conditionalFormatting>
  <conditionalFormatting sqref="B74:C74">
    <cfRule type="expression" dxfId="0" priority="10" stopIfTrue="1">
      <formula>"esterreur(reference)"</formula>
    </cfRule>
  </conditionalFormatting>
  <conditionalFormatting sqref="B76:C76">
    <cfRule type="expression" dxfId="0" priority="11" stopIfTrue="1">
      <formula>"esterreur(reference)"</formula>
    </cfRule>
  </conditionalFormatting>
  <conditionalFormatting sqref="B87:C87">
    <cfRule type="expression" dxfId="0" priority="12" stopIfTrue="1">
      <formula>"esterreur(reference)"</formula>
    </cfRule>
  </conditionalFormatting>
  <conditionalFormatting sqref="B158:C160">
    <cfRule type="expression" dxfId="0" priority="13" stopIfTrue="1">
      <formula>"esterreur(reference)"</formula>
    </cfRule>
  </conditionalFormatting>
  <conditionalFormatting sqref="B166:C166">
    <cfRule type="expression" dxfId="0" priority="14" stopIfTrue="1">
      <formula>"esterreur(reference)"</formula>
    </cfRule>
  </conditionalFormatting>
  <conditionalFormatting sqref="B168:C170">
    <cfRule type="expression" dxfId="0" priority="15" stopIfTrue="1">
      <formula>"esterreur(reference)"</formula>
    </cfRule>
  </conditionalFormatting>
  <conditionalFormatting sqref="B231:C233">
    <cfRule type="expression" dxfId="0" priority="16" stopIfTrue="1">
      <formula>"esterreur(reference)"</formula>
    </cfRule>
  </conditionalFormatting>
  <conditionalFormatting sqref="B239:C239">
    <cfRule type="expression" dxfId="0" priority="17" stopIfTrue="1">
      <formula>"esterreur(reference)"</formula>
    </cfRule>
  </conditionalFormatting>
  <conditionalFormatting sqref="B241:C242">
    <cfRule type="expression" dxfId="0" priority="18" stopIfTrue="1">
      <formula>"esterreur(reference)"</formula>
    </cfRule>
  </conditionalFormatting>
  <conditionalFormatting sqref="B307:C307">
    <cfRule type="expression" dxfId="0" priority="19" stopIfTrue="1">
      <formula>"esterreur(reference)"</formula>
    </cfRule>
  </conditionalFormatting>
  <conditionalFormatting sqref="B309:C309">
    <cfRule type="expression" dxfId="0" priority="20" stopIfTrue="1">
      <formula>"esterreur(reference)"</formula>
    </cfRule>
  </conditionalFormatting>
  <conditionalFormatting sqref="B365:C365">
    <cfRule type="expression" dxfId="0" priority="21" stopIfTrue="1">
      <formula>"esterreur(reference)"</formula>
    </cfRule>
  </conditionalFormatting>
  <conditionalFormatting sqref="B367:C367">
    <cfRule type="expression" dxfId="0" priority="22" stopIfTrue="1">
      <formula>"esterreur(reference)"</formula>
    </cfRule>
  </conditionalFormatting>
  <conditionalFormatting sqref="B429:C429">
    <cfRule type="expression" dxfId="0" priority="23" stopIfTrue="1">
      <formula>"esterreur(reference)"</formula>
    </cfRule>
  </conditionalFormatting>
  <conditionalFormatting sqref="B431:C433">
    <cfRule type="expression" dxfId="0" priority="24" stopIfTrue="1">
      <formula>"esterreur(reference)"</formula>
    </cfRule>
  </conditionalFormatting>
  <conditionalFormatting sqref="B466:C466">
    <cfRule type="expression" dxfId="0" priority="25" stopIfTrue="1">
      <formula>"esterreur(reference)"</formula>
    </cfRule>
  </conditionalFormatting>
  <conditionalFormatting sqref="B484:C484">
    <cfRule type="expression" dxfId="0" priority="26" stopIfTrue="1">
      <formula>"esterreur(reference)"</formula>
    </cfRule>
  </conditionalFormatting>
  <conditionalFormatting sqref="B486:C486">
    <cfRule type="expression" dxfId="0" priority="27" stopIfTrue="1">
      <formula>"esterreur(reference)"</formula>
    </cfRule>
  </conditionalFormatting>
  <conditionalFormatting sqref="B488:C489">
    <cfRule type="expression" dxfId="0" priority="28" stopIfTrue="1">
      <formula>"esterreur(reference)"</formula>
    </cfRule>
  </conditionalFormatting>
  <conditionalFormatting sqref="B55:Y55 B57:Y73">
    <cfRule type="expression" dxfId="0" priority="29" stopIfTrue="1">
      <formula>"esterreur(reference)"</formula>
    </cfRule>
  </conditionalFormatting>
  <conditionalFormatting sqref="B182:Y183">
    <cfRule type="expression" dxfId="0" priority="30" stopIfTrue="1">
      <formula>"esterreur(reference)"</formula>
    </cfRule>
  </conditionalFormatting>
  <conditionalFormatting sqref="B185:Y197">
    <cfRule type="expression" dxfId="0" priority="31" stopIfTrue="1">
      <formula>"esterreur(reference)"</formula>
    </cfRule>
  </conditionalFormatting>
  <conditionalFormatting sqref="B437:Y438">
    <cfRule type="expression" dxfId="0" priority="32" stopIfTrue="1">
      <formula>"esterreur(reference)"</formula>
    </cfRule>
  </conditionalFormatting>
  <conditionalFormatting sqref="B449:Y449 B452:Y465">
    <cfRule type="expression" dxfId="0" priority="33" stopIfTrue="1">
      <formula>"esterreur(reference)"</formula>
    </cfRule>
  </conditionalFormatting>
  <conditionalFormatting sqref="B467:Y483">
    <cfRule type="expression" dxfId="0" priority="34" stopIfTrue="1">
      <formula>"esterreur(reference)"</formula>
    </cfRule>
  </conditionalFormatting>
  <conditionalFormatting sqref="B485:Y485 B487:Y487">
    <cfRule type="expression" dxfId="0" priority="35" stopIfTrue="1">
      <formula>"esterreur(reference)"</formula>
    </cfRule>
  </conditionalFormatting>
  <conditionalFormatting sqref="C7">
    <cfRule type="expression" dxfId="0" priority="36" stopIfTrue="1">
      <formula>"esterreur(reference)"</formula>
    </cfRule>
  </conditionalFormatting>
  <conditionalFormatting sqref="C323:D323">
    <cfRule type="expression" dxfId="0" priority="37" stopIfTrue="1">
      <formula>"esterreur(reference)"</formula>
    </cfRule>
  </conditionalFormatting>
  <conditionalFormatting sqref="B435:B436 C435:D435">
    <cfRule type="expression" dxfId="0" priority="38" stopIfTrue="1">
      <formula>"esterreur(reference)"</formula>
    </cfRule>
  </conditionalFormatting>
  <conditionalFormatting sqref="C439:D439 C441:D442">
    <cfRule type="expression" dxfId="0" priority="39" stopIfTrue="1">
      <formula>"esterreur(reference)"</formula>
    </cfRule>
  </conditionalFormatting>
  <conditionalFormatting sqref="C445:D445">
    <cfRule type="expression" dxfId="0" priority="40" stopIfTrue="1">
      <formula>"esterreur(reference)"</formula>
    </cfRule>
  </conditionalFormatting>
  <conditionalFormatting sqref="D7:D16">
    <cfRule type="expression" dxfId="0" priority="41" stopIfTrue="1">
      <formula>"esterreur(reference)"</formula>
    </cfRule>
  </conditionalFormatting>
  <conditionalFormatting sqref="D77:D84">
    <cfRule type="expression" dxfId="0" priority="42" stopIfTrue="1">
      <formula>"esterreur(reference)"</formula>
    </cfRule>
  </conditionalFormatting>
  <conditionalFormatting sqref="D159:D165">
    <cfRule type="expression" dxfId="0" priority="43" stopIfTrue="1">
      <formula>"esterreur(reference)"</formula>
    </cfRule>
  </conditionalFormatting>
  <conditionalFormatting sqref="D232:D238">
    <cfRule type="expression" dxfId="0" priority="44" stopIfTrue="1">
      <formula>"esterreur(reference)"</formula>
    </cfRule>
  </conditionalFormatting>
  <conditionalFormatting sqref="D274:D285">
    <cfRule type="expression" dxfId="0" priority="45" stopIfTrue="1">
      <formula>"esterreur(reference)"</formula>
    </cfRule>
  </conditionalFormatting>
  <conditionalFormatting sqref="D287:D304">
    <cfRule type="expression" dxfId="0" priority="46" stopIfTrue="1">
      <formula>"esterreur(reference)"</formula>
    </cfRule>
  </conditionalFormatting>
  <conditionalFormatting sqref="D326">
    <cfRule type="expression" dxfId="0" priority="47" stopIfTrue="1">
      <formula>"esterreur(reference)"</formula>
    </cfRule>
  </conditionalFormatting>
  <conditionalFormatting sqref="D332:D343">
    <cfRule type="expression" dxfId="0" priority="48" stopIfTrue="1">
      <formula>"esterreur(reference)"</formula>
    </cfRule>
  </conditionalFormatting>
  <conditionalFormatting sqref="D424:D426">
    <cfRule type="expression" dxfId="0" priority="49" stopIfTrue="1">
      <formula>"esterreur(reference)"</formula>
    </cfRule>
  </conditionalFormatting>
  <conditionalFormatting sqref="D256:E256 E5 E15:E16 E20:E26 E29 E33:F38 E39 E40:F54 E85:F85 E92:E93 E111 E125:F135 E138:F138 E156:F156 E172:E173 E198:F208 E211:F211 E229:F229 E245:E247 E249:E250 E252:E253 E258:E263 E265:E266 E268:E270 E271:F271 E274:F276 E277 E278:F305 E313:E316 E332:F363 E370:E371 E408:F427 F92:G92 F95:G97 F101:G103 F172:G172 F175:G181 F245:G245 F247:G249 F251:G252 F254:G254 F257:G258 F260 F261:G269 F313:G313 F315:G317 F319:G320 F370:G370 F372:G372 F373:F381 F382:G384 F385:F386 F387:G391 G98 G250 G253 G259 G345:G362">
    <cfRule type="expression" dxfId="0" priority="50" stopIfTrue="1">
      <formula>"esterreur(reference)"</formula>
    </cfRule>
  </conditionalFormatting>
  <conditionalFormatting sqref="E18 G18:G26">
    <cfRule type="expression" dxfId="0" priority="51" stopIfTrue="1">
      <formula>"esterreur(reference)"</formula>
    </cfRule>
  </conditionalFormatting>
  <conditionalFormatting sqref="E184">
    <cfRule type="expression" dxfId="0" priority="52" stopIfTrue="1">
      <formula>"esterreur(reference)"</formula>
    </cfRule>
  </conditionalFormatting>
  <conditionalFormatting sqref="E319">
    <cfRule type="expression" dxfId="0" priority="53" stopIfTrue="1">
      <formula>"esterreur(reference)"</formula>
    </cfRule>
  </conditionalFormatting>
  <conditionalFormatting sqref="E328 E329:F329">
    <cfRule type="expression" dxfId="0" priority="54" stopIfTrue="1">
      <formula>"esterreur(reference)"</formula>
    </cfRule>
  </conditionalFormatting>
  <conditionalFormatting sqref="E373:E392">
    <cfRule type="expression" dxfId="0" priority="55" stopIfTrue="1">
      <formula>"esterreur(reference)"</formula>
    </cfRule>
  </conditionalFormatting>
  <conditionalFormatting sqref="E441">
    <cfRule type="expression" dxfId="0" priority="56" stopIfTrue="1">
      <formula>"esterreur(reference)"</formula>
    </cfRule>
  </conditionalFormatting>
  <conditionalFormatting sqref="E450 E451:F451">
    <cfRule type="expression" dxfId="0" priority="57" stopIfTrue="1">
      <formula>"esterreur(reference)"</formula>
    </cfRule>
  </conditionalFormatting>
  <conditionalFormatting sqref="E56:F56">
    <cfRule type="expression" dxfId="0" priority="58" stopIfTrue="1">
      <formula>"esterreur(reference)"</formula>
    </cfRule>
  </conditionalFormatting>
  <conditionalFormatting sqref="E74:F74">
    <cfRule type="expression" dxfId="0" priority="59" stopIfTrue="1">
      <formula>"esterreur(reference)"</formula>
    </cfRule>
  </conditionalFormatting>
  <conditionalFormatting sqref="E76:F76">
    <cfRule type="expression" dxfId="0" priority="60" stopIfTrue="1">
      <formula>"esterreur(reference)"</formula>
    </cfRule>
  </conditionalFormatting>
  <conditionalFormatting sqref="E87:F87">
    <cfRule type="expression" dxfId="0" priority="61" stopIfTrue="1">
      <formula>"esterreur(reference)"</formula>
    </cfRule>
  </conditionalFormatting>
  <conditionalFormatting sqref="E158:F160">
    <cfRule type="expression" dxfId="0" priority="62" stopIfTrue="1">
      <formula>"esterreur(reference)"</formula>
    </cfRule>
  </conditionalFormatting>
  <conditionalFormatting sqref="E166:F166">
    <cfRule type="expression" dxfId="0" priority="63" stopIfTrue="1">
      <formula>"esterreur(reference)"</formula>
    </cfRule>
  </conditionalFormatting>
  <conditionalFormatting sqref="E168:F170">
    <cfRule type="expression" dxfId="0" priority="64" stopIfTrue="1">
      <formula>"esterreur(reference)"</formula>
    </cfRule>
  </conditionalFormatting>
  <conditionalFormatting sqref="E231:F233">
    <cfRule type="expression" dxfId="0" priority="65" stopIfTrue="1">
      <formula>"esterreur(reference)"</formula>
    </cfRule>
  </conditionalFormatting>
  <conditionalFormatting sqref="E239:F239">
    <cfRule type="expression" dxfId="0" priority="66" stopIfTrue="1">
      <formula>"esterreur(reference)"</formula>
    </cfRule>
  </conditionalFormatting>
  <conditionalFormatting sqref="E241:F242">
    <cfRule type="expression" dxfId="0" priority="67" stopIfTrue="1">
      <formula>"esterreur(reference)"</formula>
    </cfRule>
  </conditionalFormatting>
  <conditionalFormatting sqref="E307:F307">
    <cfRule type="expression" dxfId="0" priority="68" stopIfTrue="1">
      <formula>"esterreur(reference)"</formula>
    </cfRule>
  </conditionalFormatting>
  <conditionalFormatting sqref="E309:F309">
    <cfRule type="expression" dxfId="0" priority="69" stopIfTrue="1">
      <formula>"esterreur(reference)"</formula>
    </cfRule>
  </conditionalFormatting>
  <conditionalFormatting sqref="E365:F365">
    <cfRule type="expression" dxfId="0" priority="70" stopIfTrue="1">
      <formula>"esterreur(reference)"</formula>
    </cfRule>
  </conditionalFormatting>
  <conditionalFormatting sqref="E367:F367">
    <cfRule type="expression" dxfId="0" priority="71" stopIfTrue="1">
      <formula>"esterreur(reference)"</formula>
    </cfRule>
  </conditionalFormatting>
  <conditionalFormatting sqref="E429:F429">
    <cfRule type="expression" dxfId="0" priority="72" stopIfTrue="1">
      <formula>"esterreur(reference)"</formula>
    </cfRule>
  </conditionalFormatting>
  <conditionalFormatting sqref="E431:F433">
    <cfRule type="expression" dxfId="0" priority="73" stopIfTrue="1">
      <formula>"esterreur(reference)"</formula>
    </cfRule>
  </conditionalFormatting>
  <conditionalFormatting sqref="E466:F466">
    <cfRule type="expression" dxfId="0" priority="74" stopIfTrue="1">
      <formula>"esterreur(reference)"</formula>
    </cfRule>
  </conditionalFormatting>
  <conditionalFormatting sqref="E484:F484">
    <cfRule type="expression" dxfId="0" priority="75" stopIfTrue="1">
      <formula>"esterreur(reference)"</formula>
    </cfRule>
  </conditionalFormatting>
  <conditionalFormatting sqref="E486:F486">
    <cfRule type="expression" dxfId="0" priority="76" stopIfTrue="1">
      <formula>"esterreur(reference)"</formula>
    </cfRule>
  </conditionalFormatting>
  <conditionalFormatting sqref="E488:F489">
    <cfRule type="expression" dxfId="0" priority="77" stopIfTrue="1">
      <formula>"esterreur(reference)"</formula>
    </cfRule>
  </conditionalFormatting>
  <conditionalFormatting sqref="F7">
    <cfRule type="expression" dxfId="0" priority="78" stopIfTrue="1">
      <formula>"esterreur(reference)"</formula>
    </cfRule>
  </conditionalFormatting>
  <conditionalFormatting sqref="F323:G323">
    <cfRule type="expression" dxfId="0" priority="79" stopIfTrue="1">
      <formula>"esterreur(reference)"</formula>
    </cfRule>
  </conditionalFormatting>
  <conditionalFormatting sqref="E435:E436 F435:G435">
    <cfRule type="expression" dxfId="0" priority="80" stopIfTrue="1">
      <formula>"esterreur(reference)"</formula>
    </cfRule>
  </conditionalFormatting>
  <conditionalFormatting sqref="F439:G439 F441:G442">
    <cfRule type="expression" dxfId="0" priority="81" stopIfTrue="1">
      <formula>"esterreur(reference)"</formula>
    </cfRule>
  </conditionalFormatting>
  <conditionalFormatting sqref="F445:G445">
    <cfRule type="expression" dxfId="0" priority="82" stopIfTrue="1">
      <formula>"esterreur(reference)"</formula>
    </cfRule>
  </conditionalFormatting>
  <conditionalFormatting sqref="G7:G16">
    <cfRule type="expression" dxfId="0" priority="83" stopIfTrue="1">
      <formula>"esterreur(reference)"</formula>
    </cfRule>
  </conditionalFormatting>
  <conditionalFormatting sqref="G77:G84">
    <cfRule type="expression" dxfId="0" priority="84" stopIfTrue="1">
      <formula>"esterreur(reference)"</formula>
    </cfRule>
  </conditionalFormatting>
  <conditionalFormatting sqref="G159:G165">
    <cfRule type="expression" dxfId="0" priority="85" stopIfTrue="1">
      <formula>"esterreur(reference)"</formula>
    </cfRule>
  </conditionalFormatting>
  <conditionalFormatting sqref="G232:G238">
    <cfRule type="expression" dxfId="0" priority="86" stopIfTrue="1">
      <formula>"esterreur(reference)"</formula>
    </cfRule>
  </conditionalFormatting>
  <conditionalFormatting sqref="G274:G285">
    <cfRule type="expression" dxfId="0" priority="87" stopIfTrue="1">
      <formula>"esterreur(reference)"</formula>
    </cfRule>
  </conditionalFormatting>
  <conditionalFormatting sqref="G287:G304">
    <cfRule type="expression" dxfId="0" priority="88" stopIfTrue="1">
      <formula>"esterreur(reference)"</formula>
    </cfRule>
  </conditionalFormatting>
  <conditionalFormatting sqref="G326">
    <cfRule type="expression" dxfId="0" priority="89" stopIfTrue="1">
      <formula>"esterreur(reference)"</formula>
    </cfRule>
  </conditionalFormatting>
  <conditionalFormatting sqref="G332:G343">
    <cfRule type="expression" dxfId="0" priority="90" stopIfTrue="1">
      <formula>"esterreur(reference)"</formula>
    </cfRule>
  </conditionalFormatting>
  <conditionalFormatting sqref="G424:G426">
    <cfRule type="expression" dxfId="0" priority="91" stopIfTrue="1">
      <formula>"esterreur(reference)"</formula>
    </cfRule>
  </conditionalFormatting>
  <conditionalFormatting sqref="G256:H256 H5 H15:H16 H20:H26 H29 H33:I38 H39 H40:I54 H85:I85 H92:H93 H111 H125:I135 H138:I138 H156:I156 H172:H173 H198:I208 H211:I211 H229:I229 H245:H247 H249:H250 H252:H253 H258:H263 H265:H266 H268:H270 H271:I271 H274:I276 H277 H278:I305 H313:H316 H332:I363 H370:H371 H408:I427 I92:J92 I95:J97 I101:J103 I172:J172 I175:J181 I245:J245 I247:J249 I251:J252 I254:J254 I257:J258 I260 I261:J269 I313:J313 I315:J317 I319:J320 I370:J370 I372:J372 I373:I381 I382:J384 I385:I386 I387:J391 J98 J250 J253 J259 J345:J362">
    <cfRule type="expression" dxfId="0" priority="92" stopIfTrue="1">
      <formula>"esterreur(reference)"</formula>
    </cfRule>
  </conditionalFormatting>
  <conditionalFormatting sqref="H18 J18:J26">
    <cfRule type="expression" dxfId="0" priority="93" stopIfTrue="1">
      <formula>"esterreur(reference)"</formula>
    </cfRule>
  </conditionalFormatting>
  <conditionalFormatting sqref="H184">
    <cfRule type="expression" dxfId="0" priority="94" stopIfTrue="1">
      <formula>"esterreur(reference)"</formula>
    </cfRule>
  </conditionalFormatting>
  <conditionalFormatting sqref="H319">
    <cfRule type="expression" dxfId="0" priority="95" stopIfTrue="1">
      <formula>"esterreur(reference)"</formula>
    </cfRule>
  </conditionalFormatting>
  <conditionalFormatting sqref="H328 H329:I329">
    <cfRule type="expression" dxfId="0" priority="96" stopIfTrue="1">
      <formula>"esterreur(reference)"</formula>
    </cfRule>
  </conditionalFormatting>
  <conditionalFormatting sqref="H373:H392">
    <cfRule type="expression" dxfId="0" priority="97" stopIfTrue="1">
      <formula>"esterreur(reference)"</formula>
    </cfRule>
  </conditionalFormatting>
  <conditionalFormatting sqref="H441">
    <cfRule type="expression" dxfId="0" priority="98" stopIfTrue="1">
      <formula>"esterreur(reference)"</formula>
    </cfRule>
  </conditionalFormatting>
  <conditionalFormatting sqref="H450 H451:I451">
    <cfRule type="expression" dxfId="0" priority="99" stopIfTrue="1">
      <formula>"esterreur(reference)"</formula>
    </cfRule>
  </conditionalFormatting>
  <conditionalFormatting sqref="H56:I56">
    <cfRule type="expression" dxfId="0" priority="100" stopIfTrue="1">
      <formula>"esterreur(reference)"</formula>
    </cfRule>
  </conditionalFormatting>
  <conditionalFormatting sqref="H74:I74">
    <cfRule type="expression" dxfId="0" priority="101" stopIfTrue="1">
      <formula>"esterreur(reference)"</formula>
    </cfRule>
  </conditionalFormatting>
  <conditionalFormatting sqref="H76:I76">
    <cfRule type="expression" dxfId="0" priority="102" stopIfTrue="1">
      <formula>"esterreur(reference)"</formula>
    </cfRule>
  </conditionalFormatting>
  <conditionalFormatting sqref="H87:I87">
    <cfRule type="expression" dxfId="0" priority="103" stopIfTrue="1">
      <formula>"esterreur(reference)"</formula>
    </cfRule>
  </conditionalFormatting>
  <conditionalFormatting sqref="H158:I160">
    <cfRule type="expression" dxfId="0" priority="104" stopIfTrue="1">
      <formula>"esterreur(reference)"</formula>
    </cfRule>
  </conditionalFormatting>
  <conditionalFormatting sqref="H166:I166">
    <cfRule type="expression" dxfId="0" priority="105" stopIfTrue="1">
      <formula>"esterreur(reference)"</formula>
    </cfRule>
  </conditionalFormatting>
  <conditionalFormatting sqref="H168:I170">
    <cfRule type="expression" dxfId="0" priority="106" stopIfTrue="1">
      <formula>"esterreur(reference)"</formula>
    </cfRule>
  </conditionalFormatting>
  <conditionalFormatting sqref="H231:I233">
    <cfRule type="expression" dxfId="0" priority="107" stopIfTrue="1">
      <formula>"esterreur(reference)"</formula>
    </cfRule>
  </conditionalFormatting>
  <conditionalFormatting sqref="H239:I239">
    <cfRule type="expression" dxfId="0" priority="108" stopIfTrue="1">
      <formula>"esterreur(reference)"</formula>
    </cfRule>
  </conditionalFormatting>
  <conditionalFormatting sqref="H241:I242">
    <cfRule type="expression" dxfId="0" priority="109" stopIfTrue="1">
      <formula>"esterreur(reference)"</formula>
    </cfRule>
  </conditionalFormatting>
  <conditionalFormatting sqref="H307:I307">
    <cfRule type="expression" dxfId="0" priority="110" stopIfTrue="1">
      <formula>"esterreur(reference)"</formula>
    </cfRule>
  </conditionalFormatting>
  <conditionalFormatting sqref="H309:I309">
    <cfRule type="expression" dxfId="0" priority="111" stopIfTrue="1">
      <formula>"esterreur(reference)"</formula>
    </cfRule>
  </conditionalFormatting>
  <conditionalFormatting sqref="H365:I365">
    <cfRule type="expression" dxfId="0" priority="112" stopIfTrue="1">
      <formula>"esterreur(reference)"</formula>
    </cfRule>
  </conditionalFormatting>
  <conditionalFormatting sqref="H367:I367">
    <cfRule type="expression" dxfId="0" priority="113" stopIfTrue="1">
      <formula>"esterreur(reference)"</formula>
    </cfRule>
  </conditionalFormatting>
  <conditionalFormatting sqref="H429:I429">
    <cfRule type="expression" dxfId="0" priority="114" stopIfTrue="1">
      <formula>"esterreur(reference)"</formula>
    </cfRule>
  </conditionalFormatting>
  <conditionalFormatting sqref="H431:I433">
    <cfRule type="expression" dxfId="0" priority="115" stopIfTrue="1">
      <formula>"esterreur(reference)"</formula>
    </cfRule>
  </conditionalFormatting>
  <conditionalFormatting sqref="H466:I466">
    <cfRule type="expression" dxfId="0" priority="116" stopIfTrue="1">
      <formula>"esterreur(reference)"</formula>
    </cfRule>
  </conditionalFormatting>
  <conditionalFormatting sqref="H484:I484">
    <cfRule type="expression" dxfId="0" priority="117" stopIfTrue="1">
      <formula>"esterreur(reference)"</formula>
    </cfRule>
  </conditionalFormatting>
  <conditionalFormatting sqref="H486:I486">
    <cfRule type="expression" dxfId="0" priority="118" stopIfTrue="1">
      <formula>"esterreur(reference)"</formula>
    </cfRule>
  </conditionalFormatting>
  <conditionalFormatting sqref="H488:I489">
    <cfRule type="expression" dxfId="0" priority="119" stopIfTrue="1">
      <formula>"esterreur(reference)"</formula>
    </cfRule>
  </conditionalFormatting>
  <conditionalFormatting sqref="I7">
    <cfRule type="expression" dxfId="0" priority="120" stopIfTrue="1">
      <formula>"esterreur(reference)"</formula>
    </cfRule>
  </conditionalFormatting>
  <conditionalFormatting sqref="I323:J323">
    <cfRule type="expression" dxfId="0" priority="121" stopIfTrue="1">
      <formula>"esterreur(reference)"</formula>
    </cfRule>
  </conditionalFormatting>
  <conditionalFormatting sqref="H435:H436 I435:J435">
    <cfRule type="expression" dxfId="0" priority="122" stopIfTrue="1">
      <formula>"esterreur(reference)"</formula>
    </cfRule>
  </conditionalFormatting>
  <conditionalFormatting sqref="I439:J439 I441:J442">
    <cfRule type="expression" dxfId="0" priority="123" stopIfTrue="1">
      <formula>"esterreur(reference)"</formula>
    </cfRule>
  </conditionalFormatting>
  <conditionalFormatting sqref="I445:J445">
    <cfRule type="expression" dxfId="0" priority="124" stopIfTrue="1">
      <formula>"esterreur(reference)"</formula>
    </cfRule>
  </conditionalFormatting>
  <conditionalFormatting sqref="J7:J16">
    <cfRule type="expression" dxfId="0" priority="125" stopIfTrue="1">
      <formula>"esterreur(reference)"</formula>
    </cfRule>
  </conditionalFormatting>
  <conditionalFormatting sqref="J77:J84">
    <cfRule type="expression" dxfId="0" priority="126" stopIfTrue="1">
      <formula>"esterreur(reference)"</formula>
    </cfRule>
  </conditionalFormatting>
  <conditionalFormatting sqref="J159:J165">
    <cfRule type="expression" dxfId="0" priority="127" stopIfTrue="1">
      <formula>"esterreur(reference)"</formula>
    </cfRule>
  </conditionalFormatting>
  <conditionalFormatting sqref="J232:J238">
    <cfRule type="expression" dxfId="0" priority="128" stopIfTrue="1">
      <formula>"esterreur(reference)"</formula>
    </cfRule>
  </conditionalFormatting>
  <conditionalFormatting sqref="J274:J285">
    <cfRule type="expression" dxfId="0" priority="129" stopIfTrue="1">
      <formula>"esterreur(reference)"</formula>
    </cfRule>
  </conditionalFormatting>
  <conditionalFormatting sqref="J287:J304">
    <cfRule type="expression" dxfId="0" priority="130" stopIfTrue="1">
      <formula>"esterreur(reference)"</formula>
    </cfRule>
  </conditionalFormatting>
  <conditionalFormatting sqref="J326">
    <cfRule type="expression" dxfId="0" priority="131" stopIfTrue="1">
      <formula>"esterreur(reference)"</formula>
    </cfRule>
  </conditionalFormatting>
  <conditionalFormatting sqref="J332:J343">
    <cfRule type="expression" dxfId="0" priority="132" stopIfTrue="1">
      <formula>"esterreur(reference)"</formula>
    </cfRule>
  </conditionalFormatting>
  <conditionalFormatting sqref="J424:J426">
    <cfRule type="expression" dxfId="0" priority="133" stopIfTrue="1">
      <formula>"esterreur(reference)"</formula>
    </cfRule>
  </conditionalFormatting>
  <conditionalFormatting sqref="J256:K256 K5 K15:K16 K20:K26 K29 K33:L38 K39 K40:L54 K85:L85 K92:K93 K111 K125:L135 K138:L138 K156:L156 K172:K173 K198:L208 K211:L211 K229:L229 K245:K247 K249:K250 K252:K253 K258:K263 K265:K266 K268:K270 K271:L271 K274:L276 K277 K278:L305 K313:K316 K332:L363 K370:K371 K408:L427 L92:M92 L95:M97 L101:M103 L172:M172 L175:M181 L245:M245 L247:M249 L251:M252 L254:M254 L257:M258 L260 L261:M269 L313:M313 L315:M317 L319:M320 L370:M370 L372:M372 L373:L381 L382:M384 L385:L386 L387:M391 M98 M250 M253 M259 M345:M362">
    <cfRule type="expression" dxfId="0" priority="134" stopIfTrue="1">
      <formula>"esterreur(reference)"</formula>
    </cfRule>
  </conditionalFormatting>
  <conditionalFormatting sqref="K18 M18:M26">
    <cfRule type="expression" dxfId="0" priority="135" stopIfTrue="1">
      <formula>"esterreur(reference)"</formula>
    </cfRule>
  </conditionalFormatting>
  <conditionalFormatting sqref="K184">
    <cfRule type="expression" dxfId="0" priority="136" stopIfTrue="1">
      <formula>"esterreur(reference)"</formula>
    </cfRule>
  </conditionalFormatting>
  <conditionalFormatting sqref="K319">
    <cfRule type="expression" dxfId="0" priority="137" stopIfTrue="1">
      <formula>"esterreur(reference)"</formula>
    </cfRule>
  </conditionalFormatting>
  <conditionalFormatting sqref="K328 K329:L329">
    <cfRule type="expression" dxfId="0" priority="138" stopIfTrue="1">
      <formula>"esterreur(reference)"</formula>
    </cfRule>
  </conditionalFormatting>
  <conditionalFormatting sqref="K373:K392">
    <cfRule type="expression" dxfId="0" priority="139" stopIfTrue="1">
      <formula>"esterreur(reference)"</formula>
    </cfRule>
  </conditionalFormatting>
  <conditionalFormatting sqref="K441">
    <cfRule type="expression" dxfId="0" priority="140" stopIfTrue="1">
      <formula>"esterreur(reference)"</formula>
    </cfRule>
  </conditionalFormatting>
  <conditionalFormatting sqref="K450 K451:L451">
    <cfRule type="expression" dxfId="0" priority="141" stopIfTrue="1">
      <formula>"esterreur(reference)"</formula>
    </cfRule>
  </conditionalFormatting>
  <conditionalFormatting sqref="K56:L56">
    <cfRule type="expression" dxfId="0" priority="142" stopIfTrue="1">
      <formula>"esterreur(reference)"</formula>
    </cfRule>
  </conditionalFormatting>
  <conditionalFormatting sqref="K74:L74">
    <cfRule type="expression" dxfId="0" priority="143" stopIfTrue="1">
      <formula>"esterreur(reference)"</formula>
    </cfRule>
  </conditionalFormatting>
  <conditionalFormatting sqref="K76:L76">
    <cfRule type="expression" dxfId="0" priority="144" stopIfTrue="1">
      <formula>"esterreur(reference)"</formula>
    </cfRule>
  </conditionalFormatting>
  <conditionalFormatting sqref="K87:L87">
    <cfRule type="expression" dxfId="0" priority="145" stopIfTrue="1">
      <formula>"esterreur(reference)"</formula>
    </cfRule>
  </conditionalFormatting>
  <conditionalFormatting sqref="K158:L160">
    <cfRule type="expression" dxfId="0" priority="146" stopIfTrue="1">
      <formula>"esterreur(reference)"</formula>
    </cfRule>
  </conditionalFormatting>
  <conditionalFormatting sqref="K166:L166">
    <cfRule type="expression" dxfId="0" priority="147" stopIfTrue="1">
      <formula>"esterreur(reference)"</formula>
    </cfRule>
  </conditionalFormatting>
  <conditionalFormatting sqref="K168:L170">
    <cfRule type="expression" dxfId="0" priority="148" stopIfTrue="1">
      <formula>"esterreur(reference)"</formula>
    </cfRule>
  </conditionalFormatting>
  <conditionalFormatting sqref="K231:L233">
    <cfRule type="expression" dxfId="0" priority="149" stopIfTrue="1">
      <formula>"esterreur(reference)"</formula>
    </cfRule>
  </conditionalFormatting>
  <conditionalFormatting sqref="K239:L239">
    <cfRule type="expression" dxfId="0" priority="150" stopIfTrue="1">
      <formula>"esterreur(reference)"</formula>
    </cfRule>
  </conditionalFormatting>
  <conditionalFormatting sqref="K241:L242">
    <cfRule type="expression" dxfId="0" priority="151" stopIfTrue="1">
      <formula>"esterreur(reference)"</formula>
    </cfRule>
  </conditionalFormatting>
  <conditionalFormatting sqref="K307:L307">
    <cfRule type="expression" dxfId="0" priority="152" stopIfTrue="1">
      <formula>"esterreur(reference)"</formula>
    </cfRule>
  </conditionalFormatting>
  <conditionalFormatting sqref="K309:L309">
    <cfRule type="expression" dxfId="0" priority="153" stopIfTrue="1">
      <formula>"esterreur(reference)"</formula>
    </cfRule>
  </conditionalFormatting>
  <conditionalFormatting sqref="K365:L365">
    <cfRule type="expression" dxfId="0" priority="154" stopIfTrue="1">
      <formula>"esterreur(reference)"</formula>
    </cfRule>
  </conditionalFormatting>
  <conditionalFormatting sqref="K367:L367">
    <cfRule type="expression" dxfId="0" priority="155" stopIfTrue="1">
      <formula>"esterreur(reference)"</formula>
    </cfRule>
  </conditionalFormatting>
  <conditionalFormatting sqref="K429:L429">
    <cfRule type="expression" dxfId="0" priority="156" stopIfTrue="1">
      <formula>"esterreur(reference)"</formula>
    </cfRule>
  </conditionalFormatting>
  <conditionalFormatting sqref="K431:L433">
    <cfRule type="expression" dxfId="0" priority="157" stopIfTrue="1">
      <formula>"esterreur(reference)"</formula>
    </cfRule>
  </conditionalFormatting>
  <conditionalFormatting sqref="K466:L466">
    <cfRule type="expression" dxfId="0" priority="158" stopIfTrue="1">
      <formula>"esterreur(reference)"</formula>
    </cfRule>
  </conditionalFormatting>
  <conditionalFormatting sqref="K484:L484">
    <cfRule type="expression" dxfId="0" priority="159" stopIfTrue="1">
      <formula>"esterreur(reference)"</formula>
    </cfRule>
  </conditionalFormatting>
  <conditionalFormatting sqref="K486:L486">
    <cfRule type="expression" dxfId="0" priority="160" stopIfTrue="1">
      <formula>"esterreur(reference)"</formula>
    </cfRule>
  </conditionalFormatting>
  <conditionalFormatting sqref="K488:L489">
    <cfRule type="expression" dxfId="0" priority="161" stopIfTrue="1">
      <formula>"esterreur(reference)"</formula>
    </cfRule>
  </conditionalFormatting>
  <conditionalFormatting sqref="L7">
    <cfRule type="expression" dxfId="0" priority="162" stopIfTrue="1">
      <formula>"esterreur(reference)"</formula>
    </cfRule>
  </conditionalFormatting>
  <conditionalFormatting sqref="L323:M323">
    <cfRule type="expression" dxfId="0" priority="163" stopIfTrue="1">
      <formula>"esterreur(reference)"</formula>
    </cfRule>
  </conditionalFormatting>
  <conditionalFormatting sqref="K435:K436 L435:M435">
    <cfRule type="expression" dxfId="0" priority="164" stopIfTrue="1">
      <formula>"esterreur(reference)"</formula>
    </cfRule>
  </conditionalFormatting>
  <conditionalFormatting sqref="L439:M439 L441:M442">
    <cfRule type="expression" dxfId="0" priority="165" stopIfTrue="1">
      <formula>"esterreur(reference)"</formula>
    </cfRule>
  </conditionalFormatting>
  <conditionalFormatting sqref="L445:M445">
    <cfRule type="expression" dxfId="0" priority="166" stopIfTrue="1">
      <formula>"esterreur(reference)"</formula>
    </cfRule>
  </conditionalFormatting>
  <conditionalFormatting sqref="M7:M16">
    <cfRule type="expression" dxfId="0" priority="167" stopIfTrue="1">
      <formula>"esterreur(reference)"</formula>
    </cfRule>
  </conditionalFormatting>
  <conditionalFormatting sqref="M77:M84">
    <cfRule type="expression" dxfId="0" priority="168" stopIfTrue="1">
      <formula>"esterreur(reference)"</formula>
    </cfRule>
  </conditionalFormatting>
  <conditionalFormatting sqref="M159:M165">
    <cfRule type="expression" dxfId="0" priority="169" stopIfTrue="1">
      <formula>"esterreur(reference)"</formula>
    </cfRule>
  </conditionalFormatting>
  <conditionalFormatting sqref="M232:M238">
    <cfRule type="expression" dxfId="0" priority="170" stopIfTrue="1">
      <formula>"esterreur(reference)"</formula>
    </cfRule>
  </conditionalFormatting>
  <conditionalFormatting sqref="M274:M285">
    <cfRule type="expression" dxfId="0" priority="171" stopIfTrue="1">
      <formula>"esterreur(reference)"</formula>
    </cfRule>
  </conditionalFormatting>
  <conditionalFormatting sqref="M287:M304">
    <cfRule type="expression" dxfId="0" priority="172" stopIfTrue="1">
      <formula>"esterreur(reference)"</formula>
    </cfRule>
  </conditionalFormatting>
  <conditionalFormatting sqref="M326">
    <cfRule type="expression" dxfId="0" priority="173" stopIfTrue="1">
      <formula>"esterreur(reference)"</formula>
    </cfRule>
  </conditionalFormatting>
  <conditionalFormatting sqref="M332:M343">
    <cfRule type="expression" dxfId="0" priority="174" stopIfTrue="1">
      <formula>"esterreur(reference)"</formula>
    </cfRule>
  </conditionalFormatting>
  <conditionalFormatting sqref="M424:M426">
    <cfRule type="expression" dxfId="0" priority="175" stopIfTrue="1">
      <formula>"esterreur(reference)"</formula>
    </cfRule>
  </conditionalFormatting>
  <conditionalFormatting sqref="M256:N256 N5 N15:N16 N20:N26 N29 N33:O38 N39 N40:O54 N85:O85 N92:N93 N111 N125:O135 N138:O138 N156:O156 N172:N173 N198:O208 N211:O211 N229:O229 N245:N247 N249:N250 N252:N253 N258:N263 N265:N266 N268:N270 N271:O271 N274:O276 N277 N278:O305 N313:N316 N332:O363 N370:N371 N408:O427 O92:P92 O95:P97 O101:P103 O172:P172 O175:P181 O245:P245 O247:P249 O251:P252 O254:P254 O257:P258 O260 O261:P269 O313:P313 O315:P317 O319:P320 O370:P370 O372:P372 O373:O381 O382:P384 O385:O386 O387:P391 P98 P250 P253 P259 P345:P362">
    <cfRule type="expression" dxfId="0" priority="176" stopIfTrue="1">
      <formula>"esterreur(reference)"</formula>
    </cfRule>
  </conditionalFormatting>
  <conditionalFormatting sqref="N18 P18:P26">
    <cfRule type="expression" dxfId="0" priority="177" stopIfTrue="1">
      <formula>"esterreur(reference)"</formula>
    </cfRule>
  </conditionalFormatting>
  <conditionalFormatting sqref="N184">
    <cfRule type="expression" dxfId="0" priority="178" stopIfTrue="1">
      <formula>"esterreur(reference)"</formula>
    </cfRule>
  </conditionalFormatting>
  <conditionalFormatting sqref="N319">
    <cfRule type="expression" dxfId="0" priority="179" stopIfTrue="1">
      <formula>"esterreur(reference)"</formula>
    </cfRule>
  </conditionalFormatting>
  <conditionalFormatting sqref="N328 N329:O329">
    <cfRule type="expression" dxfId="0" priority="180" stopIfTrue="1">
      <formula>"esterreur(reference)"</formula>
    </cfRule>
  </conditionalFormatting>
  <conditionalFormatting sqref="N373:N392">
    <cfRule type="expression" dxfId="0" priority="181" stopIfTrue="1">
      <formula>"esterreur(reference)"</formula>
    </cfRule>
  </conditionalFormatting>
  <conditionalFormatting sqref="N441">
    <cfRule type="expression" dxfId="0" priority="182" stopIfTrue="1">
      <formula>"esterreur(reference)"</formula>
    </cfRule>
  </conditionalFormatting>
  <conditionalFormatting sqref="N450 N451:O451">
    <cfRule type="expression" dxfId="0" priority="183" stopIfTrue="1">
      <formula>"esterreur(reference)"</formula>
    </cfRule>
  </conditionalFormatting>
  <conditionalFormatting sqref="N56:O56">
    <cfRule type="expression" dxfId="0" priority="184" stopIfTrue="1">
      <formula>"esterreur(reference)"</formula>
    </cfRule>
  </conditionalFormatting>
  <conditionalFormatting sqref="N74:O74">
    <cfRule type="expression" dxfId="0" priority="185" stopIfTrue="1">
      <formula>"esterreur(reference)"</formula>
    </cfRule>
  </conditionalFormatting>
  <conditionalFormatting sqref="N76:O76">
    <cfRule type="expression" dxfId="0" priority="186" stopIfTrue="1">
      <formula>"esterreur(reference)"</formula>
    </cfRule>
  </conditionalFormatting>
  <conditionalFormatting sqref="N87:O87">
    <cfRule type="expression" dxfId="0" priority="187" stopIfTrue="1">
      <formula>"esterreur(reference)"</formula>
    </cfRule>
  </conditionalFormatting>
  <conditionalFormatting sqref="N158:O160">
    <cfRule type="expression" dxfId="0" priority="188" stopIfTrue="1">
      <formula>"esterreur(reference)"</formula>
    </cfRule>
  </conditionalFormatting>
  <conditionalFormatting sqref="N166:O166">
    <cfRule type="expression" dxfId="0" priority="189" stopIfTrue="1">
      <formula>"esterreur(reference)"</formula>
    </cfRule>
  </conditionalFormatting>
  <conditionalFormatting sqref="N168:O170">
    <cfRule type="expression" dxfId="0" priority="190" stopIfTrue="1">
      <formula>"esterreur(reference)"</formula>
    </cfRule>
  </conditionalFormatting>
  <conditionalFormatting sqref="N231:O233">
    <cfRule type="expression" dxfId="0" priority="191" stopIfTrue="1">
      <formula>"esterreur(reference)"</formula>
    </cfRule>
  </conditionalFormatting>
  <conditionalFormatting sqref="N239:O239">
    <cfRule type="expression" dxfId="0" priority="192" stopIfTrue="1">
      <formula>"esterreur(reference)"</formula>
    </cfRule>
  </conditionalFormatting>
  <conditionalFormatting sqref="N241:O242">
    <cfRule type="expression" dxfId="0" priority="193" stopIfTrue="1">
      <formula>"esterreur(reference)"</formula>
    </cfRule>
  </conditionalFormatting>
  <conditionalFormatting sqref="N307:O307">
    <cfRule type="expression" dxfId="0" priority="194" stopIfTrue="1">
      <formula>"esterreur(reference)"</formula>
    </cfRule>
  </conditionalFormatting>
  <conditionalFormatting sqref="N309:O309">
    <cfRule type="expression" dxfId="0" priority="195" stopIfTrue="1">
      <formula>"esterreur(reference)"</formula>
    </cfRule>
  </conditionalFormatting>
  <conditionalFormatting sqref="N365:O365">
    <cfRule type="expression" dxfId="0" priority="196" stopIfTrue="1">
      <formula>"esterreur(reference)"</formula>
    </cfRule>
  </conditionalFormatting>
  <conditionalFormatting sqref="N367:O367">
    <cfRule type="expression" dxfId="0" priority="197" stopIfTrue="1">
      <formula>"esterreur(reference)"</formula>
    </cfRule>
  </conditionalFormatting>
  <conditionalFormatting sqref="N429:O429">
    <cfRule type="expression" dxfId="0" priority="198" stopIfTrue="1">
      <formula>"esterreur(reference)"</formula>
    </cfRule>
  </conditionalFormatting>
  <conditionalFormatting sqref="N431:O433">
    <cfRule type="expression" dxfId="0" priority="199" stopIfTrue="1">
      <formula>"esterreur(reference)"</formula>
    </cfRule>
  </conditionalFormatting>
  <conditionalFormatting sqref="N466:O466">
    <cfRule type="expression" dxfId="0" priority="200" stopIfTrue="1">
      <formula>"esterreur(reference)"</formula>
    </cfRule>
  </conditionalFormatting>
  <conditionalFormatting sqref="N484:O484">
    <cfRule type="expression" dxfId="0" priority="201" stopIfTrue="1">
      <formula>"esterreur(reference)"</formula>
    </cfRule>
  </conditionalFormatting>
  <conditionalFormatting sqref="N486:O486">
    <cfRule type="expression" dxfId="0" priority="202" stopIfTrue="1">
      <formula>"esterreur(reference)"</formula>
    </cfRule>
  </conditionalFormatting>
  <conditionalFormatting sqref="N488:O489">
    <cfRule type="expression" dxfId="0" priority="203" stopIfTrue="1">
      <formula>"esterreur(reference)"</formula>
    </cfRule>
  </conditionalFormatting>
  <conditionalFormatting sqref="O7">
    <cfRule type="expression" dxfId="0" priority="204" stopIfTrue="1">
      <formula>"esterreur(reference)"</formula>
    </cfRule>
  </conditionalFormatting>
  <conditionalFormatting sqref="O323:P323">
    <cfRule type="expression" dxfId="0" priority="205" stopIfTrue="1">
      <formula>"esterreur(reference)"</formula>
    </cfRule>
  </conditionalFormatting>
  <conditionalFormatting sqref="N435:N436 O435:P435">
    <cfRule type="expression" dxfId="0" priority="206" stopIfTrue="1">
      <formula>"esterreur(reference)"</formula>
    </cfRule>
  </conditionalFormatting>
  <conditionalFormatting sqref="O439:P439 O441:P442">
    <cfRule type="expression" dxfId="0" priority="207" stopIfTrue="1">
      <formula>"esterreur(reference)"</formula>
    </cfRule>
  </conditionalFormatting>
  <conditionalFormatting sqref="O445:P445">
    <cfRule type="expression" dxfId="0" priority="208" stopIfTrue="1">
      <formula>"esterreur(reference)"</formula>
    </cfRule>
  </conditionalFormatting>
  <conditionalFormatting sqref="P7:P16">
    <cfRule type="expression" dxfId="0" priority="209" stopIfTrue="1">
      <formula>"esterreur(reference)"</formula>
    </cfRule>
  </conditionalFormatting>
  <conditionalFormatting sqref="P77:P84">
    <cfRule type="expression" dxfId="0" priority="210" stopIfTrue="1">
      <formula>"esterreur(reference)"</formula>
    </cfRule>
  </conditionalFormatting>
  <conditionalFormatting sqref="P159:P165">
    <cfRule type="expression" dxfId="0" priority="211" stopIfTrue="1">
      <formula>"esterreur(reference)"</formula>
    </cfRule>
  </conditionalFormatting>
  <conditionalFormatting sqref="P232:P238">
    <cfRule type="expression" dxfId="0" priority="212" stopIfTrue="1">
      <formula>"esterreur(reference)"</formula>
    </cfRule>
  </conditionalFormatting>
  <conditionalFormatting sqref="P274:P285">
    <cfRule type="expression" dxfId="0" priority="213" stopIfTrue="1">
      <formula>"esterreur(reference)"</formula>
    </cfRule>
  </conditionalFormatting>
  <conditionalFormatting sqref="P287:P304">
    <cfRule type="expression" dxfId="0" priority="214" stopIfTrue="1">
      <formula>"esterreur(reference)"</formula>
    </cfRule>
  </conditionalFormatting>
  <conditionalFormatting sqref="P326">
    <cfRule type="expression" dxfId="0" priority="215" stopIfTrue="1">
      <formula>"esterreur(reference)"</formula>
    </cfRule>
  </conditionalFormatting>
  <conditionalFormatting sqref="P332:P343">
    <cfRule type="expression" dxfId="0" priority="216" stopIfTrue="1">
      <formula>"esterreur(reference)"</formula>
    </cfRule>
  </conditionalFormatting>
  <conditionalFormatting sqref="P424:P426">
    <cfRule type="expression" dxfId="0" priority="217" stopIfTrue="1">
      <formula>"esterreur(reference)"</formula>
    </cfRule>
  </conditionalFormatting>
  <conditionalFormatting sqref="B27:Y28 B30:Y32 B86:Y86 B88:Y90 B100:Y100 B104:Y110 B112:Y124 B136:Y137 B139:Y155 B167:Y167 B209:Y210 B212:Y228 B240:Y240 B243:Y243 B255:Y255 B272:Y273 B308:Y308 B310:Y311 B330:Y331 B366:Y366 B368:Y368 B393:Y407 B430:Y430 P256:Q256 Q5 Q15:Q16 Q20:Q26 Q29 Q33:R38 Q39 Q40:R54 Q85:R85 Q92:Q93 Q111 Q125:R135 Q138:R138 Q156:R156 Q172:Q173 Q198:R208 Q211:R211 Q229:R229 Q245:Q247 Q249:Q250 Q252:Q253 Q258:Q263 Q265:Q266 Q268:Q270 Q271:R271 Q274:R276 Q277 Q278:R305 Q313:Q316 Q332:R363 Q370:Q371 Q408:R427 R92:S92 R95:S97 R101:S103 R172:S172 R175:S181 R245:S245 R247:S249 R251:S252 R254:S254 R257:S258 R260 R261:S269 R313:S313 R315:S317 R319:S320 R370:S370 R372:S372 R373:R381 R382:S384 R385:R386 R387:S391 S98 S250 S253 S256:T256 S259 S345:S362 T5 T15:T16 T20:T26 T29 T33:U38 T39 T40:U54 T85:U85 T92:T93 T111 T125:U135 T138:U138 T156:U156 T172:T173 T198:U208 T211:U211 T229:U229 T245:T247 T249:T250 T252:T253 T258:T263 T265:T266 T268:T270 T271:U271 T274:U276 T277 T278:U305 T313:T316 T332:U363 T370:T371 T408:U427 U92:V92 U95:V97 U101:V103 U172:V172 U175:V181 U245:V245 U247:V249 U251:V252 U254:V254 U257:V258 U260 U261:V269 U313:V313 U315:V317 U319:V320 U370:V370 U372:V372 U373:U381 U382:V384 U385:U386 U387:V391 V98 V250 V253 V256:W256 V259 V345:V362 W5 W15:W16 W20:W26 W29 W33:X38 W39 W40:X54 W85:X85 W92:W93 W111 W125:X135 W138:X138 W156:X156 W172:W173 W198:X208 W211:X211 W229:X229 W245:W247 W249:W250 W252:W253 W258:W263 W265:W266 W268:W270 W271:X271 W274:X276 W277 W278:X305 W313:W316 W332:X363 W370:W371 W408:X427 X92:Y92 X95:Y97 X101:Y103 X172:Y172 X175:Y181 X245:Y245 X247:Y249 X251:Y252 X254:Y254 X257:Y258 X260 X261:Y269 X313:Y313 X315:Y317 X319:Y320 X370:Y370 X372:Y372 X373:X381 X382:Y384 X385:X386 X387:Y391 Y98 Y250 Y253 Y256 Y259 Y345:Y362">
    <cfRule type="expression" dxfId="0" priority="218" stopIfTrue="1">
      <formula>"esterreur(reference)"</formula>
    </cfRule>
  </conditionalFormatting>
  <conditionalFormatting sqref="Q18 S18:S26">
    <cfRule type="expression" dxfId="0" priority="219" stopIfTrue="1">
      <formula>"esterreur(reference)"</formula>
    </cfRule>
  </conditionalFormatting>
  <conditionalFormatting sqref="Q184">
    <cfRule type="expression" dxfId="0" priority="220" stopIfTrue="1">
      <formula>"esterreur(reference)"</formula>
    </cfRule>
  </conditionalFormatting>
  <conditionalFormatting sqref="Q319">
    <cfRule type="expression" dxfId="0" priority="221" stopIfTrue="1">
      <formula>"esterreur(reference)"</formula>
    </cfRule>
  </conditionalFormatting>
  <conditionalFormatting sqref="Q328 Q329:R329">
    <cfRule type="expression" dxfId="0" priority="222" stopIfTrue="1">
      <formula>"esterreur(reference)"</formula>
    </cfRule>
  </conditionalFormatting>
  <conditionalFormatting sqref="Q373:Q392">
    <cfRule type="expression" dxfId="0" priority="223" stopIfTrue="1">
      <formula>"esterreur(reference)"</formula>
    </cfRule>
  </conditionalFormatting>
  <conditionalFormatting sqref="Q441">
    <cfRule type="expression" dxfId="0" priority="224" stopIfTrue="1">
      <formula>"esterreur(reference)"</formula>
    </cfRule>
  </conditionalFormatting>
  <conditionalFormatting sqref="Q450 Q451:R451">
    <cfRule type="expression" dxfId="0" priority="225" stopIfTrue="1">
      <formula>"esterreur(reference)"</formula>
    </cfRule>
  </conditionalFormatting>
  <conditionalFormatting sqref="Q56:R56">
    <cfRule type="expression" dxfId="0" priority="226" stopIfTrue="1">
      <formula>"esterreur(reference)"</formula>
    </cfRule>
  </conditionalFormatting>
  <conditionalFormatting sqref="Q74:R74">
    <cfRule type="expression" dxfId="0" priority="227" stopIfTrue="1">
      <formula>"esterreur(reference)"</formula>
    </cfRule>
  </conditionalFormatting>
  <conditionalFormatting sqref="Q76:R76">
    <cfRule type="expression" dxfId="0" priority="228" stopIfTrue="1">
      <formula>"esterreur(reference)"</formula>
    </cfRule>
  </conditionalFormatting>
  <conditionalFormatting sqref="Q87:R87">
    <cfRule type="expression" dxfId="0" priority="229" stopIfTrue="1">
      <formula>"esterreur(reference)"</formula>
    </cfRule>
  </conditionalFormatting>
  <conditionalFormatting sqref="Q158:R160">
    <cfRule type="expression" dxfId="0" priority="230" stopIfTrue="1">
      <formula>"esterreur(reference)"</formula>
    </cfRule>
  </conditionalFormatting>
  <conditionalFormatting sqref="Q166:R166">
    <cfRule type="expression" dxfId="0" priority="231" stopIfTrue="1">
      <formula>"esterreur(reference)"</formula>
    </cfRule>
  </conditionalFormatting>
  <conditionalFormatting sqref="Q168:R170">
    <cfRule type="expression" dxfId="0" priority="232" stopIfTrue="1">
      <formula>"esterreur(reference)"</formula>
    </cfRule>
  </conditionalFormatting>
  <conditionalFormatting sqref="Q231:R233">
    <cfRule type="expression" dxfId="0" priority="233" stopIfTrue="1">
      <formula>"esterreur(reference)"</formula>
    </cfRule>
  </conditionalFormatting>
  <conditionalFormatting sqref="Q239:R239">
    <cfRule type="expression" dxfId="0" priority="234" stopIfTrue="1">
      <formula>"esterreur(reference)"</formula>
    </cfRule>
  </conditionalFormatting>
  <conditionalFormatting sqref="Q241:R242">
    <cfRule type="expression" dxfId="0" priority="235" stopIfTrue="1">
      <formula>"esterreur(reference)"</formula>
    </cfRule>
  </conditionalFormatting>
  <conditionalFormatting sqref="Q307:R307">
    <cfRule type="expression" dxfId="0" priority="236" stopIfTrue="1">
      <formula>"esterreur(reference)"</formula>
    </cfRule>
  </conditionalFormatting>
  <conditionalFormatting sqref="Q309:R309">
    <cfRule type="expression" dxfId="0" priority="237" stopIfTrue="1">
      <formula>"esterreur(reference)"</formula>
    </cfRule>
  </conditionalFormatting>
  <conditionalFormatting sqref="Q365:R365">
    <cfRule type="expression" dxfId="0" priority="238" stopIfTrue="1">
      <formula>"esterreur(reference)"</formula>
    </cfRule>
  </conditionalFormatting>
  <conditionalFormatting sqref="Q367:R367">
    <cfRule type="expression" dxfId="0" priority="239" stopIfTrue="1">
      <formula>"esterreur(reference)"</formula>
    </cfRule>
  </conditionalFormatting>
  <conditionalFormatting sqref="Q429:R429">
    <cfRule type="expression" dxfId="0" priority="240" stopIfTrue="1">
      <formula>"esterreur(reference)"</formula>
    </cfRule>
  </conditionalFormatting>
  <conditionalFormatting sqref="Q431:R433">
    <cfRule type="expression" dxfId="0" priority="241" stopIfTrue="1">
      <formula>"esterreur(reference)"</formula>
    </cfRule>
  </conditionalFormatting>
  <conditionalFormatting sqref="Q466:R466">
    <cfRule type="expression" dxfId="0" priority="242" stopIfTrue="1">
      <formula>"esterreur(reference)"</formula>
    </cfRule>
  </conditionalFormatting>
  <conditionalFormatting sqref="Q484:R484">
    <cfRule type="expression" dxfId="0" priority="243" stopIfTrue="1">
      <formula>"esterreur(reference)"</formula>
    </cfRule>
  </conditionalFormatting>
  <conditionalFormatting sqref="Q486:R486">
    <cfRule type="expression" dxfId="0" priority="244" stopIfTrue="1">
      <formula>"esterreur(reference)"</formula>
    </cfRule>
  </conditionalFormatting>
  <conditionalFormatting sqref="Q488:R489">
    <cfRule type="expression" dxfId="0" priority="245" stopIfTrue="1">
      <formula>"esterreur(reference)"</formula>
    </cfRule>
  </conditionalFormatting>
  <conditionalFormatting sqref="R7">
    <cfRule type="expression" dxfId="0" priority="246" stopIfTrue="1">
      <formula>"esterreur(reference)"</formula>
    </cfRule>
  </conditionalFormatting>
  <conditionalFormatting sqref="R323:S323">
    <cfRule type="expression" dxfId="0" priority="247" stopIfTrue="1">
      <formula>"esterreur(reference)"</formula>
    </cfRule>
  </conditionalFormatting>
  <conditionalFormatting sqref="Q435:Q436 R435:S435">
    <cfRule type="expression" dxfId="0" priority="248" stopIfTrue="1">
      <formula>"esterreur(reference)"</formula>
    </cfRule>
  </conditionalFormatting>
  <conditionalFormatting sqref="R439:S439 R441:S442">
    <cfRule type="expression" dxfId="0" priority="249" stopIfTrue="1">
      <formula>"esterreur(reference)"</formula>
    </cfRule>
  </conditionalFormatting>
  <conditionalFormatting sqref="R445:S445">
    <cfRule type="expression" dxfId="0" priority="250" stopIfTrue="1">
      <formula>"esterreur(reference)"</formula>
    </cfRule>
  </conditionalFormatting>
  <conditionalFormatting sqref="S7:S16">
    <cfRule type="expression" dxfId="0" priority="251" stopIfTrue="1">
      <formula>"esterreur(reference)"</formula>
    </cfRule>
  </conditionalFormatting>
  <conditionalFormatting sqref="S77:S84">
    <cfRule type="expression" dxfId="0" priority="252" stopIfTrue="1">
      <formula>"esterreur(reference)"</formula>
    </cfRule>
  </conditionalFormatting>
  <conditionalFormatting sqref="S159:S165">
    <cfRule type="expression" dxfId="0" priority="253" stopIfTrue="1">
      <formula>"esterreur(reference)"</formula>
    </cfRule>
  </conditionalFormatting>
  <conditionalFormatting sqref="S232:S238">
    <cfRule type="expression" dxfId="0" priority="254" stopIfTrue="1">
      <formula>"esterreur(reference)"</formula>
    </cfRule>
  </conditionalFormatting>
  <conditionalFormatting sqref="S274:S285">
    <cfRule type="expression" dxfId="0" priority="255" stopIfTrue="1">
      <formula>"esterreur(reference)"</formula>
    </cfRule>
  </conditionalFormatting>
  <conditionalFormatting sqref="S287:S304">
    <cfRule type="expression" dxfId="0" priority="256" stopIfTrue="1">
      <formula>"esterreur(reference)"</formula>
    </cfRule>
  </conditionalFormatting>
  <conditionalFormatting sqref="S326">
    <cfRule type="expression" dxfId="0" priority="257" stopIfTrue="1">
      <formula>"esterreur(reference)"</formula>
    </cfRule>
  </conditionalFormatting>
  <conditionalFormatting sqref="S332:S343">
    <cfRule type="expression" dxfId="0" priority="258" stopIfTrue="1">
      <formula>"esterreur(reference)"</formula>
    </cfRule>
  </conditionalFormatting>
  <conditionalFormatting sqref="S424:S426">
    <cfRule type="expression" dxfId="0" priority="259" stopIfTrue="1">
      <formula>"esterreur(reference)"</formula>
    </cfRule>
  </conditionalFormatting>
  <conditionalFormatting sqref="T18 V18:V26">
    <cfRule type="expression" dxfId="0" priority="260" stopIfTrue="1">
      <formula>"esterreur(reference)"</formula>
    </cfRule>
  </conditionalFormatting>
  <conditionalFormatting sqref="T184">
    <cfRule type="expression" dxfId="0" priority="261" stopIfTrue="1">
      <formula>"esterreur(reference)"</formula>
    </cfRule>
  </conditionalFormatting>
  <conditionalFormatting sqref="T319">
    <cfRule type="expression" dxfId="0" priority="262" stopIfTrue="1">
      <formula>"esterreur(reference)"</formula>
    </cfRule>
  </conditionalFormatting>
  <conditionalFormatting sqref="T328 T329:U329">
    <cfRule type="expression" dxfId="0" priority="263" stopIfTrue="1">
      <formula>"esterreur(reference)"</formula>
    </cfRule>
  </conditionalFormatting>
  <conditionalFormatting sqref="T373:T392">
    <cfRule type="expression" dxfId="0" priority="264" stopIfTrue="1">
      <formula>"esterreur(reference)"</formula>
    </cfRule>
  </conditionalFormatting>
  <conditionalFormatting sqref="T441">
    <cfRule type="expression" dxfId="0" priority="265" stopIfTrue="1">
      <formula>"esterreur(reference)"</formula>
    </cfRule>
  </conditionalFormatting>
  <conditionalFormatting sqref="T450 T451:U451">
    <cfRule type="expression" dxfId="0" priority="266" stopIfTrue="1">
      <formula>"esterreur(reference)"</formula>
    </cfRule>
  </conditionalFormatting>
  <conditionalFormatting sqref="T56:U56">
    <cfRule type="expression" dxfId="0" priority="267" stopIfTrue="1">
      <formula>"esterreur(reference)"</formula>
    </cfRule>
  </conditionalFormatting>
  <conditionalFormatting sqref="T74:U74">
    <cfRule type="expression" dxfId="0" priority="268" stopIfTrue="1">
      <formula>"esterreur(reference)"</formula>
    </cfRule>
  </conditionalFormatting>
  <conditionalFormatting sqref="T76:U76">
    <cfRule type="expression" dxfId="0" priority="269" stopIfTrue="1">
      <formula>"esterreur(reference)"</formula>
    </cfRule>
  </conditionalFormatting>
  <conditionalFormatting sqref="T87:U87">
    <cfRule type="expression" dxfId="0" priority="270" stopIfTrue="1">
      <formula>"esterreur(reference)"</formula>
    </cfRule>
  </conditionalFormatting>
  <conditionalFormatting sqref="T158:U160">
    <cfRule type="expression" dxfId="0" priority="271" stopIfTrue="1">
      <formula>"esterreur(reference)"</formula>
    </cfRule>
  </conditionalFormatting>
  <conditionalFormatting sqref="T166:U166">
    <cfRule type="expression" dxfId="0" priority="272" stopIfTrue="1">
      <formula>"esterreur(reference)"</formula>
    </cfRule>
  </conditionalFormatting>
  <conditionalFormatting sqref="T168:U170">
    <cfRule type="expression" dxfId="0" priority="273" stopIfTrue="1">
      <formula>"esterreur(reference)"</formula>
    </cfRule>
  </conditionalFormatting>
  <conditionalFormatting sqref="T231:U233">
    <cfRule type="expression" dxfId="0" priority="274" stopIfTrue="1">
      <formula>"esterreur(reference)"</formula>
    </cfRule>
  </conditionalFormatting>
  <conditionalFormatting sqref="T239:U239">
    <cfRule type="expression" dxfId="0" priority="275" stopIfTrue="1">
      <formula>"esterreur(reference)"</formula>
    </cfRule>
  </conditionalFormatting>
  <conditionalFormatting sqref="T241:U242">
    <cfRule type="expression" dxfId="0" priority="276" stopIfTrue="1">
      <formula>"esterreur(reference)"</formula>
    </cfRule>
  </conditionalFormatting>
  <conditionalFormatting sqref="T307:U307">
    <cfRule type="expression" dxfId="0" priority="277" stopIfTrue="1">
      <formula>"esterreur(reference)"</formula>
    </cfRule>
  </conditionalFormatting>
  <conditionalFormatting sqref="T309:U309">
    <cfRule type="expression" dxfId="0" priority="278" stopIfTrue="1">
      <formula>"esterreur(reference)"</formula>
    </cfRule>
  </conditionalFormatting>
  <conditionalFormatting sqref="T365:U365">
    <cfRule type="expression" dxfId="0" priority="279" stopIfTrue="1">
      <formula>"esterreur(reference)"</formula>
    </cfRule>
  </conditionalFormatting>
  <conditionalFormatting sqref="T367:U367">
    <cfRule type="expression" dxfId="0" priority="280" stopIfTrue="1">
      <formula>"esterreur(reference)"</formula>
    </cfRule>
  </conditionalFormatting>
  <conditionalFormatting sqref="T429:U429">
    <cfRule type="expression" dxfId="0" priority="281" stopIfTrue="1">
      <formula>"esterreur(reference)"</formula>
    </cfRule>
  </conditionalFormatting>
  <conditionalFormatting sqref="T431:U433">
    <cfRule type="expression" dxfId="0" priority="282" stopIfTrue="1">
      <formula>"esterreur(reference)"</formula>
    </cfRule>
  </conditionalFormatting>
  <conditionalFormatting sqref="T466:U466">
    <cfRule type="expression" dxfId="0" priority="283" stopIfTrue="1">
      <formula>"esterreur(reference)"</formula>
    </cfRule>
  </conditionalFormatting>
  <conditionalFormatting sqref="T484:U484">
    <cfRule type="expression" dxfId="0" priority="284" stopIfTrue="1">
      <formula>"esterreur(reference)"</formula>
    </cfRule>
  </conditionalFormatting>
  <conditionalFormatting sqref="T486:U486">
    <cfRule type="expression" dxfId="0" priority="285" stopIfTrue="1">
      <formula>"esterreur(reference)"</formula>
    </cfRule>
  </conditionalFormatting>
  <conditionalFormatting sqref="T488:U489">
    <cfRule type="expression" dxfId="0" priority="286" stopIfTrue="1">
      <formula>"esterreur(reference)"</formula>
    </cfRule>
  </conditionalFormatting>
  <conditionalFormatting sqref="U7">
    <cfRule type="expression" dxfId="0" priority="287" stopIfTrue="1">
      <formula>"esterreur(reference)"</formula>
    </cfRule>
  </conditionalFormatting>
  <conditionalFormatting sqref="U323:V323">
    <cfRule type="expression" dxfId="0" priority="288" stopIfTrue="1">
      <formula>"esterreur(reference)"</formula>
    </cfRule>
  </conditionalFormatting>
  <conditionalFormatting sqref="T435:T436 U435:V435">
    <cfRule type="expression" dxfId="0" priority="289" stopIfTrue="1">
      <formula>"esterreur(reference)"</formula>
    </cfRule>
  </conditionalFormatting>
  <conditionalFormatting sqref="U439:V439 U441:V442">
    <cfRule type="expression" dxfId="0" priority="290" stopIfTrue="1">
      <formula>"esterreur(reference)"</formula>
    </cfRule>
  </conditionalFormatting>
  <conditionalFormatting sqref="U445:V445">
    <cfRule type="expression" dxfId="0" priority="291" stopIfTrue="1">
      <formula>"esterreur(reference)"</formula>
    </cfRule>
  </conditionalFormatting>
  <conditionalFormatting sqref="V7:V16">
    <cfRule type="expression" dxfId="0" priority="292" stopIfTrue="1">
      <formula>"esterreur(reference)"</formula>
    </cfRule>
  </conditionalFormatting>
  <conditionalFormatting sqref="V77:V84">
    <cfRule type="expression" dxfId="0" priority="293" stopIfTrue="1">
      <formula>"esterreur(reference)"</formula>
    </cfRule>
  </conditionalFormatting>
  <conditionalFormatting sqref="V159:V165">
    <cfRule type="expression" dxfId="0" priority="294" stopIfTrue="1">
      <formula>"esterreur(reference)"</formula>
    </cfRule>
  </conditionalFormatting>
  <conditionalFormatting sqref="V232:V238">
    <cfRule type="expression" dxfId="0" priority="295" stopIfTrue="1">
      <formula>"esterreur(reference)"</formula>
    </cfRule>
  </conditionalFormatting>
  <conditionalFormatting sqref="V274:V285">
    <cfRule type="expression" dxfId="0" priority="296" stopIfTrue="1">
      <formula>"esterreur(reference)"</formula>
    </cfRule>
  </conditionalFormatting>
  <conditionalFormatting sqref="V287:V304">
    <cfRule type="expression" dxfId="0" priority="297" stopIfTrue="1">
      <formula>"esterreur(reference)"</formula>
    </cfRule>
  </conditionalFormatting>
  <conditionalFormatting sqref="V326">
    <cfRule type="expression" dxfId="0" priority="298" stopIfTrue="1">
      <formula>"esterreur(reference)"</formula>
    </cfRule>
  </conditionalFormatting>
  <conditionalFormatting sqref="V332:V343">
    <cfRule type="expression" dxfId="0" priority="299" stopIfTrue="1">
      <formula>"esterreur(reference)"</formula>
    </cfRule>
  </conditionalFormatting>
  <conditionalFormatting sqref="V424:V426">
    <cfRule type="expression" dxfId="0" priority="300" stopIfTrue="1">
      <formula>"esterreur(reference)"</formula>
    </cfRule>
  </conditionalFormatting>
  <conditionalFormatting sqref="W18 Y18:Y26">
    <cfRule type="expression" dxfId="0" priority="301" stopIfTrue="1">
      <formula>"esterreur(reference)"</formula>
    </cfRule>
  </conditionalFormatting>
  <conditionalFormatting sqref="W184">
    <cfRule type="expression" dxfId="0" priority="302" stopIfTrue="1">
      <formula>"esterreur(reference)"</formula>
    </cfRule>
  </conditionalFormatting>
  <conditionalFormatting sqref="W319">
    <cfRule type="expression" dxfId="0" priority="303" stopIfTrue="1">
      <formula>"esterreur(reference)"</formula>
    </cfRule>
  </conditionalFormatting>
  <conditionalFormatting sqref="W328 W329:X329">
    <cfRule type="expression" dxfId="0" priority="304" stopIfTrue="1">
      <formula>"esterreur(reference)"</formula>
    </cfRule>
  </conditionalFormatting>
  <conditionalFormatting sqref="W373:W392">
    <cfRule type="expression" dxfId="0" priority="305" stopIfTrue="1">
      <formula>"esterreur(reference)"</formula>
    </cfRule>
  </conditionalFormatting>
  <conditionalFormatting sqref="W441">
    <cfRule type="expression" dxfId="0" priority="306" stopIfTrue="1">
      <formula>"esterreur(reference)"</formula>
    </cfRule>
  </conditionalFormatting>
  <conditionalFormatting sqref="W450 W451:X451">
    <cfRule type="expression" dxfId="0" priority="307" stopIfTrue="1">
      <formula>"esterreur(reference)"</formula>
    </cfRule>
  </conditionalFormatting>
  <conditionalFormatting sqref="W56:X56">
    <cfRule type="expression" dxfId="0" priority="308" stopIfTrue="1">
      <formula>"esterreur(reference)"</formula>
    </cfRule>
  </conditionalFormatting>
  <conditionalFormatting sqref="W74:X74">
    <cfRule type="expression" dxfId="0" priority="309" stopIfTrue="1">
      <formula>"esterreur(reference)"</formula>
    </cfRule>
  </conditionalFormatting>
  <conditionalFormatting sqref="W76:X76">
    <cfRule type="expression" dxfId="0" priority="310" stopIfTrue="1">
      <formula>"esterreur(reference)"</formula>
    </cfRule>
  </conditionalFormatting>
  <conditionalFormatting sqref="W87:X87">
    <cfRule type="expression" dxfId="0" priority="311" stopIfTrue="1">
      <formula>"esterreur(reference)"</formula>
    </cfRule>
  </conditionalFormatting>
  <conditionalFormatting sqref="W158:X160">
    <cfRule type="expression" dxfId="0" priority="312" stopIfTrue="1">
      <formula>"esterreur(reference)"</formula>
    </cfRule>
  </conditionalFormatting>
  <conditionalFormatting sqref="W166:X166">
    <cfRule type="expression" dxfId="0" priority="313" stopIfTrue="1">
      <formula>"esterreur(reference)"</formula>
    </cfRule>
  </conditionalFormatting>
  <conditionalFormatting sqref="W168:X170">
    <cfRule type="expression" dxfId="0" priority="314" stopIfTrue="1">
      <formula>"esterreur(reference)"</formula>
    </cfRule>
  </conditionalFormatting>
  <conditionalFormatting sqref="W231:X233">
    <cfRule type="expression" dxfId="0" priority="315" stopIfTrue="1">
      <formula>"esterreur(reference)"</formula>
    </cfRule>
  </conditionalFormatting>
  <conditionalFormatting sqref="W239:X239">
    <cfRule type="expression" dxfId="0" priority="316" stopIfTrue="1">
      <formula>"esterreur(reference)"</formula>
    </cfRule>
  </conditionalFormatting>
  <conditionalFormatting sqref="W241:X242">
    <cfRule type="expression" dxfId="0" priority="317" stopIfTrue="1">
      <formula>"esterreur(reference)"</formula>
    </cfRule>
  </conditionalFormatting>
  <conditionalFormatting sqref="W307:X307">
    <cfRule type="expression" dxfId="0" priority="318" stopIfTrue="1">
      <formula>"esterreur(reference)"</formula>
    </cfRule>
  </conditionalFormatting>
  <conditionalFormatting sqref="W309:X309">
    <cfRule type="expression" dxfId="0" priority="319" stopIfTrue="1">
      <formula>"esterreur(reference)"</formula>
    </cfRule>
  </conditionalFormatting>
  <conditionalFormatting sqref="W365:X365">
    <cfRule type="expression" dxfId="0" priority="320" stopIfTrue="1">
      <formula>"esterreur(reference)"</formula>
    </cfRule>
  </conditionalFormatting>
  <conditionalFormatting sqref="W367:X367">
    <cfRule type="expression" dxfId="0" priority="321" stopIfTrue="1">
      <formula>"esterreur(reference)"</formula>
    </cfRule>
  </conditionalFormatting>
  <conditionalFormatting sqref="W429:X429">
    <cfRule type="expression" dxfId="0" priority="322" stopIfTrue="1">
      <formula>"esterreur(reference)"</formula>
    </cfRule>
  </conditionalFormatting>
  <conditionalFormatting sqref="W431:X433">
    <cfRule type="expression" dxfId="0" priority="323" stopIfTrue="1">
      <formula>"esterreur(reference)"</formula>
    </cfRule>
  </conditionalFormatting>
  <conditionalFormatting sqref="W466:X466">
    <cfRule type="expression" dxfId="0" priority="324" stopIfTrue="1">
      <formula>"esterreur(reference)"</formula>
    </cfRule>
  </conditionalFormatting>
  <conditionalFormatting sqref="W484:X484">
    <cfRule type="expression" dxfId="0" priority="325" stopIfTrue="1">
      <formula>"esterreur(reference)"</formula>
    </cfRule>
  </conditionalFormatting>
  <conditionalFormatting sqref="W486:X486">
    <cfRule type="expression" dxfId="0" priority="326" stopIfTrue="1">
      <formula>"esterreur(reference)"</formula>
    </cfRule>
  </conditionalFormatting>
  <conditionalFormatting sqref="W488:X489">
    <cfRule type="expression" dxfId="0" priority="327" stopIfTrue="1">
      <formula>"esterreur(reference)"</formula>
    </cfRule>
  </conditionalFormatting>
  <conditionalFormatting sqref="X7">
    <cfRule type="expression" dxfId="0" priority="328" stopIfTrue="1">
      <formula>"esterreur(reference)"</formula>
    </cfRule>
  </conditionalFormatting>
  <conditionalFormatting sqref="X323:Y323">
    <cfRule type="expression" dxfId="0" priority="329" stopIfTrue="1">
      <formula>"esterreur(reference)"</formula>
    </cfRule>
  </conditionalFormatting>
  <conditionalFormatting sqref="W435:W436 X435:Y435">
    <cfRule type="expression" dxfId="0" priority="330" stopIfTrue="1">
      <formula>"esterreur(reference)"</formula>
    </cfRule>
  </conditionalFormatting>
  <conditionalFormatting sqref="X439:Y439 X441:Y442">
    <cfRule type="expression" dxfId="0" priority="331" stopIfTrue="1">
      <formula>"esterreur(reference)"</formula>
    </cfRule>
  </conditionalFormatting>
  <conditionalFormatting sqref="X445:Y445">
    <cfRule type="expression" dxfId="0" priority="332" stopIfTrue="1">
      <formula>"esterreur(reference)"</formula>
    </cfRule>
  </conditionalFormatting>
  <conditionalFormatting sqref="Y7:Y16">
    <cfRule type="expression" dxfId="0" priority="333" stopIfTrue="1">
      <formula>"esterreur(reference)"</formula>
    </cfRule>
  </conditionalFormatting>
  <conditionalFormatting sqref="Y77:Y84">
    <cfRule type="expression" dxfId="0" priority="334" stopIfTrue="1">
      <formula>"esterreur(reference)"</formula>
    </cfRule>
  </conditionalFormatting>
  <conditionalFormatting sqref="Y159:Y165">
    <cfRule type="expression" dxfId="0" priority="335" stopIfTrue="1">
      <formula>"esterreur(reference)"</formula>
    </cfRule>
  </conditionalFormatting>
  <conditionalFormatting sqref="Y232:Y238">
    <cfRule type="expression" dxfId="0" priority="336" stopIfTrue="1">
      <formula>"esterreur(reference)"</formula>
    </cfRule>
  </conditionalFormatting>
  <conditionalFormatting sqref="Y274:Y285">
    <cfRule type="expression" dxfId="0" priority="337" stopIfTrue="1">
      <formula>"esterreur(reference)"</formula>
    </cfRule>
  </conditionalFormatting>
  <conditionalFormatting sqref="Y287:Y304">
    <cfRule type="expression" dxfId="0" priority="338" stopIfTrue="1">
      <formula>"esterreur(reference)"</formula>
    </cfRule>
  </conditionalFormatting>
  <conditionalFormatting sqref="Y326">
    <cfRule type="expression" dxfId="0" priority="339" stopIfTrue="1">
      <formula>"esterreur(reference)"</formula>
    </cfRule>
  </conditionalFormatting>
  <conditionalFormatting sqref="Y332:Y343">
    <cfRule type="expression" dxfId="0" priority="340" stopIfTrue="1">
      <formula>"esterreur(reference)"</formula>
    </cfRule>
  </conditionalFormatting>
  <conditionalFormatting sqref="Y424:Y426">
    <cfRule type="expression" dxfId="0" priority="341" stopIfTrue="1">
      <formula>"esterreur(reference)"</formula>
    </cfRule>
  </conditionalFormatting>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2023-01-24T17:19:21Z</dcterms:created>
  <dc:creator>GPA</dc:creator>
</cp:coreProperties>
</file>